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delet\Desktop\Tez\Veri Setleri\"/>
    </mc:Choice>
  </mc:AlternateContent>
  <xr:revisionPtr revIDLastSave="0" documentId="13_ncr:1_{A4A579FA-F75B-4C79-A830-14B1580922F7}" xr6:coauthVersionLast="47" xr6:coauthVersionMax="47" xr10:uidLastSave="{00000000-0000-0000-0000-000000000000}"/>
  <bookViews>
    <workbookView xWindow="2040" yWindow="1290" windowWidth="22500" windowHeight="13485" xr2:uid="{00000000-000D-0000-FFFF-FFFF00000000}"/>
  </bookViews>
  <sheets>
    <sheet name="PANDEMİDEN BERİ ATILAN TWEETLE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gdYCLfLDwZLscrnozpHpdOH6RiwQ=="/>
    </ext>
  </extLst>
</workbook>
</file>

<file path=xl/calcChain.xml><?xml version="1.0" encoding="utf-8"?>
<calcChain xmlns="http://schemas.openxmlformats.org/spreadsheetml/2006/main">
  <c r="E19515" i="1" l="1"/>
  <c r="E19514" i="1"/>
  <c r="E19513" i="1"/>
  <c r="E19512" i="1"/>
  <c r="E19511" i="1"/>
  <c r="E19510" i="1"/>
  <c r="E19509" i="1"/>
  <c r="E19508" i="1"/>
  <c r="E19507" i="1"/>
  <c r="E19506" i="1"/>
  <c r="E19505" i="1"/>
  <c r="E19504" i="1"/>
  <c r="E19503" i="1"/>
  <c r="E19502" i="1"/>
  <c r="E19501" i="1"/>
  <c r="E19500" i="1"/>
  <c r="E19499" i="1"/>
  <c r="E19498" i="1"/>
  <c r="E19497" i="1"/>
  <c r="E19496" i="1"/>
  <c r="E19495" i="1"/>
  <c r="E19494" i="1"/>
  <c r="E19493" i="1"/>
  <c r="E19492" i="1"/>
  <c r="E19491" i="1"/>
  <c r="E19490" i="1"/>
  <c r="E19489" i="1"/>
  <c r="E19488" i="1"/>
  <c r="E19487" i="1"/>
  <c r="E19486" i="1"/>
  <c r="E19485" i="1"/>
  <c r="E19484" i="1"/>
  <c r="E19483" i="1"/>
  <c r="E19482" i="1"/>
  <c r="E19481" i="1"/>
  <c r="E19480" i="1"/>
  <c r="E19479" i="1"/>
  <c r="E19478" i="1"/>
  <c r="E19477" i="1"/>
  <c r="E19476" i="1"/>
  <c r="E19475" i="1"/>
  <c r="E19474" i="1"/>
  <c r="E19473" i="1"/>
  <c r="E19472" i="1"/>
  <c r="E19471" i="1"/>
  <c r="E19470" i="1"/>
  <c r="E19469" i="1"/>
  <c r="E19468" i="1"/>
  <c r="E19467" i="1"/>
  <c r="E19466" i="1"/>
  <c r="E19465" i="1"/>
  <c r="E19464" i="1"/>
  <c r="E19463" i="1"/>
  <c r="E19462" i="1"/>
  <c r="E19461" i="1"/>
  <c r="E19460" i="1"/>
  <c r="E19459" i="1"/>
  <c r="E19458" i="1"/>
  <c r="E19457" i="1"/>
  <c r="E19456" i="1"/>
  <c r="E19455" i="1"/>
  <c r="E19454" i="1"/>
  <c r="E19453" i="1"/>
  <c r="E19452" i="1"/>
  <c r="E19451" i="1"/>
  <c r="E19450" i="1"/>
  <c r="E19449" i="1"/>
  <c r="E19448" i="1"/>
  <c r="E19447" i="1"/>
  <c r="E19446" i="1"/>
  <c r="E19445" i="1"/>
  <c r="E19444" i="1"/>
  <c r="E19443" i="1"/>
  <c r="E19442" i="1"/>
  <c r="E19441" i="1"/>
  <c r="E19440" i="1"/>
  <c r="E19439" i="1"/>
  <c r="E19438" i="1"/>
  <c r="E19437" i="1"/>
  <c r="E19436" i="1"/>
  <c r="E19435" i="1"/>
  <c r="E19434" i="1"/>
  <c r="E19433" i="1"/>
  <c r="E19432" i="1"/>
  <c r="E19431" i="1"/>
  <c r="E19430" i="1"/>
  <c r="E19429" i="1"/>
  <c r="E19428" i="1"/>
  <c r="E19427" i="1"/>
  <c r="E19426" i="1"/>
  <c r="E19425" i="1"/>
  <c r="E19424" i="1"/>
  <c r="E19423" i="1"/>
  <c r="E19422" i="1"/>
  <c r="E19421" i="1"/>
  <c r="E19420" i="1"/>
  <c r="E19419" i="1"/>
  <c r="E19418" i="1"/>
  <c r="E19417" i="1"/>
  <c r="E19416" i="1"/>
  <c r="E19415" i="1"/>
  <c r="E19414" i="1"/>
  <c r="E19413" i="1"/>
  <c r="E19412" i="1"/>
  <c r="E19411" i="1"/>
  <c r="E19410" i="1"/>
  <c r="E19409" i="1"/>
  <c r="E19408" i="1"/>
  <c r="E19407" i="1"/>
  <c r="E19406" i="1"/>
  <c r="E19405" i="1"/>
  <c r="E19404" i="1"/>
  <c r="E19403" i="1"/>
  <c r="E19402" i="1"/>
  <c r="E19401" i="1"/>
  <c r="E19400" i="1"/>
  <c r="E19399" i="1"/>
  <c r="E19398" i="1"/>
  <c r="E19397" i="1"/>
  <c r="E19396" i="1"/>
  <c r="E19395" i="1"/>
  <c r="E19394" i="1"/>
  <c r="E19393" i="1"/>
  <c r="E19392" i="1"/>
  <c r="E19391" i="1"/>
  <c r="E19390" i="1"/>
  <c r="E19389" i="1"/>
  <c r="E19388" i="1"/>
  <c r="E19387" i="1"/>
  <c r="E19386" i="1"/>
  <c r="E19385" i="1"/>
  <c r="E19384" i="1"/>
  <c r="E19383" i="1"/>
  <c r="E19382" i="1"/>
  <c r="E19381" i="1"/>
  <c r="E19380" i="1"/>
  <c r="E19379" i="1"/>
  <c r="E19378" i="1"/>
  <c r="E19377" i="1"/>
  <c r="E19376" i="1"/>
  <c r="E19375" i="1"/>
  <c r="E19374" i="1"/>
  <c r="E19373" i="1"/>
  <c r="E19372" i="1"/>
  <c r="E19371" i="1"/>
  <c r="E19370" i="1"/>
  <c r="E19369" i="1"/>
  <c r="E19368" i="1"/>
  <c r="E19367" i="1"/>
  <c r="E19366" i="1"/>
  <c r="E19365" i="1"/>
  <c r="E19364" i="1"/>
  <c r="E19363" i="1"/>
  <c r="E19362" i="1"/>
  <c r="E19361" i="1"/>
  <c r="E19360" i="1"/>
  <c r="E19359" i="1"/>
  <c r="E19358" i="1"/>
  <c r="E19357" i="1"/>
  <c r="E19356" i="1"/>
  <c r="E19355" i="1"/>
  <c r="E19354" i="1"/>
  <c r="E19353" i="1"/>
  <c r="E19352" i="1"/>
  <c r="E19351" i="1"/>
  <c r="E19350" i="1"/>
  <c r="E19349" i="1"/>
  <c r="E19348" i="1"/>
  <c r="E19347" i="1"/>
  <c r="E19346" i="1"/>
  <c r="E19345" i="1"/>
  <c r="E19344" i="1"/>
  <c r="E19343" i="1"/>
  <c r="E19342" i="1"/>
  <c r="E19341" i="1"/>
  <c r="E19340" i="1"/>
  <c r="E19339" i="1"/>
  <c r="E19338" i="1"/>
  <c r="E19337" i="1"/>
  <c r="E19336" i="1"/>
  <c r="E19335" i="1"/>
  <c r="E19334" i="1"/>
  <c r="E19333" i="1"/>
  <c r="E19332" i="1"/>
  <c r="E19331" i="1"/>
  <c r="E19330" i="1"/>
  <c r="E19329" i="1"/>
  <c r="E19328" i="1"/>
  <c r="E19327" i="1"/>
  <c r="E19326" i="1"/>
  <c r="E19325" i="1"/>
  <c r="E19324" i="1"/>
  <c r="E19323" i="1"/>
  <c r="E19322" i="1"/>
  <c r="E19321" i="1"/>
  <c r="E19320" i="1"/>
  <c r="E19319" i="1"/>
  <c r="E19318" i="1"/>
  <c r="E19317" i="1"/>
  <c r="E19316" i="1"/>
  <c r="E19315" i="1"/>
  <c r="E19314" i="1"/>
  <c r="E19313" i="1"/>
  <c r="E19312" i="1"/>
  <c r="E19311" i="1"/>
  <c r="E19310" i="1"/>
  <c r="E19309" i="1"/>
  <c r="E19308" i="1"/>
  <c r="E19307" i="1"/>
  <c r="E19306" i="1"/>
  <c r="E19305" i="1"/>
  <c r="E19304" i="1"/>
  <c r="E19303" i="1"/>
  <c r="E19302" i="1"/>
  <c r="E19301" i="1"/>
  <c r="E19300" i="1"/>
  <c r="E19299" i="1"/>
  <c r="E19298" i="1"/>
  <c r="E19297" i="1"/>
  <c r="E19296" i="1"/>
  <c r="E19295" i="1"/>
  <c r="E19294" i="1"/>
  <c r="E19293" i="1"/>
  <c r="E19292" i="1"/>
  <c r="E19291" i="1"/>
  <c r="E19290" i="1"/>
  <c r="E19289" i="1"/>
  <c r="E19288" i="1"/>
  <c r="E19287" i="1"/>
  <c r="E19286" i="1"/>
  <c r="E19285" i="1"/>
  <c r="E19284" i="1"/>
  <c r="E19283" i="1"/>
  <c r="E19282" i="1"/>
  <c r="E19281" i="1"/>
  <c r="E19280" i="1"/>
  <c r="E19279" i="1"/>
  <c r="E19278" i="1"/>
  <c r="E19277" i="1"/>
  <c r="E19276" i="1"/>
  <c r="E19275" i="1"/>
  <c r="E19274" i="1"/>
  <c r="E19273" i="1"/>
  <c r="E19272" i="1"/>
  <c r="E19271" i="1"/>
  <c r="E19270" i="1"/>
  <c r="E19269" i="1"/>
  <c r="E19268" i="1"/>
  <c r="E19267" i="1"/>
  <c r="E19266" i="1"/>
  <c r="E19265" i="1"/>
  <c r="E19264" i="1"/>
  <c r="E19263" i="1"/>
  <c r="E19262" i="1"/>
  <c r="E19261" i="1"/>
  <c r="E19260" i="1"/>
  <c r="E19259" i="1"/>
  <c r="E19258" i="1"/>
  <c r="E19257" i="1"/>
  <c r="E19256" i="1"/>
  <c r="E19255" i="1"/>
  <c r="E19254" i="1"/>
  <c r="E19253" i="1"/>
  <c r="E19252" i="1"/>
  <c r="E19251" i="1"/>
  <c r="E19250" i="1"/>
  <c r="E19249" i="1"/>
  <c r="E19248" i="1"/>
  <c r="E19247" i="1"/>
  <c r="E19246" i="1"/>
  <c r="E19245" i="1"/>
  <c r="E19244" i="1"/>
  <c r="E19243" i="1"/>
  <c r="E19242" i="1"/>
  <c r="E19241" i="1"/>
  <c r="E19240" i="1"/>
  <c r="E19239" i="1"/>
  <c r="E19238" i="1"/>
  <c r="E19237" i="1"/>
  <c r="E19236" i="1"/>
  <c r="E19235" i="1"/>
  <c r="E19234" i="1"/>
  <c r="E19233" i="1"/>
  <c r="E19232" i="1"/>
  <c r="E19231" i="1"/>
  <c r="E19230" i="1"/>
  <c r="E19229" i="1"/>
  <c r="E19228" i="1"/>
  <c r="E19227" i="1"/>
  <c r="E19226" i="1"/>
  <c r="E19225" i="1"/>
  <c r="E19224" i="1"/>
  <c r="E19223" i="1"/>
  <c r="E19222" i="1"/>
  <c r="E19221" i="1"/>
  <c r="E19220" i="1"/>
  <c r="E19219" i="1"/>
  <c r="E19218" i="1"/>
  <c r="E19217" i="1"/>
  <c r="E19216" i="1"/>
  <c r="E19215" i="1"/>
  <c r="E19214" i="1"/>
  <c r="E19213" i="1"/>
  <c r="E19212" i="1"/>
  <c r="E19211" i="1"/>
  <c r="E19210" i="1"/>
  <c r="E19209" i="1"/>
  <c r="E19208" i="1"/>
  <c r="E19207" i="1"/>
  <c r="E19206" i="1"/>
  <c r="E19205" i="1"/>
  <c r="E19204" i="1"/>
  <c r="E19203" i="1"/>
  <c r="E19202" i="1"/>
  <c r="E19201" i="1"/>
  <c r="E19200" i="1"/>
  <c r="E19199" i="1"/>
  <c r="E19198" i="1"/>
  <c r="E19197" i="1"/>
  <c r="E19196" i="1"/>
  <c r="E19195" i="1"/>
  <c r="E19194" i="1"/>
  <c r="E19193" i="1"/>
  <c r="E19192" i="1"/>
  <c r="E19191" i="1"/>
  <c r="E19190" i="1"/>
  <c r="E19189" i="1"/>
  <c r="E19188" i="1"/>
  <c r="E19187" i="1"/>
  <c r="E19186" i="1"/>
  <c r="E19185" i="1"/>
  <c r="E19184" i="1"/>
  <c r="E19183" i="1"/>
  <c r="E19182" i="1"/>
  <c r="E19181" i="1"/>
  <c r="E19180" i="1"/>
  <c r="E19179" i="1"/>
  <c r="E19178" i="1"/>
  <c r="E19177" i="1"/>
  <c r="E19176" i="1"/>
  <c r="E19175" i="1"/>
  <c r="E19174" i="1"/>
  <c r="E19173" i="1"/>
  <c r="E19172" i="1"/>
  <c r="E19171" i="1"/>
  <c r="E19170" i="1"/>
  <c r="E19169" i="1"/>
  <c r="E19168" i="1"/>
  <c r="E19167" i="1"/>
  <c r="E19166" i="1"/>
  <c r="E19165" i="1"/>
  <c r="E19164" i="1"/>
  <c r="E19163" i="1"/>
  <c r="E19162" i="1"/>
  <c r="E19161" i="1"/>
  <c r="E19160" i="1"/>
  <c r="E19159" i="1"/>
  <c r="E19158" i="1"/>
  <c r="E19157" i="1"/>
  <c r="E19156" i="1"/>
  <c r="E19155" i="1"/>
  <c r="E19154" i="1"/>
  <c r="E19153" i="1"/>
  <c r="E19152" i="1"/>
  <c r="E19151" i="1"/>
  <c r="E19150" i="1"/>
  <c r="E19149" i="1"/>
  <c r="E19148" i="1"/>
  <c r="E19147" i="1"/>
  <c r="E19146" i="1"/>
  <c r="E19145" i="1"/>
  <c r="E19144" i="1"/>
  <c r="E19143" i="1"/>
  <c r="E19142" i="1"/>
  <c r="E19141" i="1"/>
  <c r="E19140" i="1"/>
  <c r="E19139" i="1"/>
  <c r="E19138" i="1"/>
  <c r="E19137" i="1"/>
  <c r="E19136" i="1"/>
  <c r="E19135" i="1"/>
  <c r="E19134" i="1"/>
  <c r="E19133" i="1"/>
  <c r="E19132" i="1"/>
  <c r="E19131" i="1"/>
  <c r="E19130" i="1"/>
  <c r="E19129" i="1"/>
  <c r="E19128" i="1"/>
  <c r="E19127" i="1"/>
  <c r="E19126" i="1"/>
  <c r="E19125" i="1"/>
  <c r="E19124" i="1"/>
  <c r="E19123" i="1"/>
  <c r="E19122" i="1"/>
  <c r="E19121" i="1"/>
  <c r="E19120" i="1"/>
  <c r="E19119" i="1"/>
  <c r="E19118" i="1"/>
  <c r="E19117" i="1"/>
  <c r="E19116" i="1"/>
  <c r="E19115" i="1"/>
  <c r="E19114" i="1"/>
  <c r="E19113" i="1"/>
  <c r="E19112" i="1"/>
  <c r="E19111" i="1"/>
  <c r="E19110" i="1"/>
  <c r="E19109" i="1"/>
  <c r="E19108" i="1"/>
  <c r="E19107" i="1"/>
  <c r="E19106" i="1"/>
  <c r="E19105" i="1"/>
  <c r="E19104" i="1"/>
  <c r="E19103" i="1"/>
  <c r="E19102" i="1"/>
  <c r="E19101" i="1"/>
  <c r="E19100" i="1"/>
  <c r="E19099" i="1"/>
  <c r="E19098" i="1"/>
  <c r="E19097" i="1"/>
  <c r="E19096" i="1"/>
  <c r="E19095" i="1"/>
  <c r="E19094" i="1"/>
  <c r="E19093" i="1"/>
  <c r="E19092" i="1"/>
  <c r="E19091" i="1"/>
  <c r="E19090" i="1"/>
  <c r="E19089" i="1"/>
  <c r="E19088" i="1"/>
  <c r="E19087" i="1"/>
  <c r="E19086" i="1"/>
  <c r="E19085" i="1"/>
  <c r="E19084" i="1"/>
  <c r="E19083" i="1"/>
  <c r="E19082" i="1"/>
  <c r="E19081" i="1"/>
  <c r="E19080" i="1"/>
  <c r="E19079" i="1"/>
  <c r="E19078" i="1"/>
  <c r="E19077" i="1"/>
  <c r="E19076" i="1"/>
  <c r="E19075" i="1"/>
  <c r="E19074" i="1"/>
  <c r="E19073" i="1"/>
  <c r="E19072" i="1"/>
  <c r="E19071" i="1"/>
  <c r="E19070" i="1"/>
  <c r="E19069" i="1"/>
  <c r="E19068" i="1"/>
  <c r="E19067" i="1"/>
  <c r="E19066" i="1"/>
  <c r="E19065" i="1"/>
  <c r="E19064" i="1"/>
  <c r="E19063" i="1"/>
  <c r="E19062" i="1"/>
  <c r="E19061" i="1"/>
  <c r="E19060" i="1"/>
  <c r="E19059" i="1"/>
  <c r="E19058" i="1"/>
  <c r="E19057" i="1"/>
  <c r="E19056" i="1"/>
  <c r="E19055" i="1"/>
  <c r="E19054" i="1"/>
  <c r="E19053" i="1"/>
  <c r="E19052" i="1"/>
  <c r="E19051" i="1"/>
  <c r="E19050" i="1"/>
  <c r="E19049" i="1"/>
  <c r="E19048" i="1"/>
  <c r="E19047" i="1"/>
  <c r="E19046" i="1"/>
  <c r="E19045" i="1"/>
  <c r="E19044" i="1"/>
  <c r="E19043" i="1"/>
  <c r="E19042" i="1"/>
  <c r="E19041" i="1"/>
  <c r="E19040" i="1"/>
  <c r="E19039" i="1"/>
  <c r="E19038" i="1"/>
  <c r="E19037" i="1"/>
  <c r="E19036" i="1"/>
  <c r="E19035" i="1"/>
  <c r="E19034" i="1"/>
  <c r="E19033" i="1"/>
  <c r="E19032" i="1"/>
  <c r="E19031" i="1"/>
  <c r="E19030" i="1"/>
  <c r="E19029" i="1"/>
  <c r="E19028" i="1"/>
  <c r="E19027" i="1"/>
  <c r="E19026" i="1"/>
  <c r="E19025" i="1"/>
  <c r="E19024" i="1"/>
  <c r="E19023" i="1"/>
  <c r="E19022" i="1"/>
  <c r="E19021" i="1"/>
  <c r="E19020" i="1"/>
  <c r="E19019" i="1"/>
  <c r="E19018" i="1"/>
  <c r="E19017" i="1"/>
  <c r="E19016" i="1"/>
  <c r="E19015" i="1"/>
  <c r="E19014" i="1"/>
  <c r="E19013" i="1"/>
  <c r="E19012" i="1"/>
  <c r="E19011" i="1"/>
  <c r="E19010" i="1"/>
  <c r="E19009" i="1"/>
  <c r="E19008" i="1"/>
  <c r="E19007" i="1"/>
  <c r="E19006" i="1"/>
  <c r="E19005" i="1"/>
  <c r="E19004" i="1"/>
  <c r="E19003" i="1"/>
  <c r="E19002" i="1"/>
  <c r="E19001" i="1"/>
  <c r="E19000" i="1"/>
  <c r="E18999" i="1"/>
  <c r="E18998" i="1"/>
  <c r="E18997" i="1"/>
  <c r="E18996" i="1"/>
  <c r="E18995" i="1"/>
  <c r="E18994" i="1"/>
  <c r="E18993" i="1"/>
  <c r="E18992" i="1"/>
  <c r="E18991" i="1"/>
  <c r="E18990" i="1"/>
  <c r="E18989" i="1"/>
  <c r="E18988" i="1"/>
  <c r="E18987" i="1"/>
  <c r="E18986" i="1"/>
  <c r="E18985" i="1"/>
  <c r="E18984" i="1"/>
  <c r="E18983" i="1"/>
  <c r="E18982" i="1"/>
  <c r="E18981" i="1"/>
  <c r="E18980" i="1"/>
  <c r="E18979" i="1"/>
  <c r="E18978" i="1"/>
  <c r="E18977" i="1"/>
  <c r="E18976" i="1"/>
  <c r="E18975" i="1"/>
  <c r="E18974" i="1"/>
  <c r="E18973" i="1"/>
  <c r="E18972" i="1"/>
  <c r="E18971" i="1"/>
  <c r="E18970" i="1"/>
  <c r="E18969" i="1"/>
  <c r="E18968" i="1"/>
  <c r="E18967" i="1"/>
  <c r="E18966" i="1"/>
  <c r="E18965" i="1"/>
  <c r="E18964" i="1"/>
  <c r="E18963" i="1"/>
  <c r="E18962" i="1"/>
  <c r="E18961" i="1"/>
  <c r="E18960" i="1"/>
  <c r="E18959" i="1"/>
  <c r="E18958" i="1"/>
  <c r="E18957" i="1"/>
  <c r="E18956" i="1"/>
  <c r="E18955" i="1"/>
  <c r="E18954" i="1"/>
  <c r="E18953" i="1"/>
  <c r="E18952" i="1"/>
  <c r="E18951" i="1"/>
  <c r="E18950" i="1"/>
  <c r="E18949" i="1"/>
  <c r="E18948" i="1"/>
  <c r="E18947" i="1"/>
  <c r="E18946" i="1"/>
  <c r="E18945" i="1"/>
  <c r="E18944" i="1"/>
  <c r="E18943" i="1"/>
  <c r="E18942" i="1"/>
  <c r="E18941" i="1"/>
  <c r="E18940" i="1"/>
  <c r="E18939" i="1"/>
  <c r="E18938" i="1"/>
  <c r="E18937" i="1"/>
  <c r="E18936" i="1"/>
  <c r="E18935" i="1"/>
  <c r="E18934" i="1"/>
  <c r="E18933" i="1"/>
  <c r="E18932" i="1"/>
  <c r="E18931" i="1"/>
  <c r="E18930" i="1"/>
  <c r="E18929" i="1"/>
  <c r="E18928" i="1"/>
  <c r="E18927" i="1"/>
  <c r="E18926" i="1"/>
  <c r="E18925" i="1"/>
  <c r="E18924" i="1"/>
  <c r="E18923" i="1"/>
  <c r="E18922" i="1"/>
  <c r="E18921" i="1"/>
  <c r="E18920" i="1"/>
  <c r="E18919" i="1"/>
  <c r="E18918" i="1"/>
  <c r="E18917" i="1"/>
  <c r="E18916" i="1"/>
  <c r="E18915" i="1"/>
  <c r="E18914" i="1"/>
  <c r="E18913" i="1"/>
  <c r="E18912" i="1"/>
  <c r="E18911" i="1"/>
  <c r="E18910" i="1"/>
  <c r="E18909" i="1"/>
  <c r="E18908" i="1"/>
  <c r="E18907" i="1"/>
  <c r="E18906" i="1"/>
  <c r="E18905" i="1"/>
  <c r="E18904" i="1"/>
  <c r="E18903" i="1"/>
  <c r="E18902" i="1"/>
  <c r="E18901" i="1"/>
  <c r="E18900" i="1"/>
  <c r="E18899" i="1"/>
  <c r="E18898" i="1"/>
  <c r="E18897" i="1"/>
  <c r="E18896" i="1"/>
  <c r="E18895" i="1"/>
  <c r="E18894" i="1"/>
  <c r="E18893" i="1"/>
  <c r="E18892" i="1"/>
  <c r="E18891" i="1"/>
  <c r="E18890" i="1"/>
  <c r="E18889" i="1"/>
  <c r="E18888" i="1"/>
  <c r="E18887" i="1"/>
  <c r="E18886" i="1"/>
  <c r="E18885" i="1"/>
  <c r="E18884" i="1"/>
  <c r="E18883" i="1"/>
  <c r="E18882" i="1"/>
  <c r="E18881" i="1"/>
  <c r="E18880" i="1"/>
  <c r="E18879" i="1"/>
  <c r="E18878" i="1"/>
  <c r="E18877" i="1"/>
  <c r="E18876" i="1"/>
  <c r="E18875" i="1"/>
  <c r="E18874" i="1"/>
  <c r="E18873" i="1"/>
  <c r="E18872" i="1"/>
  <c r="E18871" i="1"/>
  <c r="E18870" i="1"/>
  <c r="E18869" i="1"/>
  <c r="E18868" i="1"/>
  <c r="E18867" i="1"/>
  <c r="E18866" i="1"/>
  <c r="E18865" i="1"/>
  <c r="E18864" i="1"/>
  <c r="E18863" i="1"/>
  <c r="E18862" i="1"/>
  <c r="E18861" i="1"/>
  <c r="E18860" i="1"/>
  <c r="E18859" i="1"/>
  <c r="E18858" i="1"/>
  <c r="E18857" i="1"/>
  <c r="E18856" i="1"/>
  <c r="E18855" i="1"/>
  <c r="E18854" i="1"/>
  <c r="E18853" i="1"/>
  <c r="E18852" i="1"/>
  <c r="E18851" i="1"/>
  <c r="E18850" i="1"/>
  <c r="E18849" i="1"/>
  <c r="E18848" i="1"/>
  <c r="E18847" i="1"/>
  <c r="E18846" i="1"/>
  <c r="E18845" i="1"/>
  <c r="E18844" i="1"/>
  <c r="E18843" i="1"/>
  <c r="E18842" i="1"/>
  <c r="E18841" i="1"/>
  <c r="E18840" i="1"/>
  <c r="E18839" i="1"/>
  <c r="E18838" i="1"/>
  <c r="E18837" i="1"/>
  <c r="E18836" i="1"/>
  <c r="E18835" i="1"/>
  <c r="E18834" i="1"/>
  <c r="E18833" i="1"/>
  <c r="E18832" i="1"/>
  <c r="E18831" i="1"/>
  <c r="E18830" i="1"/>
  <c r="E18829" i="1"/>
  <c r="E18828" i="1"/>
  <c r="E18827" i="1"/>
  <c r="E18826" i="1"/>
  <c r="E18825" i="1"/>
  <c r="E18824" i="1"/>
  <c r="E18823" i="1"/>
  <c r="E18822" i="1"/>
  <c r="E18821" i="1"/>
  <c r="E18820" i="1"/>
  <c r="E18819" i="1"/>
  <c r="E18818" i="1"/>
  <c r="E18817" i="1"/>
  <c r="E18816" i="1"/>
  <c r="E18815" i="1"/>
  <c r="E18814" i="1"/>
  <c r="E18813" i="1"/>
  <c r="E18812" i="1"/>
  <c r="E18811" i="1"/>
  <c r="E18810" i="1"/>
  <c r="E18809" i="1"/>
  <c r="E18808" i="1"/>
  <c r="E18807" i="1"/>
  <c r="E18806" i="1"/>
  <c r="E18805" i="1"/>
  <c r="E18804" i="1"/>
  <c r="E18803" i="1"/>
  <c r="E18802" i="1"/>
  <c r="E18801" i="1"/>
  <c r="E18800" i="1"/>
  <c r="E18799" i="1"/>
  <c r="E18798" i="1"/>
  <c r="E18797" i="1"/>
  <c r="E18796" i="1"/>
  <c r="E18795" i="1"/>
  <c r="E18794" i="1"/>
  <c r="E18793" i="1"/>
  <c r="E18792" i="1"/>
  <c r="E18791" i="1"/>
  <c r="E18790" i="1"/>
  <c r="E18789" i="1"/>
  <c r="E18788" i="1"/>
  <c r="E18787" i="1"/>
  <c r="E18786" i="1"/>
  <c r="E18785" i="1"/>
  <c r="E18784" i="1"/>
  <c r="E18783" i="1"/>
  <c r="E18782" i="1"/>
  <c r="E18781" i="1"/>
  <c r="E18780" i="1"/>
  <c r="E18779" i="1"/>
  <c r="E18778" i="1"/>
  <c r="E18777" i="1"/>
  <c r="E18776" i="1"/>
  <c r="E18775" i="1"/>
  <c r="E18774" i="1"/>
  <c r="E18773" i="1"/>
  <c r="E18772" i="1"/>
  <c r="E18771" i="1"/>
  <c r="E18770" i="1"/>
  <c r="E18769" i="1"/>
  <c r="E18768" i="1"/>
  <c r="E18767" i="1"/>
  <c r="E18766" i="1"/>
  <c r="E18765" i="1"/>
  <c r="E18764" i="1"/>
  <c r="E18763" i="1"/>
  <c r="E18762" i="1"/>
  <c r="E18761" i="1"/>
  <c r="E18760" i="1"/>
  <c r="E18759" i="1"/>
  <c r="E18758" i="1"/>
  <c r="E18757" i="1"/>
  <c r="E18756" i="1"/>
  <c r="E18755" i="1"/>
  <c r="E18754" i="1"/>
  <c r="E18753" i="1"/>
  <c r="E18752" i="1"/>
  <c r="E18751" i="1"/>
  <c r="E18750" i="1"/>
  <c r="E18749" i="1"/>
  <c r="E18748" i="1"/>
  <c r="E18747" i="1"/>
  <c r="E18746" i="1"/>
  <c r="E18745" i="1"/>
  <c r="E18744" i="1"/>
  <c r="E18743" i="1"/>
  <c r="E18742" i="1"/>
  <c r="E18741" i="1"/>
  <c r="E18740" i="1"/>
  <c r="E18739" i="1"/>
  <c r="E18738" i="1"/>
  <c r="E18737" i="1"/>
  <c r="E18736" i="1"/>
  <c r="E18735" i="1"/>
  <c r="E18734" i="1"/>
  <c r="E18733" i="1"/>
  <c r="E18732" i="1"/>
  <c r="E18731" i="1"/>
  <c r="E18730" i="1"/>
  <c r="E18729" i="1"/>
  <c r="E18728" i="1"/>
  <c r="E18727" i="1"/>
  <c r="E18726" i="1"/>
  <c r="E18725" i="1"/>
  <c r="E18724" i="1"/>
  <c r="E18723" i="1"/>
  <c r="E18722" i="1"/>
  <c r="E18721" i="1"/>
  <c r="E18720" i="1"/>
  <c r="E18719" i="1"/>
  <c r="E18718" i="1"/>
  <c r="E18717" i="1"/>
  <c r="E18716" i="1"/>
  <c r="E18715" i="1"/>
  <c r="E18714" i="1"/>
  <c r="E18713" i="1"/>
  <c r="E18712" i="1"/>
  <c r="E18711" i="1"/>
  <c r="E18710" i="1"/>
  <c r="E18709" i="1"/>
  <c r="E18708" i="1"/>
  <c r="E18707" i="1"/>
  <c r="E18706" i="1"/>
  <c r="E18705" i="1"/>
  <c r="E18704" i="1"/>
  <c r="E18703" i="1"/>
  <c r="E18702" i="1"/>
  <c r="E18701" i="1"/>
  <c r="E18700" i="1"/>
  <c r="E18699" i="1"/>
  <c r="E18698" i="1"/>
  <c r="E18697" i="1"/>
  <c r="E18696" i="1"/>
  <c r="E18695" i="1"/>
  <c r="E18694" i="1"/>
  <c r="E18693" i="1"/>
  <c r="E18692" i="1"/>
  <c r="E18691" i="1"/>
  <c r="E18690" i="1"/>
  <c r="E18689" i="1"/>
  <c r="E18688" i="1"/>
  <c r="E18687" i="1"/>
  <c r="E18686" i="1"/>
  <c r="E18685" i="1"/>
  <c r="E18684" i="1"/>
  <c r="E18683" i="1"/>
  <c r="E18682" i="1"/>
  <c r="E18681" i="1"/>
  <c r="E18680" i="1"/>
  <c r="E18679" i="1"/>
  <c r="E18678" i="1"/>
  <c r="E18677" i="1"/>
  <c r="E18676" i="1"/>
  <c r="E18675" i="1"/>
  <c r="E18674" i="1"/>
  <c r="E18673" i="1"/>
  <c r="E18672" i="1"/>
  <c r="E18671" i="1"/>
  <c r="E18670" i="1"/>
  <c r="E18669" i="1"/>
  <c r="E18668" i="1"/>
  <c r="E18667" i="1"/>
  <c r="E18666" i="1"/>
  <c r="E18665" i="1"/>
  <c r="E18664" i="1"/>
  <c r="E18663" i="1"/>
  <c r="E18662" i="1"/>
  <c r="E18661" i="1"/>
  <c r="E18660" i="1"/>
  <c r="E18659" i="1"/>
  <c r="E18658" i="1"/>
  <c r="E18657" i="1"/>
  <c r="E18656" i="1"/>
  <c r="E18655" i="1"/>
  <c r="E18654" i="1"/>
  <c r="E18653" i="1"/>
  <c r="E18652" i="1"/>
  <c r="E18651" i="1"/>
  <c r="E18650" i="1"/>
  <c r="E18649" i="1"/>
  <c r="E18648" i="1"/>
  <c r="E18647" i="1"/>
  <c r="E18646" i="1"/>
  <c r="E18645" i="1"/>
  <c r="E18644" i="1"/>
  <c r="E18643" i="1"/>
  <c r="E18642" i="1"/>
  <c r="E18641" i="1"/>
  <c r="E18640" i="1"/>
  <c r="E18639" i="1"/>
  <c r="E18638" i="1"/>
  <c r="E18637" i="1"/>
  <c r="E18636" i="1"/>
  <c r="E18635" i="1"/>
  <c r="E18634" i="1"/>
  <c r="E18633" i="1"/>
  <c r="E18632" i="1"/>
  <c r="E18631" i="1"/>
  <c r="E18630" i="1"/>
  <c r="E18629" i="1"/>
  <c r="E18628" i="1"/>
  <c r="E18627" i="1"/>
  <c r="E18626" i="1"/>
  <c r="E18625" i="1"/>
  <c r="E18624" i="1"/>
  <c r="E18623" i="1"/>
  <c r="E18622" i="1"/>
  <c r="E18621" i="1"/>
  <c r="E18620" i="1"/>
  <c r="E18619" i="1"/>
  <c r="E18618" i="1"/>
  <c r="E18617" i="1"/>
  <c r="E18616" i="1"/>
  <c r="E18615" i="1"/>
  <c r="E18614" i="1"/>
  <c r="E18613" i="1"/>
  <c r="E18612" i="1"/>
  <c r="E18611" i="1"/>
  <c r="E18610" i="1"/>
  <c r="E18609" i="1"/>
  <c r="E18608" i="1"/>
  <c r="E18607" i="1"/>
  <c r="E18606" i="1"/>
  <c r="E18605" i="1"/>
  <c r="E18604" i="1"/>
  <c r="E18603" i="1"/>
  <c r="E18602" i="1"/>
  <c r="E18601" i="1"/>
  <c r="E18600" i="1"/>
  <c r="E18599" i="1"/>
  <c r="E18598" i="1"/>
  <c r="E18597" i="1"/>
  <c r="E18596" i="1"/>
  <c r="E18595" i="1"/>
  <c r="E18594" i="1"/>
  <c r="E18593" i="1"/>
  <c r="E18592" i="1"/>
  <c r="E18591" i="1"/>
  <c r="E18590" i="1"/>
  <c r="E18589" i="1"/>
  <c r="E18588" i="1"/>
  <c r="E18587" i="1"/>
  <c r="E18586" i="1"/>
  <c r="E18585" i="1"/>
  <c r="E18584" i="1"/>
  <c r="E18583" i="1"/>
  <c r="E18582" i="1"/>
  <c r="E18581" i="1"/>
  <c r="E18580" i="1"/>
  <c r="E18579" i="1"/>
  <c r="E18578" i="1"/>
  <c r="E18577" i="1"/>
  <c r="E18576" i="1"/>
  <c r="E18575" i="1"/>
  <c r="E18574" i="1"/>
  <c r="E18573" i="1"/>
  <c r="E18572" i="1"/>
  <c r="E18571" i="1"/>
  <c r="E18570" i="1"/>
  <c r="E18569" i="1"/>
  <c r="E18568" i="1"/>
  <c r="E18567" i="1"/>
  <c r="E18566" i="1"/>
  <c r="E18565" i="1"/>
  <c r="E18564" i="1"/>
  <c r="E18563" i="1"/>
  <c r="E18562" i="1"/>
  <c r="E18561" i="1"/>
  <c r="E18560" i="1"/>
  <c r="E18559" i="1"/>
  <c r="E18558" i="1"/>
  <c r="E18557" i="1"/>
  <c r="E18556" i="1"/>
  <c r="E18555" i="1"/>
  <c r="E18554" i="1"/>
  <c r="E18553" i="1"/>
  <c r="E18552" i="1"/>
  <c r="E18551" i="1"/>
  <c r="E18550" i="1"/>
  <c r="E18549" i="1"/>
  <c r="E18548" i="1"/>
  <c r="E18547" i="1"/>
  <c r="E18546" i="1"/>
  <c r="E18545" i="1"/>
  <c r="E18544" i="1"/>
  <c r="E18543" i="1"/>
  <c r="E18542" i="1"/>
  <c r="E18541" i="1"/>
  <c r="E18540" i="1"/>
  <c r="E18539" i="1"/>
  <c r="E18538" i="1"/>
  <c r="E18537" i="1"/>
  <c r="E18536" i="1"/>
  <c r="E18535" i="1"/>
  <c r="E18534" i="1"/>
  <c r="E18533" i="1"/>
  <c r="E18532" i="1"/>
  <c r="E18531" i="1"/>
  <c r="E18530" i="1"/>
  <c r="E18529" i="1"/>
  <c r="E18528" i="1"/>
  <c r="E18527" i="1"/>
  <c r="E18526" i="1"/>
  <c r="E18525" i="1"/>
  <c r="E18524" i="1"/>
  <c r="E18523" i="1"/>
  <c r="E18522" i="1"/>
  <c r="E18521" i="1"/>
  <c r="E18520" i="1"/>
  <c r="E18519" i="1"/>
  <c r="E18518" i="1"/>
  <c r="E18517" i="1"/>
  <c r="E18516" i="1"/>
  <c r="E18515" i="1"/>
  <c r="E18514" i="1"/>
  <c r="E18513" i="1"/>
  <c r="E18512" i="1"/>
  <c r="E18511" i="1"/>
  <c r="E18510" i="1"/>
  <c r="E18509" i="1"/>
  <c r="E18508" i="1"/>
  <c r="E18507" i="1"/>
  <c r="E18506" i="1"/>
  <c r="E18505" i="1"/>
  <c r="E18504" i="1"/>
  <c r="E18503" i="1"/>
  <c r="E18502" i="1"/>
  <c r="E18501" i="1"/>
  <c r="E18500" i="1"/>
  <c r="E18499" i="1"/>
  <c r="E18498" i="1"/>
  <c r="E18497" i="1"/>
  <c r="E18496" i="1"/>
  <c r="E18495" i="1"/>
  <c r="E18494" i="1"/>
  <c r="E18493" i="1"/>
  <c r="E18492" i="1"/>
  <c r="E18491" i="1"/>
  <c r="E18490" i="1"/>
  <c r="E18489" i="1"/>
  <c r="E18488" i="1"/>
  <c r="E18487" i="1"/>
  <c r="E18486" i="1"/>
  <c r="E18485" i="1"/>
  <c r="E18484" i="1"/>
  <c r="E18483" i="1"/>
  <c r="E18482" i="1"/>
  <c r="E18481" i="1"/>
  <c r="E18480" i="1"/>
  <c r="E18479" i="1"/>
  <c r="E18478" i="1"/>
  <c r="E18477" i="1"/>
  <c r="E18476" i="1"/>
  <c r="E18475" i="1"/>
  <c r="E18474" i="1"/>
  <c r="E18473" i="1"/>
  <c r="E18472" i="1"/>
  <c r="E18471" i="1"/>
  <c r="E18470" i="1"/>
  <c r="E18469" i="1"/>
  <c r="E18468" i="1"/>
  <c r="E18467" i="1"/>
  <c r="E18466" i="1"/>
  <c r="E18465" i="1"/>
  <c r="E18464" i="1"/>
  <c r="E18463" i="1"/>
  <c r="E18462" i="1"/>
  <c r="E18461" i="1"/>
  <c r="E18460" i="1"/>
  <c r="E18459" i="1"/>
  <c r="E18458" i="1"/>
  <c r="E18457" i="1"/>
  <c r="E18456" i="1"/>
  <c r="E18455" i="1"/>
  <c r="E18454" i="1"/>
  <c r="E18453" i="1"/>
  <c r="E18452" i="1"/>
  <c r="E18451" i="1"/>
  <c r="E18450" i="1"/>
  <c r="E18449" i="1"/>
  <c r="E18448" i="1"/>
  <c r="E18447" i="1"/>
  <c r="E18446" i="1"/>
  <c r="E18445" i="1"/>
  <c r="E18444" i="1"/>
  <c r="E18443" i="1"/>
  <c r="E18442" i="1"/>
  <c r="E18441" i="1"/>
  <c r="E18440" i="1"/>
  <c r="E18439" i="1"/>
  <c r="E18438" i="1"/>
  <c r="E18437" i="1"/>
  <c r="E18436" i="1"/>
  <c r="E18435" i="1"/>
  <c r="E18434" i="1"/>
  <c r="E18433" i="1"/>
  <c r="E18432" i="1"/>
  <c r="E18431" i="1"/>
  <c r="E18430" i="1"/>
  <c r="E18429" i="1"/>
  <c r="E18428" i="1"/>
  <c r="E18427" i="1"/>
  <c r="E18426" i="1"/>
  <c r="E18425" i="1"/>
  <c r="E18424" i="1"/>
  <c r="E18423" i="1"/>
  <c r="E18422" i="1"/>
  <c r="E18421" i="1"/>
  <c r="E18420" i="1"/>
  <c r="E18419" i="1"/>
  <c r="E18418" i="1"/>
  <c r="E18417" i="1"/>
  <c r="E18416" i="1"/>
  <c r="E18415" i="1"/>
  <c r="E18414" i="1"/>
  <c r="E18413" i="1"/>
  <c r="E18412" i="1"/>
  <c r="E18411" i="1"/>
  <c r="E18410" i="1"/>
  <c r="E18409" i="1"/>
  <c r="E18408" i="1"/>
  <c r="E18407" i="1"/>
  <c r="E18406" i="1"/>
  <c r="E18405" i="1"/>
  <c r="E18404" i="1"/>
  <c r="E18403" i="1"/>
  <c r="E18402" i="1"/>
  <c r="E18401" i="1"/>
  <c r="E18400" i="1"/>
  <c r="E18399" i="1"/>
  <c r="E18398" i="1"/>
  <c r="E18397" i="1"/>
  <c r="E18396" i="1"/>
  <c r="E18395" i="1"/>
  <c r="E18394" i="1"/>
  <c r="E18393" i="1"/>
  <c r="E18392" i="1"/>
  <c r="E18391" i="1"/>
  <c r="E18390" i="1"/>
  <c r="E18389" i="1"/>
  <c r="E18388" i="1"/>
  <c r="E18387" i="1"/>
  <c r="E18386" i="1"/>
  <c r="E18385" i="1"/>
  <c r="E18384" i="1"/>
  <c r="E18383" i="1"/>
  <c r="E18382" i="1"/>
  <c r="E18381" i="1"/>
  <c r="E18380" i="1"/>
  <c r="E18379" i="1"/>
  <c r="E18378" i="1"/>
  <c r="E18377" i="1"/>
  <c r="E18376" i="1"/>
  <c r="E18375" i="1"/>
  <c r="E18374" i="1"/>
  <c r="E18373" i="1"/>
  <c r="E18372" i="1"/>
  <c r="E18371" i="1"/>
  <c r="E18370" i="1"/>
  <c r="E18369" i="1"/>
  <c r="E18368" i="1"/>
  <c r="E18367" i="1"/>
  <c r="E18366" i="1"/>
  <c r="E18365" i="1"/>
  <c r="E18364" i="1"/>
  <c r="E18363" i="1"/>
  <c r="E18362" i="1"/>
  <c r="E18361" i="1"/>
  <c r="E18360" i="1"/>
  <c r="E18359" i="1"/>
  <c r="E18358" i="1"/>
  <c r="E18357" i="1"/>
  <c r="E18356" i="1"/>
  <c r="E18355" i="1"/>
  <c r="E18354" i="1"/>
  <c r="E18353" i="1"/>
  <c r="E18352" i="1"/>
  <c r="E18351" i="1"/>
  <c r="E18350" i="1"/>
  <c r="E18349" i="1"/>
  <c r="E18348" i="1"/>
  <c r="E18347" i="1"/>
  <c r="E18346" i="1"/>
  <c r="E18345" i="1"/>
  <c r="E18344" i="1"/>
  <c r="E18343" i="1"/>
  <c r="E18342" i="1"/>
  <c r="E18341" i="1"/>
  <c r="E18340" i="1"/>
  <c r="E18339" i="1"/>
  <c r="E18338" i="1"/>
  <c r="E18337" i="1"/>
  <c r="E18336" i="1"/>
  <c r="E18335" i="1"/>
  <c r="E18334" i="1"/>
  <c r="E18333" i="1"/>
  <c r="E18332" i="1"/>
  <c r="E18331" i="1"/>
  <c r="E18330" i="1"/>
  <c r="E18329" i="1"/>
  <c r="E18328" i="1"/>
  <c r="E18327" i="1"/>
  <c r="E18326" i="1"/>
  <c r="E18325" i="1"/>
  <c r="E18324" i="1"/>
  <c r="E18323" i="1"/>
  <c r="E18322" i="1"/>
  <c r="E18321" i="1"/>
  <c r="E18320" i="1"/>
  <c r="E18319" i="1"/>
  <c r="E18318" i="1"/>
  <c r="E18317" i="1"/>
  <c r="E18316" i="1"/>
  <c r="E18315" i="1"/>
  <c r="E18314" i="1"/>
  <c r="E18313" i="1"/>
  <c r="E18312" i="1"/>
  <c r="E18311" i="1"/>
  <c r="E18310" i="1"/>
  <c r="E18309" i="1"/>
  <c r="E18308" i="1"/>
  <c r="E18307" i="1"/>
  <c r="E18306" i="1"/>
  <c r="E18305" i="1"/>
  <c r="E18304" i="1"/>
  <c r="E18303" i="1"/>
  <c r="E18302" i="1"/>
  <c r="E18301" i="1"/>
  <c r="E18300" i="1"/>
  <c r="E18299" i="1"/>
  <c r="E18298" i="1"/>
  <c r="E18297" i="1"/>
  <c r="E18296" i="1"/>
  <c r="E18295" i="1"/>
  <c r="E18294" i="1"/>
  <c r="E18293" i="1"/>
  <c r="E18292" i="1"/>
  <c r="E18291" i="1"/>
  <c r="E18290" i="1"/>
  <c r="E18289" i="1"/>
  <c r="E18288" i="1"/>
  <c r="E18287" i="1"/>
  <c r="E18286" i="1"/>
  <c r="E18285" i="1"/>
  <c r="E18284" i="1"/>
  <c r="E18283" i="1"/>
  <c r="E18282" i="1"/>
  <c r="E18281" i="1"/>
  <c r="E18280" i="1"/>
  <c r="E18279" i="1"/>
  <c r="E18278" i="1"/>
  <c r="E18277" i="1"/>
  <c r="E18276" i="1"/>
  <c r="E18275" i="1"/>
  <c r="E18274" i="1"/>
  <c r="E18273" i="1"/>
  <c r="E18272" i="1"/>
  <c r="E18271" i="1"/>
  <c r="E18270" i="1"/>
  <c r="E18269" i="1"/>
  <c r="E18268" i="1"/>
  <c r="E18267" i="1"/>
  <c r="E18266" i="1"/>
  <c r="E18265" i="1"/>
  <c r="E18264" i="1"/>
  <c r="E18263" i="1"/>
  <c r="E18262" i="1"/>
  <c r="E18261" i="1"/>
  <c r="E18260" i="1"/>
  <c r="E18259" i="1"/>
  <c r="E18258" i="1"/>
  <c r="E18257" i="1"/>
  <c r="E18256" i="1"/>
  <c r="E18255" i="1"/>
  <c r="E18254" i="1"/>
  <c r="E18253" i="1"/>
  <c r="E18252" i="1"/>
  <c r="E18251" i="1"/>
  <c r="E18250" i="1"/>
  <c r="E18249" i="1"/>
  <c r="E18248" i="1"/>
  <c r="E18247" i="1"/>
  <c r="E18246" i="1"/>
  <c r="E18245" i="1"/>
  <c r="E18244" i="1"/>
  <c r="E18243" i="1"/>
  <c r="E18242" i="1"/>
  <c r="E18241" i="1"/>
  <c r="E18240" i="1"/>
  <c r="E18239" i="1"/>
  <c r="E18238" i="1"/>
  <c r="E18237" i="1"/>
  <c r="E18236" i="1"/>
  <c r="E18235" i="1"/>
  <c r="E18234" i="1"/>
  <c r="E18233" i="1"/>
  <c r="E18232" i="1"/>
  <c r="E18231" i="1"/>
  <c r="E18230" i="1"/>
  <c r="E18229" i="1"/>
  <c r="E18228" i="1"/>
  <c r="E18227" i="1"/>
  <c r="E18226" i="1"/>
  <c r="E18225" i="1"/>
  <c r="E18224" i="1"/>
  <c r="E18223" i="1"/>
  <c r="E18222" i="1"/>
  <c r="E18221" i="1"/>
  <c r="E18220" i="1"/>
  <c r="E18219" i="1"/>
  <c r="E18218" i="1"/>
  <c r="E18217" i="1"/>
  <c r="E18216" i="1"/>
  <c r="E18215" i="1"/>
  <c r="E18214" i="1"/>
  <c r="E18213" i="1"/>
  <c r="E18212" i="1"/>
  <c r="E18211" i="1"/>
  <c r="E18210" i="1"/>
  <c r="E18209" i="1"/>
  <c r="E18208" i="1"/>
  <c r="E18207" i="1"/>
  <c r="E18206" i="1"/>
  <c r="E18205" i="1"/>
  <c r="E18204" i="1"/>
  <c r="E18203" i="1"/>
  <c r="E18202" i="1"/>
  <c r="E18201" i="1"/>
  <c r="E18200" i="1"/>
  <c r="E18199" i="1"/>
  <c r="E18198" i="1"/>
  <c r="E18197" i="1"/>
  <c r="E18196" i="1"/>
  <c r="E18195" i="1"/>
  <c r="E18194" i="1"/>
  <c r="E18193" i="1"/>
  <c r="E18192" i="1"/>
  <c r="E18191" i="1"/>
  <c r="E18190" i="1"/>
  <c r="E18189" i="1"/>
  <c r="E18188" i="1"/>
  <c r="E18187" i="1"/>
  <c r="E18186" i="1"/>
  <c r="E18185" i="1"/>
  <c r="E18184" i="1"/>
  <c r="E18183" i="1"/>
  <c r="E18182" i="1"/>
  <c r="E18181" i="1"/>
  <c r="E18180" i="1"/>
  <c r="E18179" i="1"/>
  <c r="E18178" i="1"/>
  <c r="E18177" i="1"/>
  <c r="E18176" i="1"/>
  <c r="E18175" i="1"/>
  <c r="E18174" i="1"/>
  <c r="E18173" i="1"/>
  <c r="E18172" i="1"/>
  <c r="E18171" i="1"/>
  <c r="E18170" i="1"/>
  <c r="E18169" i="1"/>
  <c r="E18168" i="1"/>
  <c r="E18167" i="1"/>
  <c r="E18166" i="1"/>
  <c r="E18165" i="1"/>
  <c r="E18164" i="1"/>
  <c r="E18163" i="1"/>
  <c r="E18162" i="1"/>
  <c r="E18161" i="1"/>
  <c r="E18160" i="1"/>
  <c r="E18159" i="1"/>
  <c r="E18158" i="1"/>
  <c r="E18157" i="1"/>
  <c r="E18156" i="1"/>
  <c r="E18155" i="1"/>
  <c r="E18154" i="1"/>
  <c r="E18153" i="1"/>
  <c r="E18152" i="1"/>
  <c r="E18151" i="1"/>
  <c r="E18150" i="1"/>
  <c r="E18149" i="1"/>
  <c r="E18148" i="1"/>
  <c r="E18147" i="1"/>
  <c r="E18146" i="1"/>
  <c r="E18145" i="1"/>
  <c r="E18144" i="1"/>
  <c r="E18143" i="1"/>
  <c r="E18142" i="1"/>
  <c r="E18141" i="1"/>
  <c r="E18140" i="1"/>
  <c r="E18139" i="1"/>
  <c r="E18138" i="1"/>
  <c r="E18137" i="1"/>
  <c r="E18136" i="1"/>
  <c r="E18135" i="1"/>
  <c r="E18134" i="1"/>
  <c r="E18133" i="1"/>
  <c r="E18132" i="1"/>
  <c r="E18131" i="1"/>
  <c r="E18130" i="1"/>
  <c r="E18129" i="1"/>
  <c r="E18128" i="1"/>
  <c r="E18127" i="1"/>
  <c r="E18126" i="1"/>
  <c r="E18125" i="1"/>
  <c r="E18124" i="1"/>
  <c r="E18123" i="1"/>
  <c r="E18122" i="1"/>
  <c r="E18121" i="1"/>
  <c r="E18120" i="1"/>
  <c r="E18119" i="1"/>
  <c r="E18118" i="1"/>
  <c r="E18117" i="1"/>
  <c r="E18116" i="1"/>
  <c r="E18115" i="1"/>
  <c r="E18114" i="1"/>
  <c r="E18113" i="1"/>
  <c r="E18112" i="1"/>
  <c r="E18111" i="1"/>
  <c r="E18110" i="1"/>
  <c r="E18109" i="1"/>
  <c r="E18108" i="1"/>
  <c r="E18107" i="1"/>
  <c r="E18106" i="1"/>
  <c r="E18105" i="1"/>
  <c r="E18104" i="1"/>
  <c r="E18103" i="1"/>
  <c r="E18102" i="1"/>
  <c r="E18101" i="1"/>
  <c r="E18100" i="1"/>
  <c r="E18099" i="1"/>
  <c r="E18098" i="1"/>
  <c r="E18097" i="1"/>
  <c r="E18096" i="1"/>
  <c r="E18095" i="1"/>
  <c r="E18094" i="1"/>
  <c r="E18093" i="1"/>
  <c r="E18092" i="1"/>
  <c r="E18091" i="1"/>
  <c r="E18090" i="1"/>
  <c r="E18089" i="1"/>
  <c r="E18088" i="1"/>
  <c r="E18087" i="1"/>
  <c r="E18086" i="1"/>
  <c r="E18085" i="1"/>
  <c r="E18084" i="1"/>
  <c r="E18083" i="1"/>
  <c r="E18082" i="1"/>
  <c r="E18081" i="1"/>
  <c r="E18080" i="1"/>
  <c r="E18079" i="1"/>
  <c r="E18078" i="1"/>
  <c r="E18077" i="1"/>
  <c r="E18076" i="1"/>
  <c r="E18075" i="1"/>
  <c r="E18074" i="1"/>
  <c r="E18073" i="1"/>
  <c r="E18072" i="1"/>
  <c r="E18071" i="1"/>
  <c r="E18070" i="1"/>
  <c r="E18069" i="1"/>
  <c r="E18068" i="1"/>
  <c r="E18067" i="1"/>
  <c r="E18066" i="1"/>
  <c r="E18065" i="1"/>
  <c r="E18064" i="1"/>
  <c r="E18063" i="1"/>
  <c r="E18062" i="1"/>
  <c r="E18061" i="1"/>
  <c r="E18060" i="1"/>
  <c r="E18059" i="1"/>
  <c r="E18058" i="1"/>
  <c r="E18057" i="1"/>
  <c r="E18056" i="1"/>
  <c r="E18055" i="1"/>
  <c r="E18054" i="1"/>
  <c r="E18053" i="1"/>
  <c r="E18052" i="1"/>
  <c r="E18051" i="1"/>
  <c r="E18050" i="1"/>
  <c r="E18049" i="1"/>
  <c r="E18048" i="1"/>
  <c r="E18047" i="1"/>
  <c r="E18046" i="1"/>
  <c r="E18045" i="1"/>
  <c r="E18044" i="1"/>
  <c r="E18043" i="1"/>
  <c r="E18042" i="1"/>
  <c r="E18041" i="1"/>
  <c r="E18040" i="1"/>
  <c r="E18039" i="1"/>
  <c r="E18038" i="1"/>
  <c r="E18037" i="1"/>
  <c r="E18036" i="1"/>
  <c r="E18035" i="1"/>
  <c r="E18034" i="1"/>
  <c r="E18033" i="1"/>
  <c r="E18032" i="1"/>
  <c r="E18031" i="1"/>
  <c r="E18030" i="1"/>
  <c r="E18029" i="1"/>
  <c r="E18028" i="1"/>
  <c r="E18027" i="1"/>
  <c r="E18026" i="1"/>
  <c r="E18025" i="1"/>
  <c r="E18024" i="1"/>
  <c r="E18023" i="1"/>
  <c r="E18022" i="1"/>
  <c r="E18021" i="1"/>
  <c r="E18020" i="1"/>
  <c r="E18019" i="1"/>
  <c r="E18018" i="1"/>
  <c r="E18017" i="1"/>
  <c r="E18016" i="1"/>
  <c r="E18015" i="1"/>
  <c r="E18014" i="1"/>
  <c r="E18013" i="1"/>
  <c r="E18012" i="1"/>
  <c r="E18011" i="1"/>
  <c r="E18010" i="1"/>
  <c r="E18009" i="1"/>
  <c r="E18008" i="1"/>
  <c r="E18007" i="1"/>
  <c r="E18006" i="1"/>
  <c r="E18005" i="1"/>
  <c r="E18004" i="1"/>
  <c r="E18003" i="1"/>
  <c r="E18002" i="1"/>
  <c r="E18001" i="1"/>
  <c r="E18000" i="1"/>
  <c r="E17999" i="1"/>
  <c r="E17998" i="1"/>
  <c r="E17997" i="1"/>
  <c r="E17996" i="1"/>
  <c r="E17995" i="1"/>
  <c r="E17994" i="1"/>
  <c r="E17993" i="1"/>
  <c r="E17992" i="1"/>
  <c r="E17991" i="1"/>
  <c r="E17990" i="1"/>
  <c r="E17989" i="1"/>
  <c r="E17988" i="1"/>
  <c r="E17987" i="1"/>
  <c r="E17986" i="1"/>
  <c r="E17985" i="1"/>
  <c r="E17984" i="1"/>
  <c r="E17983" i="1"/>
  <c r="E17982" i="1"/>
  <c r="E17981" i="1"/>
  <c r="E17980" i="1"/>
  <c r="E17979" i="1"/>
  <c r="E17978" i="1"/>
  <c r="E17977" i="1"/>
  <c r="E17976" i="1"/>
  <c r="E17975" i="1"/>
  <c r="E17974" i="1"/>
  <c r="E17973" i="1"/>
  <c r="E17972" i="1"/>
  <c r="E17971" i="1"/>
  <c r="E17970" i="1"/>
  <c r="E17969" i="1"/>
  <c r="E17968" i="1"/>
  <c r="E17967" i="1"/>
  <c r="E17966" i="1"/>
  <c r="E17965" i="1"/>
  <c r="E17964" i="1"/>
  <c r="E17963" i="1"/>
  <c r="E17962" i="1"/>
  <c r="E17961" i="1"/>
  <c r="E17960" i="1"/>
  <c r="E17959" i="1"/>
  <c r="E17958" i="1"/>
  <c r="E17957" i="1"/>
  <c r="E17956" i="1"/>
  <c r="E17955" i="1"/>
  <c r="E17954" i="1"/>
  <c r="E17953" i="1"/>
  <c r="E17952" i="1"/>
  <c r="E17951" i="1"/>
  <c r="E17950" i="1"/>
  <c r="E17949" i="1"/>
  <c r="E17948" i="1"/>
  <c r="E17947" i="1"/>
  <c r="E17946" i="1"/>
  <c r="E17945" i="1"/>
  <c r="E17944" i="1"/>
  <c r="E17943" i="1"/>
  <c r="E17942" i="1"/>
  <c r="E17941" i="1"/>
  <c r="E17940" i="1"/>
  <c r="E17939" i="1"/>
  <c r="E17938" i="1"/>
  <c r="E17937" i="1"/>
  <c r="E17936" i="1"/>
  <c r="E17935" i="1"/>
  <c r="E17934" i="1"/>
  <c r="E17933" i="1"/>
  <c r="E17932" i="1"/>
  <c r="E17931" i="1"/>
  <c r="E17930" i="1"/>
  <c r="E17929" i="1"/>
  <c r="E17928" i="1"/>
  <c r="E17927" i="1"/>
  <c r="E17926" i="1"/>
  <c r="E17925" i="1"/>
  <c r="E17924" i="1"/>
  <c r="E17923" i="1"/>
  <c r="E17922" i="1"/>
  <c r="E17921" i="1"/>
  <c r="E17920" i="1"/>
  <c r="E17919" i="1"/>
  <c r="E17918" i="1"/>
  <c r="E17917" i="1"/>
  <c r="E17916" i="1"/>
  <c r="E17915" i="1"/>
  <c r="E17914" i="1"/>
  <c r="E17913" i="1"/>
  <c r="E17912" i="1"/>
  <c r="E17911" i="1"/>
  <c r="E17910" i="1"/>
  <c r="E17909" i="1"/>
  <c r="E17908" i="1"/>
  <c r="E17907" i="1"/>
  <c r="E17906" i="1"/>
  <c r="E17905" i="1"/>
  <c r="E17904" i="1"/>
  <c r="E17903" i="1"/>
  <c r="E17902" i="1"/>
  <c r="E17901" i="1"/>
  <c r="E17900" i="1"/>
  <c r="E17899" i="1"/>
  <c r="E17898" i="1"/>
  <c r="E17897" i="1"/>
  <c r="E17896" i="1"/>
  <c r="E17895" i="1"/>
  <c r="E17894" i="1"/>
  <c r="E17893" i="1"/>
  <c r="E17892" i="1"/>
  <c r="E17891" i="1"/>
  <c r="E17890" i="1"/>
  <c r="E17889" i="1"/>
  <c r="E17888" i="1"/>
  <c r="E17887" i="1"/>
  <c r="E17886" i="1"/>
  <c r="E17885" i="1"/>
  <c r="E17884" i="1"/>
  <c r="E17883" i="1"/>
  <c r="E17882" i="1"/>
  <c r="E17881" i="1"/>
  <c r="E17880" i="1"/>
  <c r="E17879" i="1"/>
  <c r="E17878" i="1"/>
  <c r="E17877" i="1"/>
  <c r="E17876" i="1"/>
  <c r="E17875" i="1"/>
  <c r="E17874" i="1"/>
  <c r="E17873" i="1"/>
  <c r="E17872" i="1"/>
  <c r="E17871" i="1"/>
  <c r="E17870" i="1"/>
  <c r="E17869" i="1"/>
  <c r="E17868" i="1"/>
  <c r="E17867" i="1"/>
  <c r="E17866" i="1"/>
  <c r="E17865" i="1"/>
  <c r="E17864" i="1"/>
  <c r="E17863" i="1"/>
  <c r="E17862" i="1"/>
  <c r="E17861" i="1"/>
  <c r="E17860" i="1"/>
  <c r="E17859" i="1"/>
  <c r="E17858" i="1"/>
  <c r="E17857" i="1"/>
  <c r="E17856" i="1"/>
  <c r="E17855" i="1"/>
  <c r="E17854" i="1"/>
  <c r="E17853" i="1"/>
  <c r="E17852" i="1"/>
  <c r="E17851" i="1"/>
  <c r="E17850" i="1"/>
  <c r="E17849" i="1"/>
  <c r="E17848" i="1"/>
  <c r="E17847" i="1"/>
  <c r="E17846" i="1"/>
  <c r="E17845" i="1"/>
  <c r="E17844" i="1"/>
  <c r="E17843" i="1"/>
  <c r="E17842" i="1"/>
  <c r="E17841" i="1"/>
  <c r="E17840" i="1"/>
  <c r="E17839" i="1"/>
  <c r="E17838" i="1"/>
  <c r="E17837" i="1"/>
  <c r="E17836" i="1"/>
  <c r="E17835" i="1"/>
  <c r="E17834" i="1"/>
  <c r="E17833" i="1"/>
  <c r="E17832" i="1"/>
  <c r="E17831" i="1"/>
  <c r="E17830" i="1"/>
  <c r="E17829" i="1"/>
  <c r="E17828" i="1"/>
  <c r="E17827" i="1"/>
  <c r="E17826" i="1"/>
  <c r="E17825" i="1"/>
  <c r="E17824" i="1"/>
  <c r="E17823" i="1"/>
  <c r="E17822" i="1"/>
  <c r="E17821" i="1"/>
  <c r="E17820" i="1"/>
  <c r="E17819" i="1"/>
  <c r="E17818" i="1"/>
  <c r="E17817" i="1"/>
  <c r="E17816" i="1"/>
  <c r="E17815" i="1"/>
  <c r="E17814" i="1"/>
  <c r="E17813" i="1"/>
  <c r="E17812" i="1"/>
  <c r="E17811" i="1"/>
  <c r="E17810" i="1"/>
  <c r="E17809" i="1"/>
  <c r="E17808" i="1"/>
  <c r="E17807" i="1"/>
  <c r="E17806" i="1"/>
  <c r="E17805" i="1"/>
  <c r="E17804" i="1"/>
  <c r="E17803" i="1"/>
  <c r="E17802" i="1"/>
  <c r="E17801" i="1"/>
  <c r="E17800" i="1"/>
  <c r="E17799" i="1"/>
  <c r="E17798" i="1"/>
  <c r="E17797" i="1"/>
  <c r="E17796" i="1"/>
  <c r="E17795" i="1"/>
  <c r="E17794" i="1"/>
  <c r="E17793" i="1"/>
  <c r="E17792" i="1"/>
  <c r="E17791" i="1"/>
  <c r="E17790" i="1"/>
  <c r="E17789" i="1"/>
  <c r="E17788" i="1"/>
  <c r="E17787" i="1"/>
  <c r="E17786" i="1"/>
  <c r="E17785" i="1"/>
  <c r="E17784" i="1"/>
  <c r="E17783" i="1"/>
  <c r="E17782" i="1"/>
  <c r="E17781" i="1"/>
  <c r="E17780" i="1"/>
  <c r="E17779" i="1"/>
  <c r="E17778" i="1"/>
  <c r="E17777" i="1"/>
  <c r="E17776" i="1"/>
  <c r="E17775" i="1"/>
  <c r="E17774" i="1"/>
  <c r="E17773" i="1"/>
  <c r="E17772" i="1"/>
  <c r="E17771" i="1"/>
  <c r="E17770" i="1"/>
  <c r="E17769" i="1"/>
  <c r="E17768" i="1"/>
  <c r="E17767" i="1"/>
  <c r="E17766" i="1"/>
  <c r="E17765" i="1"/>
  <c r="E17764" i="1"/>
  <c r="E17763" i="1"/>
  <c r="E17762" i="1"/>
  <c r="E17761" i="1"/>
  <c r="E17760" i="1"/>
  <c r="E17759" i="1"/>
  <c r="E17758" i="1"/>
  <c r="E17757" i="1"/>
  <c r="E17756" i="1"/>
  <c r="E17755" i="1"/>
  <c r="E17754" i="1"/>
  <c r="E17753" i="1"/>
  <c r="E17752" i="1"/>
  <c r="E17751" i="1"/>
  <c r="E17750" i="1"/>
  <c r="E17749" i="1"/>
  <c r="E17748" i="1"/>
  <c r="E17747" i="1"/>
  <c r="E17746" i="1"/>
  <c r="E17745" i="1"/>
  <c r="E17744" i="1"/>
  <c r="E17743" i="1"/>
  <c r="E17742" i="1"/>
  <c r="E17741" i="1"/>
  <c r="E17740" i="1"/>
  <c r="E17739" i="1"/>
  <c r="E17738" i="1"/>
  <c r="E17737" i="1"/>
  <c r="E17736" i="1"/>
  <c r="E17735" i="1"/>
  <c r="E17734" i="1"/>
  <c r="E17733" i="1"/>
  <c r="E17732" i="1"/>
  <c r="E17731" i="1"/>
  <c r="E17730" i="1"/>
  <c r="E17729" i="1"/>
  <c r="E17728" i="1"/>
  <c r="E17727" i="1"/>
  <c r="E17726" i="1"/>
  <c r="E17725" i="1"/>
  <c r="E17724" i="1"/>
  <c r="E17723" i="1"/>
  <c r="E17722" i="1"/>
  <c r="E17721" i="1"/>
  <c r="E17720" i="1"/>
  <c r="E17719" i="1"/>
  <c r="E17718" i="1"/>
  <c r="E17717" i="1"/>
  <c r="E17716" i="1"/>
  <c r="E17715" i="1"/>
  <c r="E17714" i="1"/>
  <c r="E17713" i="1"/>
  <c r="E17712" i="1"/>
  <c r="E17711" i="1"/>
  <c r="E17710" i="1"/>
  <c r="E17709" i="1"/>
  <c r="E17708" i="1"/>
  <c r="E17707" i="1"/>
  <c r="E17706" i="1"/>
  <c r="E17705" i="1"/>
  <c r="E17704" i="1"/>
  <c r="E17703" i="1"/>
  <c r="E17702" i="1"/>
  <c r="E17701" i="1"/>
  <c r="E17700" i="1"/>
  <c r="E17699" i="1"/>
  <c r="E17698" i="1"/>
  <c r="E17697" i="1"/>
  <c r="E17696" i="1"/>
  <c r="E17695" i="1"/>
  <c r="E17694" i="1"/>
  <c r="E17693" i="1"/>
  <c r="E17692" i="1"/>
  <c r="E17691" i="1"/>
  <c r="E17690" i="1"/>
  <c r="E17689" i="1"/>
  <c r="E17688" i="1"/>
  <c r="E17687" i="1"/>
  <c r="E17686" i="1"/>
  <c r="E17685" i="1"/>
  <c r="E17684" i="1"/>
  <c r="E17683" i="1"/>
  <c r="E17682" i="1"/>
  <c r="E17681" i="1"/>
  <c r="E17680" i="1"/>
  <c r="E17679" i="1"/>
  <c r="E17678" i="1"/>
  <c r="E17677" i="1"/>
  <c r="E17676" i="1"/>
  <c r="E17675" i="1"/>
  <c r="E17674" i="1"/>
  <c r="E17673" i="1"/>
  <c r="E17672" i="1"/>
  <c r="E17671" i="1"/>
  <c r="E17670" i="1"/>
  <c r="E17669" i="1"/>
  <c r="E17668" i="1"/>
  <c r="E17667" i="1"/>
  <c r="E17666" i="1"/>
  <c r="E17665" i="1"/>
  <c r="E17664" i="1"/>
  <c r="E17663" i="1"/>
  <c r="E17662" i="1"/>
  <c r="E17661" i="1"/>
  <c r="E17660" i="1"/>
  <c r="E17659" i="1"/>
  <c r="E17658" i="1"/>
  <c r="E17657" i="1"/>
  <c r="E17656" i="1"/>
  <c r="E17655" i="1"/>
  <c r="E17654" i="1"/>
  <c r="E17653" i="1"/>
  <c r="E17652" i="1"/>
  <c r="E17651" i="1"/>
  <c r="E17650" i="1"/>
  <c r="E17649" i="1"/>
  <c r="E17648" i="1"/>
  <c r="E17647" i="1"/>
  <c r="E17646" i="1"/>
  <c r="E17645" i="1"/>
  <c r="E17644" i="1"/>
  <c r="E17643" i="1"/>
  <c r="E17642" i="1"/>
  <c r="E17641" i="1"/>
  <c r="E17640" i="1"/>
  <c r="E17639" i="1"/>
  <c r="E17638" i="1"/>
  <c r="E17637" i="1"/>
  <c r="E17636" i="1"/>
  <c r="E17635" i="1"/>
  <c r="E17634" i="1"/>
  <c r="E17633" i="1"/>
  <c r="E17632" i="1"/>
  <c r="E17631" i="1"/>
  <c r="E17630" i="1"/>
  <c r="E17629" i="1"/>
  <c r="E17628" i="1"/>
  <c r="E17627" i="1"/>
  <c r="E17626" i="1"/>
  <c r="E17625" i="1"/>
  <c r="E17624" i="1"/>
  <c r="E17623" i="1"/>
  <c r="E17622" i="1"/>
  <c r="E17621" i="1"/>
  <c r="E17620" i="1"/>
  <c r="E17619" i="1"/>
  <c r="E17618" i="1"/>
  <c r="E17617" i="1"/>
  <c r="E17616" i="1"/>
  <c r="E17615" i="1"/>
  <c r="E17614" i="1"/>
  <c r="E17613" i="1"/>
  <c r="E17612" i="1"/>
  <c r="E17611" i="1"/>
  <c r="E17610" i="1"/>
  <c r="E17609" i="1"/>
  <c r="E17608" i="1"/>
  <c r="E17607" i="1"/>
  <c r="E17606" i="1"/>
  <c r="E17605" i="1"/>
  <c r="E17604" i="1"/>
  <c r="E17603" i="1"/>
  <c r="E17602" i="1"/>
  <c r="E17601" i="1"/>
  <c r="E17600" i="1"/>
  <c r="E17599" i="1"/>
  <c r="E17598" i="1"/>
  <c r="E17597" i="1"/>
  <c r="E17596" i="1"/>
  <c r="E17595" i="1"/>
  <c r="E17594" i="1"/>
  <c r="E17593" i="1"/>
  <c r="E17592" i="1"/>
  <c r="E17591" i="1"/>
  <c r="E17590" i="1"/>
  <c r="E17589" i="1"/>
  <c r="E17588" i="1"/>
  <c r="E17587" i="1"/>
  <c r="E17586" i="1"/>
  <c r="E17585" i="1"/>
  <c r="E17584" i="1"/>
  <c r="E17583" i="1"/>
  <c r="E17582" i="1"/>
  <c r="E17581" i="1"/>
  <c r="E17580" i="1"/>
  <c r="E17579" i="1"/>
  <c r="E17578" i="1"/>
  <c r="E17577" i="1"/>
  <c r="E17576" i="1"/>
  <c r="E17575" i="1"/>
  <c r="E17574" i="1"/>
  <c r="E17573" i="1"/>
  <c r="E17572" i="1"/>
  <c r="E17571" i="1"/>
  <c r="E17570" i="1"/>
  <c r="E17569" i="1"/>
  <c r="E17568" i="1"/>
  <c r="E17567" i="1"/>
  <c r="E17566" i="1"/>
  <c r="E17565" i="1"/>
  <c r="E17564" i="1"/>
  <c r="E17563" i="1"/>
  <c r="E17562" i="1"/>
  <c r="E17561" i="1"/>
  <c r="E17560" i="1"/>
  <c r="E17559" i="1"/>
  <c r="E17558" i="1"/>
  <c r="E17557" i="1"/>
  <c r="E17556" i="1"/>
  <c r="E17555" i="1"/>
  <c r="E17554" i="1"/>
  <c r="E17553" i="1"/>
  <c r="E17552" i="1"/>
  <c r="E17551" i="1"/>
  <c r="E17550" i="1"/>
  <c r="E17549" i="1"/>
  <c r="E17548" i="1"/>
  <c r="E17547" i="1"/>
  <c r="E17546" i="1"/>
  <c r="E17545" i="1"/>
  <c r="E17544" i="1"/>
  <c r="E17543" i="1"/>
  <c r="E17542" i="1"/>
  <c r="E17541" i="1"/>
  <c r="E17540" i="1"/>
  <c r="E17539" i="1"/>
  <c r="E17538" i="1"/>
  <c r="E17537" i="1"/>
  <c r="E17536" i="1"/>
  <c r="E17535" i="1"/>
  <c r="E17534" i="1"/>
  <c r="E17533" i="1"/>
  <c r="E17532" i="1"/>
  <c r="E17531" i="1"/>
  <c r="E17530" i="1"/>
  <c r="E17529" i="1"/>
  <c r="E17528" i="1"/>
  <c r="E17527" i="1"/>
  <c r="E17526" i="1"/>
  <c r="E17525" i="1"/>
  <c r="E17524" i="1"/>
  <c r="E17523" i="1"/>
  <c r="E17522" i="1"/>
  <c r="E17521" i="1"/>
  <c r="E17520" i="1"/>
  <c r="E17519" i="1"/>
  <c r="E17518" i="1"/>
  <c r="E17517" i="1"/>
  <c r="E17516" i="1"/>
  <c r="E17515" i="1"/>
  <c r="E17514" i="1"/>
  <c r="E17513" i="1"/>
  <c r="E17512" i="1"/>
  <c r="E17511" i="1"/>
  <c r="E17510" i="1"/>
  <c r="E17509" i="1"/>
  <c r="E17508" i="1"/>
  <c r="E17507" i="1"/>
  <c r="E17506" i="1"/>
  <c r="E17505" i="1"/>
  <c r="E17504" i="1"/>
  <c r="E17503" i="1"/>
  <c r="E17502" i="1"/>
  <c r="E17501" i="1"/>
  <c r="E17500" i="1"/>
  <c r="E17499" i="1"/>
  <c r="E17498" i="1"/>
  <c r="E17497" i="1"/>
  <c r="E17496" i="1"/>
  <c r="E17495" i="1"/>
  <c r="E17494" i="1"/>
  <c r="E17493" i="1"/>
  <c r="E17492" i="1"/>
  <c r="E17491" i="1"/>
  <c r="E17490" i="1"/>
  <c r="E17489" i="1"/>
  <c r="E17488" i="1"/>
  <c r="E17487" i="1"/>
  <c r="E17486" i="1"/>
  <c r="E17485" i="1"/>
  <c r="E17484" i="1"/>
  <c r="E17483" i="1"/>
  <c r="E17482" i="1"/>
  <c r="E17481" i="1"/>
  <c r="E17480" i="1"/>
  <c r="E17479" i="1"/>
  <c r="E17478" i="1"/>
  <c r="E17477" i="1"/>
  <c r="E17476" i="1"/>
  <c r="E17475" i="1"/>
  <c r="E17474" i="1"/>
  <c r="E17473" i="1"/>
  <c r="E17472" i="1"/>
  <c r="E17471" i="1"/>
  <c r="E17470" i="1"/>
  <c r="E17469" i="1"/>
  <c r="E17468" i="1"/>
  <c r="E17467" i="1"/>
  <c r="E17466" i="1"/>
  <c r="E17465" i="1"/>
  <c r="E17464" i="1"/>
  <c r="E17463" i="1"/>
  <c r="E17462" i="1"/>
  <c r="E17461" i="1"/>
  <c r="E17460" i="1"/>
  <c r="E17459" i="1"/>
  <c r="E17458" i="1"/>
  <c r="E17457" i="1"/>
  <c r="E17456" i="1"/>
  <c r="E17455" i="1"/>
  <c r="E17454" i="1"/>
  <c r="E17453" i="1"/>
  <c r="E17452" i="1"/>
  <c r="E17451" i="1"/>
  <c r="E17450" i="1"/>
  <c r="E17449" i="1"/>
  <c r="E17448" i="1"/>
  <c r="E17447" i="1"/>
  <c r="E17446" i="1"/>
  <c r="E17445" i="1"/>
  <c r="E17444" i="1"/>
  <c r="E17443" i="1"/>
  <c r="E17442" i="1"/>
  <c r="E17441" i="1"/>
  <c r="E17440" i="1"/>
  <c r="E17439" i="1"/>
  <c r="E17438" i="1"/>
  <c r="E17437" i="1"/>
  <c r="E17436" i="1"/>
  <c r="E17435" i="1"/>
  <c r="E17434" i="1"/>
  <c r="E17433" i="1"/>
  <c r="E17432" i="1"/>
  <c r="E17431" i="1"/>
  <c r="E17430" i="1"/>
  <c r="E17429" i="1"/>
  <c r="E17428" i="1"/>
  <c r="E17427" i="1"/>
  <c r="E17426" i="1"/>
  <c r="E17425" i="1"/>
  <c r="E17424" i="1"/>
  <c r="E17423" i="1"/>
  <c r="E17422" i="1"/>
  <c r="E17421" i="1"/>
  <c r="E17420" i="1"/>
  <c r="E17419" i="1"/>
  <c r="E17418" i="1"/>
  <c r="E17417" i="1"/>
  <c r="E17416" i="1"/>
  <c r="E17415" i="1"/>
  <c r="E17414" i="1"/>
  <c r="E17413" i="1"/>
  <c r="E17412" i="1"/>
  <c r="E17411" i="1"/>
  <c r="E17410" i="1"/>
  <c r="E17409" i="1"/>
  <c r="E17408" i="1"/>
  <c r="E17407" i="1"/>
  <c r="E17406" i="1"/>
  <c r="E17405" i="1"/>
  <c r="E17404" i="1"/>
  <c r="E17403" i="1"/>
  <c r="E17402" i="1"/>
  <c r="E17401" i="1"/>
  <c r="E17400" i="1"/>
  <c r="E17399" i="1"/>
  <c r="E17398" i="1"/>
  <c r="E17397" i="1"/>
  <c r="E17396" i="1"/>
  <c r="E17395" i="1"/>
  <c r="E17394" i="1"/>
  <c r="E17393" i="1"/>
  <c r="E17392" i="1"/>
  <c r="E17391" i="1"/>
  <c r="E17390" i="1"/>
  <c r="E17389" i="1"/>
  <c r="E17388" i="1"/>
  <c r="E17387" i="1"/>
  <c r="E17386" i="1"/>
  <c r="E17385" i="1"/>
  <c r="E17384" i="1"/>
  <c r="E17383" i="1"/>
  <c r="E17382" i="1"/>
  <c r="E17381" i="1"/>
  <c r="E17380" i="1"/>
  <c r="E17379" i="1"/>
  <c r="E17378" i="1"/>
  <c r="E17377" i="1"/>
  <c r="E17376" i="1"/>
  <c r="E17375" i="1"/>
  <c r="E17374" i="1"/>
  <c r="E17373" i="1"/>
  <c r="E17372" i="1"/>
  <c r="E17371" i="1"/>
  <c r="E17370" i="1"/>
  <c r="E17369" i="1"/>
  <c r="E17368" i="1"/>
  <c r="E17367" i="1"/>
  <c r="E17366" i="1"/>
  <c r="E17365" i="1"/>
  <c r="E17364" i="1"/>
  <c r="E17363" i="1"/>
  <c r="E17362" i="1"/>
  <c r="E17361" i="1"/>
  <c r="E17360" i="1"/>
  <c r="E17359" i="1"/>
  <c r="E17358" i="1"/>
  <c r="E17357" i="1"/>
  <c r="E17356" i="1"/>
  <c r="E17355" i="1"/>
  <c r="E17354" i="1"/>
  <c r="E17353" i="1"/>
  <c r="E17352" i="1"/>
  <c r="E17351" i="1"/>
  <c r="E17350" i="1"/>
  <c r="E17349" i="1"/>
  <c r="E17348" i="1"/>
  <c r="E17347" i="1"/>
  <c r="E17346" i="1"/>
  <c r="E17345" i="1"/>
  <c r="E17344" i="1"/>
  <c r="E17343" i="1"/>
  <c r="E17342" i="1"/>
  <c r="E17341" i="1"/>
  <c r="E17340" i="1"/>
  <c r="E17339" i="1"/>
  <c r="E17338" i="1"/>
  <c r="E17337" i="1"/>
  <c r="E17336" i="1"/>
  <c r="E17335" i="1"/>
  <c r="E17334" i="1"/>
  <c r="E17333" i="1"/>
  <c r="E17332" i="1"/>
  <c r="E17331" i="1"/>
  <c r="E17330" i="1"/>
  <c r="E17329" i="1"/>
  <c r="E17328" i="1"/>
  <c r="E17327" i="1"/>
  <c r="E17326" i="1"/>
  <c r="E17325" i="1"/>
  <c r="E17324" i="1"/>
  <c r="E17323" i="1"/>
  <c r="E17322" i="1"/>
  <c r="E17321" i="1"/>
  <c r="E17320" i="1"/>
  <c r="E17319" i="1"/>
  <c r="E17318" i="1"/>
  <c r="E17317" i="1"/>
  <c r="E17316" i="1"/>
  <c r="E17315" i="1"/>
  <c r="E17314" i="1"/>
  <c r="E17313" i="1"/>
  <c r="E17312" i="1"/>
  <c r="E17311" i="1"/>
  <c r="E17310" i="1"/>
  <c r="E17309" i="1"/>
  <c r="E17308" i="1"/>
  <c r="E17307" i="1"/>
  <c r="E17306" i="1"/>
  <c r="E17305" i="1"/>
  <c r="E17304" i="1"/>
  <c r="E17303" i="1"/>
  <c r="E17302" i="1"/>
  <c r="E17301" i="1"/>
  <c r="E17300" i="1"/>
  <c r="E17299" i="1"/>
  <c r="E17298" i="1"/>
  <c r="E17297" i="1"/>
  <c r="E17296" i="1"/>
  <c r="E17295" i="1"/>
  <c r="E17294" i="1"/>
  <c r="E17293" i="1"/>
  <c r="E17292" i="1"/>
  <c r="E17291" i="1"/>
  <c r="E17290" i="1"/>
  <c r="E17289" i="1"/>
  <c r="E17288" i="1"/>
  <c r="E17287" i="1"/>
  <c r="E17286" i="1"/>
  <c r="E17285" i="1"/>
  <c r="E17284" i="1"/>
  <c r="E17283" i="1"/>
  <c r="E17282" i="1"/>
  <c r="E17281" i="1"/>
  <c r="E17280" i="1"/>
  <c r="E17279" i="1"/>
  <c r="E17278" i="1"/>
  <c r="E17277" i="1"/>
  <c r="E17276" i="1"/>
  <c r="E17275" i="1"/>
  <c r="E17274" i="1"/>
  <c r="E17273" i="1"/>
  <c r="E17272" i="1"/>
  <c r="E17271" i="1"/>
  <c r="E17270" i="1"/>
  <c r="E17269" i="1"/>
  <c r="E17268" i="1"/>
  <c r="E17267" i="1"/>
  <c r="E17266" i="1"/>
  <c r="E17265" i="1"/>
  <c r="E17264" i="1"/>
  <c r="E17263" i="1"/>
  <c r="E17262" i="1"/>
  <c r="E17261" i="1"/>
  <c r="E17260" i="1"/>
  <c r="E17259" i="1"/>
  <c r="E17258" i="1"/>
  <c r="E17257" i="1"/>
  <c r="E17256" i="1"/>
  <c r="E17255" i="1"/>
  <c r="E17254" i="1"/>
  <c r="E17253" i="1"/>
  <c r="E17252" i="1"/>
  <c r="E17251" i="1"/>
  <c r="E17250" i="1"/>
  <c r="E17249" i="1"/>
  <c r="E17248" i="1"/>
  <c r="E17247" i="1"/>
  <c r="E17246" i="1"/>
  <c r="E17245" i="1"/>
  <c r="E17244" i="1"/>
  <c r="E17243" i="1"/>
  <c r="E17242" i="1"/>
  <c r="E17241" i="1"/>
  <c r="E17240" i="1"/>
  <c r="E17239" i="1"/>
  <c r="E17238" i="1"/>
  <c r="E17237" i="1"/>
  <c r="E17236" i="1"/>
  <c r="E17235" i="1"/>
  <c r="E17234" i="1"/>
  <c r="E17233" i="1"/>
  <c r="E17232" i="1"/>
  <c r="E17231" i="1"/>
  <c r="E17230" i="1"/>
  <c r="E17229" i="1"/>
  <c r="E17228" i="1"/>
  <c r="E17227" i="1"/>
  <c r="E17226" i="1"/>
  <c r="E17225" i="1"/>
  <c r="E17224" i="1"/>
  <c r="E17223" i="1"/>
  <c r="E17222" i="1"/>
  <c r="E17221" i="1"/>
  <c r="E17220" i="1"/>
  <c r="E17219" i="1"/>
  <c r="E17218" i="1"/>
  <c r="E17217" i="1"/>
  <c r="E17216" i="1"/>
  <c r="E17215" i="1"/>
  <c r="E17214" i="1"/>
  <c r="E17213" i="1"/>
  <c r="E17212" i="1"/>
  <c r="E17211" i="1"/>
  <c r="E17210" i="1"/>
  <c r="E17209" i="1"/>
  <c r="E17208" i="1"/>
  <c r="E17207" i="1"/>
  <c r="E17206" i="1"/>
  <c r="E17205" i="1"/>
  <c r="E17204" i="1"/>
  <c r="E17203" i="1"/>
  <c r="E17202" i="1"/>
  <c r="E17201" i="1"/>
  <c r="E17200" i="1"/>
  <c r="E17199" i="1"/>
  <c r="E17198" i="1"/>
  <c r="E17197" i="1"/>
  <c r="E17196" i="1"/>
  <c r="E17195" i="1"/>
  <c r="E17194" i="1"/>
  <c r="E17193" i="1"/>
  <c r="E17192" i="1"/>
  <c r="E17191" i="1"/>
  <c r="E17190" i="1"/>
  <c r="E17189" i="1"/>
  <c r="E17188" i="1"/>
  <c r="E17187" i="1"/>
  <c r="E17186" i="1"/>
  <c r="E17185" i="1"/>
  <c r="E17184" i="1"/>
  <c r="E17183" i="1"/>
  <c r="E17182" i="1"/>
  <c r="E17181" i="1"/>
  <c r="E17180" i="1"/>
  <c r="E17179" i="1"/>
  <c r="E17178" i="1"/>
  <c r="E17177" i="1"/>
  <c r="E17176" i="1"/>
  <c r="E17175" i="1"/>
  <c r="E17174" i="1"/>
  <c r="E17173" i="1"/>
  <c r="E17172" i="1"/>
  <c r="E17171" i="1"/>
  <c r="E17170" i="1"/>
  <c r="E17169" i="1"/>
  <c r="E17168" i="1"/>
  <c r="E17167" i="1"/>
  <c r="E17166" i="1"/>
  <c r="E17165" i="1"/>
  <c r="E17164" i="1"/>
  <c r="E17163" i="1"/>
  <c r="E17162" i="1"/>
  <c r="E17161" i="1"/>
  <c r="E17160" i="1"/>
  <c r="E17159" i="1"/>
  <c r="E17158" i="1"/>
  <c r="E17157" i="1"/>
  <c r="E17156" i="1"/>
  <c r="E17155" i="1"/>
  <c r="E17154" i="1"/>
  <c r="E17153" i="1"/>
  <c r="E17152" i="1"/>
  <c r="E17151" i="1"/>
  <c r="E17150" i="1"/>
  <c r="E17149" i="1"/>
  <c r="E17148" i="1"/>
  <c r="E17147" i="1"/>
  <c r="E17146" i="1"/>
  <c r="E17145" i="1"/>
  <c r="E17144" i="1"/>
  <c r="E17143" i="1"/>
  <c r="E17142" i="1"/>
  <c r="E17141" i="1"/>
  <c r="E17140" i="1"/>
  <c r="E17139" i="1"/>
  <c r="E17138" i="1"/>
  <c r="E17137" i="1"/>
  <c r="E17136" i="1"/>
  <c r="E17135" i="1"/>
  <c r="E17134" i="1"/>
  <c r="E17133" i="1"/>
  <c r="E17132" i="1"/>
  <c r="E17131" i="1"/>
  <c r="E17130" i="1"/>
  <c r="E17129" i="1"/>
  <c r="E17128" i="1"/>
  <c r="E17127" i="1"/>
  <c r="E17126" i="1"/>
  <c r="E17125" i="1"/>
  <c r="E17124" i="1"/>
  <c r="E17123" i="1"/>
  <c r="E17122" i="1"/>
  <c r="E17121" i="1"/>
  <c r="E17120" i="1"/>
  <c r="E17119" i="1"/>
  <c r="E17118" i="1"/>
  <c r="E17117" i="1"/>
  <c r="E17116" i="1"/>
  <c r="E17115" i="1"/>
  <c r="E17114" i="1"/>
  <c r="E17113" i="1"/>
  <c r="E17112" i="1"/>
  <c r="E17111" i="1"/>
  <c r="E17110" i="1"/>
  <c r="E17109" i="1"/>
  <c r="E17108" i="1"/>
  <c r="E17107" i="1"/>
  <c r="E17106" i="1"/>
  <c r="E17105" i="1"/>
  <c r="E17104" i="1"/>
  <c r="E17103" i="1"/>
  <c r="E17102" i="1"/>
  <c r="E17101" i="1"/>
  <c r="E17100" i="1"/>
  <c r="E17099" i="1"/>
  <c r="E17098" i="1"/>
  <c r="E17097" i="1"/>
  <c r="E17096" i="1"/>
  <c r="E17095" i="1"/>
  <c r="E17094" i="1"/>
  <c r="E17093" i="1"/>
  <c r="E17092" i="1"/>
  <c r="E17091" i="1"/>
  <c r="E17090" i="1"/>
  <c r="E17089" i="1"/>
  <c r="E17088" i="1"/>
  <c r="E17087" i="1"/>
  <c r="E17086" i="1"/>
  <c r="E17085" i="1"/>
  <c r="E17084" i="1"/>
  <c r="E17083" i="1"/>
  <c r="E17082" i="1"/>
  <c r="E17081" i="1"/>
  <c r="E17080" i="1"/>
  <c r="E17079" i="1"/>
  <c r="E17078" i="1"/>
  <c r="E17077" i="1"/>
  <c r="E17076" i="1"/>
  <c r="E17075" i="1"/>
  <c r="E17074" i="1"/>
  <c r="E17073" i="1"/>
  <c r="E17072" i="1"/>
  <c r="E17071" i="1"/>
  <c r="E17070" i="1"/>
  <c r="E17069" i="1"/>
  <c r="E17068" i="1"/>
  <c r="E17067" i="1"/>
  <c r="E17066" i="1"/>
  <c r="E17065" i="1"/>
  <c r="E17064" i="1"/>
  <c r="E17063" i="1"/>
  <c r="E17062" i="1"/>
  <c r="E17061" i="1"/>
  <c r="E17060" i="1"/>
  <c r="E17059" i="1"/>
  <c r="E17058" i="1"/>
  <c r="E17057" i="1"/>
  <c r="E17056" i="1"/>
  <c r="E17055" i="1"/>
  <c r="E17054" i="1"/>
  <c r="E17053" i="1"/>
  <c r="E17052" i="1"/>
  <c r="E17051" i="1"/>
  <c r="E17050" i="1"/>
  <c r="E17049" i="1"/>
  <c r="E17048" i="1"/>
  <c r="E17047" i="1"/>
  <c r="E17046" i="1"/>
  <c r="E17045" i="1"/>
  <c r="E17044" i="1"/>
  <c r="E17043" i="1"/>
  <c r="E17042" i="1"/>
  <c r="E17041" i="1"/>
  <c r="E17040" i="1"/>
  <c r="E17039" i="1"/>
  <c r="E17038" i="1"/>
  <c r="E17037" i="1"/>
  <c r="E17036" i="1"/>
  <c r="E17035" i="1"/>
  <c r="E17034" i="1"/>
  <c r="E17033" i="1"/>
  <c r="E17032" i="1"/>
  <c r="E17031" i="1"/>
  <c r="E17030" i="1"/>
  <c r="E17029" i="1"/>
  <c r="E17028" i="1"/>
  <c r="E17027" i="1"/>
  <c r="E17026" i="1"/>
  <c r="E17025" i="1"/>
  <c r="E17024" i="1"/>
  <c r="E17023" i="1"/>
  <c r="E17022" i="1"/>
  <c r="E17021" i="1"/>
  <c r="E17020" i="1"/>
  <c r="E17019" i="1"/>
  <c r="E17018" i="1"/>
  <c r="E17017" i="1"/>
  <c r="E17016" i="1"/>
  <c r="E17015" i="1"/>
  <c r="E17014" i="1"/>
  <c r="E17013" i="1"/>
  <c r="E17012" i="1"/>
  <c r="E17011" i="1"/>
  <c r="E17010" i="1"/>
  <c r="E17009" i="1"/>
  <c r="E17008" i="1"/>
  <c r="E17007" i="1"/>
  <c r="E17006" i="1"/>
  <c r="E17005" i="1"/>
  <c r="E17004" i="1"/>
  <c r="E17003" i="1"/>
  <c r="E17002" i="1"/>
  <c r="E17001" i="1"/>
  <c r="E17000" i="1"/>
  <c r="E16999" i="1"/>
  <c r="E16998" i="1"/>
  <c r="E16997" i="1"/>
  <c r="E16996" i="1"/>
  <c r="E16995" i="1"/>
  <c r="E16994" i="1"/>
  <c r="E16993" i="1"/>
  <c r="E16992" i="1"/>
  <c r="E16991" i="1"/>
  <c r="E16990" i="1"/>
  <c r="E16989" i="1"/>
  <c r="E16988" i="1"/>
  <c r="E16987" i="1"/>
  <c r="E16986" i="1"/>
  <c r="E16985" i="1"/>
  <c r="E16984" i="1"/>
  <c r="E16983" i="1"/>
  <c r="E16982" i="1"/>
  <c r="E16981" i="1"/>
  <c r="E16980" i="1"/>
  <c r="E16979" i="1"/>
  <c r="E16978" i="1"/>
  <c r="E16977" i="1"/>
  <c r="E16976" i="1"/>
  <c r="E16975" i="1"/>
  <c r="E16974" i="1"/>
  <c r="E16973" i="1"/>
  <c r="E16972" i="1"/>
  <c r="E16971" i="1"/>
  <c r="E16970" i="1"/>
  <c r="E16969" i="1"/>
  <c r="E16968" i="1"/>
  <c r="E16967" i="1"/>
  <c r="E16966" i="1"/>
  <c r="E16965" i="1"/>
  <c r="E16964" i="1"/>
  <c r="E16963" i="1"/>
  <c r="E16962" i="1"/>
  <c r="E16961" i="1"/>
  <c r="E16960" i="1"/>
  <c r="E16959" i="1"/>
  <c r="E16958" i="1"/>
  <c r="E16957" i="1"/>
  <c r="E16956" i="1"/>
  <c r="E16955" i="1"/>
  <c r="E16954" i="1"/>
  <c r="E16953" i="1"/>
  <c r="E16952" i="1"/>
  <c r="E16951" i="1"/>
  <c r="E16950" i="1"/>
  <c r="E16949" i="1"/>
  <c r="E16948" i="1"/>
  <c r="E16947" i="1"/>
  <c r="E16946" i="1"/>
  <c r="E16945" i="1"/>
  <c r="E16944" i="1"/>
  <c r="E16943" i="1"/>
  <c r="E16942" i="1"/>
  <c r="E16941" i="1"/>
  <c r="E16940" i="1"/>
  <c r="E16939" i="1"/>
  <c r="E16938" i="1"/>
  <c r="E16937" i="1"/>
  <c r="E16936" i="1"/>
  <c r="E16935" i="1"/>
  <c r="E16934" i="1"/>
  <c r="E16933" i="1"/>
  <c r="E16932" i="1"/>
  <c r="E16931" i="1"/>
  <c r="E16930" i="1"/>
  <c r="E16929" i="1"/>
  <c r="E16928" i="1"/>
  <c r="E16927" i="1"/>
  <c r="E16926" i="1"/>
  <c r="E16925" i="1"/>
  <c r="E16924" i="1"/>
  <c r="E16923" i="1"/>
  <c r="E16922" i="1"/>
  <c r="E16921" i="1"/>
  <c r="E16920" i="1"/>
  <c r="E16919" i="1"/>
  <c r="E16918" i="1"/>
  <c r="E16917" i="1"/>
  <c r="E16916" i="1"/>
  <c r="E16915" i="1"/>
  <c r="E16914" i="1"/>
  <c r="E16913" i="1"/>
  <c r="E16912" i="1"/>
  <c r="E16911" i="1"/>
  <c r="E16910" i="1"/>
  <c r="E16909" i="1"/>
  <c r="E16908" i="1"/>
  <c r="E16907" i="1"/>
  <c r="E16906" i="1"/>
  <c r="E16905" i="1"/>
  <c r="E16904" i="1"/>
  <c r="E16903" i="1"/>
  <c r="E16902" i="1"/>
  <c r="E16901" i="1"/>
  <c r="E16900" i="1"/>
  <c r="E16899" i="1"/>
  <c r="E16898" i="1"/>
  <c r="E16897" i="1"/>
  <c r="E16896" i="1"/>
  <c r="E16895" i="1"/>
  <c r="E16894" i="1"/>
  <c r="E16893" i="1"/>
  <c r="E16892" i="1"/>
  <c r="E16891" i="1"/>
  <c r="E16890" i="1"/>
  <c r="E16889" i="1"/>
  <c r="E16888" i="1"/>
  <c r="E16887" i="1"/>
  <c r="E16886" i="1"/>
  <c r="E16885" i="1"/>
  <c r="E16884" i="1"/>
  <c r="E16883" i="1"/>
  <c r="E16882" i="1"/>
  <c r="E16881" i="1"/>
  <c r="E16880" i="1"/>
  <c r="E16879" i="1"/>
  <c r="E16878" i="1"/>
  <c r="E16877" i="1"/>
  <c r="E16876" i="1"/>
  <c r="E16875" i="1"/>
  <c r="E16874" i="1"/>
  <c r="E16873" i="1"/>
  <c r="E16872" i="1"/>
  <c r="E16871" i="1"/>
  <c r="E16870" i="1"/>
  <c r="E16869" i="1"/>
  <c r="E16868" i="1"/>
  <c r="E16867" i="1"/>
  <c r="E16866" i="1"/>
  <c r="E16865" i="1"/>
  <c r="E16864" i="1"/>
  <c r="E16863" i="1"/>
  <c r="E16862" i="1"/>
  <c r="E16861" i="1"/>
  <c r="E16860" i="1"/>
  <c r="E16859" i="1"/>
  <c r="E16858" i="1"/>
  <c r="E16857" i="1"/>
  <c r="E16856" i="1"/>
  <c r="E16855" i="1"/>
  <c r="E16854" i="1"/>
  <c r="E16853" i="1"/>
  <c r="E16852" i="1"/>
  <c r="E16851" i="1"/>
  <c r="E16850" i="1"/>
  <c r="E16849" i="1"/>
  <c r="E16848" i="1"/>
  <c r="E16847" i="1"/>
  <c r="E16846" i="1"/>
  <c r="E16845" i="1"/>
  <c r="E16844" i="1"/>
  <c r="E16843" i="1"/>
  <c r="E16842" i="1"/>
  <c r="E16841" i="1"/>
  <c r="E16840" i="1"/>
  <c r="E16839" i="1"/>
  <c r="E16838" i="1"/>
  <c r="E16837" i="1"/>
  <c r="E16836" i="1"/>
  <c r="E16835" i="1"/>
  <c r="E16834" i="1"/>
  <c r="E16833" i="1"/>
  <c r="E16832" i="1"/>
  <c r="E16831" i="1"/>
  <c r="E16830" i="1"/>
  <c r="E16829" i="1"/>
  <c r="E16828" i="1"/>
  <c r="E16827" i="1"/>
  <c r="E16826" i="1"/>
  <c r="E16825" i="1"/>
  <c r="E16824" i="1"/>
  <c r="E16823" i="1"/>
  <c r="E16822" i="1"/>
  <c r="E16821" i="1"/>
  <c r="E16820" i="1"/>
  <c r="E16819" i="1"/>
  <c r="E16818" i="1"/>
  <c r="E16817" i="1"/>
  <c r="E16816" i="1"/>
  <c r="E16815" i="1"/>
  <c r="E16814" i="1"/>
  <c r="E16813" i="1"/>
  <c r="E16812" i="1"/>
  <c r="E16811" i="1"/>
  <c r="E16810" i="1"/>
  <c r="E16809" i="1"/>
  <c r="E16808" i="1"/>
  <c r="E16807" i="1"/>
  <c r="E16806" i="1"/>
  <c r="E16805" i="1"/>
  <c r="E16804" i="1"/>
  <c r="E16803" i="1"/>
  <c r="E16802" i="1"/>
  <c r="E16801" i="1"/>
  <c r="E16800" i="1"/>
  <c r="E16799" i="1"/>
  <c r="E16798" i="1"/>
  <c r="E16797" i="1"/>
  <c r="E16796" i="1"/>
  <c r="E16795" i="1"/>
  <c r="E16794" i="1"/>
  <c r="E16793" i="1"/>
  <c r="E16792" i="1"/>
  <c r="E16791" i="1"/>
  <c r="E16790" i="1"/>
  <c r="E16789" i="1"/>
  <c r="E16788" i="1"/>
  <c r="E16787" i="1"/>
  <c r="E16786" i="1"/>
  <c r="E16785" i="1"/>
  <c r="E16784" i="1"/>
  <c r="E16783" i="1"/>
  <c r="E16782" i="1"/>
  <c r="E16781" i="1"/>
  <c r="E16780" i="1"/>
  <c r="E16779" i="1"/>
  <c r="E16778" i="1"/>
  <c r="E16777" i="1"/>
  <c r="E16776" i="1"/>
  <c r="E16775" i="1"/>
  <c r="E16774" i="1"/>
  <c r="E16773" i="1"/>
  <c r="E16772" i="1"/>
  <c r="E16771" i="1"/>
  <c r="E16770" i="1"/>
  <c r="E16769" i="1"/>
  <c r="E16768" i="1"/>
  <c r="E16767" i="1"/>
  <c r="E16766" i="1"/>
  <c r="E16765" i="1"/>
  <c r="E16764" i="1"/>
  <c r="E16763" i="1"/>
  <c r="E16762" i="1"/>
  <c r="E16761" i="1"/>
  <c r="E16760" i="1"/>
  <c r="E16759" i="1"/>
  <c r="E16758" i="1"/>
  <c r="E16757" i="1"/>
  <c r="E16756" i="1"/>
  <c r="E16755" i="1"/>
  <c r="E16754" i="1"/>
  <c r="E16753" i="1"/>
  <c r="E16752" i="1"/>
  <c r="E16751" i="1"/>
  <c r="E16750" i="1"/>
  <c r="E16749" i="1"/>
  <c r="E16748" i="1"/>
  <c r="E16747" i="1"/>
  <c r="E16746" i="1"/>
  <c r="E16745" i="1"/>
  <c r="E16744" i="1"/>
  <c r="E16743" i="1"/>
  <c r="E16742" i="1"/>
  <c r="E16741" i="1"/>
  <c r="E16740" i="1"/>
  <c r="E16739" i="1"/>
  <c r="E16738" i="1"/>
  <c r="E16737" i="1"/>
  <c r="E16736" i="1"/>
  <c r="E16735" i="1"/>
  <c r="E16734" i="1"/>
  <c r="E16733" i="1"/>
  <c r="E16732" i="1"/>
  <c r="E16731" i="1"/>
  <c r="E16730" i="1"/>
  <c r="E16729" i="1"/>
  <c r="E16728" i="1"/>
  <c r="E16727" i="1"/>
  <c r="E16726" i="1"/>
  <c r="E16725" i="1"/>
  <c r="E16724" i="1"/>
  <c r="E16723" i="1"/>
  <c r="E16722" i="1"/>
  <c r="E16721" i="1"/>
  <c r="E16720" i="1"/>
  <c r="E16719" i="1"/>
  <c r="E16718" i="1"/>
  <c r="E16717" i="1"/>
  <c r="E16716" i="1"/>
  <c r="E16715" i="1"/>
  <c r="E16714" i="1"/>
  <c r="E16713" i="1"/>
  <c r="E16712" i="1"/>
  <c r="E16711" i="1"/>
  <c r="E16710" i="1"/>
  <c r="E16709" i="1"/>
  <c r="E16708" i="1"/>
  <c r="E16707" i="1"/>
  <c r="E16706" i="1"/>
  <c r="E16705" i="1"/>
  <c r="E16704" i="1"/>
  <c r="E16703" i="1"/>
  <c r="E16702" i="1"/>
  <c r="E16701" i="1"/>
  <c r="E16700" i="1"/>
  <c r="E16699" i="1"/>
  <c r="E16698" i="1"/>
  <c r="E16697" i="1"/>
  <c r="E16696" i="1"/>
  <c r="E16695" i="1"/>
  <c r="E16694" i="1"/>
  <c r="E16693" i="1"/>
  <c r="E16692" i="1"/>
  <c r="E16691" i="1"/>
  <c r="E16690" i="1"/>
  <c r="E16689" i="1"/>
  <c r="E16688" i="1"/>
  <c r="E16687" i="1"/>
  <c r="E16686" i="1"/>
  <c r="E16685" i="1"/>
  <c r="E16684" i="1"/>
  <c r="E16683" i="1"/>
  <c r="E16682" i="1"/>
  <c r="E16681" i="1"/>
  <c r="E16680" i="1"/>
  <c r="E16679" i="1"/>
  <c r="E16678" i="1"/>
  <c r="E16677" i="1"/>
  <c r="E16676" i="1"/>
  <c r="E16675" i="1"/>
  <c r="E16674" i="1"/>
  <c r="E16673" i="1"/>
  <c r="E16672" i="1"/>
  <c r="E16671" i="1"/>
  <c r="E16670" i="1"/>
  <c r="E16669" i="1"/>
  <c r="E16668" i="1"/>
  <c r="E16667" i="1"/>
  <c r="E16666" i="1"/>
  <c r="E16665" i="1"/>
  <c r="E16664" i="1"/>
  <c r="E16663" i="1"/>
  <c r="E16662" i="1"/>
  <c r="E16661" i="1"/>
  <c r="E16660" i="1"/>
  <c r="E16659" i="1"/>
  <c r="E16658" i="1"/>
  <c r="E16657" i="1"/>
  <c r="E16656" i="1"/>
  <c r="E16655" i="1"/>
  <c r="E16654" i="1"/>
  <c r="E16653" i="1"/>
  <c r="E16652" i="1"/>
  <c r="E16651" i="1"/>
  <c r="E16650" i="1"/>
  <c r="E16649" i="1"/>
  <c r="E16648" i="1"/>
  <c r="E16647" i="1"/>
  <c r="E16646" i="1"/>
  <c r="E16645" i="1"/>
  <c r="E16644" i="1"/>
  <c r="E16643" i="1"/>
  <c r="E16642" i="1"/>
  <c r="E16641" i="1"/>
  <c r="E16640" i="1"/>
  <c r="E16639" i="1"/>
  <c r="E16638" i="1"/>
  <c r="E16637" i="1"/>
  <c r="E16636" i="1"/>
  <c r="E16635" i="1"/>
  <c r="E16634" i="1"/>
  <c r="E16633" i="1"/>
  <c r="E16632" i="1"/>
  <c r="E16631" i="1"/>
  <c r="E16630" i="1"/>
  <c r="E16629" i="1"/>
  <c r="E16628" i="1"/>
  <c r="E16627" i="1"/>
  <c r="E16626" i="1"/>
  <c r="E16625" i="1"/>
  <c r="E16624" i="1"/>
  <c r="E16623" i="1"/>
  <c r="E16622" i="1"/>
  <c r="E16621" i="1"/>
  <c r="E16620" i="1"/>
  <c r="E16619" i="1"/>
  <c r="E16618" i="1"/>
  <c r="E16617" i="1"/>
  <c r="E16616" i="1"/>
  <c r="E16615" i="1"/>
  <c r="E16614" i="1"/>
  <c r="E16613" i="1"/>
  <c r="E16612" i="1"/>
  <c r="E16611" i="1"/>
  <c r="E16610" i="1"/>
  <c r="E16609" i="1"/>
  <c r="E16608" i="1"/>
  <c r="E16607" i="1"/>
  <c r="E16606" i="1"/>
  <c r="E16605" i="1"/>
  <c r="E16604" i="1"/>
  <c r="E16603" i="1"/>
  <c r="E16602" i="1"/>
  <c r="E16601" i="1"/>
  <c r="E16600" i="1"/>
  <c r="E16599" i="1"/>
  <c r="E16598" i="1"/>
  <c r="E16597" i="1"/>
  <c r="E16596" i="1"/>
  <c r="E16595" i="1"/>
  <c r="E16594" i="1"/>
  <c r="E16593" i="1"/>
  <c r="E16592" i="1"/>
  <c r="E16591" i="1"/>
  <c r="E16590" i="1"/>
  <c r="E16589" i="1"/>
  <c r="E16588" i="1"/>
  <c r="E16587" i="1"/>
  <c r="E16586" i="1"/>
  <c r="E16585" i="1"/>
  <c r="E16584" i="1"/>
  <c r="E16583" i="1"/>
  <c r="E16582" i="1"/>
  <c r="E16581" i="1"/>
  <c r="E16580" i="1"/>
  <c r="E16579" i="1"/>
  <c r="E16578" i="1"/>
  <c r="E16577" i="1"/>
  <c r="E16576" i="1"/>
  <c r="E16575" i="1"/>
  <c r="E16574" i="1"/>
  <c r="E16573" i="1"/>
  <c r="E16572" i="1"/>
  <c r="E16571" i="1"/>
  <c r="E16570" i="1"/>
  <c r="E16569" i="1"/>
  <c r="E16568" i="1"/>
  <c r="E16567" i="1"/>
  <c r="E16566" i="1"/>
  <c r="E16565" i="1"/>
  <c r="E16564" i="1"/>
  <c r="E16563" i="1"/>
  <c r="E16562" i="1"/>
  <c r="E16561" i="1"/>
  <c r="E16560" i="1"/>
  <c r="E16559" i="1"/>
  <c r="E16558" i="1"/>
  <c r="E16557" i="1"/>
  <c r="E16556" i="1"/>
  <c r="E16555" i="1"/>
  <c r="E16554" i="1"/>
  <c r="E16553" i="1"/>
  <c r="E16552" i="1"/>
  <c r="E16551" i="1"/>
  <c r="E16550" i="1"/>
  <c r="E16549" i="1"/>
  <c r="E16548" i="1"/>
  <c r="E16547" i="1"/>
  <c r="E16546" i="1"/>
  <c r="E16545" i="1"/>
  <c r="E16544" i="1"/>
  <c r="E16543" i="1"/>
  <c r="E16542" i="1"/>
  <c r="E16541" i="1"/>
  <c r="E16540" i="1"/>
  <c r="E16539" i="1"/>
  <c r="E16538" i="1"/>
  <c r="E16537" i="1"/>
  <c r="E16536" i="1"/>
  <c r="E16535" i="1"/>
  <c r="E16534" i="1"/>
  <c r="E16533" i="1"/>
  <c r="E16532" i="1"/>
  <c r="E16531" i="1"/>
  <c r="E16530" i="1"/>
  <c r="E16529" i="1"/>
  <c r="E16528" i="1"/>
  <c r="E16527" i="1"/>
  <c r="E16526" i="1"/>
  <c r="E16525" i="1"/>
  <c r="E16524" i="1"/>
  <c r="E16523" i="1"/>
  <c r="E16522" i="1"/>
  <c r="E16521" i="1"/>
  <c r="E16520" i="1"/>
  <c r="E16519" i="1"/>
  <c r="E16518" i="1"/>
  <c r="E16517" i="1"/>
  <c r="E16516" i="1"/>
  <c r="E16515" i="1"/>
  <c r="E16514" i="1"/>
  <c r="E16513" i="1"/>
  <c r="E16512" i="1"/>
  <c r="E16511" i="1"/>
  <c r="E16510" i="1"/>
  <c r="E16509" i="1"/>
  <c r="E16508" i="1"/>
  <c r="E16507" i="1"/>
  <c r="E16506" i="1"/>
  <c r="E16505" i="1"/>
  <c r="E16504" i="1"/>
  <c r="E16503" i="1"/>
  <c r="E16502" i="1"/>
  <c r="E16501" i="1"/>
  <c r="E16500" i="1"/>
  <c r="E16499" i="1"/>
  <c r="E16498" i="1"/>
  <c r="E16497" i="1"/>
  <c r="E16496" i="1"/>
  <c r="E16495" i="1"/>
  <c r="E16494" i="1"/>
  <c r="E16493" i="1"/>
  <c r="E16492" i="1"/>
  <c r="E16491" i="1"/>
  <c r="E16490" i="1"/>
  <c r="E16489" i="1"/>
  <c r="E16488" i="1"/>
  <c r="E16487" i="1"/>
  <c r="E16486" i="1"/>
  <c r="E16485" i="1"/>
  <c r="E16484" i="1"/>
  <c r="E16483" i="1"/>
  <c r="E16482" i="1"/>
  <c r="E16481" i="1"/>
  <c r="E16480" i="1"/>
  <c r="E16479" i="1"/>
  <c r="E16478" i="1"/>
  <c r="E16477" i="1"/>
  <c r="E16476" i="1"/>
  <c r="E16475" i="1"/>
  <c r="E16474" i="1"/>
  <c r="E16473" i="1"/>
  <c r="E16472" i="1"/>
  <c r="E16471" i="1"/>
  <c r="E16470" i="1"/>
  <c r="E16469" i="1"/>
  <c r="E16468" i="1"/>
  <c r="E16467" i="1"/>
  <c r="E16466" i="1"/>
  <c r="E16465" i="1"/>
  <c r="E16464" i="1"/>
  <c r="E16463" i="1"/>
  <c r="E16462" i="1"/>
  <c r="E16461" i="1"/>
  <c r="E16460" i="1"/>
  <c r="E16459" i="1"/>
  <c r="E16458" i="1"/>
  <c r="E16457" i="1"/>
  <c r="E16456" i="1"/>
  <c r="E16455" i="1"/>
  <c r="E16454" i="1"/>
  <c r="E16453" i="1"/>
  <c r="E16452" i="1"/>
  <c r="E16451" i="1"/>
  <c r="E16450" i="1"/>
  <c r="E16449" i="1"/>
  <c r="E16448" i="1"/>
  <c r="E16447" i="1"/>
  <c r="E16446" i="1"/>
  <c r="E16445" i="1"/>
  <c r="E16444" i="1"/>
  <c r="E16443" i="1"/>
  <c r="E16442" i="1"/>
  <c r="E16441" i="1"/>
  <c r="E16440" i="1"/>
  <c r="E16439" i="1"/>
  <c r="E16438" i="1"/>
  <c r="E16437" i="1"/>
  <c r="E16436" i="1"/>
  <c r="E16435" i="1"/>
  <c r="E16434" i="1"/>
  <c r="E16433" i="1"/>
  <c r="E16432" i="1"/>
  <c r="E16431" i="1"/>
  <c r="E16430" i="1"/>
  <c r="E16429" i="1"/>
  <c r="E16428" i="1"/>
  <c r="E16427" i="1"/>
  <c r="E16426" i="1"/>
  <c r="E16425" i="1"/>
  <c r="E16424" i="1"/>
  <c r="E16423" i="1"/>
  <c r="E16422" i="1"/>
  <c r="E16421" i="1"/>
  <c r="E16420" i="1"/>
  <c r="E16419" i="1"/>
  <c r="E16418" i="1"/>
  <c r="E16417" i="1"/>
  <c r="E16416" i="1"/>
  <c r="E16415" i="1"/>
  <c r="E16414" i="1"/>
  <c r="E16413" i="1"/>
  <c r="E16412" i="1"/>
  <c r="E16411" i="1"/>
  <c r="E16410" i="1"/>
  <c r="E16409" i="1"/>
  <c r="E16408" i="1"/>
  <c r="E16407" i="1"/>
  <c r="E16406" i="1"/>
  <c r="E16405" i="1"/>
  <c r="E16404" i="1"/>
  <c r="E16403" i="1"/>
  <c r="E16402" i="1"/>
  <c r="E16401" i="1"/>
  <c r="E16400" i="1"/>
  <c r="E16399" i="1"/>
  <c r="E16398" i="1"/>
  <c r="E16397" i="1"/>
  <c r="E16396" i="1"/>
  <c r="E16395" i="1"/>
  <c r="E16394" i="1"/>
  <c r="E16393" i="1"/>
  <c r="E16392" i="1"/>
  <c r="E16391" i="1"/>
  <c r="E16390" i="1"/>
  <c r="E16389" i="1"/>
  <c r="E16388" i="1"/>
  <c r="E16387" i="1"/>
  <c r="E16386" i="1"/>
  <c r="E16385" i="1"/>
  <c r="E16384" i="1"/>
  <c r="E16383" i="1"/>
  <c r="E16382" i="1"/>
  <c r="E16381" i="1"/>
  <c r="E16380" i="1"/>
  <c r="E16379" i="1"/>
  <c r="E16378" i="1"/>
  <c r="E16377" i="1"/>
  <c r="E16376" i="1"/>
  <c r="E16375" i="1"/>
  <c r="E16374" i="1"/>
  <c r="E16373" i="1"/>
  <c r="E16372" i="1"/>
  <c r="E16371" i="1"/>
  <c r="E16370" i="1"/>
  <c r="E16369" i="1"/>
  <c r="E16368" i="1"/>
  <c r="E16367" i="1"/>
  <c r="E16366" i="1"/>
  <c r="E16365" i="1"/>
  <c r="E16364" i="1"/>
  <c r="E16363" i="1"/>
  <c r="E16362" i="1"/>
  <c r="E16361" i="1"/>
  <c r="E16360" i="1"/>
  <c r="E16359" i="1"/>
  <c r="E16358" i="1"/>
  <c r="E16357" i="1"/>
  <c r="E16356" i="1"/>
  <c r="E16355" i="1"/>
  <c r="E16354" i="1"/>
  <c r="E16353" i="1"/>
  <c r="E16352" i="1"/>
  <c r="E16351" i="1"/>
  <c r="E16350" i="1"/>
  <c r="E16349" i="1"/>
  <c r="E16348" i="1"/>
  <c r="E16347" i="1"/>
  <c r="E16346" i="1"/>
  <c r="E16345" i="1"/>
  <c r="E16344" i="1"/>
  <c r="E16343" i="1"/>
  <c r="E16342" i="1"/>
  <c r="E16341" i="1"/>
  <c r="E16340" i="1"/>
  <c r="E16339" i="1"/>
  <c r="E16338" i="1"/>
  <c r="E16337" i="1"/>
  <c r="E16336" i="1"/>
  <c r="E16335" i="1"/>
  <c r="E16334" i="1"/>
  <c r="E16333" i="1"/>
  <c r="E16332" i="1"/>
  <c r="E16331" i="1"/>
  <c r="E16330" i="1"/>
  <c r="E16329" i="1"/>
  <c r="E16328" i="1"/>
  <c r="E16327" i="1"/>
  <c r="E16326" i="1"/>
  <c r="E16325" i="1"/>
  <c r="E16324" i="1"/>
  <c r="E16323" i="1"/>
  <c r="E16322" i="1"/>
  <c r="E16321" i="1"/>
  <c r="E16320" i="1"/>
  <c r="E16319" i="1"/>
  <c r="E16318" i="1"/>
  <c r="E16317" i="1"/>
  <c r="E16316" i="1"/>
  <c r="E16315" i="1"/>
  <c r="E16314" i="1"/>
  <c r="E16313" i="1"/>
  <c r="E16312" i="1"/>
  <c r="E16311" i="1"/>
  <c r="E16310" i="1"/>
  <c r="E16309" i="1"/>
  <c r="E16308" i="1"/>
  <c r="E16307" i="1"/>
  <c r="E16306" i="1"/>
  <c r="E16305" i="1"/>
  <c r="E16304" i="1"/>
  <c r="E16303" i="1"/>
  <c r="E16302" i="1"/>
  <c r="E16301" i="1"/>
  <c r="E16300" i="1"/>
  <c r="E16299" i="1"/>
  <c r="E16298" i="1"/>
  <c r="E16297" i="1"/>
  <c r="E16296" i="1"/>
  <c r="E16295" i="1"/>
  <c r="E16294" i="1"/>
  <c r="E16293" i="1"/>
  <c r="E16292" i="1"/>
  <c r="E16291" i="1"/>
  <c r="E16290" i="1"/>
  <c r="E16289" i="1"/>
  <c r="E16288" i="1"/>
  <c r="E16287" i="1"/>
  <c r="E16286" i="1"/>
  <c r="E16285" i="1"/>
  <c r="E16284" i="1"/>
  <c r="E16283" i="1"/>
  <c r="E16282" i="1"/>
  <c r="E16281" i="1"/>
  <c r="E16280" i="1"/>
  <c r="E16279" i="1"/>
  <c r="E16278" i="1"/>
  <c r="E16277" i="1"/>
  <c r="E16276" i="1"/>
  <c r="E16275" i="1"/>
  <c r="E16274" i="1"/>
  <c r="E16273" i="1"/>
  <c r="E16272" i="1"/>
  <c r="E16271" i="1"/>
  <c r="E16270" i="1"/>
  <c r="E16269" i="1"/>
  <c r="E16268" i="1"/>
  <c r="E16267" i="1"/>
  <c r="E16266" i="1"/>
  <c r="E16265" i="1"/>
  <c r="E16264" i="1"/>
  <c r="E16263" i="1"/>
  <c r="E16262" i="1"/>
  <c r="E16261" i="1"/>
  <c r="E16260" i="1"/>
  <c r="E16259" i="1"/>
  <c r="E16258" i="1"/>
  <c r="E16257" i="1"/>
  <c r="E16256" i="1"/>
  <c r="E16255" i="1"/>
  <c r="E16254" i="1"/>
  <c r="E16253" i="1"/>
  <c r="E16252" i="1"/>
  <c r="E16251" i="1"/>
  <c r="E16250" i="1"/>
  <c r="E16249" i="1"/>
  <c r="E16248" i="1"/>
  <c r="E16247" i="1"/>
  <c r="E16246" i="1"/>
  <c r="E16245" i="1"/>
  <c r="E16244" i="1"/>
  <c r="E16243" i="1"/>
  <c r="E16242" i="1"/>
  <c r="E16241" i="1"/>
  <c r="E16240" i="1"/>
  <c r="E16239" i="1"/>
  <c r="E16238" i="1"/>
  <c r="E16237" i="1"/>
  <c r="E16236" i="1"/>
  <c r="E16235" i="1"/>
  <c r="E16234" i="1"/>
  <c r="E16233" i="1"/>
  <c r="E16232" i="1"/>
  <c r="E16231" i="1"/>
  <c r="E16230" i="1"/>
  <c r="E16229" i="1"/>
  <c r="E16228" i="1"/>
  <c r="E16227" i="1"/>
  <c r="E16226" i="1"/>
  <c r="E16225" i="1"/>
  <c r="E16224" i="1"/>
  <c r="E16223" i="1"/>
  <c r="E16222" i="1"/>
  <c r="E16221" i="1"/>
  <c r="E16220" i="1"/>
  <c r="E16219" i="1"/>
  <c r="E16218" i="1"/>
  <c r="E16217" i="1"/>
  <c r="E16216" i="1"/>
  <c r="E16215" i="1"/>
  <c r="E16214" i="1"/>
  <c r="E16213" i="1"/>
  <c r="E16212" i="1"/>
  <c r="E16211" i="1"/>
  <c r="E16210" i="1"/>
  <c r="E16209" i="1"/>
  <c r="E16208" i="1"/>
  <c r="E16207" i="1"/>
  <c r="E16206" i="1"/>
  <c r="E16205" i="1"/>
  <c r="E16204" i="1"/>
  <c r="E16203" i="1"/>
  <c r="E16202" i="1"/>
  <c r="E16201" i="1"/>
  <c r="E16200" i="1"/>
  <c r="E16199" i="1"/>
  <c r="E16198" i="1"/>
  <c r="E16197" i="1"/>
  <c r="E16196" i="1"/>
  <c r="E16195" i="1"/>
  <c r="E16194" i="1"/>
  <c r="E16193" i="1"/>
  <c r="E16192" i="1"/>
  <c r="E16191" i="1"/>
  <c r="E16190" i="1"/>
  <c r="E16189" i="1"/>
  <c r="E16188" i="1"/>
  <c r="E16187" i="1"/>
  <c r="E16186" i="1"/>
  <c r="E16185" i="1"/>
  <c r="E16184" i="1"/>
  <c r="E16183" i="1"/>
  <c r="E16182" i="1"/>
  <c r="E16181" i="1"/>
  <c r="E16180" i="1"/>
  <c r="E16179" i="1"/>
  <c r="E16178" i="1"/>
  <c r="E16177" i="1"/>
  <c r="E16176" i="1"/>
  <c r="E16175" i="1"/>
  <c r="E16174" i="1"/>
  <c r="E16173" i="1"/>
  <c r="E16172" i="1"/>
  <c r="E16171" i="1"/>
  <c r="E16170" i="1"/>
  <c r="E16169" i="1"/>
  <c r="E16168" i="1"/>
  <c r="E16167" i="1"/>
  <c r="E16166" i="1"/>
  <c r="E16165" i="1"/>
  <c r="E16164" i="1"/>
  <c r="E16163" i="1"/>
  <c r="E16162" i="1"/>
  <c r="E16161" i="1"/>
  <c r="E16160" i="1"/>
  <c r="E16159" i="1"/>
  <c r="E16158" i="1"/>
  <c r="E16157" i="1"/>
  <c r="E16156" i="1"/>
  <c r="E16155" i="1"/>
  <c r="E16154" i="1"/>
  <c r="E16153" i="1"/>
  <c r="E16152" i="1"/>
  <c r="E16151" i="1"/>
  <c r="E16150" i="1"/>
  <c r="E16149" i="1"/>
  <c r="E16148" i="1"/>
  <c r="E16147" i="1"/>
  <c r="E16146" i="1"/>
  <c r="E16145" i="1"/>
  <c r="E16144" i="1"/>
  <c r="E16143" i="1"/>
  <c r="E16142" i="1"/>
  <c r="E16141" i="1"/>
  <c r="E16140" i="1"/>
  <c r="E16139" i="1"/>
  <c r="E16138" i="1"/>
  <c r="E16137" i="1"/>
  <c r="E16136" i="1"/>
  <c r="E16135" i="1"/>
  <c r="E16134" i="1"/>
  <c r="E16133" i="1"/>
  <c r="E16132" i="1"/>
  <c r="E16131" i="1"/>
  <c r="E16130" i="1"/>
  <c r="E16129" i="1"/>
  <c r="E16128" i="1"/>
  <c r="E16127" i="1"/>
  <c r="E16126" i="1"/>
  <c r="E16125" i="1"/>
  <c r="E16124" i="1"/>
  <c r="E16123" i="1"/>
  <c r="E16122" i="1"/>
  <c r="E16121" i="1"/>
  <c r="E16120" i="1"/>
  <c r="E16119" i="1"/>
  <c r="E16118" i="1"/>
  <c r="E16117" i="1"/>
  <c r="E16116" i="1"/>
  <c r="E16115" i="1"/>
  <c r="E16114" i="1"/>
  <c r="E16113" i="1"/>
  <c r="E16112" i="1"/>
  <c r="E16111" i="1"/>
  <c r="E16110" i="1"/>
  <c r="E16109" i="1"/>
  <c r="E16108" i="1"/>
  <c r="E16107" i="1"/>
  <c r="E16106" i="1"/>
  <c r="E16105" i="1"/>
  <c r="E16104" i="1"/>
  <c r="E16103" i="1"/>
  <c r="E16102" i="1"/>
  <c r="E16101" i="1"/>
  <c r="E16100" i="1"/>
  <c r="E16099" i="1"/>
  <c r="E16098" i="1"/>
  <c r="E16097" i="1"/>
  <c r="E16096" i="1"/>
  <c r="E16095" i="1"/>
  <c r="E16094" i="1"/>
  <c r="E16093" i="1"/>
  <c r="E16092" i="1"/>
  <c r="E16091" i="1"/>
  <c r="E16090" i="1"/>
  <c r="E16089" i="1"/>
  <c r="E16088" i="1"/>
  <c r="E16087" i="1"/>
  <c r="E16086" i="1"/>
  <c r="E16085" i="1"/>
  <c r="E16084" i="1"/>
  <c r="E16083" i="1"/>
  <c r="E16082" i="1"/>
  <c r="E16081" i="1"/>
  <c r="E16080" i="1"/>
  <c r="E16079" i="1"/>
  <c r="E16078" i="1"/>
  <c r="E16077" i="1"/>
  <c r="E16076" i="1"/>
  <c r="E16075" i="1"/>
  <c r="E16074" i="1"/>
  <c r="E16073" i="1"/>
  <c r="E16072" i="1"/>
  <c r="E16071" i="1"/>
  <c r="E16070" i="1"/>
  <c r="E16069" i="1"/>
  <c r="E16068" i="1"/>
  <c r="E16067" i="1"/>
  <c r="E16066" i="1"/>
  <c r="E16065" i="1"/>
  <c r="E16064" i="1"/>
  <c r="E16063" i="1"/>
  <c r="E16062" i="1"/>
  <c r="E16061" i="1"/>
  <c r="E16060" i="1"/>
  <c r="E16059" i="1"/>
  <c r="E16058" i="1"/>
  <c r="E16057" i="1"/>
  <c r="E16056" i="1"/>
  <c r="E16055" i="1"/>
  <c r="E16054" i="1"/>
  <c r="E16053" i="1"/>
  <c r="E16052" i="1"/>
  <c r="E16051" i="1"/>
  <c r="E16050" i="1"/>
  <c r="E16049" i="1"/>
  <c r="E16048" i="1"/>
  <c r="E16047" i="1"/>
  <c r="E16046" i="1"/>
  <c r="E16045" i="1"/>
  <c r="E16044" i="1"/>
  <c r="E16043" i="1"/>
  <c r="E16042" i="1"/>
  <c r="E16041" i="1"/>
  <c r="E16040" i="1"/>
  <c r="E16039" i="1"/>
  <c r="E16038" i="1"/>
  <c r="E16037" i="1"/>
  <c r="E16036" i="1"/>
  <c r="E16035" i="1"/>
  <c r="E16034" i="1"/>
  <c r="E16033" i="1"/>
  <c r="E16032" i="1"/>
  <c r="E16031" i="1"/>
  <c r="E16030" i="1"/>
  <c r="E16029" i="1"/>
  <c r="E16028" i="1"/>
  <c r="E16027" i="1"/>
  <c r="E16026" i="1"/>
  <c r="E16025" i="1"/>
  <c r="E16024" i="1"/>
  <c r="E16023" i="1"/>
  <c r="E16022" i="1"/>
  <c r="E16021" i="1"/>
  <c r="E16020" i="1"/>
  <c r="E16019" i="1"/>
  <c r="E16018" i="1"/>
  <c r="E16017" i="1"/>
  <c r="E16016" i="1"/>
  <c r="E16015" i="1"/>
  <c r="E16014" i="1"/>
  <c r="E16013" i="1"/>
  <c r="E16012" i="1"/>
  <c r="E16011" i="1"/>
  <c r="E16010" i="1"/>
  <c r="E16009" i="1"/>
  <c r="E16008" i="1"/>
  <c r="E16007" i="1"/>
  <c r="E16006" i="1"/>
  <c r="E16005" i="1"/>
  <c r="E16004" i="1"/>
  <c r="E16003" i="1"/>
  <c r="E16002" i="1"/>
  <c r="E16001" i="1"/>
  <c r="E16000" i="1"/>
  <c r="E15999" i="1"/>
  <c r="E15998" i="1"/>
  <c r="E15997" i="1"/>
  <c r="E15996" i="1"/>
  <c r="E15995" i="1"/>
  <c r="E15994" i="1"/>
  <c r="E15993" i="1"/>
  <c r="E15992" i="1"/>
  <c r="E15991" i="1"/>
  <c r="E15990" i="1"/>
  <c r="E15989" i="1"/>
  <c r="E15988" i="1"/>
  <c r="E15987" i="1"/>
  <c r="E15986" i="1"/>
  <c r="E15985" i="1"/>
  <c r="E15984" i="1"/>
  <c r="E15983" i="1"/>
  <c r="E15982" i="1"/>
  <c r="E15981" i="1"/>
  <c r="E15980" i="1"/>
  <c r="E15979" i="1"/>
  <c r="E15978" i="1"/>
  <c r="E15977" i="1"/>
  <c r="E15976" i="1"/>
  <c r="E15975" i="1"/>
  <c r="E15974" i="1"/>
  <c r="E15973" i="1"/>
  <c r="E15972" i="1"/>
  <c r="E15971" i="1"/>
  <c r="E15970" i="1"/>
  <c r="E15969" i="1"/>
  <c r="E15968" i="1"/>
  <c r="E15967" i="1"/>
  <c r="E15966" i="1"/>
  <c r="E15965" i="1"/>
  <c r="E15964" i="1"/>
  <c r="E15963" i="1"/>
  <c r="E15962" i="1"/>
  <c r="E15961" i="1"/>
  <c r="E15960" i="1"/>
  <c r="E15959" i="1"/>
  <c r="E15958" i="1"/>
  <c r="E15957" i="1"/>
  <c r="E15956" i="1"/>
  <c r="E15955" i="1"/>
  <c r="E15954" i="1"/>
  <c r="E15953" i="1"/>
  <c r="E15952" i="1"/>
  <c r="E15951" i="1"/>
  <c r="E15950" i="1"/>
  <c r="E15949" i="1"/>
  <c r="E15948" i="1"/>
  <c r="E15947" i="1"/>
  <c r="E15946" i="1"/>
  <c r="E15945" i="1"/>
  <c r="E15944" i="1"/>
  <c r="E15943" i="1"/>
  <c r="E15942" i="1"/>
  <c r="E15941" i="1"/>
  <c r="E15940" i="1"/>
  <c r="E15939" i="1"/>
  <c r="E15938" i="1"/>
  <c r="E15937" i="1"/>
  <c r="E15936" i="1"/>
  <c r="E15935" i="1"/>
  <c r="E15934" i="1"/>
  <c r="E15933" i="1"/>
  <c r="E15932" i="1"/>
  <c r="E15931" i="1"/>
  <c r="E15930" i="1"/>
  <c r="E15929" i="1"/>
  <c r="E15928" i="1"/>
  <c r="E15927" i="1"/>
  <c r="E15926" i="1"/>
  <c r="E15925" i="1"/>
  <c r="E15924" i="1"/>
  <c r="E15923" i="1"/>
  <c r="E15922" i="1"/>
  <c r="E15921" i="1"/>
  <c r="E15920" i="1"/>
  <c r="E15919" i="1"/>
  <c r="E15918" i="1"/>
  <c r="E15917" i="1"/>
  <c r="E15916" i="1"/>
  <c r="E15915" i="1"/>
  <c r="E15914" i="1"/>
  <c r="E15913" i="1"/>
  <c r="E15912" i="1"/>
  <c r="E15911" i="1"/>
  <c r="E15910" i="1"/>
  <c r="E15909" i="1"/>
  <c r="E15908" i="1"/>
  <c r="E15907" i="1"/>
  <c r="E15906" i="1"/>
  <c r="E15905" i="1"/>
  <c r="E15904" i="1"/>
  <c r="E15903" i="1"/>
  <c r="E15902" i="1"/>
  <c r="E15901" i="1"/>
  <c r="E15900" i="1"/>
  <c r="E15899" i="1"/>
  <c r="E15898" i="1"/>
  <c r="E15897" i="1"/>
  <c r="E15896" i="1"/>
  <c r="E15895" i="1"/>
  <c r="E15894" i="1"/>
  <c r="E15893" i="1"/>
  <c r="E15892" i="1"/>
  <c r="E15891" i="1"/>
  <c r="E15890" i="1"/>
  <c r="E15889" i="1"/>
  <c r="E15888" i="1"/>
  <c r="E15887" i="1"/>
  <c r="E15886" i="1"/>
  <c r="E15885" i="1"/>
  <c r="E15884" i="1"/>
  <c r="E15883" i="1"/>
  <c r="E15882" i="1"/>
  <c r="E15881" i="1"/>
  <c r="E15880" i="1"/>
  <c r="E15879" i="1"/>
  <c r="E15878" i="1"/>
  <c r="E15877" i="1"/>
  <c r="E15876" i="1"/>
  <c r="E15875" i="1"/>
  <c r="E15874" i="1"/>
  <c r="E15873" i="1"/>
  <c r="E15872" i="1"/>
  <c r="E15871" i="1"/>
  <c r="E15870" i="1"/>
  <c r="E15869" i="1"/>
  <c r="E15868" i="1"/>
  <c r="E15867" i="1"/>
  <c r="E15866" i="1"/>
  <c r="E15865" i="1"/>
  <c r="E15864" i="1"/>
  <c r="E15863" i="1"/>
  <c r="E15862" i="1"/>
  <c r="E15861" i="1"/>
  <c r="E15860" i="1"/>
  <c r="E15859" i="1"/>
  <c r="E15858" i="1"/>
  <c r="E15857" i="1"/>
  <c r="E15856" i="1"/>
  <c r="E15855" i="1"/>
  <c r="E15854" i="1"/>
  <c r="E15853" i="1"/>
  <c r="E15852" i="1"/>
  <c r="E15851" i="1"/>
  <c r="E15850" i="1"/>
  <c r="E15849" i="1"/>
  <c r="E15848" i="1"/>
  <c r="E15847" i="1"/>
  <c r="E15846" i="1"/>
  <c r="E15845" i="1"/>
  <c r="E15844" i="1"/>
  <c r="E15843" i="1"/>
  <c r="E15842" i="1"/>
  <c r="E15841" i="1"/>
  <c r="E15840" i="1"/>
  <c r="E15839" i="1"/>
  <c r="E15838" i="1"/>
  <c r="E15837" i="1"/>
  <c r="E15836" i="1"/>
  <c r="E15835" i="1"/>
  <c r="E15834" i="1"/>
  <c r="E15833" i="1"/>
  <c r="E15832" i="1"/>
  <c r="E15831" i="1"/>
  <c r="E15830" i="1"/>
  <c r="E15829" i="1"/>
  <c r="E15828" i="1"/>
  <c r="E15827" i="1"/>
  <c r="E15826" i="1"/>
  <c r="E15825" i="1"/>
  <c r="E15824" i="1"/>
  <c r="E15823" i="1"/>
  <c r="E15822" i="1"/>
  <c r="E15821" i="1"/>
  <c r="E15820" i="1"/>
  <c r="E15819" i="1"/>
  <c r="E15818" i="1"/>
  <c r="E15817" i="1"/>
  <c r="E15816" i="1"/>
  <c r="E15815" i="1"/>
  <c r="E15814" i="1"/>
  <c r="E15813" i="1"/>
  <c r="E15812" i="1"/>
  <c r="E15811" i="1"/>
  <c r="E15810" i="1"/>
  <c r="E15809" i="1"/>
  <c r="E15808" i="1"/>
  <c r="E15807" i="1"/>
  <c r="E15806" i="1"/>
  <c r="E15805" i="1"/>
  <c r="E15804" i="1"/>
  <c r="E15803" i="1"/>
  <c r="E15802" i="1"/>
  <c r="E15801" i="1"/>
  <c r="E15800" i="1"/>
  <c r="E15799" i="1"/>
  <c r="E15798" i="1"/>
  <c r="E15797" i="1"/>
  <c r="E15796" i="1"/>
  <c r="E15795" i="1"/>
  <c r="E15794" i="1"/>
  <c r="E15793" i="1"/>
  <c r="E15792" i="1"/>
  <c r="E15791" i="1"/>
  <c r="E15790" i="1"/>
  <c r="E15789" i="1"/>
  <c r="E15788" i="1"/>
  <c r="E15787" i="1"/>
  <c r="E15786" i="1"/>
  <c r="E15785" i="1"/>
  <c r="E15784" i="1"/>
  <c r="E15783" i="1"/>
  <c r="E15782" i="1"/>
  <c r="E15781" i="1"/>
  <c r="E15780" i="1"/>
  <c r="E15779" i="1"/>
  <c r="E15778" i="1"/>
  <c r="E15777" i="1"/>
  <c r="E15776" i="1"/>
  <c r="E15775" i="1"/>
  <c r="E15774" i="1"/>
  <c r="E15773" i="1"/>
  <c r="E15772" i="1"/>
  <c r="E15771" i="1"/>
  <c r="E15770" i="1"/>
  <c r="E15769" i="1"/>
  <c r="E15768" i="1"/>
  <c r="E15767" i="1"/>
  <c r="E15766" i="1"/>
  <c r="E15765" i="1"/>
  <c r="E15764" i="1"/>
  <c r="E15763" i="1"/>
  <c r="E15762" i="1"/>
  <c r="E15761" i="1"/>
  <c r="E15760" i="1"/>
  <c r="E15759" i="1"/>
  <c r="E15758" i="1"/>
  <c r="E15757" i="1"/>
  <c r="E15756" i="1"/>
  <c r="E15755" i="1"/>
  <c r="E15754" i="1"/>
  <c r="E15753" i="1"/>
  <c r="E15752" i="1"/>
  <c r="E15751" i="1"/>
  <c r="E15750" i="1"/>
  <c r="E15749" i="1"/>
  <c r="E15748" i="1"/>
  <c r="E15747" i="1"/>
  <c r="E15746" i="1"/>
  <c r="E15745" i="1"/>
  <c r="E15744" i="1"/>
  <c r="E15743" i="1"/>
  <c r="E15742" i="1"/>
  <c r="E15741" i="1"/>
  <c r="E15740" i="1"/>
  <c r="E15739" i="1"/>
  <c r="E15738" i="1"/>
  <c r="E15737" i="1"/>
  <c r="E15736" i="1"/>
  <c r="E15735" i="1"/>
  <c r="E15734" i="1"/>
  <c r="E15733" i="1"/>
  <c r="E15732" i="1"/>
  <c r="E15731" i="1"/>
  <c r="E15730" i="1"/>
  <c r="E15729" i="1"/>
  <c r="E15728" i="1"/>
  <c r="E15727" i="1"/>
  <c r="E15726" i="1"/>
  <c r="E15725" i="1"/>
  <c r="E15724" i="1"/>
  <c r="E15723" i="1"/>
  <c r="E15722" i="1"/>
  <c r="E15721" i="1"/>
  <c r="E15720" i="1"/>
  <c r="E15719" i="1"/>
  <c r="E15718" i="1"/>
  <c r="E15717" i="1"/>
  <c r="E15716" i="1"/>
  <c r="E15715" i="1"/>
  <c r="E15714" i="1"/>
  <c r="E15713" i="1"/>
  <c r="E15712" i="1"/>
  <c r="E15711" i="1"/>
  <c r="E15710" i="1"/>
  <c r="E15709" i="1"/>
  <c r="E15708" i="1"/>
  <c r="E15707" i="1"/>
  <c r="E15706" i="1"/>
  <c r="E15705" i="1"/>
  <c r="E15704" i="1"/>
  <c r="E15703" i="1"/>
  <c r="E15702" i="1"/>
  <c r="E15701" i="1"/>
  <c r="E15700" i="1"/>
  <c r="E15699" i="1"/>
  <c r="E15698" i="1"/>
  <c r="E15697" i="1"/>
  <c r="E15696" i="1"/>
  <c r="E15695" i="1"/>
  <c r="E15694" i="1"/>
  <c r="E15693" i="1"/>
  <c r="E15692" i="1"/>
  <c r="E15691" i="1"/>
  <c r="E15690" i="1"/>
  <c r="E15689" i="1"/>
  <c r="E15688" i="1"/>
  <c r="E15687" i="1"/>
  <c r="E15686" i="1"/>
  <c r="E15685" i="1"/>
  <c r="E15684" i="1"/>
  <c r="E15683" i="1"/>
  <c r="E15682" i="1"/>
  <c r="E15681" i="1"/>
  <c r="E15680" i="1"/>
  <c r="E15679" i="1"/>
  <c r="E15678" i="1"/>
  <c r="E15677" i="1"/>
  <c r="E15676" i="1"/>
  <c r="E15675" i="1"/>
  <c r="E15674" i="1"/>
  <c r="E15673" i="1"/>
  <c r="E15672" i="1"/>
  <c r="E15671" i="1"/>
  <c r="E15670" i="1"/>
  <c r="E15669" i="1"/>
  <c r="E15668" i="1"/>
  <c r="E15667" i="1"/>
  <c r="E15666" i="1"/>
  <c r="E15665" i="1"/>
  <c r="E15664" i="1"/>
  <c r="E15663" i="1"/>
  <c r="E15662" i="1"/>
  <c r="E15661" i="1"/>
  <c r="E15660" i="1"/>
  <c r="E15659" i="1"/>
  <c r="E15658" i="1"/>
  <c r="E15657" i="1"/>
  <c r="E15656" i="1"/>
  <c r="E15655" i="1"/>
  <c r="E15654" i="1"/>
  <c r="E15653" i="1"/>
  <c r="E15652" i="1"/>
  <c r="E15651" i="1"/>
  <c r="E15650" i="1"/>
  <c r="E15649" i="1"/>
  <c r="E15648" i="1"/>
  <c r="E15647" i="1"/>
  <c r="E15646" i="1"/>
  <c r="E15645" i="1"/>
  <c r="E15644" i="1"/>
  <c r="E15643" i="1"/>
  <c r="E15642" i="1"/>
  <c r="E15641" i="1"/>
  <c r="E15640" i="1"/>
  <c r="E15639" i="1"/>
  <c r="E15638" i="1"/>
  <c r="E15637" i="1"/>
  <c r="E15636" i="1"/>
  <c r="E15635" i="1"/>
  <c r="E15634" i="1"/>
  <c r="E15633" i="1"/>
  <c r="E15632" i="1"/>
  <c r="E15631" i="1"/>
  <c r="E15630" i="1"/>
  <c r="E15629" i="1"/>
  <c r="E15628" i="1"/>
  <c r="E15627" i="1"/>
  <c r="E15626" i="1"/>
  <c r="E15625" i="1"/>
  <c r="E15624" i="1"/>
  <c r="E15623" i="1"/>
  <c r="E15622" i="1"/>
  <c r="E15621" i="1"/>
  <c r="E15620" i="1"/>
  <c r="E15619" i="1"/>
  <c r="E15618" i="1"/>
  <c r="E15617" i="1"/>
  <c r="E15616" i="1"/>
  <c r="E15615" i="1"/>
  <c r="E15614" i="1"/>
  <c r="E15613" i="1"/>
  <c r="E15612" i="1"/>
  <c r="E15611" i="1"/>
  <c r="E15610" i="1"/>
  <c r="E15609" i="1"/>
  <c r="E15608" i="1"/>
  <c r="E15607" i="1"/>
  <c r="E15606" i="1"/>
  <c r="E15605" i="1"/>
  <c r="E15604" i="1"/>
  <c r="E15603" i="1"/>
  <c r="E15602" i="1"/>
  <c r="E15601" i="1"/>
  <c r="E15600" i="1"/>
  <c r="E15599" i="1"/>
  <c r="E15598" i="1"/>
  <c r="E15597" i="1"/>
  <c r="E15596" i="1"/>
  <c r="E15595" i="1"/>
  <c r="E15594" i="1"/>
  <c r="E15593" i="1"/>
  <c r="E15592" i="1"/>
  <c r="E15591" i="1"/>
  <c r="E15590" i="1"/>
  <c r="E15589" i="1"/>
  <c r="E15588" i="1"/>
  <c r="E15587" i="1"/>
  <c r="E15586" i="1"/>
  <c r="E15585" i="1"/>
  <c r="E15584" i="1"/>
  <c r="E15583" i="1"/>
  <c r="E15582" i="1"/>
  <c r="E15581" i="1"/>
  <c r="E15580" i="1"/>
  <c r="E15579" i="1"/>
  <c r="E15578" i="1"/>
  <c r="E15577" i="1"/>
  <c r="E15576" i="1"/>
  <c r="E15575" i="1"/>
  <c r="E15574" i="1"/>
  <c r="E15573" i="1"/>
  <c r="E15572" i="1"/>
  <c r="E15571" i="1"/>
  <c r="E15570" i="1"/>
  <c r="E15569" i="1"/>
  <c r="E15568" i="1"/>
  <c r="E15567" i="1"/>
  <c r="E15566" i="1"/>
  <c r="E15565" i="1"/>
  <c r="E15564" i="1"/>
  <c r="E15563" i="1"/>
  <c r="E15562" i="1"/>
  <c r="E15561" i="1"/>
  <c r="E15560" i="1"/>
  <c r="E15559" i="1"/>
  <c r="E15558" i="1"/>
  <c r="E15557" i="1"/>
  <c r="E15556" i="1"/>
  <c r="E15555" i="1"/>
  <c r="E15554" i="1"/>
  <c r="E15553" i="1"/>
  <c r="E15552" i="1"/>
  <c r="E15551" i="1"/>
  <c r="E15550" i="1"/>
  <c r="E15549" i="1"/>
  <c r="E15548" i="1"/>
  <c r="E15547" i="1"/>
  <c r="E15546" i="1"/>
  <c r="E15545" i="1"/>
  <c r="E15544" i="1"/>
  <c r="E15543" i="1"/>
  <c r="E15542" i="1"/>
  <c r="E15541" i="1"/>
  <c r="E15540" i="1"/>
  <c r="E15539" i="1"/>
  <c r="E15538" i="1"/>
  <c r="E15537" i="1"/>
  <c r="E15536" i="1"/>
  <c r="E15535" i="1"/>
  <c r="E15534" i="1"/>
  <c r="E15533" i="1"/>
  <c r="E15532" i="1"/>
  <c r="E15531" i="1"/>
  <c r="E15530" i="1"/>
  <c r="E15529" i="1"/>
  <c r="E15528" i="1"/>
  <c r="E15527" i="1"/>
  <c r="E15526" i="1"/>
  <c r="E15525" i="1"/>
  <c r="E15524" i="1"/>
  <c r="E15523" i="1"/>
  <c r="E15522" i="1"/>
  <c r="E15521" i="1"/>
  <c r="E15520" i="1"/>
  <c r="E15519" i="1"/>
  <c r="E15518" i="1"/>
  <c r="E15517" i="1"/>
  <c r="E15516" i="1"/>
  <c r="E15515" i="1"/>
  <c r="E15514" i="1"/>
  <c r="E15513" i="1"/>
  <c r="E15512" i="1"/>
  <c r="E15511" i="1"/>
  <c r="E15510" i="1"/>
  <c r="E15509" i="1"/>
  <c r="E15508" i="1"/>
  <c r="E15507" i="1"/>
  <c r="E15506" i="1"/>
  <c r="E15505" i="1"/>
  <c r="E15504" i="1"/>
  <c r="E15503" i="1"/>
  <c r="E15502" i="1"/>
  <c r="E15501" i="1"/>
  <c r="E15500" i="1"/>
  <c r="E15499" i="1"/>
  <c r="E15498" i="1"/>
  <c r="E15497" i="1"/>
  <c r="E15496" i="1"/>
  <c r="E15495" i="1"/>
  <c r="E15494" i="1"/>
  <c r="E15493" i="1"/>
  <c r="E15492" i="1"/>
  <c r="E15491" i="1"/>
  <c r="E15490" i="1"/>
  <c r="E15489" i="1"/>
  <c r="E15488" i="1"/>
  <c r="E15487" i="1"/>
  <c r="E15486" i="1"/>
  <c r="E15485" i="1"/>
  <c r="E15484" i="1"/>
  <c r="E15483" i="1"/>
  <c r="E15482" i="1"/>
  <c r="E15481" i="1"/>
  <c r="E15480" i="1"/>
  <c r="E15479" i="1"/>
  <c r="E15478" i="1"/>
  <c r="E15477" i="1"/>
  <c r="E15476" i="1"/>
  <c r="E15475" i="1"/>
  <c r="E15474" i="1"/>
  <c r="E15473" i="1"/>
  <c r="E15472" i="1"/>
  <c r="E15471" i="1"/>
  <c r="E15470" i="1"/>
  <c r="E15469" i="1"/>
  <c r="E15468" i="1"/>
  <c r="E15467" i="1"/>
  <c r="E15466" i="1"/>
  <c r="E15465" i="1"/>
  <c r="E15464" i="1"/>
  <c r="E15463" i="1"/>
  <c r="E15462" i="1"/>
  <c r="E15461" i="1"/>
  <c r="E15460" i="1"/>
  <c r="E15459" i="1"/>
  <c r="E15458" i="1"/>
  <c r="E15457" i="1"/>
  <c r="E15456" i="1"/>
  <c r="E15455" i="1"/>
  <c r="E15454" i="1"/>
  <c r="E15453" i="1"/>
  <c r="E15452" i="1"/>
  <c r="E15451" i="1"/>
  <c r="E15450" i="1"/>
  <c r="E15449" i="1"/>
  <c r="E15448" i="1"/>
  <c r="E15447" i="1"/>
  <c r="E15446" i="1"/>
  <c r="E15445" i="1"/>
  <c r="E15444" i="1"/>
  <c r="E15443" i="1"/>
  <c r="E15442" i="1"/>
  <c r="E15441" i="1"/>
  <c r="E15440" i="1"/>
  <c r="E15439" i="1"/>
  <c r="E15438" i="1"/>
  <c r="E15437" i="1"/>
  <c r="E15436" i="1"/>
  <c r="E15435" i="1"/>
  <c r="E15434" i="1"/>
  <c r="E15433" i="1"/>
  <c r="E15432" i="1"/>
  <c r="E15431" i="1"/>
  <c r="E15430" i="1"/>
  <c r="E15429" i="1"/>
  <c r="E15428" i="1"/>
  <c r="E15427" i="1"/>
  <c r="E15426" i="1"/>
  <c r="E15425" i="1"/>
  <c r="E15424" i="1"/>
  <c r="E15423" i="1"/>
  <c r="E15422" i="1"/>
  <c r="E15421" i="1"/>
  <c r="E15420" i="1"/>
  <c r="E15419" i="1"/>
  <c r="E15418" i="1"/>
  <c r="E15417" i="1"/>
  <c r="E15416" i="1"/>
  <c r="E15415" i="1"/>
  <c r="E15414" i="1"/>
  <c r="E15413" i="1"/>
  <c r="E15412" i="1"/>
  <c r="E15411" i="1"/>
  <c r="E15410" i="1"/>
  <c r="E15409" i="1"/>
  <c r="E15408" i="1"/>
  <c r="E15407" i="1"/>
  <c r="E15406" i="1"/>
  <c r="E15405" i="1"/>
  <c r="E15404" i="1"/>
  <c r="E15403" i="1"/>
  <c r="E15402" i="1"/>
  <c r="E15401" i="1"/>
  <c r="E15400" i="1"/>
  <c r="E15399" i="1"/>
  <c r="E15398" i="1"/>
  <c r="E15397" i="1"/>
  <c r="E15396" i="1"/>
  <c r="E15395" i="1"/>
  <c r="E15394" i="1"/>
  <c r="E15393" i="1"/>
  <c r="E15392" i="1"/>
  <c r="E15391" i="1"/>
  <c r="E15390" i="1"/>
  <c r="E15389" i="1"/>
  <c r="E15388" i="1"/>
  <c r="E15387" i="1"/>
  <c r="E15386" i="1"/>
  <c r="E15385" i="1"/>
  <c r="E15384" i="1"/>
  <c r="E15383" i="1"/>
  <c r="E15382" i="1"/>
  <c r="E15381" i="1"/>
  <c r="E15380" i="1"/>
  <c r="E15379" i="1"/>
  <c r="E15378" i="1"/>
  <c r="E15377" i="1"/>
  <c r="E15376" i="1"/>
  <c r="E15375" i="1"/>
  <c r="E15374" i="1"/>
  <c r="E15373" i="1"/>
  <c r="E15372" i="1"/>
  <c r="E15371" i="1"/>
  <c r="E15370" i="1"/>
  <c r="E15369" i="1"/>
  <c r="E15368" i="1"/>
  <c r="E15367" i="1"/>
  <c r="E15366" i="1"/>
  <c r="E15365" i="1"/>
  <c r="E15364" i="1"/>
  <c r="E15363" i="1"/>
  <c r="E15362" i="1"/>
  <c r="E15361" i="1"/>
  <c r="E15360" i="1"/>
  <c r="E15359" i="1"/>
  <c r="E15358" i="1"/>
  <c r="E15357" i="1"/>
  <c r="E15356" i="1"/>
  <c r="E15355" i="1"/>
  <c r="E15354" i="1"/>
  <c r="E15353" i="1"/>
  <c r="E15352" i="1"/>
  <c r="E15351" i="1"/>
  <c r="E15350" i="1"/>
  <c r="E15349" i="1"/>
  <c r="E15348" i="1"/>
  <c r="E15347" i="1"/>
  <c r="E15346" i="1"/>
  <c r="E15345" i="1"/>
  <c r="E15344" i="1"/>
  <c r="E15343" i="1"/>
  <c r="E15342" i="1"/>
  <c r="E15341" i="1"/>
  <c r="E15340" i="1"/>
  <c r="E15339" i="1"/>
  <c r="E15338" i="1"/>
  <c r="E15337" i="1"/>
  <c r="E15336" i="1"/>
  <c r="E15335" i="1"/>
  <c r="E15334" i="1"/>
  <c r="E15333" i="1"/>
  <c r="E15332" i="1"/>
  <c r="E15331" i="1"/>
  <c r="E15330" i="1"/>
  <c r="E15329" i="1"/>
  <c r="E15328" i="1"/>
  <c r="E15327" i="1"/>
  <c r="E15326" i="1"/>
  <c r="E15325" i="1"/>
  <c r="E15324" i="1"/>
  <c r="E15323" i="1"/>
  <c r="E15322" i="1"/>
  <c r="E15321" i="1"/>
  <c r="E15320" i="1"/>
  <c r="E15319" i="1"/>
  <c r="E15318" i="1"/>
  <c r="E15317" i="1"/>
  <c r="E15316" i="1"/>
  <c r="E15315" i="1"/>
  <c r="E15314" i="1"/>
  <c r="E15313" i="1"/>
  <c r="E15312" i="1"/>
  <c r="E15311" i="1"/>
  <c r="E15310" i="1"/>
  <c r="E15309" i="1"/>
  <c r="E15308" i="1"/>
  <c r="E15307" i="1"/>
  <c r="E15306" i="1"/>
  <c r="E15305" i="1"/>
  <c r="E15304" i="1"/>
  <c r="E15303" i="1"/>
  <c r="E15302" i="1"/>
  <c r="E15301" i="1"/>
  <c r="E15300" i="1"/>
  <c r="E15299" i="1"/>
  <c r="E15298" i="1"/>
  <c r="E15297" i="1"/>
  <c r="E15296" i="1"/>
  <c r="E15295" i="1"/>
  <c r="E15294" i="1"/>
  <c r="E15293" i="1"/>
  <c r="E15292" i="1"/>
  <c r="E15291" i="1"/>
  <c r="E15290" i="1"/>
  <c r="E15289" i="1"/>
  <c r="E15288" i="1"/>
  <c r="E15287" i="1"/>
  <c r="E15286" i="1"/>
  <c r="E15285" i="1"/>
  <c r="E15284" i="1"/>
  <c r="E15283" i="1"/>
  <c r="E15282" i="1"/>
  <c r="E15281" i="1"/>
  <c r="E15280" i="1"/>
  <c r="E15279" i="1"/>
  <c r="E15278" i="1"/>
  <c r="E15277" i="1"/>
  <c r="E15276" i="1"/>
  <c r="E15275" i="1"/>
  <c r="E15274" i="1"/>
  <c r="E15273" i="1"/>
  <c r="E15272" i="1"/>
  <c r="E15271" i="1"/>
  <c r="E15270" i="1"/>
  <c r="E15269" i="1"/>
  <c r="E15268" i="1"/>
  <c r="E15267" i="1"/>
  <c r="E15266" i="1"/>
  <c r="E15265" i="1"/>
  <c r="E15264" i="1"/>
  <c r="E15263" i="1"/>
  <c r="E15262" i="1"/>
  <c r="E15261" i="1"/>
  <c r="E15260" i="1"/>
  <c r="E15259" i="1"/>
  <c r="E15258" i="1"/>
  <c r="E15257" i="1"/>
  <c r="E15256" i="1"/>
  <c r="E15255" i="1"/>
  <c r="E15254" i="1"/>
  <c r="E15253" i="1"/>
  <c r="E15252" i="1"/>
  <c r="E15251" i="1"/>
  <c r="E15250" i="1"/>
  <c r="E15249" i="1"/>
  <c r="E15248" i="1"/>
  <c r="E15247" i="1"/>
  <c r="E15246" i="1"/>
  <c r="E15245" i="1"/>
  <c r="E15244" i="1"/>
  <c r="E15243" i="1"/>
  <c r="E15242" i="1"/>
  <c r="E15241" i="1"/>
  <c r="E15240" i="1"/>
  <c r="E15239" i="1"/>
  <c r="E15238" i="1"/>
  <c r="E15237" i="1"/>
  <c r="E15236" i="1"/>
  <c r="E15235" i="1"/>
  <c r="E15234" i="1"/>
  <c r="E15233" i="1"/>
  <c r="E15232" i="1"/>
  <c r="E15231" i="1"/>
  <c r="E15230" i="1"/>
  <c r="E15229" i="1"/>
  <c r="E15228" i="1"/>
  <c r="E15227" i="1"/>
  <c r="E15226" i="1"/>
  <c r="E15225" i="1"/>
  <c r="E15224" i="1"/>
  <c r="E15223" i="1"/>
  <c r="E15222" i="1"/>
  <c r="E15221" i="1"/>
  <c r="E15220" i="1"/>
  <c r="E15219" i="1"/>
  <c r="E15218" i="1"/>
  <c r="E15217" i="1"/>
  <c r="E15216" i="1"/>
  <c r="E15215" i="1"/>
  <c r="E15214" i="1"/>
  <c r="E15213" i="1"/>
  <c r="E15212" i="1"/>
  <c r="E15211" i="1"/>
  <c r="E15210" i="1"/>
  <c r="E15209" i="1"/>
  <c r="E15208" i="1"/>
  <c r="E15207" i="1"/>
  <c r="E15206" i="1"/>
  <c r="E15205" i="1"/>
  <c r="E15204" i="1"/>
  <c r="E15203" i="1"/>
  <c r="E15202" i="1"/>
  <c r="E15201" i="1"/>
  <c r="E15200" i="1"/>
  <c r="E15199" i="1"/>
  <c r="E15198" i="1"/>
  <c r="E15197" i="1"/>
  <c r="E15196" i="1"/>
  <c r="E15195" i="1"/>
  <c r="E15194" i="1"/>
  <c r="E15193" i="1"/>
  <c r="E15192" i="1"/>
  <c r="E15191" i="1"/>
  <c r="E15190" i="1"/>
  <c r="E15189" i="1"/>
  <c r="E15188" i="1"/>
  <c r="E15187" i="1"/>
  <c r="E15186" i="1"/>
  <c r="E15185" i="1"/>
  <c r="E15184" i="1"/>
  <c r="E15183" i="1"/>
  <c r="E15182" i="1"/>
  <c r="E15181" i="1"/>
  <c r="E15180" i="1"/>
  <c r="E15179" i="1"/>
  <c r="E15178" i="1"/>
  <c r="E15177" i="1"/>
  <c r="E15176" i="1"/>
  <c r="E15175" i="1"/>
  <c r="E15174" i="1"/>
  <c r="E15173" i="1"/>
  <c r="E15172" i="1"/>
  <c r="E15171" i="1"/>
  <c r="E15170" i="1"/>
  <c r="E15169" i="1"/>
  <c r="E15168" i="1"/>
  <c r="E15167" i="1"/>
  <c r="E15166" i="1"/>
  <c r="E15165" i="1"/>
  <c r="E15164" i="1"/>
  <c r="E15163" i="1"/>
  <c r="E15162" i="1"/>
  <c r="E15161" i="1"/>
  <c r="E15160" i="1"/>
  <c r="E15159" i="1"/>
  <c r="E15158" i="1"/>
  <c r="E15157" i="1"/>
  <c r="E15156" i="1"/>
  <c r="E15155" i="1"/>
  <c r="E15154" i="1"/>
  <c r="E15153" i="1"/>
  <c r="E15152" i="1"/>
  <c r="E15151" i="1"/>
  <c r="E15150" i="1"/>
  <c r="E15149" i="1"/>
  <c r="E15148" i="1"/>
  <c r="E15147" i="1"/>
  <c r="E15146" i="1"/>
  <c r="E15145" i="1"/>
  <c r="E15144" i="1"/>
  <c r="E15143" i="1"/>
  <c r="E15142" i="1"/>
  <c r="E15141" i="1"/>
  <c r="E15140" i="1"/>
  <c r="E15139" i="1"/>
  <c r="E15138" i="1"/>
  <c r="E15137" i="1"/>
  <c r="E15136" i="1"/>
  <c r="E15135" i="1"/>
  <c r="E15134" i="1"/>
  <c r="E15133" i="1"/>
  <c r="E15132" i="1"/>
  <c r="E15131" i="1"/>
  <c r="E15130" i="1"/>
  <c r="E15129" i="1"/>
  <c r="E15128" i="1"/>
  <c r="E15127" i="1"/>
  <c r="E15126" i="1"/>
  <c r="E15125" i="1"/>
  <c r="E15124" i="1"/>
  <c r="E15123" i="1"/>
  <c r="E15122" i="1"/>
  <c r="E15121" i="1"/>
  <c r="E15120" i="1"/>
  <c r="E15119" i="1"/>
  <c r="E15118" i="1"/>
  <c r="E15117" i="1"/>
  <c r="E15116" i="1"/>
  <c r="E15115" i="1"/>
  <c r="E15114" i="1"/>
  <c r="E15113" i="1"/>
  <c r="E15112" i="1"/>
  <c r="E15111" i="1"/>
  <c r="E15110" i="1"/>
  <c r="E15109" i="1"/>
  <c r="E15108" i="1"/>
  <c r="E15107" i="1"/>
  <c r="E15106" i="1"/>
  <c r="E15105" i="1"/>
  <c r="E15104" i="1"/>
  <c r="E15103" i="1"/>
  <c r="E15102" i="1"/>
  <c r="E15101" i="1"/>
  <c r="E15100" i="1"/>
  <c r="E15099" i="1"/>
  <c r="E15098" i="1"/>
  <c r="E15097" i="1"/>
  <c r="E15096" i="1"/>
  <c r="E15095" i="1"/>
  <c r="E15094" i="1"/>
  <c r="E15093" i="1"/>
  <c r="E15092" i="1"/>
  <c r="E15091" i="1"/>
  <c r="E15090" i="1"/>
  <c r="E15089" i="1"/>
  <c r="E15088" i="1"/>
  <c r="E15087" i="1"/>
  <c r="E15086" i="1"/>
  <c r="E15085" i="1"/>
  <c r="E15084" i="1"/>
  <c r="E15083" i="1"/>
  <c r="E15082" i="1"/>
  <c r="E15081" i="1"/>
  <c r="E15080" i="1"/>
  <c r="E15079" i="1"/>
  <c r="E15078" i="1"/>
  <c r="E15077" i="1"/>
  <c r="E15076" i="1"/>
  <c r="E15075" i="1"/>
  <c r="E15074" i="1"/>
  <c r="E15073" i="1"/>
  <c r="E15072" i="1"/>
  <c r="E15071" i="1"/>
  <c r="E15070" i="1"/>
  <c r="E15069" i="1"/>
  <c r="E15068" i="1"/>
  <c r="E15067" i="1"/>
  <c r="E15066" i="1"/>
  <c r="E15065" i="1"/>
  <c r="E15064" i="1"/>
  <c r="E15063" i="1"/>
  <c r="E15062" i="1"/>
  <c r="E15061" i="1"/>
  <c r="E15060" i="1"/>
  <c r="E15059" i="1"/>
  <c r="E15058" i="1"/>
  <c r="E15057" i="1"/>
  <c r="E15056" i="1"/>
  <c r="E15055" i="1"/>
  <c r="E15054" i="1"/>
  <c r="E15053" i="1"/>
  <c r="E15052" i="1"/>
  <c r="E15051" i="1"/>
  <c r="E15050" i="1"/>
  <c r="E15049" i="1"/>
  <c r="E15048" i="1"/>
  <c r="E15047" i="1"/>
  <c r="E15046" i="1"/>
  <c r="E15045" i="1"/>
  <c r="E15044" i="1"/>
  <c r="E15043" i="1"/>
  <c r="E15042" i="1"/>
  <c r="E15041" i="1"/>
  <c r="E15040" i="1"/>
  <c r="E15039" i="1"/>
  <c r="E15038" i="1"/>
  <c r="E15037" i="1"/>
  <c r="E15036" i="1"/>
  <c r="E15035" i="1"/>
  <c r="E15034" i="1"/>
  <c r="E15033" i="1"/>
  <c r="E15032" i="1"/>
  <c r="E15031" i="1"/>
  <c r="E15030" i="1"/>
  <c r="E15029" i="1"/>
  <c r="E15028" i="1"/>
  <c r="E15027" i="1"/>
  <c r="E15026" i="1"/>
  <c r="E15025" i="1"/>
  <c r="E15024" i="1"/>
  <c r="E15023" i="1"/>
  <c r="E15022" i="1"/>
  <c r="E15021" i="1"/>
  <c r="E15020" i="1"/>
  <c r="E15019" i="1"/>
  <c r="E15018" i="1"/>
  <c r="E15017" i="1"/>
  <c r="E15016" i="1"/>
  <c r="E15015" i="1"/>
  <c r="E15014" i="1"/>
  <c r="E15013" i="1"/>
  <c r="E15012" i="1"/>
  <c r="E15011" i="1"/>
  <c r="E15010" i="1"/>
  <c r="E15009" i="1"/>
  <c r="E15008" i="1"/>
  <c r="E15007" i="1"/>
  <c r="E15006" i="1"/>
  <c r="E15005" i="1"/>
  <c r="E15004" i="1"/>
  <c r="E15003" i="1"/>
  <c r="E15002" i="1"/>
  <c r="E15001" i="1"/>
  <c r="E15000" i="1"/>
  <c r="E14999" i="1"/>
  <c r="E14998" i="1"/>
  <c r="E14997" i="1"/>
  <c r="E14996" i="1"/>
  <c r="E14995" i="1"/>
  <c r="E14994" i="1"/>
  <c r="E14993" i="1"/>
  <c r="E14992" i="1"/>
  <c r="E14991" i="1"/>
  <c r="E14990" i="1"/>
  <c r="E14989" i="1"/>
  <c r="E14988" i="1"/>
  <c r="E14987" i="1"/>
  <c r="E14986" i="1"/>
  <c r="E14985" i="1"/>
  <c r="E14984" i="1"/>
  <c r="E14983" i="1"/>
  <c r="E14982" i="1"/>
  <c r="E14981" i="1"/>
  <c r="E14980" i="1"/>
  <c r="E14979" i="1"/>
  <c r="E14978" i="1"/>
  <c r="E14977" i="1"/>
  <c r="E14976" i="1"/>
  <c r="E14975" i="1"/>
  <c r="E14974" i="1"/>
  <c r="E14973" i="1"/>
  <c r="E14972" i="1"/>
  <c r="E14971" i="1"/>
  <c r="E14970" i="1"/>
  <c r="E14969" i="1"/>
  <c r="E14968" i="1"/>
  <c r="E14967" i="1"/>
  <c r="E14966" i="1"/>
  <c r="E14965" i="1"/>
  <c r="E14964" i="1"/>
  <c r="E14963" i="1"/>
  <c r="E14962" i="1"/>
  <c r="E14961" i="1"/>
  <c r="E14960" i="1"/>
  <c r="E14959" i="1"/>
  <c r="E14958" i="1"/>
  <c r="E14957" i="1"/>
  <c r="E14956" i="1"/>
  <c r="E14955" i="1"/>
  <c r="E14954" i="1"/>
  <c r="E14953" i="1"/>
  <c r="E14952" i="1"/>
  <c r="E14951" i="1"/>
  <c r="E14950" i="1"/>
  <c r="E14949" i="1"/>
  <c r="E14948" i="1"/>
  <c r="E14947" i="1"/>
  <c r="E14946" i="1"/>
  <c r="E14945" i="1"/>
  <c r="E14944" i="1"/>
  <c r="E14943" i="1"/>
  <c r="E14942" i="1"/>
  <c r="E14941" i="1"/>
  <c r="E14940" i="1"/>
  <c r="E14939" i="1"/>
  <c r="E14938" i="1"/>
  <c r="E14937" i="1"/>
  <c r="E14936" i="1"/>
  <c r="E14935" i="1"/>
  <c r="E14934" i="1"/>
  <c r="E14933" i="1"/>
  <c r="E14932" i="1"/>
  <c r="E14931" i="1"/>
  <c r="E14930" i="1"/>
  <c r="E14929" i="1"/>
  <c r="E14928" i="1"/>
  <c r="E14927" i="1"/>
  <c r="E14926" i="1"/>
  <c r="E14925" i="1"/>
  <c r="E14924" i="1"/>
  <c r="E14923" i="1"/>
  <c r="E14922" i="1"/>
  <c r="E14921" i="1"/>
  <c r="E14920" i="1"/>
  <c r="E14919" i="1"/>
  <c r="E14918" i="1"/>
  <c r="E14917" i="1"/>
  <c r="E14916" i="1"/>
  <c r="E14915" i="1"/>
  <c r="E14914" i="1"/>
  <c r="E14913" i="1"/>
  <c r="E14912" i="1"/>
  <c r="E14911" i="1"/>
  <c r="E14910" i="1"/>
  <c r="E14909" i="1"/>
  <c r="E14908" i="1"/>
  <c r="E14907" i="1"/>
  <c r="E14906" i="1"/>
  <c r="E14905" i="1"/>
  <c r="E14904" i="1"/>
  <c r="E14903" i="1"/>
  <c r="E14902" i="1"/>
  <c r="E14901" i="1"/>
  <c r="E14900" i="1"/>
  <c r="E14899" i="1"/>
  <c r="E14898" i="1"/>
  <c r="E14897" i="1"/>
  <c r="E14896" i="1"/>
  <c r="E14895" i="1"/>
  <c r="E14894" i="1"/>
  <c r="E14893" i="1"/>
  <c r="E14892" i="1"/>
  <c r="E14891" i="1"/>
  <c r="E14890" i="1"/>
  <c r="E14889" i="1"/>
  <c r="E14888" i="1"/>
  <c r="E14887" i="1"/>
  <c r="E14886" i="1"/>
  <c r="E14885" i="1"/>
  <c r="E14884" i="1"/>
  <c r="E14883" i="1"/>
  <c r="E14882" i="1"/>
  <c r="E14881" i="1"/>
  <c r="E14880" i="1"/>
  <c r="E14879" i="1"/>
  <c r="E14878" i="1"/>
  <c r="E14877" i="1"/>
  <c r="E14876" i="1"/>
  <c r="E14875" i="1"/>
  <c r="E14874" i="1"/>
  <c r="E14873" i="1"/>
  <c r="E14872" i="1"/>
  <c r="E14871" i="1"/>
  <c r="E14870" i="1"/>
  <c r="E14869" i="1"/>
  <c r="E14868" i="1"/>
  <c r="E14867" i="1"/>
  <c r="E14866" i="1"/>
  <c r="E14865" i="1"/>
  <c r="E14864" i="1"/>
  <c r="E14863" i="1"/>
  <c r="E14862" i="1"/>
  <c r="E14861" i="1"/>
  <c r="E14860" i="1"/>
  <c r="E14859" i="1"/>
  <c r="E14858" i="1"/>
  <c r="E14857" i="1"/>
  <c r="E14856" i="1"/>
  <c r="E14855" i="1"/>
  <c r="E14854" i="1"/>
  <c r="E14853" i="1"/>
  <c r="E14852" i="1"/>
  <c r="E14851" i="1"/>
  <c r="E14850" i="1"/>
  <c r="E14849" i="1"/>
  <c r="E14848" i="1"/>
  <c r="E14847" i="1"/>
  <c r="E14846" i="1"/>
  <c r="E14845" i="1"/>
  <c r="E14844" i="1"/>
  <c r="E14843" i="1"/>
  <c r="E14842" i="1"/>
  <c r="E14841" i="1"/>
  <c r="E14840" i="1"/>
  <c r="E14839" i="1"/>
  <c r="E14838" i="1"/>
  <c r="E14837" i="1"/>
  <c r="E14836" i="1"/>
  <c r="E14835" i="1"/>
  <c r="E14834" i="1"/>
  <c r="E14833" i="1"/>
  <c r="E14832" i="1"/>
  <c r="E14831" i="1"/>
  <c r="E14830" i="1"/>
  <c r="E14829" i="1"/>
  <c r="E14828" i="1"/>
  <c r="E14827" i="1"/>
  <c r="E14826" i="1"/>
  <c r="E14825" i="1"/>
  <c r="E14824" i="1"/>
  <c r="E14823" i="1"/>
  <c r="E14822" i="1"/>
  <c r="E14821" i="1"/>
  <c r="E14820" i="1"/>
  <c r="E14819" i="1"/>
  <c r="E14818" i="1"/>
  <c r="E14817" i="1"/>
  <c r="E14816" i="1"/>
  <c r="E14815" i="1"/>
  <c r="E14814" i="1"/>
  <c r="E14813" i="1"/>
  <c r="E14812" i="1"/>
  <c r="E14811" i="1"/>
  <c r="E14810" i="1"/>
  <c r="E14809" i="1"/>
  <c r="E14808" i="1"/>
  <c r="E14807" i="1"/>
  <c r="E14806" i="1"/>
  <c r="E14805" i="1"/>
  <c r="E14804" i="1"/>
  <c r="E14803" i="1"/>
  <c r="E14802" i="1"/>
  <c r="E14801" i="1"/>
  <c r="E14800" i="1"/>
  <c r="E14799" i="1"/>
  <c r="E14798" i="1"/>
  <c r="E14797" i="1"/>
  <c r="E14796" i="1"/>
  <c r="E14795" i="1"/>
  <c r="E14794" i="1"/>
  <c r="E14793" i="1"/>
  <c r="E14792" i="1"/>
  <c r="E14791" i="1"/>
  <c r="E14790" i="1"/>
  <c r="E14789" i="1"/>
  <c r="E14788" i="1"/>
  <c r="E14787" i="1"/>
  <c r="E14786" i="1"/>
  <c r="E14785" i="1"/>
  <c r="E14784" i="1"/>
  <c r="E14783" i="1"/>
  <c r="E14782" i="1"/>
  <c r="E14781" i="1"/>
  <c r="E14780" i="1"/>
  <c r="E14779" i="1"/>
  <c r="E14778" i="1"/>
  <c r="E14777" i="1"/>
  <c r="E14776" i="1"/>
  <c r="E14775" i="1"/>
  <c r="E14774" i="1"/>
  <c r="E14773" i="1"/>
  <c r="E14772" i="1"/>
  <c r="E14771" i="1"/>
  <c r="E14770" i="1"/>
  <c r="E14769" i="1"/>
  <c r="E14768" i="1"/>
  <c r="E14767" i="1"/>
  <c r="E14766" i="1"/>
  <c r="E14765" i="1"/>
  <c r="E14764" i="1"/>
  <c r="E14763" i="1"/>
  <c r="E14762" i="1"/>
  <c r="E14761" i="1"/>
  <c r="E14760" i="1"/>
  <c r="E14759" i="1"/>
  <c r="E14758" i="1"/>
  <c r="E14757" i="1"/>
  <c r="E14756" i="1"/>
  <c r="E14755" i="1"/>
  <c r="E14754" i="1"/>
  <c r="E14753" i="1"/>
  <c r="E14752" i="1"/>
  <c r="E14751" i="1"/>
  <c r="E14750" i="1"/>
  <c r="E14749" i="1"/>
  <c r="E14748" i="1"/>
  <c r="E14747" i="1"/>
  <c r="E14746" i="1"/>
  <c r="E14745" i="1"/>
  <c r="E14744" i="1"/>
  <c r="E14743" i="1"/>
  <c r="E14742" i="1"/>
  <c r="E14741" i="1"/>
  <c r="E14740" i="1"/>
  <c r="E14739" i="1"/>
  <c r="E14738" i="1"/>
  <c r="E14737" i="1"/>
  <c r="E14736" i="1"/>
  <c r="E14735" i="1"/>
  <c r="E14734" i="1"/>
  <c r="E14733" i="1"/>
  <c r="E14732" i="1"/>
  <c r="E14731" i="1"/>
  <c r="E14730" i="1"/>
  <c r="E14729" i="1"/>
  <c r="E14728" i="1"/>
  <c r="E14727" i="1"/>
  <c r="E14726" i="1"/>
  <c r="E14725" i="1"/>
  <c r="E14724" i="1"/>
  <c r="E14723" i="1"/>
  <c r="E14722" i="1"/>
  <c r="E14721" i="1"/>
  <c r="E14720" i="1"/>
  <c r="E14719" i="1"/>
  <c r="E14718" i="1"/>
  <c r="E14717" i="1"/>
  <c r="E14716" i="1"/>
  <c r="E14715" i="1"/>
  <c r="E14714" i="1"/>
  <c r="E14713" i="1"/>
  <c r="E14712" i="1"/>
  <c r="E14711" i="1"/>
  <c r="E14710" i="1"/>
  <c r="E14709" i="1"/>
  <c r="E14708" i="1"/>
  <c r="E14707" i="1"/>
  <c r="E14706" i="1"/>
  <c r="E14705" i="1"/>
  <c r="E14704" i="1"/>
  <c r="E14703" i="1"/>
  <c r="E14702" i="1"/>
  <c r="E14701" i="1"/>
  <c r="E14700" i="1"/>
  <c r="E14699" i="1"/>
  <c r="E14698" i="1"/>
  <c r="E14697" i="1"/>
  <c r="E14696" i="1"/>
  <c r="E14695" i="1"/>
  <c r="E14694" i="1"/>
  <c r="E14693" i="1"/>
  <c r="E14692" i="1"/>
  <c r="E14691" i="1"/>
  <c r="E14690" i="1"/>
  <c r="E14689" i="1"/>
  <c r="E14688" i="1"/>
  <c r="E14687" i="1"/>
  <c r="E14686" i="1"/>
  <c r="E14685" i="1"/>
  <c r="E14684" i="1"/>
  <c r="E14683" i="1"/>
  <c r="E14682" i="1"/>
  <c r="E14681" i="1"/>
  <c r="E14680" i="1"/>
  <c r="E14679" i="1"/>
  <c r="E14678" i="1"/>
  <c r="E14677" i="1"/>
  <c r="E14676" i="1"/>
  <c r="E14675" i="1"/>
  <c r="E14674" i="1"/>
  <c r="E14673" i="1"/>
  <c r="E14672" i="1"/>
  <c r="E14671" i="1"/>
  <c r="E14670" i="1"/>
  <c r="E14669" i="1"/>
  <c r="E14668" i="1"/>
  <c r="E14667" i="1"/>
  <c r="E14666" i="1"/>
  <c r="E14665" i="1"/>
  <c r="E14664" i="1"/>
  <c r="E14663" i="1"/>
  <c r="E14662" i="1"/>
  <c r="E14661" i="1"/>
  <c r="E14660" i="1"/>
  <c r="E14659" i="1"/>
  <c r="E14658" i="1"/>
  <c r="E14657" i="1"/>
  <c r="E14656" i="1"/>
  <c r="E14655" i="1"/>
  <c r="E14654" i="1"/>
  <c r="E14653" i="1"/>
  <c r="E14652" i="1"/>
  <c r="E14651" i="1"/>
  <c r="E14650" i="1"/>
  <c r="E14649" i="1"/>
  <c r="E14648" i="1"/>
  <c r="E14647" i="1"/>
  <c r="E14646" i="1"/>
  <c r="E14645" i="1"/>
  <c r="E14644" i="1"/>
  <c r="E14643" i="1"/>
  <c r="E14642" i="1"/>
  <c r="E14641" i="1"/>
  <c r="E14640" i="1"/>
  <c r="E14639" i="1"/>
  <c r="E14638" i="1"/>
  <c r="E14637" i="1"/>
  <c r="E14636" i="1"/>
  <c r="E14635" i="1"/>
  <c r="E14634" i="1"/>
  <c r="E14633" i="1"/>
  <c r="E14632" i="1"/>
  <c r="E14631" i="1"/>
  <c r="E14630" i="1"/>
  <c r="E14629" i="1"/>
  <c r="E14628" i="1"/>
  <c r="E14627" i="1"/>
  <c r="E14626" i="1"/>
  <c r="E14625" i="1"/>
  <c r="E14624" i="1"/>
  <c r="E14623" i="1"/>
  <c r="E14622" i="1"/>
  <c r="E14621" i="1"/>
  <c r="E14620" i="1"/>
  <c r="E14619" i="1"/>
  <c r="E14618" i="1"/>
  <c r="E14617" i="1"/>
  <c r="E14616" i="1"/>
  <c r="E14615" i="1"/>
  <c r="E14614" i="1"/>
  <c r="E14613" i="1"/>
  <c r="E14612" i="1"/>
  <c r="E14611" i="1"/>
  <c r="E14610" i="1"/>
  <c r="E14609" i="1"/>
  <c r="E14608" i="1"/>
  <c r="E14607" i="1"/>
  <c r="E14606" i="1"/>
  <c r="E14605" i="1"/>
  <c r="E14604" i="1"/>
  <c r="E14603" i="1"/>
  <c r="E14602" i="1"/>
  <c r="E14601" i="1"/>
  <c r="E14600" i="1"/>
  <c r="E14599" i="1"/>
  <c r="E14598" i="1"/>
  <c r="E14597" i="1"/>
  <c r="E14596" i="1"/>
  <c r="E14595" i="1"/>
  <c r="E14594" i="1"/>
  <c r="E14593" i="1"/>
  <c r="E14592" i="1"/>
  <c r="E14591" i="1"/>
  <c r="E14590" i="1"/>
  <c r="E14589" i="1"/>
  <c r="E14588" i="1"/>
  <c r="E14587" i="1"/>
  <c r="E14586" i="1"/>
  <c r="E14585" i="1"/>
  <c r="E14584" i="1"/>
  <c r="E14583" i="1"/>
  <c r="E14582" i="1"/>
  <c r="E14581" i="1"/>
  <c r="E14580" i="1"/>
  <c r="E14579" i="1"/>
  <c r="E14578" i="1"/>
  <c r="E14577" i="1"/>
  <c r="E14576" i="1"/>
  <c r="E14575" i="1"/>
  <c r="E14574" i="1"/>
  <c r="E14573" i="1"/>
  <c r="E14572" i="1"/>
  <c r="E14571" i="1"/>
  <c r="E14570" i="1"/>
  <c r="E14569" i="1"/>
  <c r="E14568" i="1"/>
  <c r="E14567" i="1"/>
  <c r="E14566" i="1"/>
  <c r="E14565" i="1"/>
  <c r="E14564" i="1"/>
  <c r="E14563" i="1"/>
  <c r="E14562" i="1"/>
  <c r="E14561" i="1"/>
  <c r="E14560" i="1"/>
  <c r="E14559" i="1"/>
  <c r="E14558" i="1"/>
  <c r="E14557" i="1"/>
  <c r="E14556" i="1"/>
  <c r="E14555" i="1"/>
  <c r="E14554" i="1"/>
  <c r="E14553" i="1"/>
  <c r="E14552" i="1"/>
  <c r="E14551" i="1"/>
  <c r="E14550" i="1"/>
  <c r="E14549" i="1"/>
  <c r="E14548" i="1"/>
  <c r="E14547" i="1"/>
  <c r="E14546" i="1"/>
  <c r="E14545" i="1"/>
  <c r="E14544" i="1"/>
  <c r="E14543" i="1"/>
  <c r="E14542" i="1"/>
  <c r="E14541" i="1"/>
  <c r="E14540" i="1"/>
  <c r="E14539" i="1"/>
  <c r="E14538" i="1"/>
  <c r="E14537" i="1"/>
  <c r="E14536" i="1"/>
  <c r="E14535" i="1"/>
  <c r="E14534" i="1"/>
  <c r="E14533" i="1"/>
  <c r="E14532" i="1"/>
  <c r="E14531" i="1"/>
  <c r="E14530" i="1"/>
  <c r="E14529" i="1"/>
  <c r="E14528" i="1"/>
  <c r="E14527" i="1"/>
  <c r="E14526" i="1"/>
  <c r="E14525" i="1"/>
  <c r="E14524" i="1"/>
  <c r="E14523" i="1"/>
  <c r="E14522" i="1"/>
  <c r="E14521" i="1"/>
  <c r="E14520" i="1"/>
  <c r="E14519" i="1"/>
  <c r="E14518" i="1"/>
  <c r="E14517" i="1"/>
  <c r="E14516" i="1"/>
  <c r="E14515" i="1"/>
  <c r="E14514" i="1"/>
  <c r="E14513" i="1"/>
  <c r="E14512" i="1"/>
  <c r="E14511" i="1"/>
  <c r="E14510" i="1"/>
  <c r="E14509" i="1"/>
  <c r="E14508" i="1"/>
  <c r="E14507" i="1"/>
  <c r="E14506" i="1"/>
  <c r="E14505" i="1"/>
  <c r="E14504" i="1"/>
  <c r="E14503" i="1"/>
  <c r="E14502" i="1"/>
  <c r="E14501" i="1"/>
  <c r="E14500" i="1"/>
  <c r="E14499" i="1"/>
  <c r="E14498" i="1"/>
  <c r="E14497" i="1"/>
  <c r="E14496" i="1"/>
  <c r="E14495" i="1"/>
  <c r="E14494" i="1"/>
  <c r="E14493" i="1"/>
  <c r="E14492" i="1"/>
  <c r="E14491" i="1"/>
  <c r="E14490" i="1"/>
  <c r="E14489" i="1"/>
  <c r="E14488" i="1"/>
  <c r="E14487" i="1"/>
  <c r="E14486" i="1"/>
  <c r="E14485" i="1"/>
  <c r="E14484" i="1"/>
  <c r="E14483" i="1"/>
  <c r="E14482" i="1"/>
  <c r="E14481" i="1"/>
  <c r="E14480" i="1"/>
  <c r="E14479" i="1"/>
  <c r="E14478" i="1"/>
  <c r="E14477" i="1"/>
  <c r="E14476" i="1"/>
  <c r="E14475" i="1"/>
  <c r="E14474" i="1"/>
  <c r="E14473" i="1"/>
  <c r="E14472" i="1"/>
  <c r="E14471" i="1"/>
  <c r="E14470" i="1"/>
  <c r="E14469" i="1"/>
  <c r="E14468" i="1"/>
  <c r="E14467" i="1"/>
  <c r="E14466" i="1"/>
  <c r="E14465" i="1"/>
  <c r="E14464" i="1"/>
  <c r="E14463" i="1"/>
  <c r="E14462" i="1"/>
  <c r="E14461" i="1"/>
  <c r="E14460" i="1"/>
  <c r="E14459" i="1"/>
  <c r="E14458" i="1"/>
  <c r="E14457" i="1"/>
  <c r="E14456" i="1"/>
  <c r="E14455" i="1"/>
  <c r="E14454" i="1"/>
  <c r="E14453" i="1"/>
  <c r="E14452" i="1"/>
  <c r="E14451" i="1"/>
  <c r="E14450" i="1"/>
  <c r="E14449" i="1"/>
  <c r="E14448" i="1"/>
  <c r="E14447" i="1"/>
  <c r="E14446" i="1"/>
  <c r="E14445" i="1"/>
  <c r="E14444" i="1"/>
  <c r="E14443" i="1"/>
  <c r="E14442" i="1"/>
  <c r="E14441" i="1"/>
  <c r="E14440" i="1"/>
  <c r="E14439" i="1"/>
  <c r="E14438" i="1"/>
  <c r="E14437" i="1"/>
  <c r="E14436" i="1"/>
  <c r="E14435" i="1"/>
  <c r="E14434" i="1"/>
  <c r="E14433" i="1"/>
  <c r="E14432" i="1"/>
  <c r="E14431" i="1"/>
  <c r="E14430" i="1"/>
  <c r="E14429" i="1"/>
  <c r="E14428" i="1"/>
  <c r="E14427" i="1"/>
  <c r="E14426" i="1"/>
  <c r="E14425" i="1"/>
  <c r="E14424" i="1"/>
  <c r="E14423" i="1"/>
  <c r="E14422" i="1"/>
  <c r="E14421" i="1"/>
  <c r="E14420" i="1"/>
  <c r="E14419" i="1"/>
  <c r="E14418" i="1"/>
  <c r="E14417" i="1"/>
  <c r="E14416" i="1"/>
  <c r="E14415" i="1"/>
  <c r="E14414" i="1"/>
  <c r="E14413" i="1"/>
  <c r="E14412" i="1"/>
  <c r="E14411" i="1"/>
  <c r="E14410" i="1"/>
  <c r="E14409" i="1"/>
  <c r="E14408" i="1"/>
  <c r="E14407" i="1"/>
  <c r="E14406" i="1"/>
  <c r="E14405" i="1"/>
  <c r="E14404" i="1"/>
  <c r="E14403" i="1"/>
  <c r="E14402" i="1"/>
  <c r="E14401" i="1"/>
  <c r="E14400" i="1"/>
  <c r="E14399" i="1"/>
  <c r="E14398" i="1"/>
  <c r="E14397" i="1"/>
  <c r="E14396" i="1"/>
  <c r="E14395" i="1"/>
  <c r="E14394" i="1"/>
  <c r="E14393" i="1"/>
  <c r="E14392" i="1"/>
  <c r="E14391" i="1"/>
  <c r="E14390" i="1"/>
  <c r="E14389" i="1"/>
  <c r="E14388" i="1"/>
  <c r="E14387" i="1"/>
  <c r="E14386" i="1"/>
  <c r="E14385" i="1"/>
  <c r="E14384" i="1"/>
  <c r="E14383" i="1"/>
  <c r="E14382" i="1"/>
  <c r="E14381" i="1"/>
  <c r="E14380" i="1"/>
  <c r="E14379" i="1"/>
  <c r="E14378" i="1"/>
  <c r="E14377" i="1"/>
  <c r="E14376" i="1"/>
  <c r="E14375" i="1"/>
  <c r="E14374" i="1"/>
  <c r="E14373" i="1"/>
  <c r="E14372" i="1"/>
  <c r="E14371" i="1"/>
  <c r="E14370" i="1"/>
  <c r="E14369" i="1"/>
  <c r="E14368" i="1"/>
  <c r="E14367" i="1"/>
  <c r="E14366" i="1"/>
  <c r="E14365" i="1"/>
  <c r="E14364" i="1"/>
  <c r="E14363" i="1"/>
  <c r="E14362" i="1"/>
  <c r="E14361" i="1"/>
  <c r="E14360" i="1"/>
  <c r="E14359" i="1"/>
  <c r="E14358" i="1"/>
  <c r="E14357" i="1"/>
  <c r="E14356" i="1"/>
  <c r="E14355" i="1"/>
  <c r="E14354" i="1"/>
  <c r="E14353" i="1"/>
  <c r="E14352" i="1"/>
  <c r="E14351" i="1"/>
  <c r="E14350" i="1"/>
  <c r="E14349" i="1"/>
  <c r="E14348" i="1"/>
  <c r="E14347" i="1"/>
  <c r="E14346" i="1"/>
  <c r="E14345" i="1"/>
  <c r="E14344" i="1"/>
  <c r="E14343" i="1"/>
  <c r="E14342" i="1"/>
  <c r="E14341" i="1"/>
  <c r="E14340" i="1"/>
  <c r="E14339" i="1"/>
  <c r="E14338" i="1"/>
  <c r="E14337" i="1"/>
  <c r="E14336" i="1"/>
  <c r="E14335" i="1"/>
  <c r="E14334" i="1"/>
  <c r="E14333" i="1"/>
  <c r="E14332" i="1"/>
  <c r="E14331" i="1"/>
  <c r="E14330" i="1"/>
  <c r="E14329" i="1"/>
  <c r="E14328" i="1"/>
  <c r="E14327" i="1"/>
  <c r="E14326" i="1"/>
  <c r="E14325" i="1"/>
  <c r="E14324" i="1"/>
  <c r="E14323" i="1"/>
  <c r="E14322" i="1"/>
  <c r="E14321" i="1"/>
  <c r="E14320" i="1"/>
  <c r="E14319" i="1"/>
  <c r="E14318" i="1"/>
  <c r="E14317" i="1"/>
  <c r="E14316" i="1"/>
  <c r="E14315" i="1"/>
  <c r="E14314" i="1"/>
  <c r="E14313" i="1"/>
  <c r="E14312" i="1"/>
  <c r="E14311" i="1"/>
  <c r="E14310" i="1"/>
  <c r="E14309" i="1"/>
  <c r="E14308" i="1"/>
  <c r="E14307" i="1"/>
  <c r="E14306" i="1"/>
  <c r="E14305" i="1"/>
  <c r="E14304" i="1"/>
  <c r="E14303" i="1"/>
  <c r="E14302" i="1"/>
  <c r="E14301" i="1"/>
  <c r="E14300" i="1"/>
  <c r="E14299" i="1"/>
  <c r="E14298" i="1"/>
  <c r="E14297" i="1"/>
  <c r="E14296" i="1"/>
  <c r="E14295" i="1"/>
  <c r="E14294" i="1"/>
  <c r="E14293" i="1"/>
  <c r="E14292" i="1"/>
  <c r="E14291" i="1"/>
  <c r="E14290" i="1"/>
  <c r="E14289" i="1"/>
  <c r="E14288" i="1"/>
  <c r="E14287" i="1"/>
  <c r="E14286" i="1"/>
  <c r="E14285" i="1"/>
  <c r="E14284" i="1"/>
  <c r="E14283" i="1"/>
  <c r="E14282" i="1"/>
  <c r="E14281" i="1"/>
  <c r="E14280" i="1"/>
  <c r="E14279" i="1"/>
  <c r="E14278" i="1"/>
  <c r="E14277" i="1"/>
  <c r="E14276" i="1"/>
  <c r="E14275" i="1"/>
  <c r="E14274" i="1"/>
  <c r="E14273" i="1"/>
  <c r="E14272" i="1"/>
  <c r="E14271" i="1"/>
  <c r="E14270" i="1"/>
  <c r="E14269" i="1"/>
  <c r="E14268" i="1"/>
  <c r="E14267" i="1"/>
  <c r="E14266" i="1"/>
  <c r="E14265" i="1"/>
  <c r="E14264" i="1"/>
  <c r="E14263" i="1"/>
  <c r="E14262" i="1"/>
  <c r="E14261" i="1"/>
  <c r="E14260" i="1"/>
  <c r="E14259" i="1"/>
  <c r="E14258" i="1"/>
  <c r="E14257" i="1"/>
  <c r="E14256" i="1"/>
  <c r="E14255" i="1"/>
  <c r="E14254" i="1"/>
  <c r="E14253" i="1"/>
  <c r="E14252" i="1"/>
  <c r="E14251" i="1"/>
  <c r="E14250" i="1"/>
  <c r="E14249" i="1"/>
  <c r="E14248" i="1"/>
  <c r="E14247" i="1"/>
  <c r="E14246" i="1"/>
  <c r="E14245" i="1"/>
  <c r="E14244" i="1"/>
  <c r="E14243" i="1"/>
  <c r="E14242" i="1"/>
  <c r="E14241" i="1"/>
  <c r="E14240" i="1"/>
  <c r="E14239" i="1"/>
  <c r="E14238" i="1"/>
  <c r="E14237" i="1"/>
  <c r="E14236" i="1"/>
  <c r="E14235" i="1"/>
  <c r="E14234" i="1"/>
  <c r="E14233" i="1"/>
  <c r="E14232" i="1"/>
  <c r="E14231" i="1"/>
  <c r="E14230" i="1"/>
  <c r="E14229" i="1"/>
  <c r="E14228" i="1"/>
  <c r="E14227" i="1"/>
  <c r="E14226" i="1"/>
  <c r="E14225" i="1"/>
  <c r="E14224" i="1"/>
  <c r="E14223" i="1"/>
  <c r="E14222" i="1"/>
  <c r="E14221" i="1"/>
  <c r="E14220" i="1"/>
  <c r="E14219" i="1"/>
  <c r="E14218" i="1"/>
  <c r="E14217" i="1"/>
  <c r="E14216" i="1"/>
  <c r="E14215" i="1"/>
  <c r="E14214" i="1"/>
  <c r="E14213" i="1"/>
  <c r="E14212" i="1"/>
  <c r="E14211" i="1"/>
  <c r="E14210" i="1"/>
  <c r="E14209" i="1"/>
  <c r="E14208" i="1"/>
  <c r="E14207" i="1"/>
  <c r="E14206" i="1"/>
  <c r="E14205" i="1"/>
  <c r="E14204" i="1"/>
  <c r="E14203" i="1"/>
  <c r="E14202" i="1"/>
  <c r="E14201" i="1"/>
  <c r="E14200" i="1"/>
  <c r="E14199" i="1"/>
  <c r="E14198" i="1"/>
  <c r="E14197" i="1"/>
  <c r="E14196" i="1"/>
  <c r="E14195" i="1"/>
  <c r="E14194" i="1"/>
  <c r="E14193" i="1"/>
  <c r="E14192" i="1"/>
  <c r="E14191" i="1"/>
  <c r="E14190" i="1"/>
  <c r="E14189" i="1"/>
  <c r="E14188" i="1"/>
  <c r="E14187" i="1"/>
  <c r="E14186" i="1"/>
  <c r="E14185" i="1"/>
  <c r="E14184" i="1"/>
  <c r="E14183" i="1"/>
  <c r="E14182" i="1"/>
  <c r="E14181" i="1"/>
  <c r="E14180" i="1"/>
  <c r="E14179" i="1"/>
  <c r="E14178" i="1"/>
  <c r="E14177" i="1"/>
  <c r="E14176" i="1"/>
  <c r="E14175" i="1"/>
  <c r="E14174" i="1"/>
  <c r="E14173" i="1"/>
  <c r="E14172" i="1"/>
  <c r="E14171" i="1"/>
  <c r="E14170" i="1"/>
  <c r="E14169" i="1"/>
  <c r="E14168" i="1"/>
  <c r="E14167" i="1"/>
  <c r="E14166" i="1"/>
  <c r="E14165" i="1"/>
  <c r="E14164" i="1"/>
  <c r="E14163" i="1"/>
  <c r="E14162" i="1"/>
  <c r="E14161" i="1"/>
  <c r="E14160" i="1"/>
  <c r="E14159" i="1"/>
  <c r="E14158" i="1"/>
  <c r="E14157" i="1"/>
  <c r="E14156" i="1"/>
  <c r="E14155" i="1"/>
  <c r="E14154" i="1"/>
  <c r="E14153" i="1"/>
  <c r="E14152" i="1"/>
  <c r="E14151" i="1"/>
  <c r="E14150" i="1"/>
  <c r="E14149" i="1"/>
  <c r="E14148" i="1"/>
  <c r="E14147" i="1"/>
  <c r="E14146" i="1"/>
  <c r="E14145" i="1"/>
  <c r="E14144" i="1"/>
  <c r="E14143" i="1"/>
  <c r="E14142" i="1"/>
  <c r="E14141" i="1"/>
  <c r="E14140" i="1"/>
  <c r="E14139" i="1"/>
  <c r="E14138" i="1"/>
  <c r="E14137" i="1"/>
  <c r="E14136" i="1"/>
  <c r="E14135" i="1"/>
  <c r="E14134" i="1"/>
  <c r="E14133" i="1"/>
  <c r="E14132" i="1"/>
  <c r="E14131" i="1"/>
  <c r="E14130" i="1"/>
  <c r="E14129" i="1"/>
  <c r="E14128" i="1"/>
  <c r="E14127" i="1"/>
  <c r="E14126" i="1"/>
  <c r="E14125" i="1"/>
  <c r="E14124" i="1"/>
  <c r="E14123" i="1"/>
  <c r="E14122" i="1"/>
  <c r="E14121" i="1"/>
  <c r="E14120" i="1"/>
  <c r="E14119" i="1"/>
  <c r="E14118" i="1"/>
  <c r="E14117" i="1"/>
  <c r="E14116" i="1"/>
  <c r="E14115" i="1"/>
  <c r="E14114" i="1"/>
  <c r="E14113" i="1"/>
  <c r="E14112" i="1"/>
  <c r="E14111" i="1"/>
  <c r="E14110" i="1"/>
  <c r="E14109" i="1"/>
  <c r="E14108" i="1"/>
  <c r="E14107" i="1"/>
  <c r="E14106" i="1"/>
  <c r="E14105" i="1"/>
  <c r="E14104" i="1"/>
  <c r="E14103" i="1"/>
  <c r="E14102" i="1"/>
  <c r="E14101" i="1"/>
  <c r="E14100" i="1"/>
  <c r="E14099" i="1"/>
  <c r="E14098" i="1"/>
  <c r="E14097" i="1"/>
  <c r="E14096" i="1"/>
  <c r="E14095" i="1"/>
  <c r="E14094" i="1"/>
  <c r="E14093" i="1"/>
  <c r="E14092" i="1"/>
  <c r="E14091" i="1"/>
  <c r="E14090" i="1"/>
  <c r="E14089" i="1"/>
  <c r="E14088" i="1"/>
  <c r="E14087" i="1"/>
  <c r="E14086" i="1"/>
  <c r="E14085" i="1"/>
  <c r="E14084" i="1"/>
  <c r="E14083" i="1"/>
  <c r="E14082" i="1"/>
  <c r="E14081" i="1"/>
  <c r="E14080" i="1"/>
  <c r="E14079" i="1"/>
  <c r="E14078" i="1"/>
  <c r="E14077" i="1"/>
  <c r="E14076" i="1"/>
  <c r="E14075" i="1"/>
  <c r="E14074" i="1"/>
  <c r="E14073" i="1"/>
  <c r="E14072" i="1"/>
  <c r="E14071" i="1"/>
  <c r="E14070" i="1"/>
  <c r="E14069" i="1"/>
  <c r="E14068" i="1"/>
  <c r="E14067" i="1"/>
  <c r="E14066" i="1"/>
  <c r="E14065" i="1"/>
  <c r="E14064" i="1"/>
  <c r="E14063" i="1"/>
  <c r="E14062" i="1"/>
  <c r="E14061" i="1"/>
  <c r="E14060" i="1"/>
  <c r="E14059" i="1"/>
  <c r="E14058" i="1"/>
  <c r="E14057" i="1"/>
  <c r="E14056" i="1"/>
  <c r="E14055" i="1"/>
  <c r="E14054" i="1"/>
  <c r="E14053" i="1"/>
  <c r="E14052" i="1"/>
  <c r="E14051" i="1"/>
  <c r="E14050" i="1"/>
  <c r="E14049" i="1"/>
  <c r="E14048" i="1"/>
  <c r="E14047" i="1"/>
  <c r="E14046" i="1"/>
  <c r="E14045" i="1"/>
  <c r="E14044" i="1"/>
  <c r="E14043" i="1"/>
  <c r="E14042" i="1"/>
  <c r="E14041" i="1"/>
  <c r="E14040" i="1"/>
  <c r="E14039" i="1"/>
  <c r="E14038" i="1"/>
  <c r="E14037" i="1"/>
  <c r="E14036" i="1"/>
  <c r="E14035" i="1"/>
  <c r="E14034" i="1"/>
  <c r="E14033" i="1"/>
  <c r="E14032" i="1"/>
  <c r="E14031" i="1"/>
  <c r="E14030" i="1"/>
  <c r="E14029" i="1"/>
  <c r="E14028" i="1"/>
  <c r="E14027" i="1"/>
  <c r="E14026" i="1"/>
  <c r="E14025" i="1"/>
  <c r="E14024" i="1"/>
  <c r="E14023" i="1"/>
  <c r="E14022" i="1"/>
  <c r="E14021" i="1"/>
  <c r="E14020" i="1"/>
  <c r="E14019" i="1"/>
  <c r="E14018" i="1"/>
  <c r="E14017" i="1"/>
  <c r="E14016" i="1"/>
  <c r="E14015" i="1"/>
  <c r="E14014" i="1"/>
  <c r="E14013" i="1"/>
  <c r="E14012" i="1"/>
  <c r="E14011" i="1"/>
  <c r="E14010" i="1"/>
  <c r="E14009" i="1"/>
  <c r="E14008" i="1"/>
  <c r="E14007" i="1"/>
  <c r="E14006" i="1"/>
  <c r="E14005" i="1"/>
  <c r="E14004" i="1"/>
  <c r="E14003" i="1"/>
  <c r="E14002" i="1"/>
  <c r="E14001" i="1"/>
  <c r="E14000" i="1"/>
  <c r="E13999" i="1"/>
  <c r="E13998" i="1"/>
  <c r="E13997" i="1"/>
  <c r="E13996" i="1"/>
  <c r="E13995" i="1"/>
  <c r="E13994" i="1"/>
  <c r="E13993" i="1"/>
  <c r="E13992" i="1"/>
  <c r="E13991" i="1"/>
  <c r="E13990" i="1"/>
  <c r="E13989" i="1"/>
  <c r="E13988" i="1"/>
  <c r="E13987" i="1"/>
  <c r="E13986" i="1"/>
  <c r="E13985" i="1"/>
  <c r="E13984" i="1"/>
  <c r="E13983" i="1"/>
  <c r="E13982" i="1"/>
  <c r="E13981" i="1"/>
  <c r="E13980" i="1"/>
  <c r="E13979" i="1"/>
  <c r="E13978" i="1"/>
  <c r="E13977" i="1"/>
  <c r="E13976" i="1"/>
  <c r="E13975" i="1"/>
  <c r="E13974" i="1"/>
  <c r="E13973" i="1"/>
  <c r="E13972" i="1"/>
  <c r="E13971" i="1"/>
  <c r="E13970" i="1"/>
  <c r="E13969" i="1"/>
  <c r="E13968" i="1"/>
  <c r="E13967" i="1"/>
  <c r="E13966" i="1"/>
  <c r="E13965" i="1"/>
  <c r="E13964" i="1"/>
  <c r="E13963" i="1"/>
  <c r="E13962" i="1"/>
  <c r="E13961" i="1"/>
  <c r="E13960" i="1"/>
  <c r="E13959" i="1"/>
  <c r="E13958" i="1"/>
  <c r="E13957" i="1"/>
  <c r="E13956" i="1"/>
  <c r="E13955" i="1"/>
  <c r="E13954" i="1"/>
  <c r="E13953" i="1"/>
  <c r="E13952" i="1"/>
  <c r="E13951" i="1"/>
  <c r="E13950" i="1"/>
  <c r="E13949" i="1"/>
  <c r="E13948" i="1"/>
  <c r="E13947" i="1"/>
  <c r="E13946" i="1"/>
  <c r="E13945" i="1"/>
  <c r="E13944" i="1"/>
  <c r="E13943" i="1"/>
  <c r="E13942" i="1"/>
  <c r="E13941" i="1"/>
  <c r="E13940" i="1"/>
  <c r="E13939" i="1"/>
  <c r="E13938" i="1"/>
  <c r="E13937" i="1"/>
  <c r="E13936" i="1"/>
  <c r="E13935" i="1"/>
  <c r="E13934" i="1"/>
  <c r="E13933" i="1"/>
  <c r="E13932" i="1"/>
  <c r="E13931" i="1"/>
  <c r="E13930" i="1"/>
  <c r="E13929" i="1"/>
  <c r="E13928" i="1"/>
  <c r="E13927" i="1"/>
  <c r="E13926" i="1"/>
  <c r="E13925" i="1"/>
  <c r="E13924" i="1"/>
  <c r="E13923" i="1"/>
  <c r="E13922" i="1"/>
  <c r="E13921" i="1"/>
  <c r="E13920" i="1"/>
  <c r="E13919" i="1"/>
  <c r="E13918" i="1"/>
  <c r="E13917" i="1"/>
  <c r="E13916" i="1"/>
  <c r="E13915" i="1"/>
  <c r="E13914" i="1"/>
  <c r="E13913" i="1"/>
  <c r="E13912" i="1"/>
  <c r="E13911" i="1"/>
  <c r="E13910" i="1"/>
  <c r="E13909" i="1"/>
  <c r="E13908" i="1"/>
  <c r="E13907" i="1"/>
  <c r="E13906" i="1"/>
  <c r="E13905" i="1"/>
  <c r="E13904" i="1"/>
  <c r="E13903" i="1"/>
  <c r="E13902" i="1"/>
  <c r="E13901" i="1"/>
  <c r="E13900" i="1"/>
  <c r="E13899" i="1"/>
  <c r="E13898" i="1"/>
  <c r="E13897" i="1"/>
  <c r="E13896" i="1"/>
  <c r="E13895" i="1"/>
  <c r="E13894" i="1"/>
  <c r="E13893" i="1"/>
  <c r="E13892" i="1"/>
  <c r="E13891" i="1"/>
  <c r="E13890" i="1"/>
  <c r="E13889" i="1"/>
  <c r="E13888" i="1"/>
  <c r="E13887" i="1"/>
  <c r="E13886" i="1"/>
  <c r="E13885" i="1"/>
  <c r="E13884" i="1"/>
  <c r="E13883" i="1"/>
  <c r="E13882" i="1"/>
  <c r="E13881" i="1"/>
  <c r="E13880" i="1"/>
  <c r="E13879" i="1"/>
  <c r="E13878" i="1"/>
  <c r="E13877" i="1"/>
  <c r="E13876" i="1"/>
  <c r="E13875" i="1"/>
  <c r="E13874" i="1"/>
  <c r="E13873" i="1"/>
  <c r="E13872" i="1"/>
  <c r="E13871" i="1"/>
  <c r="E13870" i="1"/>
  <c r="E13869" i="1"/>
  <c r="E13868" i="1"/>
  <c r="E13867" i="1"/>
  <c r="E13866" i="1"/>
  <c r="E13865" i="1"/>
  <c r="E13864" i="1"/>
  <c r="E13863" i="1"/>
  <c r="E13862" i="1"/>
  <c r="E13861" i="1"/>
  <c r="E13860" i="1"/>
  <c r="E13859" i="1"/>
  <c r="E13858" i="1"/>
  <c r="E13857" i="1"/>
  <c r="E13856" i="1"/>
  <c r="E13855" i="1"/>
  <c r="E13854" i="1"/>
  <c r="E13853" i="1"/>
  <c r="E13852" i="1"/>
  <c r="E13851" i="1"/>
  <c r="E13850" i="1"/>
  <c r="E13849" i="1"/>
  <c r="E13848" i="1"/>
  <c r="E13847" i="1"/>
  <c r="E13846" i="1"/>
  <c r="E13845" i="1"/>
  <c r="E13844" i="1"/>
  <c r="E13843" i="1"/>
  <c r="E13842" i="1"/>
  <c r="E13841" i="1"/>
  <c r="E13840" i="1"/>
  <c r="E13839" i="1"/>
  <c r="E13838" i="1"/>
  <c r="E13837" i="1"/>
  <c r="E13836" i="1"/>
  <c r="E13835" i="1"/>
  <c r="E13834" i="1"/>
  <c r="E13833" i="1"/>
  <c r="E13832" i="1"/>
  <c r="E13831" i="1"/>
  <c r="E13830" i="1"/>
  <c r="E13829" i="1"/>
  <c r="E13828" i="1"/>
  <c r="E13827" i="1"/>
  <c r="E13826" i="1"/>
  <c r="E13825" i="1"/>
  <c r="E13824" i="1"/>
  <c r="E13823" i="1"/>
  <c r="E13822" i="1"/>
  <c r="E13821" i="1"/>
  <c r="E13820" i="1"/>
  <c r="E13819" i="1"/>
  <c r="E13818" i="1"/>
  <c r="E13817" i="1"/>
  <c r="E13816" i="1"/>
  <c r="E13815" i="1"/>
  <c r="E13814" i="1"/>
  <c r="E13813" i="1"/>
  <c r="E13812" i="1"/>
  <c r="E13811" i="1"/>
  <c r="E13810" i="1"/>
  <c r="E13809" i="1"/>
  <c r="E13808" i="1"/>
  <c r="E13807" i="1"/>
  <c r="E13806" i="1"/>
  <c r="E13805" i="1"/>
  <c r="E13804" i="1"/>
  <c r="E13803" i="1"/>
  <c r="E13802" i="1"/>
  <c r="E13801" i="1"/>
  <c r="E13800" i="1"/>
  <c r="E13799" i="1"/>
  <c r="E13798" i="1"/>
  <c r="E13797" i="1"/>
  <c r="E13796" i="1"/>
  <c r="E13795" i="1"/>
  <c r="E13794" i="1"/>
  <c r="E13793" i="1"/>
  <c r="E13792" i="1"/>
  <c r="E13791" i="1"/>
  <c r="E13790" i="1"/>
  <c r="E13789" i="1"/>
  <c r="E13788" i="1"/>
  <c r="E13787" i="1"/>
  <c r="E13786" i="1"/>
  <c r="E13785" i="1"/>
  <c r="E13784" i="1"/>
  <c r="E13783" i="1"/>
  <c r="E13782" i="1"/>
  <c r="E13781" i="1"/>
  <c r="E13780" i="1"/>
  <c r="E13779" i="1"/>
  <c r="E13778" i="1"/>
  <c r="E13777" i="1"/>
  <c r="E13776" i="1"/>
  <c r="E13775" i="1"/>
  <c r="E13774" i="1"/>
  <c r="E13773" i="1"/>
  <c r="E13772" i="1"/>
  <c r="E13771" i="1"/>
  <c r="E13770" i="1"/>
  <c r="E13769" i="1"/>
  <c r="E13768" i="1"/>
  <c r="E13767" i="1"/>
  <c r="E13766" i="1"/>
  <c r="E13765" i="1"/>
  <c r="E13764" i="1"/>
  <c r="E13763" i="1"/>
  <c r="E13762" i="1"/>
  <c r="E13761" i="1"/>
  <c r="E13760" i="1"/>
  <c r="E13759" i="1"/>
  <c r="E13758" i="1"/>
  <c r="E13757" i="1"/>
  <c r="E13756" i="1"/>
  <c r="E13755" i="1"/>
  <c r="E13754" i="1"/>
  <c r="E13753" i="1"/>
  <c r="E13752" i="1"/>
  <c r="E13751" i="1"/>
  <c r="E13750" i="1"/>
  <c r="E13749" i="1"/>
  <c r="E13748" i="1"/>
  <c r="E13747" i="1"/>
  <c r="E13746" i="1"/>
  <c r="E13745" i="1"/>
  <c r="E13744" i="1"/>
  <c r="E13743" i="1"/>
  <c r="E13742" i="1"/>
  <c r="E13741" i="1"/>
  <c r="E13740" i="1"/>
  <c r="E13739" i="1"/>
  <c r="E13738" i="1"/>
  <c r="E13737" i="1"/>
  <c r="E13736" i="1"/>
  <c r="E13735" i="1"/>
  <c r="E13734" i="1"/>
  <c r="E13733" i="1"/>
  <c r="E13732" i="1"/>
  <c r="E13731" i="1"/>
  <c r="E13730" i="1"/>
  <c r="E13729" i="1"/>
  <c r="E13728" i="1"/>
  <c r="E13727" i="1"/>
  <c r="E13726" i="1"/>
  <c r="E13725" i="1"/>
  <c r="E13724" i="1"/>
  <c r="E13723" i="1"/>
  <c r="E13722" i="1"/>
  <c r="E13721" i="1"/>
  <c r="E13720" i="1"/>
  <c r="E13719" i="1"/>
  <c r="E13718" i="1"/>
  <c r="E13717" i="1"/>
  <c r="E13716" i="1"/>
  <c r="E13715" i="1"/>
  <c r="E13714" i="1"/>
  <c r="E13713" i="1"/>
  <c r="E13712" i="1"/>
  <c r="E13711" i="1"/>
  <c r="E13710" i="1"/>
  <c r="E13709" i="1"/>
  <c r="E13708" i="1"/>
  <c r="E13707" i="1"/>
  <c r="E13706" i="1"/>
  <c r="E13705" i="1"/>
  <c r="E13704" i="1"/>
  <c r="E13703" i="1"/>
  <c r="E13702" i="1"/>
  <c r="E13701" i="1"/>
  <c r="E13700" i="1"/>
  <c r="E13699" i="1"/>
  <c r="E13698" i="1"/>
  <c r="E13697" i="1"/>
  <c r="E13696" i="1"/>
  <c r="E13695" i="1"/>
  <c r="E13694" i="1"/>
  <c r="E13693" i="1"/>
  <c r="E13692" i="1"/>
  <c r="E13691" i="1"/>
  <c r="E13690" i="1"/>
  <c r="E13689" i="1"/>
  <c r="E13688" i="1"/>
  <c r="E13687" i="1"/>
  <c r="E13686" i="1"/>
  <c r="E13685" i="1"/>
  <c r="E13684" i="1"/>
  <c r="E13683" i="1"/>
  <c r="E13682" i="1"/>
  <c r="E13681" i="1"/>
  <c r="E13680" i="1"/>
  <c r="E13679" i="1"/>
  <c r="E13678" i="1"/>
  <c r="E13677" i="1"/>
  <c r="E13676" i="1"/>
  <c r="E13675" i="1"/>
  <c r="E13674" i="1"/>
  <c r="E13673" i="1"/>
  <c r="E13672" i="1"/>
  <c r="E13671" i="1"/>
  <c r="E13670" i="1"/>
  <c r="E13669" i="1"/>
  <c r="E13668" i="1"/>
  <c r="E13667" i="1"/>
  <c r="E13666" i="1"/>
  <c r="E13665" i="1"/>
  <c r="E13664" i="1"/>
  <c r="E13663" i="1"/>
  <c r="E13662" i="1"/>
  <c r="E13661" i="1"/>
  <c r="E13660" i="1"/>
  <c r="E13659" i="1"/>
  <c r="E13658" i="1"/>
  <c r="E13657" i="1"/>
  <c r="E13656" i="1"/>
  <c r="E13655" i="1"/>
  <c r="E13654" i="1"/>
  <c r="E13653" i="1"/>
  <c r="E13652" i="1"/>
  <c r="E13651" i="1"/>
  <c r="E13650" i="1"/>
  <c r="E13649" i="1"/>
  <c r="E13648" i="1"/>
  <c r="E13647" i="1"/>
  <c r="E13646" i="1"/>
  <c r="E13645" i="1"/>
  <c r="E13644" i="1"/>
  <c r="E13643" i="1"/>
  <c r="E13642" i="1"/>
  <c r="E13641" i="1"/>
  <c r="E13640" i="1"/>
  <c r="E13639" i="1"/>
  <c r="E13638" i="1"/>
  <c r="E13637" i="1"/>
  <c r="E13636" i="1"/>
  <c r="E13635" i="1"/>
  <c r="E13634" i="1"/>
  <c r="E13633" i="1"/>
  <c r="E13632" i="1"/>
  <c r="E13631" i="1"/>
  <c r="E13630" i="1"/>
  <c r="E13629" i="1"/>
  <c r="E13628" i="1"/>
  <c r="E13627" i="1"/>
  <c r="E13626" i="1"/>
  <c r="E13625" i="1"/>
  <c r="E13624" i="1"/>
  <c r="E13623" i="1"/>
  <c r="E13622" i="1"/>
  <c r="E13621" i="1"/>
  <c r="E13620" i="1"/>
  <c r="E13619" i="1"/>
  <c r="E13618" i="1"/>
  <c r="E13617" i="1"/>
  <c r="E13616" i="1"/>
  <c r="E13615" i="1"/>
  <c r="E13614" i="1"/>
  <c r="E13613" i="1"/>
  <c r="E13612" i="1"/>
  <c r="E13611" i="1"/>
  <c r="E13610" i="1"/>
  <c r="E13609" i="1"/>
  <c r="E13608" i="1"/>
  <c r="E13607" i="1"/>
  <c r="E13606" i="1"/>
  <c r="E13605" i="1"/>
  <c r="E13604" i="1"/>
  <c r="E13603" i="1"/>
  <c r="E13602" i="1"/>
  <c r="E13601" i="1"/>
  <c r="E13600" i="1"/>
  <c r="E13599" i="1"/>
  <c r="E13598" i="1"/>
  <c r="E13597" i="1"/>
  <c r="E13596" i="1"/>
  <c r="E13595" i="1"/>
  <c r="E13594" i="1"/>
  <c r="E13593" i="1"/>
  <c r="E13592" i="1"/>
  <c r="E13591" i="1"/>
  <c r="E13590" i="1"/>
  <c r="E13589" i="1"/>
  <c r="E13588" i="1"/>
  <c r="E13587" i="1"/>
  <c r="E13586" i="1"/>
  <c r="E13585" i="1"/>
  <c r="E13584" i="1"/>
  <c r="E13583" i="1"/>
  <c r="E13582" i="1"/>
  <c r="E13581" i="1"/>
  <c r="E13580" i="1"/>
  <c r="E13579" i="1"/>
  <c r="E13578" i="1"/>
  <c r="E13577" i="1"/>
  <c r="E13576" i="1"/>
  <c r="E13575" i="1"/>
  <c r="E13574" i="1"/>
  <c r="E13573" i="1"/>
  <c r="E13572" i="1"/>
  <c r="E13571" i="1"/>
  <c r="E13570" i="1"/>
  <c r="E13569" i="1"/>
  <c r="E13568" i="1"/>
  <c r="E13567" i="1"/>
  <c r="E13566" i="1"/>
  <c r="E13565" i="1"/>
  <c r="E13564" i="1"/>
  <c r="E13563" i="1"/>
  <c r="E13562" i="1"/>
  <c r="E13561" i="1"/>
  <c r="E13560" i="1"/>
  <c r="E13559" i="1"/>
  <c r="E13558" i="1"/>
  <c r="E13557" i="1"/>
  <c r="E13556" i="1"/>
  <c r="E13555" i="1"/>
  <c r="E13554" i="1"/>
  <c r="E13553" i="1"/>
  <c r="E13552" i="1"/>
  <c r="E13551" i="1"/>
  <c r="E13550" i="1"/>
  <c r="E13549" i="1"/>
  <c r="E13548" i="1"/>
  <c r="E13547" i="1"/>
  <c r="E13546" i="1"/>
  <c r="E13545" i="1"/>
  <c r="E13544" i="1"/>
  <c r="E13543" i="1"/>
  <c r="E13542" i="1"/>
  <c r="E13541" i="1"/>
  <c r="E13540" i="1"/>
  <c r="E13539" i="1"/>
  <c r="E13538" i="1"/>
  <c r="E13537" i="1"/>
  <c r="E13536" i="1"/>
  <c r="E13535" i="1"/>
  <c r="E13534" i="1"/>
  <c r="E13533" i="1"/>
  <c r="E13532" i="1"/>
  <c r="E13531" i="1"/>
  <c r="E13530" i="1"/>
  <c r="E13529" i="1"/>
  <c r="E13528" i="1"/>
  <c r="E13527" i="1"/>
  <c r="E13526" i="1"/>
  <c r="E13525" i="1"/>
  <c r="E13524" i="1"/>
  <c r="E13523" i="1"/>
  <c r="E13522" i="1"/>
  <c r="E13521" i="1"/>
  <c r="E13520" i="1"/>
  <c r="E13519" i="1"/>
  <c r="E13518" i="1"/>
  <c r="E13517" i="1"/>
  <c r="E13516" i="1"/>
  <c r="E13515" i="1"/>
  <c r="E13514" i="1"/>
  <c r="E13513" i="1"/>
  <c r="E13512" i="1"/>
  <c r="E13511" i="1"/>
  <c r="E13510" i="1"/>
  <c r="E13509" i="1"/>
  <c r="E13508" i="1"/>
  <c r="E13507" i="1"/>
  <c r="E13506" i="1"/>
  <c r="E13505" i="1"/>
  <c r="E13504" i="1"/>
  <c r="E13503" i="1"/>
  <c r="E13502" i="1"/>
  <c r="E13501" i="1"/>
  <c r="E13500" i="1"/>
  <c r="E13499" i="1"/>
  <c r="E13498" i="1"/>
  <c r="E13497" i="1"/>
  <c r="E13496" i="1"/>
  <c r="E13495" i="1"/>
  <c r="E13494" i="1"/>
  <c r="E13493" i="1"/>
  <c r="E13492" i="1"/>
  <c r="E13491" i="1"/>
  <c r="E13490" i="1"/>
  <c r="E13489" i="1"/>
  <c r="E13488" i="1"/>
  <c r="E13487" i="1"/>
  <c r="E13486" i="1"/>
  <c r="E13485" i="1"/>
  <c r="E13484" i="1"/>
  <c r="E13483" i="1"/>
  <c r="E13482" i="1"/>
  <c r="E13481" i="1"/>
  <c r="E13480" i="1"/>
  <c r="E13479" i="1"/>
  <c r="E13478" i="1"/>
  <c r="E13477" i="1"/>
  <c r="E13476" i="1"/>
  <c r="E13475" i="1"/>
  <c r="E13474" i="1"/>
  <c r="E13473" i="1"/>
  <c r="E13472" i="1"/>
  <c r="E13471" i="1"/>
  <c r="E13470" i="1"/>
  <c r="E13469" i="1"/>
  <c r="E13468" i="1"/>
  <c r="E13467" i="1"/>
  <c r="E13466" i="1"/>
  <c r="E13465" i="1"/>
  <c r="E13464" i="1"/>
  <c r="E13463" i="1"/>
  <c r="E13462" i="1"/>
  <c r="E13461" i="1"/>
  <c r="E13460" i="1"/>
  <c r="E13459" i="1"/>
  <c r="E13458" i="1"/>
  <c r="E13457" i="1"/>
  <c r="E13456" i="1"/>
  <c r="E13455" i="1"/>
  <c r="E13454" i="1"/>
  <c r="E13453" i="1"/>
  <c r="E13452" i="1"/>
  <c r="E13451" i="1"/>
  <c r="E13450" i="1"/>
  <c r="E13449" i="1"/>
  <c r="E13448" i="1"/>
  <c r="E13447" i="1"/>
  <c r="E13446" i="1"/>
  <c r="E13445" i="1"/>
  <c r="E13444" i="1"/>
  <c r="E13443" i="1"/>
  <c r="E13442" i="1"/>
  <c r="E13441" i="1"/>
  <c r="E13440" i="1"/>
  <c r="E13439" i="1"/>
  <c r="E13438" i="1"/>
  <c r="E13437" i="1"/>
  <c r="E13436" i="1"/>
  <c r="E13435" i="1"/>
  <c r="E13434" i="1"/>
  <c r="E13433" i="1"/>
  <c r="E13432" i="1"/>
  <c r="E13431" i="1"/>
  <c r="E13430" i="1"/>
  <c r="E13429" i="1"/>
  <c r="E13428" i="1"/>
  <c r="E13427" i="1"/>
  <c r="E13426" i="1"/>
  <c r="E13425" i="1"/>
  <c r="E13424" i="1"/>
  <c r="E13423" i="1"/>
  <c r="E13422" i="1"/>
  <c r="E13421" i="1"/>
  <c r="E13420" i="1"/>
  <c r="E13419" i="1"/>
  <c r="E13418" i="1"/>
  <c r="E13417" i="1"/>
  <c r="E13416" i="1"/>
  <c r="E13415" i="1"/>
  <c r="E13414" i="1"/>
  <c r="E13413" i="1"/>
  <c r="E13412" i="1"/>
  <c r="E13411" i="1"/>
  <c r="E13410" i="1"/>
  <c r="E13409" i="1"/>
  <c r="E13408" i="1"/>
  <c r="E13407" i="1"/>
  <c r="E13406" i="1"/>
  <c r="E13405" i="1"/>
  <c r="E13404" i="1"/>
  <c r="E13403" i="1"/>
  <c r="E13402" i="1"/>
  <c r="E13401" i="1"/>
  <c r="E13400" i="1"/>
  <c r="E13399" i="1"/>
  <c r="E13398" i="1"/>
  <c r="E13397" i="1"/>
  <c r="E13396" i="1"/>
  <c r="E13395" i="1"/>
  <c r="E13394" i="1"/>
  <c r="E13393" i="1"/>
  <c r="E13392" i="1"/>
  <c r="E13391" i="1"/>
  <c r="E13390" i="1"/>
  <c r="E13389" i="1"/>
  <c r="E13388" i="1"/>
  <c r="E13387" i="1"/>
  <c r="E13386" i="1"/>
  <c r="E13385" i="1"/>
  <c r="E13384" i="1"/>
  <c r="E13383" i="1"/>
  <c r="E13382" i="1"/>
  <c r="E13381" i="1"/>
  <c r="E13380" i="1"/>
  <c r="E13379" i="1"/>
  <c r="E13378" i="1"/>
  <c r="E13377" i="1"/>
  <c r="E13376" i="1"/>
  <c r="E13375" i="1"/>
  <c r="E13374" i="1"/>
  <c r="E13373" i="1"/>
  <c r="E13372" i="1"/>
  <c r="E13371" i="1"/>
  <c r="E13370" i="1"/>
  <c r="E13369" i="1"/>
  <c r="E13368" i="1"/>
  <c r="E13367" i="1"/>
  <c r="E13366" i="1"/>
  <c r="E13365" i="1"/>
  <c r="E13364" i="1"/>
  <c r="E13363" i="1"/>
  <c r="E13362" i="1"/>
  <c r="E13361" i="1"/>
  <c r="E13360" i="1"/>
  <c r="E13359" i="1"/>
  <c r="E13358" i="1"/>
  <c r="E13357" i="1"/>
  <c r="E13356" i="1"/>
  <c r="E13355" i="1"/>
  <c r="E13354" i="1"/>
  <c r="E13353" i="1"/>
  <c r="E13352" i="1"/>
  <c r="E13351" i="1"/>
  <c r="E13350" i="1"/>
  <c r="E13349" i="1"/>
  <c r="E13348" i="1"/>
  <c r="E13347" i="1"/>
  <c r="E13346" i="1"/>
  <c r="E13345" i="1"/>
  <c r="E13344" i="1"/>
  <c r="E13343" i="1"/>
  <c r="E13342" i="1"/>
  <c r="E13341" i="1"/>
  <c r="E13340" i="1"/>
  <c r="E13339" i="1"/>
  <c r="E13338" i="1"/>
  <c r="E13337" i="1"/>
  <c r="E13336" i="1"/>
  <c r="E13335" i="1"/>
  <c r="E13334" i="1"/>
  <c r="E13333" i="1"/>
  <c r="E13332" i="1"/>
  <c r="E13331" i="1"/>
  <c r="E13330" i="1"/>
  <c r="E13329" i="1"/>
  <c r="E13328" i="1"/>
  <c r="E13327" i="1"/>
  <c r="E13326" i="1"/>
  <c r="E13325" i="1"/>
  <c r="E13324" i="1"/>
  <c r="E13323" i="1"/>
  <c r="E13322" i="1"/>
  <c r="E13321" i="1"/>
  <c r="E13320" i="1"/>
  <c r="E13319" i="1"/>
  <c r="E13318" i="1"/>
  <c r="E13317" i="1"/>
  <c r="E13316" i="1"/>
  <c r="E13315" i="1"/>
  <c r="E13314" i="1"/>
  <c r="E13313" i="1"/>
  <c r="E13312" i="1"/>
  <c r="E13311" i="1"/>
  <c r="E13310" i="1"/>
  <c r="E13309" i="1"/>
  <c r="E13308" i="1"/>
  <c r="E13307" i="1"/>
  <c r="E13306" i="1"/>
  <c r="E13305" i="1"/>
  <c r="E13304" i="1"/>
  <c r="E13303" i="1"/>
  <c r="E13302" i="1"/>
  <c r="E13301" i="1"/>
  <c r="E13300" i="1"/>
  <c r="E13299" i="1"/>
  <c r="E13298" i="1"/>
  <c r="E13297" i="1"/>
  <c r="E13296" i="1"/>
  <c r="E13295" i="1"/>
  <c r="E13294" i="1"/>
  <c r="E13293" i="1"/>
  <c r="E13292" i="1"/>
  <c r="E13291" i="1"/>
  <c r="E13290" i="1"/>
  <c r="E13289" i="1"/>
  <c r="E13288" i="1"/>
  <c r="E13287" i="1"/>
  <c r="E13286" i="1"/>
  <c r="E13285" i="1"/>
  <c r="E13284" i="1"/>
  <c r="E13283" i="1"/>
  <c r="E13282" i="1"/>
  <c r="E13281" i="1"/>
  <c r="E13280" i="1"/>
  <c r="E13279" i="1"/>
  <c r="E13278" i="1"/>
  <c r="E13277" i="1"/>
  <c r="E13276" i="1"/>
  <c r="E13275" i="1"/>
  <c r="E13274" i="1"/>
  <c r="E13273" i="1"/>
  <c r="E13272" i="1"/>
  <c r="E13271" i="1"/>
  <c r="E13270" i="1"/>
  <c r="E13269" i="1"/>
  <c r="E13268" i="1"/>
  <c r="E13267" i="1"/>
  <c r="E13266" i="1"/>
  <c r="E13265" i="1"/>
  <c r="E13264" i="1"/>
  <c r="E13263" i="1"/>
  <c r="E13262" i="1"/>
  <c r="E13261" i="1"/>
  <c r="E13260" i="1"/>
  <c r="E13259" i="1"/>
  <c r="E13258" i="1"/>
  <c r="E13257" i="1"/>
  <c r="E13256" i="1"/>
  <c r="E13255" i="1"/>
  <c r="E13254" i="1"/>
  <c r="E13253" i="1"/>
  <c r="E13252" i="1"/>
  <c r="E13251" i="1"/>
  <c r="E13250" i="1"/>
  <c r="E13249" i="1"/>
  <c r="E13248" i="1"/>
  <c r="E13247" i="1"/>
  <c r="E13246" i="1"/>
  <c r="E13245" i="1"/>
  <c r="E13244" i="1"/>
  <c r="E13243" i="1"/>
  <c r="E13242" i="1"/>
  <c r="E13241" i="1"/>
  <c r="E13240" i="1"/>
  <c r="E13239" i="1"/>
  <c r="E13238" i="1"/>
  <c r="E13237" i="1"/>
  <c r="E13236" i="1"/>
  <c r="E13235" i="1"/>
  <c r="E13234" i="1"/>
  <c r="E13233" i="1"/>
  <c r="E13232" i="1"/>
  <c r="E13231" i="1"/>
  <c r="E13230" i="1"/>
  <c r="E13229" i="1"/>
  <c r="E13228" i="1"/>
  <c r="E13227" i="1"/>
  <c r="E13226" i="1"/>
  <c r="E13225" i="1"/>
  <c r="E13224" i="1"/>
  <c r="E13223" i="1"/>
  <c r="E13222" i="1"/>
  <c r="E13221" i="1"/>
  <c r="E13220" i="1"/>
  <c r="E13219" i="1"/>
  <c r="E13218" i="1"/>
  <c r="E13217" i="1"/>
  <c r="E13216" i="1"/>
  <c r="E13215" i="1"/>
  <c r="E13214" i="1"/>
  <c r="E13213" i="1"/>
  <c r="E13212" i="1"/>
  <c r="E13211" i="1"/>
  <c r="E13210" i="1"/>
  <c r="E13209" i="1"/>
  <c r="E13208" i="1"/>
  <c r="E13207" i="1"/>
  <c r="E13206" i="1"/>
  <c r="E13205" i="1"/>
  <c r="E13204" i="1"/>
  <c r="E13203" i="1"/>
  <c r="E13202" i="1"/>
  <c r="E13201" i="1"/>
  <c r="E13200" i="1"/>
  <c r="E13199" i="1"/>
  <c r="E13198" i="1"/>
  <c r="E13197" i="1"/>
  <c r="E13196" i="1"/>
  <c r="E13195" i="1"/>
  <c r="E13194" i="1"/>
  <c r="E13193" i="1"/>
  <c r="E13192" i="1"/>
  <c r="E13191" i="1"/>
  <c r="E13190" i="1"/>
  <c r="E13189" i="1"/>
  <c r="E13188" i="1"/>
  <c r="E13187" i="1"/>
  <c r="E13186" i="1"/>
  <c r="E13185" i="1"/>
  <c r="E13184" i="1"/>
  <c r="E13183" i="1"/>
  <c r="E13182" i="1"/>
  <c r="E13181" i="1"/>
  <c r="E13180" i="1"/>
  <c r="E13179" i="1"/>
  <c r="E13178" i="1"/>
  <c r="E13177" i="1"/>
  <c r="E13176" i="1"/>
  <c r="E13175" i="1"/>
  <c r="E13174" i="1"/>
  <c r="E13173" i="1"/>
  <c r="E13172" i="1"/>
  <c r="E13171" i="1"/>
  <c r="E13170" i="1"/>
  <c r="E13169" i="1"/>
  <c r="E13168" i="1"/>
  <c r="E13167" i="1"/>
  <c r="E13166" i="1"/>
  <c r="E13165" i="1"/>
  <c r="E13164" i="1"/>
  <c r="E13163" i="1"/>
  <c r="E13162" i="1"/>
  <c r="E13161" i="1"/>
  <c r="E13160" i="1"/>
  <c r="E13159" i="1"/>
  <c r="E13158" i="1"/>
  <c r="E13157" i="1"/>
  <c r="E13156" i="1"/>
  <c r="E13155" i="1"/>
  <c r="E13154" i="1"/>
  <c r="E13153" i="1"/>
  <c r="E13152" i="1"/>
  <c r="E13151" i="1"/>
  <c r="E13150" i="1"/>
  <c r="E13149" i="1"/>
  <c r="E13148" i="1"/>
  <c r="E13147" i="1"/>
  <c r="E13146" i="1"/>
  <c r="E13145" i="1"/>
  <c r="E13144" i="1"/>
  <c r="E13143" i="1"/>
  <c r="E13142" i="1"/>
  <c r="E13141" i="1"/>
  <c r="E13140" i="1"/>
  <c r="E13139" i="1"/>
  <c r="E13138" i="1"/>
  <c r="E13137" i="1"/>
  <c r="E13136" i="1"/>
  <c r="E13135" i="1"/>
  <c r="E13134" i="1"/>
  <c r="E13133" i="1"/>
  <c r="E13132" i="1"/>
  <c r="E13131" i="1"/>
  <c r="E13130" i="1"/>
  <c r="E13129" i="1"/>
  <c r="E13128" i="1"/>
  <c r="E13127" i="1"/>
  <c r="E13126" i="1"/>
  <c r="E13125" i="1"/>
  <c r="E13124" i="1"/>
  <c r="E13123" i="1"/>
  <c r="E13122" i="1"/>
  <c r="E13121" i="1"/>
  <c r="E13120" i="1"/>
  <c r="E13119" i="1"/>
  <c r="E13118" i="1"/>
  <c r="E13117" i="1"/>
  <c r="E13116" i="1"/>
  <c r="E13115" i="1"/>
  <c r="E13114" i="1"/>
  <c r="E13113" i="1"/>
  <c r="E13112" i="1"/>
  <c r="E13111" i="1"/>
  <c r="E13110" i="1"/>
  <c r="E13109" i="1"/>
  <c r="E13108" i="1"/>
  <c r="E13107" i="1"/>
  <c r="E13106" i="1"/>
  <c r="E13105" i="1"/>
  <c r="E13104" i="1"/>
  <c r="E13103" i="1"/>
  <c r="E13102" i="1"/>
  <c r="E13101" i="1"/>
  <c r="E13100" i="1"/>
  <c r="E13099" i="1"/>
  <c r="E13098" i="1"/>
  <c r="E13097" i="1"/>
  <c r="E13096" i="1"/>
  <c r="E13095" i="1"/>
  <c r="E13094" i="1"/>
  <c r="E13093" i="1"/>
  <c r="E13092" i="1"/>
  <c r="E13091" i="1"/>
  <c r="E13090" i="1"/>
  <c r="E13089" i="1"/>
  <c r="E13088" i="1"/>
  <c r="E13087" i="1"/>
  <c r="E13086" i="1"/>
  <c r="E13085" i="1"/>
  <c r="E13084" i="1"/>
  <c r="E13083" i="1"/>
  <c r="E13082" i="1"/>
  <c r="E13081" i="1"/>
  <c r="E13080" i="1"/>
  <c r="E13079" i="1"/>
  <c r="E13078" i="1"/>
  <c r="E13077" i="1"/>
  <c r="E13076" i="1"/>
  <c r="E13075" i="1"/>
  <c r="E13074" i="1"/>
  <c r="E13073" i="1"/>
  <c r="E13072" i="1"/>
  <c r="E13071" i="1"/>
  <c r="E13070" i="1"/>
  <c r="E13069" i="1"/>
  <c r="E13068" i="1"/>
  <c r="E13067" i="1"/>
  <c r="E13066" i="1"/>
  <c r="E13065" i="1"/>
  <c r="E13064" i="1"/>
  <c r="E13063" i="1"/>
  <c r="E13062" i="1"/>
  <c r="E13061" i="1"/>
  <c r="E13060" i="1"/>
  <c r="E13059" i="1"/>
  <c r="E13058" i="1"/>
  <c r="E13057" i="1"/>
  <c r="E13056" i="1"/>
  <c r="E13055" i="1"/>
  <c r="E13054" i="1"/>
  <c r="E13053" i="1"/>
  <c r="E13052" i="1"/>
  <c r="E13051" i="1"/>
  <c r="E13050" i="1"/>
  <c r="E13049" i="1"/>
  <c r="E13048" i="1"/>
  <c r="E13047" i="1"/>
  <c r="E13046" i="1"/>
  <c r="E13045" i="1"/>
  <c r="E13044" i="1"/>
  <c r="E13043" i="1"/>
  <c r="E13042" i="1"/>
  <c r="E13041" i="1"/>
  <c r="E13040" i="1"/>
  <c r="E13039" i="1"/>
  <c r="E13038" i="1"/>
  <c r="E13037" i="1"/>
  <c r="E13036" i="1"/>
  <c r="E13035" i="1"/>
  <c r="E13034" i="1"/>
  <c r="E13033" i="1"/>
  <c r="E13032" i="1"/>
  <c r="E13031" i="1"/>
  <c r="E13030" i="1"/>
  <c r="E13029" i="1"/>
  <c r="E13028" i="1"/>
  <c r="E13027" i="1"/>
  <c r="E13026" i="1"/>
  <c r="E13025" i="1"/>
  <c r="E13024" i="1"/>
  <c r="E13023" i="1"/>
  <c r="E13022" i="1"/>
  <c r="E13021" i="1"/>
  <c r="E13020" i="1"/>
  <c r="E13019" i="1"/>
  <c r="E13018" i="1"/>
  <c r="E13017" i="1"/>
  <c r="E13016" i="1"/>
  <c r="E13015" i="1"/>
  <c r="E13014" i="1"/>
  <c r="E13013" i="1"/>
  <c r="E13012" i="1"/>
  <c r="E13011" i="1"/>
  <c r="E13010" i="1"/>
  <c r="E13009" i="1"/>
  <c r="E13008" i="1"/>
  <c r="E13007" i="1"/>
  <c r="E13006" i="1"/>
  <c r="E13005" i="1"/>
  <c r="E13004" i="1"/>
  <c r="E13003" i="1"/>
  <c r="E13002" i="1"/>
  <c r="E13001" i="1"/>
  <c r="E13000" i="1"/>
  <c r="E12999" i="1"/>
  <c r="E12998" i="1"/>
  <c r="E12997" i="1"/>
  <c r="E12996" i="1"/>
  <c r="E12995" i="1"/>
  <c r="E12994" i="1"/>
  <c r="E12993" i="1"/>
  <c r="E12992" i="1"/>
  <c r="E12991" i="1"/>
  <c r="E12990" i="1"/>
  <c r="E12989" i="1"/>
  <c r="E12988" i="1"/>
  <c r="E12987" i="1"/>
  <c r="E12986" i="1"/>
  <c r="E12985" i="1"/>
  <c r="E12984" i="1"/>
  <c r="E12983" i="1"/>
  <c r="E12982" i="1"/>
  <c r="E12981" i="1"/>
  <c r="E12980" i="1"/>
  <c r="E12979" i="1"/>
  <c r="E12978" i="1"/>
  <c r="E12977" i="1"/>
  <c r="E12976" i="1"/>
  <c r="E12975" i="1"/>
  <c r="E12974" i="1"/>
  <c r="E12973" i="1"/>
  <c r="E12972" i="1"/>
  <c r="E12971" i="1"/>
  <c r="E12970" i="1"/>
  <c r="E12969" i="1"/>
  <c r="E12968" i="1"/>
  <c r="E12967" i="1"/>
  <c r="E12966" i="1"/>
  <c r="E12965" i="1"/>
  <c r="E12964" i="1"/>
  <c r="E12963" i="1"/>
  <c r="E12962" i="1"/>
  <c r="E12961" i="1"/>
  <c r="E12960" i="1"/>
  <c r="E12959" i="1"/>
  <c r="E12958" i="1"/>
  <c r="E12957" i="1"/>
  <c r="E12956" i="1"/>
  <c r="E12955" i="1"/>
  <c r="E12954" i="1"/>
  <c r="E12953" i="1"/>
  <c r="E12952" i="1"/>
  <c r="E12951" i="1"/>
  <c r="E12950" i="1"/>
  <c r="E12949" i="1"/>
  <c r="E12948" i="1"/>
  <c r="E12947" i="1"/>
  <c r="E12946" i="1"/>
  <c r="E12945" i="1"/>
  <c r="E12944" i="1"/>
  <c r="E12943" i="1"/>
  <c r="E12942" i="1"/>
  <c r="E12941" i="1"/>
  <c r="E12940" i="1"/>
  <c r="E12939" i="1"/>
  <c r="E12938" i="1"/>
  <c r="E12937" i="1"/>
  <c r="E12936" i="1"/>
  <c r="E12935" i="1"/>
  <c r="E12934" i="1"/>
  <c r="E12933" i="1"/>
  <c r="E12932" i="1"/>
  <c r="E12931" i="1"/>
  <c r="E12930" i="1"/>
  <c r="E12929" i="1"/>
  <c r="E12928" i="1"/>
  <c r="E12927" i="1"/>
  <c r="E12926" i="1"/>
  <c r="E12925" i="1"/>
  <c r="E12924" i="1"/>
  <c r="E12923" i="1"/>
  <c r="E12922" i="1"/>
  <c r="E12921" i="1"/>
  <c r="E12920" i="1"/>
  <c r="E12919" i="1"/>
  <c r="E12918" i="1"/>
  <c r="E12917" i="1"/>
  <c r="E12916" i="1"/>
  <c r="E12915" i="1"/>
  <c r="E12914" i="1"/>
  <c r="E12913" i="1"/>
  <c r="E12912" i="1"/>
  <c r="E12911" i="1"/>
  <c r="E12910" i="1"/>
  <c r="E12909" i="1"/>
  <c r="E12908" i="1"/>
  <c r="E12907" i="1"/>
  <c r="E12906" i="1"/>
  <c r="E12905" i="1"/>
  <c r="E12904" i="1"/>
  <c r="E12903" i="1"/>
  <c r="E12902" i="1"/>
  <c r="E12901" i="1"/>
  <c r="E12900" i="1"/>
  <c r="E12899" i="1"/>
  <c r="E12898" i="1"/>
  <c r="E12897" i="1"/>
  <c r="E12896" i="1"/>
  <c r="E12895" i="1"/>
  <c r="E12894" i="1"/>
  <c r="E12893" i="1"/>
  <c r="E12892" i="1"/>
  <c r="E12891" i="1"/>
  <c r="E12890" i="1"/>
  <c r="E12889" i="1"/>
  <c r="E12888" i="1"/>
  <c r="E12887" i="1"/>
  <c r="E12886" i="1"/>
  <c r="E12885" i="1"/>
  <c r="E12884" i="1"/>
  <c r="E12883" i="1"/>
  <c r="E12882" i="1"/>
  <c r="E12881" i="1"/>
  <c r="E12880" i="1"/>
  <c r="E12879" i="1"/>
  <c r="E12878" i="1"/>
  <c r="E12877" i="1"/>
  <c r="E12876" i="1"/>
  <c r="E12875" i="1"/>
  <c r="E12874" i="1"/>
  <c r="E12873" i="1"/>
  <c r="E12872" i="1"/>
  <c r="E12871" i="1"/>
  <c r="E12870" i="1"/>
  <c r="E12869" i="1"/>
  <c r="E12868" i="1"/>
  <c r="E12867" i="1"/>
  <c r="E12866" i="1"/>
  <c r="E12865" i="1"/>
  <c r="E12864" i="1"/>
  <c r="E12863" i="1"/>
  <c r="E12862" i="1"/>
  <c r="E12861" i="1"/>
  <c r="E12860" i="1"/>
  <c r="E12859" i="1"/>
  <c r="E12858" i="1"/>
  <c r="E12857" i="1"/>
  <c r="E12856" i="1"/>
  <c r="E12855" i="1"/>
  <c r="E12854" i="1"/>
  <c r="E12853" i="1"/>
  <c r="E12852" i="1"/>
  <c r="E12851" i="1"/>
  <c r="E12850" i="1"/>
  <c r="E12849" i="1"/>
  <c r="E12848" i="1"/>
  <c r="E12847" i="1"/>
  <c r="E12846" i="1"/>
  <c r="E12845" i="1"/>
  <c r="E12844" i="1"/>
  <c r="E12843" i="1"/>
  <c r="E12842" i="1"/>
  <c r="E12841" i="1"/>
  <c r="E12840" i="1"/>
  <c r="E12839" i="1"/>
  <c r="E12838" i="1"/>
  <c r="E12837" i="1"/>
  <c r="E12836" i="1"/>
  <c r="E12835" i="1"/>
  <c r="E12834" i="1"/>
  <c r="E12833" i="1"/>
  <c r="E12832" i="1"/>
  <c r="E12831" i="1"/>
  <c r="E12830" i="1"/>
  <c r="E12829" i="1"/>
  <c r="E12828" i="1"/>
  <c r="E12827" i="1"/>
  <c r="E12826" i="1"/>
  <c r="E12825" i="1"/>
  <c r="E12824" i="1"/>
  <c r="E12823" i="1"/>
  <c r="E12822" i="1"/>
  <c r="E12821" i="1"/>
  <c r="E12820" i="1"/>
  <c r="E12819" i="1"/>
  <c r="E12818" i="1"/>
  <c r="E12817" i="1"/>
  <c r="E12816" i="1"/>
  <c r="E12815" i="1"/>
  <c r="E12814" i="1"/>
  <c r="E12813" i="1"/>
  <c r="E12812" i="1"/>
  <c r="E12811" i="1"/>
  <c r="E12810" i="1"/>
  <c r="E12809" i="1"/>
  <c r="E12808" i="1"/>
  <c r="E12807" i="1"/>
  <c r="E12806" i="1"/>
  <c r="E12805" i="1"/>
  <c r="E12804" i="1"/>
  <c r="E12803" i="1"/>
  <c r="E12802" i="1"/>
  <c r="E12801" i="1"/>
  <c r="E12800" i="1"/>
  <c r="E12799" i="1"/>
  <c r="E12798" i="1"/>
  <c r="E12797" i="1"/>
  <c r="E12796" i="1"/>
  <c r="E12795" i="1"/>
  <c r="E12794" i="1"/>
  <c r="E12793" i="1"/>
  <c r="E12792" i="1"/>
  <c r="E12791" i="1"/>
  <c r="E12790" i="1"/>
  <c r="E12789" i="1"/>
  <c r="E12788" i="1"/>
  <c r="E12787" i="1"/>
  <c r="E12786" i="1"/>
  <c r="E12785" i="1"/>
  <c r="E12784" i="1"/>
  <c r="E12783" i="1"/>
  <c r="E12782" i="1"/>
  <c r="E12781" i="1"/>
  <c r="E12780" i="1"/>
  <c r="E12779" i="1"/>
  <c r="E12778" i="1"/>
  <c r="E12777" i="1"/>
  <c r="E12776" i="1"/>
  <c r="E12775" i="1"/>
  <c r="E12774" i="1"/>
  <c r="E12773" i="1"/>
  <c r="E12772" i="1"/>
  <c r="E12771" i="1"/>
  <c r="E12770" i="1"/>
  <c r="E12769" i="1"/>
  <c r="E12768" i="1"/>
  <c r="E12767" i="1"/>
  <c r="E12766" i="1"/>
  <c r="E12765" i="1"/>
  <c r="E12764" i="1"/>
  <c r="E12763" i="1"/>
  <c r="E12762" i="1"/>
  <c r="E12761" i="1"/>
  <c r="E12760" i="1"/>
  <c r="E12759" i="1"/>
  <c r="E12758" i="1"/>
  <c r="E12757" i="1"/>
  <c r="E12756" i="1"/>
  <c r="E12755" i="1"/>
  <c r="E12754" i="1"/>
  <c r="E12753" i="1"/>
  <c r="E12752" i="1"/>
  <c r="E12751" i="1"/>
  <c r="E12750" i="1"/>
  <c r="E12749" i="1"/>
  <c r="E12748" i="1"/>
  <c r="E12747" i="1"/>
  <c r="E12746" i="1"/>
  <c r="E12745" i="1"/>
  <c r="E12744" i="1"/>
  <c r="E12743" i="1"/>
  <c r="E12742" i="1"/>
  <c r="E12741" i="1"/>
  <c r="E12740" i="1"/>
  <c r="E12739" i="1"/>
  <c r="E12738" i="1"/>
  <c r="E12737" i="1"/>
  <c r="E12736" i="1"/>
  <c r="E12735" i="1"/>
  <c r="E12734" i="1"/>
  <c r="E12733" i="1"/>
  <c r="E12732" i="1"/>
  <c r="E12731" i="1"/>
  <c r="E12730" i="1"/>
  <c r="E12729" i="1"/>
  <c r="E12728" i="1"/>
  <c r="E12727" i="1"/>
  <c r="E12726" i="1"/>
  <c r="E12725" i="1"/>
  <c r="E12724" i="1"/>
  <c r="E12723" i="1"/>
  <c r="E12722" i="1"/>
  <c r="E12721" i="1"/>
  <c r="E12720" i="1"/>
  <c r="E12719" i="1"/>
  <c r="E12718" i="1"/>
  <c r="E12717" i="1"/>
  <c r="E12716" i="1"/>
  <c r="E12715" i="1"/>
  <c r="E12714" i="1"/>
  <c r="E12713" i="1"/>
  <c r="E12712" i="1"/>
  <c r="E12711" i="1"/>
  <c r="E12710" i="1"/>
  <c r="E12709" i="1"/>
  <c r="E12708" i="1"/>
  <c r="E12707" i="1"/>
  <c r="E12706" i="1"/>
  <c r="E12705" i="1"/>
  <c r="E12704" i="1"/>
  <c r="E12703" i="1"/>
  <c r="E12702" i="1"/>
  <c r="E12701" i="1"/>
  <c r="E12700" i="1"/>
  <c r="E12699" i="1"/>
  <c r="E12698" i="1"/>
  <c r="E12697" i="1"/>
  <c r="E12696" i="1"/>
  <c r="E12695" i="1"/>
  <c r="E12694" i="1"/>
  <c r="E12693" i="1"/>
  <c r="E12692" i="1"/>
  <c r="E12691" i="1"/>
  <c r="E12690" i="1"/>
  <c r="E12689" i="1"/>
  <c r="E12688" i="1"/>
  <c r="E12687" i="1"/>
  <c r="E12686" i="1"/>
  <c r="E12685" i="1"/>
  <c r="E12684" i="1"/>
  <c r="E12683" i="1"/>
  <c r="E12682" i="1"/>
  <c r="E12681" i="1"/>
  <c r="E12680" i="1"/>
  <c r="E12679" i="1"/>
  <c r="E12678" i="1"/>
  <c r="E12677" i="1"/>
  <c r="E12676" i="1"/>
  <c r="E12675" i="1"/>
  <c r="E12674" i="1"/>
  <c r="E12673" i="1"/>
  <c r="E12672" i="1"/>
  <c r="E12671" i="1"/>
  <c r="E12670" i="1"/>
  <c r="E12669" i="1"/>
  <c r="E12668" i="1"/>
  <c r="E12667" i="1"/>
  <c r="E12666" i="1"/>
  <c r="E12665" i="1"/>
  <c r="E12664" i="1"/>
  <c r="E12663" i="1"/>
  <c r="E12662" i="1"/>
  <c r="E12661" i="1"/>
  <c r="E12660" i="1"/>
  <c r="E12659" i="1"/>
  <c r="E12658" i="1"/>
  <c r="E12657" i="1"/>
  <c r="E12656" i="1"/>
  <c r="E12655" i="1"/>
  <c r="E12654" i="1"/>
  <c r="E12653" i="1"/>
  <c r="E12652" i="1"/>
  <c r="E12651" i="1"/>
  <c r="E12650" i="1"/>
  <c r="E12649" i="1"/>
  <c r="E12648" i="1"/>
  <c r="E12647" i="1"/>
  <c r="E12646" i="1"/>
  <c r="E12645" i="1"/>
  <c r="E12644" i="1"/>
  <c r="E12643" i="1"/>
  <c r="E12642" i="1"/>
  <c r="E12641" i="1"/>
  <c r="E12640" i="1"/>
  <c r="E12639" i="1"/>
  <c r="E12638" i="1"/>
  <c r="E12637" i="1"/>
  <c r="E12636" i="1"/>
  <c r="E12635" i="1"/>
  <c r="E12634" i="1"/>
  <c r="E12633" i="1"/>
  <c r="E12632" i="1"/>
  <c r="E12631" i="1"/>
  <c r="E12630" i="1"/>
  <c r="E12629" i="1"/>
  <c r="E12628" i="1"/>
  <c r="E12627" i="1"/>
  <c r="E12626" i="1"/>
  <c r="E12625" i="1"/>
  <c r="E12624" i="1"/>
  <c r="E12623" i="1"/>
  <c r="E12622" i="1"/>
  <c r="E12621" i="1"/>
  <c r="E12620" i="1"/>
  <c r="E12619" i="1"/>
  <c r="E12618" i="1"/>
  <c r="E12617" i="1"/>
  <c r="E12616" i="1"/>
  <c r="E12615" i="1"/>
  <c r="E12614" i="1"/>
  <c r="E12613" i="1"/>
  <c r="E12612" i="1"/>
  <c r="E12611" i="1"/>
  <c r="E12610" i="1"/>
  <c r="E12609" i="1"/>
  <c r="E12608" i="1"/>
  <c r="E12607" i="1"/>
  <c r="E12606" i="1"/>
  <c r="E12605" i="1"/>
  <c r="E12604" i="1"/>
  <c r="E12603" i="1"/>
  <c r="E12602" i="1"/>
  <c r="E12601" i="1"/>
  <c r="E12600" i="1"/>
  <c r="E12599" i="1"/>
  <c r="E12598" i="1"/>
  <c r="E12597" i="1"/>
  <c r="E12596" i="1"/>
  <c r="E12595" i="1"/>
  <c r="E12594" i="1"/>
  <c r="E12593" i="1"/>
  <c r="E12592" i="1"/>
  <c r="E12591" i="1"/>
  <c r="E12590" i="1"/>
  <c r="E12589" i="1"/>
  <c r="E12588" i="1"/>
  <c r="E12587" i="1"/>
  <c r="E12586" i="1"/>
  <c r="E12585" i="1"/>
  <c r="E12584" i="1"/>
  <c r="E12583" i="1"/>
  <c r="E12582" i="1"/>
  <c r="E12581" i="1"/>
  <c r="E12580" i="1"/>
  <c r="E12579" i="1"/>
  <c r="E12578" i="1"/>
  <c r="E12577" i="1"/>
  <c r="E12576" i="1"/>
  <c r="E12575" i="1"/>
  <c r="E12574" i="1"/>
  <c r="E12573" i="1"/>
  <c r="E12572" i="1"/>
  <c r="E12571" i="1"/>
  <c r="E12570" i="1"/>
  <c r="E12569" i="1"/>
  <c r="E12568" i="1"/>
  <c r="E12567" i="1"/>
  <c r="E12566" i="1"/>
  <c r="E12565" i="1"/>
  <c r="E12564" i="1"/>
  <c r="E12563" i="1"/>
  <c r="E12562" i="1"/>
  <c r="E12561" i="1"/>
  <c r="E12560" i="1"/>
  <c r="E12559" i="1"/>
  <c r="E12558" i="1"/>
  <c r="E12557" i="1"/>
  <c r="E12556" i="1"/>
  <c r="E12555" i="1"/>
  <c r="E12554" i="1"/>
  <c r="E12553" i="1"/>
  <c r="E12552" i="1"/>
  <c r="E12551" i="1"/>
  <c r="E12550" i="1"/>
  <c r="E12549" i="1"/>
  <c r="E12548" i="1"/>
  <c r="E12547" i="1"/>
  <c r="E12546" i="1"/>
  <c r="E12545" i="1"/>
  <c r="E12544" i="1"/>
  <c r="E12543" i="1"/>
  <c r="E12542" i="1"/>
  <c r="E12541" i="1"/>
  <c r="E12540" i="1"/>
  <c r="E12539" i="1"/>
  <c r="E12538" i="1"/>
  <c r="E12537" i="1"/>
  <c r="E12536" i="1"/>
  <c r="E12535" i="1"/>
  <c r="E12534" i="1"/>
  <c r="E12533" i="1"/>
  <c r="E12532" i="1"/>
  <c r="E12531" i="1"/>
  <c r="E12530" i="1"/>
  <c r="E12529" i="1"/>
  <c r="E12528" i="1"/>
  <c r="E12527" i="1"/>
  <c r="E12526" i="1"/>
  <c r="E12525" i="1"/>
  <c r="E12524" i="1"/>
  <c r="E12523" i="1"/>
  <c r="E12522" i="1"/>
  <c r="E12521" i="1"/>
  <c r="E12520" i="1"/>
  <c r="E12519" i="1"/>
  <c r="E12518" i="1"/>
  <c r="E12517" i="1"/>
  <c r="E12516" i="1"/>
  <c r="E12515" i="1"/>
  <c r="E12514" i="1"/>
  <c r="E12513" i="1"/>
  <c r="E12512" i="1"/>
  <c r="E12511" i="1"/>
  <c r="E12510" i="1"/>
  <c r="E12509" i="1"/>
  <c r="E12508" i="1"/>
  <c r="E12507" i="1"/>
  <c r="E12506" i="1"/>
  <c r="E12505" i="1"/>
  <c r="E12504" i="1"/>
  <c r="E12503" i="1"/>
  <c r="E12502" i="1"/>
  <c r="E12501" i="1"/>
  <c r="E12500" i="1"/>
  <c r="E12499" i="1"/>
  <c r="E12498" i="1"/>
  <c r="E12497" i="1"/>
  <c r="E12496" i="1"/>
  <c r="E12495" i="1"/>
  <c r="E12494" i="1"/>
  <c r="E12493" i="1"/>
  <c r="E12492" i="1"/>
  <c r="E12491" i="1"/>
  <c r="E12490" i="1"/>
  <c r="E12489" i="1"/>
  <c r="E12488" i="1"/>
  <c r="E12487" i="1"/>
  <c r="E12486" i="1"/>
  <c r="E12485" i="1"/>
  <c r="E12484" i="1"/>
  <c r="E12483" i="1"/>
  <c r="E12482" i="1"/>
  <c r="E12481" i="1"/>
  <c r="E12480" i="1"/>
  <c r="E12479" i="1"/>
  <c r="E12478" i="1"/>
  <c r="E12477" i="1"/>
  <c r="E12476" i="1"/>
  <c r="E12475" i="1"/>
  <c r="E12474" i="1"/>
  <c r="E12473" i="1"/>
  <c r="E12472" i="1"/>
  <c r="E12471" i="1"/>
  <c r="E12470" i="1"/>
  <c r="E12469" i="1"/>
  <c r="E12468" i="1"/>
  <c r="E12467" i="1"/>
  <c r="E12466" i="1"/>
  <c r="E12465" i="1"/>
  <c r="E12464" i="1"/>
  <c r="E12463" i="1"/>
  <c r="E12462" i="1"/>
  <c r="E12461" i="1"/>
  <c r="E12460" i="1"/>
  <c r="E12459" i="1"/>
  <c r="E12458" i="1"/>
  <c r="E12457" i="1"/>
  <c r="E12456" i="1"/>
  <c r="E12455" i="1"/>
  <c r="E12454" i="1"/>
  <c r="E12453" i="1"/>
  <c r="E12452" i="1"/>
  <c r="E12451" i="1"/>
  <c r="E12450" i="1"/>
  <c r="E12449" i="1"/>
  <c r="E12448" i="1"/>
  <c r="E12447" i="1"/>
  <c r="E12446" i="1"/>
  <c r="E12445" i="1"/>
  <c r="E12444" i="1"/>
  <c r="E12443" i="1"/>
  <c r="E12442" i="1"/>
  <c r="E12441" i="1"/>
  <c r="E12440" i="1"/>
  <c r="E12439" i="1"/>
  <c r="E12438" i="1"/>
  <c r="E12437" i="1"/>
  <c r="E12436" i="1"/>
  <c r="E12435" i="1"/>
  <c r="E12434" i="1"/>
  <c r="E12433" i="1"/>
  <c r="E12432" i="1"/>
  <c r="E12431" i="1"/>
  <c r="E12430" i="1"/>
  <c r="E12429" i="1"/>
  <c r="E12428" i="1"/>
  <c r="E12427" i="1"/>
  <c r="E12426" i="1"/>
  <c r="E12425" i="1"/>
  <c r="E12424" i="1"/>
  <c r="E12423" i="1"/>
  <c r="E12422" i="1"/>
  <c r="E12421" i="1"/>
  <c r="E12420" i="1"/>
  <c r="E12419" i="1"/>
  <c r="E12418" i="1"/>
  <c r="E12417" i="1"/>
  <c r="E12416" i="1"/>
  <c r="E12415" i="1"/>
  <c r="E12414" i="1"/>
  <c r="E12413" i="1"/>
  <c r="E12412" i="1"/>
  <c r="E12411" i="1"/>
  <c r="E12410" i="1"/>
  <c r="E12409" i="1"/>
  <c r="E12408" i="1"/>
  <c r="E12407" i="1"/>
  <c r="E12406" i="1"/>
  <c r="E12405" i="1"/>
  <c r="E12404" i="1"/>
  <c r="E12403" i="1"/>
  <c r="E12402" i="1"/>
  <c r="E12401" i="1"/>
  <c r="E12400" i="1"/>
  <c r="E12399" i="1"/>
  <c r="E12398" i="1"/>
  <c r="E12397" i="1"/>
  <c r="E12396" i="1"/>
  <c r="E12395" i="1"/>
  <c r="E12394" i="1"/>
  <c r="E12393" i="1"/>
  <c r="E12392" i="1"/>
  <c r="E12391" i="1"/>
  <c r="E12390" i="1"/>
  <c r="E12389" i="1"/>
  <c r="E12388" i="1"/>
  <c r="E12387" i="1"/>
  <c r="E12386" i="1"/>
  <c r="E12385" i="1"/>
  <c r="E12384" i="1"/>
  <c r="E12383" i="1"/>
  <c r="E12382" i="1"/>
  <c r="E12381" i="1"/>
  <c r="E12380" i="1"/>
  <c r="E12379" i="1"/>
  <c r="E12378" i="1"/>
  <c r="E12377" i="1"/>
  <c r="E12376" i="1"/>
  <c r="E12375" i="1"/>
  <c r="E12374" i="1"/>
  <c r="E12373" i="1"/>
  <c r="E12372" i="1"/>
  <c r="E12371" i="1"/>
  <c r="E12370" i="1"/>
  <c r="E12369" i="1"/>
  <c r="E12368" i="1"/>
  <c r="E12367" i="1"/>
  <c r="E12366" i="1"/>
  <c r="E12365" i="1"/>
  <c r="E12364" i="1"/>
  <c r="E12363" i="1"/>
  <c r="E12362" i="1"/>
  <c r="E12361" i="1"/>
  <c r="E12360" i="1"/>
  <c r="E12359" i="1"/>
  <c r="E12358" i="1"/>
  <c r="E12357" i="1"/>
  <c r="E12356" i="1"/>
  <c r="E12355" i="1"/>
  <c r="E12354" i="1"/>
  <c r="E12353" i="1"/>
  <c r="E12352" i="1"/>
  <c r="E12351" i="1"/>
  <c r="E12350" i="1"/>
  <c r="E12349" i="1"/>
  <c r="E12348" i="1"/>
  <c r="E12347" i="1"/>
  <c r="E12346" i="1"/>
  <c r="E12345" i="1"/>
  <c r="E12344" i="1"/>
  <c r="E12343" i="1"/>
  <c r="E12342" i="1"/>
  <c r="E12341" i="1"/>
  <c r="E12340" i="1"/>
  <c r="E12339" i="1"/>
  <c r="E12338" i="1"/>
  <c r="E12337" i="1"/>
  <c r="E12336" i="1"/>
  <c r="E12335" i="1"/>
  <c r="E12334" i="1"/>
  <c r="E12333" i="1"/>
  <c r="E12332" i="1"/>
  <c r="E12331" i="1"/>
  <c r="E12330" i="1"/>
  <c r="E12329" i="1"/>
  <c r="E12328" i="1"/>
  <c r="E12327" i="1"/>
  <c r="E12326" i="1"/>
  <c r="E12325" i="1"/>
  <c r="E12324" i="1"/>
  <c r="E12323" i="1"/>
  <c r="E12322" i="1"/>
  <c r="E12321" i="1"/>
  <c r="E12320" i="1"/>
  <c r="E12319" i="1"/>
  <c r="E12318" i="1"/>
  <c r="E12317" i="1"/>
  <c r="E12316" i="1"/>
  <c r="E12315" i="1"/>
  <c r="E12314" i="1"/>
  <c r="E12313" i="1"/>
  <c r="E12312" i="1"/>
  <c r="E12311" i="1"/>
  <c r="E12310" i="1"/>
  <c r="E12309" i="1"/>
  <c r="E12308" i="1"/>
  <c r="E12307" i="1"/>
  <c r="E12306" i="1"/>
  <c r="E12305" i="1"/>
  <c r="E12304" i="1"/>
  <c r="E12303" i="1"/>
  <c r="E12302" i="1"/>
  <c r="E12301" i="1"/>
  <c r="E12300" i="1"/>
  <c r="E12299" i="1"/>
  <c r="E12298" i="1"/>
  <c r="E12297" i="1"/>
  <c r="E12296" i="1"/>
  <c r="E12295" i="1"/>
  <c r="E12294" i="1"/>
  <c r="E12293" i="1"/>
  <c r="E12292" i="1"/>
  <c r="E12291" i="1"/>
  <c r="E12290" i="1"/>
  <c r="E12289" i="1"/>
  <c r="E12288" i="1"/>
  <c r="E12287" i="1"/>
  <c r="E12286" i="1"/>
  <c r="E12285" i="1"/>
  <c r="E12284" i="1"/>
  <c r="E12283" i="1"/>
  <c r="E12282" i="1"/>
  <c r="E12281" i="1"/>
  <c r="E12280" i="1"/>
  <c r="E12279" i="1"/>
  <c r="E12278" i="1"/>
  <c r="E12277" i="1"/>
  <c r="E12276" i="1"/>
  <c r="E12275" i="1"/>
  <c r="E12274" i="1"/>
  <c r="E12273" i="1"/>
  <c r="E12272" i="1"/>
  <c r="E12271" i="1"/>
  <c r="E12270" i="1"/>
  <c r="E12269" i="1"/>
  <c r="E12268" i="1"/>
  <c r="E12267" i="1"/>
  <c r="E12266" i="1"/>
  <c r="E12265" i="1"/>
  <c r="E12264" i="1"/>
  <c r="E12263" i="1"/>
  <c r="E12262" i="1"/>
  <c r="E12261" i="1"/>
  <c r="E12260" i="1"/>
  <c r="E12259" i="1"/>
  <c r="E12258" i="1"/>
  <c r="E12257" i="1"/>
  <c r="E12256" i="1"/>
  <c r="E12255" i="1"/>
  <c r="E12254" i="1"/>
  <c r="E12253" i="1"/>
  <c r="E12252" i="1"/>
  <c r="E12251" i="1"/>
  <c r="E12250" i="1"/>
  <c r="E12249" i="1"/>
  <c r="E12248" i="1"/>
  <c r="E12247" i="1"/>
  <c r="E12246" i="1"/>
  <c r="E12245" i="1"/>
  <c r="E12244" i="1"/>
  <c r="E12243" i="1"/>
  <c r="E12242" i="1"/>
  <c r="E12241" i="1"/>
  <c r="E12240" i="1"/>
  <c r="E12239" i="1"/>
  <c r="E12238" i="1"/>
  <c r="E12237" i="1"/>
  <c r="E12236" i="1"/>
  <c r="E12235" i="1"/>
  <c r="E12234" i="1"/>
  <c r="E12233" i="1"/>
  <c r="E12232" i="1"/>
  <c r="E12231" i="1"/>
  <c r="E12230" i="1"/>
  <c r="E12229" i="1"/>
  <c r="E12228" i="1"/>
  <c r="E12227" i="1"/>
  <c r="E12226" i="1"/>
  <c r="E12225" i="1"/>
  <c r="E12224" i="1"/>
  <c r="E12223" i="1"/>
  <c r="E12222" i="1"/>
  <c r="E12221" i="1"/>
  <c r="E12220" i="1"/>
  <c r="E12219" i="1"/>
  <c r="E12218" i="1"/>
  <c r="E12217" i="1"/>
  <c r="E12216" i="1"/>
  <c r="E12215" i="1"/>
  <c r="E12214" i="1"/>
  <c r="E12213" i="1"/>
  <c r="E12212" i="1"/>
  <c r="E12211" i="1"/>
  <c r="E12210" i="1"/>
  <c r="E12209" i="1"/>
  <c r="E12208" i="1"/>
  <c r="E12207" i="1"/>
  <c r="E12206" i="1"/>
  <c r="E12205" i="1"/>
  <c r="E12204" i="1"/>
  <c r="E12203" i="1"/>
  <c r="E12202" i="1"/>
  <c r="E12201" i="1"/>
  <c r="E12200" i="1"/>
  <c r="E12199" i="1"/>
  <c r="E12198" i="1"/>
  <c r="E12197" i="1"/>
  <c r="E12196" i="1"/>
  <c r="E12195" i="1"/>
  <c r="E12194" i="1"/>
  <c r="E12193" i="1"/>
  <c r="E12192" i="1"/>
  <c r="E12191" i="1"/>
  <c r="E12190" i="1"/>
  <c r="E12189" i="1"/>
  <c r="E12188" i="1"/>
  <c r="E12187" i="1"/>
  <c r="E12186" i="1"/>
  <c r="E12185" i="1"/>
  <c r="E12184" i="1"/>
  <c r="E12183" i="1"/>
  <c r="E12182" i="1"/>
  <c r="E12181" i="1"/>
  <c r="E12180" i="1"/>
  <c r="E12179" i="1"/>
  <c r="E12178" i="1"/>
  <c r="E12177" i="1"/>
  <c r="E12176" i="1"/>
  <c r="E12175" i="1"/>
  <c r="E12174" i="1"/>
  <c r="E12173" i="1"/>
  <c r="E12172" i="1"/>
  <c r="E12171" i="1"/>
  <c r="E12170" i="1"/>
  <c r="E12169" i="1"/>
  <c r="E12168" i="1"/>
  <c r="E12167" i="1"/>
  <c r="E12166" i="1"/>
  <c r="E12165" i="1"/>
  <c r="E12164" i="1"/>
  <c r="E12163" i="1"/>
  <c r="E12162" i="1"/>
  <c r="E12161" i="1"/>
  <c r="E12160" i="1"/>
  <c r="E12159" i="1"/>
  <c r="E12158" i="1"/>
  <c r="E12157" i="1"/>
  <c r="E12156" i="1"/>
  <c r="E12155" i="1"/>
  <c r="E12154" i="1"/>
  <c r="E12153" i="1"/>
  <c r="E12152" i="1"/>
  <c r="E12151" i="1"/>
  <c r="E12150" i="1"/>
  <c r="E12149" i="1"/>
  <c r="E12148" i="1"/>
  <c r="E12147" i="1"/>
  <c r="E12146" i="1"/>
  <c r="E12145" i="1"/>
  <c r="E12144" i="1"/>
  <c r="E12143" i="1"/>
  <c r="E12142" i="1"/>
  <c r="E12141" i="1"/>
  <c r="E12140" i="1"/>
  <c r="E12139" i="1"/>
  <c r="E12138" i="1"/>
  <c r="E12137" i="1"/>
  <c r="E12136" i="1"/>
  <c r="E12135" i="1"/>
  <c r="E12134" i="1"/>
  <c r="E12133" i="1"/>
  <c r="E12132" i="1"/>
  <c r="E12131" i="1"/>
  <c r="E12130" i="1"/>
  <c r="E12129" i="1"/>
  <c r="E12128" i="1"/>
  <c r="E12127" i="1"/>
  <c r="E12126" i="1"/>
  <c r="E12125" i="1"/>
  <c r="E12124" i="1"/>
  <c r="E12123" i="1"/>
  <c r="E12122" i="1"/>
  <c r="E12121" i="1"/>
  <c r="E12120" i="1"/>
  <c r="E12119" i="1"/>
  <c r="E12118" i="1"/>
  <c r="E12117" i="1"/>
  <c r="E12116" i="1"/>
  <c r="E12115" i="1"/>
  <c r="E12114" i="1"/>
  <c r="E12113" i="1"/>
  <c r="E12112" i="1"/>
  <c r="E12111" i="1"/>
  <c r="E12110" i="1"/>
  <c r="E12109" i="1"/>
  <c r="E12108" i="1"/>
  <c r="E12107" i="1"/>
  <c r="E12106" i="1"/>
  <c r="E12105" i="1"/>
  <c r="E12104" i="1"/>
  <c r="E12103" i="1"/>
  <c r="E12102" i="1"/>
  <c r="E12101" i="1"/>
  <c r="E12100" i="1"/>
  <c r="E12099" i="1"/>
  <c r="E12098" i="1"/>
  <c r="E12097" i="1"/>
  <c r="E12096" i="1"/>
  <c r="E12095" i="1"/>
  <c r="E12094" i="1"/>
  <c r="E12093" i="1"/>
  <c r="E12092" i="1"/>
  <c r="E12091" i="1"/>
  <c r="E12090" i="1"/>
  <c r="E12089" i="1"/>
  <c r="E12088" i="1"/>
  <c r="E12087" i="1"/>
  <c r="E12086" i="1"/>
  <c r="E12085" i="1"/>
  <c r="E12084" i="1"/>
  <c r="E12083" i="1"/>
  <c r="E12082" i="1"/>
  <c r="E12081" i="1"/>
  <c r="E12080" i="1"/>
  <c r="E12079" i="1"/>
  <c r="E12078" i="1"/>
  <c r="E12077" i="1"/>
  <c r="E12076" i="1"/>
  <c r="E12075" i="1"/>
  <c r="E12074" i="1"/>
  <c r="E12073" i="1"/>
  <c r="E12072" i="1"/>
  <c r="E12071" i="1"/>
  <c r="E12070" i="1"/>
  <c r="E12069" i="1"/>
  <c r="E12068" i="1"/>
  <c r="E12067" i="1"/>
  <c r="E12066" i="1"/>
  <c r="E12065" i="1"/>
  <c r="E12064" i="1"/>
  <c r="E12063" i="1"/>
  <c r="E12062" i="1"/>
  <c r="E12061" i="1"/>
  <c r="E12060" i="1"/>
  <c r="E12059" i="1"/>
  <c r="E12058" i="1"/>
  <c r="E12057" i="1"/>
  <c r="E12056" i="1"/>
  <c r="E12055" i="1"/>
  <c r="E12054" i="1"/>
  <c r="E12053" i="1"/>
  <c r="E12052" i="1"/>
  <c r="E12051" i="1"/>
  <c r="E12050" i="1"/>
  <c r="E12049" i="1"/>
  <c r="E12048" i="1"/>
  <c r="E12047" i="1"/>
  <c r="E12046" i="1"/>
  <c r="E12045" i="1"/>
  <c r="E12044" i="1"/>
  <c r="E12043" i="1"/>
  <c r="E12042" i="1"/>
  <c r="E12041" i="1"/>
  <c r="E12040" i="1"/>
  <c r="E12039" i="1"/>
  <c r="E12038" i="1"/>
  <c r="E12037" i="1"/>
  <c r="E12036" i="1"/>
  <c r="E12035" i="1"/>
  <c r="E12034" i="1"/>
  <c r="E12033" i="1"/>
  <c r="E12032" i="1"/>
  <c r="E12031" i="1"/>
  <c r="E12030" i="1"/>
  <c r="E12029" i="1"/>
  <c r="E12028" i="1"/>
  <c r="E12027" i="1"/>
  <c r="E12026" i="1"/>
  <c r="E12025" i="1"/>
  <c r="E12024" i="1"/>
  <c r="E12023" i="1"/>
  <c r="E12022" i="1"/>
  <c r="E12021" i="1"/>
  <c r="E12020" i="1"/>
  <c r="E12019" i="1"/>
  <c r="E12018" i="1"/>
  <c r="E12017" i="1"/>
  <c r="E12016" i="1"/>
  <c r="E12015" i="1"/>
  <c r="E12014" i="1"/>
  <c r="E12013" i="1"/>
  <c r="E12012" i="1"/>
  <c r="E12011" i="1"/>
  <c r="E12010" i="1"/>
  <c r="E12009" i="1"/>
  <c r="E12008" i="1"/>
  <c r="E12007" i="1"/>
  <c r="E12006" i="1"/>
  <c r="E12005" i="1"/>
  <c r="E12004" i="1"/>
  <c r="E12003" i="1"/>
  <c r="E12002" i="1"/>
  <c r="E12001" i="1"/>
  <c r="E12000" i="1"/>
  <c r="E11999" i="1"/>
  <c r="E11998" i="1"/>
  <c r="E11997" i="1"/>
  <c r="E11996" i="1"/>
  <c r="E11995" i="1"/>
  <c r="E11994" i="1"/>
  <c r="E11993" i="1"/>
  <c r="E11992" i="1"/>
  <c r="E11991" i="1"/>
  <c r="E11990" i="1"/>
  <c r="E11989" i="1"/>
  <c r="E11988" i="1"/>
  <c r="E11987" i="1"/>
  <c r="E11986" i="1"/>
  <c r="E11985" i="1"/>
  <c r="E11984" i="1"/>
  <c r="E11983" i="1"/>
  <c r="E11982" i="1"/>
  <c r="E11981" i="1"/>
  <c r="E11980" i="1"/>
  <c r="E11979" i="1"/>
  <c r="E11978" i="1"/>
  <c r="E11977" i="1"/>
  <c r="E11976" i="1"/>
  <c r="E11975" i="1"/>
  <c r="E11974" i="1"/>
  <c r="E11973" i="1"/>
  <c r="E11972" i="1"/>
  <c r="E11971" i="1"/>
  <c r="E11970" i="1"/>
  <c r="E11969" i="1"/>
  <c r="E11968" i="1"/>
  <c r="E11967" i="1"/>
  <c r="E11966" i="1"/>
  <c r="E11965" i="1"/>
  <c r="E11964" i="1"/>
  <c r="E11963" i="1"/>
  <c r="E11962" i="1"/>
  <c r="E11961" i="1"/>
  <c r="E11960" i="1"/>
  <c r="E11959" i="1"/>
  <c r="E11958" i="1"/>
  <c r="E11957" i="1"/>
  <c r="E11956" i="1"/>
  <c r="E11955" i="1"/>
  <c r="E11954" i="1"/>
  <c r="E11953" i="1"/>
  <c r="E11952" i="1"/>
  <c r="E11951" i="1"/>
  <c r="E11950" i="1"/>
  <c r="E11949" i="1"/>
  <c r="E11948" i="1"/>
  <c r="E11947" i="1"/>
  <c r="E11946" i="1"/>
  <c r="E11945" i="1"/>
  <c r="E11944" i="1"/>
  <c r="E11943" i="1"/>
  <c r="E11942" i="1"/>
  <c r="E11941" i="1"/>
  <c r="E11940" i="1"/>
  <c r="E11939" i="1"/>
  <c r="E11938" i="1"/>
  <c r="E11937" i="1"/>
  <c r="E11936" i="1"/>
  <c r="E11935" i="1"/>
  <c r="E11934" i="1"/>
  <c r="E11933" i="1"/>
  <c r="E11932" i="1"/>
  <c r="E11931" i="1"/>
  <c r="E11930" i="1"/>
  <c r="E11929" i="1"/>
  <c r="E11928" i="1"/>
  <c r="E11927" i="1"/>
  <c r="E11926" i="1"/>
  <c r="E11925" i="1"/>
  <c r="E11924" i="1"/>
  <c r="E11923" i="1"/>
  <c r="E11922" i="1"/>
  <c r="E11921" i="1"/>
  <c r="E11920" i="1"/>
  <c r="E11919" i="1"/>
  <c r="E11918" i="1"/>
  <c r="E11917" i="1"/>
  <c r="E11916" i="1"/>
  <c r="E11915" i="1"/>
  <c r="E11914" i="1"/>
  <c r="E11913" i="1"/>
  <c r="E11912" i="1"/>
  <c r="E11911" i="1"/>
  <c r="E11910" i="1"/>
  <c r="E11909" i="1"/>
  <c r="E11908" i="1"/>
  <c r="E11907" i="1"/>
  <c r="E11906" i="1"/>
  <c r="E11905" i="1"/>
  <c r="E11904" i="1"/>
  <c r="E11903" i="1"/>
  <c r="E11902" i="1"/>
  <c r="E11901" i="1"/>
  <c r="E11900" i="1"/>
  <c r="E11899" i="1"/>
  <c r="E11898" i="1"/>
  <c r="E11897" i="1"/>
  <c r="E11896" i="1"/>
  <c r="E11895" i="1"/>
  <c r="E11894" i="1"/>
  <c r="E11893" i="1"/>
  <c r="E11892" i="1"/>
  <c r="E11891" i="1"/>
  <c r="E11890" i="1"/>
  <c r="E11889" i="1"/>
  <c r="E11888" i="1"/>
  <c r="E11887" i="1"/>
  <c r="E11886" i="1"/>
  <c r="E11885" i="1"/>
  <c r="E11884" i="1"/>
  <c r="E11883" i="1"/>
  <c r="E11882" i="1"/>
  <c r="E11881" i="1"/>
  <c r="E11880" i="1"/>
  <c r="E11879" i="1"/>
  <c r="E11878" i="1"/>
  <c r="E11877" i="1"/>
  <c r="E11876" i="1"/>
  <c r="E11875" i="1"/>
  <c r="E11874" i="1"/>
  <c r="E11873" i="1"/>
  <c r="E11872" i="1"/>
  <c r="E11871" i="1"/>
  <c r="E11870" i="1"/>
  <c r="E11869" i="1"/>
  <c r="E11868" i="1"/>
  <c r="E11867" i="1"/>
  <c r="E11866" i="1"/>
  <c r="E11865" i="1"/>
  <c r="E11864" i="1"/>
  <c r="E11863" i="1"/>
  <c r="E11862" i="1"/>
  <c r="E11861" i="1"/>
  <c r="E11860" i="1"/>
  <c r="E11859" i="1"/>
  <c r="E11858" i="1"/>
  <c r="E11857" i="1"/>
  <c r="E11856" i="1"/>
  <c r="E11855" i="1"/>
  <c r="E11854" i="1"/>
  <c r="E11853" i="1"/>
  <c r="E11852" i="1"/>
  <c r="E11851" i="1"/>
  <c r="E11850" i="1"/>
  <c r="E11849" i="1"/>
  <c r="E11848" i="1"/>
  <c r="E11847" i="1"/>
  <c r="E11846" i="1"/>
  <c r="E11845" i="1"/>
  <c r="E11844" i="1"/>
  <c r="E11843" i="1"/>
  <c r="E11842" i="1"/>
  <c r="E11841" i="1"/>
  <c r="E11840" i="1"/>
  <c r="E11839" i="1"/>
  <c r="E11838" i="1"/>
  <c r="E11837" i="1"/>
  <c r="E11836" i="1"/>
  <c r="E11835" i="1"/>
  <c r="E11834" i="1"/>
  <c r="E11833" i="1"/>
  <c r="E11832" i="1"/>
  <c r="E11831" i="1"/>
  <c r="E11830" i="1"/>
  <c r="E11829" i="1"/>
  <c r="E11828" i="1"/>
  <c r="E11827" i="1"/>
  <c r="E11826" i="1"/>
  <c r="E11825" i="1"/>
  <c r="E11824" i="1"/>
  <c r="E11823" i="1"/>
  <c r="E11822" i="1"/>
  <c r="E11821" i="1"/>
  <c r="E11820" i="1"/>
  <c r="E11819" i="1"/>
  <c r="E11818" i="1"/>
  <c r="E11817" i="1"/>
  <c r="E11816" i="1"/>
  <c r="E11815" i="1"/>
  <c r="E11814" i="1"/>
  <c r="E11813" i="1"/>
  <c r="E11812" i="1"/>
  <c r="E11811" i="1"/>
  <c r="E11810" i="1"/>
  <c r="E11809" i="1"/>
  <c r="E11808" i="1"/>
  <c r="E11807" i="1"/>
  <c r="E11806" i="1"/>
  <c r="E11805" i="1"/>
  <c r="E11804" i="1"/>
  <c r="E11803" i="1"/>
  <c r="E11802" i="1"/>
  <c r="E11801" i="1"/>
  <c r="E11800" i="1"/>
  <c r="E11799" i="1"/>
  <c r="E11798" i="1"/>
  <c r="E11797" i="1"/>
  <c r="E11796" i="1"/>
  <c r="E11795" i="1"/>
  <c r="E11794" i="1"/>
  <c r="E11793" i="1"/>
  <c r="E11792" i="1"/>
  <c r="E11791" i="1"/>
  <c r="E11790" i="1"/>
  <c r="E11789" i="1"/>
  <c r="E11788" i="1"/>
  <c r="E11787" i="1"/>
  <c r="E11786" i="1"/>
  <c r="E11785" i="1"/>
  <c r="E11784" i="1"/>
  <c r="E11783" i="1"/>
  <c r="E11782" i="1"/>
  <c r="E11781" i="1"/>
  <c r="E11780" i="1"/>
  <c r="E11779" i="1"/>
  <c r="E11778" i="1"/>
  <c r="E11777" i="1"/>
  <c r="E11776" i="1"/>
  <c r="E11775" i="1"/>
  <c r="E11774" i="1"/>
  <c r="E11773" i="1"/>
  <c r="E11772" i="1"/>
  <c r="E11771" i="1"/>
  <c r="E11770" i="1"/>
  <c r="E11769" i="1"/>
  <c r="E11768" i="1"/>
  <c r="E11767" i="1"/>
  <c r="E11766" i="1"/>
  <c r="E11765" i="1"/>
  <c r="E11764" i="1"/>
  <c r="E11763" i="1"/>
  <c r="E11762" i="1"/>
  <c r="E11761" i="1"/>
  <c r="E11760" i="1"/>
  <c r="E11759" i="1"/>
  <c r="E11758" i="1"/>
  <c r="E11757" i="1"/>
  <c r="E11756" i="1"/>
  <c r="E11755" i="1"/>
  <c r="E11754" i="1"/>
  <c r="E11753" i="1"/>
  <c r="E11752" i="1"/>
  <c r="E11751" i="1"/>
  <c r="E11750" i="1"/>
  <c r="E11749" i="1"/>
  <c r="E11748" i="1"/>
  <c r="E11747" i="1"/>
  <c r="E11746" i="1"/>
  <c r="E11745" i="1"/>
  <c r="E11744" i="1"/>
  <c r="E11743" i="1"/>
  <c r="E11742" i="1"/>
  <c r="E11741" i="1"/>
  <c r="E11740" i="1"/>
  <c r="E11739" i="1"/>
  <c r="E11738" i="1"/>
  <c r="E11737" i="1"/>
  <c r="E11736" i="1"/>
  <c r="E11735" i="1"/>
  <c r="E11734" i="1"/>
  <c r="E11733" i="1"/>
  <c r="E11732" i="1"/>
  <c r="E11731" i="1"/>
  <c r="E11730" i="1"/>
  <c r="E11729" i="1"/>
  <c r="E11728" i="1"/>
  <c r="E11727" i="1"/>
  <c r="E11726" i="1"/>
  <c r="E11725" i="1"/>
  <c r="E11724" i="1"/>
  <c r="E11723" i="1"/>
  <c r="E11722" i="1"/>
  <c r="E11721" i="1"/>
  <c r="E11720" i="1"/>
  <c r="E11719" i="1"/>
  <c r="E11718" i="1"/>
  <c r="E11717" i="1"/>
  <c r="E11716" i="1"/>
  <c r="E11715" i="1"/>
  <c r="E11714" i="1"/>
  <c r="E11713" i="1"/>
  <c r="E11712" i="1"/>
  <c r="E11711" i="1"/>
  <c r="E11710" i="1"/>
  <c r="E11709" i="1"/>
  <c r="E11708" i="1"/>
  <c r="E11707" i="1"/>
  <c r="E11706" i="1"/>
  <c r="E11705" i="1"/>
  <c r="E11704" i="1"/>
  <c r="E11703" i="1"/>
  <c r="E11702" i="1"/>
  <c r="E11701" i="1"/>
  <c r="E11700" i="1"/>
  <c r="E11699" i="1"/>
  <c r="E11698" i="1"/>
  <c r="E11697" i="1"/>
  <c r="E11696" i="1"/>
  <c r="E11695" i="1"/>
  <c r="E11694" i="1"/>
  <c r="E11693" i="1"/>
  <c r="E11692" i="1"/>
  <c r="E11691" i="1"/>
  <c r="E11690" i="1"/>
  <c r="E11689" i="1"/>
  <c r="E11688" i="1"/>
  <c r="E11687" i="1"/>
  <c r="E11686" i="1"/>
  <c r="E11685" i="1"/>
  <c r="E11684" i="1"/>
  <c r="E11683" i="1"/>
  <c r="E11682" i="1"/>
  <c r="E11681" i="1"/>
  <c r="E11680" i="1"/>
  <c r="E11679" i="1"/>
  <c r="E11678" i="1"/>
  <c r="E11677" i="1"/>
  <c r="E11676" i="1"/>
  <c r="E11675" i="1"/>
  <c r="E11674" i="1"/>
  <c r="E11673" i="1"/>
  <c r="E11672" i="1"/>
  <c r="E11671" i="1"/>
  <c r="E11670" i="1"/>
  <c r="E11669" i="1"/>
  <c r="E11668" i="1"/>
  <c r="E11667" i="1"/>
  <c r="E11666" i="1"/>
  <c r="E11665" i="1"/>
  <c r="E11664" i="1"/>
  <c r="E11663" i="1"/>
  <c r="E11662" i="1"/>
  <c r="E11661" i="1"/>
  <c r="E11660" i="1"/>
  <c r="E11659" i="1"/>
  <c r="E11658" i="1"/>
  <c r="E11657" i="1"/>
  <c r="E11656" i="1"/>
  <c r="E11655" i="1"/>
  <c r="E11654" i="1"/>
  <c r="E11653" i="1"/>
  <c r="E11652" i="1"/>
  <c r="E11651" i="1"/>
  <c r="E11650" i="1"/>
  <c r="E11649" i="1"/>
  <c r="E11648" i="1"/>
  <c r="E11647" i="1"/>
  <c r="E11646" i="1"/>
  <c r="E11645" i="1"/>
  <c r="E11644" i="1"/>
  <c r="E11643" i="1"/>
  <c r="E11642" i="1"/>
  <c r="E11641" i="1"/>
  <c r="E11640" i="1"/>
  <c r="E11639" i="1"/>
  <c r="E11638" i="1"/>
  <c r="E11637" i="1"/>
  <c r="E11636" i="1"/>
  <c r="E11635" i="1"/>
  <c r="E11634" i="1"/>
  <c r="E11633" i="1"/>
  <c r="E11632" i="1"/>
  <c r="E11631" i="1"/>
  <c r="E11630" i="1"/>
  <c r="E11629" i="1"/>
  <c r="E11628" i="1"/>
  <c r="E11627" i="1"/>
  <c r="E11626" i="1"/>
  <c r="E11625" i="1"/>
  <c r="E11624" i="1"/>
  <c r="E11623" i="1"/>
  <c r="E11622" i="1"/>
  <c r="E11621" i="1"/>
  <c r="E11620" i="1"/>
  <c r="E11619" i="1"/>
  <c r="E11618" i="1"/>
  <c r="E11617" i="1"/>
  <c r="E11616" i="1"/>
  <c r="E11615" i="1"/>
  <c r="E11614" i="1"/>
  <c r="E11613" i="1"/>
  <c r="E11612" i="1"/>
  <c r="E11611" i="1"/>
  <c r="E11610" i="1"/>
  <c r="E11609" i="1"/>
  <c r="E11608" i="1"/>
  <c r="E11607" i="1"/>
  <c r="E11606" i="1"/>
  <c r="E11605" i="1"/>
  <c r="E11604" i="1"/>
  <c r="E11603" i="1"/>
  <c r="E11602" i="1"/>
  <c r="E11601" i="1"/>
  <c r="E11600" i="1"/>
  <c r="E11599" i="1"/>
  <c r="E11598" i="1"/>
  <c r="E11597" i="1"/>
  <c r="E11596" i="1"/>
  <c r="E11595" i="1"/>
  <c r="E11594" i="1"/>
  <c r="E11593" i="1"/>
  <c r="E11592" i="1"/>
  <c r="E11591" i="1"/>
  <c r="E11590" i="1"/>
  <c r="E11589" i="1"/>
  <c r="E11588" i="1"/>
  <c r="E11587" i="1"/>
  <c r="E11586" i="1"/>
  <c r="E11585" i="1"/>
  <c r="E11584" i="1"/>
  <c r="E11583" i="1"/>
  <c r="E11582" i="1"/>
  <c r="E11581" i="1"/>
  <c r="E11580" i="1"/>
  <c r="E11579" i="1"/>
  <c r="E11578" i="1"/>
  <c r="E11577" i="1"/>
  <c r="E11576" i="1"/>
  <c r="E11575" i="1"/>
  <c r="E11574" i="1"/>
  <c r="E11573" i="1"/>
  <c r="E11572" i="1"/>
  <c r="E11571" i="1"/>
  <c r="E11570" i="1"/>
  <c r="E11569" i="1"/>
  <c r="E11568" i="1"/>
  <c r="E11567" i="1"/>
  <c r="E11566" i="1"/>
  <c r="E11565" i="1"/>
  <c r="E11564" i="1"/>
  <c r="E11563" i="1"/>
  <c r="E11562" i="1"/>
  <c r="E11561" i="1"/>
  <c r="E11560" i="1"/>
  <c r="E11559" i="1"/>
  <c r="E11558" i="1"/>
  <c r="E11557" i="1"/>
  <c r="E11556" i="1"/>
  <c r="E11555" i="1"/>
  <c r="E11554" i="1"/>
  <c r="E11553" i="1"/>
  <c r="E11552" i="1"/>
  <c r="E11551" i="1"/>
  <c r="E11550" i="1"/>
  <c r="E11549" i="1"/>
  <c r="E11548" i="1"/>
  <c r="E11547" i="1"/>
  <c r="E11546" i="1"/>
  <c r="E11545" i="1"/>
  <c r="E11544" i="1"/>
  <c r="E11543" i="1"/>
  <c r="E11542" i="1"/>
  <c r="E11541" i="1"/>
  <c r="E11540" i="1"/>
  <c r="E11539" i="1"/>
  <c r="E11538" i="1"/>
  <c r="E11537" i="1"/>
  <c r="E11536" i="1"/>
  <c r="E11535" i="1"/>
  <c r="E11534" i="1"/>
  <c r="E11533" i="1"/>
  <c r="E11532" i="1"/>
  <c r="E11531" i="1"/>
  <c r="E11530" i="1"/>
  <c r="E11529" i="1"/>
  <c r="E11528" i="1"/>
  <c r="E11527" i="1"/>
  <c r="E11526" i="1"/>
  <c r="E11525" i="1"/>
  <c r="E11524" i="1"/>
  <c r="E11523" i="1"/>
  <c r="E11522" i="1"/>
  <c r="E11521" i="1"/>
  <c r="E11520" i="1"/>
  <c r="E11519" i="1"/>
  <c r="E11518" i="1"/>
  <c r="E11517" i="1"/>
  <c r="E11516" i="1"/>
  <c r="E11515" i="1"/>
  <c r="E11514" i="1"/>
  <c r="E11513" i="1"/>
  <c r="E11512" i="1"/>
  <c r="E11511" i="1"/>
  <c r="E11510" i="1"/>
  <c r="E11509" i="1"/>
  <c r="E11508" i="1"/>
  <c r="E11507" i="1"/>
  <c r="E11506" i="1"/>
  <c r="E11505" i="1"/>
  <c r="E11504" i="1"/>
  <c r="E11503" i="1"/>
  <c r="E11502" i="1"/>
  <c r="E11501" i="1"/>
  <c r="E11500" i="1"/>
  <c r="E11499" i="1"/>
  <c r="E11498" i="1"/>
  <c r="E11497" i="1"/>
  <c r="E11496" i="1"/>
  <c r="E11495" i="1"/>
  <c r="E11494" i="1"/>
  <c r="E11493" i="1"/>
  <c r="E11492" i="1"/>
  <c r="E11491" i="1"/>
  <c r="E11490" i="1"/>
  <c r="E11489" i="1"/>
  <c r="E11488" i="1"/>
  <c r="E11487" i="1"/>
  <c r="E11486" i="1"/>
  <c r="E11485" i="1"/>
  <c r="E11484" i="1"/>
  <c r="E11483" i="1"/>
  <c r="E11482" i="1"/>
  <c r="E11481" i="1"/>
  <c r="E11480" i="1"/>
  <c r="E11479" i="1"/>
  <c r="E11478" i="1"/>
  <c r="E11477" i="1"/>
  <c r="E11476" i="1"/>
  <c r="E11475" i="1"/>
  <c r="E11474" i="1"/>
  <c r="E11473" i="1"/>
  <c r="E11472" i="1"/>
  <c r="E11471" i="1"/>
  <c r="E11470" i="1"/>
  <c r="E11469" i="1"/>
  <c r="E11468" i="1"/>
  <c r="E11467" i="1"/>
  <c r="E11466" i="1"/>
  <c r="E11465" i="1"/>
  <c r="E11464" i="1"/>
  <c r="E11463" i="1"/>
  <c r="E11462" i="1"/>
  <c r="E11461" i="1"/>
  <c r="E11460" i="1"/>
  <c r="E11459" i="1"/>
  <c r="E11458" i="1"/>
  <c r="E11457" i="1"/>
  <c r="E11456" i="1"/>
  <c r="E11455" i="1"/>
  <c r="E11454" i="1"/>
  <c r="E11453" i="1"/>
  <c r="E11452" i="1"/>
  <c r="E11451" i="1"/>
  <c r="E11450" i="1"/>
  <c r="E11449" i="1"/>
  <c r="E11448" i="1"/>
  <c r="E11447" i="1"/>
  <c r="E11446" i="1"/>
  <c r="E11445" i="1"/>
  <c r="E11444" i="1"/>
  <c r="E11443" i="1"/>
  <c r="E11442" i="1"/>
  <c r="E11441" i="1"/>
  <c r="E11440" i="1"/>
  <c r="E11439" i="1"/>
  <c r="E11438" i="1"/>
  <c r="E11437" i="1"/>
  <c r="E11436" i="1"/>
  <c r="E11435" i="1"/>
  <c r="E11434" i="1"/>
  <c r="E11433" i="1"/>
  <c r="E11432" i="1"/>
  <c r="E11431" i="1"/>
  <c r="E11430" i="1"/>
  <c r="E11429" i="1"/>
  <c r="E11428" i="1"/>
  <c r="E11427" i="1"/>
  <c r="E11426" i="1"/>
  <c r="E11425" i="1"/>
  <c r="E11424" i="1"/>
  <c r="E11423" i="1"/>
  <c r="E11422" i="1"/>
  <c r="E11421" i="1"/>
  <c r="E11420" i="1"/>
  <c r="E11419" i="1"/>
  <c r="E11418" i="1"/>
  <c r="E11417" i="1"/>
  <c r="E11416" i="1"/>
  <c r="E11415" i="1"/>
  <c r="E11414" i="1"/>
  <c r="E11413" i="1"/>
  <c r="E11412" i="1"/>
  <c r="E11411" i="1"/>
  <c r="E11410" i="1"/>
  <c r="E11409" i="1"/>
  <c r="E11408" i="1"/>
  <c r="E11407" i="1"/>
  <c r="E11406" i="1"/>
  <c r="E11405" i="1"/>
  <c r="E11404" i="1"/>
  <c r="E11403" i="1"/>
  <c r="E11402" i="1"/>
  <c r="E11401" i="1"/>
  <c r="E11400" i="1"/>
  <c r="E11399" i="1"/>
  <c r="E11398" i="1"/>
  <c r="E11397" i="1"/>
  <c r="E11396" i="1"/>
  <c r="E11395" i="1"/>
  <c r="E11394" i="1"/>
  <c r="E11393" i="1"/>
  <c r="E11392" i="1"/>
  <c r="E11391" i="1"/>
  <c r="E11390" i="1"/>
  <c r="E11389" i="1"/>
  <c r="E11388" i="1"/>
  <c r="E11387" i="1"/>
  <c r="E11386" i="1"/>
  <c r="E11385" i="1"/>
  <c r="E11384" i="1"/>
  <c r="E11383" i="1"/>
  <c r="E11382" i="1"/>
  <c r="E11381" i="1"/>
  <c r="E11380" i="1"/>
  <c r="E11379" i="1"/>
  <c r="E11378" i="1"/>
  <c r="E11377" i="1"/>
  <c r="E11376" i="1"/>
  <c r="E11375" i="1"/>
  <c r="E11374" i="1"/>
  <c r="E11373" i="1"/>
  <c r="E11372" i="1"/>
  <c r="E11371" i="1"/>
  <c r="E11370" i="1"/>
  <c r="E11369" i="1"/>
  <c r="E11368" i="1"/>
  <c r="E11367" i="1"/>
  <c r="E11366" i="1"/>
  <c r="E11365" i="1"/>
  <c r="E11364" i="1"/>
  <c r="E11363" i="1"/>
  <c r="E11362" i="1"/>
  <c r="E11361" i="1"/>
  <c r="E11360" i="1"/>
  <c r="E11359" i="1"/>
  <c r="E11358" i="1"/>
  <c r="E11357" i="1"/>
  <c r="E11356" i="1"/>
  <c r="E11355" i="1"/>
  <c r="E11354" i="1"/>
  <c r="E11353" i="1"/>
  <c r="E11352" i="1"/>
  <c r="E11351" i="1"/>
  <c r="E11350" i="1"/>
  <c r="E11349" i="1"/>
  <c r="E11348" i="1"/>
  <c r="E11347" i="1"/>
  <c r="E11346" i="1"/>
  <c r="E11345" i="1"/>
  <c r="E11344" i="1"/>
  <c r="E11343" i="1"/>
  <c r="E11342" i="1"/>
  <c r="E11341" i="1"/>
  <c r="E11340" i="1"/>
  <c r="E11339" i="1"/>
  <c r="E11338" i="1"/>
  <c r="E11337" i="1"/>
  <c r="E11336" i="1"/>
  <c r="E11335" i="1"/>
  <c r="E11334" i="1"/>
  <c r="E11333" i="1"/>
  <c r="E11332" i="1"/>
  <c r="E11331" i="1"/>
  <c r="E11330" i="1"/>
  <c r="E11329" i="1"/>
  <c r="E11328" i="1"/>
  <c r="E11327" i="1"/>
  <c r="E11326" i="1"/>
  <c r="E11325" i="1"/>
  <c r="E11324" i="1"/>
  <c r="E11323" i="1"/>
  <c r="E11322" i="1"/>
  <c r="E11321" i="1"/>
  <c r="E11320" i="1"/>
  <c r="E11319" i="1"/>
  <c r="E11318" i="1"/>
  <c r="E11317" i="1"/>
  <c r="E11316" i="1"/>
  <c r="E11315" i="1"/>
  <c r="E11314" i="1"/>
  <c r="E11313" i="1"/>
  <c r="E11312" i="1"/>
  <c r="E11311" i="1"/>
  <c r="E11310" i="1"/>
  <c r="E11309" i="1"/>
  <c r="E11308" i="1"/>
  <c r="E11307" i="1"/>
  <c r="E11306" i="1"/>
  <c r="E11305" i="1"/>
  <c r="E11304" i="1"/>
  <c r="E11303" i="1"/>
  <c r="E11302" i="1"/>
  <c r="E11301" i="1"/>
  <c r="E11300" i="1"/>
  <c r="E11299" i="1"/>
  <c r="E11298" i="1"/>
  <c r="E11297" i="1"/>
  <c r="E11296" i="1"/>
  <c r="E11295" i="1"/>
  <c r="E11294" i="1"/>
  <c r="E11293" i="1"/>
  <c r="E11292" i="1"/>
  <c r="E11291" i="1"/>
  <c r="E11290" i="1"/>
  <c r="E11289" i="1"/>
  <c r="E11288" i="1"/>
  <c r="E11287" i="1"/>
  <c r="E11286" i="1"/>
  <c r="E11285" i="1"/>
  <c r="E11284" i="1"/>
  <c r="E11283" i="1"/>
  <c r="E11282" i="1"/>
  <c r="E11281" i="1"/>
  <c r="E11280" i="1"/>
  <c r="E11279" i="1"/>
  <c r="E11278" i="1"/>
  <c r="E11277" i="1"/>
  <c r="E11276" i="1"/>
  <c r="E11275" i="1"/>
  <c r="E11274" i="1"/>
  <c r="E11273" i="1"/>
  <c r="E11272" i="1"/>
  <c r="E11271" i="1"/>
  <c r="E11270" i="1"/>
  <c r="E11269" i="1"/>
  <c r="E11268" i="1"/>
  <c r="E11267" i="1"/>
  <c r="E11266" i="1"/>
  <c r="E11265" i="1"/>
  <c r="E11264" i="1"/>
  <c r="E11263" i="1"/>
  <c r="E11262" i="1"/>
  <c r="E11261" i="1"/>
  <c r="E11260" i="1"/>
  <c r="E11259" i="1"/>
  <c r="E11258" i="1"/>
  <c r="E11257" i="1"/>
  <c r="E11256" i="1"/>
  <c r="E11255" i="1"/>
  <c r="E11254" i="1"/>
  <c r="E11253" i="1"/>
  <c r="E11252" i="1"/>
  <c r="E11251" i="1"/>
  <c r="E11250" i="1"/>
  <c r="E11249" i="1"/>
  <c r="E11248" i="1"/>
  <c r="E11247" i="1"/>
  <c r="E11246" i="1"/>
  <c r="E11245" i="1"/>
  <c r="E11244" i="1"/>
  <c r="E11243" i="1"/>
  <c r="E11242" i="1"/>
  <c r="E11241" i="1"/>
  <c r="E11240" i="1"/>
  <c r="E11239" i="1"/>
  <c r="E11238" i="1"/>
  <c r="E11237" i="1"/>
  <c r="E11236" i="1"/>
  <c r="E11235" i="1"/>
  <c r="E11234" i="1"/>
  <c r="E11233" i="1"/>
  <c r="E11232" i="1"/>
  <c r="E11231" i="1"/>
  <c r="E11230" i="1"/>
  <c r="E11229" i="1"/>
  <c r="E11228" i="1"/>
  <c r="E11227" i="1"/>
  <c r="E11226" i="1"/>
  <c r="E11225" i="1"/>
  <c r="E11224" i="1"/>
  <c r="E11223" i="1"/>
  <c r="E11222" i="1"/>
  <c r="E11221" i="1"/>
  <c r="E11220" i="1"/>
  <c r="E11219" i="1"/>
  <c r="E11218" i="1"/>
  <c r="E11217" i="1"/>
  <c r="E11216" i="1"/>
  <c r="E11215" i="1"/>
  <c r="E11214" i="1"/>
  <c r="E11213" i="1"/>
  <c r="E11212" i="1"/>
  <c r="E11211" i="1"/>
  <c r="E11210" i="1"/>
  <c r="E11209" i="1"/>
  <c r="E11208" i="1"/>
  <c r="E11207" i="1"/>
  <c r="E11206" i="1"/>
  <c r="E11205" i="1"/>
  <c r="E11204" i="1"/>
  <c r="E11203" i="1"/>
  <c r="E11202" i="1"/>
  <c r="E11201" i="1"/>
  <c r="E11200" i="1"/>
  <c r="E11199" i="1"/>
  <c r="E11198" i="1"/>
  <c r="E11197" i="1"/>
  <c r="E11196" i="1"/>
  <c r="E11195" i="1"/>
  <c r="E11194" i="1"/>
  <c r="E11193" i="1"/>
  <c r="E11192" i="1"/>
  <c r="E11191" i="1"/>
  <c r="E11190" i="1"/>
  <c r="E11189" i="1"/>
  <c r="E11188" i="1"/>
  <c r="E11187" i="1"/>
  <c r="E11186" i="1"/>
  <c r="E11185" i="1"/>
  <c r="E11184" i="1"/>
  <c r="E11183" i="1"/>
  <c r="E11182" i="1"/>
  <c r="E11181" i="1"/>
  <c r="E11180" i="1"/>
  <c r="E11179" i="1"/>
  <c r="E11178" i="1"/>
  <c r="E11177" i="1"/>
  <c r="E11176" i="1"/>
  <c r="E11175" i="1"/>
  <c r="E11174" i="1"/>
  <c r="E11173" i="1"/>
  <c r="E11172" i="1"/>
  <c r="E11171" i="1"/>
  <c r="E11170" i="1"/>
  <c r="E11169" i="1"/>
  <c r="E11168" i="1"/>
  <c r="E11167" i="1"/>
  <c r="E11166" i="1"/>
  <c r="E11165" i="1"/>
  <c r="E11164" i="1"/>
  <c r="E11163" i="1"/>
  <c r="E11162" i="1"/>
  <c r="E11161" i="1"/>
  <c r="E11160" i="1"/>
  <c r="E11159" i="1"/>
  <c r="E11158" i="1"/>
  <c r="E11157" i="1"/>
  <c r="E11156" i="1"/>
  <c r="E11155" i="1"/>
  <c r="E11154" i="1"/>
  <c r="E11153" i="1"/>
  <c r="E11152" i="1"/>
  <c r="E11151" i="1"/>
  <c r="E11150" i="1"/>
  <c r="E11149" i="1"/>
  <c r="E11148" i="1"/>
  <c r="E11147" i="1"/>
  <c r="E11146" i="1"/>
  <c r="E11145" i="1"/>
  <c r="E11144" i="1"/>
  <c r="E11143" i="1"/>
  <c r="E11142" i="1"/>
  <c r="E11141" i="1"/>
  <c r="E11140" i="1"/>
  <c r="E11139" i="1"/>
  <c r="E11138" i="1"/>
  <c r="E11137" i="1"/>
  <c r="E11136" i="1"/>
  <c r="E11135" i="1"/>
  <c r="E11134" i="1"/>
  <c r="E11133" i="1"/>
  <c r="E11132" i="1"/>
  <c r="E11131" i="1"/>
  <c r="E11130" i="1"/>
  <c r="E11129" i="1"/>
  <c r="E11128" i="1"/>
  <c r="E11127" i="1"/>
  <c r="E11126" i="1"/>
  <c r="E11125" i="1"/>
  <c r="E11124" i="1"/>
  <c r="E11123" i="1"/>
  <c r="E11122" i="1"/>
  <c r="E11121" i="1"/>
  <c r="E11120" i="1"/>
  <c r="E11119" i="1"/>
  <c r="E11118" i="1"/>
  <c r="E11117" i="1"/>
  <c r="E11116" i="1"/>
  <c r="E11115" i="1"/>
  <c r="E11114" i="1"/>
  <c r="E11113" i="1"/>
  <c r="E11112" i="1"/>
  <c r="E11111" i="1"/>
  <c r="E11110" i="1"/>
  <c r="E11109" i="1"/>
  <c r="E11108" i="1"/>
  <c r="E11107" i="1"/>
  <c r="E11106" i="1"/>
  <c r="E11105" i="1"/>
  <c r="E11104" i="1"/>
  <c r="E11103" i="1"/>
  <c r="E11102" i="1"/>
  <c r="E11101" i="1"/>
  <c r="E11100" i="1"/>
  <c r="E11099" i="1"/>
  <c r="E11098" i="1"/>
  <c r="E11097" i="1"/>
  <c r="E11096" i="1"/>
  <c r="E11095" i="1"/>
  <c r="E11094" i="1"/>
  <c r="E11093" i="1"/>
  <c r="E11092" i="1"/>
  <c r="E11091" i="1"/>
  <c r="E11090" i="1"/>
  <c r="E11089" i="1"/>
  <c r="E11088" i="1"/>
  <c r="E11087" i="1"/>
  <c r="E11086" i="1"/>
  <c r="E11085" i="1"/>
  <c r="E11084" i="1"/>
  <c r="E11083" i="1"/>
  <c r="E11082" i="1"/>
  <c r="E11081" i="1"/>
  <c r="E11080" i="1"/>
  <c r="E11079" i="1"/>
  <c r="E11078" i="1"/>
  <c r="E11077" i="1"/>
  <c r="E11076" i="1"/>
  <c r="E11075" i="1"/>
  <c r="E11074" i="1"/>
  <c r="E11073" i="1"/>
  <c r="E11072" i="1"/>
  <c r="E11071" i="1"/>
  <c r="E11070" i="1"/>
  <c r="E11069" i="1"/>
  <c r="E11068" i="1"/>
  <c r="E11067" i="1"/>
  <c r="E11066" i="1"/>
  <c r="E11065" i="1"/>
  <c r="E11064" i="1"/>
  <c r="E11063" i="1"/>
  <c r="E11062" i="1"/>
  <c r="E11061" i="1"/>
  <c r="E11060" i="1"/>
  <c r="E11059" i="1"/>
  <c r="E11058" i="1"/>
  <c r="E11057" i="1"/>
  <c r="E11056" i="1"/>
  <c r="E11055" i="1"/>
  <c r="E11054" i="1"/>
  <c r="E11053" i="1"/>
  <c r="E11052" i="1"/>
  <c r="E11051" i="1"/>
  <c r="E11050" i="1"/>
  <c r="E11049" i="1"/>
  <c r="E11048" i="1"/>
  <c r="E11047" i="1"/>
  <c r="E11046" i="1"/>
  <c r="E11045" i="1"/>
  <c r="E11044" i="1"/>
  <c r="E11043" i="1"/>
  <c r="E11042" i="1"/>
  <c r="E11041" i="1"/>
  <c r="E11040" i="1"/>
  <c r="E11039" i="1"/>
  <c r="E11038" i="1"/>
  <c r="E11037" i="1"/>
  <c r="E11036" i="1"/>
  <c r="E11035" i="1"/>
  <c r="E11034" i="1"/>
  <c r="E11033" i="1"/>
  <c r="E11032" i="1"/>
  <c r="E11031" i="1"/>
  <c r="E11030" i="1"/>
  <c r="E11029" i="1"/>
  <c r="E11028" i="1"/>
  <c r="E11027" i="1"/>
  <c r="E11026" i="1"/>
  <c r="E11025" i="1"/>
  <c r="E11024" i="1"/>
  <c r="E11023" i="1"/>
  <c r="E11022" i="1"/>
  <c r="E11021" i="1"/>
  <c r="E11020" i="1"/>
  <c r="E11019" i="1"/>
  <c r="E11018" i="1"/>
  <c r="E11017" i="1"/>
  <c r="E11016" i="1"/>
  <c r="E11015" i="1"/>
  <c r="E11014" i="1"/>
  <c r="E11013" i="1"/>
  <c r="E11012" i="1"/>
  <c r="E11011" i="1"/>
  <c r="E11010" i="1"/>
  <c r="E11009" i="1"/>
  <c r="E11008" i="1"/>
  <c r="E11007" i="1"/>
  <c r="E11006" i="1"/>
  <c r="E11005" i="1"/>
  <c r="E11004" i="1"/>
  <c r="E11003" i="1"/>
  <c r="E11002" i="1"/>
  <c r="E11001" i="1"/>
  <c r="E11000" i="1"/>
  <c r="E10999" i="1"/>
  <c r="E10998" i="1"/>
  <c r="E10997" i="1"/>
  <c r="E10996" i="1"/>
  <c r="E10995" i="1"/>
  <c r="E10994" i="1"/>
  <c r="E10993" i="1"/>
  <c r="E10992" i="1"/>
  <c r="E10991" i="1"/>
  <c r="E10990" i="1"/>
  <c r="E10989" i="1"/>
  <c r="E10988" i="1"/>
  <c r="E10987" i="1"/>
  <c r="E10986" i="1"/>
  <c r="E10985" i="1"/>
  <c r="E10984" i="1"/>
  <c r="E10983" i="1"/>
  <c r="E10982" i="1"/>
  <c r="E10981" i="1"/>
  <c r="E10980" i="1"/>
  <c r="E10979" i="1"/>
  <c r="E10978" i="1"/>
  <c r="E10977" i="1"/>
  <c r="E10976" i="1"/>
  <c r="E10975" i="1"/>
  <c r="E10974" i="1"/>
  <c r="E10973" i="1"/>
  <c r="E10972" i="1"/>
  <c r="E10971" i="1"/>
  <c r="E10970" i="1"/>
  <c r="E10969" i="1"/>
  <c r="E10968" i="1"/>
  <c r="E10967" i="1"/>
  <c r="E10966" i="1"/>
  <c r="E10965" i="1"/>
  <c r="E10964" i="1"/>
  <c r="E10963" i="1"/>
  <c r="E10962" i="1"/>
  <c r="E10961" i="1"/>
  <c r="E10960" i="1"/>
  <c r="E10959" i="1"/>
  <c r="E10958" i="1"/>
  <c r="E10957" i="1"/>
  <c r="E10956" i="1"/>
  <c r="E10955" i="1"/>
  <c r="E10954" i="1"/>
  <c r="E10953" i="1"/>
  <c r="E10952" i="1"/>
  <c r="E10951" i="1"/>
  <c r="E10950" i="1"/>
  <c r="E10949" i="1"/>
  <c r="E10948" i="1"/>
  <c r="E10947" i="1"/>
  <c r="E10946" i="1"/>
  <c r="E10945" i="1"/>
  <c r="E10944" i="1"/>
  <c r="E10943" i="1"/>
  <c r="E10942" i="1"/>
  <c r="E10941" i="1"/>
  <c r="E10940" i="1"/>
  <c r="E10939" i="1"/>
  <c r="E10938" i="1"/>
  <c r="E10937" i="1"/>
  <c r="E10936" i="1"/>
  <c r="E10935" i="1"/>
  <c r="E10934" i="1"/>
  <c r="E10933" i="1"/>
  <c r="E10932" i="1"/>
  <c r="E10931" i="1"/>
  <c r="E10930" i="1"/>
  <c r="E10929" i="1"/>
  <c r="E10928" i="1"/>
  <c r="E10927" i="1"/>
  <c r="E10926" i="1"/>
  <c r="E10925" i="1"/>
  <c r="E10924" i="1"/>
  <c r="E10923" i="1"/>
  <c r="E10922" i="1"/>
  <c r="E10921" i="1"/>
  <c r="E10920" i="1"/>
  <c r="E10919" i="1"/>
  <c r="E10918" i="1"/>
  <c r="E10917" i="1"/>
  <c r="E10916" i="1"/>
  <c r="E10915" i="1"/>
  <c r="E10914" i="1"/>
  <c r="E10913" i="1"/>
  <c r="E10912" i="1"/>
  <c r="E10911" i="1"/>
  <c r="E10910" i="1"/>
  <c r="E10909" i="1"/>
  <c r="E10908" i="1"/>
  <c r="E10907" i="1"/>
  <c r="E10906" i="1"/>
  <c r="E10905" i="1"/>
  <c r="E10904" i="1"/>
  <c r="E10903" i="1"/>
  <c r="E10902" i="1"/>
  <c r="E10901" i="1"/>
  <c r="E10900" i="1"/>
  <c r="E10899" i="1"/>
  <c r="E10898" i="1"/>
  <c r="E10897" i="1"/>
  <c r="E10896" i="1"/>
  <c r="E10895" i="1"/>
  <c r="E10894" i="1"/>
  <c r="E10893" i="1"/>
  <c r="E10892" i="1"/>
  <c r="E10891" i="1"/>
  <c r="E10890" i="1"/>
  <c r="E10889" i="1"/>
  <c r="E10888" i="1"/>
  <c r="E10887" i="1"/>
  <c r="E10886" i="1"/>
  <c r="E10885" i="1"/>
  <c r="E10884" i="1"/>
  <c r="E10883" i="1"/>
  <c r="E10882" i="1"/>
  <c r="E10881" i="1"/>
  <c r="E10880" i="1"/>
  <c r="E10879" i="1"/>
  <c r="E10878" i="1"/>
  <c r="E10877" i="1"/>
  <c r="E10876" i="1"/>
  <c r="E10875" i="1"/>
  <c r="E10874" i="1"/>
  <c r="E10873" i="1"/>
  <c r="E10872" i="1"/>
  <c r="E10871" i="1"/>
  <c r="E10870" i="1"/>
  <c r="E10869" i="1"/>
  <c r="E10868" i="1"/>
  <c r="E10867" i="1"/>
  <c r="E10866" i="1"/>
  <c r="E10865" i="1"/>
  <c r="E10864" i="1"/>
  <c r="E10863" i="1"/>
  <c r="E10862" i="1"/>
  <c r="E10861" i="1"/>
  <c r="E10860" i="1"/>
  <c r="E10859" i="1"/>
  <c r="E10858" i="1"/>
  <c r="E10857" i="1"/>
  <c r="E10856" i="1"/>
  <c r="E10855" i="1"/>
  <c r="E10854" i="1"/>
  <c r="E10853" i="1"/>
  <c r="E10852" i="1"/>
  <c r="E10851" i="1"/>
  <c r="E10850" i="1"/>
  <c r="E10849" i="1"/>
  <c r="E10848" i="1"/>
  <c r="E10847" i="1"/>
  <c r="E10846" i="1"/>
  <c r="E10845" i="1"/>
  <c r="E10844" i="1"/>
  <c r="E10843" i="1"/>
  <c r="E10842" i="1"/>
  <c r="E10841" i="1"/>
  <c r="E10840" i="1"/>
  <c r="E10839" i="1"/>
  <c r="E10838" i="1"/>
  <c r="E10837" i="1"/>
  <c r="E10836" i="1"/>
  <c r="E10835" i="1"/>
  <c r="E10834" i="1"/>
  <c r="E10833" i="1"/>
  <c r="E10832" i="1"/>
  <c r="E10831" i="1"/>
  <c r="E10830" i="1"/>
  <c r="E10829" i="1"/>
  <c r="E10828" i="1"/>
  <c r="E10827" i="1"/>
  <c r="E10826" i="1"/>
  <c r="E10825" i="1"/>
  <c r="E10824" i="1"/>
  <c r="E10823" i="1"/>
  <c r="E10822" i="1"/>
  <c r="E10821" i="1"/>
  <c r="E10820" i="1"/>
  <c r="E10819" i="1"/>
  <c r="E10818" i="1"/>
  <c r="E10817" i="1"/>
  <c r="E10816" i="1"/>
  <c r="E10815" i="1"/>
  <c r="E10814" i="1"/>
  <c r="E10813" i="1"/>
  <c r="E10812" i="1"/>
  <c r="E10811" i="1"/>
  <c r="E10810" i="1"/>
  <c r="E10809" i="1"/>
  <c r="E10808" i="1"/>
  <c r="E10807" i="1"/>
  <c r="E10806" i="1"/>
  <c r="E10805" i="1"/>
  <c r="E10804" i="1"/>
  <c r="E10803" i="1"/>
  <c r="E10802" i="1"/>
  <c r="E10801" i="1"/>
  <c r="E10800" i="1"/>
  <c r="E10799" i="1"/>
  <c r="E10798" i="1"/>
  <c r="E10797" i="1"/>
  <c r="E10796" i="1"/>
  <c r="E10795" i="1"/>
  <c r="E10794" i="1"/>
  <c r="E10793" i="1"/>
  <c r="E10792" i="1"/>
  <c r="E10791" i="1"/>
  <c r="E10790" i="1"/>
  <c r="E10789" i="1"/>
  <c r="E10788" i="1"/>
  <c r="E10787" i="1"/>
  <c r="E10786" i="1"/>
  <c r="E10785" i="1"/>
  <c r="E10784" i="1"/>
  <c r="E10783" i="1"/>
  <c r="E10782" i="1"/>
  <c r="E10781" i="1"/>
  <c r="E10780" i="1"/>
  <c r="E10779" i="1"/>
  <c r="E10778" i="1"/>
  <c r="E10777" i="1"/>
  <c r="E10776" i="1"/>
  <c r="E10775" i="1"/>
  <c r="E10774" i="1"/>
  <c r="E10773" i="1"/>
  <c r="E10772" i="1"/>
  <c r="E10771" i="1"/>
  <c r="E10770" i="1"/>
  <c r="E10769" i="1"/>
  <c r="E10768" i="1"/>
  <c r="E10767" i="1"/>
  <c r="E10766" i="1"/>
  <c r="E10765" i="1"/>
  <c r="E10764" i="1"/>
  <c r="E10763" i="1"/>
  <c r="E10762" i="1"/>
  <c r="E10761" i="1"/>
  <c r="E10760" i="1"/>
  <c r="E10759" i="1"/>
  <c r="E10758" i="1"/>
  <c r="E10757" i="1"/>
  <c r="E10756" i="1"/>
  <c r="E10755" i="1"/>
  <c r="E10754" i="1"/>
  <c r="E10753" i="1"/>
  <c r="E10752" i="1"/>
  <c r="E10751" i="1"/>
  <c r="E10750" i="1"/>
  <c r="E10749" i="1"/>
  <c r="E10748" i="1"/>
  <c r="E10747" i="1"/>
  <c r="E10746" i="1"/>
  <c r="E10745" i="1"/>
  <c r="E10744" i="1"/>
  <c r="E10743" i="1"/>
  <c r="E10742" i="1"/>
  <c r="E10741" i="1"/>
  <c r="E10740" i="1"/>
  <c r="E10739" i="1"/>
  <c r="E10738" i="1"/>
  <c r="E10737" i="1"/>
  <c r="E10736" i="1"/>
  <c r="E10735" i="1"/>
  <c r="E10734" i="1"/>
  <c r="E10733" i="1"/>
  <c r="E10732" i="1"/>
  <c r="E10731" i="1"/>
  <c r="E10730" i="1"/>
  <c r="E10729" i="1"/>
  <c r="E10728" i="1"/>
  <c r="E10727" i="1"/>
  <c r="E10726" i="1"/>
  <c r="E10725" i="1"/>
  <c r="E10724" i="1"/>
  <c r="E10723" i="1"/>
  <c r="E10722" i="1"/>
  <c r="E10721" i="1"/>
  <c r="E10720" i="1"/>
  <c r="E10719" i="1"/>
  <c r="E10718" i="1"/>
  <c r="E10717" i="1"/>
  <c r="E10716" i="1"/>
  <c r="E10715" i="1"/>
  <c r="E10714" i="1"/>
  <c r="E10713" i="1"/>
  <c r="E10712" i="1"/>
  <c r="E10711" i="1"/>
  <c r="E10710" i="1"/>
  <c r="E10709" i="1"/>
  <c r="E10708" i="1"/>
  <c r="E10707" i="1"/>
  <c r="E10706" i="1"/>
  <c r="E10705" i="1"/>
  <c r="E10704" i="1"/>
  <c r="E10703" i="1"/>
  <c r="E10702" i="1"/>
  <c r="E10701" i="1"/>
  <c r="E10700" i="1"/>
  <c r="E10699" i="1"/>
  <c r="E10698" i="1"/>
  <c r="E10697" i="1"/>
  <c r="E10696" i="1"/>
  <c r="E10695" i="1"/>
  <c r="E10694" i="1"/>
  <c r="E10693" i="1"/>
  <c r="E10692" i="1"/>
  <c r="E10691" i="1"/>
  <c r="E10690" i="1"/>
  <c r="E10689" i="1"/>
  <c r="E10688" i="1"/>
  <c r="E10687" i="1"/>
  <c r="E10686" i="1"/>
  <c r="E10685" i="1"/>
  <c r="E10684" i="1"/>
  <c r="E10683" i="1"/>
  <c r="E10682" i="1"/>
  <c r="E10681" i="1"/>
  <c r="E10680" i="1"/>
  <c r="E10679" i="1"/>
  <c r="E10678" i="1"/>
  <c r="E10677" i="1"/>
  <c r="E10676" i="1"/>
  <c r="E10675" i="1"/>
  <c r="E10674" i="1"/>
  <c r="E10673" i="1"/>
  <c r="E10672" i="1"/>
  <c r="E10671" i="1"/>
  <c r="E10670" i="1"/>
  <c r="E10669" i="1"/>
  <c r="E10668" i="1"/>
  <c r="E10667" i="1"/>
  <c r="E10666" i="1"/>
  <c r="E10665" i="1"/>
  <c r="E10664" i="1"/>
  <c r="E10663" i="1"/>
  <c r="E10662" i="1"/>
  <c r="E10661" i="1"/>
  <c r="E10660" i="1"/>
  <c r="E10659" i="1"/>
  <c r="E10658" i="1"/>
  <c r="E10657" i="1"/>
  <c r="E10656" i="1"/>
  <c r="E10655" i="1"/>
  <c r="E10654" i="1"/>
  <c r="E10653" i="1"/>
  <c r="E10652" i="1"/>
  <c r="E10651" i="1"/>
  <c r="E10650" i="1"/>
  <c r="E10649" i="1"/>
  <c r="E10648" i="1"/>
  <c r="E10647" i="1"/>
  <c r="E10646" i="1"/>
  <c r="E10645" i="1"/>
  <c r="E10644" i="1"/>
  <c r="E10643" i="1"/>
  <c r="E10642" i="1"/>
  <c r="E10641" i="1"/>
  <c r="E10640" i="1"/>
  <c r="E10639" i="1"/>
  <c r="E10638" i="1"/>
  <c r="E10637" i="1"/>
  <c r="E10636" i="1"/>
  <c r="E10635" i="1"/>
  <c r="E10634" i="1"/>
  <c r="E10633" i="1"/>
  <c r="E10632" i="1"/>
  <c r="E10631" i="1"/>
  <c r="E10630" i="1"/>
  <c r="E10629" i="1"/>
  <c r="E10628" i="1"/>
  <c r="E10627" i="1"/>
  <c r="E10626" i="1"/>
  <c r="E10625" i="1"/>
  <c r="E10624" i="1"/>
  <c r="E10623" i="1"/>
  <c r="E10622" i="1"/>
  <c r="E10621" i="1"/>
  <c r="E10620" i="1"/>
  <c r="E10619" i="1"/>
  <c r="E10618" i="1"/>
  <c r="E10617" i="1"/>
  <c r="E10616" i="1"/>
  <c r="E10615" i="1"/>
  <c r="E10614" i="1"/>
  <c r="E10613" i="1"/>
  <c r="E10612" i="1"/>
  <c r="E10611" i="1"/>
  <c r="E10610" i="1"/>
  <c r="E10609" i="1"/>
  <c r="E10608" i="1"/>
  <c r="E10607" i="1"/>
  <c r="E10606" i="1"/>
  <c r="E10605" i="1"/>
  <c r="E10604" i="1"/>
  <c r="E10603" i="1"/>
  <c r="E10602" i="1"/>
  <c r="E10601" i="1"/>
  <c r="E10600" i="1"/>
  <c r="E10599" i="1"/>
  <c r="E10598" i="1"/>
  <c r="E10597" i="1"/>
  <c r="E10596" i="1"/>
  <c r="E10595" i="1"/>
  <c r="E10594" i="1"/>
  <c r="E10593" i="1"/>
  <c r="E10592" i="1"/>
  <c r="E10591" i="1"/>
  <c r="E10590" i="1"/>
  <c r="E10589" i="1"/>
  <c r="E10588" i="1"/>
  <c r="E10587" i="1"/>
  <c r="E10586" i="1"/>
  <c r="E10585" i="1"/>
  <c r="E10584" i="1"/>
  <c r="E10583" i="1"/>
  <c r="E10582" i="1"/>
  <c r="E10581" i="1"/>
  <c r="E10580" i="1"/>
  <c r="E10579" i="1"/>
  <c r="E10578" i="1"/>
  <c r="E10577" i="1"/>
  <c r="E10576" i="1"/>
  <c r="E10575" i="1"/>
  <c r="E10574" i="1"/>
  <c r="E10573" i="1"/>
  <c r="E10572" i="1"/>
  <c r="E10571" i="1"/>
  <c r="E10570" i="1"/>
  <c r="E10569" i="1"/>
  <c r="E10568" i="1"/>
  <c r="E10567" i="1"/>
  <c r="E10566" i="1"/>
  <c r="E10565" i="1"/>
  <c r="E10564" i="1"/>
  <c r="E10563" i="1"/>
  <c r="E10562" i="1"/>
  <c r="E10561" i="1"/>
  <c r="E10560" i="1"/>
  <c r="E10559" i="1"/>
  <c r="E10558" i="1"/>
  <c r="E10557" i="1"/>
  <c r="E10556" i="1"/>
  <c r="E10555" i="1"/>
  <c r="E10554" i="1"/>
  <c r="E10553" i="1"/>
  <c r="E10552" i="1"/>
  <c r="E10551" i="1"/>
  <c r="E10550" i="1"/>
  <c r="E10549" i="1"/>
  <c r="E10548" i="1"/>
  <c r="E10547" i="1"/>
  <c r="E10546" i="1"/>
  <c r="E10545" i="1"/>
  <c r="E10544" i="1"/>
  <c r="E10543" i="1"/>
  <c r="E10542" i="1"/>
  <c r="E10541" i="1"/>
  <c r="E10540" i="1"/>
  <c r="E10539" i="1"/>
  <c r="E10538" i="1"/>
  <c r="E10537" i="1"/>
  <c r="E10536" i="1"/>
  <c r="E10535" i="1"/>
  <c r="E10534" i="1"/>
  <c r="E10533" i="1"/>
  <c r="E10532" i="1"/>
  <c r="E10531" i="1"/>
  <c r="E10530" i="1"/>
  <c r="E10529" i="1"/>
  <c r="E10528" i="1"/>
  <c r="E10527" i="1"/>
  <c r="E10526" i="1"/>
  <c r="E10525" i="1"/>
  <c r="E10524" i="1"/>
  <c r="E10523" i="1"/>
  <c r="E10522" i="1"/>
  <c r="E10521" i="1"/>
  <c r="E10520" i="1"/>
  <c r="E10519" i="1"/>
  <c r="E10518" i="1"/>
  <c r="E10517" i="1"/>
  <c r="E10516" i="1"/>
  <c r="E10515" i="1"/>
  <c r="E10514" i="1"/>
  <c r="E10513" i="1"/>
  <c r="E10512" i="1"/>
  <c r="E10511" i="1"/>
  <c r="E10510" i="1"/>
  <c r="E10509" i="1"/>
  <c r="E10508" i="1"/>
  <c r="E10507" i="1"/>
  <c r="E10506" i="1"/>
  <c r="E10505" i="1"/>
  <c r="E10504" i="1"/>
  <c r="E10503" i="1"/>
  <c r="E10502" i="1"/>
  <c r="E10501" i="1"/>
  <c r="E10500" i="1"/>
  <c r="E10499" i="1"/>
  <c r="E10498" i="1"/>
  <c r="E10497" i="1"/>
  <c r="E10496" i="1"/>
  <c r="E10495" i="1"/>
  <c r="E10494" i="1"/>
  <c r="E10493" i="1"/>
  <c r="E10492" i="1"/>
  <c r="E10491" i="1"/>
  <c r="E10490" i="1"/>
  <c r="E10489" i="1"/>
  <c r="E10488" i="1"/>
  <c r="E10487" i="1"/>
  <c r="E10486" i="1"/>
  <c r="E10485" i="1"/>
  <c r="E10484" i="1"/>
  <c r="E10483" i="1"/>
  <c r="E10482" i="1"/>
  <c r="E10481" i="1"/>
  <c r="E10480" i="1"/>
  <c r="E10479" i="1"/>
  <c r="E10478" i="1"/>
  <c r="E10477" i="1"/>
  <c r="E10476" i="1"/>
  <c r="E10475" i="1"/>
  <c r="E10474" i="1"/>
  <c r="E10473" i="1"/>
  <c r="E10472" i="1"/>
  <c r="E10471" i="1"/>
  <c r="E10470" i="1"/>
  <c r="E10469" i="1"/>
  <c r="E10468" i="1"/>
  <c r="E10467" i="1"/>
  <c r="E10466" i="1"/>
  <c r="E10465" i="1"/>
  <c r="E10464" i="1"/>
  <c r="E10463" i="1"/>
  <c r="E10462" i="1"/>
  <c r="E10461" i="1"/>
  <c r="E10460" i="1"/>
  <c r="E10459" i="1"/>
  <c r="E10458" i="1"/>
  <c r="E10457" i="1"/>
  <c r="E10456" i="1"/>
  <c r="E10455" i="1"/>
  <c r="E10454" i="1"/>
  <c r="E10453" i="1"/>
  <c r="E10452" i="1"/>
  <c r="E10451" i="1"/>
  <c r="E10450" i="1"/>
  <c r="E10449" i="1"/>
  <c r="E10448" i="1"/>
  <c r="E10447" i="1"/>
  <c r="E10446" i="1"/>
  <c r="E10445" i="1"/>
  <c r="E10444" i="1"/>
  <c r="E10443" i="1"/>
  <c r="E10442" i="1"/>
  <c r="E10441" i="1"/>
  <c r="E10440" i="1"/>
  <c r="E10439" i="1"/>
  <c r="E10438" i="1"/>
  <c r="E10437" i="1"/>
  <c r="E10436" i="1"/>
  <c r="E10435" i="1"/>
  <c r="E10434" i="1"/>
  <c r="E10433" i="1"/>
  <c r="E10432" i="1"/>
  <c r="E10431" i="1"/>
  <c r="E10430" i="1"/>
  <c r="E10429" i="1"/>
  <c r="E10428" i="1"/>
  <c r="E10427" i="1"/>
  <c r="E10426" i="1"/>
  <c r="E10425" i="1"/>
  <c r="E10424" i="1"/>
  <c r="E10423" i="1"/>
  <c r="E10422" i="1"/>
  <c r="E10421" i="1"/>
  <c r="E10420" i="1"/>
  <c r="E10419" i="1"/>
  <c r="E10418" i="1"/>
  <c r="E10417" i="1"/>
  <c r="E10416" i="1"/>
  <c r="E10415" i="1"/>
  <c r="E10414" i="1"/>
  <c r="E10413" i="1"/>
  <c r="E10412" i="1"/>
  <c r="E10411" i="1"/>
  <c r="E10410" i="1"/>
  <c r="E10409" i="1"/>
  <c r="E10408" i="1"/>
  <c r="E10407" i="1"/>
  <c r="E10406" i="1"/>
  <c r="E10405" i="1"/>
  <c r="E10404" i="1"/>
  <c r="E10403" i="1"/>
  <c r="E10402" i="1"/>
  <c r="E10401" i="1"/>
  <c r="E10400" i="1"/>
  <c r="E10399" i="1"/>
  <c r="E10398" i="1"/>
  <c r="E10397" i="1"/>
  <c r="E10396" i="1"/>
  <c r="E10395" i="1"/>
  <c r="E10394" i="1"/>
  <c r="E10393" i="1"/>
  <c r="E10392" i="1"/>
  <c r="E10391" i="1"/>
  <c r="E10390" i="1"/>
  <c r="E10389" i="1"/>
  <c r="E10388" i="1"/>
  <c r="E10387" i="1"/>
  <c r="E10386" i="1"/>
  <c r="E10385" i="1"/>
  <c r="E10384" i="1"/>
  <c r="E10383" i="1"/>
  <c r="E10382" i="1"/>
  <c r="E10381" i="1"/>
  <c r="E10380" i="1"/>
  <c r="E10379" i="1"/>
  <c r="E10378" i="1"/>
  <c r="E10377" i="1"/>
  <c r="E10376" i="1"/>
  <c r="E10375" i="1"/>
  <c r="E10374" i="1"/>
  <c r="E10373" i="1"/>
  <c r="E10372" i="1"/>
  <c r="E10371" i="1"/>
  <c r="E10370" i="1"/>
  <c r="E10369" i="1"/>
  <c r="E10368" i="1"/>
  <c r="E10367" i="1"/>
  <c r="E10366" i="1"/>
  <c r="E10365" i="1"/>
  <c r="E10364" i="1"/>
  <c r="E10363" i="1"/>
  <c r="E10362" i="1"/>
  <c r="E10361" i="1"/>
  <c r="E10360" i="1"/>
  <c r="E10359" i="1"/>
  <c r="E10358" i="1"/>
  <c r="E10357" i="1"/>
  <c r="E10356" i="1"/>
  <c r="E10355" i="1"/>
  <c r="E10354" i="1"/>
  <c r="E10353" i="1"/>
  <c r="E10352" i="1"/>
  <c r="E10351" i="1"/>
  <c r="E10350" i="1"/>
  <c r="E10349" i="1"/>
  <c r="E10348" i="1"/>
  <c r="E10347" i="1"/>
  <c r="E10346" i="1"/>
  <c r="E10345" i="1"/>
  <c r="E10344" i="1"/>
  <c r="E10343" i="1"/>
  <c r="E10342" i="1"/>
  <c r="E10341" i="1"/>
  <c r="E10340" i="1"/>
  <c r="E10339" i="1"/>
  <c r="E10338" i="1"/>
  <c r="E10337" i="1"/>
  <c r="E10336" i="1"/>
  <c r="E10335" i="1"/>
  <c r="E10334" i="1"/>
  <c r="E10333" i="1"/>
  <c r="E10332" i="1"/>
  <c r="E10331" i="1"/>
  <c r="E10330" i="1"/>
  <c r="E10329" i="1"/>
  <c r="E10328" i="1"/>
  <c r="E10327" i="1"/>
  <c r="E10326" i="1"/>
  <c r="E10325" i="1"/>
  <c r="E10324" i="1"/>
  <c r="E10323" i="1"/>
  <c r="E10322" i="1"/>
  <c r="E10321" i="1"/>
  <c r="E10320" i="1"/>
  <c r="E10319" i="1"/>
  <c r="E10318" i="1"/>
  <c r="E10317" i="1"/>
  <c r="E10316" i="1"/>
  <c r="E10315" i="1"/>
  <c r="E10314" i="1"/>
  <c r="E10313" i="1"/>
  <c r="E10312" i="1"/>
  <c r="E10311" i="1"/>
  <c r="E10310" i="1"/>
  <c r="E10309" i="1"/>
  <c r="E10308" i="1"/>
  <c r="E10307" i="1"/>
  <c r="E10306" i="1"/>
  <c r="E10305" i="1"/>
  <c r="E10304" i="1"/>
  <c r="E10303" i="1"/>
  <c r="E10302" i="1"/>
  <c r="E10301" i="1"/>
  <c r="E10300" i="1"/>
  <c r="E10299" i="1"/>
  <c r="E10298" i="1"/>
  <c r="E10297" i="1"/>
  <c r="E10296" i="1"/>
  <c r="E10295" i="1"/>
  <c r="E10294" i="1"/>
  <c r="E10293" i="1"/>
  <c r="E10292" i="1"/>
  <c r="E10291" i="1"/>
  <c r="E10290" i="1"/>
  <c r="E10289" i="1"/>
  <c r="E10288" i="1"/>
  <c r="E10287" i="1"/>
  <c r="E10286" i="1"/>
  <c r="E10285" i="1"/>
  <c r="E10284" i="1"/>
  <c r="E10283" i="1"/>
  <c r="E10282" i="1"/>
  <c r="E10281" i="1"/>
  <c r="E10280" i="1"/>
  <c r="E10279" i="1"/>
  <c r="E10278" i="1"/>
  <c r="E10277" i="1"/>
  <c r="E10276" i="1"/>
  <c r="E10275" i="1"/>
  <c r="E10274" i="1"/>
  <c r="E10273" i="1"/>
  <c r="E10272" i="1"/>
  <c r="E10271" i="1"/>
  <c r="E10270" i="1"/>
  <c r="E10269" i="1"/>
  <c r="E10268" i="1"/>
  <c r="E10267" i="1"/>
  <c r="E10266" i="1"/>
  <c r="E10265" i="1"/>
  <c r="E10264" i="1"/>
  <c r="E10263" i="1"/>
  <c r="E10262" i="1"/>
  <c r="E10261" i="1"/>
  <c r="E10260" i="1"/>
  <c r="E10259" i="1"/>
  <c r="E10258" i="1"/>
  <c r="E10257" i="1"/>
  <c r="E10256" i="1"/>
  <c r="E10255" i="1"/>
  <c r="E10254" i="1"/>
  <c r="E10253" i="1"/>
  <c r="E10252" i="1"/>
  <c r="E10251" i="1"/>
  <c r="E10250" i="1"/>
  <c r="E10249" i="1"/>
  <c r="E10248" i="1"/>
  <c r="E10247" i="1"/>
  <c r="E10246" i="1"/>
  <c r="E10245" i="1"/>
  <c r="E10244" i="1"/>
  <c r="E10243" i="1"/>
  <c r="E10242" i="1"/>
  <c r="E10241" i="1"/>
  <c r="E10240" i="1"/>
  <c r="E10239" i="1"/>
  <c r="E10238" i="1"/>
  <c r="E10237" i="1"/>
  <c r="E10236" i="1"/>
  <c r="E10235" i="1"/>
  <c r="E10234" i="1"/>
  <c r="E10233" i="1"/>
  <c r="E10232" i="1"/>
  <c r="E10231" i="1"/>
  <c r="E10230" i="1"/>
  <c r="E10229" i="1"/>
  <c r="E10228" i="1"/>
  <c r="E10227" i="1"/>
  <c r="E10226" i="1"/>
  <c r="E10225" i="1"/>
  <c r="E10224" i="1"/>
  <c r="E10223" i="1"/>
  <c r="E10222" i="1"/>
  <c r="E10221" i="1"/>
  <c r="E10220" i="1"/>
  <c r="E10219" i="1"/>
  <c r="E10218" i="1"/>
  <c r="E10217" i="1"/>
  <c r="E10216" i="1"/>
  <c r="E10215" i="1"/>
  <c r="E10214" i="1"/>
  <c r="E10213" i="1"/>
  <c r="E10212" i="1"/>
  <c r="E10211" i="1"/>
  <c r="E10210" i="1"/>
  <c r="E10209" i="1"/>
  <c r="E10208" i="1"/>
  <c r="E10207" i="1"/>
  <c r="E10206" i="1"/>
  <c r="E10205" i="1"/>
  <c r="E10204" i="1"/>
  <c r="E10203" i="1"/>
  <c r="E10202" i="1"/>
  <c r="E10201" i="1"/>
  <c r="E10200" i="1"/>
  <c r="E10199" i="1"/>
  <c r="E10198" i="1"/>
  <c r="E10197" i="1"/>
  <c r="E10196" i="1"/>
  <c r="E10195" i="1"/>
  <c r="E10194" i="1"/>
  <c r="E10193" i="1"/>
  <c r="E10192" i="1"/>
  <c r="E10191" i="1"/>
  <c r="E10190" i="1"/>
  <c r="E10189" i="1"/>
  <c r="E10188" i="1"/>
  <c r="E10187" i="1"/>
  <c r="E10186" i="1"/>
  <c r="E10185" i="1"/>
  <c r="E10184" i="1"/>
  <c r="E10183" i="1"/>
  <c r="E10182" i="1"/>
  <c r="E10181" i="1"/>
  <c r="E10180" i="1"/>
  <c r="E10179" i="1"/>
  <c r="E10178" i="1"/>
  <c r="E10177" i="1"/>
  <c r="E10176" i="1"/>
  <c r="E10175" i="1"/>
  <c r="E10174" i="1"/>
  <c r="E10173" i="1"/>
  <c r="E10172" i="1"/>
  <c r="E10171" i="1"/>
  <c r="E10170" i="1"/>
  <c r="E10169" i="1"/>
  <c r="E10168" i="1"/>
  <c r="E10167" i="1"/>
  <c r="E10166" i="1"/>
  <c r="E10165" i="1"/>
  <c r="E10164" i="1"/>
  <c r="E10163" i="1"/>
  <c r="E10162" i="1"/>
  <c r="E10161" i="1"/>
  <c r="E10160" i="1"/>
  <c r="E10159" i="1"/>
  <c r="E10158" i="1"/>
  <c r="E10157" i="1"/>
  <c r="E10156" i="1"/>
  <c r="E10155" i="1"/>
  <c r="E10154" i="1"/>
  <c r="E10153" i="1"/>
  <c r="E10152" i="1"/>
  <c r="E10151" i="1"/>
  <c r="E10150" i="1"/>
  <c r="E10149" i="1"/>
  <c r="E10148" i="1"/>
  <c r="E10147" i="1"/>
  <c r="E10146" i="1"/>
  <c r="E10145" i="1"/>
  <c r="E10144" i="1"/>
  <c r="E10143" i="1"/>
  <c r="E10142" i="1"/>
  <c r="E10141" i="1"/>
  <c r="E10140" i="1"/>
  <c r="E10139" i="1"/>
  <c r="E10138" i="1"/>
  <c r="E10137" i="1"/>
  <c r="E10136" i="1"/>
  <c r="E10135" i="1"/>
  <c r="E10134" i="1"/>
  <c r="E10133" i="1"/>
  <c r="E10132" i="1"/>
  <c r="E10131" i="1"/>
  <c r="E10130" i="1"/>
  <c r="E10129" i="1"/>
  <c r="E10128" i="1"/>
  <c r="E10127" i="1"/>
  <c r="E10126" i="1"/>
  <c r="E10125" i="1"/>
  <c r="E10124" i="1"/>
  <c r="E10123" i="1"/>
  <c r="E10122" i="1"/>
  <c r="E10121" i="1"/>
  <c r="E10120" i="1"/>
  <c r="E10119" i="1"/>
  <c r="E10118" i="1"/>
  <c r="E10117" i="1"/>
  <c r="E10116" i="1"/>
  <c r="E10115" i="1"/>
  <c r="E10114" i="1"/>
  <c r="E10113" i="1"/>
  <c r="E10112" i="1"/>
  <c r="E10111" i="1"/>
  <c r="E10110" i="1"/>
  <c r="E10109" i="1"/>
  <c r="E10108" i="1"/>
  <c r="E10107" i="1"/>
  <c r="E10106" i="1"/>
  <c r="E10105" i="1"/>
  <c r="E10104" i="1"/>
  <c r="E10103" i="1"/>
  <c r="E10102" i="1"/>
  <c r="E10101" i="1"/>
  <c r="E10100" i="1"/>
  <c r="E10099" i="1"/>
  <c r="E10098" i="1"/>
  <c r="E10097" i="1"/>
  <c r="E10096" i="1"/>
  <c r="E10095" i="1"/>
  <c r="E10094" i="1"/>
  <c r="E10093" i="1"/>
  <c r="E10092" i="1"/>
  <c r="E10091" i="1"/>
  <c r="E10090" i="1"/>
  <c r="E10089" i="1"/>
  <c r="E10088" i="1"/>
  <c r="E10087" i="1"/>
  <c r="E10086" i="1"/>
  <c r="E10085" i="1"/>
  <c r="E10084" i="1"/>
  <c r="E10083" i="1"/>
  <c r="E10082" i="1"/>
  <c r="E10081" i="1"/>
  <c r="E10080" i="1"/>
  <c r="E10079" i="1"/>
  <c r="E10078" i="1"/>
  <c r="E10077" i="1"/>
  <c r="E10076" i="1"/>
  <c r="E10075" i="1"/>
  <c r="E10074" i="1"/>
  <c r="E10073" i="1"/>
  <c r="E10072" i="1"/>
  <c r="E10071" i="1"/>
  <c r="E10070" i="1"/>
  <c r="E10069" i="1"/>
  <c r="E10068" i="1"/>
  <c r="E10067" i="1"/>
  <c r="E10066" i="1"/>
  <c r="E10065" i="1"/>
  <c r="E10064" i="1"/>
  <c r="E10063" i="1"/>
  <c r="E10062" i="1"/>
  <c r="E10061" i="1"/>
  <c r="E10060" i="1"/>
  <c r="E10059" i="1"/>
  <c r="E10058" i="1"/>
  <c r="E10057" i="1"/>
  <c r="E10056" i="1"/>
  <c r="E10055" i="1"/>
  <c r="E10054" i="1"/>
  <c r="E10053" i="1"/>
  <c r="E10052" i="1"/>
  <c r="E10051" i="1"/>
  <c r="E10050" i="1"/>
  <c r="E10049" i="1"/>
  <c r="E10048" i="1"/>
  <c r="E10047" i="1"/>
  <c r="E10046" i="1"/>
  <c r="E10045" i="1"/>
  <c r="E10044" i="1"/>
  <c r="E10043" i="1"/>
  <c r="E10042" i="1"/>
  <c r="E10041" i="1"/>
  <c r="E10040" i="1"/>
  <c r="E10039" i="1"/>
  <c r="E10038" i="1"/>
  <c r="E10037" i="1"/>
  <c r="E10036" i="1"/>
  <c r="E10035" i="1"/>
  <c r="E10034" i="1"/>
  <c r="E10033" i="1"/>
  <c r="E10032" i="1"/>
  <c r="E10031" i="1"/>
  <c r="E10030" i="1"/>
  <c r="E10029" i="1"/>
  <c r="E10028" i="1"/>
  <c r="E10027" i="1"/>
  <c r="E10026" i="1"/>
  <c r="E10025" i="1"/>
  <c r="E10024" i="1"/>
  <c r="E10023" i="1"/>
  <c r="E10022" i="1"/>
  <c r="E10021" i="1"/>
  <c r="E10020" i="1"/>
  <c r="E10019" i="1"/>
  <c r="E10018" i="1"/>
  <c r="E10017" i="1"/>
  <c r="E10016" i="1"/>
  <c r="E10015" i="1"/>
  <c r="E10014" i="1"/>
  <c r="E10013" i="1"/>
  <c r="E10012" i="1"/>
  <c r="E10011" i="1"/>
  <c r="E10010" i="1"/>
  <c r="E10009" i="1"/>
  <c r="E10008" i="1"/>
  <c r="E10007" i="1"/>
  <c r="E10006" i="1"/>
  <c r="E10005" i="1"/>
  <c r="E10004" i="1"/>
  <c r="E10003" i="1"/>
  <c r="E10002" i="1"/>
  <c r="E10001" i="1"/>
  <c r="E10000" i="1"/>
  <c r="E9999" i="1"/>
  <c r="E9998" i="1"/>
  <c r="E9997" i="1"/>
  <c r="E9996" i="1"/>
  <c r="E9995" i="1"/>
  <c r="E9994" i="1"/>
  <c r="E9993" i="1"/>
  <c r="E9992" i="1"/>
  <c r="E9991" i="1"/>
  <c r="E9990" i="1"/>
  <c r="E9989" i="1"/>
  <c r="E9988" i="1"/>
  <c r="E9987" i="1"/>
  <c r="E9986" i="1"/>
  <c r="E9985" i="1"/>
  <c r="E9984" i="1"/>
  <c r="E9983" i="1"/>
  <c r="E9982" i="1"/>
  <c r="E9981" i="1"/>
  <c r="E9980" i="1"/>
  <c r="E9979" i="1"/>
  <c r="E9978" i="1"/>
  <c r="E9977" i="1"/>
  <c r="E9976" i="1"/>
  <c r="E9975" i="1"/>
  <c r="E9974" i="1"/>
  <c r="E9973" i="1"/>
  <c r="E9972" i="1"/>
  <c r="E9971" i="1"/>
  <c r="E9970" i="1"/>
  <c r="E9969" i="1"/>
  <c r="E9968" i="1"/>
  <c r="E9967" i="1"/>
  <c r="E9966" i="1"/>
  <c r="E9965" i="1"/>
  <c r="E9964" i="1"/>
  <c r="E9963" i="1"/>
  <c r="E9962" i="1"/>
  <c r="E9961" i="1"/>
  <c r="E9960" i="1"/>
  <c r="E9959" i="1"/>
  <c r="E9958" i="1"/>
  <c r="E9957" i="1"/>
  <c r="E9956" i="1"/>
  <c r="E9955" i="1"/>
  <c r="E9954" i="1"/>
  <c r="E9953" i="1"/>
  <c r="E9952" i="1"/>
  <c r="E9951" i="1"/>
  <c r="E9950" i="1"/>
  <c r="E9949" i="1"/>
  <c r="E9948" i="1"/>
  <c r="E9947" i="1"/>
  <c r="E9946" i="1"/>
  <c r="E9945" i="1"/>
  <c r="E9944" i="1"/>
  <c r="E9943" i="1"/>
  <c r="E9942" i="1"/>
  <c r="E9941" i="1"/>
  <c r="E9940" i="1"/>
  <c r="E9939" i="1"/>
  <c r="E9938" i="1"/>
  <c r="E9937" i="1"/>
  <c r="E9936" i="1"/>
  <c r="E9935" i="1"/>
  <c r="E9934" i="1"/>
  <c r="E9933" i="1"/>
  <c r="E9932" i="1"/>
  <c r="E9931" i="1"/>
  <c r="E9930" i="1"/>
  <c r="E9929" i="1"/>
  <c r="E9928" i="1"/>
  <c r="E9927" i="1"/>
  <c r="E9926" i="1"/>
  <c r="E9925" i="1"/>
  <c r="E9924" i="1"/>
  <c r="E9923" i="1"/>
  <c r="E9922" i="1"/>
  <c r="E9921" i="1"/>
  <c r="E9920" i="1"/>
  <c r="E9919" i="1"/>
  <c r="E9918" i="1"/>
  <c r="E9917" i="1"/>
  <c r="E9916" i="1"/>
  <c r="E9915" i="1"/>
  <c r="E9914" i="1"/>
  <c r="E9913" i="1"/>
  <c r="E9912" i="1"/>
  <c r="E9911" i="1"/>
  <c r="E9910" i="1"/>
  <c r="E9909" i="1"/>
  <c r="E9908" i="1"/>
  <c r="E9907" i="1"/>
  <c r="E9906" i="1"/>
  <c r="E9905" i="1"/>
  <c r="E9904" i="1"/>
  <c r="E9903" i="1"/>
  <c r="E9902" i="1"/>
  <c r="E9901" i="1"/>
  <c r="E9900" i="1"/>
  <c r="E9899" i="1"/>
  <c r="E9898" i="1"/>
  <c r="E9897" i="1"/>
  <c r="E9896" i="1"/>
  <c r="E9895" i="1"/>
  <c r="E9894" i="1"/>
  <c r="E9893" i="1"/>
  <c r="E9892" i="1"/>
  <c r="E9891" i="1"/>
  <c r="E9890" i="1"/>
  <c r="E9889" i="1"/>
  <c r="E9888" i="1"/>
  <c r="E9887" i="1"/>
  <c r="E9886" i="1"/>
  <c r="E9885" i="1"/>
  <c r="E9884" i="1"/>
  <c r="E9883" i="1"/>
  <c r="E9882" i="1"/>
  <c r="E9881" i="1"/>
  <c r="E9880" i="1"/>
  <c r="E9879" i="1"/>
  <c r="E9878" i="1"/>
  <c r="E9877" i="1"/>
  <c r="E9876" i="1"/>
  <c r="E9875" i="1"/>
  <c r="E9874" i="1"/>
  <c r="E9873" i="1"/>
  <c r="E9872" i="1"/>
  <c r="E9871" i="1"/>
  <c r="E9870" i="1"/>
  <c r="E9869" i="1"/>
  <c r="E9868" i="1"/>
  <c r="E9867" i="1"/>
  <c r="E9866" i="1"/>
  <c r="E9865" i="1"/>
  <c r="E9864" i="1"/>
  <c r="E9863" i="1"/>
  <c r="E9862" i="1"/>
  <c r="E9861" i="1"/>
  <c r="E9860" i="1"/>
  <c r="E9859" i="1"/>
  <c r="E9858" i="1"/>
  <c r="E9857" i="1"/>
  <c r="E9856" i="1"/>
  <c r="E9855" i="1"/>
  <c r="E9854" i="1"/>
  <c r="E9853" i="1"/>
  <c r="E9852" i="1"/>
  <c r="E9851" i="1"/>
  <c r="E9850" i="1"/>
  <c r="E9849" i="1"/>
  <c r="E9848" i="1"/>
  <c r="E9847" i="1"/>
  <c r="E9846" i="1"/>
  <c r="E9845" i="1"/>
  <c r="E9844" i="1"/>
  <c r="E9843" i="1"/>
  <c r="E9842" i="1"/>
  <c r="E9841" i="1"/>
  <c r="E9840" i="1"/>
  <c r="E9839" i="1"/>
  <c r="E9838" i="1"/>
  <c r="E9837" i="1"/>
  <c r="E9836" i="1"/>
  <c r="E9835" i="1"/>
  <c r="E9834" i="1"/>
  <c r="E9833" i="1"/>
  <c r="E9832" i="1"/>
  <c r="E9831" i="1"/>
  <c r="E9830" i="1"/>
  <c r="E9829" i="1"/>
  <c r="E9828" i="1"/>
  <c r="E9827" i="1"/>
  <c r="E9826" i="1"/>
  <c r="E9825" i="1"/>
  <c r="E9824" i="1"/>
  <c r="E9823" i="1"/>
  <c r="E9822" i="1"/>
  <c r="E9821" i="1"/>
  <c r="E9820" i="1"/>
  <c r="E9819" i="1"/>
  <c r="E9818" i="1"/>
  <c r="E9817" i="1"/>
  <c r="E9816" i="1"/>
  <c r="E9815" i="1"/>
  <c r="E9814" i="1"/>
  <c r="E9813" i="1"/>
  <c r="E9812" i="1"/>
  <c r="E9811" i="1"/>
  <c r="E9810" i="1"/>
  <c r="E9809" i="1"/>
  <c r="E9808" i="1"/>
  <c r="E9807" i="1"/>
  <c r="E9806" i="1"/>
  <c r="E9805" i="1"/>
  <c r="E9804" i="1"/>
  <c r="E9803" i="1"/>
  <c r="E9802" i="1"/>
  <c r="E9801" i="1"/>
  <c r="E9800" i="1"/>
  <c r="E9799" i="1"/>
  <c r="E9798" i="1"/>
  <c r="E9797" i="1"/>
  <c r="E9796" i="1"/>
  <c r="E9795" i="1"/>
  <c r="E9794" i="1"/>
  <c r="E9793" i="1"/>
  <c r="E9792" i="1"/>
  <c r="E9791" i="1"/>
  <c r="E9790" i="1"/>
  <c r="E9789" i="1"/>
  <c r="E9788" i="1"/>
  <c r="E9787" i="1"/>
  <c r="E9786" i="1"/>
  <c r="E9785" i="1"/>
  <c r="E9784" i="1"/>
  <c r="E9783" i="1"/>
  <c r="E9782" i="1"/>
  <c r="E9781" i="1"/>
  <c r="E9780" i="1"/>
  <c r="E9779" i="1"/>
  <c r="E9778" i="1"/>
  <c r="E9777" i="1"/>
  <c r="E9776" i="1"/>
  <c r="E9775" i="1"/>
  <c r="E9774" i="1"/>
  <c r="E9773" i="1"/>
  <c r="E9772" i="1"/>
  <c r="E9771" i="1"/>
  <c r="E9770" i="1"/>
  <c r="E9769" i="1"/>
  <c r="E9768" i="1"/>
  <c r="E9767" i="1"/>
  <c r="E9766" i="1"/>
  <c r="E9765" i="1"/>
  <c r="E9764" i="1"/>
  <c r="E9763" i="1"/>
  <c r="E9762" i="1"/>
  <c r="E9761" i="1"/>
  <c r="E9760" i="1"/>
  <c r="E9759" i="1"/>
  <c r="E9758" i="1"/>
  <c r="E9757" i="1"/>
  <c r="E9756" i="1"/>
  <c r="E9755" i="1"/>
  <c r="E9754" i="1"/>
  <c r="E9753" i="1"/>
  <c r="E9752" i="1"/>
  <c r="E9751" i="1"/>
  <c r="E9750" i="1"/>
  <c r="E9749" i="1"/>
  <c r="E9748" i="1"/>
  <c r="E9747" i="1"/>
  <c r="E9746" i="1"/>
  <c r="E9745" i="1"/>
  <c r="E9744" i="1"/>
  <c r="E9743" i="1"/>
  <c r="E9742" i="1"/>
  <c r="E9741" i="1"/>
  <c r="E9740" i="1"/>
  <c r="E9739" i="1"/>
  <c r="E9738" i="1"/>
  <c r="E9737" i="1"/>
  <c r="E9736" i="1"/>
  <c r="E9735" i="1"/>
  <c r="E9734" i="1"/>
  <c r="E9733" i="1"/>
  <c r="E9732" i="1"/>
  <c r="E9731" i="1"/>
  <c r="E9730" i="1"/>
  <c r="E9729" i="1"/>
  <c r="E9728" i="1"/>
  <c r="E9727" i="1"/>
  <c r="E9726" i="1"/>
  <c r="E9725" i="1"/>
  <c r="E9724" i="1"/>
  <c r="E9723" i="1"/>
  <c r="E9722" i="1"/>
  <c r="E9721" i="1"/>
  <c r="E9720" i="1"/>
  <c r="E9719" i="1"/>
  <c r="E9718" i="1"/>
  <c r="E9717" i="1"/>
  <c r="E9716" i="1"/>
  <c r="E9715" i="1"/>
  <c r="E9714" i="1"/>
  <c r="E9713" i="1"/>
  <c r="E9712" i="1"/>
  <c r="E9711" i="1"/>
  <c r="E9710" i="1"/>
  <c r="E9709" i="1"/>
  <c r="E9708" i="1"/>
  <c r="E9707" i="1"/>
  <c r="E9706" i="1"/>
  <c r="E9705" i="1"/>
  <c r="E9704" i="1"/>
  <c r="E9703" i="1"/>
  <c r="E9702" i="1"/>
  <c r="E9701" i="1"/>
  <c r="E9700" i="1"/>
  <c r="E9699" i="1"/>
  <c r="E9698" i="1"/>
  <c r="E9697" i="1"/>
  <c r="E9696" i="1"/>
  <c r="E9695" i="1"/>
  <c r="E9694" i="1"/>
  <c r="E9693" i="1"/>
  <c r="E9692" i="1"/>
  <c r="E9691" i="1"/>
  <c r="E9690" i="1"/>
  <c r="E9689" i="1"/>
  <c r="E9688" i="1"/>
  <c r="E9687" i="1"/>
  <c r="E9686" i="1"/>
  <c r="E9685" i="1"/>
  <c r="E9684" i="1"/>
  <c r="E9683" i="1"/>
  <c r="E9682" i="1"/>
  <c r="E9681" i="1"/>
  <c r="E9680" i="1"/>
  <c r="E9679" i="1"/>
  <c r="E9678" i="1"/>
  <c r="E9677" i="1"/>
  <c r="E9676" i="1"/>
  <c r="E9675" i="1"/>
  <c r="E9674" i="1"/>
  <c r="E9673" i="1"/>
  <c r="E9672" i="1"/>
  <c r="E9671" i="1"/>
  <c r="E9670" i="1"/>
  <c r="E9669" i="1"/>
  <c r="E9668" i="1"/>
  <c r="E9667" i="1"/>
  <c r="E9666" i="1"/>
  <c r="E9665" i="1"/>
  <c r="E9664" i="1"/>
  <c r="E9663" i="1"/>
  <c r="E9662" i="1"/>
  <c r="E9661" i="1"/>
  <c r="E9660" i="1"/>
  <c r="E9659" i="1"/>
  <c r="E9658" i="1"/>
  <c r="E9657" i="1"/>
  <c r="E9656" i="1"/>
  <c r="E9655" i="1"/>
  <c r="E9654" i="1"/>
  <c r="E9653" i="1"/>
  <c r="E9652" i="1"/>
  <c r="E9651" i="1"/>
  <c r="E9650" i="1"/>
  <c r="E9649" i="1"/>
  <c r="E9648" i="1"/>
  <c r="E9647" i="1"/>
  <c r="E9646" i="1"/>
  <c r="E9645" i="1"/>
  <c r="E9644" i="1"/>
  <c r="E9643" i="1"/>
  <c r="E9642" i="1"/>
  <c r="E9641" i="1"/>
  <c r="E9640" i="1"/>
  <c r="E9639" i="1"/>
  <c r="E9638" i="1"/>
  <c r="E9637" i="1"/>
  <c r="E9636" i="1"/>
  <c r="E9635" i="1"/>
  <c r="E9634" i="1"/>
  <c r="E9633" i="1"/>
  <c r="E9632" i="1"/>
  <c r="E9631" i="1"/>
  <c r="E9630" i="1"/>
  <c r="E9629" i="1"/>
  <c r="E9628" i="1"/>
  <c r="E9627" i="1"/>
  <c r="E9626" i="1"/>
  <c r="E9625" i="1"/>
  <c r="E9624" i="1"/>
  <c r="E9623" i="1"/>
  <c r="E9622" i="1"/>
  <c r="E9621" i="1"/>
  <c r="E9620" i="1"/>
  <c r="E9619" i="1"/>
  <c r="E9618" i="1"/>
  <c r="E9617" i="1"/>
  <c r="E9616" i="1"/>
  <c r="E9615" i="1"/>
  <c r="E9614" i="1"/>
  <c r="E9613" i="1"/>
  <c r="E9612" i="1"/>
  <c r="E9611" i="1"/>
  <c r="E9610" i="1"/>
  <c r="E9609" i="1"/>
  <c r="E9608" i="1"/>
  <c r="E9607" i="1"/>
  <c r="E9606" i="1"/>
  <c r="E9605" i="1"/>
  <c r="E9604" i="1"/>
  <c r="E9603" i="1"/>
  <c r="E9602" i="1"/>
  <c r="E9601" i="1"/>
  <c r="E9600" i="1"/>
  <c r="E9599" i="1"/>
  <c r="E9598" i="1"/>
  <c r="E9597" i="1"/>
  <c r="E9596" i="1"/>
  <c r="E9595" i="1"/>
  <c r="E9594" i="1"/>
  <c r="E9593" i="1"/>
  <c r="E9592" i="1"/>
  <c r="E9591" i="1"/>
  <c r="E9590" i="1"/>
  <c r="E9589" i="1"/>
  <c r="E9588" i="1"/>
  <c r="E9587" i="1"/>
  <c r="E9586" i="1"/>
  <c r="E9585" i="1"/>
  <c r="E9584" i="1"/>
  <c r="E9583" i="1"/>
  <c r="E9582" i="1"/>
  <c r="E9581" i="1"/>
  <c r="E9580" i="1"/>
  <c r="E9579" i="1"/>
  <c r="E9578" i="1"/>
  <c r="E9577" i="1"/>
  <c r="E9576" i="1"/>
  <c r="E9575" i="1"/>
  <c r="E9574" i="1"/>
  <c r="E9573" i="1"/>
  <c r="E9572" i="1"/>
  <c r="E9571" i="1"/>
  <c r="E9570" i="1"/>
  <c r="E9569" i="1"/>
  <c r="E9568" i="1"/>
  <c r="E9567" i="1"/>
  <c r="E9566" i="1"/>
  <c r="E9565" i="1"/>
  <c r="E9564" i="1"/>
  <c r="E9563" i="1"/>
  <c r="E9562" i="1"/>
  <c r="E9561" i="1"/>
  <c r="E9560" i="1"/>
  <c r="E9559" i="1"/>
  <c r="E9558" i="1"/>
  <c r="E9557" i="1"/>
  <c r="E9556" i="1"/>
  <c r="E9555" i="1"/>
  <c r="E9554" i="1"/>
  <c r="E9553" i="1"/>
  <c r="E9552" i="1"/>
  <c r="E9551" i="1"/>
  <c r="E9550" i="1"/>
  <c r="E9549" i="1"/>
  <c r="E9548" i="1"/>
  <c r="E9547" i="1"/>
  <c r="E9546" i="1"/>
  <c r="E9545" i="1"/>
  <c r="E9544" i="1"/>
  <c r="E9543" i="1"/>
  <c r="E9542" i="1"/>
  <c r="E9541" i="1"/>
  <c r="E9540" i="1"/>
  <c r="E9539" i="1"/>
  <c r="E9538" i="1"/>
  <c r="E9537" i="1"/>
  <c r="E9536" i="1"/>
  <c r="E9535" i="1"/>
  <c r="E9534" i="1"/>
  <c r="E9533" i="1"/>
  <c r="E9532" i="1"/>
  <c r="E9531" i="1"/>
  <c r="E9530" i="1"/>
  <c r="E9529" i="1"/>
  <c r="E9528" i="1"/>
  <c r="E9527" i="1"/>
  <c r="E9526" i="1"/>
  <c r="E9525" i="1"/>
  <c r="E9524" i="1"/>
  <c r="E9523" i="1"/>
  <c r="E9522" i="1"/>
  <c r="E9521" i="1"/>
  <c r="E9520" i="1"/>
  <c r="E9519" i="1"/>
  <c r="E9518" i="1"/>
  <c r="E9517" i="1"/>
  <c r="E9516" i="1"/>
  <c r="E9515" i="1"/>
  <c r="E9514" i="1"/>
  <c r="E9513" i="1"/>
  <c r="E9512" i="1"/>
  <c r="E9511" i="1"/>
  <c r="E9510" i="1"/>
  <c r="E9509" i="1"/>
  <c r="E9508" i="1"/>
  <c r="E9507" i="1"/>
  <c r="E9506" i="1"/>
  <c r="E9505" i="1"/>
  <c r="E9504" i="1"/>
  <c r="E9503" i="1"/>
  <c r="E9502" i="1"/>
  <c r="E9501" i="1"/>
  <c r="E9500" i="1"/>
  <c r="E9499" i="1"/>
  <c r="E9498" i="1"/>
  <c r="E9497" i="1"/>
  <c r="E9496" i="1"/>
  <c r="E9495" i="1"/>
  <c r="E9494" i="1"/>
  <c r="E9493" i="1"/>
  <c r="E9492" i="1"/>
  <c r="E9491" i="1"/>
  <c r="E9490" i="1"/>
  <c r="E9489" i="1"/>
  <c r="E9488" i="1"/>
  <c r="E9487" i="1"/>
  <c r="E9486" i="1"/>
  <c r="E9485" i="1"/>
  <c r="E9484" i="1"/>
  <c r="E9483" i="1"/>
  <c r="E9482" i="1"/>
  <c r="E9481" i="1"/>
  <c r="E9480" i="1"/>
  <c r="E9479" i="1"/>
  <c r="E9478" i="1"/>
  <c r="E9477" i="1"/>
  <c r="E9476" i="1"/>
  <c r="E9475" i="1"/>
  <c r="E9474" i="1"/>
  <c r="E9473" i="1"/>
  <c r="E9472" i="1"/>
  <c r="E9471" i="1"/>
  <c r="E9470" i="1"/>
  <c r="E9469" i="1"/>
  <c r="E9468" i="1"/>
  <c r="E9467" i="1"/>
  <c r="E9466" i="1"/>
  <c r="E9465" i="1"/>
  <c r="E9464" i="1"/>
  <c r="E9463" i="1"/>
  <c r="E9462" i="1"/>
  <c r="E9461" i="1"/>
  <c r="E9460" i="1"/>
  <c r="E9459" i="1"/>
  <c r="E9458" i="1"/>
  <c r="E9457" i="1"/>
  <c r="E9456" i="1"/>
  <c r="E9455" i="1"/>
  <c r="E9454" i="1"/>
  <c r="E9453" i="1"/>
  <c r="E9452" i="1"/>
  <c r="E9451" i="1"/>
  <c r="E9450" i="1"/>
  <c r="E9449" i="1"/>
  <c r="E9448" i="1"/>
  <c r="E9447" i="1"/>
  <c r="E9446" i="1"/>
  <c r="E9445" i="1"/>
  <c r="E9444" i="1"/>
  <c r="E9443" i="1"/>
  <c r="E9442" i="1"/>
  <c r="E9441" i="1"/>
  <c r="E9440" i="1"/>
  <c r="E9439" i="1"/>
  <c r="E9438" i="1"/>
  <c r="E9437" i="1"/>
  <c r="E9436" i="1"/>
  <c r="E9435" i="1"/>
  <c r="E9434" i="1"/>
  <c r="E9433" i="1"/>
  <c r="E9432" i="1"/>
  <c r="E9431" i="1"/>
  <c r="E9430" i="1"/>
  <c r="E9429" i="1"/>
  <c r="E9428" i="1"/>
  <c r="E9427" i="1"/>
  <c r="E9426" i="1"/>
  <c r="E9425" i="1"/>
  <c r="E9424" i="1"/>
  <c r="E9423" i="1"/>
  <c r="E9422" i="1"/>
  <c r="E9421" i="1"/>
  <c r="E9420" i="1"/>
  <c r="E9419" i="1"/>
  <c r="E9418" i="1"/>
  <c r="E9417" i="1"/>
  <c r="E9416" i="1"/>
  <c r="E9415" i="1"/>
  <c r="E9414" i="1"/>
  <c r="E9413" i="1"/>
  <c r="E9412" i="1"/>
  <c r="E9411" i="1"/>
  <c r="E9410" i="1"/>
  <c r="E9409" i="1"/>
  <c r="E9408" i="1"/>
  <c r="E9407" i="1"/>
  <c r="E9406" i="1"/>
  <c r="E9405" i="1"/>
  <c r="E9404" i="1"/>
  <c r="E9403" i="1"/>
  <c r="E9402" i="1"/>
  <c r="E9401" i="1"/>
  <c r="E9400" i="1"/>
  <c r="E9399" i="1"/>
  <c r="E9398" i="1"/>
  <c r="E9397" i="1"/>
  <c r="E9396" i="1"/>
  <c r="E9395" i="1"/>
  <c r="E9394" i="1"/>
  <c r="E9393" i="1"/>
  <c r="E9392" i="1"/>
  <c r="E9391" i="1"/>
  <c r="E9390" i="1"/>
  <c r="E9389" i="1"/>
  <c r="E9388" i="1"/>
  <c r="E9387" i="1"/>
  <c r="E9386" i="1"/>
  <c r="E9385" i="1"/>
  <c r="E9384" i="1"/>
  <c r="E9383" i="1"/>
  <c r="E9382" i="1"/>
  <c r="E9381" i="1"/>
  <c r="E9380" i="1"/>
  <c r="E9379" i="1"/>
  <c r="E9378" i="1"/>
  <c r="E9377" i="1"/>
  <c r="E9376" i="1"/>
  <c r="E9375" i="1"/>
  <c r="E9374" i="1"/>
  <c r="E9373" i="1"/>
  <c r="E9372" i="1"/>
  <c r="E9371" i="1"/>
  <c r="E9370" i="1"/>
  <c r="E9369" i="1"/>
  <c r="E9368" i="1"/>
  <c r="E9367" i="1"/>
  <c r="E9366" i="1"/>
  <c r="E9365" i="1"/>
  <c r="E9364" i="1"/>
  <c r="E9363" i="1"/>
  <c r="E9362" i="1"/>
  <c r="E9361" i="1"/>
  <c r="E9360" i="1"/>
  <c r="E9359" i="1"/>
  <c r="E9358" i="1"/>
  <c r="E9357" i="1"/>
  <c r="E9356" i="1"/>
  <c r="E9355" i="1"/>
  <c r="E9354" i="1"/>
  <c r="E9353" i="1"/>
  <c r="E9352" i="1"/>
  <c r="E9351" i="1"/>
  <c r="E9350" i="1"/>
  <c r="E9349" i="1"/>
  <c r="E9348" i="1"/>
  <c r="E9347" i="1"/>
  <c r="E9346" i="1"/>
  <c r="E9345" i="1"/>
  <c r="E9344" i="1"/>
  <c r="E9343" i="1"/>
  <c r="E9342" i="1"/>
  <c r="E9341" i="1"/>
  <c r="E9340" i="1"/>
  <c r="E9339" i="1"/>
  <c r="E9338" i="1"/>
  <c r="E9337" i="1"/>
  <c r="E9336" i="1"/>
  <c r="E9335" i="1"/>
  <c r="E9334" i="1"/>
  <c r="E9333" i="1"/>
  <c r="E9332" i="1"/>
  <c r="E9331" i="1"/>
  <c r="E9330" i="1"/>
  <c r="E9329" i="1"/>
  <c r="E9328" i="1"/>
  <c r="E9327" i="1"/>
  <c r="E9326" i="1"/>
  <c r="E9325" i="1"/>
  <c r="E9324" i="1"/>
  <c r="E9323" i="1"/>
  <c r="E9322" i="1"/>
  <c r="E9321" i="1"/>
  <c r="E9320" i="1"/>
  <c r="E9319" i="1"/>
  <c r="E9318" i="1"/>
  <c r="E9317" i="1"/>
  <c r="E9316" i="1"/>
  <c r="E9315" i="1"/>
  <c r="E9314" i="1"/>
  <c r="E9313" i="1"/>
  <c r="E9312" i="1"/>
  <c r="E9311" i="1"/>
  <c r="E9310" i="1"/>
  <c r="E9309" i="1"/>
  <c r="E9308" i="1"/>
  <c r="E9307" i="1"/>
  <c r="E9306" i="1"/>
  <c r="E9305" i="1"/>
  <c r="E9304" i="1"/>
  <c r="E9303" i="1"/>
  <c r="E9302" i="1"/>
  <c r="E9301" i="1"/>
  <c r="E9300" i="1"/>
  <c r="E9299" i="1"/>
  <c r="E9298" i="1"/>
  <c r="E9297" i="1"/>
  <c r="E9296" i="1"/>
  <c r="E9295" i="1"/>
  <c r="E9294" i="1"/>
  <c r="E9293" i="1"/>
  <c r="E9292" i="1"/>
  <c r="E9291" i="1"/>
  <c r="E9290" i="1"/>
  <c r="E9289" i="1"/>
  <c r="E9288" i="1"/>
  <c r="E9287" i="1"/>
  <c r="E9286" i="1"/>
  <c r="E9285" i="1"/>
  <c r="E9284" i="1"/>
  <c r="E9283" i="1"/>
  <c r="E9282" i="1"/>
  <c r="E9281" i="1"/>
  <c r="E9280" i="1"/>
  <c r="E9279" i="1"/>
  <c r="E9278" i="1"/>
  <c r="E9277" i="1"/>
  <c r="E9276" i="1"/>
  <c r="E9275" i="1"/>
  <c r="E9274" i="1"/>
  <c r="E9273" i="1"/>
  <c r="E9272" i="1"/>
  <c r="E9271" i="1"/>
  <c r="E9270" i="1"/>
  <c r="E9269" i="1"/>
  <c r="E9268" i="1"/>
  <c r="E9267" i="1"/>
  <c r="E9266" i="1"/>
  <c r="E9265" i="1"/>
  <c r="E9264" i="1"/>
  <c r="E9263" i="1"/>
  <c r="E9262" i="1"/>
  <c r="E9261" i="1"/>
  <c r="E9260" i="1"/>
  <c r="E9259" i="1"/>
  <c r="E9258" i="1"/>
  <c r="E9257" i="1"/>
  <c r="E9256" i="1"/>
  <c r="E9255" i="1"/>
  <c r="E9254" i="1"/>
  <c r="E9253" i="1"/>
  <c r="E9252" i="1"/>
  <c r="E9251" i="1"/>
  <c r="E9250" i="1"/>
  <c r="E9249" i="1"/>
  <c r="E9248" i="1"/>
  <c r="E9247" i="1"/>
  <c r="E9246" i="1"/>
  <c r="E9245" i="1"/>
  <c r="E9244" i="1"/>
  <c r="E9243" i="1"/>
  <c r="E9242" i="1"/>
  <c r="E9241" i="1"/>
  <c r="E9240" i="1"/>
  <c r="E9239" i="1"/>
  <c r="E9238" i="1"/>
  <c r="E9237" i="1"/>
  <c r="E9236" i="1"/>
  <c r="E9235" i="1"/>
  <c r="E9234" i="1"/>
  <c r="E9233" i="1"/>
  <c r="E9232" i="1"/>
  <c r="E9231" i="1"/>
  <c r="E9230" i="1"/>
  <c r="E9229" i="1"/>
  <c r="E9228" i="1"/>
  <c r="E9227" i="1"/>
  <c r="E9226" i="1"/>
  <c r="E9225" i="1"/>
  <c r="E9224" i="1"/>
  <c r="E9223" i="1"/>
  <c r="E9222" i="1"/>
  <c r="E9221" i="1"/>
  <c r="E9220" i="1"/>
  <c r="E9219" i="1"/>
  <c r="E9218" i="1"/>
  <c r="E9217" i="1"/>
  <c r="E9216" i="1"/>
  <c r="E9215" i="1"/>
  <c r="E9214" i="1"/>
  <c r="E9213" i="1"/>
  <c r="E9212" i="1"/>
  <c r="E9211" i="1"/>
  <c r="E9210" i="1"/>
  <c r="E9209" i="1"/>
  <c r="E9208" i="1"/>
  <c r="E9207" i="1"/>
  <c r="E9206" i="1"/>
  <c r="E9205" i="1"/>
  <c r="E9204" i="1"/>
  <c r="E9203" i="1"/>
  <c r="E9202" i="1"/>
  <c r="E9201" i="1"/>
  <c r="E9200" i="1"/>
  <c r="E9199" i="1"/>
  <c r="E9198" i="1"/>
  <c r="E9197" i="1"/>
  <c r="E9196" i="1"/>
  <c r="E9195" i="1"/>
  <c r="E9194" i="1"/>
  <c r="E9193" i="1"/>
  <c r="E9192" i="1"/>
  <c r="E9191" i="1"/>
  <c r="E9190" i="1"/>
  <c r="E9189" i="1"/>
  <c r="E9188" i="1"/>
  <c r="E9187" i="1"/>
  <c r="E9186" i="1"/>
  <c r="E9185" i="1"/>
  <c r="E9184" i="1"/>
  <c r="E9183" i="1"/>
  <c r="E9182" i="1"/>
  <c r="E9181" i="1"/>
  <c r="E9180" i="1"/>
  <c r="E9179" i="1"/>
  <c r="E9178" i="1"/>
  <c r="E9177" i="1"/>
  <c r="E9176" i="1"/>
  <c r="E9175" i="1"/>
  <c r="E9174" i="1"/>
  <c r="E9173" i="1"/>
  <c r="E9172" i="1"/>
  <c r="E9171" i="1"/>
  <c r="E9170" i="1"/>
  <c r="E9169" i="1"/>
  <c r="E9168" i="1"/>
  <c r="E9167" i="1"/>
  <c r="E9166" i="1"/>
  <c r="E9165" i="1"/>
  <c r="E9164" i="1"/>
  <c r="E9163" i="1"/>
  <c r="E9162" i="1"/>
  <c r="E9161" i="1"/>
  <c r="E9160" i="1"/>
  <c r="E9159" i="1"/>
  <c r="E9158" i="1"/>
  <c r="E9157" i="1"/>
  <c r="E9156" i="1"/>
  <c r="E9155" i="1"/>
  <c r="E9154" i="1"/>
  <c r="E9153" i="1"/>
  <c r="E9152" i="1"/>
  <c r="E9151" i="1"/>
  <c r="E9150" i="1"/>
  <c r="E9149" i="1"/>
  <c r="E9148" i="1"/>
  <c r="E9147" i="1"/>
  <c r="E9146" i="1"/>
  <c r="E9145" i="1"/>
  <c r="E9144" i="1"/>
  <c r="E9143" i="1"/>
  <c r="E9142" i="1"/>
  <c r="E9141" i="1"/>
  <c r="E9140" i="1"/>
  <c r="E9139" i="1"/>
  <c r="E9138" i="1"/>
  <c r="E9137" i="1"/>
  <c r="E9136" i="1"/>
  <c r="E9135" i="1"/>
  <c r="E9134" i="1"/>
  <c r="E9133" i="1"/>
  <c r="E9132" i="1"/>
  <c r="E9131" i="1"/>
  <c r="E9130" i="1"/>
  <c r="E9129" i="1"/>
  <c r="E9128" i="1"/>
  <c r="E9127" i="1"/>
  <c r="E9126" i="1"/>
  <c r="E9125" i="1"/>
  <c r="E9124" i="1"/>
  <c r="E9123" i="1"/>
  <c r="E9122" i="1"/>
  <c r="E9121" i="1"/>
  <c r="E9120" i="1"/>
  <c r="E9119" i="1"/>
  <c r="E9118" i="1"/>
  <c r="E9117" i="1"/>
  <c r="E9116" i="1"/>
  <c r="E9115" i="1"/>
  <c r="E9114" i="1"/>
  <c r="E9113" i="1"/>
  <c r="E9112" i="1"/>
  <c r="E9111" i="1"/>
  <c r="E9110" i="1"/>
  <c r="E9109" i="1"/>
  <c r="E9108" i="1"/>
  <c r="E9107" i="1"/>
  <c r="E9106" i="1"/>
  <c r="E9105" i="1"/>
  <c r="E9104" i="1"/>
  <c r="E9103" i="1"/>
  <c r="E9102" i="1"/>
  <c r="E9101" i="1"/>
  <c r="E9100" i="1"/>
  <c r="E9099" i="1"/>
  <c r="E9098" i="1"/>
  <c r="E9097" i="1"/>
  <c r="E9096" i="1"/>
  <c r="E9095" i="1"/>
  <c r="E9094" i="1"/>
  <c r="E9093" i="1"/>
  <c r="E9092" i="1"/>
  <c r="E9091" i="1"/>
  <c r="E9090" i="1"/>
  <c r="E9089" i="1"/>
  <c r="E9088" i="1"/>
  <c r="E9087" i="1"/>
  <c r="E9086" i="1"/>
  <c r="E9085" i="1"/>
  <c r="E9084" i="1"/>
  <c r="E9083" i="1"/>
  <c r="E9082" i="1"/>
  <c r="E9081" i="1"/>
  <c r="E9080" i="1"/>
  <c r="E9079" i="1"/>
  <c r="E9078" i="1"/>
  <c r="E9077" i="1"/>
  <c r="E9076" i="1"/>
  <c r="E9075" i="1"/>
  <c r="E9074" i="1"/>
  <c r="E9073" i="1"/>
  <c r="E9072" i="1"/>
  <c r="E9071" i="1"/>
  <c r="E9070" i="1"/>
  <c r="E9069" i="1"/>
  <c r="E9068" i="1"/>
  <c r="E9067" i="1"/>
  <c r="E9066" i="1"/>
  <c r="E9065" i="1"/>
  <c r="E9064" i="1"/>
  <c r="E9063" i="1"/>
  <c r="E9062" i="1"/>
  <c r="E9061" i="1"/>
  <c r="E9060" i="1"/>
  <c r="E9059" i="1"/>
  <c r="E9058" i="1"/>
  <c r="E9057" i="1"/>
  <c r="E9056" i="1"/>
  <c r="E9055" i="1"/>
  <c r="E9054" i="1"/>
  <c r="E9053" i="1"/>
  <c r="E9052" i="1"/>
  <c r="E9051" i="1"/>
  <c r="E9050" i="1"/>
  <c r="E9049" i="1"/>
  <c r="E9048" i="1"/>
  <c r="E9047" i="1"/>
  <c r="E9046" i="1"/>
  <c r="E9045" i="1"/>
  <c r="E9044" i="1"/>
  <c r="E9043" i="1"/>
  <c r="E9042" i="1"/>
  <c r="E9041" i="1"/>
  <c r="E9040" i="1"/>
  <c r="E9039" i="1"/>
  <c r="E9038" i="1"/>
  <c r="E9037" i="1"/>
  <c r="E9036" i="1"/>
  <c r="E9035" i="1"/>
  <c r="E9034" i="1"/>
  <c r="E9033" i="1"/>
  <c r="E9032" i="1"/>
  <c r="E9031" i="1"/>
  <c r="E9030" i="1"/>
  <c r="E9029" i="1"/>
  <c r="E9028" i="1"/>
  <c r="E9027" i="1"/>
  <c r="E9026" i="1"/>
  <c r="E9025" i="1"/>
  <c r="E9024" i="1"/>
  <c r="E9023" i="1"/>
  <c r="E9022" i="1"/>
  <c r="E9021" i="1"/>
  <c r="E9020" i="1"/>
  <c r="E9019" i="1"/>
  <c r="E9018" i="1"/>
  <c r="E9017" i="1"/>
  <c r="E9016" i="1"/>
  <c r="E9015" i="1"/>
  <c r="E9014" i="1"/>
  <c r="E9013" i="1"/>
  <c r="E9012" i="1"/>
  <c r="E9011" i="1"/>
  <c r="E9010" i="1"/>
  <c r="E9009" i="1"/>
  <c r="E9008" i="1"/>
  <c r="E9007" i="1"/>
  <c r="E9006" i="1"/>
  <c r="E9005" i="1"/>
  <c r="E9004" i="1"/>
  <c r="E9003" i="1"/>
  <c r="E9002" i="1"/>
  <c r="E9001" i="1"/>
  <c r="E9000" i="1"/>
  <c r="E8999" i="1"/>
  <c r="E8998" i="1"/>
  <c r="E8997" i="1"/>
  <c r="E8996" i="1"/>
  <c r="E8995" i="1"/>
  <c r="E8994" i="1"/>
  <c r="E8993" i="1"/>
  <c r="E8992" i="1"/>
  <c r="E8991" i="1"/>
  <c r="E8990" i="1"/>
  <c r="E8989" i="1"/>
  <c r="E8988" i="1"/>
  <c r="E8987" i="1"/>
  <c r="E8986" i="1"/>
  <c r="E8985" i="1"/>
  <c r="E8984" i="1"/>
  <c r="E8983" i="1"/>
  <c r="E8982" i="1"/>
  <c r="E8981" i="1"/>
  <c r="E8980" i="1"/>
  <c r="E8979" i="1"/>
  <c r="E8978" i="1"/>
  <c r="E8977" i="1"/>
  <c r="E8976" i="1"/>
  <c r="E8975" i="1"/>
  <c r="E8974" i="1"/>
  <c r="E8973" i="1"/>
  <c r="E8972" i="1"/>
  <c r="E8971" i="1"/>
  <c r="E8970" i="1"/>
  <c r="E8969" i="1"/>
  <c r="E8968" i="1"/>
  <c r="E8967" i="1"/>
  <c r="E8966" i="1"/>
  <c r="E8965" i="1"/>
  <c r="E8964" i="1"/>
  <c r="E8963" i="1"/>
  <c r="E8962" i="1"/>
  <c r="E8961" i="1"/>
  <c r="E8960" i="1"/>
  <c r="E8959" i="1"/>
  <c r="E8958" i="1"/>
  <c r="E8957" i="1"/>
  <c r="E8956" i="1"/>
  <c r="E8955" i="1"/>
  <c r="E8954" i="1"/>
  <c r="E8953" i="1"/>
  <c r="E8952" i="1"/>
  <c r="E8951" i="1"/>
  <c r="E8950" i="1"/>
  <c r="E8949" i="1"/>
  <c r="E8948" i="1"/>
  <c r="E8947" i="1"/>
  <c r="E8946" i="1"/>
  <c r="E8945" i="1"/>
  <c r="E8944" i="1"/>
  <c r="E8943" i="1"/>
  <c r="E8942" i="1"/>
  <c r="E8941" i="1"/>
  <c r="E8940" i="1"/>
  <c r="E8939" i="1"/>
  <c r="E8938" i="1"/>
  <c r="E8937" i="1"/>
  <c r="E8936" i="1"/>
  <c r="E8935" i="1"/>
  <c r="E8934" i="1"/>
  <c r="E8933" i="1"/>
  <c r="E8932" i="1"/>
  <c r="E8931" i="1"/>
  <c r="E8930" i="1"/>
  <c r="E8929" i="1"/>
  <c r="E8928" i="1"/>
  <c r="E8927" i="1"/>
  <c r="E8926" i="1"/>
  <c r="E8925" i="1"/>
  <c r="E8924" i="1"/>
  <c r="E8923" i="1"/>
  <c r="E8922" i="1"/>
  <c r="E8921" i="1"/>
  <c r="E8920" i="1"/>
  <c r="E8919" i="1"/>
  <c r="E8918" i="1"/>
  <c r="E8917" i="1"/>
  <c r="E8916" i="1"/>
  <c r="E8915" i="1"/>
  <c r="E8914" i="1"/>
  <c r="E8913" i="1"/>
  <c r="E8912" i="1"/>
  <c r="E8911" i="1"/>
  <c r="E8910" i="1"/>
  <c r="E8909" i="1"/>
  <c r="E8908" i="1"/>
  <c r="E8907" i="1"/>
  <c r="E8906" i="1"/>
  <c r="E8905" i="1"/>
  <c r="E8904" i="1"/>
  <c r="E8903" i="1"/>
  <c r="E8902" i="1"/>
  <c r="E8901" i="1"/>
  <c r="E8900" i="1"/>
  <c r="E8899" i="1"/>
  <c r="E8898" i="1"/>
  <c r="E8897" i="1"/>
  <c r="E8896" i="1"/>
  <c r="E8895" i="1"/>
  <c r="E8894" i="1"/>
  <c r="E8893" i="1"/>
  <c r="E8892" i="1"/>
  <c r="E8891" i="1"/>
  <c r="E8890" i="1"/>
  <c r="E8889" i="1"/>
  <c r="E8888" i="1"/>
  <c r="E8887" i="1"/>
  <c r="E8886" i="1"/>
  <c r="E8885" i="1"/>
  <c r="E8884" i="1"/>
  <c r="E8883" i="1"/>
  <c r="E8882" i="1"/>
  <c r="E8881" i="1"/>
  <c r="E8880" i="1"/>
  <c r="E8879" i="1"/>
  <c r="E8878" i="1"/>
  <c r="E8877" i="1"/>
  <c r="E8876" i="1"/>
  <c r="E8875" i="1"/>
  <c r="E8874" i="1"/>
  <c r="E8873" i="1"/>
  <c r="E8872" i="1"/>
  <c r="E8871" i="1"/>
  <c r="E8870" i="1"/>
  <c r="E8869" i="1"/>
  <c r="E8868" i="1"/>
  <c r="E8867" i="1"/>
  <c r="E8866" i="1"/>
  <c r="E8865" i="1"/>
  <c r="E8864" i="1"/>
  <c r="E8863" i="1"/>
  <c r="E8862" i="1"/>
  <c r="E8861" i="1"/>
  <c r="E8860" i="1"/>
  <c r="E8859" i="1"/>
  <c r="E8858" i="1"/>
  <c r="E8857" i="1"/>
  <c r="E8856" i="1"/>
  <c r="E8855" i="1"/>
  <c r="E8854" i="1"/>
  <c r="E8853" i="1"/>
  <c r="E8852" i="1"/>
  <c r="E8851" i="1"/>
  <c r="E8850" i="1"/>
  <c r="E8849" i="1"/>
  <c r="E8848" i="1"/>
  <c r="E8847" i="1"/>
  <c r="E8846" i="1"/>
  <c r="E8845" i="1"/>
  <c r="E8844" i="1"/>
  <c r="E8843" i="1"/>
  <c r="E8842" i="1"/>
  <c r="E8841" i="1"/>
  <c r="E8840" i="1"/>
  <c r="E8839" i="1"/>
  <c r="E8838" i="1"/>
  <c r="E8837" i="1"/>
  <c r="E8836" i="1"/>
  <c r="E8835" i="1"/>
  <c r="E8834" i="1"/>
  <c r="E8833" i="1"/>
  <c r="E8832" i="1"/>
  <c r="E8831" i="1"/>
  <c r="E8830" i="1"/>
  <c r="E8829" i="1"/>
  <c r="E8828" i="1"/>
  <c r="E8827" i="1"/>
  <c r="E8826" i="1"/>
  <c r="E8825" i="1"/>
  <c r="E8824" i="1"/>
  <c r="E8823" i="1"/>
  <c r="E8822" i="1"/>
  <c r="E8821" i="1"/>
  <c r="E8820" i="1"/>
  <c r="E8819" i="1"/>
  <c r="E8818" i="1"/>
  <c r="E8817" i="1"/>
  <c r="E8816" i="1"/>
  <c r="E8815" i="1"/>
  <c r="E8814" i="1"/>
  <c r="E8813" i="1"/>
  <c r="E8812" i="1"/>
  <c r="E8811" i="1"/>
  <c r="E8810" i="1"/>
  <c r="E8809" i="1"/>
  <c r="E8808" i="1"/>
  <c r="E8807" i="1"/>
  <c r="E8806" i="1"/>
  <c r="E8805" i="1"/>
  <c r="E8804" i="1"/>
  <c r="E8803" i="1"/>
  <c r="E8802" i="1"/>
  <c r="E8801" i="1"/>
  <c r="E8800" i="1"/>
  <c r="E8799" i="1"/>
  <c r="E8798" i="1"/>
  <c r="E8797" i="1"/>
  <c r="E8796" i="1"/>
  <c r="E8795" i="1"/>
  <c r="E8794" i="1"/>
  <c r="E8793" i="1"/>
  <c r="E8792" i="1"/>
  <c r="E8791" i="1"/>
  <c r="E8790" i="1"/>
  <c r="E8789" i="1"/>
  <c r="E8788" i="1"/>
  <c r="E8787" i="1"/>
  <c r="E8786" i="1"/>
  <c r="E8785" i="1"/>
  <c r="E8784" i="1"/>
  <c r="E8783" i="1"/>
  <c r="E8782" i="1"/>
  <c r="E8781" i="1"/>
  <c r="E8780" i="1"/>
  <c r="E8779" i="1"/>
  <c r="E8778" i="1"/>
  <c r="E8777" i="1"/>
  <c r="E8776" i="1"/>
  <c r="E8775" i="1"/>
  <c r="E8774" i="1"/>
  <c r="E8773" i="1"/>
  <c r="E8772" i="1"/>
  <c r="E8771" i="1"/>
  <c r="E8770" i="1"/>
  <c r="E8769" i="1"/>
  <c r="E8768" i="1"/>
  <c r="E8767" i="1"/>
  <c r="E8766" i="1"/>
  <c r="E8765" i="1"/>
  <c r="E8764" i="1"/>
  <c r="E8763" i="1"/>
  <c r="E8762" i="1"/>
  <c r="E8761" i="1"/>
  <c r="E8760" i="1"/>
  <c r="E8759" i="1"/>
  <c r="E8758" i="1"/>
  <c r="E8757" i="1"/>
  <c r="E8756" i="1"/>
  <c r="E8755" i="1"/>
  <c r="E8754" i="1"/>
  <c r="E8753" i="1"/>
  <c r="E8752" i="1"/>
  <c r="E8751" i="1"/>
  <c r="E8750" i="1"/>
  <c r="E8749" i="1"/>
  <c r="E8748" i="1"/>
  <c r="E8747" i="1"/>
  <c r="E8746" i="1"/>
  <c r="E8745" i="1"/>
  <c r="E8744" i="1"/>
  <c r="E8743" i="1"/>
  <c r="E8742" i="1"/>
  <c r="E8741" i="1"/>
  <c r="E8740" i="1"/>
  <c r="E8739" i="1"/>
  <c r="E8738" i="1"/>
  <c r="E8737" i="1"/>
  <c r="E8736" i="1"/>
  <c r="E8735" i="1"/>
  <c r="E8734" i="1"/>
  <c r="E8733" i="1"/>
  <c r="E8732" i="1"/>
  <c r="E8731" i="1"/>
  <c r="E8730" i="1"/>
  <c r="E8729" i="1"/>
  <c r="E8728" i="1"/>
  <c r="E8727" i="1"/>
  <c r="E8726" i="1"/>
  <c r="E8725" i="1"/>
  <c r="E8724" i="1"/>
  <c r="E8723" i="1"/>
  <c r="E8722" i="1"/>
  <c r="E8721" i="1"/>
  <c r="E8720" i="1"/>
  <c r="E8719" i="1"/>
  <c r="E8718" i="1"/>
  <c r="E8717" i="1"/>
  <c r="E8716" i="1"/>
  <c r="E8715" i="1"/>
  <c r="E8714" i="1"/>
  <c r="E8713" i="1"/>
  <c r="E8712" i="1"/>
  <c r="E8711" i="1"/>
  <c r="E8710" i="1"/>
  <c r="E8709" i="1"/>
  <c r="E8708" i="1"/>
  <c r="E8707" i="1"/>
  <c r="E8706" i="1"/>
  <c r="E8705" i="1"/>
  <c r="E8704" i="1"/>
  <c r="E8703" i="1"/>
  <c r="E8702" i="1"/>
  <c r="E8701" i="1"/>
  <c r="E8700" i="1"/>
  <c r="E8699" i="1"/>
  <c r="E8698" i="1"/>
  <c r="E8697" i="1"/>
  <c r="E8696" i="1"/>
  <c r="E8695" i="1"/>
  <c r="E8694" i="1"/>
  <c r="E8693" i="1"/>
  <c r="E8692" i="1"/>
  <c r="E8691" i="1"/>
  <c r="E8690" i="1"/>
  <c r="E8689" i="1"/>
  <c r="E8688" i="1"/>
  <c r="E8687" i="1"/>
  <c r="E8686" i="1"/>
  <c r="E8685" i="1"/>
  <c r="E8684" i="1"/>
  <c r="E8683" i="1"/>
  <c r="E8682" i="1"/>
  <c r="E8681" i="1"/>
  <c r="E8680" i="1"/>
  <c r="E8679" i="1"/>
  <c r="E8678" i="1"/>
  <c r="E8677" i="1"/>
  <c r="E8676" i="1"/>
  <c r="E8675" i="1"/>
  <c r="E8674" i="1"/>
  <c r="E8673" i="1"/>
  <c r="E8672" i="1"/>
  <c r="E8671" i="1"/>
  <c r="E8670" i="1"/>
  <c r="E8669" i="1"/>
  <c r="E8668" i="1"/>
  <c r="E8667" i="1"/>
  <c r="E8666" i="1"/>
  <c r="E8665" i="1"/>
  <c r="E8664" i="1"/>
  <c r="E8663" i="1"/>
  <c r="E8662" i="1"/>
  <c r="E8661" i="1"/>
  <c r="E8660" i="1"/>
  <c r="E8659" i="1"/>
  <c r="E8658" i="1"/>
  <c r="E8657" i="1"/>
  <c r="E8656" i="1"/>
  <c r="E8655" i="1"/>
  <c r="E8654" i="1"/>
  <c r="E8653" i="1"/>
  <c r="E8652" i="1"/>
  <c r="E8651" i="1"/>
  <c r="E8650" i="1"/>
  <c r="E8649" i="1"/>
  <c r="E8648" i="1"/>
  <c r="E8647" i="1"/>
  <c r="E8646" i="1"/>
  <c r="E8645" i="1"/>
  <c r="E8644" i="1"/>
  <c r="E8643" i="1"/>
  <c r="E8642" i="1"/>
  <c r="E8641" i="1"/>
  <c r="E8640" i="1"/>
  <c r="E8639" i="1"/>
  <c r="E8638" i="1"/>
  <c r="E8637" i="1"/>
  <c r="E8636" i="1"/>
  <c r="E8635" i="1"/>
  <c r="E8634" i="1"/>
  <c r="E8633" i="1"/>
  <c r="E8632" i="1"/>
  <c r="E8631" i="1"/>
  <c r="E8630" i="1"/>
  <c r="E8629" i="1"/>
  <c r="E8628" i="1"/>
  <c r="E8627" i="1"/>
  <c r="E8626" i="1"/>
  <c r="E8625" i="1"/>
  <c r="E8624" i="1"/>
  <c r="E8623" i="1"/>
  <c r="E8622" i="1"/>
  <c r="E8621" i="1"/>
  <c r="E8620" i="1"/>
  <c r="E8619" i="1"/>
  <c r="E8618" i="1"/>
  <c r="E8617" i="1"/>
  <c r="E8616" i="1"/>
  <c r="E8615" i="1"/>
  <c r="E8614" i="1"/>
  <c r="E8613" i="1"/>
  <c r="E8612" i="1"/>
  <c r="E8611" i="1"/>
  <c r="E8610" i="1"/>
  <c r="E8609" i="1"/>
  <c r="E8608" i="1"/>
  <c r="E8607" i="1"/>
  <c r="E8606" i="1"/>
  <c r="E8605" i="1"/>
  <c r="E8604" i="1"/>
  <c r="E8603" i="1"/>
  <c r="E8602" i="1"/>
  <c r="E8601" i="1"/>
  <c r="E8600" i="1"/>
  <c r="E8599" i="1"/>
  <c r="E8598" i="1"/>
  <c r="E8597" i="1"/>
  <c r="E8596" i="1"/>
  <c r="E8595" i="1"/>
  <c r="E8594" i="1"/>
  <c r="E8593" i="1"/>
  <c r="E8592" i="1"/>
  <c r="E8591" i="1"/>
  <c r="E8590" i="1"/>
  <c r="E8589" i="1"/>
  <c r="E8588" i="1"/>
  <c r="E8587" i="1"/>
  <c r="E8586" i="1"/>
  <c r="E8585" i="1"/>
  <c r="E8584" i="1"/>
  <c r="E8583" i="1"/>
  <c r="E8582" i="1"/>
  <c r="E8581" i="1"/>
  <c r="E8580" i="1"/>
  <c r="E8579" i="1"/>
  <c r="E8578" i="1"/>
  <c r="E8577" i="1"/>
  <c r="E8576" i="1"/>
  <c r="E8575" i="1"/>
  <c r="E8574" i="1"/>
  <c r="E8573" i="1"/>
  <c r="E8572" i="1"/>
  <c r="E8571" i="1"/>
  <c r="E8570" i="1"/>
  <c r="E8569" i="1"/>
  <c r="E8568" i="1"/>
  <c r="E8567" i="1"/>
  <c r="E8566" i="1"/>
  <c r="E8565" i="1"/>
  <c r="E8564" i="1"/>
  <c r="E8563" i="1"/>
  <c r="E8562" i="1"/>
  <c r="E8561" i="1"/>
  <c r="E8560" i="1"/>
  <c r="E8559" i="1"/>
  <c r="E8558" i="1"/>
  <c r="E8557" i="1"/>
  <c r="E8556" i="1"/>
  <c r="E8555" i="1"/>
  <c r="E8554" i="1"/>
  <c r="E8553" i="1"/>
  <c r="E8552" i="1"/>
  <c r="E8551" i="1"/>
  <c r="E8550" i="1"/>
  <c r="E8549" i="1"/>
  <c r="E8548" i="1"/>
  <c r="E8547" i="1"/>
  <c r="E8546" i="1"/>
  <c r="E8545" i="1"/>
  <c r="E8544" i="1"/>
  <c r="E8543" i="1"/>
  <c r="E8542" i="1"/>
  <c r="E8541" i="1"/>
  <c r="E8540" i="1"/>
  <c r="E8539" i="1"/>
  <c r="E8538" i="1"/>
  <c r="E8537" i="1"/>
  <c r="E8536" i="1"/>
  <c r="E8535" i="1"/>
  <c r="E8534" i="1"/>
  <c r="E8533" i="1"/>
  <c r="E8532" i="1"/>
  <c r="E8531" i="1"/>
  <c r="E8530" i="1"/>
  <c r="E8529" i="1"/>
  <c r="E8528" i="1"/>
  <c r="E8527" i="1"/>
  <c r="E8526" i="1"/>
  <c r="E8525" i="1"/>
  <c r="E8524" i="1"/>
  <c r="E8523" i="1"/>
  <c r="E8522" i="1"/>
  <c r="E8521" i="1"/>
  <c r="E8520" i="1"/>
  <c r="E8519" i="1"/>
  <c r="E8518" i="1"/>
  <c r="E8517" i="1"/>
  <c r="E8516" i="1"/>
  <c r="E8515" i="1"/>
  <c r="E8514" i="1"/>
  <c r="E8513" i="1"/>
  <c r="E8512" i="1"/>
  <c r="E8511" i="1"/>
  <c r="E8510" i="1"/>
  <c r="E8509" i="1"/>
  <c r="E8508" i="1"/>
  <c r="E8507" i="1"/>
  <c r="E8506" i="1"/>
  <c r="E8505" i="1"/>
  <c r="E8504" i="1"/>
  <c r="E8503" i="1"/>
  <c r="E8502" i="1"/>
  <c r="E8501" i="1"/>
  <c r="E8500" i="1"/>
  <c r="E8499" i="1"/>
  <c r="E8498" i="1"/>
  <c r="E8497" i="1"/>
  <c r="E8496" i="1"/>
  <c r="E8495" i="1"/>
  <c r="E8494" i="1"/>
  <c r="E8493" i="1"/>
  <c r="E8492" i="1"/>
  <c r="E8491" i="1"/>
  <c r="E8490" i="1"/>
  <c r="E8489" i="1"/>
  <c r="E8488" i="1"/>
  <c r="E8487" i="1"/>
  <c r="E8486" i="1"/>
  <c r="E8485" i="1"/>
  <c r="E8484" i="1"/>
  <c r="E8483" i="1"/>
  <c r="E8482" i="1"/>
  <c r="E8481" i="1"/>
  <c r="E8480" i="1"/>
  <c r="E8479" i="1"/>
  <c r="E8478" i="1"/>
  <c r="E8477" i="1"/>
  <c r="E8476" i="1"/>
  <c r="E8475" i="1"/>
  <c r="E8474" i="1"/>
  <c r="E8473" i="1"/>
  <c r="E8472" i="1"/>
  <c r="E8471" i="1"/>
  <c r="E8470" i="1"/>
  <c r="E8469" i="1"/>
  <c r="E8468" i="1"/>
  <c r="E8467" i="1"/>
  <c r="E8466" i="1"/>
  <c r="E8465" i="1"/>
  <c r="E8464" i="1"/>
  <c r="E8463" i="1"/>
  <c r="E8462" i="1"/>
  <c r="E8461" i="1"/>
  <c r="E8460" i="1"/>
  <c r="E8459" i="1"/>
  <c r="E8458" i="1"/>
  <c r="E8457" i="1"/>
  <c r="E8456" i="1"/>
  <c r="E8455" i="1"/>
  <c r="E8454" i="1"/>
  <c r="E8453" i="1"/>
  <c r="E8452" i="1"/>
  <c r="E8451" i="1"/>
  <c r="E8450" i="1"/>
  <c r="E8449" i="1"/>
  <c r="E8448" i="1"/>
  <c r="E8447" i="1"/>
  <c r="E8446" i="1"/>
  <c r="E8445" i="1"/>
  <c r="E8444" i="1"/>
  <c r="E8443" i="1"/>
  <c r="E8442" i="1"/>
  <c r="E8441" i="1"/>
  <c r="E8440" i="1"/>
  <c r="E8439" i="1"/>
  <c r="E8438" i="1"/>
  <c r="E8437" i="1"/>
  <c r="E8436" i="1"/>
  <c r="E8435" i="1"/>
  <c r="E8434" i="1"/>
  <c r="E8433" i="1"/>
  <c r="E8432" i="1"/>
  <c r="E8431" i="1"/>
  <c r="E8430" i="1"/>
  <c r="E8429" i="1"/>
  <c r="E8428" i="1"/>
  <c r="E8427" i="1"/>
  <c r="E8426" i="1"/>
  <c r="E8425" i="1"/>
  <c r="E8424" i="1"/>
  <c r="E8423" i="1"/>
  <c r="E8422" i="1"/>
  <c r="E8421" i="1"/>
  <c r="E8420" i="1"/>
  <c r="E8419" i="1"/>
  <c r="E8418" i="1"/>
  <c r="E8417" i="1"/>
  <c r="E8416" i="1"/>
  <c r="E8415" i="1"/>
  <c r="E8414" i="1"/>
  <c r="E8413" i="1"/>
  <c r="E8412" i="1"/>
  <c r="E8411" i="1"/>
  <c r="E8410" i="1"/>
  <c r="E8409" i="1"/>
  <c r="E8408" i="1"/>
  <c r="E8407" i="1"/>
  <c r="E8406" i="1"/>
  <c r="E8405" i="1"/>
  <c r="E8404" i="1"/>
  <c r="E8403" i="1"/>
  <c r="E8402" i="1"/>
  <c r="E8401" i="1"/>
  <c r="E8400" i="1"/>
  <c r="E8399" i="1"/>
  <c r="E8398" i="1"/>
  <c r="E8397" i="1"/>
  <c r="E8396" i="1"/>
  <c r="E8395" i="1"/>
  <c r="E8394" i="1"/>
  <c r="E8393" i="1"/>
  <c r="E8392" i="1"/>
  <c r="E8391" i="1"/>
  <c r="E8390" i="1"/>
  <c r="E8389" i="1"/>
  <c r="E8388" i="1"/>
  <c r="E8387" i="1"/>
  <c r="E8386" i="1"/>
  <c r="E8385" i="1"/>
  <c r="E8384" i="1"/>
  <c r="E8383" i="1"/>
  <c r="E8382" i="1"/>
  <c r="E8381" i="1"/>
  <c r="E8380" i="1"/>
  <c r="E8379" i="1"/>
  <c r="E8378" i="1"/>
  <c r="E8377" i="1"/>
  <c r="E8376" i="1"/>
  <c r="E8375" i="1"/>
  <c r="E8374" i="1"/>
  <c r="E8373" i="1"/>
  <c r="E8372" i="1"/>
  <c r="E8371" i="1"/>
  <c r="E8370" i="1"/>
  <c r="E8369" i="1"/>
  <c r="E8368" i="1"/>
  <c r="E8367" i="1"/>
  <c r="E8366" i="1"/>
  <c r="E8365" i="1"/>
  <c r="E8364" i="1"/>
  <c r="E8363" i="1"/>
  <c r="E8362" i="1"/>
  <c r="E8361" i="1"/>
  <c r="E8360" i="1"/>
  <c r="E8359" i="1"/>
  <c r="E8358" i="1"/>
  <c r="E8357" i="1"/>
  <c r="E8356" i="1"/>
  <c r="E8355" i="1"/>
  <c r="E8354" i="1"/>
  <c r="E8353" i="1"/>
  <c r="E8352" i="1"/>
  <c r="E8351" i="1"/>
  <c r="E8350" i="1"/>
  <c r="E8349" i="1"/>
  <c r="E8348" i="1"/>
  <c r="E8347" i="1"/>
  <c r="E8346" i="1"/>
  <c r="E8345" i="1"/>
  <c r="E8344" i="1"/>
  <c r="E8343" i="1"/>
  <c r="E8342" i="1"/>
  <c r="E8341" i="1"/>
  <c r="E8340" i="1"/>
  <c r="E8339" i="1"/>
  <c r="E8338" i="1"/>
  <c r="E8337" i="1"/>
  <c r="E8336" i="1"/>
  <c r="E8335" i="1"/>
  <c r="E8334" i="1"/>
  <c r="E8333" i="1"/>
  <c r="E8332" i="1"/>
  <c r="E8331" i="1"/>
  <c r="E8330" i="1"/>
  <c r="E8329" i="1"/>
  <c r="E8328" i="1"/>
  <c r="E8327" i="1"/>
  <c r="E8326" i="1"/>
  <c r="E8325" i="1"/>
  <c r="E8324" i="1"/>
  <c r="E8323" i="1"/>
  <c r="E8322" i="1"/>
  <c r="E8321" i="1"/>
  <c r="E8320" i="1"/>
  <c r="E8319" i="1"/>
  <c r="E8318" i="1"/>
  <c r="E8317" i="1"/>
  <c r="E8316" i="1"/>
  <c r="E8315" i="1"/>
  <c r="E8314" i="1"/>
  <c r="E8313" i="1"/>
  <c r="E8312" i="1"/>
  <c r="E8311" i="1"/>
  <c r="E8310" i="1"/>
  <c r="E8309" i="1"/>
  <c r="E8308" i="1"/>
  <c r="E8307" i="1"/>
  <c r="E8306" i="1"/>
  <c r="E8305" i="1"/>
  <c r="E8304" i="1"/>
  <c r="E8303" i="1"/>
  <c r="E8302" i="1"/>
  <c r="E8301" i="1"/>
  <c r="E8300" i="1"/>
  <c r="E8299" i="1"/>
  <c r="E8298" i="1"/>
  <c r="E8297" i="1"/>
  <c r="E8296" i="1"/>
  <c r="E8295" i="1"/>
  <c r="E8294" i="1"/>
  <c r="E8293" i="1"/>
  <c r="E8292" i="1"/>
  <c r="E8291" i="1"/>
  <c r="E8290" i="1"/>
  <c r="E8289" i="1"/>
  <c r="E8288" i="1"/>
  <c r="E8287" i="1"/>
  <c r="E8286" i="1"/>
  <c r="E8285" i="1"/>
  <c r="E8284" i="1"/>
  <c r="E8283" i="1"/>
  <c r="E8282" i="1"/>
  <c r="E8281" i="1"/>
  <c r="E8280" i="1"/>
  <c r="E8279" i="1"/>
  <c r="E8278" i="1"/>
  <c r="E8277" i="1"/>
  <c r="E8276" i="1"/>
  <c r="E8275" i="1"/>
  <c r="E8274" i="1"/>
  <c r="E8273" i="1"/>
  <c r="E8272" i="1"/>
  <c r="E8271" i="1"/>
  <c r="E8270" i="1"/>
  <c r="E8269" i="1"/>
  <c r="E8268" i="1"/>
  <c r="E8267" i="1"/>
  <c r="E8266" i="1"/>
  <c r="E8265" i="1"/>
  <c r="E8264" i="1"/>
  <c r="E8263" i="1"/>
  <c r="E8262" i="1"/>
  <c r="E8261" i="1"/>
  <c r="E8260" i="1"/>
  <c r="E8259" i="1"/>
  <c r="E8258" i="1"/>
  <c r="E8257" i="1"/>
  <c r="E8256" i="1"/>
  <c r="E8255" i="1"/>
  <c r="E8254" i="1"/>
  <c r="E8253" i="1"/>
  <c r="E8252" i="1"/>
  <c r="E8251" i="1"/>
  <c r="E8250" i="1"/>
  <c r="E8249" i="1"/>
  <c r="E8248" i="1"/>
  <c r="E8247" i="1"/>
  <c r="E8246" i="1"/>
  <c r="E8245" i="1"/>
  <c r="E8244" i="1"/>
  <c r="E8243" i="1"/>
  <c r="E8242" i="1"/>
  <c r="E8241" i="1"/>
  <c r="E8240" i="1"/>
  <c r="E8239" i="1"/>
  <c r="E8238" i="1"/>
  <c r="E8237" i="1"/>
  <c r="E8236" i="1"/>
  <c r="E8235" i="1"/>
  <c r="E8234" i="1"/>
  <c r="E8233" i="1"/>
  <c r="E8232" i="1"/>
  <c r="E8231" i="1"/>
  <c r="E8230" i="1"/>
  <c r="E8229" i="1"/>
  <c r="E8228" i="1"/>
  <c r="E8227" i="1"/>
  <c r="E8226" i="1"/>
  <c r="E8225" i="1"/>
  <c r="E8224" i="1"/>
  <c r="E8223" i="1"/>
  <c r="E8222" i="1"/>
  <c r="E8221" i="1"/>
  <c r="E8220" i="1"/>
  <c r="E8219" i="1"/>
  <c r="E8218" i="1"/>
  <c r="E8217" i="1"/>
  <c r="E8216" i="1"/>
  <c r="E8215" i="1"/>
  <c r="E8214" i="1"/>
  <c r="E8213" i="1"/>
  <c r="E8212" i="1"/>
  <c r="E8211" i="1"/>
  <c r="E8210" i="1"/>
  <c r="E8209" i="1"/>
  <c r="E8208" i="1"/>
  <c r="E8207" i="1"/>
  <c r="E8206" i="1"/>
  <c r="E8205" i="1"/>
  <c r="E8204" i="1"/>
  <c r="E8203" i="1"/>
  <c r="E8202" i="1"/>
  <c r="E8201" i="1"/>
  <c r="E8200" i="1"/>
  <c r="E8199" i="1"/>
  <c r="E8198" i="1"/>
  <c r="E8197" i="1"/>
  <c r="E8196" i="1"/>
  <c r="E8195" i="1"/>
  <c r="E8194" i="1"/>
  <c r="E8193" i="1"/>
  <c r="E8192" i="1"/>
  <c r="E8191" i="1"/>
  <c r="E8190" i="1"/>
  <c r="E8189" i="1"/>
  <c r="E8188" i="1"/>
  <c r="E8187" i="1"/>
  <c r="E8186" i="1"/>
  <c r="E8185" i="1"/>
  <c r="E8184" i="1"/>
  <c r="E8183" i="1"/>
  <c r="E8182" i="1"/>
  <c r="E8181" i="1"/>
  <c r="E8180" i="1"/>
  <c r="E8179" i="1"/>
  <c r="E8178" i="1"/>
  <c r="E8177" i="1"/>
  <c r="E8176" i="1"/>
  <c r="E8175" i="1"/>
  <c r="E8174" i="1"/>
  <c r="E8173" i="1"/>
  <c r="E8172" i="1"/>
  <c r="E8171" i="1"/>
  <c r="E8170" i="1"/>
  <c r="E8169" i="1"/>
  <c r="E8168" i="1"/>
  <c r="E8167" i="1"/>
  <c r="E8166" i="1"/>
  <c r="E8165" i="1"/>
  <c r="E8164" i="1"/>
  <c r="E8163" i="1"/>
  <c r="E8162" i="1"/>
  <c r="E8161" i="1"/>
  <c r="E8160" i="1"/>
  <c r="E8159" i="1"/>
  <c r="E8158" i="1"/>
  <c r="E8157" i="1"/>
  <c r="E8156" i="1"/>
  <c r="E8155" i="1"/>
  <c r="E8154" i="1"/>
  <c r="E8153" i="1"/>
  <c r="E8152" i="1"/>
  <c r="E8151" i="1"/>
  <c r="E8150" i="1"/>
  <c r="E8149" i="1"/>
  <c r="E8148" i="1"/>
  <c r="E8147" i="1"/>
  <c r="E8146" i="1"/>
  <c r="E8145" i="1"/>
  <c r="E8144" i="1"/>
  <c r="E8143" i="1"/>
  <c r="E8142" i="1"/>
  <c r="E8141" i="1"/>
  <c r="E8140" i="1"/>
  <c r="E8139" i="1"/>
  <c r="E8138" i="1"/>
  <c r="E8137" i="1"/>
  <c r="E8136" i="1"/>
  <c r="E8135" i="1"/>
  <c r="E8134" i="1"/>
  <c r="E8133" i="1"/>
  <c r="E8132" i="1"/>
  <c r="E8131" i="1"/>
  <c r="E8130" i="1"/>
  <c r="E8129" i="1"/>
  <c r="E8128" i="1"/>
  <c r="E8127" i="1"/>
  <c r="E8126" i="1"/>
  <c r="E8125" i="1"/>
  <c r="E8124" i="1"/>
  <c r="E8123" i="1"/>
  <c r="E8122" i="1"/>
  <c r="E8121" i="1"/>
  <c r="E8120" i="1"/>
  <c r="E8119" i="1"/>
  <c r="E8118" i="1"/>
  <c r="E8117" i="1"/>
  <c r="E8116" i="1"/>
  <c r="E8115" i="1"/>
  <c r="E8114" i="1"/>
  <c r="E8113" i="1"/>
  <c r="E8112" i="1"/>
  <c r="E8111" i="1"/>
  <c r="E8110" i="1"/>
  <c r="E8109" i="1"/>
  <c r="E8108" i="1"/>
  <c r="E8107" i="1"/>
  <c r="E8106" i="1"/>
  <c r="E8105" i="1"/>
  <c r="E8104" i="1"/>
  <c r="E8103" i="1"/>
  <c r="E8102" i="1"/>
  <c r="E8101" i="1"/>
  <c r="E8100" i="1"/>
  <c r="E8099" i="1"/>
  <c r="E8098" i="1"/>
  <c r="E8097" i="1"/>
  <c r="E8096" i="1"/>
  <c r="E8095" i="1"/>
  <c r="E8094" i="1"/>
  <c r="E8093" i="1"/>
  <c r="E8092" i="1"/>
  <c r="E8091" i="1"/>
  <c r="E8090" i="1"/>
  <c r="E8089" i="1"/>
  <c r="E8088" i="1"/>
  <c r="E8087" i="1"/>
  <c r="E8086" i="1"/>
  <c r="E8085" i="1"/>
  <c r="E8084" i="1"/>
  <c r="E8083" i="1"/>
  <c r="E8082" i="1"/>
  <c r="E8081" i="1"/>
  <c r="E8080" i="1"/>
  <c r="E8079" i="1"/>
  <c r="E8078" i="1"/>
  <c r="E8077" i="1"/>
  <c r="E8076" i="1"/>
  <c r="E8075" i="1"/>
  <c r="E8074" i="1"/>
  <c r="E8073" i="1"/>
  <c r="E8072" i="1"/>
  <c r="E8071" i="1"/>
  <c r="E8070" i="1"/>
  <c r="E8069" i="1"/>
  <c r="E8068" i="1"/>
  <c r="E8067" i="1"/>
  <c r="E8066" i="1"/>
  <c r="E8065" i="1"/>
  <c r="E8064" i="1"/>
  <c r="E8063" i="1"/>
  <c r="E8062" i="1"/>
  <c r="E8061" i="1"/>
  <c r="E8060" i="1"/>
  <c r="E8059" i="1"/>
  <c r="E8058" i="1"/>
  <c r="E8057" i="1"/>
  <c r="E8056" i="1"/>
  <c r="E8055" i="1"/>
  <c r="E8054" i="1"/>
  <c r="E8053" i="1"/>
  <c r="E8052" i="1"/>
  <c r="E8051" i="1"/>
  <c r="E8050" i="1"/>
  <c r="E8049" i="1"/>
  <c r="E8048" i="1"/>
  <c r="E8047" i="1"/>
  <c r="E8046" i="1"/>
  <c r="E8045" i="1"/>
  <c r="E8044" i="1"/>
  <c r="E8043" i="1"/>
  <c r="E8042" i="1"/>
  <c r="E8041" i="1"/>
  <c r="E8040" i="1"/>
  <c r="E8039" i="1"/>
  <c r="E8038" i="1"/>
  <c r="E8037" i="1"/>
  <c r="E8036" i="1"/>
  <c r="E8035" i="1"/>
  <c r="E8034" i="1"/>
  <c r="E8033" i="1"/>
  <c r="E8032" i="1"/>
  <c r="E8031" i="1"/>
  <c r="E8030" i="1"/>
  <c r="E8029" i="1"/>
  <c r="E8028" i="1"/>
  <c r="E8027" i="1"/>
  <c r="E8026" i="1"/>
  <c r="E8025" i="1"/>
  <c r="E8024" i="1"/>
  <c r="E8023" i="1"/>
  <c r="E8022" i="1"/>
  <c r="E8021" i="1"/>
  <c r="E8020" i="1"/>
  <c r="E8019" i="1"/>
  <c r="E8018" i="1"/>
  <c r="E8017" i="1"/>
  <c r="E8016" i="1"/>
  <c r="E8015" i="1"/>
  <c r="E8014" i="1"/>
  <c r="E8013" i="1"/>
  <c r="E8012" i="1"/>
  <c r="E8011" i="1"/>
  <c r="E8010" i="1"/>
  <c r="E8009" i="1"/>
  <c r="E8008" i="1"/>
  <c r="E8007" i="1"/>
  <c r="E8006" i="1"/>
  <c r="E8005" i="1"/>
  <c r="E8004" i="1"/>
  <c r="E8003" i="1"/>
  <c r="E8002" i="1"/>
  <c r="E8001" i="1"/>
  <c r="E8000" i="1"/>
  <c r="E7999" i="1"/>
  <c r="E7998" i="1"/>
  <c r="E7997" i="1"/>
  <c r="E7996" i="1"/>
  <c r="E7995" i="1"/>
  <c r="E7994" i="1"/>
  <c r="E7993" i="1"/>
  <c r="E7992" i="1"/>
  <c r="E7991" i="1"/>
  <c r="E7990" i="1"/>
  <c r="E7989" i="1"/>
  <c r="E7988" i="1"/>
  <c r="E7987" i="1"/>
  <c r="E7986" i="1"/>
  <c r="E7985" i="1"/>
  <c r="E7984" i="1"/>
  <c r="E7983" i="1"/>
  <c r="E7982" i="1"/>
  <c r="E7981" i="1"/>
  <c r="E7980" i="1"/>
  <c r="E7979" i="1"/>
  <c r="E7978" i="1"/>
  <c r="E7977" i="1"/>
  <c r="E7976" i="1"/>
  <c r="E7975" i="1"/>
  <c r="E7974" i="1"/>
  <c r="E7973" i="1"/>
  <c r="E7972" i="1"/>
  <c r="E7971" i="1"/>
  <c r="E7970" i="1"/>
  <c r="E7969" i="1"/>
  <c r="E7968" i="1"/>
  <c r="E7967" i="1"/>
  <c r="E7966" i="1"/>
  <c r="E7965" i="1"/>
  <c r="E7964" i="1"/>
  <c r="E7963" i="1"/>
  <c r="E7962" i="1"/>
  <c r="E7961" i="1"/>
  <c r="E7960" i="1"/>
  <c r="E7959" i="1"/>
  <c r="E7958" i="1"/>
  <c r="E7957" i="1"/>
  <c r="E7956" i="1"/>
  <c r="E7955" i="1"/>
  <c r="E7954" i="1"/>
  <c r="E7953" i="1"/>
  <c r="E7952" i="1"/>
  <c r="E7951" i="1"/>
  <c r="E7950" i="1"/>
  <c r="E7949" i="1"/>
  <c r="E7948" i="1"/>
  <c r="E7947" i="1"/>
  <c r="E7946" i="1"/>
  <c r="E7945" i="1"/>
  <c r="E7944" i="1"/>
  <c r="E7943" i="1"/>
  <c r="E7942" i="1"/>
  <c r="E7941" i="1"/>
  <c r="E7940" i="1"/>
  <c r="E7939" i="1"/>
  <c r="E7938" i="1"/>
  <c r="E7937" i="1"/>
  <c r="E7936" i="1"/>
  <c r="E7935" i="1"/>
  <c r="E7934" i="1"/>
  <c r="E7933" i="1"/>
  <c r="E7932" i="1"/>
  <c r="E7931" i="1"/>
  <c r="E7930" i="1"/>
  <c r="E7929" i="1"/>
  <c r="E7928" i="1"/>
  <c r="E7927" i="1"/>
  <c r="E7926" i="1"/>
  <c r="E7925" i="1"/>
  <c r="E7924" i="1"/>
  <c r="E7923" i="1"/>
  <c r="E7922" i="1"/>
  <c r="E7921" i="1"/>
  <c r="E7920" i="1"/>
  <c r="E7919" i="1"/>
  <c r="E7918" i="1"/>
  <c r="E7917" i="1"/>
  <c r="E7916" i="1"/>
  <c r="E7915" i="1"/>
  <c r="E7914" i="1"/>
  <c r="E7913" i="1"/>
  <c r="E7912" i="1"/>
  <c r="E7911" i="1"/>
  <c r="E7910" i="1"/>
  <c r="E7909" i="1"/>
  <c r="E7908" i="1"/>
  <c r="E7907" i="1"/>
  <c r="E7906" i="1"/>
  <c r="E7905" i="1"/>
  <c r="E7904" i="1"/>
  <c r="E7903" i="1"/>
  <c r="E7902" i="1"/>
  <c r="E7901" i="1"/>
  <c r="E7900" i="1"/>
  <c r="E7899" i="1"/>
  <c r="E7898" i="1"/>
  <c r="E7897" i="1"/>
  <c r="E7896" i="1"/>
  <c r="E7895" i="1"/>
  <c r="E7894" i="1"/>
  <c r="E7893" i="1"/>
  <c r="E7892" i="1"/>
  <c r="E7891" i="1"/>
  <c r="E7890" i="1"/>
  <c r="E7889" i="1"/>
  <c r="E7888" i="1"/>
  <c r="E7887" i="1"/>
  <c r="E7886" i="1"/>
  <c r="E7885" i="1"/>
  <c r="E7884" i="1"/>
  <c r="E7883" i="1"/>
  <c r="E7882" i="1"/>
  <c r="E7881" i="1"/>
  <c r="E7880" i="1"/>
  <c r="E7879" i="1"/>
  <c r="E7878" i="1"/>
  <c r="E7877" i="1"/>
  <c r="E7876" i="1"/>
  <c r="E7875" i="1"/>
  <c r="E7874" i="1"/>
  <c r="E7873" i="1"/>
  <c r="E7872" i="1"/>
  <c r="E7871" i="1"/>
  <c r="E7870" i="1"/>
  <c r="E7869" i="1"/>
  <c r="E7868" i="1"/>
  <c r="E7867" i="1"/>
  <c r="E7866" i="1"/>
  <c r="E7865" i="1"/>
  <c r="E7864" i="1"/>
  <c r="E7863" i="1"/>
  <c r="E7862" i="1"/>
  <c r="E7861" i="1"/>
  <c r="E7860" i="1"/>
  <c r="E7859" i="1"/>
  <c r="E7858" i="1"/>
  <c r="E7857" i="1"/>
  <c r="E7856" i="1"/>
  <c r="E7855" i="1"/>
  <c r="E7854" i="1"/>
  <c r="E7853" i="1"/>
  <c r="E7852" i="1"/>
  <c r="E7851" i="1"/>
  <c r="E7850" i="1"/>
  <c r="E7849" i="1"/>
  <c r="E7848" i="1"/>
  <c r="E7847" i="1"/>
  <c r="E7846" i="1"/>
  <c r="E7845" i="1"/>
  <c r="E7844" i="1"/>
  <c r="E7843" i="1"/>
  <c r="E7842" i="1"/>
  <c r="E7841" i="1"/>
  <c r="E7840" i="1"/>
  <c r="E7839" i="1"/>
  <c r="E7838" i="1"/>
  <c r="E7837" i="1"/>
  <c r="E7836" i="1"/>
  <c r="E7835" i="1"/>
  <c r="E7834" i="1"/>
  <c r="E7833" i="1"/>
  <c r="E7832" i="1"/>
  <c r="E7831" i="1"/>
  <c r="E7830" i="1"/>
  <c r="E7829" i="1"/>
  <c r="E7828" i="1"/>
  <c r="E7827" i="1"/>
  <c r="E7826" i="1"/>
  <c r="E7825" i="1"/>
  <c r="E7824" i="1"/>
  <c r="E7823" i="1"/>
  <c r="E7822" i="1"/>
  <c r="E7821" i="1"/>
  <c r="E7820" i="1"/>
  <c r="E7819" i="1"/>
  <c r="E7818" i="1"/>
  <c r="E7817" i="1"/>
  <c r="E7816" i="1"/>
  <c r="E7815" i="1"/>
  <c r="E7814" i="1"/>
  <c r="E7813" i="1"/>
  <c r="E7812" i="1"/>
  <c r="E7811" i="1"/>
  <c r="E7810" i="1"/>
  <c r="E7809" i="1"/>
  <c r="E7808" i="1"/>
  <c r="E7807" i="1"/>
  <c r="E7806" i="1"/>
  <c r="E7805" i="1"/>
  <c r="E7804" i="1"/>
  <c r="E7803" i="1"/>
  <c r="E7802" i="1"/>
  <c r="E7801" i="1"/>
  <c r="E7800" i="1"/>
  <c r="E7799" i="1"/>
  <c r="E7798" i="1"/>
  <c r="E7797" i="1"/>
  <c r="E7796" i="1"/>
  <c r="E7795" i="1"/>
  <c r="E7794" i="1"/>
  <c r="E7793" i="1"/>
  <c r="E7792" i="1"/>
  <c r="E7791" i="1"/>
  <c r="E7790" i="1"/>
  <c r="E7789" i="1"/>
  <c r="E7788" i="1"/>
  <c r="E7787" i="1"/>
  <c r="E7786" i="1"/>
  <c r="E7785" i="1"/>
  <c r="E7784" i="1"/>
  <c r="E7783" i="1"/>
  <c r="E7782" i="1"/>
  <c r="E7781" i="1"/>
  <c r="E7780" i="1"/>
  <c r="E7779" i="1"/>
  <c r="E7778" i="1"/>
  <c r="E7777" i="1"/>
  <c r="E7776" i="1"/>
  <c r="E7775" i="1"/>
  <c r="E7774" i="1"/>
  <c r="E7773" i="1"/>
  <c r="E7772" i="1"/>
  <c r="E7771" i="1"/>
  <c r="E7770" i="1"/>
  <c r="E7769" i="1"/>
  <c r="E7768" i="1"/>
  <c r="E7767" i="1"/>
  <c r="E7766" i="1"/>
  <c r="E7765" i="1"/>
  <c r="E7764" i="1"/>
  <c r="E7763" i="1"/>
  <c r="E7762" i="1"/>
  <c r="E7761" i="1"/>
  <c r="E7760" i="1"/>
  <c r="E7759" i="1"/>
  <c r="E7758" i="1"/>
  <c r="E7757" i="1"/>
  <c r="E7756" i="1"/>
  <c r="E7755" i="1"/>
  <c r="E7754" i="1"/>
  <c r="E7753" i="1"/>
  <c r="E7752" i="1"/>
  <c r="E7751" i="1"/>
  <c r="E7750" i="1"/>
  <c r="E7749" i="1"/>
  <c r="E7748" i="1"/>
  <c r="E7747" i="1"/>
  <c r="E7746" i="1"/>
  <c r="E7745" i="1"/>
  <c r="E7744" i="1"/>
  <c r="E7743" i="1"/>
  <c r="E7742" i="1"/>
  <c r="E7741" i="1"/>
  <c r="E7740" i="1"/>
  <c r="E7739" i="1"/>
  <c r="E7738" i="1"/>
  <c r="E7737" i="1"/>
  <c r="E7736" i="1"/>
  <c r="E7735" i="1"/>
  <c r="E7734" i="1"/>
  <c r="E7733" i="1"/>
  <c r="E7732" i="1"/>
  <c r="E7731" i="1"/>
  <c r="E7730" i="1"/>
  <c r="E7729" i="1"/>
  <c r="E7728" i="1"/>
  <c r="E7727" i="1"/>
  <c r="E7726" i="1"/>
  <c r="E7725" i="1"/>
  <c r="E7724" i="1"/>
  <c r="E7723" i="1"/>
  <c r="E7722" i="1"/>
  <c r="E7721" i="1"/>
  <c r="E7720" i="1"/>
  <c r="E7719" i="1"/>
  <c r="E7718" i="1"/>
  <c r="E7717" i="1"/>
  <c r="E7716" i="1"/>
  <c r="E7715" i="1"/>
  <c r="E7714" i="1"/>
  <c r="E7713" i="1"/>
  <c r="E7712" i="1"/>
  <c r="E7711" i="1"/>
  <c r="E7710" i="1"/>
  <c r="E7709" i="1"/>
  <c r="E7708" i="1"/>
  <c r="E7707" i="1"/>
  <c r="E7706" i="1"/>
  <c r="E7705" i="1"/>
  <c r="E7704" i="1"/>
  <c r="E7703" i="1"/>
  <c r="E7702" i="1"/>
  <c r="E7701" i="1"/>
  <c r="E7700" i="1"/>
  <c r="E7699" i="1"/>
  <c r="E7698" i="1"/>
  <c r="E7697" i="1"/>
  <c r="E7696" i="1"/>
  <c r="E7695" i="1"/>
  <c r="E7694" i="1"/>
  <c r="E7693" i="1"/>
  <c r="E7692" i="1"/>
  <c r="E7691" i="1"/>
  <c r="E7690" i="1"/>
  <c r="E7689" i="1"/>
  <c r="E7688" i="1"/>
  <c r="E7687" i="1"/>
  <c r="E7686" i="1"/>
  <c r="E7685" i="1"/>
  <c r="E7684" i="1"/>
  <c r="E7683" i="1"/>
  <c r="E7682" i="1"/>
  <c r="E7681" i="1"/>
  <c r="E7680" i="1"/>
  <c r="E7679" i="1"/>
  <c r="E7678" i="1"/>
  <c r="E7677" i="1"/>
  <c r="E7676" i="1"/>
  <c r="E7675" i="1"/>
  <c r="E7674" i="1"/>
  <c r="E7673" i="1"/>
  <c r="E7672" i="1"/>
  <c r="E7671" i="1"/>
  <c r="E7670" i="1"/>
  <c r="E7669" i="1"/>
  <c r="E7668" i="1"/>
  <c r="E7667" i="1"/>
  <c r="E7666" i="1"/>
  <c r="E7665" i="1"/>
  <c r="E7664" i="1"/>
  <c r="E7663" i="1"/>
  <c r="E7662" i="1"/>
  <c r="E7661" i="1"/>
  <c r="E7660" i="1"/>
  <c r="E7659" i="1"/>
  <c r="E7658" i="1"/>
  <c r="E7657" i="1"/>
  <c r="E7656" i="1"/>
  <c r="E7655" i="1"/>
  <c r="E7654" i="1"/>
  <c r="E7653" i="1"/>
  <c r="E7652" i="1"/>
  <c r="E7651" i="1"/>
  <c r="E7650" i="1"/>
  <c r="E7649" i="1"/>
  <c r="E7648" i="1"/>
  <c r="E7647" i="1"/>
  <c r="E7646" i="1"/>
  <c r="E7645" i="1"/>
  <c r="E7644" i="1"/>
  <c r="E7643" i="1"/>
  <c r="E7642" i="1"/>
  <c r="E7641" i="1"/>
  <c r="E7640" i="1"/>
  <c r="E7639" i="1"/>
  <c r="E7638" i="1"/>
  <c r="E7637" i="1"/>
  <c r="E7636" i="1"/>
  <c r="E7635" i="1"/>
  <c r="E7634" i="1"/>
  <c r="E7633" i="1"/>
  <c r="E7632" i="1"/>
  <c r="E7631" i="1"/>
  <c r="E7630" i="1"/>
  <c r="E7629" i="1"/>
  <c r="E7628" i="1"/>
  <c r="E7627" i="1"/>
  <c r="E7626" i="1"/>
  <c r="E7625" i="1"/>
  <c r="E7624" i="1"/>
  <c r="E7623" i="1"/>
  <c r="E7622" i="1"/>
  <c r="E7621" i="1"/>
  <c r="E7620" i="1"/>
  <c r="E7619" i="1"/>
  <c r="E7618" i="1"/>
  <c r="E7617" i="1"/>
  <c r="E7616" i="1"/>
  <c r="E7615" i="1"/>
  <c r="E7614" i="1"/>
  <c r="E7613" i="1"/>
  <c r="E7612" i="1"/>
  <c r="E7611" i="1"/>
  <c r="E7610" i="1"/>
  <c r="E7609" i="1"/>
  <c r="E7608" i="1"/>
  <c r="E7607" i="1"/>
  <c r="E7606" i="1"/>
  <c r="E7605" i="1"/>
  <c r="E7604" i="1"/>
  <c r="E7603" i="1"/>
  <c r="E7602" i="1"/>
  <c r="E7601" i="1"/>
  <c r="E7600" i="1"/>
  <c r="E7599" i="1"/>
  <c r="E7598" i="1"/>
  <c r="E7597" i="1"/>
  <c r="E7596" i="1"/>
  <c r="E7595" i="1"/>
  <c r="E7594" i="1"/>
  <c r="E7593" i="1"/>
  <c r="E7592" i="1"/>
  <c r="E7591" i="1"/>
  <c r="E7590" i="1"/>
  <c r="E7589" i="1"/>
  <c r="E7588" i="1"/>
  <c r="E7587" i="1"/>
  <c r="E7586" i="1"/>
  <c r="E7585" i="1"/>
  <c r="E7584" i="1"/>
  <c r="E7583" i="1"/>
  <c r="E7582" i="1"/>
  <c r="E7581" i="1"/>
  <c r="E7580" i="1"/>
  <c r="E7579" i="1"/>
  <c r="E7578" i="1"/>
  <c r="E7577" i="1"/>
  <c r="E7576" i="1"/>
  <c r="E7575" i="1"/>
  <c r="E7574" i="1"/>
  <c r="E7573" i="1"/>
  <c r="E7572" i="1"/>
  <c r="E7571" i="1"/>
  <c r="E7570" i="1"/>
  <c r="E7569" i="1"/>
  <c r="E7568" i="1"/>
  <c r="E7567" i="1"/>
  <c r="E7566" i="1"/>
  <c r="E7565" i="1"/>
  <c r="E7564" i="1"/>
  <c r="E7563" i="1"/>
  <c r="E7562" i="1"/>
  <c r="E7561" i="1"/>
  <c r="E7560" i="1"/>
  <c r="E7559" i="1"/>
  <c r="E7558" i="1"/>
  <c r="E7557" i="1"/>
  <c r="E7556" i="1"/>
  <c r="E7555" i="1"/>
  <c r="E7554" i="1"/>
  <c r="E7553" i="1"/>
  <c r="E7552" i="1"/>
  <c r="E7551" i="1"/>
  <c r="E7550" i="1"/>
  <c r="E7549" i="1"/>
  <c r="E7548" i="1"/>
  <c r="E7547" i="1"/>
  <c r="E7546" i="1"/>
  <c r="E7545" i="1"/>
  <c r="E7544" i="1"/>
  <c r="E7543" i="1"/>
  <c r="E7542" i="1"/>
  <c r="E7541" i="1"/>
  <c r="E7540" i="1"/>
  <c r="E7539" i="1"/>
  <c r="E7538" i="1"/>
  <c r="E7537" i="1"/>
  <c r="E7536" i="1"/>
  <c r="E7535" i="1"/>
  <c r="E7534" i="1"/>
  <c r="E7533" i="1"/>
  <c r="E7532" i="1"/>
  <c r="E7531" i="1"/>
  <c r="E7530" i="1"/>
  <c r="E7529" i="1"/>
  <c r="E7528" i="1"/>
  <c r="E7527" i="1"/>
  <c r="E7526" i="1"/>
  <c r="E7525" i="1"/>
  <c r="E7524" i="1"/>
  <c r="E7523" i="1"/>
  <c r="E7522" i="1"/>
  <c r="E7521" i="1"/>
  <c r="E7520" i="1"/>
  <c r="E7519" i="1"/>
  <c r="E7518" i="1"/>
  <c r="E7517" i="1"/>
  <c r="E7516" i="1"/>
  <c r="E7515" i="1"/>
  <c r="E7514" i="1"/>
  <c r="E7513" i="1"/>
  <c r="E7512" i="1"/>
  <c r="E7511" i="1"/>
  <c r="E7510" i="1"/>
  <c r="E7509" i="1"/>
  <c r="E7508" i="1"/>
  <c r="E7507" i="1"/>
  <c r="E7506" i="1"/>
  <c r="E7505" i="1"/>
  <c r="E7504" i="1"/>
  <c r="E7503" i="1"/>
  <c r="E7502" i="1"/>
  <c r="E7501" i="1"/>
  <c r="E7500" i="1"/>
  <c r="E7499" i="1"/>
  <c r="E7498" i="1"/>
  <c r="E7497" i="1"/>
  <c r="E7496" i="1"/>
  <c r="E7495" i="1"/>
  <c r="E7494" i="1"/>
  <c r="E7493" i="1"/>
  <c r="E7492" i="1"/>
  <c r="E7491" i="1"/>
  <c r="E7490" i="1"/>
  <c r="E7489" i="1"/>
  <c r="E7488" i="1"/>
  <c r="E7487" i="1"/>
  <c r="E7486" i="1"/>
  <c r="E7485" i="1"/>
  <c r="E7484" i="1"/>
  <c r="E7483" i="1"/>
  <c r="E7482" i="1"/>
  <c r="E7481" i="1"/>
  <c r="E7480" i="1"/>
  <c r="E7479" i="1"/>
  <c r="E7478" i="1"/>
  <c r="E7477" i="1"/>
  <c r="E7476" i="1"/>
  <c r="E7475" i="1"/>
  <c r="E7474" i="1"/>
  <c r="E7473" i="1"/>
  <c r="E7472" i="1"/>
  <c r="E7471" i="1"/>
  <c r="E7470" i="1"/>
  <c r="E7469" i="1"/>
  <c r="E7468" i="1"/>
  <c r="E7467" i="1"/>
  <c r="E7466" i="1"/>
  <c r="E7465" i="1"/>
  <c r="E7464" i="1"/>
  <c r="E7463" i="1"/>
  <c r="E7462" i="1"/>
  <c r="E7461" i="1"/>
  <c r="E7460" i="1"/>
  <c r="E7459" i="1"/>
  <c r="E7458" i="1"/>
  <c r="E7457" i="1"/>
  <c r="E7456" i="1"/>
  <c r="E7455" i="1"/>
  <c r="E7454" i="1"/>
  <c r="E7453" i="1"/>
  <c r="E7452" i="1"/>
  <c r="E7451" i="1"/>
  <c r="E7450" i="1"/>
  <c r="E7449" i="1"/>
  <c r="E7448" i="1"/>
  <c r="E7447" i="1"/>
  <c r="E7446" i="1"/>
  <c r="E7445" i="1"/>
  <c r="E7444" i="1"/>
  <c r="E7443" i="1"/>
  <c r="E7442" i="1"/>
  <c r="E7441" i="1"/>
  <c r="E7440" i="1"/>
  <c r="E7439" i="1"/>
  <c r="E7438" i="1"/>
  <c r="E7437" i="1"/>
  <c r="E7436" i="1"/>
  <c r="E7435" i="1"/>
  <c r="E7434" i="1"/>
  <c r="E7433" i="1"/>
  <c r="E7432" i="1"/>
  <c r="E7431" i="1"/>
  <c r="E7430" i="1"/>
  <c r="E7429" i="1"/>
  <c r="E7428" i="1"/>
  <c r="E7427" i="1"/>
  <c r="E7426" i="1"/>
  <c r="E7425" i="1"/>
  <c r="E7424" i="1"/>
  <c r="E7423" i="1"/>
  <c r="E7422" i="1"/>
  <c r="E7421" i="1"/>
  <c r="E7420" i="1"/>
  <c r="E7419" i="1"/>
  <c r="E7418" i="1"/>
  <c r="E7417" i="1"/>
  <c r="E7416" i="1"/>
  <c r="E7415" i="1"/>
  <c r="E7414" i="1"/>
  <c r="E7413" i="1"/>
  <c r="E7412" i="1"/>
  <c r="E7411" i="1"/>
  <c r="E7410" i="1"/>
  <c r="E7409" i="1"/>
  <c r="E7408" i="1"/>
  <c r="E7407" i="1"/>
  <c r="E7406" i="1"/>
  <c r="E7405" i="1"/>
  <c r="E7404" i="1"/>
  <c r="E7403" i="1"/>
  <c r="E7402" i="1"/>
  <c r="E7401" i="1"/>
  <c r="E7400" i="1"/>
  <c r="E7399" i="1"/>
  <c r="E7398" i="1"/>
  <c r="E7397" i="1"/>
  <c r="E7396" i="1"/>
  <c r="E7395" i="1"/>
  <c r="E7394" i="1"/>
  <c r="E7393" i="1"/>
  <c r="E7392" i="1"/>
  <c r="E7391" i="1"/>
  <c r="E7390" i="1"/>
  <c r="E7389" i="1"/>
  <c r="E7388" i="1"/>
  <c r="E7387" i="1"/>
  <c r="E7386" i="1"/>
  <c r="E7385" i="1"/>
  <c r="E7384" i="1"/>
  <c r="E7383" i="1"/>
  <c r="E7382" i="1"/>
  <c r="E7381" i="1"/>
  <c r="E7380" i="1"/>
  <c r="E7379" i="1"/>
  <c r="E7378" i="1"/>
  <c r="E7377" i="1"/>
  <c r="E7376" i="1"/>
  <c r="E7375" i="1"/>
  <c r="E7374" i="1"/>
  <c r="E7373" i="1"/>
  <c r="E7372" i="1"/>
  <c r="E7371" i="1"/>
  <c r="E7370" i="1"/>
  <c r="E7369" i="1"/>
  <c r="E7368" i="1"/>
  <c r="E7367" i="1"/>
  <c r="E7366" i="1"/>
  <c r="E7365" i="1"/>
  <c r="E7364" i="1"/>
  <c r="E7363" i="1"/>
  <c r="E7362" i="1"/>
  <c r="E7361" i="1"/>
  <c r="E7360" i="1"/>
  <c r="E7359" i="1"/>
  <c r="E7358" i="1"/>
  <c r="E7357" i="1"/>
  <c r="E7356" i="1"/>
  <c r="E7355" i="1"/>
  <c r="E7354" i="1"/>
  <c r="E7353" i="1"/>
  <c r="E7352" i="1"/>
  <c r="E7351" i="1"/>
  <c r="E7350" i="1"/>
  <c r="E7349" i="1"/>
  <c r="E7348" i="1"/>
  <c r="E7347" i="1"/>
  <c r="E7346" i="1"/>
  <c r="E7345" i="1"/>
  <c r="E7344" i="1"/>
  <c r="E7343" i="1"/>
  <c r="E7342" i="1"/>
  <c r="E7341" i="1"/>
  <c r="E7340" i="1"/>
  <c r="E7339" i="1"/>
  <c r="E7338" i="1"/>
  <c r="E7337" i="1"/>
  <c r="E7336" i="1"/>
  <c r="E7335" i="1"/>
  <c r="E7334" i="1"/>
  <c r="E7333" i="1"/>
  <c r="E7332" i="1"/>
  <c r="E7331" i="1"/>
  <c r="E7330" i="1"/>
  <c r="E7329" i="1"/>
  <c r="E7328" i="1"/>
  <c r="E7327" i="1"/>
  <c r="E7326" i="1"/>
  <c r="E7325" i="1"/>
  <c r="E7324" i="1"/>
  <c r="E7323" i="1"/>
  <c r="E7322" i="1"/>
  <c r="E7321" i="1"/>
  <c r="E7320" i="1"/>
  <c r="E7319" i="1"/>
  <c r="E7318" i="1"/>
  <c r="E7317" i="1"/>
  <c r="E7316" i="1"/>
  <c r="E7315" i="1"/>
  <c r="E7314" i="1"/>
  <c r="E7313" i="1"/>
  <c r="E7312" i="1"/>
  <c r="E7311" i="1"/>
  <c r="E7310" i="1"/>
  <c r="E7309" i="1"/>
  <c r="E7308" i="1"/>
  <c r="E7307" i="1"/>
  <c r="E7306" i="1"/>
  <c r="E7305" i="1"/>
  <c r="E7304" i="1"/>
  <c r="E7303" i="1"/>
  <c r="E7302" i="1"/>
  <c r="E7301" i="1"/>
  <c r="E7300" i="1"/>
  <c r="E7299" i="1"/>
  <c r="E7298" i="1"/>
  <c r="E7297" i="1"/>
  <c r="E7296" i="1"/>
  <c r="E7295" i="1"/>
  <c r="E7294" i="1"/>
  <c r="E7293" i="1"/>
  <c r="E7292" i="1"/>
  <c r="E7291" i="1"/>
  <c r="E7290" i="1"/>
  <c r="E7289" i="1"/>
  <c r="E7288" i="1"/>
  <c r="E7287" i="1"/>
  <c r="E7286" i="1"/>
  <c r="E7285" i="1"/>
  <c r="E7284" i="1"/>
  <c r="E7283" i="1"/>
  <c r="E7282" i="1"/>
  <c r="E7281" i="1"/>
  <c r="E7280" i="1"/>
  <c r="E7279" i="1"/>
  <c r="E7278" i="1"/>
  <c r="E7277" i="1"/>
  <c r="E7276" i="1"/>
  <c r="E7275" i="1"/>
  <c r="E7274" i="1"/>
  <c r="E7273" i="1"/>
  <c r="E7272" i="1"/>
  <c r="E7271" i="1"/>
  <c r="E7270" i="1"/>
  <c r="E7269" i="1"/>
  <c r="E7268" i="1"/>
  <c r="E7267" i="1"/>
  <c r="E7266" i="1"/>
  <c r="E7265" i="1"/>
  <c r="E7264" i="1"/>
  <c r="E7263" i="1"/>
  <c r="E7262" i="1"/>
  <c r="E7261" i="1"/>
  <c r="E7260" i="1"/>
  <c r="E7259" i="1"/>
  <c r="E7258" i="1"/>
  <c r="E7257" i="1"/>
  <c r="E7256" i="1"/>
  <c r="E7255" i="1"/>
  <c r="E7254" i="1"/>
  <c r="E7253" i="1"/>
  <c r="E7252" i="1"/>
  <c r="E7251" i="1"/>
  <c r="E7250" i="1"/>
  <c r="E7249" i="1"/>
  <c r="E7248" i="1"/>
  <c r="E7247" i="1"/>
  <c r="E7246" i="1"/>
  <c r="E7245" i="1"/>
  <c r="E7244" i="1"/>
  <c r="E7243" i="1"/>
  <c r="E7242" i="1"/>
  <c r="E7241" i="1"/>
  <c r="E7240" i="1"/>
  <c r="E7239" i="1"/>
  <c r="E7238" i="1"/>
  <c r="E7237" i="1"/>
  <c r="E7236" i="1"/>
  <c r="E7235" i="1"/>
  <c r="E7234" i="1"/>
  <c r="E7233" i="1"/>
  <c r="E7232" i="1"/>
  <c r="E7231" i="1"/>
  <c r="E7230" i="1"/>
  <c r="E7229" i="1"/>
  <c r="E7228" i="1"/>
  <c r="E7227" i="1"/>
  <c r="E7226" i="1"/>
  <c r="E7225" i="1"/>
  <c r="E7224" i="1"/>
  <c r="E7223" i="1"/>
  <c r="E7222" i="1"/>
  <c r="E7221" i="1"/>
  <c r="E7220" i="1"/>
  <c r="E7219" i="1"/>
  <c r="E7218" i="1"/>
  <c r="E7217" i="1"/>
  <c r="E7216" i="1"/>
  <c r="E7215" i="1"/>
  <c r="E7214" i="1"/>
  <c r="E7213" i="1"/>
  <c r="E7212" i="1"/>
  <c r="E7211" i="1"/>
  <c r="E7210" i="1"/>
  <c r="E7209" i="1"/>
  <c r="E7208" i="1"/>
  <c r="E7207" i="1"/>
  <c r="E7206" i="1"/>
  <c r="E7205" i="1"/>
  <c r="E7204" i="1"/>
  <c r="E7203" i="1"/>
  <c r="E7202" i="1"/>
  <c r="E7201" i="1"/>
  <c r="E7200" i="1"/>
  <c r="E7199" i="1"/>
  <c r="E7198" i="1"/>
  <c r="E7197" i="1"/>
  <c r="E7196" i="1"/>
  <c r="E7195" i="1"/>
  <c r="E7194" i="1"/>
  <c r="E7193" i="1"/>
  <c r="E7192" i="1"/>
  <c r="E7191" i="1"/>
  <c r="E7190" i="1"/>
  <c r="E7189" i="1"/>
  <c r="E7188" i="1"/>
  <c r="E7187" i="1"/>
  <c r="E7186" i="1"/>
  <c r="E7185" i="1"/>
  <c r="E7184" i="1"/>
  <c r="E7183" i="1"/>
  <c r="E7182" i="1"/>
  <c r="E7181" i="1"/>
  <c r="E7180" i="1"/>
  <c r="E7179" i="1"/>
  <c r="E7178" i="1"/>
  <c r="E7177" i="1"/>
  <c r="E7176" i="1"/>
  <c r="E7175" i="1"/>
  <c r="E7174" i="1"/>
  <c r="E7173" i="1"/>
  <c r="E7172" i="1"/>
  <c r="E7171" i="1"/>
  <c r="E7170" i="1"/>
  <c r="E7169" i="1"/>
  <c r="E7168" i="1"/>
  <c r="E7167" i="1"/>
  <c r="E7166" i="1"/>
  <c r="E7165" i="1"/>
  <c r="E7164" i="1"/>
  <c r="E7163" i="1"/>
  <c r="E7162" i="1"/>
  <c r="E7161" i="1"/>
  <c r="E7160" i="1"/>
  <c r="E7159" i="1"/>
  <c r="E7158" i="1"/>
  <c r="E7157" i="1"/>
  <c r="E7156" i="1"/>
  <c r="E7155" i="1"/>
  <c r="E7154" i="1"/>
  <c r="E7153" i="1"/>
  <c r="E7152" i="1"/>
  <c r="E7151" i="1"/>
  <c r="E7150" i="1"/>
  <c r="E7149" i="1"/>
  <c r="E7148" i="1"/>
  <c r="E7147" i="1"/>
  <c r="E7146" i="1"/>
  <c r="E7145" i="1"/>
  <c r="E7144" i="1"/>
  <c r="E7143" i="1"/>
  <c r="E7142" i="1"/>
  <c r="E7141" i="1"/>
  <c r="E7140" i="1"/>
  <c r="E7139" i="1"/>
  <c r="E7138" i="1"/>
  <c r="E7137" i="1"/>
  <c r="E7136" i="1"/>
  <c r="E7135" i="1"/>
  <c r="E7134" i="1"/>
  <c r="E7133" i="1"/>
  <c r="E7132" i="1"/>
  <c r="E7131" i="1"/>
  <c r="E7130" i="1"/>
  <c r="E7129" i="1"/>
  <c r="E7128" i="1"/>
  <c r="E7127" i="1"/>
  <c r="E7126" i="1"/>
  <c r="E7125" i="1"/>
  <c r="E7124" i="1"/>
  <c r="E7123" i="1"/>
  <c r="E7122" i="1"/>
  <c r="E7121" i="1"/>
  <c r="E7120" i="1"/>
  <c r="E7119" i="1"/>
  <c r="E7118" i="1"/>
  <c r="E7117" i="1"/>
  <c r="E7116" i="1"/>
  <c r="E7115" i="1"/>
  <c r="E7114" i="1"/>
  <c r="E7113" i="1"/>
  <c r="E7112" i="1"/>
  <c r="E7111" i="1"/>
  <c r="E7110" i="1"/>
  <c r="E7109" i="1"/>
  <c r="E7108" i="1"/>
  <c r="E7107" i="1"/>
  <c r="E7106" i="1"/>
  <c r="E7105" i="1"/>
  <c r="E7104" i="1"/>
  <c r="E7103" i="1"/>
  <c r="E7102" i="1"/>
  <c r="E7101" i="1"/>
  <c r="E7100" i="1"/>
  <c r="E7099" i="1"/>
  <c r="E7098" i="1"/>
  <c r="E7097" i="1"/>
  <c r="E7096" i="1"/>
  <c r="E7095" i="1"/>
  <c r="E7094" i="1"/>
  <c r="E7093" i="1"/>
  <c r="E7092" i="1"/>
  <c r="E7091" i="1"/>
  <c r="E7090" i="1"/>
  <c r="E7089" i="1"/>
  <c r="E7088" i="1"/>
  <c r="E7087" i="1"/>
  <c r="E7086" i="1"/>
  <c r="E7085" i="1"/>
  <c r="E7084" i="1"/>
  <c r="E7083" i="1"/>
  <c r="E7082" i="1"/>
  <c r="E7081" i="1"/>
  <c r="E7080" i="1"/>
  <c r="E7079" i="1"/>
  <c r="E7078" i="1"/>
  <c r="E7077" i="1"/>
  <c r="E7076" i="1"/>
  <c r="E7075" i="1"/>
  <c r="E7074" i="1"/>
  <c r="E7073" i="1"/>
  <c r="E7072" i="1"/>
  <c r="E7071" i="1"/>
  <c r="E7070" i="1"/>
  <c r="E7069" i="1"/>
  <c r="E7068" i="1"/>
  <c r="E7067" i="1"/>
  <c r="E7066" i="1"/>
  <c r="E7065" i="1"/>
  <c r="E7064" i="1"/>
  <c r="E7063" i="1"/>
  <c r="E7062" i="1"/>
  <c r="E7061" i="1"/>
  <c r="E7060" i="1"/>
  <c r="E7059" i="1"/>
  <c r="E7058" i="1"/>
  <c r="E7057" i="1"/>
  <c r="E7056" i="1"/>
  <c r="E7055" i="1"/>
  <c r="E7054" i="1"/>
  <c r="E7053" i="1"/>
  <c r="E7052" i="1"/>
  <c r="E7051" i="1"/>
  <c r="E7050" i="1"/>
  <c r="E7049" i="1"/>
  <c r="E7048" i="1"/>
  <c r="E7047" i="1"/>
  <c r="E7046" i="1"/>
  <c r="E7045" i="1"/>
  <c r="E7044" i="1"/>
  <c r="E7043" i="1"/>
  <c r="E7042" i="1"/>
  <c r="E7041" i="1"/>
  <c r="E7040" i="1"/>
  <c r="E7039" i="1"/>
  <c r="E7038" i="1"/>
  <c r="E7037" i="1"/>
  <c r="E7036" i="1"/>
  <c r="E7035" i="1"/>
  <c r="E7034" i="1"/>
  <c r="E7033" i="1"/>
  <c r="E7032" i="1"/>
  <c r="E7031" i="1"/>
  <c r="E7030" i="1"/>
  <c r="E7029" i="1"/>
  <c r="E7028" i="1"/>
  <c r="E7027" i="1"/>
  <c r="E7026" i="1"/>
  <c r="E7025" i="1"/>
  <c r="E7024" i="1"/>
  <c r="E7023" i="1"/>
  <c r="E7022" i="1"/>
  <c r="E7021" i="1"/>
  <c r="E7020" i="1"/>
  <c r="E7019" i="1"/>
  <c r="E7018" i="1"/>
  <c r="E7017" i="1"/>
  <c r="E7016" i="1"/>
  <c r="E7015" i="1"/>
  <c r="E7014" i="1"/>
  <c r="E7013" i="1"/>
  <c r="E7012" i="1"/>
  <c r="E7011" i="1"/>
  <c r="E7010" i="1"/>
  <c r="E7009" i="1"/>
  <c r="E7008" i="1"/>
  <c r="E7007" i="1"/>
  <c r="E7006" i="1"/>
  <c r="E7005" i="1"/>
  <c r="E7004" i="1"/>
  <c r="E7003" i="1"/>
  <c r="E7002" i="1"/>
  <c r="E7001" i="1"/>
  <c r="E7000" i="1"/>
  <c r="E6999" i="1"/>
  <c r="E6998" i="1"/>
  <c r="E6997" i="1"/>
  <c r="E6996" i="1"/>
  <c r="E6995" i="1"/>
  <c r="E6994" i="1"/>
  <c r="E6993" i="1"/>
  <c r="E6992" i="1"/>
  <c r="E6991" i="1"/>
  <c r="E6990" i="1"/>
  <c r="E6989" i="1"/>
  <c r="E6988" i="1"/>
  <c r="E6987" i="1"/>
  <c r="E6986" i="1"/>
  <c r="E6985" i="1"/>
  <c r="E6984" i="1"/>
  <c r="E6983" i="1"/>
  <c r="E6982" i="1"/>
  <c r="E6981" i="1"/>
  <c r="E6980" i="1"/>
  <c r="E6979" i="1"/>
  <c r="E6978" i="1"/>
  <c r="E6977" i="1"/>
  <c r="E6976" i="1"/>
  <c r="E6975" i="1"/>
  <c r="E6974" i="1"/>
  <c r="E6973" i="1"/>
  <c r="E6972" i="1"/>
  <c r="E6971" i="1"/>
  <c r="E6970" i="1"/>
  <c r="E6969" i="1"/>
  <c r="E6968" i="1"/>
  <c r="E6967" i="1"/>
  <c r="E6966" i="1"/>
  <c r="E6965" i="1"/>
  <c r="E6964" i="1"/>
  <c r="E6963" i="1"/>
  <c r="E6962" i="1"/>
  <c r="E6961" i="1"/>
  <c r="E6960" i="1"/>
  <c r="E6959" i="1"/>
  <c r="E6958" i="1"/>
  <c r="E6957" i="1"/>
  <c r="E6956" i="1"/>
  <c r="E6955" i="1"/>
  <c r="E6954" i="1"/>
  <c r="E6953" i="1"/>
  <c r="E6952" i="1"/>
  <c r="E6951" i="1"/>
  <c r="E6950" i="1"/>
  <c r="E6949" i="1"/>
  <c r="E6948" i="1"/>
  <c r="E6947" i="1"/>
  <c r="E6946" i="1"/>
  <c r="E6945" i="1"/>
  <c r="E6944" i="1"/>
  <c r="E6943" i="1"/>
  <c r="E6942" i="1"/>
  <c r="E6941" i="1"/>
  <c r="E6940" i="1"/>
  <c r="E6939" i="1"/>
  <c r="E6938" i="1"/>
  <c r="E6937" i="1"/>
  <c r="E6936" i="1"/>
  <c r="E6935" i="1"/>
  <c r="E6934" i="1"/>
  <c r="E6933" i="1"/>
  <c r="E6932" i="1"/>
  <c r="E6931" i="1"/>
  <c r="E6930" i="1"/>
  <c r="E6929" i="1"/>
  <c r="E6928" i="1"/>
  <c r="E6927" i="1"/>
  <c r="E6926" i="1"/>
  <c r="E6925" i="1"/>
  <c r="E6924" i="1"/>
  <c r="E6923" i="1"/>
  <c r="E6922" i="1"/>
  <c r="E6921" i="1"/>
  <c r="E6920" i="1"/>
  <c r="E6919" i="1"/>
  <c r="E6918" i="1"/>
  <c r="E6917" i="1"/>
  <c r="E6916" i="1"/>
  <c r="E6915" i="1"/>
  <c r="E6914" i="1"/>
  <c r="E6913" i="1"/>
  <c r="E6912" i="1"/>
  <c r="E6911" i="1"/>
  <c r="E6910" i="1"/>
  <c r="E6909" i="1"/>
  <c r="E6908" i="1"/>
  <c r="E6907" i="1"/>
  <c r="E6906" i="1"/>
  <c r="E6905" i="1"/>
  <c r="E6904" i="1"/>
  <c r="E6903" i="1"/>
  <c r="E6902" i="1"/>
  <c r="E6901" i="1"/>
  <c r="E6900" i="1"/>
  <c r="E6899" i="1"/>
  <c r="E6898" i="1"/>
  <c r="E6897" i="1"/>
  <c r="E6896" i="1"/>
  <c r="E6895" i="1"/>
  <c r="E6894" i="1"/>
  <c r="E6893" i="1"/>
  <c r="E6892" i="1"/>
  <c r="E6891" i="1"/>
  <c r="E6890" i="1"/>
  <c r="E6889" i="1"/>
  <c r="E6888" i="1"/>
  <c r="E6887" i="1"/>
  <c r="E6886" i="1"/>
  <c r="E6885" i="1"/>
  <c r="E6884" i="1"/>
  <c r="E6883" i="1"/>
  <c r="E6882" i="1"/>
  <c r="E6881" i="1"/>
  <c r="E6880" i="1"/>
  <c r="E6879" i="1"/>
  <c r="E6878" i="1"/>
  <c r="E6877" i="1"/>
  <c r="E6876" i="1"/>
  <c r="E6875" i="1"/>
  <c r="E6874" i="1"/>
  <c r="E6873" i="1"/>
  <c r="E6872" i="1"/>
  <c r="E6871" i="1"/>
  <c r="E6870" i="1"/>
  <c r="E6869" i="1"/>
  <c r="E6868" i="1"/>
  <c r="E6867" i="1"/>
  <c r="E6866" i="1"/>
  <c r="E6865" i="1"/>
  <c r="E6864" i="1"/>
  <c r="E6863" i="1"/>
  <c r="E6862" i="1"/>
  <c r="E6861" i="1"/>
  <c r="E6860" i="1"/>
  <c r="E6859" i="1"/>
  <c r="E6858" i="1"/>
  <c r="E6857" i="1"/>
  <c r="E6856" i="1"/>
  <c r="E6855" i="1"/>
  <c r="E6854" i="1"/>
  <c r="E6853" i="1"/>
  <c r="E6852" i="1"/>
  <c r="E6851" i="1"/>
  <c r="E6850" i="1"/>
  <c r="E6849" i="1"/>
  <c r="E6848" i="1"/>
  <c r="E6847" i="1"/>
  <c r="E6846" i="1"/>
  <c r="E6845" i="1"/>
  <c r="E6844" i="1"/>
  <c r="E6843" i="1"/>
  <c r="E6842" i="1"/>
  <c r="E6841" i="1"/>
  <c r="E6840" i="1"/>
  <c r="E6839" i="1"/>
  <c r="E6838" i="1"/>
  <c r="E6837" i="1"/>
  <c r="E6836" i="1"/>
  <c r="E6835" i="1"/>
  <c r="E6834" i="1"/>
  <c r="E6833" i="1"/>
  <c r="E6832" i="1"/>
  <c r="E6831" i="1"/>
  <c r="E6830" i="1"/>
  <c r="E6829" i="1"/>
  <c r="E6828" i="1"/>
  <c r="E6827" i="1"/>
  <c r="E6826" i="1"/>
  <c r="E6825" i="1"/>
  <c r="E6824" i="1"/>
  <c r="E6823" i="1"/>
  <c r="E6822" i="1"/>
  <c r="E6821" i="1"/>
  <c r="E6820" i="1"/>
  <c r="E6819" i="1"/>
  <c r="E6818" i="1"/>
  <c r="E6817" i="1"/>
  <c r="E6816" i="1"/>
  <c r="E6815" i="1"/>
  <c r="E6814" i="1"/>
  <c r="E6813" i="1"/>
  <c r="E6812" i="1"/>
  <c r="E6811" i="1"/>
  <c r="E6810" i="1"/>
  <c r="E6809" i="1"/>
  <c r="E6808" i="1"/>
  <c r="E6807" i="1"/>
  <c r="E6806" i="1"/>
  <c r="E6805" i="1"/>
  <c r="E6804" i="1"/>
  <c r="E6803" i="1"/>
  <c r="E6802" i="1"/>
  <c r="E6801" i="1"/>
  <c r="E6800" i="1"/>
  <c r="E6799" i="1"/>
  <c r="E6798" i="1"/>
  <c r="E6797" i="1"/>
  <c r="E6796" i="1"/>
  <c r="E6795" i="1"/>
  <c r="E6794" i="1"/>
  <c r="E6793" i="1"/>
  <c r="E6792" i="1"/>
  <c r="E6791" i="1"/>
  <c r="E6790" i="1"/>
  <c r="E6789" i="1"/>
  <c r="E6788" i="1"/>
  <c r="E6787" i="1"/>
  <c r="E6786" i="1"/>
  <c r="E6785" i="1"/>
  <c r="E6784" i="1"/>
  <c r="E6783" i="1"/>
  <c r="E6782" i="1"/>
  <c r="E6781" i="1"/>
  <c r="E6780" i="1"/>
  <c r="E6779" i="1"/>
  <c r="E6778" i="1"/>
  <c r="E6777" i="1"/>
  <c r="E6776" i="1"/>
  <c r="E6775" i="1"/>
  <c r="E6774" i="1"/>
  <c r="E6773" i="1"/>
  <c r="E6772" i="1"/>
  <c r="E6771" i="1"/>
  <c r="E6770" i="1"/>
  <c r="E6769" i="1"/>
  <c r="E6768" i="1"/>
  <c r="E6767" i="1"/>
  <c r="E6766" i="1"/>
  <c r="E6765" i="1"/>
  <c r="E6764" i="1"/>
  <c r="E6763" i="1"/>
  <c r="E6762" i="1"/>
  <c r="E6761" i="1"/>
  <c r="E6760" i="1"/>
  <c r="E6759" i="1"/>
  <c r="E6758" i="1"/>
  <c r="E6757" i="1"/>
  <c r="E6756" i="1"/>
  <c r="E6755" i="1"/>
  <c r="E6754" i="1"/>
  <c r="E6753" i="1"/>
  <c r="E6752" i="1"/>
  <c r="E6751" i="1"/>
  <c r="E6750" i="1"/>
  <c r="E6749" i="1"/>
  <c r="E6748" i="1"/>
  <c r="E6747" i="1"/>
  <c r="E6746" i="1"/>
  <c r="E6745" i="1"/>
  <c r="E6744" i="1"/>
  <c r="E6743" i="1"/>
  <c r="E6742" i="1"/>
  <c r="E6741" i="1"/>
  <c r="E6740" i="1"/>
  <c r="E6739" i="1"/>
  <c r="E6738" i="1"/>
  <c r="E6737" i="1"/>
  <c r="E6736" i="1"/>
  <c r="E6735" i="1"/>
  <c r="E6734" i="1"/>
  <c r="E6733" i="1"/>
  <c r="E6732" i="1"/>
  <c r="E6731" i="1"/>
  <c r="E6730" i="1"/>
  <c r="E6729" i="1"/>
  <c r="E6728" i="1"/>
  <c r="E6727" i="1"/>
  <c r="E6726" i="1"/>
  <c r="E6725" i="1"/>
  <c r="E6724" i="1"/>
  <c r="E6723" i="1"/>
  <c r="E6722" i="1"/>
  <c r="E6721" i="1"/>
  <c r="E6720" i="1"/>
  <c r="E6719" i="1"/>
  <c r="E6718" i="1"/>
  <c r="E6717" i="1"/>
  <c r="E6716" i="1"/>
  <c r="E6715" i="1"/>
  <c r="E6714" i="1"/>
  <c r="E6713" i="1"/>
  <c r="E6712" i="1"/>
  <c r="E6711" i="1"/>
  <c r="E6710" i="1"/>
  <c r="E6709" i="1"/>
  <c r="E6708" i="1"/>
  <c r="E6707" i="1"/>
  <c r="E6706" i="1"/>
  <c r="E6705" i="1"/>
  <c r="E6704" i="1"/>
  <c r="E6703" i="1"/>
  <c r="E6702" i="1"/>
  <c r="E6701" i="1"/>
  <c r="E6700" i="1"/>
  <c r="E6699" i="1"/>
  <c r="E6698" i="1"/>
  <c r="E6697" i="1"/>
  <c r="E6696" i="1"/>
  <c r="E6695" i="1"/>
  <c r="E6694" i="1"/>
  <c r="E6693" i="1"/>
  <c r="E6692" i="1"/>
  <c r="E6691" i="1"/>
  <c r="E6690" i="1"/>
  <c r="E6689" i="1"/>
  <c r="E6688" i="1"/>
  <c r="E6687" i="1"/>
  <c r="E6686" i="1"/>
  <c r="E6685" i="1"/>
  <c r="E6684" i="1"/>
  <c r="E6683" i="1"/>
  <c r="E6682" i="1"/>
  <c r="E6681" i="1"/>
  <c r="E6680" i="1"/>
  <c r="E6679" i="1"/>
  <c r="E6678" i="1"/>
  <c r="E6677" i="1"/>
  <c r="E6676" i="1"/>
  <c r="E6675" i="1"/>
  <c r="E6674" i="1"/>
  <c r="E6673" i="1"/>
  <c r="E6672" i="1"/>
  <c r="E6671" i="1"/>
  <c r="E6670" i="1"/>
  <c r="E6669" i="1"/>
  <c r="E6668" i="1"/>
  <c r="E6667" i="1"/>
  <c r="E6666" i="1"/>
  <c r="E6665" i="1"/>
  <c r="E6664" i="1"/>
  <c r="E6663" i="1"/>
  <c r="E6662" i="1"/>
  <c r="E6661" i="1"/>
  <c r="E6660" i="1"/>
  <c r="E6659" i="1"/>
  <c r="E6658" i="1"/>
  <c r="E6657" i="1"/>
  <c r="E6656" i="1"/>
  <c r="E6655" i="1"/>
  <c r="E6654" i="1"/>
  <c r="E6653" i="1"/>
  <c r="E6652" i="1"/>
  <c r="E6651" i="1"/>
  <c r="E6650" i="1"/>
  <c r="E6649" i="1"/>
  <c r="E6648" i="1"/>
  <c r="E6647" i="1"/>
  <c r="E6646" i="1"/>
  <c r="E6645" i="1"/>
  <c r="E6644" i="1"/>
  <c r="E6643" i="1"/>
  <c r="E6642" i="1"/>
  <c r="E6641" i="1"/>
  <c r="E6640" i="1"/>
  <c r="E6639" i="1"/>
  <c r="E6638" i="1"/>
  <c r="E6637" i="1"/>
  <c r="E6636" i="1"/>
  <c r="E6635" i="1"/>
  <c r="E6634" i="1"/>
  <c r="E6633" i="1"/>
  <c r="E6632" i="1"/>
  <c r="E6631" i="1"/>
  <c r="E6630" i="1"/>
  <c r="E6629" i="1"/>
  <c r="E6628" i="1"/>
  <c r="E6627" i="1"/>
  <c r="E6626" i="1"/>
  <c r="E6625" i="1"/>
  <c r="E6624" i="1"/>
  <c r="E6623" i="1"/>
  <c r="E6622" i="1"/>
  <c r="E6621" i="1"/>
  <c r="E6620" i="1"/>
  <c r="E6619" i="1"/>
  <c r="E6618" i="1"/>
  <c r="E6617" i="1"/>
  <c r="E6616" i="1"/>
  <c r="E6615" i="1"/>
  <c r="E6614" i="1"/>
  <c r="E6613" i="1"/>
  <c r="E6612" i="1"/>
  <c r="E6611" i="1"/>
  <c r="E6610" i="1"/>
  <c r="E6609" i="1"/>
  <c r="E6608" i="1"/>
  <c r="E6607" i="1"/>
  <c r="E6606" i="1"/>
  <c r="E6605" i="1"/>
  <c r="E6604" i="1"/>
  <c r="E6603" i="1"/>
  <c r="E6602" i="1"/>
  <c r="E6601" i="1"/>
  <c r="E6600" i="1"/>
  <c r="E6599" i="1"/>
  <c r="E6598" i="1"/>
  <c r="E6597" i="1"/>
  <c r="E6596" i="1"/>
  <c r="E6595" i="1"/>
  <c r="E6594" i="1"/>
  <c r="E6593" i="1"/>
  <c r="E6592" i="1"/>
  <c r="E6591" i="1"/>
  <c r="E6590" i="1"/>
  <c r="E6589" i="1"/>
  <c r="E6588" i="1"/>
  <c r="E6587" i="1"/>
  <c r="E6586" i="1"/>
  <c r="E6585" i="1"/>
  <c r="E6584" i="1"/>
  <c r="E6583" i="1"/>
  <c r="E6582" i="1"/>
  <c r="E6581" i="1"/>
  <c r="E6580" i="1"/>
  <c r="E6579" i="1"/>
  <c r="E6578" i="1"/>
  <c r="E6577" i="1"/>
  <c r="E6576" i="1"/>
  <c r="E6575" i="1"/>
  <c r="E6574" i="1"/>
  <c r="E6573" i="1"/>
  <c r="E6572" i="1"/>
  <c r="E6571" i="1"/>
  <c r="E6570" i="1"/>
  <c r="E6569" i="1"/>
  <c r="E6568" i="1"/>
  <c r="E6567" i="1"/>
  <c r="E6566" i="1"/>
  <c r="E6565" i="1"/>
  <c r="E6564" i="1"/>
  <c r="E6563" i="1"/>
  <c r="E6562" i="1"/>
  <c r="E6561" i="1"/>
  <c r="E6560" i="1"/>
  <c r="E6559" i="1"/>
  <c r="E6558" i="1"/>
  <c r="E6557" i="1"/>
  <c r="E6556" i="1"/>
  <c r="E6555" i="1"/>
  <c r="E6554" i="1"/>
  <c r="E6553" i="1"/>
  <c r="E6552" i="1"/>
  <c r="E6551" i="1"/>
  <c r="E6550" i="1"/>
  <c r="E6549" i="1"/>
  <c r="E6548" i="1"/>
  <c r="E6547" i="1"/>
  <c r="E6546" i="1"/>
  <c r="E6545" i="1"/>
  <c r="E6544" i="1"/>
  <c r="E6543" i="1"/>
  <c r="E6542" i="1"/>
  <c r="E6541" i="1"/>
  <c r="E6540" i="1"/>
  <c r="E6539" i="1"/>
  <c r="E6538" i="1"/>
  <c r="E6537" i="1"/>
  <c r="E6536" i="1"/>
  <c r="E6535" i="1"/>
  <c r="E6534" i="1"/>
  <c r="E6533" i="1"/>
  <c r="E6532" i="1"/>
  <c r="E6531" i="1"/>
  <c r="E6530" i="1"/>
  <c r="E6529" i="1"/>
  <c r="E6528" i="1"/>
  <c r="E6527" i="1"/>
  <c r="E6526" i="1"/>
  <c r="E6525" i="1"/>
  <c r="E6524" i="1"/>
  <c r="E6523" i="1"/>
  <c r="E6522" i="1"/>
  <c r="E6521" i="1"/>
  <c r="E6520" i="1"/>
  <c r="E6519" i="1"/>
  <c r="E6518" i="1"/>
  <c r="E6517" i="1"/>
  <c r="E6516" i="1"/>
  <c r="E6515" i="1"/>
  <c r="E6514" i="1"/>
  <c r="E6513" i="1"/>
  <c r="E6512" i="1"/>
  <c r="E6511" i="1"/>
  <c r="E6510" i="1"/>
  <c r="E6509" i="1"/>
  <c r="E6508" i="1"/>
  <c r="E6507" i="1"/>
  <c r="E6506" i="1"/>
  <c r="E6505" i="1"/>
  <c r="E6504" i="1"/>
  <c r="E6503" i="1"/>
  <c r="E6502" i="1"/>
  <c r="E6501" i="1"/>
  <c r="E6500" i="1"/>
  <c r="E6499" i="1"/>
  <c r="E6498" i="1"/>
  <c r="E6497" i="1"/>
  <c r="E6496" i="1"/>
  <c r="E6495" i="1"/>
  <c r="E6494" i="1"/>
  <c r="E6493" i="1"/>
  <c r="E6492" i="1"/>
  <c r="E6491" i="1"/>
  <c r="E6490" i="1"/>
  <c r="E6489" i="1"/>
  <c r="E6488" i="1"/>
  <c r="E6487" i="1"/>
  <c r="E6486" i="1"/>
  <c r="E6485" i="1"/>
  <c r="E6484" i="1"/>
  <c r="E6483" i="1"/>
  <c r="E6482" i="1"/>
  <c r="E6481" i="1"/>
  <c r="E6480" i="1"/>
  <c r="E6479" i="1"/>
  <c r="E6478" i="1"/>
  <c r="E6477" i="1"/>
  <c r="E6476" i="1"/>
  <c r="E6475" i="1"/>
  <c r="E6474" i="1"/>
  <c r="E6473" i="1"/>
  <c r="E6472" i="1"/>
  <c r="E6471" i="1"/>
  <c r="E6470" i="1"/>
  <c r="E6469" i="1"/>
  <c r="E6468" i="1"/>
  <c r="E6467" i="1"/>
  <c r="E6466" i="1"/>
  <c r="E6465" i="1"/>
  <c r="E6464" i="1"/>
  <c r="E6463" i="1"/>
  <c r="E6462" i="1"/>
  <c r="E6461" i="1"/>
  <c r="E6460" i="1"/>
  <c r="E6459" i="1"/>
  <c r="E6458" i="1"/>
  <c r="E6457" i="1"/>
  <c r="E6456" i="1"/>
  <c r="E6455" i="1"/>
  <c r="E6454" i="1"/>
  <c r="E6453" i="1"/>
  <c r="E6452" i="1"/>
  <c r="E6451" i="1"/>
  <c r="E6450" i="1"/>
  <c r="E6449" i="1"/>
  <c r="E6448" i="1"/>
  <c r="E6447" i="1"/>
  <c r="E6446" i="1"/>
  <c r="E6445" i="1"/>
  <c r="E6444" i="1"/>
  <c r="E6443" i="1"/>
  <c r="E6442" i="1"/>
  <c r="E6441" i="1"/>
  <c r="E6440" i="1"/>
  <c r="E6439" i="1"/>
  <c r="E6438" i="1"/>
  <c r="E6437" i="1"/>
  <c r="E6436" i="1"/>
  <c r="E6435" i="1"/>
  <c r="E6434" i="1"/>
  <c r="E6433" i="1"/>
  <c r="E6432" i="1"/>
  <c r="E6431" i="1"/>
  <c r="E6430" i="1"/>
  <c r="E6429" i="1"/>
  <c r="E6428" i="1"/>
  <c r="E6427" i="1"/>
  <c r="E6426" i="1"/>
  <c r="E6425" i="1"/>
  <c r="E6424" i="1"/>
  <c r="E6423" i="1"/>
  <c r="E6422" i="1"/>
  <c r="E6421" i="1"/>
  <c r="E6420" i="1"/>
  <c r="E6419" i="1"/>
  <c r="E6418" i="1"/>
  <c r="E6417" i="1"/>
  <c r="E6416" i="1"/>
  <c r="E6415" i="1"/>
  <c r="E6414" i="1"/>
  <c r="E6413" i="1"/>
  <c r="E6412" i="1"/>
  <c r="E6411" i="1"/>
  <c r="E6410" i="1"/>
  <c r="E6409" i="1"/>
  <c r="E6408" i="1"/>
  <c r="E6407" i="1"/>
  <c r="E6406" i="1"/>
  <c r="E6405" i="1"/>
  <c r="E6404" i="1"/>
  <c r="E6403" i="1"/>
  <c r="E6402" i="1"/>
  <c r="E6401" i="1"/>
  <c r="E6400" i="1"/>
  <c r="E6399" i="1"/>
  <c r="E6398" i="1"/>
  <c r="E6397" i="1"/>
  <c r="E6396" i="1"/>
  <c r="E6395" i="1"/>
  <c r="E6394" i="1"/>
  <c r="E6393" i="1"/>
  <c r="E6392" i="1"/>
  <c r="E6391" i="1"/>
  <c r="E6390" i="1"/>
  <c r="E6389" i="1"/>
  <c r="E6388" i="1"/>
  <c r="E6387" i="1"/>
  <c r="E6386" i="1"/>
  <c r="E6385" i="1"/>
  <c r="E6384" i="1"/>
  <c r="E6383" i="1"/>
  <c r="E6382" i="1"/>
  <c r="E6381" i="1"/>
  <c r="E6380" i="1"/>
  <c r="E6379" i="1"/>
  <c r="E6378" i="1"/>
  <c r="E6377" i="1"/>
  <c r="E6376" i="1"/>
  <c r="E6375" i="1"/>
  <c r="E6374" i="1"/>
  <c r="E6373" i="1"/>
  <c r="E6372" i="1"/>
  <c r="E6371" i="1"/>
  <c r="E6370" i="1"/>
  <c r="E6369" i="1"/>
  <c r="E6368" i="1"/>
  <c r="E6367" i="1"/>
  <c r="E6366" i="1"/>
  <c r="E6365" i="1"/>
  <c r="E6364" i="1"/>
  <c r="E6363" i="1"/>
  <c r="E6362" i="1"/>
  <c r="E6361" i="1"/>
  <c r="E6360" i="1"/>
  <c r="E6359" i="1"/>
  <c r="E6358" i="1"/>
  <c r="E6357" i="1"/>
  <c r="E6356" i="1"/>
  <c r="E6355" i="1"/>
  <c r="E6354" i="1"/>
  <c r="E6353" i="1"/>
  <c r="E6352" i="1"/>
  <c r="E6351" i="1"/>
  <c r="E6350" i="1"/>
  <c r="E6349" i="1"/>
  <c r="E6348" i="1"/>
  <c r="E6347" i="1"/>
  <c r="E6346" i="1"/>
  <c r="E6345" i="1"/>
  <c r="E6344" i="1"/>
  <c r="E6343" i="1"/>
  <c r="E6342" i="1"/>
  <c r="E6341" i="1"/>
  <c r="E6340" i="1"/>
  <c r="E6339" i="1"/>
  <c r="E6338" i="1"/>
  <c r="E6337" i="1"/>
  <c r="E6336" i="1"/>
  <c r="E6335" i="1"/>
  <c r="E6334" i="1"/>
  <c r="E6333" i="1"/>
  <c r="E6332" i="1"/>
  <c r="E6331" i="1"/>
  <c r="E6330" i="1"/>
  <c r="E6329" i="1"/>
  <c r="E6328" i="1"/>
  <c r="E6327" i="1"/>
  <c r="E6326" i="1"/>
  <c r="E6325" i="1"/>
  <c r="E6324" i="1"/>
  <c r="E6323" i="1"/>
  <c r="E6322" i="1"/>
  <c r="E6321" i="1"/>
  <c r="E6320" i="1"/>
  <c r="E6319" i="1"/>
  <c r="E6318" i="1"/>
  <c r="E6317" i="1"/>
  <c r="E6316" i="1"/>
  <c r="E6315" i="1"/>
  <c r="E6314" i="1"/>
  <c r="E6313" i="1"/>
  <c r="E6312" i="1"/>
  <c r="E6311" i="1"/>
  <c r="E6310" i="1"/>
  <c r="E6309" i="1"/>
  <c r="E6308" i="1"/>
  <c r="E6307" i="1"/>
  <c r="E6306" i="1"/>
  <c r="E6305" i="1"/>
  <c r="E6304" i="1"/>
  <c r="E6303" i="1"/>
  <c r="E6302" i="1"/>
  <c r="E6301" i="1"/>
  <c r="E6300" i="1"/>
  <c r="E6299" i="1"/>
  <c r="E6298" i="1"/>
  <c r="E6297" i="1"/>
  <c r="E6296" i="1"/>
  <c r="E6295" i="1"/>
  <c r="E6294" i="1"/>
  <c r="E6293" i="1"/>
  <c r="E6292" i="1"/>
  <c r="E6291" i="1"/>
  <c r="E6290" i="1"/>
  <c r="E6289" i="1"/>
  <c r="E6288" i="1"/>
  <c r="E6287" i="1"/>
  <c r="E6286" i="1"/>
  <c r="E6285" i="1"/>
  <c r="E6284" i="1"/>
  <c r="E6283" i="1"/>
  <c r="E6282" i="1"/>
  <c r="E6281" i="1"/>
  <c r="E6280" i="1"/>
  <c r="E6279" i="1"/>
  <c r="E6278" i="1"/>
  <c r="E6277" i="1"/>
  <c r="E6276" i="1"/>
  <c r="E6275" i="1"/>
  <c r="E6274" i="1"/>
  <c r="E6273" i="1"/>
  <c r="E6272" i="1"/>
  <c r="E6271" i="1"/>
  <c r="E6270" i="1"/>
  <c r="E6269" i="1"/>
  <c r="E6268" i="1"/>
  <c r="E6267" i="1"/>
  <c r="E6266" i="1"/>
  <c r="E6265" i="1"/>
  <c r="E6264" i="1"/>
  <c r="E6263" i="1"/>
  <c r="E6262" i="1"/>
  <c r="E6261" i="1"/>
  <c r="E6260" i="1"/>
  <c r="E6259" i="1"/>
  <c r="E6258" i="1"/>
  <c r="E6257" i="1"/>
  <c r="E6256" i="1"/>
  <c r="E6255" i="1"/>
  <c r="E6254" i="1"/>
  <c r="E6253" i="1"/>
  <c r="E6252" i="1"/>
  <c r="E6251" i="1"/>
  <c r="E6250" i="1"/>
  <c r="E6249" i="1"/>
  <c r="E6248" i="1"/>
  <c r="E6247" i="1"/>
  <c r="E6246" i="1"/>
  <c r="E6245" i="1"/>
  <c r="E6244" i="1"/>
  <c r="E6243" i="1"/>
  <c r="E6242" i="1"/>
  <c r="E6241" i="1"/>
  <c r="E6240" i="1"/>
  <c r="E6239" i="1"/>
  <c r="E6238" i="1"/>
  <c r="E6237" i="1"/>
  <c r="E6236" i="1"/>
  <c r="E6235" i="1"/>
  <c r="E6234" i="1"/>
  <c r="E6233" i="1"/>
  <c r="E6232" i="1"/>
  <c r="E6231" i="1"/>
  <c r="E6230" i="1"/>
  <c r="E6229" i="1"/>
  <c r="E6228" i="1"/>
  <c r="E6227" i="1"/>
  <c r="E6226" i="1"/>
  <c r="E6225" i="1"/>
  <c r="E6224" i="1"/>
  <c r="E6223" i="1"/>
  <c r="E6222" i="1"/>
  <c r="E6221" i="1"/>
  <c r="E6220" i="1"/>
  <c r="E6219" i="1"/>
  <c r="E6218" i="1"/>
  <c r="E6217" i="1"/>
  <c r="E6216" i="1"/>
  <c r="E6215" i="1"/>
  <c r="E6214" i="1"/>
  <c r="E6213" i="1"/>
  <c r="E6212" i="1"/>
  <c r="E6211" i="1"/>
  <c r="E6210" i="1"/>
  <c r="E6209" i="1"/>
  <c r="E6208" i="1"/>
  <c r="E6207" i="1"/>
  <c r="E6206" i="1"/>
  <c r="E6205" i="1"/>
  <c r="E6204" i="1"/>
  <c r="E6203" i="1"/>
  <c r="E6202" i="1"/>
  <c r="E6201" i="1"/>
  <c r="E6200" i="1"/>
  <c r="E6199" i="1"/>
  <c r="E6198" i="1"/>
  <c r="E6197" i="1"/>
  <c r="E6196" i="1"/>
  <c r="E6195" i="1"/>
  <c r="E6194" i="1"/>
  <c r="E6193" i="1"/>
  <c r="E6192" i="1"/>
  <c r="E6191" i="1"/>
  <c r="E6190" i="1"/>
  <c r="E6189" i="1"/>
  <c r="E6188" i="1"/>
  <c r="E6187" i="1"/>
  <c r="E6186" i="1"/>
  <c r="E6185" i="1"/>
  <c r="E6184" i="1"/>
  <c r="E6183" i="1"/>
  <c r="E6182" i="1"/>
  <c r="E6181" i="1"/>
  <c r="E6180" i="1"/>
  <c r="E6179" i="1"/>
  <c r="E6178" i="1"/>
  <c r="E6177" i="1"/>
  <c r="E6176" i="1"/>
  <c r="E6175" i="1"/>
  <c r="E6174" i="1"/>
  <c r="E6173" i="1"/>
  <c r="E6172" i="1"/>
  <c r="E6171" i="1"/>
  <c r="E6170" i="1"/>
  <c r="E6169" i="1"/>
  <c r="E6168" i="1"/>
  <c r="E6167" i="1"/>
  <c r="E6166" i="1"/>
  <c r="E6165" i="1"/>
  <c r="E6164" i="1"/>
  <c r="E6163" i="1"/>
  <c r="E6162" i="1"/>
  <c r="E6161" i="1"/>
  <c r="E6160" i="1"/>
  <c r="E6159" i="1"/>
  <c r="E6158" i="1"/>
  <c r="E6157" i="1"/>
  <c r="E6156" i="1"/>
  <c r="E6155" i="1"/>
  <c r="E6154" i="1"/>
  <c r="E6153" i="1"/>
  <c r="E6152" i="1"/>
  <c r="E6151" i="1"/>
  <c r="E6150" i="1"/>
  <c r="E6149" i="1"/>
  <c r="E6148" i="1"/>
  <c r="E6147" i="1"/>
  <c r="E6146" i="1"/>
  <c r="E6145" i="1"/>
  <c r="E6144" i="1"/>
  <c r="E6143" i="1"/>
  <c r="E6142" i="1"/>
  <c r="E6141" i="1"/>
  <c r="E6140" i="1"/>
  <c r="E6139" i="1"/>
  <c r="E6138" i="1"/>
  <c r="E6137" i="1"/>
  <c r="E6136" i="1"/>
  <c r="E6135" i="1"/>
  <c r="E6134" i="1"/>
  <c r="E6133" i="1"/>
  <c r="E6132" i="1"/>
  <c r="E6131" i="1"/>
  <c r="E6130" i="1"/>
  <c r="E6129" i="1"/>
  <c r="E6128" i="1"/>
  <c r="E6127" i="1"/>
  <c r="E6126" i="1"/>
  <c r="E6125" i="1"/>
  <c r="E6124" i="1"/>
  <c r="E6123" i="1"/>
  <c r="E6122" i="1"/>
  <c r="E6121" i="1"/>
  <c r="E6120" i="1"/>
  <c r="E6119" i="1"/>
  <c r="E6118" i="1"/>
  <c r="E6117" i="1"/>
  <c r="E6116" i="1"/>
  <c r="E6115" i="1"/>
  <c r="E6114" i="1"/>
  <c r="E6113" i="1"/>
  <c r="E6112" i="1"/>
  <c r="E6111" i="1"/>
  <c r="E6110" i="1"/>
  <c r="E6109" i="1"/>
  <c r="E6108" i="1"/>
  <c r="E6107" i="1"/>
  <c r="E6106" i="1"/>
  <c r="E6105" i="1"/>
  <c r="E6104" i="1"/>
  <c r="E6103" i="1"/>
  <c r="E6102" i="1"/>
  <c r="E6101" i="1"/>
  <c r="E6100" i="1"/>
  <c r="E6099" i="1"/>
  <c r="E6098" i="1"/>
  <c r="E6097" i="1"/>
  <c r="E6096" i="1"/>
  <c r="E6095" i="1"/>
  <c r="E6094" i="1"/>
  <c r="E6093" i="1"/>
  <c r="E6092" i="1"/>
  <c r="E6091" i="1"/>
  <c r="E6090" i="1"/>
  <c r="E6089" i="1"/>
  <c r="E6088" i="1"/>
  <c r="E6087" i="1"/>
  <c r="E6086" i="1"/>
  <c r="E6085" i="1"/>
  <c r="E6084" i="1"/>
  <c r="E6083" i="1"/>
  <c r="E6082" i="1"/>
  <c r="E6081" i="1"/>
  <c r="E6080" i="1"/>
  <c r="E6079" i="1"/>
  <c r="E6078" i="1"/>
  <c r="E6077" i="1"/>
  <c r="E6076" i="1"/>
  <c r="E6075" i="1"/>
  <c r="E6074" i="1"/>
  <c r="E6073" i="1"/>
  <c r="E6072" i="1"/>
  <c r="E6071" i="1"/>
  <c r="E6070" i="1"/>
  <c r="E6069" i="1"/>
  <c r="E6068" i="1"/>
  <c r="E6067" i="1"/>
  <c r="E6066" i="1"/>
  <c r="E6065" i="1"/>
  <c r="E6064" i="1"/>
  <c r="E6063" i="1"/>
  <c r="E6062" i="1"/>
  <c r="E6061" i="1"/>
  <c r="E6060" i="1"/>
  <c r="E6059" i="1"/>
  <c r="E6058" i="1"/>
  <c r="E6057" i="1"/>
  <c r="E6056" i="1"/>
  <c r="E6055" i="1"/>
  <c r="E6054" i="1"/>
  <c r="E6053" i="1"/>
  <c r="E6052" i="1"/>
  <c r="E6051" i="1"/>
  <c r="E6050" i="1"/>
  <c r="E6049" i="1"/>
  <c r="E6048" i="1"/>
  <c r="E6047" i="1"/>
  <c r="E6046" i="1"/>
  <c r="E6045" i="1"/>
  <c r="E6044" i="1"/>
  <c r="E6043" i="1"/>
  <c r="E6042" i="1"/>
  <c r="E6041" i="1"/>
  <c r="E6040" i="1"/>
  <c r="E6039" i="1"/>
  <c r="E6038" i="1"/>
  <c r="E6037" i="1"/>
  <c r="E6036" i="1"/>
  <c r="E6035" i="1"/>
  <c r="E6034" i="1"/>
  <c r="E6033" i="1"/>
  <c r="E6032" i="1"/>
  <c r="E6031" i="1"/>
  <c r="E6030" i="1"/>
  <c r="E6029" i="1"/>
  <c r="E6028" i="1"/>
  <c r="E6027" i="1"/>
  <c r="E6026" i="1"/>
  <c r="E6025" i="1"/>
  <c r="E6024" i="1"/>
  <c r="E6023" i="1"/>
  <c r="E6022" i="1"/>
  <c r="E6021" i="1"/>
  <c r="E6020" i="1"/>
  <c r="E6019" i="1"/>
  <c r="E6018" i="1"/>
  <c r="E6017" i="1"/>
  <c r="E6016" i="1"/>
  <c r="E6015" i="1"/>
  <c r="E6014" i="1"/>
  <c r="E6013" i="1"/>
  <c r="E6012" i="1"/>
  <c r="E6011" i="1"/>
  <c r="E6010" i="1"/>
  <c r="E6009" i="1"/>
  <c r="E6008" i="1"/>
  <c r="E6007" i="1"/>
  <c r="E6006" i="1"/>
  <c r="E6005" i="1"/>
  <c r="E6004" i="1"/>
  <c r="E6003" i="1"/>
  <c r="E6002" i="1"/>
  <c r="E6001" i="1"/>
  <c r="E6000" i="1"/>
  <c r="E5999" i="1"/>
  <c r="E5998" i="1"/>
  <c r="E5997" i="1"/>
  <c r="E5996" i="1"/>
  <c r="E5995" i="1"/>
  <c r="E5994" i="1"/>
  <c r="E5993" i="1"/>
  <c r="E5992" i="1"/>
  <c r="E5991" i="1"/>
  <c r="E5990" i="1"/>
  <c r="E5989" i="1"/>
  <c r="E5988" i="1"/>
  <c r="E5987" i="1"/>
  <c r="E5986" i="1"/>
  <c r="E5985" i="1"/>
  <c r="E5984" i="1"/>
  <c r="E5983" i="1"/>
  <c r="E5982" i="1"/>
  <c r="E5981" i="1"/>
  <c r="E5980" i="1"/>
  <c r="E5979" i="1"/>
  <c r="E5978" i="1"/>
  <c r="E5977" i="1"/>
  <c r="E5976" i="1"/>
  <c r="E5975" i="1"/>
  <c r="E5974" i="1"/>
  <c r="E5973" i="1"/>
  <c r="E5972" i="1"/>
  <c r="E5971" i="1"/>
  <c r="E5970" i="1"/>
  <c r="E5969" i="1"/>
  <c r="E5968" i="1"/>
  <c r="E5967" i="1"/>
  <c r="E5966" i="1"/>
  <c r="E5965" i="1"/>
  <c r="E5964" i="1"/>
  <c r="E5963" i="1"/>
  <c r="E5962" i="1"/>
  <c r="E5961" i="1"/>
  <c r="E5960" i="1"/>
  <c r="E5959" i="1"/>
  <c r="E5958" i="1"/>
  <c r="E5957" i="1"/>
  <c r="E5956" i="1"/>
  <c r="E5955" i="1"/>
  <c r="E5954" i="1"/>
  <c r="E5953" i="1"/>
  <c r="E5952" i="1"/>
  <c r="E5951" i="1"/>
  <c r="E5950" i="1"/>
  <c r="E5949" i="1"/>
  <c r="E5948" i="1"/>
  <c r="E5947" i="1"/>
  <c r="E5946" i="1"/>
  <c r="E5945" i="1"/>
  <c r="E5944" i="1"/>
  <c r="E5943" i="1"/>
  <c r="E5942" i="1"/>
  <c r="E5941" i="1"/>
  <c r="E5940" i="1"/>
  <c r="E5939" i="1"/>
  <c r="E5938" i="1"/>
  <c r="E5937" i="1"/>
  <c r="E5936" i="1"/>
  <c r="E5935" i="1"/>
  <c r="E5934" i="1"/>
  <c r="E5933" i="1"/>
  <c r="E5932" i="1"/>
  <c r="E5931" i="1"/>
  <c r="E5930" i="1"/>
  <c r="E5929" i="1"/>
  <c r="E5928" i="1"/>
  <c r="E5927" i="1"/>
  <c r="E5926" i="1"/>
  <c r="E5925" i="1"/>
  <c r="E5924" i="1"/>
  <c r="E5923" i="1"/>
  <c r="E5922" i="1"/>
  <c r="E5921" i="1"/>
  <c r="E5920" i="1"/>
  <c r="E5919" i="1"/>
  <c r="E5918" i="1"/>
  <c r="E5917" i="1"/>
  <c r="E5916" i="1"/>
  <c r="E5915" i="1"/>
  <c r="E5914" i="1"/>
  <c r="E5913" i="1"/>
  <c r="E5912" i="1"/>
  <c r="E5911" i="1"/>
  <c r="E5910" i="1"/>
  <c r="E5909" i="1"/>
  <c r="E5908" i="1"/>
  <c r="E5907" i="1"/>
  <c r="E5906" i="1"/>
  <c r="E5905" i="1"/>
  <c r="E5904" i="1"/>
  <c r="E5903" i="1"/>
  <c r="E5902" i="1"/>
  <c r="E5901" i="1"/>
  <c r="E5900" i="1"/>
  <c r="E5899" i="1"/>
  <c r="E5898" i="1"/>
  <c r="E5897" i="1"/>
  <c r="E5896" i="1"/>
  <c r="E5895" i="1"/>
  <c r="E5894" i="1"/>
  <c r="E5893" i="1"/>
  <c r="E5892" i="1"/>
  <c r="E5891" i="1"/>
  <c r="E5890" i="1"/>
  <c r="E5889" i="1"/>
  <c r="E5888" i="1"/>
  <c r="E5887" i="1"/>
  <c r="E5886" i="1"/>
  <c r="E5885" i="1"/>
  <c r="E5884" i="1"/>
  <c r="E5883" i="1"/>
  <c r="E5882" i="1"/>
  <c r="E5881" i="1"/>
  <c r="E5880" i="1"/>
  <c r="E5879" i="1"/>
  <c r="E5878" i="1"/>
  <c r="E5877" i="1"/>
  <c r="E5876" i="1"/>
  <c r="E5875" i="1"/>
  <c r="E5874" i="1"/>
  <c r="E5873" i="1"/>
  <c r="E5872" i="1"/>
  <c r="E5871" i="1"/>
  <c r="E5870" i="1"/>
  <c r="E5869" i="1"/>
  <c r="E5868" i="1"/>
  <c r="E5867" i="1"/>
  <c r="E5866" i="1"/>
  <c r="E5865" i="1"/>
  <c r="E5864" i="1"/>
  <c r="E5863" i="1"/>
  <c r="E5862" i="1"/>
  <c r="E5861" i="1"/>
  <c r="E5860" i="1"/>
  <c r="E5859" i="1"/>
  <c r="E5858" i="1"/>
  <c r="E5857" i="1"/>
  <c r="E5856" i="1"/>
  <c r="E5855" i="1"/>
  <c r="E5854" i="1"/>
  <c r="E5853" i="1"/>
  <c r="E5852" i="1"/>
  <c r="E5851" i="1"/>
  <c r="E5850" i="1"/>
  <c r="E5849" i="1"/>
  <c r="E5848" i="1"/>
  <c r="E5847" i="1"/>
  <c r="E5846" i="1"/>
  <c r="E5845" i="1"/>
  <c r="E5844" i="1"/>
  <c r="E5843" i="1"/>
  <c r="E5842" i="1"/>
  <c r="E5841" i="1"/>
  <c r="E5840" i="1"/>
  <c r="E5839" i="1"/>
  <c r="E5838" i="1"/>
  <c r="E5837" i="1"/>
  <c r="E5836" i="1"/>
  <c r="E5835" i="1"/>
  <c r="E5834" i="1"/>
  <c r="E5833" i="1"/>
  <c r="E5832" i="1"/>
  <c r="E5831" i="1"/>
  <c r="E5830" i="1"/>
  <c r="E5829" i="1"/>
  <c r="E5828" i="1"/>
  <c r="E5827" i="1"/>
  <c r="E5826" i="1"/>
  <c r="E5825" i="1"/>
  <c r="E5824" i="1"/>
  <c r="E5823" i="1"/>
  <c r="E5822" i="1"/>
  <c r="E5821" i="1"/>
  <c r="E5820" i="1"/>
  <c r="E5819" i="1"/>
  <c r="E5818" i="1"/>
  <c r="E5817" i="1"/>
  <c r="E5816" i="1"/>
  <c r="E5815" i="1"/>
  <c r="E5814" i="1"/>
  <c r="E5813" i="1"/>
  <c r="E5812" i="1"/>
  <c r="E5811" i="1"/>
  <c r="E5810" i="1"/>
  <c r="E5809" i="1"/>
  <c r="E5808" i="1"/>
  <c r="E5807" i="1"/>
  <c r="E5806" i="1"/>
  <c r="E5805" i="1"/>
  <c r="E5804" i="1"/>
  <c r="E5803" i="1"/>
  <c r="E5802" i="1"/>
  <c r="E5801" i="1"/>
  <c r="E5800" i="1"/>
  <c r="E5799" i="1"/>
  <c r="E5798" i="1"/>
  <c r="E5797" i="1"/>
  <c r="E5796" i="1"/>
  <c r="E5795" i="1"/>
  <c r="E5794" i="1"/>
  <c r="E5793" i="1"/>
  <c r="E5792" i="1"/>
  <c r="E5791" i="1"/>
  <c r="E5790" i="1"/>
  <c r="E5789" i="1"/>
  <c r="E5788" i="1"/>
  <c r="E5787" i="1"/>
  <c r="E5786" i="1"/>
  <c r="E5785" i="1"/>
  <c r="E5784" i="1"/>
  <c r="E5783" i="1"/>
  <c r="E5782" i="1"/>
  <c r="E5781" i="1"/>
  <c r="E5780" i="1"/>
  <c r="E5779" i="1"/>
  <c r="E5778" i="1"/>
  <c r="E5777" i="1"/>
  <c r="E5776" i="1"/>
  <c r="E5775" i="1"/>
  <c r="E5774" i="1"/>
  <c r="E5773" i="1"/>
  <c r="E5772" i="1"/>
  <c r="E5771" i="1"/>
  <c r="E5770" i="1"/>
  <c r="E5769" i="1"/>
  <c r="E5768" i="1"/>
  <c r="E5767" i="1"/>
  <c r="E5766" i="1"/>
  <c r="E5765" i="1"/>
  <c r="E5764" i="1"/>
  <c r="E5763" i="1"/>
  <c r="E5762" i="1"/>
  <c r="E5761" i="1"/>
  <c r="E5760" i="1"/>
  <c r="E5759" i="1"/>
  <c r="E5758" i="1"/>
  <c r="E5757" i="1"/>
  <c r="E5756" i="1"/>
  <c r="E5755" i="1"/>
  <c r="E5754" i="1"/>
  <c r="E5753" i="1"/>
  <c r="E5752" i="1"/>
  <c r="E5751" i="1"/>
  <c r="E5750" i="1"/>
  <c r="E5749" i="1"/>
  <c r="E5748" i="1"/>
  <c r="E5747" i="1"/>
  <c r="E5746" i="1"/>
  <c r="E5745" i="1"/>
  <c r="E5744" i="1"/>
  <c r="E5743" i="1"/>
  <c r="E5742" i="1"/>
  <c r="E5741" i="1"/>
  <c r="E5740" i="1"/>
  <c r="E5739" i="1"/>
  <c r="E5738" i="1"/>
  <c r="E5737" i="1"/>
  <c r="E5736" i="1"/>
  <c r="E5735" i="1"/>
  <c r="E5734" i="1"/>
  <c r="E5733" i="1"/>
  <c r="E5732" i="1"/>
  <c r="E5731" i="1"/>
  <c r="E5730" i="1"/>
  <c r="E5729" i="1"/>
  <c r="E5728" i="1"/>
  <c r="E5727" i="1"/>
  <c r="E5726" i="1"/>
  <c r="E5725" i="1"/>
  <c r="E5724" i="1"/>
  <c r="E5723" i="1"/>
  <c r="E5722" i="1"/>
  <c r="E5721" i="1"/>
  <c r="E5720" i="1"/>
  <c r="E5719" i="1"/>
  <c r="E5718" i="1"/>
  <c r="E5717" i="1"/>
  <c r="E5716" i="1"/>
  <c r="E5715" i="1"/>
  <c r="E5714" i="1"/>
  <c r="E5713" i="1"/>
  <c r="E5712" i="1"/>
  <c r="E5711" i="1"/>
  <c r="E5710" i="1"/>
  <c r="E5709" i="1"/>
  <c r="E5708" i="1"/>
  <c r="E5707" i="1"/>
  <c r="E5706" i="1"/>
  <c r="E5705" i="1"/>
  <c r="E5704" i="1"/>
  <c r="E5703" i="1"/>
  <c r="E5702" i="1"/>
  <c r="E5701" i="1"/>
  <c r="E5700" i="1"/>
  <c r="E5699" i="1"/>
  <c r="E5698" i="1"/>
  <c r="E5697" i="1"/>
  <c r="E5696" i="1"/>
  <c r="E5695" i="1"/>
  <c r="E5694" i="1"/>
  <c r="E5693" i="1"/>
  <c r="E5692" i="1"/>
  <c r="E5691" i="1"/>
  <c r="E5690" i="1"/>
  <c r="E5689" i="1"/>
  <c r="E5688" i="1"/>
  <c r="E5687" i="1"/>
  <c r="E5686" i="1"/>
  <c r="E5685" i="1"/>
  <c r="E5684" i="1"/>
  <c r="E5683" i="1"/>
  <c r="E5682" i="1"/>
  <c r="E5681" i="1"/>
  <c r="E5680" i="1"/>
  <c r="E5679" i="1"/>
  <c r="E5678" i="1"/>
  <c r="E5677" i="1"/>
  <c r="E5676" i="1"/>
  <c r="E5675" i="1"/>
  <c r="E5674" i="1"/>
  <c r="E5673" i="1"/>
  <c r="E5672" i="1"/>
  <c r="E5671" i="1"/>
  <c r="E5670" i="1"/>
  <c r="E5669" i="1"/>
  <c r="E5668" i="1"/>
  <c r="E5667" i="1"/>
  <c r="E5666" i="1"/>
  <c r="E5665" i="1"/>
  <c r="E5664" i="1"/>
  <c r="E5663" i="1"/>
  <c r="E5662" i="1"/>
  <c r="E5661" i="1"/>
  <c r="E5660" i="1"/>
  <c r="E5659" i="1"/>
  <c r="E5658" i="1"/>
  <c r="E5657" i="1"/>
  <c r="E5656" i="1"/>
  <c r="E5655" i="1"/>
  <c r="E5654" i="1"/>
  <c r="E5653" i="1"/>
  <c r="E5652" i="1"/>
  <c r="E5651" i="1"/>
  <c r="E5650" i="1"/>
  <c r="E5649" i="1"/>
  <c r="E5648" i="1"/>
  <c r="E5647" i="1"/>
  <c r="E5646" i="1"/>
  <c r="E5645" i="1"/>
  <c r="E5644" i="1"/>
  <c r="E5643" i="1"/>
  <c r="E5642" i="1"/>
  <c r="E5641" i="1"/>
  <c r="E5640" i="1"/>
  <c r="E5639" i="1"/>
  <c r="E5638" i="1"/>
  <c r="E5637" i="1"/>
  <c r="E5636" i="1"/>
  <c r="E5635" i="1"/>
  <c r="E5634" i="1"/>
  <c r="E5633" i="1"/>
  <c r="E5632" i="1"/>
  <c r="E5631" i="1"/>
  <c r="E5630" i="1"/>
  <c r="E5629" i="1"/>
  <c r="E5628" i="1"/>
  <c r="E5627" i="1"/>
  <c r="E5626" i="1"/>
  <c r="E5625" i="1"/>
  <c r="E5624" i="1"/>
  <c r="E5623" i="1"/>
  <c r="E5622" i="1"/>
  <c r="E5621" i="1"/>
  <c r="E5620" i="1"/>
  <c r="E5619" i="1"/>
  <c r="E5618" i="1"/>
  <c r="E5617" i="1"/>
  <c r="E5616" i="1"/>
  <c r="E5615" i="1"/>
  <c r="E5614" i="1"/>
  <c r="E5613" i="1"/>
  <c r="E5612" i="1"/>
  <c r="E5611" i="1"/>
  <c r="E5610" i="1"/>
  <c r="E5609" i="1"/>
  <c r="E5608" i="1"/>
  <c r="E5607" i="1"/>
  <c r="E5606" i="1"/>
  <c r="E5605" i="1"/>
  <c r="E5604" i="1"/>
  <c r="E5603" i="1"/>
  <c r="E5602" i="1"/>
  <c r="E5601" i="1"/>
  <c r="E5600" i="1"/>
  <c r="E5599" i="1"/>
  <c r="E5598" i="1"/>
  <c r="E5597" i="1"/>
  <c r="E5596" i="1"/>
  <c r="E5595" i="1"/>
  <c r="E5594" i="1"/>
  <c r="E5593" i="1"/>
  <c r="E5592" i="1"/>
  <c r="E5591" i="1"/>
  <c r="E5590" i="1"/>
  <c r="E5589" i="1"/>
  <c r="E5588" i="1"/>
  <c r="E5587" i="1"/>
  <c r="E5586" i="1"/>
  <c r="E5585" i="1"/>
  <c r="E5584" i="1"/>
  <c r="E5583" i="1"/>
  <c r="E5582" i="1"/>
  <c r="E5581" i="1"/>
  <c r="E5580" i="1"/>
  <c r="E5579" i="1"/>
  <c r="E5578" i="1"/>
  <c r="E5577" i="1"/>
  <c r="E5576" i="1"/>
  <c r="E5575" i="1"/>
  <c r="E5574" i="1"/>
  <c r="E5573" i="1"/>
  <c r="E5572" i="1"/>
  <c r="E5571" i="1"/>
  <c r="E5570" i="1"/>
  <c r="E5569" i="1"/>
  <c r="E5568" i="1"/>
  <c r="E5567" i="1"/>
  <c r="E5566" i="1"/>
  <c r="E5565" i="1"/>
  <c r="E5564" i="1"/>
  <c r="E5563" i="1"/>
  <c r="E5562" i="1"/>
  <c r="E5561" i="1"/>
  <c r="E5560" i="1"/>
  <c r="E5559" i="1"/>
  <c r="E5558" i="1"/>
  <c r="E5557" i="1"/>
  <c r="E5556" i="1"/>
  <c r="E5555" i="1"/>
  <c r="E5554" i="1"/>
  <c r="E5553" i="1"/>
  <c r="E5552" i="1"/>
  <c r="E5551" i="1"/>
  <c r="E5550" i="1"/>
  <c r="E5549" i="1"/>
  <c r="E5548" i="1"/>
  <c r="E5547" i="1"/>
  <c r="E5546" i="1"/>
  <c r="E5545" i="1"/>
  <c r="E5544" i="1"/>
  <c r="E5543" i="1"/>
  <c r="E5542" i="1"/>
  <c r="E5541" i="1"/>
  <c r="E5540" i="1"/>
  <c r="E5539" i="1"/>
  <c r="E5538" i="1"/>
  <c r="E5537" i="1"/>
  <c r="E5536" i="1"/>
  <c r="E5535" i="1"/>
  <c r="E5534" i="1"/>
  <c r="E5533" i="1"/>
  <c r="E5532" i="1"/>
  <c r="E5531" i="1"/>
  <c r="E5530" i="1"/>
  <c r="E5529" i="1"/>
  <c r="E5528" i="1"/>
  <c r="E5527" i="1"/>
  <c r="E5526" i="1"/>
  <c r="E5525" i="1"/>
  <c r="E5524" i="1"/>
  <c r="E5523" i="1"/>
  <c r="E5522" i="1"/>
  <c r="E5521" i="1"/>
  <c r="E5520" i="1"/>
  <c r="E5519" i="1"/>
  <c r="E5518" i="1"/>
  <c r="E5517" i="1"/>
  <c r="E5516" i="1"/>
  <c r="E5515" i="1"/>
  <c r="E5514" i="1"/>
  <c r="E5513" i="1"/>
  <c r="E5512" i="1"/>
  <c r="E5511" i="1"/>
  <c r="E5510" i="1"/>
  <c r="E5509" i="1"/>
  <c r="E5508" i="1"/>
  <c r="E5507" i="1"/>
  <c r="E5506" i="1"/>
  <c r="E5505" i="1"/>
  <c r="E5504" i="1"/>
  <c r="E5503" i="1"/>
  <c r="E5502" i="1"/>
  <c r="E5501" i="1"/>
  <c r="E5500" i="1"/>
  <c r="E5499" i="1"/>
  <c r="E5498" i="1"/>
  <c r="E5497" i="1"/>
  <c r="E5496" i="1"/>
  <c r="E5495" i="1"/>
  <c r="E5494" i="1"/>
  <c r="E5493" i="1"/>
  <c r="E5492" i="1"/>
  <c r="E5491" i="1"/>
  <c r="E5490" i="1"/>
  <c r="E5489" i="1"/>
  <c r="E5488" i="1"/>
  <c r="E5487" i="1"/>
  <c r="E5486" i="1"/>
  <c r="E5485" i="1"/>
  <c r="E5484" i="1"/>
  <c r="E5483" i="1"/>
  <c r="E5482" i="1"/>
  <c r="E5481" i="1"/>
  <c r="E5480" i="1"/>
  <c r="E5479" i="1"/>
  <c r="E5478" i="1"/>
  <c r="E5477" i="1"/>
  <c r="E5476" i="1"/>
  <c r="E5475" i="1"/>
  <c r="E5474" i="1"/>
  <c r="E5473" i="1"/>
  <c r="E5472" i="1"/>
  <c r="E5471" i="1"/>
  <c r="E5470" i="1"/>
  <c r="E5469" i="1"/>
  <c r="E5468" i="1"/>
  <c r="E5467" i="1"/>
  <c r="E5466" i="1"/>
  <c r="E5465" i="1"/>
  <c r="E5464" i="1"/>
  <c r="E5463" i="1"/>
  <c r="E5462" i="1"/>
  <c r="E5461" i="1"/>
  <c r="E5460" i="1"/>
  <c r="E5459" i="1"/>
  <c r="E5458" i="1"/>
  <c r="E5457" i="1"/>
  <c r="E5456" i="1"/>
  <c r="E5455" i="1"/>
  <c r="E5454" i="1"/>
  <c r="E5453" i="1"/>
  <c r="E5452" i="1"/>
  <c r="E5451" i="1"/>
  <c r="E5450" i="1"/>
  <c r="E5449" i="1"/>
  <c r="E5448" i="1"/>
  <c r="E5447" i="1"/>
  <c r="E5446" i="1"/>
  <c r="E5445" i="1"/>
  <c r="E5444" i="1"/>
  <c r="E5443" i="1"/>
  <c r="E5442" i="1"/>
  <c r="E5441" i="1"/>
  <c r="E5440" i="1"/>
  <c r="E5439" i="1"/>
  <c r="E5438" i="1"/>
  <c r="E5437" i="1"/>
  <c r="E5436" i="1"/>
  <c r="E5435" i="1"/>
  <c r="E5434" i="1"/>
  <c r="E5433" i="1"/>
  <c r="E5432" i="1"/>
  <c r="E5431" i="1"/>
  <c r="E5430" i="1"/>
  <c r="E5429" i="1"/>
  <c r="E5428" i="1"/>
  <c r="E5427" i="1"/>
  <c r="E5426" i="1"/>
  <c r="E5425" i="1"/>
  <c r="E5424" i="1"/>
  <c r="E5423" i="1"/>
  <c r="E5422" i="1"/>
  <c r="E5421" i="1"/>
  <c r="E5420" i="1"/>
  <c r="E5419" i="1"/>
  <c r="E5418" i="1"/>
  <c r="E5417" i="1"/>
  <c r="E5416" i="1"/>
  <c r="E5415" i="1"/>
  <c r="E5414" i="1"/>
  <c r="E5413" i="1"/>
  <c r="E5412" i="1"/>
  <c r="E5411" i="1"/>
  <c r="E5410" i="1"/>
  <c r="E5409" i="1"/>
  <c r="E5408" i="1"/>
  <c r="E5407" i="1"/>
  <c r="E5406" i="1"/>
  <c r="E5405" i="1"/>
  <c r="E5404" i="1"/>
  <c r="E5403" i="1"/>
  <c r="E5402" i="1"/>
  <c r="E5401" i="1"/>
  <c r="E5400" i="1"/>
  <c r="E5399" i="1"/>
  <c r="E5398" i="1"/>
  <c r="E5397" i="1"/>
  <c r="E5396" i="1"/>
  <c r="E5395" i="1"/>
  <c r="E5394" i="1"/>
  <c r="E5393" i="1"/>
  <c r="E5392" i="1"/>
  <c r="E5391" i="1"/>
  <c r="E5390" i="1"/>
  <c r="E5389" i="1"/>
  <c r="E5388" i="1"/>
  <c r="E5387" i="1"/>
  <c r="E5386" i="1"/>
  <c r="E5385" i="1"/>
  <c r="E5384" i="1"/>
  <c r="E5383" i="1"/>
  <c r="E5382" i="1"/>
  <c r="E5381" i="1"/>
  <c r="E5380" i="1"/>
  <c r="E5379" i="1"/>
  <c r="E5378" i="1"/>
  <c r="E5377" i="1"/>
  <c r="E5376" i="1"/>
  <c r="E5375" i="1"/>
  <c r="E5374" i="1"/>
  <c r="E5373" i="1"/>
  <c r="E5372" i="1"/>
  <c r="E5371" i="1"/>
  <c r="E5370" i="1"/>
  <c r="E5369" i="1"/>
  <c r="E5368" i="1"/>
  <c r="E5367" i="1"/>
  <c r="E5366" i="1"/>
  <c r="E5365" i="1"/>
  <c r="E5364" i="1"/>
  <c r="E5363" i="1"/>
  <c r="E5362" i="1"/>
  <c r="E5361" i="1"/>
  <c r="E5360" i="1"/>
  <c r="E5359" i="1"/>
  <c r="E5358" i="1"/>
  <c r="E5357" i="1"/>
  <c r="E5356" i="1"/>
  <c r="E5355" i="1"/>
  <c r="E5354" i="1"/>
  <c r="E5353" i="1"/>
  <c r="E5352" i="1"/>
  <c r="E5351" i="1"/>
  <c r="E5350" i="1"/>
  <c r="E5349" i="1"/>
  <c r="E5348" i="1"/>
  <c r="E5347" i="1"/>
  <c r="E5346" i="1"/>
  <c r="E5345" i="1"/>
  <c r="E5344" i="1"/>
  <c r="E5343" i="1"/>
  <c r="E5342" i="1"/>
  <c r="E5341" i="1"/>
  <c r="E5340" i="1"/>
  <c r="E5339" i="1"/>
  <c r="E5338" i="1"/>
  <c r="E5337" i="1"/>
  <c r="E5336" i="1"/>
  <c r="E5335" i="1"/>
  <c r="E5334" i="1"/>
  <c r="E5333" i="1"/>
  <c r="E5332" i="1"/>
  <c r="E5331" i="1"/>
  <c r="E5330" i="1"/>
  <c r="E5329" i="1"/>
  <c r="E5328" i="1"/>
  <c r="E5327" i="1"/>
  <c r="E5326" i="1"/>
  <c r="E5325" i="1"/>
  <c r="E5324" i="1"/>
  <c r="E5323" i="1"/>
  <c r="E5322" i="1"/>
  <c r="E5321" i="1"/>
  <c r="E5320" i="1"/>
  <c r="E5319" i="1"/>
  <c r="E5318" i="1"/>
  <c r="E5317" i="1"/>
  <c r="E5316" i="1"/>
  <c r="E5315" i="1"/>
  <c r="E5314" i="1"/>
  <c r="E5313" i="1"/>
  <c r="E5312" i="1"/>
  <c r="E5311" i="1"/>
  <c r="E5310" i="1"/>
  <c r="E5309" i="1"/>
  <c r="E5308" i="1"/>
  <c r="E5307" i="1"/>
  <c r="E5306" i="1"/>
  <c r="E5305" i="1"/>
  <c r="E5304" i="1"/>
  <c r="E5303" i="1"/>
  <c r="E5302" i="1"/>
  <c r="E5301" i="1"/>
  <c r="E5300" i="1"/>
  <c r="E5299" i="1"/>
  <c r="E5298" i="1"/>
  <c r="E5297" i="1"/>
  <c r="E5296" i="1"/>
  <c r="E5295" i="1"/>
  <c r="E5294" i="1"/>
  <c r="E5293" i="1"/>
  <c r="E5292" i="1"/>
  <c r="E5291" i="1"/>
  <c r="E5290" i="1"/>
  <c r="E5289" i="1"/>
  <c r="E5288" i="1"/>
  <c r="E5287" i="1"/>
  <c r="E5286" i="1"/>
  <c r="E5285" i="1"/>
  <c r="E5284" i="1"/>
  <c r="E5283" i="1"/>
  <c r="E5282" i="1"/>
  <c r="E5281" i="1"/>
  <c r="E5280" i="1"/>
  <c r="E5279" i="1"/>
  <c r="E5278" i="1"/>
  <c r="E5277" i="1"/>
  <c r="E5276" i="1"/>
  <c r="E5275" i="1"/>
  <c r="E5274" i="1"/>
  <c r="E5273" i="1"/>
  <c r="E5272" i="1"/>
  <c r="E5271" i="1"/>
  <c r="E5270" i="1"/>
  <c r="E5269" i="1"/>
  <c r="E5268" i="1"/>
  <c r="E5267" i="1"/>
  <c r="E5266" i="1"/>
  <c r="E5265" i="1"/>
  <c r="E5264" i="1"/>
  <c r="E5263" i="1"/>
  <c r="E5262" i="1"/>
  <c r="E5261" i="1"/>
  <c r="E5260" i="1"/>
  <c r="E5259" i="1"/>
  <c r="E5258" i="1"/>
  <c r="E5257" i="1"/>
  <c r="E5256" i="1"/>
  <c r="E5255" i="1"/>
  <c r="E5254" i="1"/>
  <c r="E5253" i="1"/>
  <c r="E5252" i="1"/>
  <c r="E5251" i="1"/>
  <c r="E5250" i="1"/>
  <c r="E5249" i="1"/>
  <c r="E5248" i="1"/>
  <c r="E5247" i="1"/>
  <c r="E5246" i="1"/>
  <c r="E5245" i="1"/>
  <c r="E5244" i="1"/>
  <c r="E5243" i="1"/>
  <c r="E5242" i="1"/>
  <c r="E5241" i="1"/>
  <c r="E5240" i="1"/>
  <c r="E5239" i="1"/>
  <c r="E5238" i="1"/>
  <c r="E5237" i="1"/>
  <c r="E5236" i="1"/>
  <c r="E5235" i="1"/>
  <c r="E5234" i="1"/>
  <c r="E5233" i="1"/>
  <c r="E5232" i="1"/>
  <c r="E5231" i="1"/>
  <c r="E5230" i="1"/>
  <c r="E5229" i="1"/>
  <c r="E5228" i="1"/>
  <c r="E5227" i="1"/>
  <c r="E5226" i="1"/>
  <c r="E5225" i="1"/>
  <c r="E5224" i="1"/>
  <c r="E5223" i="1"/>
  <c r="E5222" i="1"/>
  <c r="E5221" i="1"/>
  <c r="E5220" i="1"/>
  <c r="E5219" i="1"/>
  <c r="E5218" i="1"/>
  <c r="E5217" i="1"/>
  <c r="E5216" i="1"/>
  <c r="E5215" i="1"/>
  <c r="E5214" i="1"/>
  <c r="E5213" i="1"/>
  <c r="E5212" i="1"/>
  <c r="E5211" i="1"/>
  <c r="E5210" i="1"/>
  <c r="E5209" i="1"/>
  <c r="E5208" i="1"/>
  <c r="E5207" i="1"/>
  <c r="E5206" i="1"/>
  <c r="E5205" i="1"/>
  <c r="E5204" i="1"/>
  <c r="E5203" i="1"/>
  <c r="E5202" i="1"/>
  <c r="E5201" i="1"/>
  <c r="E5200" i="1"/>
  <c r="E5199" i="1"/>
  <c r="E5198" i="1"/>
  <c r="E5197" i="1"/>
  <c r="E5196" i="1"/>
  <c r="E5195" i="1"/>
  <c r="E5194" i="1"/>
  <c r="E5193" i="1"/>
  <c r="E5192" i="1"/>
  <c r="E5191" i="1"/>
  <c r="E5190" i="1"/>
  <c r="E5189" i="1"/>
  <c r="E5188" i="1"/>
  <c r="E5187" i="1"/>
  <c r="E5186" i="1"/>
  <c r="E5185" i="1"/>
  <c r="E5184" i="1"/>
  <c r="E5183" i="1"/>
  <c r="E5182" i="1"/>
  <c r="E5181" i="1"/>
  <c r="E5180" i="1"/>
  <c r="E5179" i="1"/>
  <c r="E5178" i="1"/>
  <c r="E5177" i="1"/>
  <c r="E5176" i="1"/>
  <c r="E5175" i="1"/>
  <c r="E5174" i="1"/>
  <c r="E5173" i="1"/>
  <c r="E5172" i="1"/>
  <c r="E5171" i="1"/>
  <c r="E5170" i="1"/>
  <c r="E5169" i="1"/>
  <c r="E5168" i="1"/>
  <c r="E5167" i="1"/>
  <c r="E5166" i="1"/>
  <c r="E5165" i="1"/>
  <c r="E5164" i="1"/>
  <c r="E5163" i="1"/>
  <c r="E5162" i="1"/>
  <c r="E5161" i="1"/>
  <c r="E5160" i="1"/>
  <c r="E5159" i="1"/>
  <c r="E5158" i="1"/>
  <c r="E5157" i="1"/>
  <c r="E5156" i="1"/>
  <c r="E5155" i="1"/>
  <c r="E5154" i="1"/>
  <c r="E5153" i="1"/>
  <c r="E5152" i="1"/>
  <c r="E5151" i="1"/>
  <c r="E5150" i="1"/>
  <c r="E5149" i="1"/>
  <c r="E5148" i="1"/>
  <c r="E5147" i="1"/>
  <c r="E5146" i="1"/>
  <c r="E5145" i="1"/>
  <c r="E5144" i="1"/>
  <c r="E5143" i="1"/>
  <c r="E5142" i="1"/>
  <c r="E5141" i="1"/>
  <c r="E5140" i="1"/>
  <c r="E5139" i="1"/>
  <c r="E5138" i="1"/>
  <c r="E5137" i="1"/>
  <c r="E5136" i="1"/>
  <c r="E5135" i="1"/>
  <c r="E5134" i="1"/>
  <c r="E5133" i="1"/>
  <c r="E5132" i="1"/>
  <c r="E5131" i="1"/>
  <c r="E5130" i="1"/>
  <c r="E5129" i="1"/>
  <c r="E5128" i="1"/>
  <c r="E5127" i="1"/>
  <c r="E5126" i="1"/>
  <c r="E5125" i="1"/>
  <c r="E5124" i="1"/>
  <c r="E5123" i="1"/>
  <c r="E5122" i="1"/>
  <c r="E5121" i="1"/>
  <c r="E5120" i="1"/>
  <c r="E5119" i="1"/>
  <c r="E5118" i="1"/>
  <c r="E5117" i="1"/>
  <c r="E5116" i="1"/>
  <c r="E5115" i="1"/>
  <c r="E5114" i="1"/>
  <c r="E5113" i="1"/>
  <c r="E5112" i="1"/>
  <c r="E5111" i="1"/>
  <c r="E5110" i="1"/>
  <c r="E5109" i="1"/>
  <c r="E5108" i="1"/>
  <c r="E5107" i="1"/>
  <c r="E5106" i="1"/>
  <c r="E5105" i="1"/>
  <c r="E5104" i="1"/>
  <c r="E5103" i="1"/>
  <c r="E5102" i="1"/>
  <c r="E5101" i="1"/>
  <c r="E5100" i="1"/>
  <c r="E5099" i="1"/>
  <c r="E5098" i="1"/>
  <c r="E5097" i="1"/>
  <c r="E5096" i="1"/>
  <c r="E5095" i="1"/>
  <c r="E5094" i="1"/>
  <c r="E5093" i="1"/>
  <c r="E5092" i="1"/>
  <c r="E5091" i="1"/>
  <c r="E5090" i="1"/>
  <c r="E5089" i="1"/>
  <c r="E5088" i="1"/>
  <c r="E5087" i="1"/>
  <c r="E5086" i="1"/>
  <c r="E5085" i="1"/>
  <c r="E5084" i="1"/>
  <c r="E5083" i="1"/>
  <c r="E5082" i="1"/>
  <c r="E5081" i="1"/>
  <c r="E5080" i="1"/>
  <c r="E5079" i="1"/>
  <c r="E5078" i="1"/>
  <c r="E5077" i="1"/>
  <c r="E5076" i="1"/>
  <c r="E5075" i="1"/>
  <c r="E5074" i="1"/>
  <c r="E5073" i="1"/>
  <c r="E5072" i="1"/>
  <c r="E5071" i="1"/>
  <c r="E5070" i="1"/>
  <c r="E5069" i="1"/>
  <c r="E5068" i="1"/>
  <c r="E5067" i="1"/>
  <c r="E5066" i="1"/>
  <c r="E5065" i="1"/>
  <c r="E5064" i="1"/>
  <c r="E5063" i="1"/>
  <c r="E5062" i="1"/>
  <c r="E5061" i="1"/>
  <c r="E5060" i="1"/>
  <c r="E5059" i="1"/>
  <c r="E5058" i="1"/>
  <c r="E5057" i="1"/>
  <c r="E5056" i="1"/>
  <c r="E5055" i="1"/>
  <c r="E5054" i="1"/>
  <c r="E5053" i="1"/>
  <c r="E5052" i="1"/>
  <c r="E5051" i="1"/>
  <c r="E5050" i="1"/>
  <c r="E5049" i="1"/>
  <c r="E5048" i="1"/>
  <c r="E5047" i="1"/>
  <c r="E5046" i="1"/>
  <c r="E5045" i="1"/>
  <c r="E5044" i="1"/>
  <c r="E5043" i="1"/>
  <c r="E5042" i="1"/>
  <c r="E5041" i="1"/>
  <c r="E5040" i="1"/>
  <c r="E5039" i="1"/>
  <c r="E5038" i="1"/>
  <c r="E5037" i="1"/>
  <c r="E5036" i="1"/>
  <c r="E5035" i="1"/>
  <c r="E5034" i="1"/>
  <c r="E5033" i="1"/>
  <c r="E5032" i="1"/>
  <c r="E5031" i="1"/>
  <c r="E5030" i="1"/>
  <c r="E5029" i="1"/>
  <c r="E5028" i="1"/>
  <c r="E5027" i="1"/>
  <c r="E5026" i="1"/>
  <c r="E5025" i="1"/>
  <c r="E5024" i="1"/>
  <c r="E5023" i="1"/>
  <c r="E5022" i="1"/>
  <c r="E5021" i="1"/>
  <c r="E5020" i="1"/>
  <c r="E5019" i="1"/>
  <c r="E5018" i="1"/>
  <c r="E5017" i="1"/>
  <c r="E5016" i="1"/>
  <c r="E5015" i="1"/>
  <c r="E5014" i="1"/>
  <c r="E5013" i="1"/>
  <c r="E5012" i="1"/>
  <c r="E5011" i="1"/>
  <c r="E5010" i="1"/>
  <c r="E5009" i="1"/>
  <c r="E5008" i="1"/>
  <c r="E5007" i="1"/>
  <c r="E5006" i="1"/>
  <c r="E5005" i="1"/>
  <c r="E5004" i="1"/>
  <c r="E5003" i="1"/>
  <c r="E5002" i="1"/>
  <c r="E5001" i="1"/>
  <c r="E5000" i="1"/>
  <c r="E4999" i="1"/>
  <c r="E4998" i="1"/>
  <c r="E4997" i="1"/>
  <c r="E4996" i="1"/>
  <c r="E4995" i="1"/>
  <c r="E4994" i="1"/>
  <c r="E4993" i="1"/>
  <c r="E4992" i="1"/>
  <c r="E4991" i="1"/>
  <c r="E4990" i="1"/>
  <c r="E4989" i="1"/>
  <c r="E4988" i="1"/>
  <c r="E4987" i="1"/>
  <c r="E4986" i="1"/>
  <c r="E4985" i="1"/>
  <c r="E4984" i="1"/>
  <c r="E4983" i="1"/>
  <c r="E4982" i="1"/>
  <c r="E4981" i="1"/>
  <c r="E4980" i="1"/>
  <c r="E4979" i="1"/>
  <c r="E4978" i="1"/>
  <c r="E4977" i="1"/>
  <c r="E4976" i="1"/>
  <c r="E4975" i="1"/>
  <c r="E4974" i="1"/>
  <c r="E4973" i="1"/>
  <c r="E4972" i="1"/>
  <c r="E4971" i="1"/>
  <c r="E4970" i="1"/>
  <c r="E4969" i="1"/>
  <c r="E4968" i="1"/>
  <c r="E4967" i="1"/>
  <c r="E4966" i="1"/>
  <c r="E4965" i="1"/>
  <c r="E4964" i="1"/>
  <c r="E4963" i="1"/>
  <c r="E4962" i="1"/>
  <c r="E4961" i="1"/>
  <c r="E4960" i="1"/>
  <c r="E4959" i="1"/>
  <c r="E4958" i="1"/>
  <c r="E4957" i="1"/>
  <c r="E4956" i="1"/>
  <c r="E4955" i="1"/>
  <c r="E4954" i="1"/>
  <c r="E4953" i="1"/>
  <c r="E4952" i="1"/>
  <c r="E4951" i="1"/>
  <c r="E4950" i="1"/>
  <c r="E4949" i="1"/>
  <c r="E4948" i="1"/>
  <c r="E4947" i="1"/>
  <c r="E4946" i="1"/>
  <c r="E4945" i="1"/>
  <c r="E4944" i="1"/>
  <c r="E4943" i="1"/>
  <c r="E4942" i="1"/>
  <c r="E4941" i="1"/>
  <c r="E4940" i="1"/>
  <c r="E4939" i="1"/>
  <c r="E4938" i="1"/>
  <c r="E4937" i="1"/>
  <c r="E4936" i="1"/>
  <c r="E4935" i="1"/>
  <c r="E4934" i="1"/>
  <c r="E4933" i="1"/>
  <c r="E4932" i="1"/>
  <c r="E4931" i="1"/>
  <c r="E4930" i="1"/>
  <c r="E4929" i="1"/>
  <c r="E4928" i="1"/>
  <c r="E4927" i="1"/>
  <c r="E4926" i="1"/>
  <c r="E4925" i="1"/>
  <c r="E4924" i="1"/>
  <c r="E4923" i="1"/>
  <c r="E4922" i="1"/>
  <c r="E4921" i="1"/>
  <c r="E4920" i="1"/>
  <c r="E4919" i="1"/>
  <c r="E4918" i="1"/>
  <c r="E4917" i="1"/>
  <c r="E4916" i="1"/>
  <c r="E4915" i="1"/>
  <c r="E4914" i="1"/>
  <c r="E4913" i="1"/>
  <c r="E4912" i="1"/>
  <c r="E4911" i="1"/>
  <c r="E4910" i="1"/>
  <c r="E4909" i="1"/>
  <c r="E4908" i="1"/>
  <c r="E4907" i="1"/>
  <c r="E4906" i="1"/>
  <c r="E4905" i="1"/>
  <c r="E4904" i="1"/>
  <c r="E4903" i="1"/>
  <c r="E4902" i="1"/>
  <c r="E4901" i="1"/>
  <c r="E4900" i="1"/>
  <c r="E4899" i="1"/>
  <c r="E4898" i="1"/>
  <c r="E4897" i="1"/>
  <c r="E4896" i="1"/>
  <c r="E4895" i="1"/>
  <c r="E4894" i="1"/>
  <c r="E4893" i="1"/>
  <c r="E4892" i="1"/>
  <c r="E4891" i="1"/>
  <c r="E4890" i="1"/>
  <c r="E4889" i="1"/>
  <c r="E4888" i="1"/>
  <c r="E4887" i="1"/>
  <c r="E4886" i="1"/>
  <c r="E4885" i="1"/>
  <c r="E4884" i="1"/>
  <c r="E4883" i="1"/>
  <c r="E4882" i="1"/>
  <c r="E4881" i="1"/>
  <c r="E4880" i="1"/>
  <c r="E4879" i="1"/>
  <c r="E4878" i="1"/>
  <c r="E4877" i="1"/>
  <c r="E4876" i="1"/>
  <c r="E4875" i="1"/>
  <c r="E4874" i="1"/>
  <c r="E4873" i="1"/>
  <c r="E4872" i="1"/>
  <c r="E4871" i="1"/>
  <c r="E4870" i="1"/>
  <c r="E4869" i="1"/>
  <c r="E4868" i="1"/>
  <c r="E4867" i="1"/>
  <c r="E4866" i="1"/>
  <c r="E4865" i="1"/>
  <c r="E4864" i="1"/>
  <c r="E4863" i="1"/>
  <c r="E4862" i="1"/>
  <c r="E4861" i="1"/>
  <c r="E4860" i="1"/>
  <c r="E4859" i="1"/>
  <c r="E4858" i="1"/>
  <c r="E4857" i="1"/>
  <c r="E4856" i="1"/>
  <c r="E4855" i="1"/>
  <c r="E4854" i="1"/>
  <c r="E4853" i="1"/>
  <c r="E4852" i="1"/>
  <c r="E4851" i="1"/>
  <c r="E4850" i="1"/>
  <c r="E4849" i="1"/>
  <c r="E4848" i="1"/>
  <c r="E4847" i="1"/>
  <c r="E4846" i="1"/>
  <c r="E4845" i="1"/>
  <c r="E4844" i="1"/>
  <c r="E4843" i="1"/>
  <c r="E4842" i="1"/>
  <c r="E4841" i="1"/>
  <c r="E4840" i="1"/>
  <c r="E4839" i="1"/>
  <c r="E4838" i="1"/>
  <c r="E4837" i="1"/>
  <c r="E4836" i="1"/>
  <c r="E4835" i="1"/>
  <c r="E4834" i="1"/>
  <c r="E4833" i="1"/>
  <c r="E4832" i="1"/>
  <c r="E4831" i="1"/>
  <c r="E4830" i="1"/>
  <c r="E4829" i="1"/>
  <c r="E4828" i="1"/>
  <c r="E4827" i="1"/>
  <c r="E4826" i="1"/>
  <c r="E4825" i="1"/>
  <c r="E4824" i="1"/>
  <c r="E4823" i="1"/>
  <c r="E4822" i="1"/>
  <c r="E4821" i="1"/>
  <c r="E4820" i="1"/>
  <c r="E4819" i="1"/>
  <c r="E4818" i="1"/>
  <c r="E4817" i="1"/>
  <c r="E4816" i="1"/>
  <c r="E4815" i="1"/>
  <c r="E4814" i="1"/>
  <c r="E4813" i="1"/>
  <c r="E4812" i="1"/>
  <c r="E4811" i="1"/>
  <c r="E4810" i="1"/>
  <c r="E4809" i="1"/>
  <c r="E4808" i="1"/>
  <c r="E4807" i="1"/>
  <c r="E4806" i="1"/>
  <c r="E4805" i="1"/>
  <c r="E4804" i="1"/>
  <c r="E4803" i="1"/>
  <c r="E4802" i="1"/>
  <c r="E4801" i="1"/>
  <c r="E4800" i="1"/>
  <c r="E4799" i="1"/>
  <c r="E4798" i="1"/>
  <c r="E4797" i="1"/>
  <c r="E4796" i="1"/>
  <c r="E4795" i="1"/>
  <c r="E4794" i="1"/>
  <c r="E4793" i="1"/>
  <c r="E4792" i="1"/>
  <c r="E4791" i="1"/>
  <c r="E4790" i="1"/>
  <c r="E4789" i="1"/>
  <c r="E4788" i="1"/>
  <c r="E4787" i="1"/>
  <c r="E4786" i="1"/>
  <c r="E4785" i="1"/>
  <c r="E4784" i="1"/>
  <c r="E4783" i="1"/>
  <c r="E4782" i="1"/>
  <c r="E4781" i="1"/>
  <c r="E4780" i="1"/>
  <c r="E4779" i="1"/>
  <c r="E4778" i="1"/>
  <c r="E4777" i="1"/>
  <c r="E4776" i="1"/>
  <c r="E4775" i="1"/>
  <c r="E4774" i="1"/>
  <c r="E4773" i="1"/>
  <c r="E4772" i="1"/>
  <c r="E4771" i="1"/>
  <c r="E4770" i="1"/>
  <c r="E4769" i="1"/>
  <c r="E4768" i="1"/>
  <c r="E4767" i="1"/>
  <c r="E4766" i="1"/>
  <c r="E4765" i="1"/>
  <c r="E4764" i="1"/>
  <c r="E4763" i="1"/>
  <c r="E4762" i="1"/>
  <c r="E4761" i="1"/>
  <c r="E4760" i="1"/>
  <c r="E4759" i="1"/>
  <c r="E4758" i="1"/>
  <c r="E4757" i="1"/>
  <c r="E4756" i="1"/>
  <c r="E4755" i="1"/>
  <c r="E4754" i="1"/>
  <c r="E4753" i="1"/>
  <c r="E4752" i="1"/>
  <c r="E4751" i="1"/>
  <c r="E4750" i="1"/>
  <c r="E4749" i="1"/>
  <c r="E4748" i="1"/>
  <c r="E4747" i="1"/>
  <c r="E4746" i="1"/>
  <c r="E4745" i="1"/>
  <c r="E4744" i="1"/>
  <c r="E4743" i="1"/>
  <c r="E4742" i="1"/>
  <c r="E4741" i="1"/>
  <c r="E4740" i="1"/>
  <c r="E4739" i="1"/>
  <c r="E4738" i="1"/>
  <c r="E4737" i="1"/>
  <c r="E4736" i="1"/>
  <c r="E4735" i="1"/>
  <c r="E4734" i="1"/>
  <c r="E4733" i="1"/>
  <c r="E4732" i="1"/>
  <c r="E4731" i="1"/>
  <c r="E4730" i="1"/>
  <c r="E4729" i="1"/>
  <c r="E4728" i="1"/>
  <c r="E4727" i="1"/>
  <c r="E4726" i="1"/>
  <c r="E4725" i="1"/>
  <c r="E4724" i="1"/>
  <c r="E4723" i="1"/>
  <c r="E4722" i="1"/>
  <c r="E4721" i="1"/>
  <c r="E4720" i="1"/>
  <c r="E4719" i="1"/>
  <c r="E4718" i="1"/>
  <c r="E4717" i="1"/>
  <c r="E4716" i="1"/>
  <c r="E4715" i="1"/>
  <c r="E4714" i="1"/>
  <c r="E4713" i="1"/>
  <c r="E4712" i="1"/>
  <c r="E4711" i="1"/>
  <c r="E4710" i="1"/>
  <c r="E4709" i="1"/>
  <c r="E4708" i="1"/>
  <c r="E4707" i="1"/>
  <c r="E4706" i="1"/>
  <c r="E4705" i="1"/>
  <c r="E4704" i="1"/>
  <c r="E4703" i="1"/>
  <c r="E4702" i="1"/>
  <c r="E4701" i="1"/>
  <c r="E4700" i="1"/>
  <c r="E4699" i="1"/>
  <c r="E4698" i="1"/>
  <c r="E4697" i="1"/>
  <c r="E4696" i="1"/>
  <c r="E4695" i="1"/>
  <c r="E4694" i="1"/>
  <c r="E4693" i="1"/>
  <c r="E4692" i="1"/>
  <c r="E4691" i="1"/>
  <c r="E4690" i="1"/>
  <c r="E4689" i="1"/>
  <c r="E4688" i="1"/>
  <c r="E4687" i="1"/>
  <c r="E4686" i="1"/>
  <c r="E4685" i="1"/>
  <c r="E4684" i="1"/>
  <c r="E4683" i="1"/>
  <c r="E4682" i="1"/>
  <c r="E4681" i="1"/>
  <c r="E4680" i="1"/>
  <c r="E4679" i="1"/>
  <c r="E4678" i="1"/>
  <c r="E4677" i="1"/>
  <c r="E4676" i="1"/>
  <c r="E4675" i="1"/>
  <c r="E4674" i="1"/>
  <c r="E4673" i="1"/>
  <c r="E4672" i="1"/>
  <c r="E4671" i="1"/>
  <c r="E4670" i="1"/>
  <c r="E4669" i="1"/>
  <c r="E4668" i="1"/>
  <c r="E4667" i="1"/>
  <c r="E4666" i="1"/>
  <c r="E4665" i="1"/>
  <c r="E4664" i="1"/>
  <c r="E4663" i="1"/>
  <c r="E4662" i="1"/>
  <c r="E4661" i="1"/>
  <c r="E4660" i="1"/>
  <c r="E4659" i="1"/>
  <c r="E4658" i="1"/>
  <c r="E4657" i="1"/>
  <c r="E4656" i="1"/>
  <c r="E4655" i="1"/>
  <c r="E4654" i="1"/>
  <c r="E4653" i="1"/>
  <c r="E4652" i="1"/>
  <c r="E4651" i="1"/>
  <c r="E4650" i="1"/>
  <c r="E4649" i="1"/>
  <c r="E4648" i="1"/>
  <c r="E4647" i="1"/>
  <c r="E4646" i="1"/>
  <c r="E4645" i="1"/>
  <c r="E4644" i="1"/>
  <c r="E4643" i="1"/>
  <c r="E4642" i="1"/>
  <c r="E4641" i="1"/>
  <c r="E4640" i="1"/>
  <c r="E4639" i="1"/>
  <c r="E4638" i="1"/>
  <c r="E4637" i="1"/>
  <c r="E4636" i="1"/>
  <c r="E4635" i="1"/>
  <c r="E4634" i="1"/>
  <c r="E4633" i="1"/>
  <c r="E4632" i="1"/>
  <c r="E4631" i="1"/>
  <c r="E4630" i="1"/>
  <c r="E4629" i="1"/>
  <c r="E4628" i="1"/>
  <c r="E4627" i="1"/>
  <c r="E4626" i="1"/>
  <c r="E4625" i="1"/>
  <c r="E4624" i="1"/>
  <c r="E4623" i="1"/>
  <c r="E4622" i="1"/>
  <c r="E4621" i="1"/>
  <c r="E4620" i="1"/>
  <c r="E4619" i="1"/>
  <c r="E4618" i="1"/>
  <c r="E4617" i="1"/>
  <c r="E4616" i="1"/>
  <c r="E4615" i="1"/>
  <c r="E4614" i="1"/>
  <c r="E4613" i="1"/>
  <c r="E4612" i="1"/>
  <c r="E4611" i="1"/>
  <c r="E4610" i="1"/>
  <c r="E4609" i="1"/>
  <c r="E4608" i="1"/>
  <c r="E4607" i="1"/>
  <c r="E4606" i="1"/>
  <c r="E4605" i="1"/>
  <c r="E4604" i="1"/>
  <c r="E4603" i="1"/>
  <c r="E4602" i="1"/>
  <c r="E4601" i="1"/>
  <c r="E4600" i="1"/>
  <c r="E4599" i="1"/>
  <c r="E4598" i="1"/>
  <c r="E4597" i="1"/>
  <c r="E4596" i="1"/>
  <c r="E4595" i="1"/>
  <c r="E4594" i="1"/>
  <c r="E4593" i="1"/>
  <c r="E4592" i="1"/>
  <c r="E4591" i="1"/>
  <c r="E4590" i="1"/>
  <c r="E4589" i="1"/>
  <c r="E4588" i="1"/>
  <c r="E4587" i="1"/>
  <c r="E4586" i="1"/>
  <c r="E4585" i="1"/>
  <c r="E4584" i="1"/>
  <c r="E4583" i="1"/>
  <c r="E4582" i="1"/>
  <c r="E4581" i="1"/>
  <c r="E4580" i="1"/>
  <c r="E4579" i="1"/>
  <c r="E4578" i="1"/>
  <c r="E4577" i="1"/>
  <c r="E4576" i="1"/>
  <c r="E4575" i="1"/>
  <c r="E4574" i="1"/>
  <c r="E4573" i="1"/>
  <c r="E4572" i="1"/>
  <c r="E4571" i="1"/>
  <c r="E4570" i="1"/>
  <c r="E4569" i="1"/>
  <c r="E4568" i="1"/>
  <c r="E4567" i="1"/>
  <c r="E4566" i="1"/>
  <c r="E4565" i="1"/>
  <c r="E4564" i="1"/>
  <c r="E4563" i="1"/>
  <c r="E4562" i="1"/>
  <c r="E4561" i="1"/>
  <c r="E4560" i="1"/>
  <c r="E4559" i="1"/>
  <c r="E4558" i="1"/>
  <c r="E4557" i="1"/>
  <c r="E4556" i="1"/>
  <c r="E4555" i="1"/>
  <c r="E4554" i="1"/>
  <c r="E4553" i="1"/>
  <c r="E4552" i="1"/>
  <c r="E4551" i="1"/>
  <c r="E4550" i="1"/>
  <c r="E4549" i="1"/>
  <c r="E4548" i="1"/>
  <c r="E4547" i="1"/>
  <c r="E4546" i="1"/>
  <c r="E4545" i="1"/>
  <c r="E4544" i="1"/>
  <c r="E4543" i="1"/>
  <c r="E4542" i="1"/>
  <c r="E4541" i="1"/>
  <c r="E4540" i="1"/>
  <c r="E4539" i="1"/>
  <c r="E4538" i="1"/>
  <c r="E4537" i="1"/>
  <c r="E4536" i="1"/>
  <c r="E4535" i="1"/>
  <c r="E4534" i="1"/>
  <c r="E4533" i="1"/>
  <c r="E4532" i="1"/>
  <c r="E4531" i="1"/>
  <c r="E4530" i="1"/>
  <c r="E4529" i="1"/>
  <c r="E4528" i="1"/>
  <c r="E4527" i="1"/>
  <c r="E4526" i="1"/>
  <c r="E4525" i="1"/>
  <c r="E4524" i="1"/>
  <c r="E4523" i="1"/>
  <c r="E4522" i="1"/>
  <c r="E4521" i="1"/>
  <c r="E4520" i="1"/>
  <c r="E4519" i="1"/>
  <c r="E4518" i="1"/>
  <c r="E4517" i="1"/>
  <c r="E4516" i="1"/>
  <c r="E4515" i="1"/>
  <c r="E4514" i="1"/>
  <c r="E4513" i="1"/>
  <c r="E4512" i="1"/>
  <c r="E4511" i="1"/>
  <c r="E4510" i="1"/>
  <c r="E4509" i="1"/>
  <c r="E4508" i="1"/>
  <c r="E4507" i="1"/>
  <c r="E4506" i="1"/>
  <c r="E4505" i="1"/>
  <c r="E4504" i="1"/>
  <c r="E4503" i="1"/>
  <c r="E4502" i="1"/>
  <c r="E4501" i="1"/>
  <c r="E4500" i="1"/>
  <c r="E4499" i="1"/>
  <c r="E4498" i="1"/>
  <c r="E4497" i="1"/>
  <c r="E4496" i="1"/>
  <c r="E4495" i="1"/>
  <c r="E4494" i="1"/>
  <c r="E4493" i="1"/>
  <c r="E4492" i="1"/>
  <c r="E4491" i="1"/>
  <c r="E4490" i="1"/>
  <c r="E4489" i="1"/>
  <c r="E4488" i="1"/>
  <c r="E4487" i="1"/>
  <c r="E4486" i="1"/>
  <c r="E4485" i="1"/>
  <c r="E4484" i="1"/>
  <c r="E4483" i="1"/>
  <c r="E4482" i="1"/>
  <c r="E4481" i="1"/>
  <c r="E4480" i="1"/>
  <c r="E4479" i="1"/>
  <c r="E4478" i="1"/>
  <c r="E4477" i="1"/>
  <c r="E4476" i="1"/>
  <c r="E4475" i="1"/>
  <c r="E4474" i="1"/>
  <c r="E4473" i="1"/>
  <c r="E4472" i="1"/>
  <c r="E4471" i="1"/>
  <c r="E4470" i="1"/>
  <c r="E4469" i="1"/>
  <c r="E4468" i="1"/>
  <c r="E4467" i="1"/>
  <c r="E4466" i="1"/>
  <c r="E4465" i="1"/>
  <c r="E4464" i="1"/>
  <c r="E4463" i="1"/>
  <c r="E4462" i="1"/>
  <c r="E4461" i="1"/>
  <c r="E4460" i="1"/>
  <c r="E4459" i="1"/>
  <c r="E4458" i="1"/>
  <c r="E4457" i="1"/>
  <c r="E4456" i="1"/>
  <c r="E4455" i="1"/>
  <c r="E4454" i="1"/>
  <c r="E4453" i="1"/>
  <c r="E4452" i="1"/>
  <c r="E4451" i="1"/>
  <c r="E4450" i="1"/>
  <c r="E4449" i="1"/>
  <c r="E4448" i="1"/>
  <c r="E4447" i="1"/>
  <c r="E4446" i="1"/>
  <c r="E4445" i="1"/>
  <c r="E4444" i="1"/>
  <c r="E4443" i="1"/>
  <c r="E4442" i="1"/>
  <c r="E4441" i="1"/>
  <c r="E4440" i="1"/>
  <c r="E4439" i="1"/>
  <c r="E4438" i="1"/>
  <c r="E4437" i="1"/>
  <c r="E4436" i="1"/>
  <c r="E4435" i="1"/>
  <c r="E4434" i="1"/>
  <c r="E4433" i="1"/>
  <c r="E4432" i="1"/>
  <c r="E4431" i="1"/>
  <c r="E4430" i="1"/>
  <c r="E4429" i="1"/>
  <c r="E4428" i="1"/>
  <c r="E4427" i="1"/>
  <c r="E4426" i="1"/>
  <c r="E4425" i="1"/>
  <c r="E4424" i="1"/>
  <c r="E4423" i="1"/>
  <c r="E4422" i="1"/>
  <c r="E4421" i="1"/>
  <c r="E4420" i="1"/>
  <c r="E4419" i="1"/>
  <c r="E4418" i="1"/>
  <c r="E4417" i="1"/>
  <c r="E4416" i="1"/>
  <c r="E4415" i="1"/>
  <c r="E4414" i="1"/>
  <c r="E4413" i="1"/>
  <c r="E4412" i="1"/>
  <c r="E4411" i="1"/>
  <c r="E4410" i="1"/>
  <c r="E4409" i="1"/>
  <c r="E4408" i="1"/>
  <c r="E4407" i="1"/>
  <c r="E4406" i="1"/>
  <c r="E4405" i="1"/>
  <c r="E4404" i="1"/>
  <c r="E4403" i="1"/>
  <c r="E4402" i="1"/>
  <c r="E4401" i="1"/>
  <c r="E4400" i="1"/>
  <c r="E4399" i="1"/>
  <c r="E4398" i="1"/>
  <c r="E4397" i="1"/>
  <c r="E4396" i="1"/>
  <c r="E4395" i="1"/>
  <c r="E4394" i="1"/>
  <c r="E4393" i="1"/>
  <c r="E4392" i="1"/>
  <c r="E4391" i="1"/>
  <c r="E4390" i="1"/>
  <c r="E4389" i="1"/>
  <c r="E4388" i="1"/>
  <c r="E4387" i="1"/>
  <c r="E4386" i="1"/>
  <c r="E4385" i="1"/>
  <c r="E4384" i="1"/>
  <c r="E4383" i="1"/>
  <c r="E4382" i="1"/>
  <c r="E4381" i="1"/>
  <c r="E4380" i="1"/>
  <c r="E4379" i="1"/>
  <c r="E4378" i="1"/>
  <c r="E4377" i="1"/>
  <c r="E4376" i="1"/>
  <c r="E4375" i="1"/>
  <c r="E4374" i="1"/>
  <c r="E4373" i="1"/>
  <c r="E4372" i="1"/>
  <c r="E4371" i="1"/>
  <c r="E4370" i="1"/>
  <c r="E4369" i="1"/>
  <c r="E4368" i="1"/>
  <c r="E4367" i="1"/>
  <c r="E4366" i="1"/>
  <c r="E4365" i="1"/>
  <c r="E4364" i="1"/>
  <c r="E4363" i="1"/>
  <c r="E4362" i="1"/>
  <c r="E4361" i="1"/>
  <c r="E4360" i="1"/>
  <c r="E4359" i="1"/>
  <c r="E4358" i="1"/>
  <c r="E4357" i="1"/>
  <c r="E4356" i="1"/>
  <c r="E4355" i="1"/>
  <c r="E4354" i="1"/>
  <c r="E4353" i="1"/>
  <c r="E4352" i="1"/>
  <c r="E4351" i="1"/>
  <c r="E4350" i="1"/>
  <c r="E4349" i="1"/>
  <c r="E4348" i="1"/>
  <c r="E4347" i="1"/>
  <c r="E4346" i="1"/>
  <c r="E4345" i="1"/>
  <c r="E4344" i="1"/>
  <c r="E4343" i="1"/>
  <c r="E4342" i="1"/>
  <c r="E4341" i="1"/>
  <c r="E4340" i="1"/>
  <c r="E4339" i="1"/>
  <c r="E4338" i="1"/>
  <c r="E4337" i="1"/>
  <c r="E4336" i="1"/>
  <c r="E4335" i="1"/>
  <c r="E4334" i="1"/>
  <c r="E4333" i="1"/>
  <c r="E4332" i="1"/>
  <c r="E4331" i="1"/>
  <c r="E4330" i="1"/>
  <c r="E4329" i="1"/>
  <c r="E4328" i="1"/>
  <c r="E4327" i="1"/>
  <c r="E4326" i="1"/>
  <c r="E4325" i="1"/>
  <c r="E4324" i="1"/>
  <c r="E4323" i="1"/>
  <c r="E4322" i="1"/>
  <c r="E4321" i="1"/>
  <c r="E4320" i="1"/>
  <c r="E4319" i="1"/>
  <c r="E4318" i="1"/>
  <c r="E4317" i="1"/>
  <c r="E4316" i="1"/>
  <c r="E4315" i="1"/>
  <c r="E4314" i="1"/>
  <c r="E4313" i="1"/>
  <c r="E4312" i="1"/>
  <c r="E4311" i="1"/>
  <c r="E4310" i="1"/>
  <c r="E4309" i="1"/>
  <c r="E4308" i="1"/>
  <c r="E4307" i="1"/>
  <c r="E4306" i="1"/>
  <c r="E4305" i="1"/>
  <c r="E4304" i="1"/>
  <c r="E4303" i="1"/>
  <c r="E4302" i="1"/>
  <c r="E4301" i="1"/>
  <c r="E4300" i="1"/>
  <c r="E4299" i="1"/>
  <c r="E4298" i="1"/>
  <c r="E4297" i="1"/>
  <c r="E4296" i="1"/>
  <c r="E4295" i="1"/>
  <c r="E4294" i="1"/>
  <c r="E4293" i="1"/>
  <c r="E4292" i="1"/>
  <c r="E4291" i="1"/>
  <c r="E4290" i="1"/>
  <c r="E4289" i="1"/>
  <c r="E4288" i="1"/>
  <c r="E4287" i="1"/>
  <c r="E4286" i="1"/>
  <c r="E4285" i="1"/>
  <c r="E4284" i="1"/>
  <c r="E4283" i="1"/>
  <c r="E4282" i="1"/>
  <c r="E4281" i="1"/>
  <c r="E4280" i="1"/>
  <c r="E4279" i="1"/>
  <c r="E4278" i="1"/>
  <c r="E4277" i="1"/>
  <c r="E4276" i="1"/>
  <c r="E4275" i="1"/>
  <c r="E4274" i="1"/>
  <c r="E4273" i="1"/>
  <c r="E4272" i="1"/>
  <c r="E4271" i="1"/>
  <c r="E4270" i="1"/>
  <c r="E4269" i="1"/>
  <c r="E4268" i="1"/>
  <c r="E4267" i="1"/>
  <c r="E4266" i="1"/>
  <c r="E4265" i="1"/>
  <c r="E4264" i="1"/>
  <c r="E4263" i="1"/>
  <c r="E4262" i="1"/>
  <c r="E4261" i="1"/>
  <c r="E4260" i="1"/>
  <c r="E4259" i="1"/>
  <c r="E4258" i="1"/>
  <c r="E4257" i="1"/>
  <c r="E4256" i="1"/>
  <c r="E4255" i="1"/>
  <c r="E4254" i="1"/>
  <c r="E4253" i="1"/>
  <c r="E4252" i="1"/>
  <c r="E4251" i="1"/>
  <c r="E4250" i="1"/>
  <c r="E4249" i="1"/>
  <c r="E4248" i="1"/>
  <c r="E4247" i="1"/>
  <c r="E4246" i="1"/>
  <c r="E4245" i="1"/>
  <c r="E4244" i="1"/>
  <c r="E4243" i="1"/>
  <c r="E4242" i="1"/>
  <c r="E4241" i="1"/>
  <c r="E4240" i="1"/>
  <c r="E4239" i="1"/>
  <c r="E4238" i="1"/>
  <c r="E4237" i="1"/>
  <c r="E4236" i="1"/>
  <c r="E4235" i="1"/>
  <c r="E4234" i="1"/>
  <c r="E4233" i="1"/>
  <c r="E4232" i="1"/>
  <c r="E4231" i="1"/>
  <c r="E4230" i="1"/>
  <c r="E4229" i="1"/>
  <c r="E4228" i="1"/>
  <c r="E4227" i="1"/>
  <c r="E4226" i="1"/>
  <c r="E4225" i="1"/>
  <c r="E4224" i="1"/>
  <c r="E4223" i="1"/>
  <c r="E4222" i="1"/>
  <c r="E4221" i="1"/>
  <c r="E4220" i="1"/>
  <c r="E4219" i="1"/>
  <c r="E4218" i="1"/>
  <c r="E4217" i="1"/>
  <c r="E4216" i="1"/>
  <c r="E4215" i="1"/>
  <c r="E4214" i="1"/>
  <c r="E4213" i="1"/>
  <c r="E4212" i="1"/>
  <c r="E4211" i="1"/>
  <c r="E4210" i="1"/>
  <c r="E4209" i="1"/>
  <c r="E4208" i="1"/>
  <c r="E4207" i="1"/>
  <c r="E4206" i="1"/>
  <c r="E4205" i="1"/>
  <c r="E4204" i="1"/>
  <c r="E4203" i="1"/>
  <c r="E4202" i="1"/>
  <c r="E4201" i="1"/>
  <c r="E4200" i="1"/>
  <c r="E4199" i="1"/>
  <c r="E4198" i="1"/>
  <c r="E4197" i="1"/>
  <c r="E4196" i="1"/>
  <c r="E4195" i="1"/>
  <c r="E4194" i="1"/>
  <c r="E4193" i="1"/>
  <c r="E4192" i="1"/>
  <c r="E4191" i="1"/>
  <c r="E4190" i="1"/>
  <c r="E4189" i="1"/>
  <c r="E4188" i="1"/>
  <c r="E4187" i="1"/>
  <c r="E4186" i="1"/>
  <c r="E4185" i="1"/>
  <c r="E4184" i="1"/>
  <c r="E4183" i="1"/>
  <c r="E4182" i="1"/>
  <c r="E4181" i="1"/>
  <c r="E4180" i="1"/>
  <c r="E4179" i="1"/>
  <c r="E4178" i="1"/>
  <c r="E4177" i="1"/>
  <c r="E4176" i="1"/>
  <c r="E4175" i="1"/>
  <c r="E4174" i="1"/>
  <c r="E4173" i="1"/>
  <c r="E4172" i="1"/>
  <c r="E4171" i="1"/>
  <c r="E4170" i="1"/>
  <c r="E4169" i="1"/>
  <c r="E4168" i="1"/>
  <c r="E4167" i="1"/>
  <c r="E4166" i="1"/>
  <c r="E4165" i="1"/>
  <c r="E4164" i="1"/>
  <c r="E4163" i="1"/>
  <c r="E4162" i="1"/>
  <c r="E4161" i="1"/>
  <c r="E4160" i="1"/>
  <c r="E4159" i="1"/>
  <c r="E4158" i="1"/>
  <c r="E4157" i="1"/>
  <c r="E4156" i="1"/>
  <c r="E4155" i="1"/>
  <c r="E4154" i="1"/>
  <c r="E4153" i="1"/>
  <c r="E4152" i="1"/>
  <c r="E4151" i="1"/>
  <c r="E4150" i="1"/>
  <c r="E4149" i="1"/>
  <c r="E4148" i="1"/>
  <c r="E4147" i="1"/>
  <c r="E4146" i="1"/>
  <c r="E4145" i="1"/>
  <c r="E4144" i="1"/>
  <c r="E4143" i="1"/>
  <c r="E4142" i="1"/>
  <c r="E4141" i="1"/>
  <c r="E4140" i="1"/>
  <c r="E4139" i="1"/>
  <c r="E4138" i="1"/>
  <c r="E4137" i="1"/>
  <c r="E4136" i="1"/>
  <c r="E4135" i="1"/>
  <c r="E4134" i="1"/>
  <c r="E4133" i="1"/>
  <c r="E4132" i="1"/>
  <c r="E4131" i="1"/>
  <c r="E4130" i="1"/>
  <c r="E4129" i="1"/>
  <c r="E4128" i="1"/>
  <c r="E4127" i="1"/>
  <c r="E4126" i="1"/>
  <c r="E4125" i="1"/>
  <c r="E4124" i="1"/>
  <c r="E4123" i="1"/>
  <c r="E4122" i="1"/>
  <c r="E4121" i="1"/>
  <c r="E4120" i="1"/>
  <c r="E4119" i="1"/>
  <c r="E4118" i="1"/>
  <c r="E4117" i="1"/>
  <c r="E4116" i="1"/>
  <c r="E4115" i="1"/>
  <c r="E4114" i="1"/>
  <c r="E4113" i="1"/>
  <c r="E4112" i="1"/>
  <c r="E4111" i="1"/>
  <c r="E4110" i="1"/>
  <c r="E4109" i="1"/>
  <c r="E4108" i="1"/>
  <c r="E4107" i="1"/>
  <c r="E4106" i="1"/>
  <c r="E4105" i="1"/>
  <c r="E4104" i="1"/>
  <c r="E4103" i="1"/>
  <c r="E4102" i="1"/>
  <c r="E4101" i="1"/>
  <c r="E4100" i="1"/>
  <c r="E4099" i="1"/>
  <c r="E4098" i="1"/>
  <c r="E4097" i="1"/>
  <c r="E4096" i="1"/>
  <c r="E4095" i="1"/>
  <c r="E4094" i="1"/>
  <c r="E4093" i="1"/>
  <c r="E4092" i="1"/>
  <c r="E4091" i="1"/>
  <c r="E4090" i="1"/>
  <c r="E4089" i="1"/>
  <c r="E4088" i="1"/>
  <c r="E4087" i="1"/>
  <c r="E4086" i="1"/>
  <c r="E4085" i="1"/>
  <c r="E4084" i="1"/>
  <c r="E4083" i="1"/>
  <c r="E4082" i="1"/>
  <c r="E4081" i="1"/>
  <c r="E4080" i="1"/>
  <c r="E4079" i="1"/>
  <c r="E4078" i="1"/>
  <c r="E4077" i="1"/>
  <c r="E4076" i="1"/>
  <c r="E4075" i="1"/>
  <c r="E4074" i="1"/>
  <c r="E4073" i="1"/>
  <c r="E4072" i="1"/>
  <c r="E4071" i="1"/>
  <c r="E4070" i="1"/>
  <c r="E4069" i="1"/>
  <c r="E4068" i="1"/>
  <c r="E4067" i="1"/>
  <c r="E4066" i="1"/>
  <c r="E4065" i="1"/>
  <c r="E4064" i="1"/>
  <c r="E4063" i="1"/>
  <c r="E4062" i="1"/>
  <c r="E4061" i="1"/>
  <c r="E4060" i="1"/>
  <c r="E4059" i="1"/>
  <c r="E4058" i="1"/>
  <c r="E4057" i="1"/>
  <c r="E4056" i="1"/>
  <c r="E4055" i="1"/>
  <c r="E4054" i="1"/>
  <c r="E4053" i="1"/>
  <c r="E4052" i="1"/>
  <c r="E4051" i="1"/>
  <c r="E4050" i="1"/>
  <c r="E4049" i="1"/>
  <c r="E4048" i="1"/>
  <c r="E4047" i="1"/>
  <c r="E4046" i="1"/>
  <c r="E4045" i="1"/>
  <c r="E4044" i="1"/>
  <c r="E4043" i="1"/>
  <c r="E4042" i="1"/>
  <c r="E4041" i="1"/>
  <c r="E4040" i="1"/>
  <c r="E4039" i="1"/>
  <c r="E4038" i="1"/>
  <c r="E4037" i="1"/>
  <c r="E4036" i="1"/>
  <c r="E4035" i="1"/>
  <c r="E4034" i="1"/>
  <c r="E4033" i="1"/>
  <c r="E4032" i="1"/>
  <c r="E4031" i="1"/>
  <c r="E4030" i="1"/>
  <c r="E4029" i="1"/>
  <c r="E4028" i="1"/>
  <c r="E4027" i="1"/>
  <c r="E4026" i="1"/>
  <c r="E4025" i="1"/>
  <c r="E4024" i="1"/>
  <c r="E4023" i="1"/>
  <c r="E4022" i="1"/>
  <c r="E4021" i="1"/>
  <c r="E4020" i="1"/>
  <c r="E4019" i="1"/>
  <c r="E4018" i="1"/>
  <c r="E4017" i="1"/>
  <c r="E4016" i="1"/>
  <c r="E4015" i="1"/>
  <c r="E4014" i="1"/>
  <c r="E4013" i="1"/>
  <c r="E4012" i="1"/>
  <c r="E4011" i="1"/>
  <c r="E4010" i="1"/>
  <c r="E4009" i="1"/>
  <c r="E4008" i="1"/>
  <c r="E4007" i="1"/>
  <c r="E4006" i="1"/>
  <c r="E4005" i="1"/>
  <c r="E4004" i="1"/>
  <c r="E4003" i="1"/>
  <c r="E4002" i="1"/>
  <c r="E4001" i="1"/>
  <c r="E4000" i="1"/>
  <c r="E3999" i="1"/>
  <c r="E3998" i="1"/>
  <c r="E3997" i="1"/>
  <c r="E3996" i="1"/>
  <c r="E3995" i="1"/>
  <c r="E3994" i="1"/>
  <c r="E3993" i="1"/>
  <c r="E3992" i="1"/>
  <c r="E3991" i="1"/>
  <c r="E3990" i="1"/>
  <c r="E3989" i="1"/>
  <c r="E3988" i="1"/>
  <c r="E3987" i="1"/>
  <c r="E3986" i="1"/>
  <c r="E3985" i="1"/>
  <c r="E3984" i="1"/>
  <c r="E3983" i="1"/>
  <c r="E3982" i="1"/>
  <c r="E3981" i="1"/>
  <c r="E3980" i="1"/>
  <c r="E3979" i="1"/>
  <c r="E3978" i="1"/>
  <c r="E3977" i="1"/>
  <c r="E3976" i="1"/>
  <c r="E3975" i="1"/>
  <c r="E3974" i="1"/>
  <c r="E3973" i="1"/>
  <c r="E3972" i="1"/>
  <c r="E3971" i="1"/>
  <c r="E3970" i="1"/>
  <c r="E3969" i="1"/>
  <c r="E3968" i="1"/>
  <c r="E3967" i="1"/>
  <c r="E3966" i="1"/>
  <c r="E3965" i="1"/>
  <c r="E3964" i="1"/>
  <c r="E3963" i="1"/>
  <c r="E3962" i="1"/>
  <c r="E3961" i="1"/>
  <c r="E3960" i="1"/>
  <c r="E3959" i="1"/>
  <c r="E3958" i="1"/>
  <c r="E3957" i="1"/>
  <c r="E3956" i="1"/>
  <c r="E3955" i="1"/>
  <c r="E3954" i="1"/>
  <c r="E3953" i="1"/>
  <c r="E3952" i="1"/>
  <c r="E3951" i="1"/>
  <c r="E3950" i="1"/>
  <c r="E3949" i="1"/>
  <c r="E3948" i="1"/>
  <c r="E3947" i="1"/>
  <c r="E3946" i="1"/>
  <c r="E3945" i="1"/>
  <c r="E3944" i="1"/>
  <c r="E3943" i="1"/>
  <c r="E3942" i="1"/>
  <c r="E3941" i="1"/>
  <c r="E3940" i="1"/>
  <c r="E3939" i="1"/>
  <c r="E3938" i="1"/>
  <c r="E3937" i="1"/>
  <c r="E3936" i="1"/>
  <c r="E3935" i="1"/>
  <c r="E3934" i="1"/>
  <c r="E3933" i="1"/>
  <c r="E3932" i="1"/>
  <c r="E3931" i="1"/>
  <c r="E3930" i="1"/>
  <c r="E3929" i="1"/>
  <c r="E3928" i="1"/>
  <c r="E3927" i="1"/>
  <c r="E3926" i="1"/>
  <c r="E3925" i="1"/>
  <c r="E3924" i="1"/>
  <c r="E3923" i="1"/>
  <c r="E3922" i="1"/>
  <c r="E3921" i="1"/>
  <c r="E3920" i="1"/>
  <c r="E3919" i="1"/>
  <c r="E3918" i="1"/>
  <c r="E3917" i="1"/>
  <c r="E3916" i="1"/>
  <c r="E3915" i="1"/>
  <c r="E3914" i="1"/>
  <c r="E3913" i="1"/>
  <c r="E3912" i="1"/>
  <c r="E3911" i="1"/>
  <c r="E3910" i="1"/>
  <c r="E3909" i="1"/>
  <c r="E3908" i="1"/>
  <c r="E3907" i="1"/>
  <c r="E3906" i="1"/>
  <c r="E3905" i="1"/>
  <c r="E3904" i="1"/>
  <c r="E3903" i="1"/>
  <c r="E3902" i="1"/>
  <c r="E3901" i="1"/>
  <c r="E3900" i="1"/>
  <c r="E3899" i="1"/>
  <c r="E3898" i="1"/>
  <c r="E3897" i="1"/>
  <c r="E3896" i="1"/>
  <c r="E3895" i="1"/>
  <c r="E3894" i="1"/>
  <c r="E3893" i="1"/>
  <c r="E3892" i="1"/>
  <c r="E3891" i="1"/>
  <c r="E3890" i="1"/>
  <c r="E3889" i="1"/>
  <c r="E3888" i="1"/>
  <c r="E3887" i="1"/>
  <c r="E3886" i="1"/>
  <c r="E3885" i="1"/>
  <c r="E3884" i="1"/>
  <c r="E3883" i="1"/>
  <c r="E3882" i="1"/>
  <c r="E3881" i="1"/>
  <c r="E3880" i="1"/>
  <c r="E3879" i="1"/>
  <c r="E3878" i="1"/>
  <c r="E3877" i="1"/>
  <c r="E3876" i="1"/>
  <c r="E3875" i="1"/>
  <c r="E3874" i="1"/>
  <c r="E3873" i="1"/>
  <c r="E3872" i="1"/>
  <c r="E3871" i="1"/>
  <c r="E3870" i="1"/>
  <c r="E3869" i="1"/>
  <c r="E3868" i="1"/>
  <c r="E3867" i="1"/>
  <c r="E3866" i="1"/>
  <c r="E3865" i="1"/>
  <c r="E3864" i="1"/>
  <c r="E3863" i="1"/>
  <c r="E3862" i="1"/>
  <c r="E3861" i="1"/>
  <c r="E3860" i="1"/>
  <c r="E3859" i="1"/>
  <c r="E3858" i="1"/>
  <c r="E3857" i="1"/>
  <c r="E3856" i="1"/>
  <c r="E3855" i="1"/>
  <c r="E3854" i="1"/>
  <c r="E3853" i="1"/>
  <c r="E3852" i="1"/>
  <c r="E3851" i="1"/>
  <c r="E3850" i="1"/>
  <c r="E3849" i="1"/>
  <c r="E3848" i="1"/>
  <c r="E3847" i="1"/>
  <c r="E3846" i="1"/>
  <c r="E3845" i="1"/>
  <c r="E3844" i="1"/>
  <c r="E3843" i="1"/>
  <c r="E3842" i="1"/>
  <c r="E3841" i="1"/>
  <c r="E3840" i="1"/>
  <c r="E3839" i="1"/>
  <c r="E3838" i="1"/>
  <c r="E3837" i="1"/>
  <c r="E3836" i="1"/>
  <c r="E3835" i="1"/>
  <c r="E3834" i="1"/>
  <c r="E3833" i="1"/>
  <c r="E3832" i="1"/>
  <c r="E3831" i="1"/>
  <c r="E3830" i="1"/>
  <c r="E3829" i="1"/>
  <c r="E3828" i="1"/>
  <c r="E3827" i="1"/>
  <c r="E3826" i="1"/>
  <c r="E3825" i="1"/>
  <c r="E3824" i="1"/>
  <c r="E3823" i="1"/>
  <c r="E3822" i="1"/>
  <c r="E3821" i="1"/>
  <c r="E3820" i="1"/>
  <c r="E3819" i="1"/>
  <c r="E3818" i="1"/>
  <c r="E3817" i="1"/>
  <c r="E3816" i="1"/>
  <c r="E3815" i="1"/>
  <c r="E3814" i="1"/>
  <c r="E3813" i="1"/>
  <c r="E3812" i="1"/>
  <c r="E3811" i="1"/>
  <c r="E3810" i="1"/>
  <c r="E3809" i="1"/>
  <c r="E3808" i="1"/>
  <c r="E3807" i="1"/>
  <c r="E3806" i="1"/>
  <c r="E3805" i="1"/>
  <c r="E3804" i="1"/>
  <c r="E3803" i="1"/>
  <c r="E3802" i="1"/>
  <c r="E3801" i="1"/>
  <c r="E3800" i="1"/>
  <c r="E3799" i="1"/>
  <c r="E3798" i="1"/>
  <c r="E3797" i="1"/>
  <c r="E3796" i="1"/>
  <c r="E3795" i="1"/>
  <c r="E3794" i="1"/>
  <c r="E3793" i="1"/>
  <c r="E3792" i="1"/>
  <c r="E3791" i="1"/>
  <c r="E3790" i="1"/>
  <c r="E3789" i="1"/>
  <c r="E3788" i="1"/>
  <c r="E3787" i="1"/>
  <c r="E3786" i="1"/>
  <c r="E3785" i="1"/>
  <c r="E3784" i="1"/>
  <c r="E3783" i="1"/>
  <c r="E3782" i="1"/>
  <c r="E3781" i="1"/>
  <c r="E3780" i="1"/>
  <c r="E3779" i="1"/>
  <c r="E3778" i="1"/>
  <c r="E3777" i="1"/>
  <c r="E3776" i="1"/>
  <c r="E3775" i="1"/>
  <c r="E3774" i="1"/>
  <c r="E3773" i="1"/>
  <c r="E3772" i="1"/>
  <c r="E3771" i="1"/>
  <c r="E3770" i="1"/>
  <c r="E3769" i="1"/>
  <c r="E3768" i="1"/>
  <c r="E3767" i="1"/>
  <c r="E3766" i="1"/>
  <c r="E3765" i="1"/>
  <c r="E3764" i="1"/>
  <c r="E3763" i="1"/>
  <c r="E3762" i="1"/>
  <c r="E3761" i="1"/>
  <c r="E3760" i="1"/>
  <c r="E3759" i="1"/>
  <c r="E3758" i="1"/>
  <c r="E3757" i="1"/>
  <c r="E3756" i="1"/>
  <c r="E3755" i="1"/>
  <c r="E3754" i="1"/>
  <c r="E3753" i="1"/>
  <c r="E3752" i="1"/>
  <c r="E3751" i="1"/>
  <c r="E3750" i="1"/>
  <c r="E3749" i="1"/>
  <c r="E3748" i="1"/>
  <c r="E3747" i="1"/>
  <c r="E3746" i="1"/>
  <c r="E3745" i="1"/>
  <c r="E3744" i="1"/>
  <c r="E3743" i="1"/>
  <c r="E3742" i="1"/>
  <c r="E3741" i="1"/>
  <c r="E3740" i="1"/>
  <c r="E3739" i="1"/>
  <c r="E3738" i="1"/>
  <c r="E3737" i="1"/>
  <c r="E3736" i="1"/>
  <c r="E3735" i="1"/>
  <c r="E3734" i="1"/>
  <c r="E3733" i="1"/>
  <c r="E3732" i="1"/>
  <c r="E3731" i="1"/>
  <c r="E3730" i="1"/>
  <c r="E3729" i="1"/>
  <c r="E3728" i="1"/>
  <c r="E3727" i="1"/>
  <c r="E3726" i="1"/>
  <c r="E3725" i="1"/>
  <c r="E3724" i="1"/>
  <c r="E3723" i="1"/>
  <c r="E3722" i="1"/>
  <c r="E3721" i="1"/>
  <c r="E3720" i="1"/>
  <c r="E3719" i="1"/>
  <c r="E3718" i="1"/>
  <c r="E3717" i="1"/>
  <c r="E3716" i="1"/>
  <c r="E3715" i="1"/>
  <c r="E3714" i="1"/>
  <c r="E3713" i="1"/>
  <c r="E3712" i="1"/>
  <c r="E3711" i="1"/>
  <c r="E3710" i="1"/>
  <c r="E3709" i="1"/>
  <c r="E3708" i="1"/>
  <c r="E3707" i="1"/>
  <c r="E3706" i="1"/>
  <c r="E3705" i="1"/>
  <c r="E3704" i="1"/>
  <c r="E3703" i="1"/>
  <c r="E3702" i="1"/>
  <c r="E3701" i="1"/>
  <c r="E3700" i="1"/>
  <c r="E3699" i="1"/>
  <c r="E3698" i="1"/>
  <c r="E3697" i="1"/>
  <c r="E3696" i="1"/>
  <c r="E3695" i="1"/>
  <c r="E3694" i="1"/>
  <c r="E3693" i="1"/>
  <c r="E3692" i="1"/>
  <c r="E3691" i="1"/>
  <c r="E3690" i="1"/>
  <c r="E3689" i="1"/>
  <c r="E3688" i="1"/>
  <c r="E3687" i="1"/>
  <c r="E3686" i="1"/>
  <c r="E3685" i="1"/>
  <c r="E3684" i="1"/>
  <c r="E3683" i="1"/>
  <c r="E3682" i="1"/>
  <c r="E3681" i="1"/>
  <c r="E3680" i="1"/>
  <c r="E3679" i="1"/>
  <c r="E3678" i="1"/>
  <c r="E3677" i="1"/>
  <c r="E3676" i="1"/>
  <c r="E3675" i="1"/>
  <c r="E3674" i="1"/>
  <c r="E3673" i="1"/>
  <c r="E3672" i="1"/>
  <c r="E3671" i="1"/>
  <c r="E3670" i="1"/>
  <c r="E3669" i="1"/>
  <c r="E3668" i="1"/>
  <c r="E3667" i="1"/>
  <c r="E3666" i="1"/>
  <c r="E3665" i="1"/>
  <c r="E3664" i="1"/>
  <c r="E3663" i="1"/>
  <c r="E3662" i="1"/>
  <c r="E3661" i="1"/>
  <c r="E3660" i="1"/>
  <c r="E3659" i="1"/>
  <c r="E3658" i="1"/>
  <c r="E3657" i="1"/>
  <c r="E3656" i="1"/>
  <c r="E3655" i="1"/>
  <c r="E3654" i="1"/>
  <c r="E3653" i="1"/>
  <c r="E3652" i="1"/>
  <c r="E3651" i="1"/>
  <c r="E3650" i="1"/>
  <c r="E3649" i="1"/>
  <c r="E3648" i="1"/>
  <c r="E3647" i="1"/>
  <c r="E3646" i="1"/>
  <c r="E3645" i="1"/>
  <c r="E3644" i="1"/>
  <c r="E3643" i="1"/>
  <c r="E3642" i="1"/>
  <c r="E3641" i="1"/>
  <c r="E3640" i="1"/>
  <c r="E3639" i="1"/>
  <c r="E3638" i="1"/>
  <c r="E3637" i="1"/>
  <c r="E3636" i="1"/>
  <c r="E3635" i="1"/>
  <c r="E3634" i="1"/>
  <c r="E3633" i="1"/>
  <c r="E3632" i="1"/>
  <c r="E3631" i="1"/>
  <c r="E3630" i="1"/>
  <c r="E3629" i="1"/>
  <c r="E3628" i="1"/>
  <c r="E3627" i="1"/>
  <c r="E3626" i="1"/>
  <c r="E3625" i="1"/>
  <c r="E3624" i="1"/>
  <c r="E3623" i="1"/>
  <c r="E3622" i="1"/>
  <c r="E3621" i="1"/>
  <c r="E3620" i="1"/>
  <c r="E3619" i="1"/>
  <c r="E3618" i="1"/>
  <c r="E3617" i="1"/>
  <c r="E3616" i="1"/>
  <c r="E3615" i="1"/>
  <c r="E3614" i="1"/>
  <c r="E3613" i="1"/>
  <c r="E3612" i="1"/>
  <c r="E3611" i="1"/>
  <c r="E3610" i="1"/>
  <c r="E3609" i="1"/>
  <c r="E3608" i="1"/>
  <c r="E3607" i="1"/>
  <c r="E3606" i="1"/>
  <c r="E3605" i="1"/>
  <c r="E3604" i="1"/>
  <c r="E3603" i="1"/>
  <c r="E3602" i="1"/>
  <c r="E3601" i="1"/>
  <c r="E3600" i="1"/>
  <c r="E3599" i="1"/>
  <c r="E3598" i="1"/>
  <c r="E3597" i="1"/>
  <c r="E3596" i="1"/>
  <c r="E3595" i="1"/>
  <c r="E3594" i="1"/>
  <c r="E3593" i="1"/>
  <c r="E3592" i="1"/>
  <c r="E3591" i="1"/>
  <c r="E3590" i="1"/>
  <c r="E3589" i="1"/>
  <c r="E3588" i="1"/>
  <c r="E3587" i="1"/>
  <c r="E3586" i="1"/>
  <c r="E3585" i="1"/>
  <c r="E3584" i="1"/>
  <c r="E3583" i="1"/>
  <c r="E3582" i="1"/>
  <c r="E3581" i="1"/>
  <c r="E3580" i="1"/>
  <c r="E3579" i="1"/>
  <c r="E3578" i="1"/>
  <c r="E3577" i="1"/>
  <c r="E3576" i="1"/>
  <c r="E3575" i="1"/>
  <c r="E3574" i="1"/>
  <c r="E3573" i="1"/>
  <c r="E3572" i="1"/>
  <c r="E3571" i="1"/>
  <c r="E3570" i="1"/>
  <c r="E3569" i="1"/>
  <c r="E3568" i="1"/>
  <c r="E3567" i="1"/>
  <c r="E3566" i="1"/>
  <c r="E3565" i="1"/>
  <c r="E3564" i="1"/>
  <c r="E3563" i="1"/>
  <c r="E3562" i="1"/>
  <c r="E3561" i="1"/>
  <c r="E3560" i="1"/>
  <c r="E3559" i="1"/>
  <c r="E3558" i="1"/>
  <c r="E3557" i="1"/>
  <c r="E3556" i="1"/>
  <c r="E3555" i="1"/>
  <c r="E3554" i="1"/>
  <c r="E3553" i="1"/>
  <c r="E3552" i="1"/>
  <c r="E3551" i="1"/>
  <c r="E3550" i="1"/>
  <c r="E3549" i="1"/>
  <c r="E3548" i="1"/>
  <c r="E3547" i="1"/>
  <c r="E3546" i="1"/>
  <c r="E3545" i="1"/>
  <c r="E3544" i="1"/>
  <c r="E3543" i="1"/>
  <c r="E3542" i="1"/>
  <c r="E3541" i="1"/>
  <c r="E3540" i="1"/>
  <c r="E3539" i="1"/>
  <c r="E3538" i="1"/>
  <c r="E3537" i="1"/>
  <c r="E3536" i="1"/>
  <c r="E3535" i="1"/>
  <c r="E3534" i="1"/>
  <c r="E3533" i="1"/>
  <c r="E3532" i="1"/>
  <c r="E3531" i="1"/>
  <c r="E3530" i="1"/>
  <c r="E3529" i="1"/>
  <c r="E3528" i="1"/>
  <c r="E3527" i="1"/>
  <c r="E3526" i="1"/>
  <c r="E3525" i="1"/>
  <c r="E3524" i="1"/>
  <c r="E3523" i="1"/>
  <c r="E3522" i="1"/>
  <c r="E3521" i="1"/>
  <c r="E3520" i="1"/>
  <c r="E3519" i="1"/>
  <c r="E3518" i="1"/>
  <c r="E3517" i="1"/>
  <c r="E3516" i="1"/>
  <c r="E3515" i="1"/>
  <c r="E3514" i="1"/>
  <c r="E3513" i="1"/>
  <c r="E3512" i="1"/>
  <c r="E3511" i="1"/>
  <c r="E3510" i="1"/>
  <c r="E3509" i="1"/>
  <c r="E3508" i="1"/>
  <c r="E3507" i="1"/>
  <c r="E3506" i="1"/>
  <c r="E3505" i="1"/>
  <c r="E3504" i="1"/>
  <c r="E3503" i="1"/>
  <c r="E3502" i="1"/>
  <c r="E3501" i="1"/>
  <c r="E3500" i="1"/>
  <c r="E3499" i="1"/>
  <c r="E3498" i="1"/>
  <c r="E3497" i="1"/>
  <c r="E3496" i="1"/>
  <c r="E3495" i="1"/>
  <c r="E3494" i="1"/>
  <c r="E3493" i="1"/>
  <c r="E3492" i="1"/>
  <c r="E3491" i="1"/>
  <c r="E3490" i="1"/>
  <c r="E3489" i="1"/>
  <c r="E3488" i="1"/>
  <c r="E3487" i="1"/>
  <c r="E3486" i="1"/>
  <c r="E3485" i="1"/>
  <c r="E3484" i="1"/>
  <c r="E3483" i="1"/>
  <c r="E3482" i="1"/>
  <c r="E3481" i="1"/>
  <c r="E3480" i="1"/>
  <c r="E3479" i="1"/>
  <c r="E3478" i="1"/>
  <c r="E3477" i="1"/>
  <c r="E3476" i="1"/>
  <c r="E3475" i="1"/>
  <c r="E3474" i="1"/>
  <c r="E3473" i="1"/>
  <c r="E3472" i="1"/>
  <c r="E3471" i="1"/>
  <c r="E3470" i="1"/>
  <c r="E3469" i="1"/>
  <c r="E3468" i="1"/>
  <c r="E3467" i="1"/>
  <c r="E3466" i="1"/>
  <c r="E3465" i="1"/>
  <c r="E3464" i="1"/>
  <c r="E3463" i="1"/>
  <c r="E3462" i="1"/>
  <c r="E3461" i="1"/>
  <c r="E3460" i="1"/>
  <c r="E3459" i="1"/>
  <c r="E3458" i="1"/>
  <c r="E3457" i="1"/>
  <c r="E3456" i="1"/>
  <c r="E3455" i="1"/>
  <c r="E3454" i="1"/>
  <c r="E3453" i="1"/>
  <c r="E3452" i="1"/>
  <c r="E3451" i="1"/>
  <c r="E3450" i="1"/>
  <c r="E3449" i="1"/>
  <c r="E3448" i="1"/>
  <c r="E3447" i="1"/>
  <c r="E3446" i="1"/>
  <c r="E3445" i="1"/>
  <c r="E3444" i="1"/>
  <c r="E3443" i="1"/>
  <c r="E3442" i="1"/>
  <c r="E3441" i="1"/>
  <c r="E3440" i="1"/>
  <c r="E3439" i="1"/>
  <c r="E3438" i="1"/>
  <c r="E3437" i="1"/>
  <c r="E3436" i="1"/>
  <c r="E3435" i="1"/>
  <c r="E3434" i="1"/>
  <c r="E3433" i="1"/>
  <c r="E3432" i="1"/>
  <c r="E3431" i="1"/>
  <c r="E3430" i="1"/>
  <c r="E3429" i="1"/>
  <c r="E3428" i="1"/>
  <c r="E3427" i="1"/>
  <c r="E3426" i="1"/>
  <c r="E3425" i="1"/>
  <c r="E3424" i="1"/>
  <c r="E3423" i="1"/>
  <c r="E3422" i="1"/>
  <c r="E3421" i="1"/>
  <c r="E3420" i="1"/>
  <c r="E3419" i="1"/>
  <c r="E3418" i="1"/>
  <c r="E3417" i="1"/>
  <c r="E3416" i="1"/>
  <c r="E3415" i="1"/>
  <c r="E3414" i="1"/>
  <c r="E3413" i="1"/>
  <c r="E3412" i="1"/>
  <c r="E3411" i="1"/>
  <c r="E3410" i="1"/>
  <c r="E3409" i="1"/>
  <c r="E3408" i="1"/>
  <c r="E3407" i="1"/>
  <c r="E3406" i="1"/>
  <c r="E3405" i="1"/>
  <c r="E3404" i="1"/>
  <c r="E3403" i="1"/>
  <c r="E3402" i="1"/>
  <c r="E3401" i="1"/>
  <c r="E3400" i="1"/>
  <c r="E3399" i="1"/>
  <c r="E3398" i="1"/>
  <c r="E3397" i="1"/>
  <c r="E3396" i="1"/>
  <c r="E3395" i="1"/>
  <c r="E3394" i="1"/>
  <c r="E3393" i="1"/>
  <c r="E3392" i="1"/>
  <c r="E3391" i="1"/>
  <c r="E3390" i="1"/>
  <c r="E3389" i="1"/>
  <c r="E3388" i="1"/>
  <c r="E3387" i="1"/>
  <c r="E3386" i="1"/>
  <c r="E3385" i="1"/>
  <c r="E3384" i="1"/>
  <c r="E3383" i="1"/>
  <c r="E3382" i="1"/>
  <c r="E3381" i="1"/>
  <c r="E3380" i="1"/>
  <c r="E3379" i="1"/>
  <c r="E3378" i="1"/>
  <c r="E3377" i="1"/>
  <c r="E3376" i="1"/>
  <c r="E3375" i="1"/>
  <c r="E3374" i="1"/>
  <c r="E3373" i="1"/>
  <c r="E3372" i="1"/>
  <c r="E3371" i="1"/>
  <c r="E3370" i="1"/>
  <c r="E3369" i="1"/>
  <c r="E3368" i="1"/>
  <c r="E3367" i="1"/>
  <c r="E3366" i="1"/>
  <c r="E3365" i="1"/>
  <c r="E3364" i="1"/>
  <c r="E3363" i="1"/>
  <c r="E3362" i="1"/>
  <c r="E3361" i="1"/>
  <c r="E3360" i="1"/>
  <c r="E3359" i="1"/>
  <c r="E3358" i="1"/>
  <c r="E3357" i="1"/>
  <c r="E3356" i="1"/>
  <c r="E3355" i="1"/>
  <c r="E3354" i="1"/>
  <c r="E3353" i="1"/>
  <c r="E3352" i="1"/>
  <c r="E3351" i="1"/>
  <c r="E3350" i="1"/>
  <c r="E3349" i="1"/>
  <c r="E3348" i="1"/>
  <c r="E3347" i="1"/>
  <c r="E3346" i="1"/>
  <c r="E3345" i="1"/>
  <c r="E3344" i="1"/>
  <c r="E3343" i="1"/>
  <c r="E3342" i="1"/>
  <c r="E3341" i="1"/>
  <c r="E3340" i="1"/>
  <c r="E3339" i="1"/>
  <c r="E3338" i="1"/>
  <c r="E3337" i="1"/>
  <c r="E3336" i="1"/>
  <c r="E3335" i="1"/>
  <c r="E3334" i="1"/>
  <c r="E3333" i="1"/>
  <c r="E3332" i="1"/>
  <c r="E3331" i="1"/>
  <c r="E3330" i="1"/>
  <c r="E3329" i="1"/>
  <c r="E3328" i="1"/>
  <c r="E3327" i="1"/>
  <c r="E3326" i="1"/>
  <c r="E3325" i="1"/>
  <c r="E3324" i="1"/>
  <c r="E3323" i="1"/>
  <c r="E3322" i="1"/>
  <c r="E3321" i="1"/>
  <c r="E3320" i="1"/>
  <c r="E3319" i="1"/>
  <c r="E3318" i="1"/>
  <c r="E3317" i="1"/>
  <c r="E3316" i="1"/>
  <c r="E3315" i="1"/>
  <c r="E3314" i="1"/>
  <c r="E3313" i="1"/>
  <c r="E3312" i="1"/>
  <c r="E3311" i="1"/>
  <c r="E3310" i="1"/>
  <c r="E3309" i="1"/>
  <c r="E3308" i="1"/>
  <c r="E3307" i="1"/>
  <c r="E3306" i="1"/>
  <c r="E3305" i="1"/>
  <c r="E3304" i="1"/>
  <c r="E3303" i="1"/>
  <c r="E3302" i="1"/>
  <c r="E3301" i="1"/>
  <c r="E3300" i="1"/>
  <c r="E3299" i="1"/>
  <c r="E3298" i="1"/>
  <c r="E3297" i="1"/>
  <c r="E3296" i="1"/>
  <c r="E3295" i="1"/>
  <c r="E3294" i="1"/>
  <c r="E3293" i="1"/>
  <c r="E3292" i="1"/>
  <c r="E3291" i="1"/>
  <c r="E3290" i="1"/>
  <c r="E3289" i="1"/>
  <c r="E3288" i="1"/>
  <c r="E3287" i="1"/>
  <c r="E3286" i="1"/>
  <c r="E3285" i="1"/>
  <c r="E3284" i="1"/>
  <c r="E3283" i="1"/>
  <c r="E3282" i="1"/>
  <c r="E3281" i="1"/>
  <c r="E3280" i="1"/>
  <c r="E3279" i="1"/>
  <c r="E3278" i="1"/>
  <c r="E3277" i="1"/>
  <c r="E3276" i="1"/>
  <c r="E3275" i="1"/>
  <c r="E3274" i="1"/>
  <c r="E3273" i="1"/>
  <c r="E3272" i="1"/>
  <c r="E3271" i="1"/>
  <c r="E3270" i="1"/>
  <c r="E3269" i="1"/>
  <c r="E3268" i="1"/>
  <c r="E3267" i="1"/>
  <c r="E3266" i="1"/>
  <c r="E3265" i="1"/>
  <c r="E3264" i="1"/>
  <c r="E3263" i="1"/>
  <c r="E3262" i="1"/>
  <c r="E3261" i="1"/>
  <c r="E3260" i="1"/>
  <c r="E3259" i="1"/>
  <c r="E3258" i="1"/>
  <c r="E3257" i="1"/>
  <c r="E3256" i="1"/>
  <c r="E3255" i="1"/>
  <c r="E3254" i="1"/>
  <c r="E3253" i="1"/>
  <c r="E3252" i="1"/>
  <c r="E3251" i="1"/>
  <c r="E3250" i="1"/>
  <c r="E3249" i="1"/>
  <c r="E3248" i="1"/>
  <c r="E3247" i="1"/>
  <c r="E3246" i="1"/>
  <c r="E3245" i="1"/>
  <c r="E3244" i="1"/>
  <c r="E3243" i="1"/>
  <c r="E3242" i="1"/>
  <c r="E3241" i="1"/>
  <c r="E3240" i="1"/>
  <c r="E3239" i="1"/>
  <c r="E3238" i="1"/>
  <c r="E3237" i="1"/>
  <c r="E3236" i="1"/>
  <c r="E3235" i="1"/>
  <c r="E3234" i="1"/>
  <c r="E3233" i="1"/>
  <c r="E3232" i="1"/>
  <c r="E3231" i="1"/>
  <c r="E3230" i="1"/>
  <c r="E3229" i="1"/>
  <c r="E3228" i="1"/>
  <c r="E3227" i="1"/>
  <c r="E3226" i="1"/>
  <c r="E3225" i="1"/>
  <c r="E3224" i="1"/>
  <c r="E3223" i="1"/>
  <c r="E3222" i="1"/>
  <c r="E3221" i="1"/>
  <c r="E3220" i="1"/>
  <c r="E3219" i="1"/>
  <c r="E3218" i="1"/>
  <c r="E3217" i="1"/>
  <c r="E3216" i="1"/>
  <c r="E3215" i="1"/>
  <c r="E3214" i="1"/>
  <c r="E3213" i="1"/>
  <c r="E3212" i="1"/>
  <c r="E3211" i="1"/>
  <c r="E3210" i="1"/>
  <c r="E3209" i="1"/>
  <c r="E3208" i="1"/>
  <c r="E3207" i="1"/>
  <c r="E3206" i="1"/>
  <c r="E3205" i="1"/>
  <c r="E3204" i="1"/>
  <c r="E3203" i="1"/>
  <c r="E3202" i="1"/>
  <c r="E3201" i="1"/>
  <c r="E3200" i="1"/>
  <c r="E3199" i="1"/>
  <c r="E3198" i="1"/>
  <c r="E3197" i="1"/>
  <c r="E3196" i="1"/>
  <c r="E3195" i="1"/>
  <c r="E3194" i="1"/>
  <c r="E3193" i="1"/>
  <c r="E3192" i="1"/>
  <c r="E3191" i="1"/>
  <c r="E3190" i="1"/>
  <c r="E3189" i="1"/>
  <c r="E3188" i="1"/>
  <c r="E3187" i="1"/>
  <c r="E3186" i="1"/>
  <c r="E3185" i="1"/>
  <c r="E3184" i="1"/>
  <c r="E3183" i="1"/>
  <c r="E3182" i="1"/>
  <c r="E3181" i="1"/>
  <c r="E3180" i="1"/>
  <c r="E3179" i="1"/>
  <c r="E3178" i="1"/>
  <c r="E3177" i="1"/>
  <c r="E3176" i="1"/>
  <c r="E3175" i="1"/>
  <c r="E3174" i="1"/>
  <c r="E3173" i="1"/>
  <c r="E3172" i="1"/>
  <c r="E3171" i="1"/>
  <c r="E3170" i="1"/>
  <c r="E3169" i="1"/>
  <c r="E3168" i="1"/>
  <c r="E3167" i="1"/>
  <c r="E3166" i="1"/>
  <c r="E3165" i="1"/>
  <c r="E3164" i="1"/>
  <c r="E3163" i="1"/>
  <c r="E3162" i="1"/>
  <c r="E3161" i="1"/>
  <c r="E3160" i="1"/>
  <c r="E3159" i="1"/>
  <c r="E3158" i="1"/>
  <c r="E3157" i="1"/>
  <c r="E3156" i="1"/>
  <c r="E3155" i="1"/>
  <c r="E3154" i="1"/>
  <c r="E3153" i="1"/>
  <c r="E3152" i="1"/>
  <c r="E3151" i="1"/>
  <c r="E3150" i="1"/>
  <c r="E3149" i="1"/>
  <c r="E3148" i="1"/>
  <c r="E3147" i="1"/>
  <c r="E3146" i="1"/>
  <c r="E3145" i="1"/>
  <c r="E3144" i="1"/>
  <c r="E3143" i="1"/>
  <c r="E3142" i="1"/>
  <c r="E3141" i="1"/>
  <c r="E3140" i="1"/>
  <c r="E3139" i="1"/>
  <c r="E3138" i="1"/>
  <c r="E3137" i="1"/>
  <c r="E3136" i="1"/>
  <c r="E3135" i="1"/>
  <c r="E3134" i="1"/>
  <c r="E3133" i="1"/>
  <c r="E3132" i="1"/>
  <c r="E3131" i="1"/>
  <c r="E3130" i="1"/>
  <c r="E3129" i="1"/>
  <c r="E3128" i="1"/>
  <c r="E3127" i="1"/>
  <c r="E3126" i="1"/>
  <c r="E3125" i="1"/>
  <c r="E3124" i="1"/>
  <c r="E3123" i="1"/>
  <c r="E3122" i="1"/>
  <c r="E3121" i="1"/>
  <c r="E3120" i="1"/>
  <c r="E3119" i="1"/>
  <c r="E3118" i="1"/>
  <c r="E3117" i="1"/>
  <c r="E3116" i="1"/>
  <c r="E3115" i="1"/>
  <c r="E3114" i="1"/>
  <c r="E3113" i="1"/>
  <c r="E3112" i="1"/>
  <c r="E3111" i="1"/>
  <c r="E3110" i="1"/>
  <c r="E3109" i="1"/>
  <c r="E3108" i="1"/>
  <c r="E3107" i="1"/>
  <c r="E3106" i="1"/>
  <c r="E3105" i="1"/>
  <c r="E3104" i="1"/>
  <c r="E3103" i="1"/>
  <c r="E3102" i="1"/>
  <c r="E3101" i="1"/>
  <c r="E3100" i="1"/>
  <c r="E3099" i="1"/>
  <c r="E3098" i="1"/>
  <c r="E3097" i="1"/>
  <c r="E3096" i="1"/>
  <c r="E3095" i="1"/>
  <c r="E3094" i="1"/>
  <c r="E3093" i="1"/>
  <c r="E3092" i="1"/>
  <c r="E3091" i="1"/>
  <c r="E3090" i="1"/>
  <c r="E3089" i="1"/>
  <c r="E3088" i="1"/>
  <c r="E3087" i="1"/>
  <c r="E3086" i="1"/>
  <c r="E3085" i="1"/>
  <c r="E3084" i="1"/>
  <c r="E3083" i="1"/>
  <c r="E3082" i="1"/>
  <c r="E3081" i="1"/>
  <c r="E3080" i="1"/>
  <c r="E3079" i="1"/>
  <c r="E3078" i="1"/>
  <c r="E3077" i="1"/>
  <c r="E3076" i="1"/>
  <c r="E3075" i="1"/>
  <c r="E3074" i="1"/>
  <c r="E3073" i="1"/>
  <c r="E3072" i="1"/>
  <c r="E3071" i="1"/>
  <c r="E3070" i="1"/>
  <c r="E3069" i="1"/>
  <c r="E3068" i="1"/>
  <c r="E3067" i="1"/>
  <c r="E3066" i="1"/>
  <c r="E3065" i="1"/>
  <c r="E3064" i="1"/>
  <c r="E3063" i="1"/>
  <c r="E3062" i="1"/>
  <c r="E3061" i="1"/>
  <c r="E3060" i="1"/>
  <c r="E3059" i="1"/>
  <c r="E3058" i="1"/>
  <c r="E3057" i="1"/>
  <c r="E3056" i="1"/>
  <c r="E3055" i="1"/>
  <c r="E3054" i="1"/>
  <c r="E3053" i="1"/>
  <c r="E3052" i="1"/>
  <c r="E3051" i="1"/>
  <c r="E3050" i="1"/>
  <c r="E3049" i="1"/>
  <c r="E3048" i="1"/>
  <c r="E3047" i="1"/>
  <c r="E3046" i="1"/>
  <c r="E3045" i="1"/>
  <c r="E3044" i="1"/>
  <c r="E3043" i="1"/>
  <c r="E3042" i="1"/>
  <c r="E3041" i="1"/>
  <c r="E3040" i="1"/>
  <c r="E3039" i="1"/>
  <c r="E3038" i="1"/>
  <c r="E3037" i="1"/>
  <c r="E3036" i="1"/>
  <c r="E3035" i="1"/>
  <c r="E3034" i="1"/>
  <c r="E3033" i="1"/>
  <c r="E3032" i="1"/>
  <c r="E3031" i="1"/>
  <c r="E3030" i="1"/>
  <c r="E3029" i="1"/>
  <c r="E3028" i="1"/>
  <c r="E3027" i="1"/>
  <c r="E3026" i="1"/>
  <c r="E3025" i="1"/>
  <c r="E3024" i="1"/>
  <c r="E3023" i="1"/>
  <c r="E3022" i="1"/>
  <c r="E3021" i="1"/>
  <c r="E3020" i="1"/>
  <c r="E3019" i="1"/>
  <c r="E3018" i="1"/>
  <c r="E3017" i="1"/>
  <c r="E3016" i="1"/>
  <c r="E3015" i="1"/>
  <c r="E3014" i="1"/>
  <c r="E3013" i="1"/>
  <c r="E3012" i="1"/>
  <c r="E3011" i="1"/>
  <c r="E3010" i="1"/>
  <c r="E3009" i="1"/>
  <c r="E3008" i="1"/>
  <c r="E3007" i="1"/>
  <c r="E3006" i="1"/>
  <c r="E3005" i="1"/>
  <c r="E3004" i="1"/>
  <c r="E3003" i="1"/>
  <c r="E3002" i="1"/>
  <c r="E3001" i="1"/>
  <c r="E3000" i="1"/>
  <c r="E2999" i="1"/>
  <c r="E2998" i="1"/>
  <c r="E2997" i="1"/>
  <c r="E2996" i="1"/>
  <c r="E2995" i="1"/>
  <c r="E2994" i="1"/>
  <c r="E2993" i="1"/>
  <c r="E2992" i="1"/>
  <c r="E2991" i="1"/>
  <c r="E2990" i="1"/>
  <c r="E2989" i="1"/>
  <c r="E2988" i="1"/>
  <c r="E2987" i="1"/>
  <c r="E2986" i="1"/>
  <c r="E2985" i="1"/>
  <c r="E2984" i="1"/>
  <c r="E2983" i="1"/>
  <c r="E2982" i="1"/>
  <c r="E2981" i="1"/>
  <c r="E2980" i="1"/>
  <c r="E2979" i="1"/>
  <c r="E2978" i="1"/>
  <c r="E2977" i="1"/>
  <c r="E2976" i="1"/>
  <c r="E2975" i="1"/>
  <c r="E2974" i="1"/>
  <c r="E2973" i="1"/>
  <c r="E2972" i="1"/>
  <c r="E2971" i="1"/>
  <c r="E2970" i="1"/>
  <c r="E2969" i="1"/>
  <c r="E2968" i="1"/>
  <c r="E2967" i="1"/>
  <c r="E2966" i="1"/>
  <c r="E2965" i="1"/>
  <c r="E2964" i="1"/>
  <c r="E2963" i="1"/>
  <c r="E2962" i="1"/>
  <c r="E2961" i="1"/>
  <c r="E2960" i="1"/>
  <c r="E2959" i="1"/>
  <c r="E2958" i="1"/>
  <c r="E2957" i="1"/>
  <c r="E2956" i="1"/>
  <c r="E2955" i="1"/>
  <c r="E2954" i="1"/>
  <c r="E2953" i="1"/>
  <c r="E2952" i="1"/>
  <c r="E2951" i="1"/>
  <c r="E2950" i="1"/>
  <c r="E2949" i="1"/>
  <c r="E2948" i="1"/>
  <c r="E2947" i="1"/>
  <c r="E2946" i="1"/>
  <c r="E2945" i="1"/>
  <c r="E2944" i="1"/>
  <c r="E2943" i="1"/>
  <c r="E2942" i="1"/>
  <c r="E2941" i="1"/>
  <c r="E2940" i="1"/>
  <c r="E2939" i="1"/>
  <c r="E2938" i="1"/>
  <c r="E2937" i="1"/>
  <c r="E2936" i="1"/>
  <c r="E2935" i="1"/>
  <c r="E2934" i="1"/>
  <c r="E2933" i="1"/>
  <c r="E2932" i="1"/>
  <c r="E2931" i="1"/>
  <c r="E2930" i="1"/>
  <c r="E2929" i="1"/>
  <c r="E2928" i="1"/>
  <c r="E2927" i="1"/>
  <c r="E2926" i="1"/>
  <c r="E2925" i="1"/>
  <c r="E2924" i="1"/>
  <c r="E2923" i="1"/>
  <c r="E2922" i="1"/>
  <c r="E2921" i="1"/>
  <c r="E2920" i="1"/>
  <c r="E2919" i="1"/>
  <c r="E2918" i="1"/>
  <c r="E2917" i="1"/>
  <c r="E2916" i="1"/>
  <c r="E2915" i="1"/>
  <c r="E2914" i="1"/>
  <c r="E2913" i="1"/>
  <c r="E2912" i="1"/>
  <c r="E2911" i="1"/>
  <c r="E2910" i="1"/>
  <c r="E2909" i="1"/>
  <c r="E2908" i="1"/>
  <c r="E2907" i="1"/>
  <c r="E2906" i="1"/>
  <c r="E2905" i="1"/>
  <c r="E2904" i="1"/>
  <c r="E2903" i="1"/>
  <c r="E2902" i="1"/>
  <c r="E2901" i="1"/>
  <c r="E2900" i="1"/>
  <c r="E2899" i="1"/>
  <c r="E2898" i="1"/>
  <c r="E2897" i="1"/>
  <c r="E2896" i="1"/>
  <c r="E2895" i="1"/>
  <c r="E2894" i="1"/>
  <c r="E2893" i="1"/>
  <c r="E2892" i="1"/>
  <c r="E2891" i="1"/>
  <c r="E2890" i="1"/>
  <c r="E2889" i="1"/>
  <c r="E2888" i="1"/>
  <c r="E2887" i="1"/>
  <c r="E2886" i="1"/>
  <c r="E2885" i="1"/>
  <c r="E2884" i="1"/>
  <c r="E2883" i="1"/>
  <c r="E2882" i="1"/>
  <c r="E2881" i="1"/>
  <c r="E2880" i="1"/>
  <c r="E2879" i="1"/>
  <c r="E2878" i="1"/>
  <c r="E2877" i="1"/>
  <c r="E2876" i="1"/>
  <c r="E2875" i="1"/>
  <c r="E2874" i="1"/>
  <c r="E2873" i="1"/>
  <c r="E2872" i="1"/>
  <c r="E2871" i="1"/>
  <c r="E2870" i="1"/>
  <c r="E2869" i="1"/>
  <c r="E2868" i="1"/>
  <c r="E2867" i="1"/>
  <c r="E2866" i="1"/>
  <c r="E2865" i="1"/>
  <c r="E2864" i="1"/>
  <c r="E2863" i="1"/>
  <c r="E2862" i="1"/>
  <c r="E2861" i="1"/>
  <c r="E2860" i="1"/>
  <c r="E2859" i="1"/>
  <c r="E2858" i="1"/>
  <c r="E2857" i="1"/>
  <c r="E2856" i="1"/>
  <c r="E2855" i="1"/>
  <c r="E2854" i="1"/>
  <c r="E2853" i="1"/>
  <c r="E2852" i="1"/>
  <c r="E2851" i="1"/>
  <c r="E2850" i="1"/>
  <c r="E2849" i="1"/>
  <c r="E2848" i="1"/>
  <c r="E2847" i="1"/>
  <c r="E2846" i="1"/>
  <c r="E2845" i="1"/>
  <c r="E2844" i="1"/>
  <c r="E2843" i="1"/>
  <c r="E2842" i="1"/>
  <c r="E2841" i="1"/>
  <c r="E2840" i="1"/>
  <c r="E2839" i="1"/>
  <c r="E2838" i="1"/>
  <c r="E2837" i="1"/>
  <c r="E2836" i="1"/>
  <c r="E2835" i="1"/>
  <c r="E2834" i="1"/>
  <c r="E2833" i="1"/>
  <c r="E2832" i="1"/>
  <c r="E2831" i="1"/>
  <c r="E2830" i="1"/>
  <c r="E2829" i="1"/>
  <c r="E2828" i="1"/>
  <c r="E2827" i="1"/>
  <c r="E2826" i="1"/>
  <c r="E2825" i="1"/>
  <c r="E2824" i="1"/>
  <c r="E2823" i="1"/>
  <c r="E2822" i="1"/>
  <c r="E2821" i="1"/>
  <c r="E2820" i="1"/>
  <c r="E2819" i="1"/>
  <c r="E2818" i="1"/>
  <c r="E2817" i="1"/>
  <c r="E2816" i="1"/>
  <c r="E2815" i="1"/>
  <c r="E2814" i="1"/>
  <c r="E2813" i="1"/>
  <c r="E2812" i="1"/>
  <c r="E2811" i="1"/>
  <c r="E2810" i="1"/>
  <c r="E2809" i="1"/>
  <c r="E2808" i="1"/>
  <c r="E2807" i="1"/>
  <c r="E2806" i="1"/>
  <c r="E2805" i="1"/>
  <c r="E2804" i="1"/>
  <c r="E2803" i="1"/>
  <c r="E2802" i="1"/>
  <c r="E2801" i="1"/>
  <c r="E2800" i="1"/>
  <c r="E2799" i="1"/>
  <c r="E2798" i="1"/>
  <c r="E2797" i="1"/>
  <c r="E2796" i="1"/>
  <c r="E2795" i="1"/>
  <c r="E2794" i="1"/>
  <c r="E2793" i="1"/>
  <c r="E2792" i="1"/>
  <c r="E2791" i="1"/>
  <c r="E2790" i="1"/>
  <c r="E2789" i="1"/>
  <c r="E2788" i="1"/>
  <c r="E2787" i="1"/>
  <c r="E2786" i="1"/>
  <c r="E2785" i="1"/>
  <c r="E2784" i="1"/>
  <c r="E2783" i="1"/>
  <c r="E2782" i="1"/>
  <c r="E2781" i="1"/>
  <c r="E2780" i="1"/>
  <c r="E2779" i="1"/>
  <c r="E2778" i="1"/>
  <c r="E2777" i="1"/>
  <c r="E2776" i="1"/>
  <c r="E2775" i="1"/>
  <c r="E2774" i="1"/>
  <c r="E2773" i="1"/>
  <c r="E2772" i="1"/>
  <c r="E2771" i="1"/>
  <c r="E2770" i="1"/>
  <c r="E2769" i="1"/>
  <c r="E2768" i="1"/>
  <c r="E2767" i="1"/>
  <c r="E2766" i="1"/>
  <c r="E2765" i="1"/>
  <c r="E2764" i="1"/>
  <c r="E2763" i="1"/>
  <c r="E2762" i="1"/>
  <c r="E2761" i="1"/>
  <c r="E2760" i="1"/>
  <c r="E2759" i="1"/>
  <c r="E2758" i="1"/>
  <c r="E2757" i="1"/>
  <c r="E2756" i="1"/>
  <c r="E2755" i="1"/>
  <c r="E2754" i="1"/>
  <c r="E2753" i="1"/>
  <c r="E2752" i="1"/>
  <c r="E2751" i="1"/>
  <c r="E2750" i="1"/>
  <c r="E2749" i="1"/>
  <c r="E2748" i="1"/>
  <c r="E2747" i="1"/>
  <c r="E2746" i="1"/>
  <c r="E2745" i="1"/>
  <c r="E2744" i="1"/>
  <c r="E2743" i="1"/>
  <c r="E2742" i="1"/>
  <c r="E2741" i="1"/>
  <c r="E2740" i="1"/>
  <c r="E2739" i="1"/>
  <c r="E2738" i="1"/>
  <c r="E2737" i="1"/>
  <c r="E2736" i="1"/>
  <c r="E2735" i="1"/>
  <c r="E2734" i="1"/>
  <c r="E2733" i="1"/>
  <c r="E2732" i="1"/>
  <c r="E2731" i="1"/>
  <c r="E2730" i="1"/>
  <c r="E2729" i="1"/>
  <c r="E2728" i="1"/>
  <c r="E2727" i="1"/>
  <c r="E2726" i="1"/>
  <c r="E2725" i="1"/>
  <c r="E2724" i="1"/>
  <c r="E2723" i="1"/>
  <c r="E2722" i="1"/>
  <c r="E2721" i="1"/>
  <c r="E2720" i="1"/>
  <c r="E2719" i="1"/>
  <c r="E2718" i="1"/>
  <c r="E2717" i="1"/>
  <c r="E2716" i="1"/>
  <c r="E2715" i="1"/>
  <c r="E2714" i="1"/>
  <c r="E2713" i="1"/>
  <c r="E2712" i="1"/>
  <c r="E2711" i="1"/>
  <c r="E2710" i="1"/>
  <c r="E2709" i="1"/>
  <c r="E2708" i="1"/>
  <c r="E2707" i="1"/>
  <c r="E2706" i="1"/>
  <c r="E2705" i="1"/>
  <c r="E2704" i="1"/>
  <c r="E2703" i="1"/>
  <c r="E2702" i="1"/>
  <c r="E2701" i="1"/>
  <c r="E2700" i="1"/>
  <c r="E2699" i="1"/>
  <c r="E2698" i="1"/>
  <c r="E2697" i="1"/>
  <c r="E2696" i="1"/>
  <c r="E2695" i="1"/>
  <c r="E2694" i="1"/>
  <c r="E2693" i="1"/>
  <c r="E2692" i="1"/>
  <c r="E2691" i="1"/>
  <c r="E2690" i="1"/>
  <c r="E2689" i="1"/>
  <c r="E2688" i="1"/>
  <c r="E2687" i="1"/>
  <c r="E2686" i="1"/>
  <c r="E2685" i="1"/>
  <c r="E2684" i="1"/>
  <c r="E2683" i="1"/>
  <c r="E2682" i="1"/>
  <c r="E2681" i="1"/>
  <c r="E2680" i="1"/>
  <c r="E2679" i="1"/>
  <c r="E2678" i="1"/>
  <c r="E2677" i="1"/>
  <c r="E2676" i="1"/>
  <c r="E2675" i="1"/>
  <c r="E2674" i="1"/>
  <c r="E2673" i="1"/>
  <c r="E2672" i="1"/>
  <c r="E2671" i="1"/>
  <c r="E2670" i="1"/>
  <c r="E2669" i="1"/>
  <c r="E2668" i="1"/>
  <c r="E2667" i="1"/>
  <c r="E2666" i="1"/>
  <c r="E2665" i="1"/>
  <c r="E2664" i="1"/>
  <c r="E2663" i="1"/>
  <c r="E2662" i="1"/>
  <c r="E2661" i="1"/>
  <c r="E2660" i="1"/>
  <c r="E2659" i="1"/>
  <c r="E2658" i="1"/>
  <c r="E2657" i="1"/>
  <c r="E2656" i="1"/>
  <c r="E2655" i="1"/>
  <c r="E2654" i="1"/>
  <c r="E2653" i="1"/>
  <c r="E2652" i="1"/>
  <c r="E2651" i="1"/>
  <c r="E2650" i="1"/>
  <c r="E2649" i="1"/>
  <c r="E2648" i="1"/>
  <c r="E2647" i="1"/>
  <c r="E2646" i="1"/>
  <c r="E2645" i="1"/>
  <c r="E2644" i="1"/>
  <c r="E2643" i="1"/>
  <c r="E2642" i="1"/>
  <c r="E2641" i="1"/>
  <c r="E2640" i="1"/>
  <c r="E2639" i="1"/>
  <c r="E2638" i="1"/>
  <c r="E2637" i="1"/>
  <c r="E2636" i="1"/>
  <c r="E2635" i="1"/>
  <c r="E2634" i="1"/>
  <c r="E2633" i="1"/>
  <c r="E2632" i="1"/>
  <c r="E2631" i="1"/>
  <c r="E2630" i="1"/>
  <c r="E2629" i="1"/>
  <c r="E2628" i="1"/>
  <c r="E2627" i="1"/>
  <c r="E2626" i="1"/>
  <c r="E2625" i="1"/>
  <c r="E2624" i="1"/>
  <c r="E2623" i="1"/>
  <c r="E2622" i="1"/>
  <c r="E2621" i="1"/>
  <c r="E2620" i="1"/>
  <c r="E2619" i="1"/>
  <c r="E2618" i="1"/>
  <c r="E2617" i="1"/>
  <c r="E2616" i="1"/>
  <c r="E2615" i="1"/>
  <c r="E2614" i="1"/>
  <c r="E2613" i="1"/>
  <c r="E2612" i="1"/>
  <c r="E2611" i="1"/>
  <c r="E2610" i="1"/>
  <c r="E2609" i="1"/>
  <c r="E2608" i="1"/>
  <c r="E2607" i="1"/>
  <c r="E2606" i="1"/>
  <c r="E2605" i="1"/>
  <c r="E2604" i="1"/>
  <c r="E2603" i="1"/>
  <c r="E2602" i="1"/>
  <c r="E2601" i="1"/>
  <c r="E2600" i="1"/>
  <c r="E2599" i="1"/>
  <c r="E2598" i="1"/>
  <c r="E2597" i="1"/>
  <c r="E2596" i="1"/>
  <c r="E2595" i="1"/>
  <c r="E2594" i="1"/>
  <c r="E2593" i="1"/>
  <c r="E2592" i="1"/>
  <c r="E2591" i="1"/>
  <c r="E2590" i="1"/>
  <c r="E2589" i="1"/>
  <c r="E2588" i="1"/>
  <c r="E2587" i="1"/>
  <c r="E2586" i="1"/>
  <c r="E2585" i="1"/>
  <c r="E2584" i="1"/>
  <c r="E2583" i="1"/>
  <c r="E2582" i="1"/>
  <c r="E2581" i="1"/>
  <c r="E2580" i="1"/>
  <c r="E2579" i="1"/>
  <c r="E2578" i="1"/>
  <c r="E2577" i="1"/>
  <c r="E2576" i="1"/>
  <c r="E2575" i="1"/>
  <c r="E2574" i="1"/>
  <c r="E2573" i="1"/>
  <c r="E2572" i="1"/>
  <c r="E2571" i="1"/>
  <c r="E2570" i="1"/>
  <c r="E2569" i="1"/>
  <c r="E2568" i="1"/>
  <c r="E2567" i="1"/>
  <c r="E2566" i="1"/>
  <c r="E2565" i="1"/>
  <c r="E2564" i="1"/>
  <c r="E2563" i="1"/>
  <c r="E2562" i="1"/>
  <c r="E2561" i="1"/>
  <c r="E2560" i="1"/>
  <c r="E2559" i="1"/>
  <c r="E2558" i="1"/>
  <c r="E2557" i="1"/>
  <c r="E2556" i="1"/>
  <c r="E2555" i="1"/>
  <c r="E2554" i="1"/>
  <c r="E2553" i="1"/>
  <c r="E2552" i="1"/>
  <c r="E2551" i="1"/>
  <c r="E2550" i="1"/>
  <c r="E2549" i="1"/>
  <c r="E2548" i="1"/>
  <c r="E2547" i="1"/>
  <c r="E2546" i="1"/>
  <c r="E2545" i="1"/>
  <c r="E2544" i="1"/>
  <c r="E2543" i="1"/>
  <c r="E2542" i="1"/>
  <c r="E2541" i="1"/>
  <c r="E2540" i="1"/>
  <c r="E2539" i="1"/>
  <c r="E2538" i="1"/>
  <c r="E2537" i="1"/>
  <c r="E2536" i="1"/>
  <c r="E2535" i="1"/>
  <c r="E2534" i="1"/>
  <c r="E2533" i="1"/>
  <c r="E2532" i="1"/>
  <c r="E2531" i="1"/>
  <c r="E2530" i="1"/>
  <c r="E2529" i="1"/>
  <c r="E2528" i="1"/>
  <c r="E2527" i="1"/>
  <c r="E2526" i="1"/>
  <c r="E2525" i="1"/>
  <c r="E2524" i="1"/>
  <c r="E2523" i="1"/>
  <c r="E2522" i="1"/>
  <c r="E2521" i="1"/>
  <c r="E2520" i="1"/>
  <c r="E2519" i="1"/>
  <c r="E2518" i="1"/>
  <c r="E2517" i="1"/>
  <c r="E2516" i="1"/>
  <c r="E2515" i="1"/>
  <c r="E2514" i="1"/>
  <c r="E2513" i="1"/>
  <c r="E2512" i="1"/>
  <c r="E2511" i="1"/>
  <c r="E2510" i="1"/>
  <c r="E2509" i="1"/>
  <c r="E2508" i="1"/>
  <c r="E2507" i="1"/>
  <c r="E2506" i="1"/>
  <c r="E2505" i="1"/>
  <c r="E2504" i="1"/>
  <c r="E2503" i="1"/>
  <c r="E2502" i="1"/>
  <c r="E2501" i="1"/>
  <c r="E2500" i="1"/>
  <c r="E2499" i="1"/>
  <c r="E2498" i="1"/>
  <c r="E2497" i="1"/>
  <c r="E2496" i="1"/>
  <c r="E2495" i="1"/>
  <c r="E2494" i="1"/>
  <c r="E2493" i="1"/>
  <c r="E2492" i="1"/>
  <c r="E2491" i="1"/>
  <c r="E2490" i="1"/>
  <c r="E2489" i="1"/>
  <c r="E2488" i="1"/>
  <c r="E2487" i="1"/>
  <c r="E2486" i="1"/>
  <c r="E2485" i="1"/>
  <c r="E2484" i="1"/>
  <c r="E2483" i="1"/>
  <c r="E2482" i="1"/>
  <c r="E2481" i="1"/>
  <c r="E2480" i="1"/>
  <c r="E2479" i="1"/>
  <c r="E2478" i="1"/>
  <c r="E2477" i="1"/>
  <c r="E2476" i="1"/>
  <c r="E2475" i="1"/>
  <c r="E2474" i="1"/>
  <c r="E2473" i="1"/>
  <c r="E2472" i="1"/>
  <c r="E2471" i="1"/>
  <c r="E2470" i="1"/>
  <c r="E2469" i="1"/>
  <c r="E2468" i="1"/>
  <c r="E2467" i="1"/>
  <c r="E2466" i="1"/>
  <c r="E2465" i="1"/>
  <c r="E2464" i="1"/>
  <c r="E2463" i="1"/>
  <c r="E2462" i="1"/>
  <c r="E2461" i="1"/>
  <c r="E2460" i="1"/>
  <c r="E2459" i="1"/>
  <c r="E2458" i="1"/>
  <c r="E2457" i="1"/>
  <c r="E2456" i="1"/>
  <c r="E2455" i="1"/>
  <c r="E2454" i="1"/>
  <c r="E2453" i="1"/>
  <c r="E2452" i="1"/>
  <c r="E2451" i="1"/>
  <c r="E2450" i="1"/>
  <c r="E2449" i="1"/>
  <c r="E2448" i="1"/>
  <c r="E2447" i="1"/>
  <c r="E2446" i="1"/>
  <c r="E2445" i="1"/>
  <c r="E2444" i="1"/>
  <c r="E2443" i="1"/>
  <c r="E2442" i="1"/>
  <c r="E2441" i="1"/>
  <c r="E2440" i="1"/>
  <c r="E2439" i="1"/>
  <c r="E2438" i="1"/>
  <c r="E2437" i="1"/>
  <c r="E2436" i="1"/>
  <c r="E2435" i="1"/>
  <c r="E2434" i="1"/>
  <c r="E2433" i="1"/>
  <c r="E2432" i="1"/>
  <c r="E2431" i="1"/>
  <c r="E2430" i="1"/>
  <c r="E2429" i="1"/>
  <c r="E2428" i="1"/>
  <c r="E2427" i="1"/>
  <c r="E2426" i="1"/>
  <c r="E2425" i="1"/>
  <c r="E2424" i="1"/>
  <c r="E2423" i="1"/>
  <c r="E2422" i="1"/>
  <c r="E2421" i="1"/>
  <c r="E2420" i="1"/>
  <c r="E2419" i="1"/>
  <c r="E2418" i="1"/>
  <c r="E2417" i="1"/>
  <c r="E2416" i="1"/>
  <c r="E2415" i="1"/>
  <c r="E2414" i="1"/>
  <c r="E2413" i="1"/>
  <c r="E2412" i="1"/>
  <c r="E2411" i="1"/>
  <c r="E2410" i="1"/>
  <c r="E2409" i="1"/>
  <c r="E2408" i="1"/>
  <c r="E2407" i="1"/>
  <c r="E2406" i="1"/>
  <c r="E2405" i="1"/>
  <c r="E2404" i="1"/>
  <c r="E2403" i="1"/>
  <c r="E2402" i="1"/>
  <c r="E2401" i="1"/>
  <c r="E2400" i="1"/>
  <c r="E2399" i="1"/>
  <c r="E2398" i="1"/>
  <c r="E2397" i="1"/>
  <c r="E2396" i="1"/>
  <c r="E2395" i="1"/>
  <c r="E2394" i="1"/>
  <c r="E2393" i="1"/>
  <c r="E2392" i="1"/>
  <c r="E2391" i="1"/>
  <c r="E2390" i="1"/>
  <c r="E2389" i="1"/>
  <c r="E2388" i="1"/>
  <c r="E2387" i="1"/>
  <c r="E2386" i="1"/>
  <c r="E2385" i="1"/>
  <c r="E2384" i="1"/>
  <c r="E2383" i="1"/>
  <c r="E2382" i="1"/>
  <c r="E2381" i="1"/>
  <c r="E2380" i="1"/>
  <c r="E2379" i="1"/>
  <c r="E2378" i="1"/>
  <c r="E2377" i="1"/>
  <c r="E2376" i="1"/>
  <c r="E2375" i="1"/>
  <c r="E2374" i="1"/>
  <c r="E2373" i="1"/>
  <c r="E2372" i="1"/>
  <c r="E2371" i="1"/>
  <c r="E2370" i="1"/>
  <c r="E2369" i="1"/>
  <c r="E2368" i="1"/>
  <c r="E2367" i="1"/>
  <c r="E2366" i="1"/>
  <c r="E2365" i="1"/>
  <c r="E2364" i="1"/>
  <c r="E2363" i="1"/>
  <c r="E2362" i="1"/>
  <c r="E2361" i="1"/>
  <c r="E2360" i="1"/>
  <c r="E2359" i="1"/>
  <c r="E2358" i="1"/>
  <c r="E2357" i="1"/>
  <c r="E2356" i="1"/>
  <c r="E2355" i="1"/>
  <c r="E2354" i="1"/>
  <c r="E2353" i="1"/>
  <c r="E2352" i="1"/>
  <c r="E2351" i="1"/>
  <c r="E2350" i="1"/>
  <c r="E2349" i="1"/>
  <c r="E2348" i="1"/>
  <c r="E2347" i="1"/>
  <c r="E2346" i="1"/>
  <c r="E2345" i="1"/>
  <c r="E2344" i="1"/>
  <c r="E2343" i="1"/>
  <c r="E2342" i="1"/>
  <c r="E2341" i="1"/>
  <c r="E2340" i="1"/>
  <c r="E2339" i="1"/>
  <c r="E2338" i="1"/>
  <c r="E2337" i="1"/>
  <c r="E2336" i="1"/>
  <c r="E2335" i="1"/>
  <c r="E2334" i="1"/>
  <c r="E2333" i="1"/>
  <c r="E2332" i="1"/>
  <c r="E2331" i="1"/>
  <c r="E2330" i="1"/>
  <c r="E2329" i="1"/>
  <c r="E2328" i="1"/>
  <c r="E2327" i="1"/>
  <c r="E2326" i="1"/>
  <c r="E2325" i="1"/>
  <c r="E2324" i="1"/>
  <c r="E2323" i="1"/>
  <c r="E2322" i="1"/>
  <c r="E2321" i="1"/>
  <c r="E2320" i="1"/>
  <c r="E2319" i="1"/>
  <c r="E2318" i="1"/>
  <c r="E2317" i="1"/>
  <c r="E2316" i="1"/>
  <c r="E2315" i="1"/>
  <c r="E2314" i="1"/>
  <c r="E2313" i="1"/>
  <c r="E2312" i="1"/>
  <c r="E2311" i="1"/>
  <c r="E2310" i="1"/>
  <c r="E2309" i="1"/>
  <c r="E2308" i="1"/>
  <c r="E2307" i="1"/>
  <c r="E2306" i="1"/>
  <c r="E2305" i="1"/>
  <c r="E2304" i="1"/>
  <c r="E2303" i="1"/>
  <c r="E2302" i="1"/>
  <c r="E2301" i="1"/>
  <c r="E2300" i="1"/>
  <c r="E2299" i="1"/>
  <c r="E2298" i="1"/>
  <c r="E2297" i="1"/>
  <c r="E2296" i="1"/>
  <c r="E2295" i="1"/>
  <c r="E2294" i="1"/>
  <c r="E2293" i="1"/>
  <c r="E2292" i="1"/>
  <c r="E2291" i="1"/>
  <c r="E2290" i="1"/>
  <c r="E2289" i="1"/>
  <c r="E2288" i="1"/>
  <c r="E2287" i="1"/>
  <c r="E2286" i="1"/>
  <c r="E2285" i="1"/>
  <c r="E2284" i="1"/>
  <c r="E2283" i="1"/>
  <c r="E2282" i="1"/>
  <c r="E2281" i="1"/>
  <c r="E2280" i="1"/>
  <c r="E2279" i="1"/>
  <c r="E2278" i="1"/>
  <c r="E2277" i="1"/>
  <c r="E2276" i="1"/>
  <c r="E2275" i="1"/>
  <c r="E2274" i="1"/>
  <c r="E2273" i="1"/>
  <c r="E2272" i="1"/>
  <c r="E2271" i="1"/>
  <c r="E2270" i="1"/>
  <c r="E2269" i="1"/>
  <c r="E2268" i="1"/>
  <c r="E2267" i="1"/>
  <c r="E2266" i="1"/>
  <c r="E2265" i="1"/>
  <c r="E2264" i="1"/>
  <c r="E2263" i="1"/>
  <c r="E2262" i="1"/>
  <c r="E2261" i="1"/>
  <c r="E2260" i="1"/>
  <c r="E2259" i="1"/>
  <c r="E2258" i="1"/>
  <c r="E2257" i="1"/>
  <c r="E2256" i="1"/>
  <c r="E2255" i="1"/>
  <c r="E2254" i="1"/>
  <c r="E2253" i="1"/>
  <c r="E2252" i="1"/>
  <c r="E2251" i="1"/>
  <c r="E2250" i="1"/>
  <c r="E2249" i="1"/>
  <c r="E2248" i="1"/>
  <c r="E2247" i="1"/>
  <c r="E2246" i="1"/>
  <c r="E2245" i="1"/>
  <c r="E2244" i="1"/>
  <c r="E2243" i="1"/>
  <c r="E2242" i="1"/>
  <c r="E2241" i="1"/>
  <c r="E2240" i="1"/>
  <c r="E2239" i="1"/>
  <c r="E2238" i="1"/>
  <c r="E2237" i="1"/>
  <c r="E2236" i="1"/>
  <c r="E2235" i="1"/>
  <c r="E2234" i="1"/>
  <c r="E2233" i="1"/>
  <c r="E2232" i="1"/>
  <c r="E2231" i="1"/>
  <c r="E2230" i="1"/>
  <c r="E2229" i="1"/>
  <c r="E2228" i="1"/>
  <c r="E2227" i="1"/>
  <c r="E2226" i="1"/>
  <c r="E2225" i="1"/>
  <c r="E2224" i="1"/>
  <c r="E2223" i="1"/>
  <c r="E2222" i="1"/>
  <c r="E2221" i="1"/>
  <c r="E2220" i="1"/>
  <c r="E2219" i="1"/>
  <c r="E2218" i="1"/>
  <c r="E2217" i="1"/>
  <c r="E2216" i="1"/>
  <c r="E2215" i="1"/>
  <c r="E2214" i="1"/>
  <c r="E2213" i="1"/>
  <c r="E2212" i="1"/>
  <c r="E2211" i="1"/>
  <c r="E2210" i="1"/>
  <c r="E2209" i="1"/>
  <c r="E2208" i="1"/>
  <c r="E2207" i="1"/>
  <c r="E2206" i="1"/>
  <c r="E2205" i="1"/>
  <c r="E2204" i="1"/>
  <c r="E2203" i="1"/>
  <c r="E2202" i="1"/>
  <c r="E2201" i="1"/>
  <c r="E2200" i="1"/>
  <c r="E2199" i="1"/>
  <c r="E2198" i="1"/>
  <c r="E2197" i="1"/>
  <c r="E2196" i="1"/>
  <c r="E2195" i="1"/>
  <c r="E2194" i="1"/>
  <c r="E2193" i="1"/>
  <c r="E2192" i="1"/>
  <c r="E2191" i="1"/>
  <c r="E2190" i="1"/>
  <c r="E2189" i="1"/>
  <c r="E2188" i="1"/>
  <c r="E2187" i="1"/>
  <c r="E2186" i="1"/>
  <c r="E2185" i="1"/>
  <c r="E2184" i="1"/>
  <c r="E2183" i="1"/>
  <c r="E2182" i="1"/>
  <c r="E2181" i="1"/>
  <c r="E2180" i="1"/>
  <c r="E2179" i="1"/>
  <c r="E2178" i="1"/>
  <c r="E2177" i="1"/>
  <c r="E2176" i="1"/>
  <c r="E2175" i="1"/>
  <c r="E2174" i="1"/>
  <c r="E2173" i="1"/>
  <c r="E2172" i="1"/>
  <c r="E2171" i="1"/>
  <c r="E2170" i="1"/>
  <c r="E2169" i="1"/>
  <c r="E2168" i="1"/>
  <c r="E2167" i="1"/>
  <c r="E2166" i="1"/>
  <c r="E2165" i="1"/>
  <c r="E2164" i="1"/>
  <c r="E2163" i="1"/>
  <c r="E2162" i="1"/>
  <c r="E2161" i="1"/>
  <c r="E2160" i="1"/>
  <c r="E2159" i="1"/>
  <c r="E2158" i="1"/>
  <c r="E2157" i="1"/>
  <c r="E2156" i="1"/>
  <c r="E2155" i="1"/>
  <c r="E2154" i="1"/>
  <c r="E2153" i="1"/>
  <c r="E2152" i="1"/>
  <c r="E2151" i="1"/>
  <c r="E2150" i="1"/>
  <c r="E2149" i="1"/>
  <c r="E2148" i="1"/>
  <c r="E2147" i="1"/>
  <c r="E2146" i="1"/>
  <c r="E2145" i="1"/>
  <c r="E2144" i="1"/>
  <c r="E2143" i="1"/>
  <c r="E2142" i="1"/>
  <c r="E2141" i="1"/>
  <c r="E2140" i="1"/>
  <c r="E2139" i="1"/>
  <c r="E2138" i="1"/>
  <c r="E2137" i="1"/>
  <c r="E2136" i="1"/>
  <c r="E2135" i="1"/>
  <c r="E2134" i="1"/>
  <c r="E2133" i="1"/>
  <c r="E2132" i="1"/>
  <c r="E2131" i="1"/>
  <c r="E2130" i="1"/>
  <c r="E2129" i="1"/>
  <c r="E2128" i="1"/>
  <c r="E2127" i="1"/>
  <c r="E2126" i="1"/>
  <c r="E2125" i="1"/>
  <c r="E2124" i="1"/>
  <c r="E2123" i="1"/>
  <c r="E2122" i="1"/>
  <c r="E2121" i="1"/>
  <c r="E2120" i="1"/>
  <c r="E2119" i="1"/>
  <c r="E2118" i="1"/>
  <c r="E2117" i="1"/>
  <c r="E2116" i="1"/>
  <c r="E2115" i="1"/>
  <c r="E2114" i="1"/>
  <c r="E2113" i="1"/>
  <c r="E2112" i="1"/>
  <c r="E2111" i="1"/>
  <c r="E2110" i="1"/>
  <c r="E2109" i="1"/>
  <c r="E2108" i="1"/>
  <c r="E2107" i="1"/>
  <c r="E2106" i="1"/>
  <c r="E2105" i="1"/>
  <c r="E2104" i="1"/>
  <c r="E2103" i="1"/>
  <c r="E2102" i="1"/>
  <c r="E2101" i="1"/>
  <c r="E2100" i="1"/>
  <c r="E2099" i="1"/>
  <c r="E2098" i="1"/>
  <c r="E2097" i="1"/>
  <c r="E2096" i="1"/>
  <c r="E2095" i="1"/>
  <c r="E2094" i="1"/>
  <c r="E2093" i="1"/>
  <c r="E2092" i="1"/>
  <c r="E2091" i="1"/>
  <c r="E2090" i="1"/>
  <c r="E2089" i="1"/>
  <c r="E2088" i="1"/>
  <c r="E2087" i="1"/>
  <c r="E2086" i="1"/>
  <c r="E2085" i="1"/>
  <c r="E2084" i="1"/>
  <c r="E2083" i="1"/>
  <c r="E2082" i="1"/>
  <c r="E2081" i="1"/>
  <c r="E2080" i="1"/>
  <c r="E2079" i="1"/>
  <c r="E2078" i="1"/>
  <c r="E2077" i="1"/>
  <c r="E2076" i="1"/>
  <c r="E2075" i="1"/>
  <c r="E2074" i="1"/>
  <c r="E2073" i="1"/>
  <c r="E2072" i="1"/>
  <c r="E2071" i="1"/>
  <c r="E2070" i="1"/>
  <c r="E2069" i="1"/>
  <c r="E2068" i="1"/>
  <c r="E2067" i="1"/>
  <c r="E2066" i="1"/>
  <c r="E2065" i="1"/>
  <c r="E2064" i="1"/>
  <c r="E2063" i="1"/>
  <c r="E2062" i="1"/>
  <c r="E2061" i="1"/>
  <c r="E2060" i="1"/>
  <c r="E2059" i="1"/>
  <c r="E2058" i="1"/>
  <c r="E2057" i="1"/>
  <c r="E2056" i="1"/>
  <c r="E2055" i="1"/>
  <c r="E2054" i="1"/>
  <c r="E2053" i="1"/>
  <c r="E2052" i="1"/>
  <c r="E2051" i="1"/>
  <c r="E2050" i="1"/>
  <c r="E2049" i="1"/>
  <c r="E2048" i="1"/>
  <c r="E2047" i="1"/>
  <c r="E2046" i="1"/>
  <c r="E2045" i="1"/>
  <c r="E2044"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8"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<sst xmlns="http://schemas.openxmlformats.org/spreadsheetml/2006/main" count="39030" uniqueCount="37920">
  <si>
    <t>tweets</t>
  </si>
  <si>
    <t>likes</t>
  </si>
  <si>
    <t>time</t>
  </si>
  <si>
    <t>ids</t>
  </si>
  <si>
    <t>englishtweets</t>
  </si>
  <si>
    <t>RT @RTErdogan: Kabine Toplantısı Sonrası Millete Sesleniş https://t.co/lfsE61XoZS</t>
  </si>
  <si>
    <t>1472971906668187656</t>
  </si>
  <si>
    <t>Bakanlığımız, belirlenmiş aşı takvimi üzerinden 3 aydan uzun süre geçmiş olan vatandaşlarımızı hatırlatma dozunu yaptırmaları için telefon mesajıyla doğrudan bilgilendirmektedir. HATIRLATMA DOZU zamanı gelenler aşılarını hemen yaptırsınlar. VAKTİNDE YAPILAN AŞI DAHA ÇOK KORUR. https://t.co/mqT95vUm5B</t>
  </si>
  <si>
    <t>1472965515169705986</t>
  </si>
  <si>
    <t>YAKALANARAK GÖZALTINA ALINDI! Didim Devlet Hastanesinde görevli hekime şiddet uygulayan kişi, kamera kayıtları ve yeni deliller üzerine dün yakalanarak gözaltına alındı. Bu önemli gelişmeyi basın açıklamasıyla kamuoyuna duyuran Söke Cumhuriyet Başsavcılığı’na teşekkür ediyoruz.</t>
  </si>
  <si>
    <t>1472687870456516612</t>
  </si>
  <si>
    <t>Salgının sonuçlarının günlük tablodaki verilerle ölçülemeyeceği bir dönemdeyiz. Hayatın tamamını etkileyen Covid-19’un sağlık dışı etkileri zaten öngörülüyordu. Toplumca bize düşen, bu kritik mücadelenin hayatı savunmak anlamına geldiğini bilip, salgın şartlarını hızla aşmaktır. https://t.co/AU8hqhhmFU</t>
  </si>
  <si>
    <t>1472601920426713097</t>
  </si>
  <si>
    <t>Didim Devlet Hastanesinde görevli hekime karşı, adli kontrol için hastaneye polis eşliğinde getirilen bir kişi tarafından ağır şiddet suçu işlendi, arkadaşımıza dört dikiş atıldı. Failin serbest bırakılması hepimizi yaraladı. Başlatılacak yasal sürecin kararlı takipçisi olacağız.</t>
  </si>
  <si>
    <t>1472593353724375040</t>
  </si>
  <si>
    <t>İzmir Kınık’ta bir maden ocağında yaşanan göçük olayında yaralanan 18 kişi Kınık, 6 kişi Bergama, 21 kişi Soma Devlet Hastanesinde tedavi altındadır. Yaralı sayısını 45 olarak düzeltiyoruz. Olay yerinde 14 Ambulans, 2 UMKE Timi ile toplam 48 sağlık personeli görevlendirilmiştir.</t>
  </si>
  <si>
    <t>1472329760667746306</t>
  </si>
  <si>
    <t>İzmir Kınık’taki bir maden ocağında, patlama sonrası meydana gelen göçükte 9 kişi yaralanmış, yaralılar 8 Acil Ambulansla hastanelere nakledilmiştir. İlk tespitlere göre yaralanmalar hafif düzeydedir. İzmir’e, bütün halkımıza geçmiş olsun dileklerimizi sunuyoruz.</t>
  </si>
  <si>
    <t>1472306449971912710</t>
  </si>
  <si>
    <t>Salgının ülkemizdeki seyrini bizler belirleyeceğiz. Birlikte aşı ile korunup tedbirlere uyarak kayıplarımızı azaltacağız. Yok saymakla virüs yok olmuyor ama tedbir ve aşı ile yok olacak. Hatırlatma dozunu ihmal etmeyin. https://t.co/iFgDxGhWRp</t>
  </si>
  <si>
    <t>1472239962586238984</t>
  </si>
  <si>
    <t>4-10 Aralık arasında vaka yoğunluğu bir önceki haftaya göre en çok artan 9 ilimiz: Edirne, Artvin, Tekirdağ, Ordu, Trabzon, Kırklareli, Yozgat, Rize, Isparta. https://t.co/oEerZPLSs6</t>
  </si>
  <si>
    <t>1472193825338707977</t>
  </si>
  <si>
    <t>4-10 Aralık arasında, 100.000 kişi içinde bir haftalık toplam yeni Covid-19 vaka sayısı il bazında neydi? Bilgiler, haftalık İnsidans haritasında. https://t.co/vQXbm9hhcz</t>
  </si>
  <si>
    <t>1472191932445122568</t>
  </si>
  <si>
    <t>Eski Başbakan Yardımcısı Prof. Dr. Emrullah İşler Beyin babası Abdullah İşler Beyefendi tedavi gördüğü Ankara Şehir Hastanesinde hayata veda etti. Başta Emrullah ağabeyimiz olmak üzere ailesine, dost çevresine başsağlığı dilerim. Allah rahmet etsin, mekânı cennet olsun.</t>
  </si>
  <si>
    <t>1471921253313392643</t>
  </si>
  <si>
    <t>3. Türkiye-Afrika Ortaklık Zirvesinde, Sağlık Oturumu’nun ardından Sierra Leone, Güney Sudan, Libya, Fildişi ve Cibuti sağlık bakanlarıyla ikili görüşmeler yaptık. Sağlıkta dayanışma, yardım, iş birliği konularını ele aldık. Pandemi dünyaya sağlığın ortak mesele olduğunu öğretti. https://t.co/CZ0EuWwlAn</t>
  </si>
  <si>
    <t>1471910487503904780</t>
  </si>
  <si>
    <t>3. Türkiye-Afrika Ortaklık Zirvesi Sağlık Oturumuna başkanlık ettik. Pandemi Dönemi ve Sonrasında Afrika Sağlık İhtiyaçları İçin Potansiyelin Harekete Geçirilmesi konulu oturuma Afrika CDC Acil Durum Operasyon Merkezi Başkanı, 17 ülkenin sağlık bakanı ve DSÖ temsilcileri katıldı. https://t.co/uPwhAqWH8t</t>
  </si>
  <si>
    <t>1471896448098783233</t>
  </si>
  <si>
    <t>Hatırlatma dozu Türkiye’de erken uygulanmaya başladı ve ani vaka artışları yaşanmadı. Bu doz, aşıların yeni varyantlara karşı etkisini de artırıyor. Belirlenen aşı takvimi üzerinden 3 aydan uzun süre geçen vatandaşlarımızın hatırlatma dozunu yaptırmasını ısrarla öneriyoruz. https://t.co/8RndpXmUNr</t>
  </si>
  <si>
    <t>1471879330515062789</t>
  </si>
  <si>
    <t>Meclis Nöbetimiz sırasında milletvekili arkadaşlarımızla, çeşitli konumlarda bulunan siyasetçilerimizle görüşerek taleplerini aldık, öneri ve eleştirilerinden yararlandık. Yüce Meclis’in çatısı altındaki nöbet görevimizle sorumluluk duygumuz bir kez daha yenilendi. https://t.co/22LNXcti7r</t>
  </si>
  <si>
    <t>1471571636981841923</t>
  </si>
  <si>
    <t>Ankara Milletvekili Sadir Durmaz Beyin kıymetli babası HACI İBRAHİM DURMAZ’IN hayatını kaybettiği haberini aldım. Ailesinin ve tüm dost çevresinin üzüntülerini paylaşıyor; merhuma Allah’tan rahmet, sevenlerine başsağlığı diliyorum. Dua edenleri çok, mekânı cennet olsun.</t>
  </si>
  <si>
    <t>1471546274537222146</t>
  </si>
  <si>
    <t>YALOVA ikinci doz aşı oranında %75’in üzerine çıkarak Mavi, BİTLİS ise %65’in üzerine çıkarak Sarı kategorisine geçti. Oranlar yavaş yükseliyor. Aşılarını eksik bırakanlar bir an önce kendi sağlıkları ve sosyal hayat için doğru olanı yapmalı.</t>
  </si>
  <si>
    <t>1471537415944867845</t>
  </si>
  <si>
    <t>2020 MARTINA BİR ANLIĞINA GERİ DÖNELİM. Aşı olmayanlar ve aşılarını eksik bırakanlar açısından bugünle 21 ay öncesi arasında büyük farklar yok: Eğer hastalığa yakalanırlarsa sonuçta aynı virüsle mücadele edecekler. Covid-19’a karşı herkes aşıyla, tedbirle kendini korumaya almalı. https://t.co/YA1cnXHYVI</t>
  </si>
  <si>
    <t>1471523448656695301</t>
  </si>
  <si>
    <t>Üniversite hastanelerimizde görevli ASİSTAN DOKTORLARLA bir araya geldik. Sorunlarımızı sözün eşitliğiyle ele aldık. Şiddet, özlük hakları, çalışma şartları, nöbetler ve Malpraktis davaları ana konularımızdı. Dönüştürüp, hayallerimizin hizmetine sunacağımız çok şey var. https://t.co/pg5FE9hGJE</t>
  </si>
  <si>
    <t>1471187628695429133</t>
  </si>
  <si>
    <t>Omicron Tedbiri: Belirlenmiş aşı takvimi üzerinden üç aydan uzun süre geçen vatandaşlarımız hatırlatma dozunu olabilirler. https://t.co/bYfSJKPZSQ</t>
  </si>
  <si>
    <t>1471176756056973318</t>
  </si>
  <si>
    <t>Toplumumuza etkisiyle yaşayacağına inandığım aydınımız, hukuk insanı PROF. DR. YÜCEL SAYMAN aramızdan ayrıldı. Şahsiyetinde tecessüm eden değerler bakımından onu tanımış olmayı hep bir şans kabul ettim. Kendisine Allah’tan rahmet; ailesine, sevenlerine başsağlığı diliyorum.</t>
  </si>
  <si>
    <t>1471163668096241667</t>
  </si>
  <si>
    <t>Aşının sonuçlarını biliyoruz: Kişiyi koruma altına alıyor ve hastalığın genelde hafif geçirilmesini sağlıyor. Bu kadar mı? Hepsi sağlıkla mı ilgili? Değil. Aşı, toplumsal hayatın normale dönmesini kolaylaştırıyor, önünü açıyor. HAYATI DESTEKLEMEK için de eksik aşılarınızı olun. https://t.co/bXiuNReSJT</t>
  </si>
  <si>
    <t>1471161905758752768</t>
  </si>
  <si>
    <t>Doktor, hastasına sevgi ve şefkatle yaklaşan kişidir.
Bazen sevdiğinize can verirsiniz, bazen sevdiğiniz elinizde can verir. Yükü ağır bir meslektir hekimlik.
2022 BÜTÇE KONUŞMASINDAN https://t.co/crZ9cUuvja</t>
  </si>
  <si>
    <t>1471031358881472514</t>
  </si>
  <si>
    <t>27 Kasım-3 Aralık arasında vaka yoğunluğu bir önceki haftaya göre en çok artan 10 ilimiz: Çanakkale, Kırklareli, Edirne, Tekirdağ, Eskişehir, Artvin, Sinop, Denizli, Giresun, Gümüşhane. https://t.co/EoaUEW1e2D</t>
  </si>
  <si>
    <t>1471020695769464835</t>
  </si>
  <si>
    <t>27 Kasım-3 Aralık arasında, 100.000 kişi içinde bir haftalık toplam yeni Covid-19 vaka sayısı il bazında neydi? Bilgiler, haftalık İnsidans haritasında. https://t.co/viWOygeX07</t>
  </si>
  <si>
    <t>1471019031943651328</t>
  </si>
  <si>
    <t>TIP FAKÜLTESİ ÖĞRENCİLERİYLE 3 saat süren bir toplantıda bir araya geldik. Eğitim süreçlerini, geleceğe bakışlarını, Tıpta Uzmanlık Sınavını, sağlıkta şiddet başta olmak üzere sorunlarımızı ele aldık. Dönüştürüp, hayallerimizin hizmetine sunacağımız çok şey var. https://t.co/Y85kzFcqvA</t>
  </si>
  <si>
    <t>1470820924165349377</t>
  </si>
  <si>
    <t>KIŞ ŞARTLARINDA hastalığın bulaşması kolaylaşacak. Havalandırması sınırlı, kapalı ve kalabalık ortamlardan mümkün ölçüde uzak durulmalıdır. Aşıların belirtilen sürelere göre yapılmasının daha iyi sonuç verdiği unutulmamalı. Alması tümüyle size bağlı tedbirleri almalısınız. https://t.co/RcXYhAengn</t>
  </si>
  <si>
    <t>1470797139123085312</t>
  </si>
  <si>
    <t>İş olan yerde, insan olan yerde hata da noksan da olur. Esas olan kasıt olmamasıdır. Milletimizin takdiri önünde boynumuz kıldan incedir.
2022 BÜTÇE KONUŞMASINDAN https://t.co/f7LGSQFvG9</t>
  </si>
  <si>
    <t>1470439379214770189</t>
  </si>
  <si>
    <t>FARK NEDİR? Covid-19 salgını ortaya çıktığı aylarda ve bu yılın başlarındaki kadar korkutucu değil. Neden? Sosyal hayatı eski ölçüde tahrip etmiyor. Neden? Çoğu insan hastalığı oldukça hafif geçiriyor. Neden? Bu soruların ilk sıradaki cevabı aşıdır. Eksik aşılarınızı tamamlayın https://t.co/LDP6tJ6SMx</t>
  </si>
  <si>
    <t>1470430909631451142</t>
  </si>
  <si>
    <t>Kırk bin kadro kapsamındaki 10.000 SÖZLEŞMELİ sağlık personeli pozisyonu ile 10.000 SÜREKLİ İŞÇİ kadrosu için Mart ayı içinde ilana çıkılarak alım işlemi yapılacaktır. Sağlık hizmeti alacak vatandaşlarımıza ve sağlık camiamıza hayırlı olsun.</t>
  </si>
  <si>
    <t>1470353311329042437</t>
  </si>
  <si>
    <t>TERCİH KILAVUZU, ÖSYM’nin internet sitesi üzerinden yayınlandıktan sonra adaylar tercihlerini Kılavuzda belirtilen tarihler arasından yapabilecek. Duyurular, Bakanlığımızın Yönetim Hizmetleri Genel Müdürlüğü ve ÖSYM internet adresinden takip edilebilir.</t>
  </si>
  <si>
    <t>1470353309248671745</t>
  </si>
  <si>
    <t>10.348 HEMŞİRE, 1.600 EBE VE 6.604 SAĞLIK TEKNİSYENİ/ SAĞLIK TEKNİKERİ ile psikolog, sosyal çalışmacı, biyolog, odyolog, çocuk gelişimcisi, diyetisyen, fizyoterapist, iş ve uğraşı terapisti, dil ve konuşma terapisti, perfüzyonist ve sağlık fizikçileri alımı yapılacaktır.</t>
  </si>
  <si>
    <t>1470353307268956160</t>
  </si>
  <si>
    <t>Taşra teşkilatımızda istihdam edilmek üzere, KPSS PUANINA GÖRE, ÖSYM tarafından yapılacak merkezi yerleştirme ile 20 bin sözleşmeli personel alım sürecini başlatıyoruz. Gerekli bilgiler, tercih kılavuzu hazırlanmak üzere ÖSYM’ye verilmiştir.</t>
  </si>
  <si>
    <t>1470353305461268486</t>
  </si>
  <si>
    <t>Bilindiği üzere, Cumhurbaşkanlığı tarafından Bakanlığımıza 30.000’i sözleşmeli sağlık personeli, 10 bini de sürekli işçi olmak üzere, toplam 40 BİN POZİSYON/ KADRO ihdası yapılmıştır. 20.000 sözleşmeli sağlık personelinin alımına ilişkin kılavuz ÖSYM’YE GÖNDERİLDİ.</t>
  </si>
  <si>
    <t>1470353303729061894</t>
  </si>
  <si>
    <t>Şimdi bazılarının zihninden, şunu eksik yaptınız, falan konuda geç kaldınız, filan konuyu yeterince dikkate almadınız gibi düşünceler geçiyor olabilir. Elbette eksiklerimiz oldu. İş olan yerde, insan olan yerde hata da noksan da olur. Esas olan bunda bir kasıt olmamasıdır. https://t.co/EVNelX2z8Z</t>
  </si>
  <si>
    <t>1470076516167991298</t>
  </si>
  <si>
    <t>Ülkemizde toplam 6 kişide Omicron varyantı tespit edilmiştir. Biri İstanbul’da, 5’i İzmir’dedir. Bu 6 kişi Covid-19’u hafif belirtilerle geçirmektedir. Hastaneye yatırılmalarına ihtiyaç olmamıştır. Vatandaşlarımız kaygılanmamalı, tedbirlere uymalı, eksik aşılarını tamamlamalıdır. https://t.co/gUGfVQfofj</t>
  </si>
  <si>
    <t>1470067246949179401</t>
  </si>
  <si>
    <t>Salgın bireysel hayatla toplumsal hayat arasına bir uçurum koydu. İkisini birbirinin zıddı haline getirdi. Toplumlar bunu sürdüremez. Hayat bir tür halk sağlığı yasaklar manzumesiyle devam edemez. Bizim tavrımız şu oldu: Bireysel hayatla toplumsal hayat birlikte savunuldu. https://t.co/4DqoLB5Ddj</t>
  </si>
  <si>
    <t>1470060546737291269</t>
  </si>
  <si>
    <t>Türkiye yaklaşık 50 yıl sonra %100 kendi imkânları ile aşı geliştirdi. Bu değere sahip çıkmak hepimizin sorumluluğudur. Teknoloji transferi ile ülkemize getirilmek üzere suçiçeği, hepatit A ve kuduz aşısı için de çağrıya çıkarak ülkemize yatırım yapılması için imkân sağladık. https://t.co/0SHoW1gWA8</t>
  </si>
  <si>
    <t>1470053465258926094</t>
  </si>
  <si>
    <t>COVID-19 aşısını üretebilmiş 6 ülkeden biriyiz. https://t.co/MNoMHY0Zuc</t>
  </si>
  <si>
    <t>1470049686698479622</t>
  </si>
  <si>
    <t>Ülkemizde 25 yıl aradan sonra yeniden aşı üretildi. Yaklaşık 50 yıldan uzun bir süredir ilk defa hücre çalışmalarından başlayarak, antijen dâhil, yerli olarak geliştirilen bir aşımız oldu. Yerli inaktif COVID-19 aşımız Turkovac’ın her safhası ülkemizde geliştirildi. https://t.co/Zybe3Fg3Ue</t>
  </si>
  <si>
    <t>1470029418747858949</t>
  </si>
  <si>
    <t>Biz sadece Kamu Özel İş Birliği ile hastaneler yapmadık. Yapımı genel bütçeden tamamlanmış ve inşaatı devam eden toplam 15 şehir hastanemiz var. https://t.co/3pOoPUY22o</t>
  </si>
  <si>
    <t>1470019712029388800</t>
  </si>
  <si>
    <t>Doğrulara tutunmadan yanlışlardan kurtuluş yok. Milletimiz, iktidarımız eli ile bize nasıl hizmet etme sorumluluğu yüklemişse, muhalefete de, biz hizmet ederken bizi eleştirme sorumluluğunu yüklemiştir. Hepimiz vazifemizi bu kutsal çatının altında yerine getireceğiz. https://t.co/gkTm7VslDz</t>
  </si>
  <si>
    <t>1470008401455423488</t>
  </si>
  <si>
    <t>Gelişmiş olduğu iddia edilen ülkelerde verilemeyen sağlık hizmetlerinin acı bilançosuna şahit olduk. Ülkemizdeyse; koridorlarda oksijen tüpleri önünde kuyruğa girmiş hastalar görmedik. Vatandaşlarımızı dünyanın dört bir tarafından ülkemize getirip tedavi ettik. https://t.co/RQOR6IOuoZ</t>
  </si>
  <si>
    <t>1470004165615267841</t>
  </si>
  <si>
    <t>Bakanlığımızın 2022 Yılı Bütçesi TBMM Genel Kurulunda onaylandı. Yapıcı eleştirileriyle katkı sunan, bütçeyi onaylayarak bize büyük bir emaneti teslim eden tüm milletvekillerine, bütçenin hazırlanmasına emek veren personelimize teşekkür ediyorum. Bütçe milletimize hayırlı olsun. https://t.co/ASB4TYVYgn</t>
  </si>
  <si>
    <t>1469995356993773570</t>
  </si>
  <si>
    <t>Hekimlerimiz en zengin ülkelerin alıcı gözlerle baktığı, en iyi yetişmiş hekimlerdir. Bunu unutmayın. https://t.co/QFeVBQcdhx</t>
  </si>
  <si>
    <t>1469755190249246722</t>
  </si>
  <si>
    <t>Sağlık çalışanları ağır davalara maruz kalıyor, büyük tazminatlar ödüyorlar. Bu alanda ihtisas mahkemesinin olmaması davaların seyrini yanlış yönlere sürüklüyor. Hekimler astronomik tazminat korkusuyla hastalarına müdahale etmeleri gereken noktada adeta eli kolu bağlı kalıyorlar. https://t.co/kLMCkuag3g</t>
  </si>
  <si>
    <t>1469752625851740179</t>
  </si>
  <si>
    <t>Yeni bir şiddet olayı vuku bulduğunda çalışanlarımıza söyleyeceğim kelimeleri bulmakta aciz kalıyorum. Bütün kurumlar olarak, sağlıkta şiddete karşı toplumsal dayanışma oluşturmak zorundayız. Hukuk, sorumluluk ahlakıyla eli kolu bağlı olan sağlık çalışanını korumalıdır. https://t.co/9t5TGFqDKb</t>
  </si>
  <si>
    <t>1469750247723261960</t>
  </si>
  <si>
    <t>Sağlık çalışanlarının hakları için diyalog içinde olduk. “Maaşları, özlük hakları konusunda atılacak adımları ortak iradeyle atmalıyız” dedik. Bakanlığımıza verdiğiniz destek için şükran duyuyor ve desteğinizin son noktaya değin devam edeceğine inanıyorum. https://t.co/AchDwI76La</t>
  </si>
  <si>
    <t>1469747644654403589</t>
  </si>
  <si>
    <t>Bugün huzurlarınızda sadece Sağlık Bakanı olarak değil, aynı zamanda bir hekim olarak bulunuyorum. Doktor, hastasına sevgi ve şefkatle yaklaşan kişidir. Yükü ağır bir meslektir hekimlik. Tüm ayrışmalardan, sürtüşme ve çatışmalardan arındırılmış bir iş yapar hekimler. https://t.co/l8lugf9xLD</t>
  </si>
  <si>
    <t>1469745178328109058</t>
  </si>
  <si>
    <t>“Bu bütçede insan var. Bu bütçede sağlık var. Bu bütçede meslek ahlakı var. Vicdan ve merhamet var. Ayrışma, çatışma, ötekileşme yok.”
BAKANLIĞIMIZIN 2022 YILI BÜTÇESİ İÇİN TBMM Genel Kurulu’nda yaptığımız konuşmanın girişinden. https://t.co/kVZEnpA9OP</t>
  </si>
  <si>
    <t>1469740867791601665</t>
  </si>
  <si>
    <t>Bakanlığımızın 2022 Yılı Bütçesi için TBMM Genel Kurulu’ndayız. https://t.co/BxtpcZinYb</t>
  </si>
  <si>
    <t>1469715446815408133</t>
  </si>
  <si>
    <t>Yaygın aşılamanın ardından süreç şunu gösteriyor: Tam aşılı olanlar Covid-19’u genellikle hafif geçirmekte. Aşı aleyhtarı söylemlerden etkilenenler, aşılarını eksik bırakanlar, genç olsalar da, kronik rahatsızlıkları bulunmasa da yıpratıcı günler yaşıyor. Aşının sonuçları ortada! https://t.co/Z5Q2AQOV9D</t>
  </si>
  <si>
    <t>1469706367170752521</t>
  </si>
  <si>
    <t>Covid-19’a yakalanma endişesi giderek azalıyor. Aşılarını tamamlamış ve tedbirli davranan gençler için bu anlaşılabilir. Fakat risk grubunda bulunan ileri yaştakiler, kronik hastalığı olanlar yine yüksek hassasiyet göstermeli. Aşıları eksik olan herkes aşılarını tamamlamalı. https://t.co/H6Tba8bKgM</t>
  </si>
  <si>
    <t>1469346853242257418</t>
  </si>
  <si>
    <t>Irak'ın kuzeyinde Pençe-Yıldırım Operasyon Bölgesinde şehit düşen kahraman askerlerimize Allah'tan rahmet, ailelerine, ordumuza ve milletimize başsağlığı diliyorum. Şehitlerimizin mekânı cennet olsun. https://t.co/maGTH5sA4w</t>
  </si>
  <si>
    <t>Salgın son 6 haftada benzer günlük vaka sayılarıyla seyretti. Avrupa'da görülen ani artışlar ülkemizde görülmedi. Bu olumlu durumu sürdürmek ve kayıplarımızı azaltmak için eksik aşıları tamamlamalı tedbirden taviz vermemeliyiz. https://t.co/722F26y5EE</t>
  </si>
  <si>
    <t>1469013767585517579</t>
  </si>
  <si>
    <t>İnsanlarımızı aşıdan önyargılarla korkutmaya çalışanlar NE KAZANDI? Hatalı kararlarınsa sonucunu biliyoruz. Yoğun bakımlarda yatan Covid-19 hastalarının önemli bölümü hiç aşı yaptırmamış veya aşısı tam olmayan kişiler. Aşı, alınması gereken bir karar. Pişman olmayı beklemeyin. https://t.co/NF67X5okDK</t>
  </si>
  <si>
    <t>1468625208189894660</t>
  </si>
  <si>
    <t>RT @RTErdogan: Kabine Toplantısı Sonrası Millete Sesleniş https://t.co/8v29AOAsNs</t>
  </si>
  <si>
    <t>1468612714713038851</t>
  </si>
  <si>
    <t>Türkiye’nin her yerinde yoğun bakımda yatan Covid-19 hastaları var. Bunların önemli bir bölümünün hiç aşı yaptırmamış veya aşıları eksik kişiler olması tesadüf değil. Aşılı kişilerin hastalığı büyük oranda hafif geçirmesi de tesadüf değil. Geride kalan 10 ayın sonuçlarına güvenin https://t.co/EF3ZNMn0Lo</t>
  </si>
  <si>
    <t>1468258388987555845</t>
  </si>
  <si>
    <t>Büyük bir hayat son buldu. Biyoloji Felsefesi konulu teziyle felsefe doktoru olan, eserleri ve yetiştiği yeni felsefecilerle öncü akademisyenler arasında yer alan PROF. DR. TEOMAN DURALI artık aramızda değil. Kendisine Allah’tan rahmet, sevenlerine başsağlığı diliyorum.</t>
  </si>
  <si>
    <t>1467963979679117315</t>
  </si>
  <si>
    <t>Türkiye’nin herhangi bir yerinde bir doz aşı yapıldığında bundan hepimiz mutluluk duyuyorduk. Aşılanmanın, toplumun tüm bireylerine karşı da görevimiz olduğunun farkındaydık. Şimdi ciddi artışların olmaması üzüntü verici. 30 ilde 2. doz oranı %75’in altında. AŞI ÖNEMİNİ KORUYOR. https://t.co/lIXkJUndIB</t>
  </si>
  <si>
    <t>1467912357762543628</t>
  </si>
  <si>
    <t>3.156 Acil Sağlık Hizmetleri İstasyonumuz, 5.886 Kara Ambulansımız, 6 Deniz Ambulansımız, 12 Helikopter Ambulansımız, 3 Uçak Ambulansımız ve 39.836 Acil Sağlık Personelimizle Acil Sağlık Hizmetleri Haftamız Kutlu Olsun. https://t.co/io4VSaeznl</t>
  </si>
  <si>
    <t>1467782222132518915</t>
  </si>
  <si>
    <t>Vaka sayıları 20 binin altına büyük uğraşlar ve özveri ile düşüyor. Bunu kalıcı kılmak bizim mücadele kararlılığımıza bağlı. Hemen aşılarımızı olmalı ve tadbirden taviz vermemeliyiz. https://t.co/8xOtObjf5b</t>
  </si>
  <si>
    <t>1467535331314573324</t>
  </si>
  <si>
    <t>20-26 Kasım arasında vaka yoğunluğu bir önceki haftaya göre en çok artan 10 ilimiz: Osmaniye, Adana, Mersin, Hatay, Kırklareli, Çanakkale, Eskişehir, Burdur, Bilecik ve Edirne. https://t.co/xWvDB5eVJx</t>
  </si>
  <si>
    <t>1467482844255731714</t>
  </si>
  <si>
    <t>20-26 Kasım arasında, 100.000 kişi içinde bir haftalık toplam yeni Covid-19 vaka sayısı il bazında neydi? Bilgiler, haftalık İnsidans haritasında. https://t.co/QI07NSj6lj</t>
  </si>
  <si>
    <t>1467481588858597392</t>
  </si>
  <si>
    <t>Mevsim şartlarından hepimizin çıkarması gereken sonuçlar var. Kapalı yerlerde kalabalık ortamlarda uzun süre bulunmaktan kaçınmalıyız. Bulunduğumuz kapalı ortamları sık sık havalandırmalıyız. Temizliğe dikkat etmeliyiz. Riskin arttığı bu dönemde aşılarımızı hemen yaptırmalıyız. https://t.co/fEJf2DwX64</t>
  </si>
  <si>
    <t>1467169880550133772</t>
  </si>
  <si>
    <t>SMA TARAMASI
Projemizle, genetik yapıları SMA hastası bebek dünyaya getirme riski içeren çiftler, tüp bebek yöntemiyle riskten uzak bir şekilde çocuk sahibi olabilecek ve bedeli devletimizce karşılanacak. SMA hastası bebeklere ise tedavinin etkili olduğu aşamada tanı konabilecek. https://t.co/MmPhWmfuNg</t>
  </si>
  <si>
    <t>1467147036948635660</t>
  </si>
  <si>
    <t>Nusinersen etkin maddeli, SMA hastalarında etkisinin sınırları ortaya konmuş olan ilaç ülkemizde uygulanan tedavinin kapsamındadır ve ilaç bedelsiz olarak sağlanmaktadır. Araştırmalar ve hastalarımızdaki sonuçlar, ilacın erken evrede fayda sağlayabildiğini göstermektedir. https://t.co/WPyD7jcZOv</t>
  </si>
  <si>
    <t>1467144799442677766</t>
  </si>
  <si>
    <t>SMA hastalarından söz ederken yaşamın en kırılgan halinden söz ediyoruz. Konuyla ilgili her söz bu kırılganlığı gözetmek zorundadır. Boş umutlarla yıpratılmaya açık olmamak fakat en küçük imkânı değerlendirmek gerekir. Bakanlığımız, SMA hastaları için bunu yapmaya çalışmaktadır. https://t.co/cVX4ikmBuv</t>
  </si>
  <si>
    <t>1467139577689387016</t>
  </si>
  <si>
    <t>4 Maddede SMA Bilim Kurulu Toplantısı Sonuçları https://t.co/LYDwt8we7C</t>
  </si>
  <si>
    <t>1467135611429605382</t>
  </si>
  <si>
    <t>ENGELLİLER GÜNÜ. Ulusal Engelli Veri Tabanına göre ülkemizde 1,5 Milyondan çok engelli birey var. Dünyada ise engelli oranının yine çok yüksek olduğunu biliyoruz. Engelli olmak kusur değil, pozitif ayrım yapmamaksa toplumlar için büyük hata. HAYATI BİZ BİRLİKTE VAR EDİYORUZ.</t>
  </si>
  <si>
    <t>1466826647630495754</t>
  </si>
  <si>
    <t>Bakanlık görevleri başta olmak üzere, yakın dönem siyasi hayatımızda önemli sorumluluklar üstlenmiş, dava ve çalışma arkadaşı kimliğiyle gönüllerde “Güldal abla” olarak yer etmiş Güldal Akşit’i kaybettik. Kendisine Allah’tan rahmet, ailesine ve sevenlerine başsağlığı diliyorum.</t>
  </si>
  <si>
    <t>1466810323839692805</t>
  </si>
  <si>
    <t>Omicron varyantına ülkemizde rastlanmamıştır. Bu varyantta virüsün birden fazla gen bölgesinde mutasyona uğradığı bilinmektedir. Ön bilgilere göre Omicron varyantı daha hızlı bulaşmaktadır ancak daha çok hasta edici özellikte olduğunu gösteren bir bulgu yoktur. https://t.co/I1Bvxg1bmc</t>
  </si>
  <si>
    <t>1466803672608911364</t>
  </si>
  <si>
    <t>Salgın hayatı değiştirdi, salgın boyunca da değişimler yaşadık. Bu değişimlerden biri aşının bulunmasıyla önlemlerin kısmen esnekleşmesi oldu. Bugün, hayat kalitelerimiz için aşıya çok önem vermeliyiz. Tıpkı, ilk günlerde tedbirlere verdiğimiz önem kadar. Ve dikkatli olmalıyız. https://t.co/DvYWrEojQh</t>
  </si>
  <si>
    <t>1466461319251509252</t>
  </si>
  <si>
    <t>SMA Bilim Kurulu Toplantımızın ardından basın açıklamamız: https://t.co/1AZpi0W8cK</t>
  </si>
  <si>
    <t>1466424353562714127</t>
  </si>
  <si>
    <t>Kabinedeki yeni çalışma arkadaşımız, Hazine ve Maliye Bakanı Sn. Dr. Nureddin Nebati’yi atandığı önemli görev için kutluyor, başarılar diliyorum. Görevi devreden değerli bakan arkadaşımız Sn. Lütfi Elvan’a hizmetleri ve yakın iş birliği için bakanlığım adına teşekkür ediyorum.</t>
  </si>
  <si>
    <t>1466296161560670211</t>
  </si>
  <si>
    <t>Sn. Cumhurbaşkanımıza duyarlılığı için şükranlarımı arz ederim. Bize destek veren Hazine ve Maliye Bakanlığı’na, Çalışma ve Sosyal Güvenlik Bakanlığı’na, düzenlemenin Meclis’te görüşülmesinde oy birliğiyle hareket eden milletvekillerine ve partilere teşekkür ediyorum.</t>
  </si>
  <si>
    <t>1466107864758554625</t>
  </si>
  <si>
    <t>Hekimler başta olmak üzere, sağlık çalışanlarımızın maddi haklarının iyileştirilmesini sağlayacak kanun maddeleri yüce Meclis’te gündeme alındı. Bu iyileştirmelerin çoktan hak edildiğini toplum olarak biliyor, sonuçlarının hepimize yansıyacağına yine toplumca inanıyoruz.</t>
  </si>
  <si>
    <t>1466107734072438788</t>
  </si>
  <si>
    <t>Bilim Kurulu Toplantımız sonrası basın açıklamamız: https://t.co/yMMcvAWwYV</t>
  </si>
  <si>
    <t>1466096106534748163</t>
  </si>
  <si>
    <t>Virüsler, gribe yol açan Influenza’daki gibi, zamanla değişime uğrar. Bizim verdiğimiz mücadeleye ve değişen şartlara karşı virüs de hayatta kalma mücadelesi verir. Covid-19’da yeni varyantlardan endişe duyulabilir, fakat salgının sonunun zayıf varyantlarla geleceğini unutmayın. https://t.co/6xJIr0d8Mu</t>
  </si>
  <si>
    <t>1466080647739547653</t>
  </si>
  <si>
    <t>MARMARA BÖLGESİNDE yaşanan Lodos Fırtınası kaynaklı afet olaylarında 63 kişi yaralanmış, 5 kişi hayatını kaybetmiştir. Afet yerlerinde 28 adet 112 Ambulansı, 3 UMKE Timiyle 99 sağlık personeli görevlendirilmiştir. Milletimize başsağlığı ve geçmiş olsun dileklerimi sunuyorum.</t>
  </si>
  <si>
    <t>1465791353049202690</t>
  </si>
  <si>
    <t>Yüksek Düzeyli Sağlık Diyaloğu kapsamında Avrupa Birliği Sağlık Komiseri Stella Kyriakides ile video konferans yöntemiyle görüştük. Görüşmede; Covid-19 ve küresel sağlık tehdidi, iklim değişikliğinin sağlık üzerine etkileri, kanserden korunma ve ruh sağlığı konularını ele aldık. https://t.co/Ft0Muu4VqA</t>
  </si>
  <si>
    <t>1465742806144753668</t>
  </si>
  <si>
    <t>Bir dozun yetersizliğinin bilinmesine ve ısrarlı uyarılara rağmen ikinci doz aşısını olmayan 5.166.607 kişi var. Üçüncü dozda ise beklenen seviyenin çok altındayız: Sadece 12.180.234 kişi üçüncü doz aşısını oldu. Bu, yetişkin nüfusun %20,01’ine karşılık geliyor. Aşılarınızı olun. https://t.co/2gogGfLEg2</t>
  </si>
  <si>
    <t>1465737772422111240</t>
  </si>
  <si>
    <t>13-19 Kasım arasında vaka yoğunluğu bir önceki haftaya göre en çok artan 10 ilimiz: Tunceli, Adana, Gümüşhane, Mersin, Sinop, Hatay, Burdur, Kilis, Giresun, Mardin. https://t.co/pqmIshpFjA</t>
  </si>
  <si>
    <t>1465562977990549506</t>
  </si>
  <si>
    <t>13-19 Kasım arasında, 100.000 kişi içinde bir haftalık toplam yeni Covid-19 vaka sayısı il bazında neydi? Bilgiler, haftalık İnsidans haritasında. https://t.co/6hXgH90ndg</t>
  </si>
  <si>
    <t>1465561712585842692</t>
  </si>
  <si>
    <t>TIBBİ SEKRETERLER GÜNÜ. Sağlık hizmetlerinin sunumunda kaliteleri artırıcı ve organize edici rolü yüksek olan, camiamızın saygın üyeleri Tıbbi Sekreterlerimizin gününü kutluyor, kendilerine başarılar diliyorum.
Sizin profesyonelliğinizin ışığı, hastadan hekime hepimize yansır.</t>
  </si>
  <si>
    <t>1465366839559606289</t>
  </si>
  <si>
    <t>Omicron (Nu) varyantı gelişmesini ve buna karşı aldığımız tedbiri 26 ve 27 Kasımda açıkladık. Varyantlar, örneklerini daha önce yaşadığımız gibi, salgın sürecinin doğal bir parçasıdır. Ülkemizde yeni varyanta rastlanmamıştır. Tedbirin önemi ise tekrar ortaya çıkmıştır. https://t.co/J8pY2hLUXE</t>
  </si>
  <si>
    <t>1465362836100689922</t>
  </si>
  <si>
    <t>Olay olan illerde 24 adet 112 Ambulansı, 3 adet UMKE Timi ile 87 sağlık personeli görev başındadır. Bölge halkına ve bütün ülkemize başsağlığı ve geçmiş olsun dileklerimizi sunuyoruz. Çalışmalarımız devam ediyor.</t>
  </si>
  <si>
    <t>1465348579019698177</t>
  </si>
  <si>
    <t>Saat 17.30 itibarı ile afette son durum: Olayda 38 kişi yaralanmış, 4 kişi ise hayatını kaybetmiştir. Yaralılar, olay yerine görevlendirilen 112 ambulanslarımız ile hastaneye nakledilmiştir.</t>
  </si>
  <si>
    <t>1465348577174212611</t>
  </si>
  <si>
    <t>MARMARA BÖLGESİNDE YAŞANAN LODOS FIRTINASINDA; İstanbul, Bursa ve Bolu’da maddi hasar ve yaralanma meydana gelmiş, İstanbul Esenyurt, Arnavutköy, Avcılar ve Başakşehir ilçeleri yoğunlukta olmakla bazı ilçelerimizde afet olayları yaşanmıştır.</t>
  </si>
  <si>
    <t>1465348575546822669</t>
  </si>
  <si>
    <t>Ağır sağlık sorunları sebebiyle uzun süredir tedavi görmekte olan Galatasaray Spor Kulübü eski başkanı Mustafa Cengiz aramızdan ayrıldı. Kendisine Allah’tan rahmet, ailesine, yakınlarına ve tüm spor camiasına başsağlığı diliyorum. Mekânı cennet olsun.</t>
  </si>
  <si>
    <t>1464992996294811648</t>
  </si>
  <si>
    <t>Tabloda bir süredir ciddi değişkenlikler görülmüyor. Bu seyir, kontrolü kolaylaştırıyor. Tedbirlere daha fazla duyarlı olursak vaka sayılarında daha iyi sonuçlar elde edebiliriz. Salgın ortamından çıkış için, aşı gündemde ilk sırada yer alıyor. Aşınızı vaktinde yaptırın. https://t.co/jqjJyu7eNw</t>
  </si>
  <si>
    <t>1464991754038521860</t>
  </si>
  <si>
    <t>COVİD-19 VE ÖLÜMLER. Ölüm nedeni tespitinde baştan beri DSÖ ölçütü PCR’ı esas alıyoruz. Doğrulanmamış vakalar, sağlık hizmetine erişimin kısıtlı olması gibi dolaylı nedenlerle en az şu anki kadar daha ölüm söz konusu. Bazı hastalarda, ilerde ciddi yan rahatsızlıklar da çıkabilir. https://t.co/m5qQDuvzGG</t>
  </si>
  <si>
    <t>1464988354357903362</t>
  </si>
  <si>
    <t>TİP-1 SMA. Etkin maddesi Nusinersen olan ilacı hastalarımıza karşılıksız veriyoruz. SMA Bilim Kurulu, Zolgensma isimli ilacın hangi hastalarda kullanılabileceğini tespit etmek üzere gelecek hafta toplanıyor. Önlenmesi için, SMA’yı evlilik öncesi zorunlu tarama kapsamına alıyoruz. https://t.co/5O58eRB8ZJ</t>
  </si>
  <si>
    <t>1464985865864757252</t>
  </si>
  <si>
    <t>MOLNUPİRAVİR. Covid-19’a karşı dünyada ruhsatlandırılmaya başlanan bu ilaca Cumhurbaşkanımızın imzasıyla zorunlu lisans verildi. Firmalara çağrıda bulunuldu. İlaç, 1 ay içinde kullanımda olacak. https://t.co/tWQLSeK51J</t>
  </si>
  <si>
    <t>1464678508089815042</t>
  </si>
  <si>
    <t>ŞİDDET. Plan ve Bütçe Komisyonu’ndaki konuşmamızda, geçen yıl çıkarılan sağlıkta şiddet suçlarına yönelik yasanın bizler için koruyuculuktan uzak olduğunu, uygulamada etkisiz kaldığını ifade ettik. Hapis cezasının para cezasına çevrilmemesi yönündeki talebimizi dile getirdik. https://t.co/U7iFncKS8s</t>
  </si>
  <si>
    <t>1464673473796755458</t>
  </si>
  <si>
    <t>Plan ve Bütçe Komisyonu’ndaki konuşmamızda sabit ek ödemenin genel bütçeye aktarılması, sabit ek ücretin genel bütçeye arttırılarak aktarılması, mesai sonrası çalışmanın isteğe bağlı olarak yeniden getirilmesi ve emeklilikte önemli bir İYİLEŞTİRME yapılmasını gündeme getirdik. https://t.co/pvHRosICjq</t>
  </si>
  <si>
    <t>1464668610450890759</t>
  </si>
  <si>
    <t>NÖBETLER. Asistan hekimlerin 36 saat çalışmasını istemiyor, tercih etmiyor ve uygulamayı insani bulmuyoruz. 24 saat çalışmayı da ben insani bulmuyorum. Süre, bana göre 16 saate doğru inmeli. Bunu, bugünden yapamayabiliriz ama 2-3 yıl sonrası için şimdiden planlama yapmalıyız. https://t.co/2I7StjIAji</t>
  </si>
  <si>
    <t>1464662678442545171</t>
  </si>
  <si>
    <t>BEYAZ REFORM. Hekimlerin istedikleri branşlarda uzmanlık yapabilmeleri için köklü değişiklikler gerçekleştirmek istiyoruz. Kimse bu sebeple yurt dışına gitmeye ihtiyaç duymamalı. Uzmanlıktan emeklilik şartlarına bir dizi değişim, beyaz reform. Bunu gerçekleştireceğiz. https://t.co/sD01eOxrXE</t>
  </si>
  <si>
    <t>1464659835547439106</t>
  </si>
  <si>
    <t>TÜRKİYE AŞI ARGE VE ÜRETİM MERKEZİ. Proje çalışmalarını tamamladık. 50.000 metrekare büyüklüğündeki tesisin ihalesi önümüzdeki günlerde yapılacak, inşaatın gelecek yıl bitmesini planlıyoruz. https://t.co/2FRfbxBgkY</t>
  </si>
  <si>
    <t>1464652334387060737</t>
  </si>
  <si>
    <t>Farklı ülkelerde ortaya çıkan varyantlara bağlı gelişmeleri izliyor ve ülkemizin dışarıyla teması konusunda önlem alıyoruz. Gündemde olan Nu (omicron) varyantına karşı en erken önlem alan ülkelerdeniz. Türkiye’de en yaygın varyant Delta varyantıdır. Nu varyantına rastlanmamıştır. https://t.co/O6IqcH604u</t>
  </si>
  <si>
    <t>1464646698702188546</t>
  </si>
  <si>
    <t>🇩🇪 durchlebt eine schwierige Phase in der Pandemie. Gestern erreichte die Zahl der Neuinfektionen und Todesfälle einen neuen Höchststand. Wir haben Verpflichtungen gegenüber unseren Bürgern und der Menschheit. Wir sind bereit, für unsere Bürger Verantwortung zu übernehmen. https://t.co/yrD2dgHOBd</t>
  </si>
  <si>
    <t>1464643305921253393</t>
  </si>
  <si>
    <t>3,5 Milyon vatandaşımızın yaşadığı 84 Milyon nüfuslu Almanya salgında zor günler geçiriyor. Dün 72.159 ile en yüksek günlük vaka sayısına ulaşıldı, 374 kişi hayatını kaybetti. İnsanımıza ve insanlığa karşı görevlerimiz var. Hasta vatandaşlarımız için sorumluluk almaya hazırız.</t>
  </si>
  <si>
    <t>1464625782144344067</t>
  </si>
  <si>
    <t>Sn. Meral Akşener,
Üzerinde siyaset yaptığınız konu, Avrupa’da yaşayan 5 Milyon insanımızdan Covid-19’a yakalananların İstanbul’da, bir acil durum hastanemizde tedavi olabilmeleri konusudur. Alman Sağlık Bakanı yoğun bakım kapasitelerinin dolmaya başladığını açıkladı. https://t.co/KkFtXvPS9a</t>
  </si>
  <si>
    <t>1464608238494756864</t>
  </si>
  <si>
    <t>TEDBİR: Nu varyantı kaynaklı artan vakalar sebebiyle; Botsvana, Güney Afrika Cumhuriyeti, Mozambik, Namibya ve Zimbabve’den ülkemize tüm kara, hava, deniz ve demiryolu sınır kapılarımız yoluyla bu geceden itibaren seyahat edilmesine izin verilmeyecektir.</t>
  </si>
  <si>
    <t>1464297687889727500</t>
  </si>
  <si>
    <t>Salgın hastalığı gündemimizden çıkarmalıyız. Ancak bunu yaparken tedbirlere uymayı terk etmemeliyiz. Mücadele sürekliliği bize başarıyı getirecek. Varyant ve mutasyonlar gündeminizde yer almamalı. Bilim Kurulumuz sizin için her durumu titizlikle izliyor. https://t.co/adLZOkfXDt</t>
  </si>
  <si>
    <t>1464269001618567172</t>
  </si>
  <si>
    <t>Diyarbakır’da bir aile sağlığı merkezinde yaşanan şiddet olayında bir hekim arkadaşımız bıçakla yaralandı. Kamuoyuna da yansıyan görüntüler dehşet uyandırıcı. Psikiyatrik bozukluğu olan saldırgan tutuklanmıştır. Hukuk harekete geçti. SAĞLIKTA ŞİDDETİ ÖNLEME DAVAMIZDA KARARLIYIZ.</t>
  </si>
  <si>
    <t>1463981938327367682</t>
  </si>
  <si>
    <t>Hayatın bir süre daha salgın koşullarında devam edeceği gerçeğine alışmamız gerekiyordu. Bu adaptasyonu çoğumuz sağladık. Bir kısmımızsa, salgın yokmuş gibi davranmayı seçiyor. Hepimiz için doğru olan, hayatı normale yaklaştırırken salgınla mücadelenin şartlarına da uymaktır. https://t.co/dmxyzFzvjI</t>
  </si>
  <si>
    <t>1463905199878250499</t>
  </si>
  <si>
    <t>Sağlık Bakanlığı 2022 Yılı Plan ve Bütçe Komisyonu Toplantısı (Sunum 2. Kısım) https://t.co/K7g0twljQI</t>
  </si>
  <si>
    <t>1463803969722064898</t>
  </si>
  <si>
    <t>Milletimiz adına sevindirici bilgi: Yerli Covid-19 aşımız Turkovac için acil kullanım onayına müracaat edilmiştir. Yıl sonuna kadar yaygın kullanıma geçmeyi hedefliyoruz. Aziz milletimize hayırlı olsun. https://t.co/WeOs62Fuci</t>
  </si>
  <si>
    <t>1463798855322025984</t>
  </si>
  <si>
    <t>Sağlık Bakanlığı 2022 Yılı Plan ve Bütçe Komisyonu Toplantısı https://t.co/hm1izzXkzP</t>
  </si>
  <si>
    <t>1463768047131451393</t>
  </si>
  <si>
    <t>Kadına yönelik şiddet tüm insanlığın en hassas sorunlarından biri. Buna bakarak, uygarlığın övündüğümüz düzeyinin çok gerilerinde olduğunu düşünebiliriz. Kadına Yönelik Şiddetle Uluslararası Mücadele Gününde, sizinle, Bangladeş’te yayınlanmış dokunaklı bir filmi paylaşıyorum. https://t.co/VNXR7dOwmX</t>
  </si>
  <si>
    <t>1463751642923347970</t>
  </si>
  <si>
    <t>Sn @hans_kluge
Pandeminin başından itibaren Türkiye’nin Cumhurbaşkanımızın liderliğinde uluslararası dayanışmaya verdiği katkıya dikkat çektiğiniz için teşekkür ediyorum. Covax oluşumu üzerinden 10 milyon doz aşı hibesi daha yapacağımızın müjdesini de sizinle paylaşmak istiyorum. https://t.co/6gan3tVJwS</t>
  </si>
  <si>
    <t>1463580283974868992</t>
  </si>
  <si>
    <t>Dear @hans_kluge, thanks for pointing out 🇹🇷’s contribution to international solidarity since day one of the pandemic under the leadership of President Erdoğan. I also would like to share the good news: 🇹🇷 will donate 10 million more doses via COVAX Facility. https://t.co/6gan3tVJwS</t>
  </si>
  <si>
    <t>1463579722311479296</t>
  </si>
  <si>
    <t>Bilim kurulu toplantımız sonrası basın açıklamamız: https://t.co/DqChR45XTL</t>
  </si>
  <si>
    <t>1463575993113890825</t>
  </si>
  <si>
    <t>Salgın sürecinin tahmin edilenden çok daha fazla sürmesi beklentileri kırdı, motivasyonu azalttı. Fakat yüksek vaka sayıları ve vefatlarla, gerçek her gün tekrar tekrar karşımızda. Covid-19’u yok sayamayız. Mücadele, tıpkı salgının varlığı kadar tartışılmaz bir kesinlikte olmalı. https://t.co/KGKjNlBqk6</t>
  </si>
  <si>
    <t>1463554348164784132</t>
  </si>
  <si>
    <t>Matematik öğretmenlerimiz bize matematik, kimya öğretmenlerimiz kimya, Türkçe öğretmenlerimiz bize dilimizin inceliklerini öğretmeye çalıştı. İyi insan nasıl olunur? Bu, hepsinin ortak konusuydu. Öğretmen, asıl, insan olmayı öğretir. 24 Kasım Öğretmenler Günü kutlu olsun.</t>
  </si>
  <si>
    <t>1463429220537876487</t>
  </si>
  <si>
    <t>Afyonkarahisar, ikinci doz aşı oranında %75’in üzerine çıkarak Mavi kategorisine geçti. Geç kalanlar, kolları sıvayalım. Türkiye, salgınla mücadelenin rengine bürünmeli!</t>
  </si>
  <si>
    <t>1463423089677643782</t>
  </si>
  <si>
    <t>Kahraman subayımız Piyade Binbaşı Mete Yıldırım’ın bir kaza sonucunda hayatını kaybettiği haberini aldık, müteessiriz. Olay, kendisinin görevli olduğu Barış Pınarı Harekât bölgesinde yaşandı. Şehidimize Allah’tan rahmet; ailesine, milletimize ve ordumuza başsağlığı diliyoruz. https://t.co/uevC6fb3nz</t>
  </si>
  <si>
    <t>1463259350881947651</t>
  </si>
  <si>
    <t>Pendik Devlet Hastanesinde yaşanan şiddet olayının ardından adli kontrol şartıyla serbest bırakılan saldırgan, görüntülerin tarafımızca Başsavcılığa teslim edilmesi üzerine gözaltına alınarak tutuklandı. Kararlıyız. Hiçbir şiddet olayında faillerin peşini bırakmayacağız.</t>
  </si>
  <si>
    <t>1463212487143272464</t>
  </si>
  <si>
    <t>Covid-19 solunum yoluyla bulaşan bir hastalık. Çoğu kere farkında bile olmadan yüzümüze dokunmamız virüsün bulaşma ihtimalini artıyor. Temas ettiğimiz yüzeylerde virüs olabileceği için ellerimizi sık sık yıkamalıyız. Maskenin bu açıdan da koruma sağladığını ise unutmamalıyız. https://t.co/RaHbiTwSfF</t>
  </si>
  <si>
    <t>1463207922247290882</t>
  </si>
  <si>
    <t>Eğitimleri, teknoloji kullanımına hâkimiyetleri ve hastalara yaklaşımdaki titizlikleriyle diş hekimlerimiz, hekimlik mesleğinin en güzel örneklerini veriyor. Ağız ve diş sağlığında koruyucu önlemler yaygınlaşıyor. Diş Hekimleri Gününü ve bu başarıları hepimiz adına kutluyorum. https://t.co/6g9OhhNnIJ</t>
  </si>
  <si>
    <t>1462849371981107210</t>
  </si>
  <si>
    <t>Covid-19 salgınının doğrudan halk sağlığını tehdit eden sonuçlarını 20 aydır yaşıyoruz. Salgın bununla kalmıyor, bütün ülkelerde hayatın tüm alanlarını zayıf düşürüyor. Aşı ve tedbir, başta sağlığımız olmak üzere hayat kalitelerimizin savunulması demektir. Aşınızı zamanında olun. https://t.co/HzYiAG8ase</t>
  </si>
  <si>
    <t>1462839678487474197</t>
  </si>
  <si>
    <t>RT @RTErdogan: Kabine Toplantısı Sonrası Millete Sesleniş https://t.co/TMS8Roel1g</t>
  </si>
  <si>
    <t>1462813527144607744</t>
  </si>
  <si>
    <t>İlk doz aşılanmada kısa sürede başarı elde ettiği halde, ikinci doz oranı %65’in altında kalan 8, %80’in altında kalan 59 ilimiz var. Aşılanmada halen kararsız olanlara hatırlatmak istiyoruz: İnsanlık aşıda istekli. Aşılanma oranı düşük ülkeler, aşı tedarik edemeyen ülkelerdir. https://t.co/75Xub011Yl</t>
  </si>
  <si>
    <t>1462459489907617796</t>
  </si>
  <si>
    <t>6-12 Kasım arasında vaka yoğunluğu bir önceki haftaya göre en çok artan 10 ilimiz: Tunceli, Osmaniye, Çanakkale, Kırklareli, Balıkesir, Bilecik, Hatay, Tekirdağ, Adana, Bartın. https://t.co/BQMo069Psz</t>
  </si>
  <si>
    <t>1462353365736857602</t>
  </si>
  <si>
    <t>6-12 Kasım arasında, 100.000 kişi içinde bir haftalık toplam yeni Covid-19 vaka sayısı il bazında neydi? Bilgiler, haftalık İnsidans haritasında. https://t.co/1O0zR18XO0</t>
  </si>
  <si>
    <t>1462350391924994050</t>
  </si>
  <si>
    <t>İki doz aşılıların sayısının 50 Milyonu geçtiğini ve 50 Milyonun toplam nüfusun %60’ına karşılık geldiğini bugün açıkladık. Aşılama programında 18 yaş ve üstünü esas aldığımız için bu oran tabloda %80,5 görünüyor. Salgına karşı daha güçlü mücadele için bu oranı yükseltmeliyiz. https://t.co/wqLGfnyzIk</t>
  </si>
  <si>
    <t>1462092012086251525</t>
  </si>
  <si>
    <t>İKİ DOZ AŞISINI YAPTIRANLARIN SAYISI bugün 50 Milyonu geçti. İki doz aşılılar şu an toplam nüfusun %60’ına karşılık geliyor. Aşı konusunda halen kararsız olanlar 50 Milyonun kararını örnek almalı.</t>
  </si>
  <si>
    <t>1462067679695675394</t>
  </si>
  <si>
    <t>2020’de yapılan değişiklikle, sağlık çalışanlarına yönelik şiddet suçlarının cezasını yasa 1,5’la çarpıyor. Sonuç alamadık. İki yıllık hekim arkadaşımız Dr. Esma’ya yapılan saldırı çok sayıdaki olaydan biri. “Artık yeter” çığlığı. Sorun tüm toplumun. Toplumu harekete geçireceğiz.</t>
  </si>
  <si>
    <t>1461801237196820490</t>
  </si>
  <si>
    <t>Erzurum’da meydana gelen 5,1 büyüklüğündeki depremde, 2 köyde küçük çaplı hasar oldu. Depreme bağlı olaylar sonucu 4 kişi yaralandı. 5 adet 112 Ambulansı ve 3 UMKE Timiyle toplam 27 sağlık personelimiz bölgede görev başında. Erzurum’a, ülkemize geçmiş olsun. Yanındayız Erzurum. https://t.co/7ureNOH9r1</t>
  </si>
  <si>
    <t>1461742534615515154</t>
  </si>
  <si>
    <t>Salgın boyunca birçok kez günlük yaşam kısıtlamalarla düzene konmuş ve bunlardan sonuçlar alınmıştı. Kısıtlamalar artık söz konusu olmasa da, biz kişisel tercihlerimizde bunları dikkate almalıyız. Hizmet alacağımız kurumlara DAHA AZ YOĞUN oldukları saatte gidelim. https://t.co/2itmmf28UI</t>
  </si>
  <si>
    <t>1461736789371199492</t>
  </si>
  <si>
    <t>Keçiören’de meydana gelen patlamada; aynı aileden 2 yaşlarında bir kız çocuğu ve 35 yaşlarında baba hayatını kaybetti. 5 yaşlarındaki erkek kardeşin ise durumu ağır. Hamile annenin tedavisine devam ediliyor.</t>
  </si>
  <si>
    <t>1461468713455165444</t>
  </si>
  <si>
    <t>Ankara Keçiören'de bir binada yaşanan patlamada 2'si ağır 6 yaralımız olduğunu belirtmiştik. Ağır yaralı olanların ikisi de çocuk. Maalesef tüm çabalara rağmen yavrularımızdan birisi kurtarılamadı. Diğer yavrumuzun durumu ise hâlâ ciddiyetini koruyor. Başımız sağ olsun.</t>
  </si>
  <si>
    <t>1461453754520248327</t>
  </si>
  <si>
    <t>Ankara Keçiören’de bir apartmanda, kaynağı henüz bilinmeyen patlama sonucu meydana gelen göçükte ikisi ağır 6 kişi yaralanmıştır. Olay yerine 8 adet 112 ambulansı görevlendirilmiş olup yaralılar 112 ambulansları ile hastanelere nakledilmektedir. Ekiplerimizle takipteyiz. https://t.co/anf4LZ0NwT</t>
  </si>
  <si>
    <t>1461444085059887110</t>
  </si>
  <si>
    <t>Kahramanmaraş milletvekili, ilim ve irfan adamı değerli ağabeyimiz İmran Kılıç, tedavi gördüğü Ankara Şehir Hastanesinde hayata veda etti. Kendisine Allah’tan rahmet; ailesine, dostlarına ve Kahramanmaraş halkına başsağlığı diliyorum. Mekânı cennet olsun.</t>
  </si>
  <si>
    <t>1461400722659061769</t>
  </si>
  <si>
    <t>AŞI İÇİN BİRLİK ÇAĞRISI
Halkımızdan salgınla mücadelenin şartlarına uymasını, ertelenen, zamanı gelen dozları hemen yaptırmasını istiyoruz. Sağlık camiamızdan aşı kararsızlarını aydınlatmak için destek, tüm medyadan aşı için kamu iletişimi hizmetinde daha fazla ısrar bekliyoruz. https://t.co/iwZejCJtCH</t>
  </si>
  <si>
    <t>1461371647135555588</t>
  </si>
  <si>
    <t>Türkiye hariç tüm Avrupa’da HIMSS mükemmeliyet seviyesi olan Seviye 7’ye ulaşmış hastane sayısı 5’tir. Ülkemizdeyse Seviye 7’ye ulaşan 5 hastane var. Ağız ve diş sağlığı merkezlerimizin dijitalleşme süreçlerinde 14 merkez Seviye 6 ve 2 merkez Seviye 7 olarak tescillenmiştir. https://t.co/Cqx65hOwUF</t>
  </si>
  <si>
    <t>1461308099399233536</t>
  </si>
  <si>
    <t>Sivas, ikinci doz aşı oranında %75’in üzerine çıkarak Mavi kategorisine geçti. Geç kalanlar, yarın kolları sıvayalım. Türkiye, salgınla mücadelenin rengine bürünmeli!</t>
  </si>
  <si>
    <t>1461067350615236613</t>
  </si>
  <si>
    <t>Üstadı ebedi âleme uğurladık. Arkasında nice diriliş şarkıları bıraktı. https://t.co/D7SJGyGtWX</t>
  </si>
  <si>
    <t>1461028681036537862</t>
  </si>
  <si>
    <t>DÜZCE’DE yaşanan 5 şiddetindeki depremde yaralanma ve can kaybı olmadı. Olay sebebiyle, 14 panik atak ve 5 travma tanılı hastaya sağlık hizmeti sunuldu. Toplam 38 personelden oluşan 112 Acil Yardım ve UMKE Timleri bölgede görev başında. Düzce’ye ve Türkiye’ye geçmiş olsun.</t>
  </si>
  <si>
    <t>1461024564742344705</t>
  </si>
  <si>
    <t>Tedbir, gerekli olduğu yerde alınmalı. Örneğin yakınınızda kimse yoksa maske gereksiz, insan yoğunluğunun fazla olduğu ortamlardaysa maske vazgeçilmezdir. Şartlar zamanla TEDBİR YORGUNLUĞUNA ve ciddi ihmale yol açtı. Mevsim kış. Tedbirleri makul şekilde tekrar uygulamaya koyalım. https://t.co/Ht5XDLE2fc</t>
  </si>
  <si>
    <t>1461015126744698886</t>
  </si>
  <si>
    <t>TÜSEB Aziz Sancar 2021 Bilim, Hizmet ve Teşvik Ödüllerine layık görülen 5 bilim insanımıza ödüllerini takdim ettik. Sağlık bilim ve teknolojilerine gelecekte uluslararası düzeyde katkılarda bulunabilecek niteliklere sahip olduğuna inandığımız arkadaşlarımızı tekrar kutluyorum. https://t.co/chbYjK93mF</t>
  </si>
  <si>
    <t>1460988429798412294</t>
  </si>
  <si>
    <t>Antalya’da devam eden HIMSS Sağlık Bilişimi ve Teknolojileri Konferansı ve Fuarı’nda yaptığımız ikili görüşmelerde küresel salgına karşı mücadeleyi ve ülkelerimiz arasındaki iş birliği konularını ele aldık. https://t.co/BXXBiFsMXE</t>
  </si>
  <si>
    <t>1460948508006092806</t>
  </si>
  <si>
    <t>HIMSS Sağlık Bilişimi ve Teknolojileri Konferansı ve Fuarı  📍Antalya https://t.co/3HIL7xnSnw</t>
  </si>
  <si>
    <t>1460874555606671363</t>
  </si>
  <si>
    <t>Karabük ikinci doz aşı oranında %75’in üzerine çıkarak Mavi kategorisine geçti. Geç kalanlar, yarın kolları sıvayalım. Türkiye, salgınla mücadelenin rengine bürünmeli!</t>
  </si>
  <si>
    <t>1460700798413938694</t>
  </si>
  <si>
    <t>Kapalı mekânlarda artık daha fazla zaman geçireceğiz. Maske ve mesafe tedbirlerine uyum azaldığı için virüsün yayılma riski artacak. Yaşlıların gençlerle bir arada yaşadığı KALABALIK AİLELERİN fertleri dışarıda tedbirlere daha çok dikkat etmeli ve eksik aşılarını tamamlamalıdır. https://t.co/3nt1mWr29g</t>
  </si>
  <si>
    <t>1460673483583721473</t>
  </si>
  <si>
    <t>“Sakın kader deme kaderin üstünde bir kader vardır
Ne yapsalar boş göklerden gelen bir karar vardır
Gün batsa ne olur geceyi onaran bir mimar vardır
Yanmışsam külümden yapılan bir hisar vardır”
Sezai Karakoç’u kaybettik. Bilgemiz, şairimiz artık aramızda değil. Başımız sağ olsun. https://t.co/f9tjSAXDXP</t>
  </si>
  <si>
    <t>1460628626953674758</t>
  </si>
  <si>
    <t>Aşılanmada hız sinyali: Ağrı Sarı, Karaman Mavi!</t>
  </si>
  <si>
    <t>1460304994444455943</t>
  </si>
  <si>
    <t>Covid-19 Tablosu mesajında İLK KEZ bir ilin aşı oranını ülke gündemine taşımak istiyoruz. Şu anda ikinci doz aşı oranı en düşük ilimiz %55,2 ile Şanlıurfa’dır. Türkiye ortalamasında ise %80’i geçtik. ŞANLIURFA halkını salgınla mücadelede daha hızlı adımlar atmaya davet ediyoruz. https://t.co/QM1DCa9SLY</t>
  </si>
  <si>
    <t>1460284611175624705</t>
  </si>
  <si>
    <t>AYNI AY, AYNI YILDIZ!
Kuzey Kıbrıs Türk Cumhuriyeti’nin 38. kuruluş yıl dönümü kutlu olsun! Bağımsızlık ve barış için mücadele eden tüm kahramanlarımızı saygı ve rahmetle anıyoruz. https://t.co/oq1xSdCAVP</t>
  </si>
  <si>
    <t>1460172227450654721</t>
  </si>
  <si>
    <t>%75’i hep birlikte geçmeliyiz.
Sarı iller, Türkiye’yi sevindirelim!</t>
  </si>
  <si>
    <t>1459950737253883906</t>
  </si>
  <si>
    <t>%75’i hep birlikte geçmeliyiz.
Turuncu iller, Türkiye’yi sevindirelim!</t>
  </si>
  <si>
    <t>1459950679976460298</t>
  </si>
  <si>
    <t>DÜNYA DİYABET GÜNÜ
Yanlış beslenme, fazla kilo, hipertansiyon, hareketsiz yaşam tarzı gibi birçok nedene bağlı olarak diyabet hastalığı yaygınlaşıyor. Bu kronik hastalığın önlenmesi büyük oranda bize bağlı. Vücudumuzun istediği, doğal dengelerine ve ihtiyaçlarına uygun bir yaşam!</t>
  </si>
  <si>
    <t>1459925201085468676</t>
  </si>
  <si>
    <t>Şanlıurfa, Mardin, Diyarbakır, Batman, Siirt, Bitlis, Muş, Bingöl, Ağrı: Bu 9 ildeki aşılanma oranını yükseltmek için aşı olan herkesten İKNA DESTEĞİ istiyoruz. Aşıyı teşvik amacıyla tanıdıklarınızla irtibata geçin. Aşılanmanın artmasına, kararsızlığın aşılmasına yardımcı olun. https://t.co/gAWNt9GtCs</t>
  </si>
  <si>
    <t>1459922955560013824</t>
  </si>
  <si>
    <t>İkinci doz aşı oranı %65’ten düşük dokuz ilimiz kaldı: Şanlıurfa, Mardin, Diyarbakır, Batman, Siirt, Bitlis, Muş, Bingöl, Ağrı. Sadece karar verilmesi aşı hizmeti almak için yeterlidir. Ekiplerimizle her türlü kolaylığı sağlamaya hazırız. Yeter ki aşılanma oranımızı yükseltelim. https://t.co/CsTeVleeoM</t>
  </si>
  <si>
    <t>1459557315682750471</t>
  </si>
  <si>
    <t>30 Ekim-5 Kasım arasında vaka yoğunluğu bir önceki haftaya göre EN ÇOK ARTAN 10 İLİMİZ: Sinop, Osmaniye, Kastamonu, Tunceli, Amasya, Balıkesir, Tokat, Çankırı, Edirne, Giresun. https://t.co/NrEfMJwVJD</t>
  </si>
  <si>
    <t>1459537583122395145</t>
  </si>
  <si>
    <t>30 Ekim-5 Kasım arasında, 100.000 KİŞİ İÇİNDE bir haftalık toplam yeni Covid-19 vaka sayısı il bazında neydi? Yaşadığınız, gidip geldiğiniz illerdeki durumu haftalık İnsidans haritamızdan öğrenebilirsiniz. https://t.co/ZqKGrnUQON</t>
  </si>
  <si>
    <t>1459535698516750342</t>
  </si>
  <si>
    <t>Geç kalanlar, kolları sıvayalım! Hakkâri de Mavi!</t>
  </si>
  <si>
    <t>1459245529272131584</t>
  </si>
  <si>
    <t>4 Renkli haritadan 3 RENKLİ haritaya geçtik!
Şanlıurfa Turuncu, hedef tek renk Mavi!</t>
  </si>
  <si>
    <t>1459244310776401920</t>
  </si>
  <si>
    <t>Son 1 aydaki vakaların %15’ini 60 yaş ve üzeri oluşturuyor. Buna karşın, vefatların %84,8’i 60 yaş üzerindedir. Okul çağındaki 8-16 yaş grubundaki çocuklarımızın toplam vakalar içindeki oranı ise yaklaşık %10 seviyesinde düşüş göstermiştir. Bu, salgının seyri açısından önemlidir. https://t.co/b7efuWBGGG</t>
  </si>
  <si>
    <t>1459196448571023364</t>
  </si>
  <si>
    <t>Zatürre (Pnömoni) bulaşıcı ve riskli bir hastalıktır. Akciğerdeki hava kesecikleri iltihaplı sıvı ile dolar. KOAH, kalp hastalığı, böbrek yetmezliği, diyabet gibi kronik hastalığı olanlar, yaşlılar, küçük çocuklar, hamileler risk grubundadır. Zatürre, aşısı olan bir hastalıktır. https://t.co/PVcJcSyO3o</t>
  </si>
  <si>
    <t>1459156422105702403</t>
  </si>
  <si>
    <t>Yaklaşık 8,6 Milyon kişi zamanı gelmiş olan 2. veya 3. doz aşısını yaptırmadı. Aşının tam olması, doz sayısına ve dozlar arasındaki sürenin uzamamasına bağlı. Bildirimlerimiz bu sürelere göre yapılıyor. Aşının gücünden daha çok yararlanabilmek için AŞI TAKVİMİNİZE UYMALISINIZ. https://t.co/XLaooLpmxc</t>
  </si>
  <si>
    <t>1458830717023105027</t>
  </si>
  <si>
    <t>Uçak ve Helikopter Ambulanslarımız sadece bu yıl yurt içinde 3.629 hasta ve yaralı taşıdı. Ayrıca yurt dışına 1 hasta, yurt dışından ülkemize ise 148 hasta nakledildi. Sağlık için zamana karşı hareket halindeyiz.</t>
  </si>
  <si>
    <t>1458821706999599104</t>
  </si>
  <si>
    <t>Hava ambulans filosu
saniyeler için uçar! https://t.co/s1Cm2CZ3qm</t>
  </si>
  <si>
    <t>1458817665649233922</t>
  </si>
  <si>
    <t>Karaman’daki Acil Sağlık Hizmetleri ekiplerimiz, bugün, doğum sancıları köyden yola çıktıktan kısa bir süre sonra başlayan anne adayı için harekete geçti. Ekibimiz anne adayına ulaşıp doğumu ambulansta gerçekleştirdi. BİR ERKEK BEBEK! BİRAZ ACELECİ. Anne oğul hastanede ve iyiler. https://t.co/G82zMUS8d7</t>
  </si>
  <si>
    <t>1458536487746736140</t>
  </si>
  <si>
    <t>Koronavirüs Bilim Kurulumuz bugün risk grubundaki vatandaşlarımızın durumu, salgının seyri ve aşı programı gündemi ile toplandı. https://t.co/QSTGjNFBzk</t>
  </si>
  <si>
    <t>1458492855484358659</t>
  </si>
  <si>
    <t>Aşı olmak, yeni dozları gününde yaptırmak, salgın tedbirlerine uymak düşünülenden büyük sonuçlara yol açacaktır. Çünkü Covid-19 aşısı ve tedbirler bizleri koruma altına almakla kalmaz: virüsün yayılma, yaşama alanını daraltır. Yüksek aşı oranı ve tedbir virüsün gücünü kırar. https://t.co/AACHsgiII7</t>
  </si>
  <si>
    <t>1458481390371155970</t>
  </si>
  <si>
    <t>Atatürk aramızdan ayrıldığı zaman 57 yaşındaydı. Bildiğimiz yıllarla bir tutulamayacak bir 57 yıl! Lider olarak hayatını adadığı ve milletimizle inşa ettiği eserler binlerce yıl yaşayacak. O’nu, hatırasına saygı ve rahmetle anıyoruz. https://t.co/WmJ4L1lnd0</t>
  </si>
  <si>
    <t>1458314821871538186</t>
  </si>
  <si>
    <t>MALATYA’DA SON DURUM: Bir binanın çökmesi sonucu yaralanıp hastaneye kaldırılan 13 kişiden 8’i tedavileri tamamlanarak taburcu edilmiştir. 5 yaralı halen tedavi altında. 5 UMKE timi dâhil toplam 141 sağlık çalışanımızla olay yerindeyiz. Kurtarma çalışmaları devam ediyor.</t>
  </si>
  <si>
    <t>1458201009721905160</t>
  </si>
  <si>
    <t>UMKE ekiplerimiz bugün Malatya’da enkazdan kurtardıkları hayatlarla bize dünyaları bağışlamış oldular. Malatya ve tüm halkımız adına, iyi ki varsın UMKE! https://t.co/3y1BIPh8yH</t>
  </si>
  <si>
    <t>1458167935231565829</t>
  </si>
  <si>
    <t>Aktif vaka sayımız yaklaşık 450.126. Testi pozitif çıkmış kişilerin, şikayetleri ne düzeyde olursa olsun, hastalığın yayılmasına izin vermemek için izolasyon koşullarına kesinlikle uymaları gerektiğini hatırlatmak istiyoruz. Salgınla mücadelede başarı ortak sorumluluğa bağlı. https://t.co/4Mp5r4QCKS</t>
  </si>
  <si>
    <t>1458138217086132227</t>
  </si>
  <si>
    <t>Malatya merkezde bir binanın çökmesi sebebiyle 13 kişi yaralandı. Yaralıların tedavisi hastanelerimizde devam ediyor. Olay yerinde 28 ambulans ve 2 UMKE ekibi görevlendirilmiştir. Geçmiş olsun Malatya. Yanınızdayız.</t>
  </si>
  <si>
    <t>1458102921904758786</t>
  </si>
  <si>
    <t>Türkiye, Covid-19 aşısı için vatandaşına mecburiyet getirmedi. Fakat şartlar, aşının zaten bir mecburiyet olarak görülmesi gerektiğini ortaya koymaktadır. Kişilerin iradesi toplum yararını gözetmelidir. Sorumluluk duygusu aşı olmayı gerektirir. Salgında sorumluluktan kaçılmaz.</t>
  </si>
  <si>
    <t>1458073221518045189</t>
  </si>
  <si>
    <t>BAYBURT ikinci doz aşı oranında %65’in üzerine çıkarak Sarı kategorisine geçti. Aşı oranı düşük tüm illerimizde %75 hedefine ulaşmalıyız.
GEÇ KALANLAR, KOLLARI SIVAYALIM!</t>
  </si>
  <si>
    <t>1457989236976668679</t>
  </si>
  <si>
    <t>Bu kez UMKE ekiplerimize sadece çalışma arkadaşları olarak değil, bir Konyalı olarak da teşekkür ediyorum. Büyük küçük her afete karşı, iyi ki varsınız! https://t.co/QOwGI6mv3h</t>
  </si>
  <si>
    <t>1457804020181962757</t>
  </si>
  <si>
    <t>Saat 20.43’te Konya Meram’da 5,1 şiddetinde bir deprem meydana geldi. Depremden bir kişi etkilendi. Metruk 2 bina yıkıldı, 1’i hasar gördü. Bölgede görev başındayız. Depremin sonuçlarının bu kadarla sınırlı kalacağını umuyor, Konya’mıza geçmiş olsun diyorum. Bizi yanınızda bilin.</t>
  </si>
  <si>
    <t>1457794706654433281</t>
  </si>
  <si>
    <t>Cumhurbaşkanımız açıklamayı yaptı. Yoğun bir hazırlık sürecinin ardından yeni sağlık çalışanı arkadaşlarımızın atama kararı alındı. 40.000 arkadaşımız, nitelikli eğitimleri ve sorumluluk duygularıyla halkımızın hizmetinde olacak. Şimdiden, aramıza hoş geldiniz diyorum. https://t.co/bceqCsTHrR</t>
  </si>
  <si>
    <t>1457784433633755141</t>
  </si>
  <si>
    <t>Eksik aşıların yaptırılması ve aşı oranımızın yükselmesi gerektiğini ısrarla vurguluyoruz. Bu konuda sahadaki kararlılığımız devam ediyor. Fakat salgın şartlarının üstesinden gelmenin sadece aşıya bağlı olmadığını hiç unutmamalıyız. Virüsün artan dolaşım hızına karşı tedbir şart. https://t.co/T3oxqUWYQA</t>
  </si>
  <si>
    <t>1457764117322809346</t>
  </si>
  <si>
    <t>RT @RTErdogan: Kabine Toplantısı Sonrası Millete Sesleniş https://t.co/z1UfZsZvrl</t>
  </si>
  <si>
    <t>1457750847568371719</t>
  </si>
  <si>
    <t>Salgın gündeminden yorulduğunuzun farkındayız. Siz tedbirlere uyun, aşınızı olun; yapılması gereken başka ne varsa o görev bizim. Covid-19 testleri, hastalarımızın tedavisi, Turkovac’ın yaygın kullanıma hazırlığı devam ediyor. Hedefimiz, şu günlerin bir an önce unutulması. https://t.co/KSGWZitvXg</t>
  </si>
  <si>
    <t>1457381337942433807</t>
  </si>
  <si>
    <t>23-29 Ekim arasında vaka yoğunluğu bir önceki haftaya göre EN ÇOK ARTAN 10 İLİMİZ: Yalova, Osmaniye, Balıkesir, Ordu, Çanakkale, Kırklareli, Tekirdağ, Bilecik, Antalya, İzmir. https://t.co/X4vjiu7AC8</t>
  </si>
  <si>
    <t>1457355666830540802</t>
  </si>
  <si>
    <t>23-29 Ekim arasında, 100.000 KİŞİ İÇİNDE bir haftalık toplam yeni Covid-19 vaka sayısı il bazında neydi? Yaşadığınız, gidip geldiğiniz ildeki durumu haftalık İnsidans haritamızdan öğrenebilirsiniz. https://t.co/Z80z8ZTPIT</t>
  </si>
  <si>
    <t>1457354362079096844</t>
  </si>
  <si>
    <t>BATMAN ZİYARETİMİZDEN KÜÇÜK BİR HEDİYE. Yöreye ait “Bir Ceket İsterem” adlı türküden bir bölüm paylaşıyoruz. Batman halkının selamlarıyla. https://t.co/QG32I3LBIt</t>
  </si>
  <si>
    <t>1457076266620829696</t>
  </si>
  <si>
    <t>Eğitim ve Araştırma Hastanesinin açılışı sebebiyle bugün BATMANLILARLA beraberdik. Taleplerini, beklentilerini öğrenme fırsatımız oldu. Bize bu imkânı sunanların her birine teşekkür ediyorum. https://t.co/DnHeNCF44w</t>
  </si>
  <si>
    <t>1457050265471918084</t>
  </si>
  <si>
    <t>Hedeflediğimiz aşı başarısına ulaşabilmiş değiliz. AŞI KARARSIZLIĞI bunun önemli nedenleri arasında. İlk dozu olmayanlar ve ikinci dozu erteleyenler konuyu sürüncemede bırakmayıp, ciddiyetle ele almalı. Bilgi kaynağımız bilim insanları, %79’un kararıysa hepimize örnek olmalı. https://t.co/L5w1jrJuOg</t>
  </si>
  <si>
    <t>1457033787997659137</t>
  </si>
  <si>
    <t>Bugün Batman'a yakışır bir sağlık tesisi hizmete alındı. Batman Eğitim ve Araştırma Hastanesi’yle, artık yeni hekimler de yetiştirecek. Hayırlı olsun. https://t.co/tHLetVK6gj</t>
  </si>
  <si>
    <t>1456989917456834561</t>
  </si>
  <si>
    <t>RT @RTErdogan: Batman Eğitim ve Araştırma Hastanesi, 36 Fabrika, Şehir Stadyumu ve Tamamlanan Projelerin Toplu Açılış Töreni https://t.co/P…</t>
  </si>
  <si>
    <t>1456976743449997316</t>
  </si>
  <si>
    <t>Batman Eğitim ve Araştırma Hastanemizi Batmanlı hemşehrilerimizin hizmetine açıyoruz. 
📍Batman https://t.co/lRTOaZYokK</t>
  </si>
  <si>
    <t>1456971947309404165</t>
  </si>
  <si>
    <t>KAYSERİ VE KİLİS ikinci doz aşı oranında %75’in üzerine çıkarak Mavi kategorisine geçti. Aşı oranı düşük tüm illerimizde bu hedefe ulaşmalıyız. 81 ilin tamamı bir an önce Mavi olmalı.</t>
  </si>
  <si>
    <t>1456707511118094344</t>
  </si>
  <si>
    <t>RİSKE KARŞI İDEAL SONUÇ tam doz aşı ile elde ediliyor. Gebelerin, kronik hastalığı olanların ve 60 yaş üzerindekilerin tam aşılı olmaları son derece önemlidir. İki doz mRNA aşısı olanlardan şu an öncelik grubundakiler de zaman kaybetmeden randevu alabilir. Aşı ertelemeye gelmez. https://t.co/gEAIKghFBO</t>
  </si>
  <si>
    <t>1456683221601726464</t>
  </si>
  <si>
    <t>ORGAN VE DOKU BAĞIŞI FARKINDALIK HAFTASINDAYIZ. Organ nakli için bekleyen 26.894 hastamız var. Organ Nakli Merkezlerimiz oldukça başarılı. Fakat bazı hastalar yıllarca bekliyor. Sonuç, organ bağışının yaygınlaşmasına, başka hayatlara umut olanların artmasına bağlı. Bize katılın.</t>
  </si>
  <si>
    <t>1456622879601303559</t>
  </si>
  <si>
    <t>Doğru uygulama için adım adım takipçi, değişim için kararlıyız! https://t.co/8aY1haYFqz</t>
  </si>
  <si>
    <t>1456336869046853637</t>
  </si>
  <si>
    <t>HATAY ikinci doz aşı oranında %75’in üzerine çıkarak Mavi kategorisine geçti. Aşı oranı düşük tüm illerimizde bu hedefe ulaşmalıyız. 81 ilin tamamı bir an önce Mavi olmalı.</t>
  </si>
  <si>
    <t>1456335841786204167</t>
  </si>
  <si>
    <t>Tablodaki aşı oranları bizi yanıltmamalı, 84 Milyon içindeki karşılıklarını dikkate almalıyız. Bir doz aşı olanların tüm nüfusa oranı %67,2’dir. İki doz aşı olanların oranı ise sadece %59. Toplumsal bağışıklığı sağlayabilmek için bu oranın %70’in üzerine çıkarılması gereklidir. https://t.co/bSUsZhGiBC</t>
  </si>
  <si>
    <t>1456293949157658627</t>
  </si>
  <si>
    <t>MECLİS NÖBETİ görevimiz sırasında ziyaretimize gelenlere, hizmet önerisi ve taleplerini paylaşanlara teşekkür ederim. Milletin bütün temsilcileri huzurunda tutulan bu nöbetler bizim için aziz bir görev. https://t.co/X02QumqDBA</t>
  </si>
  <si>
    <t>1456217839333830665</t>
  </si>
  <si>
    <t>Kaza Trabzon Arsin’de yaşandı. Kayan toprak sebebiyle sıkışmaya bağlı travma ihtimali bilgisini aldık. Acil ekipleri ilk müdahaleyi olay yerinde yaptı. Ambulans Helikopter çağrıyla havalandı. 48 km mesafedeki Fakülte Hastanesine 11 dakikada ulaştı. Tanı: Sol femur boyun fraktürü. https://t.co/WgChf7YRXO</t>
  </si>
  <si>
    <t>1455994042458771459</t>
  </si>
  <si>
    <t>RİZE ikinci doz aşı oranında %75’in üzerine çıkarak Mavi kategorisine geçti. Aşı oranı düşük tüm illerimizde bu hedefe ulaşmalıyız. 81 ilin tamamı bir an önce Mavi olmalı. Hızlanalım.</t>
  </si>
  <si>
    <t>1455992295636021255</t>
  </si>
  <si>
    <t>Bilim Kurulunda; mRNA AŞISI olup, 2. doz üzerinden 6 ay geçmiş kişilere 3. DOZ yapılmasının uygun olacağına karar verildi. Öncelikli gruplar; 60 yaş üzeri, 16-60 yaş arasında ve ek hastalığı olanlarla başta sağlık çalışanları olmak üzere yüksek riskli mesleklerde çalışanlardır. https://t.co/bF0ldJpb5A</t>
  </si>
  <si>
    <t>1455984244791123972</t>
  </si>
  <si>
    <t>Yarından itibaren mRNA aşısı olanlara risk gruplarına göre hatırlatma dozu uygulanacak. https://t.co/LeSA8jd198</t>
  </si>
  <si>
    <t>1455981952364957706</t>
  </si>
  <si>
    <t>Ülkemizde Halk Sağlığı disiplininin öncüsü olan Prof. Dr. Nusret Fişek’i 1990 yılında, 3 Kasım günü kaybetmiştik. Örnek hizmetler yapan, sağlık hizmetlerinin sosyalleşmesi yönünde büyük katkılar veren Tıp büyüğümüzü saygıyla anıyoruz. https://t.co/Q3HLgNKifP</t>
  </si>
  <si>
    <t>1455957046352916487</t>
  </si>
  <si>
    <t>“Atama Bekleyenler Haklılar. Bu Ay İçinde Sayı Açıklanacak.”
SİZİN YERİNİZE SORDULAR, CEVAP VERDİK https://t.co/vNs68KmAxQ</t>
  </si>
  <si>
    <t>1455799226802266113</t>
  </si>
  <si>
    <t>SMA Hastalığına Karşı Proje: Evlilik Öncesi Tarama Testi
SİZİN YERİNİZE SORDULAR, CEVAP VERDİK https://t.co/ulgDEyptyd</t>
  </si>
  <si>
    <t>1455792753795866624</t>
  </si>
  <si>
    <t>Turkovac’ın Seri Üretimi ve Gönüllü İhtiyacı
SİZİN YERİNİZE SORDULAR, CEVAP VERDİK https://t.co/yUkBKrRmqG</t>
  </si>
  <si>
    <t>1455630393374302209</t>
  </si>
  <si>
    <t>mRNA Aşısında 3. Doz Uygulaması İhtimali
SİZİN YERİNİZE SORDULAR, CEVAP VERDİK https://t.co/la0szwgYE6</t>
  </si>
  <si>
    <t>1455628121806458885</t>
  </si>
  <si>
    <t>18 Yaşından Küçükler Açısından Aşı Uygulaması
SİZİN YERİNİZE SORDULAR, CEVAP VERDİK https://t.co/hNxerKOOjZ</t>
  </si>
  <si>
    <t>1455625988470198272</t>
  </si>
  <si>
    <t>Okullarda Rastgele PCR Taramasının Sonucu ve Anlamı
SİZİN YERİNİZE SORDULAR, CEVAP VERDİK https://t.co/O8xXtllijY</t>
  </si>
  <si>
    <t>1455623413880475648</t>
  </si>
  <si>
    <t>İki Kapanma da Tamamen İhtimal Dışı
SİZİN YERİNİZE SORDULAR, CEVAP VERDİK https://t.co/MXwaAGZQ4u</t>
  </si>
  <si>
    <t>1455621815594885125</t>
  </si>
  <si>
    <t>Asistan Hekimler İçin Reform Değerinde İyileştirmeler Olacak
SİZİN YERİNİZE SORDULAR, CEVAP VERDİK https://t.co/fuz5NnSb9V</t>
  </si>
  <si>
    <t>1455619800059760645</t>
  </si>
  <si>
    <t>KÜTAHYA ikinci doz aşı oranında %75’in üzerine çıkarak Mavi kategorisine geçti. Aşı oranı düşük tüm illerimizde bu hedefe ulaşmalıyız.</t>
  </si>
  <si>
    <t>1455617494127874054</t>
  </si>
  <si>
    <t>18 yaş ve üstü nüfusta birinci doz aşı oranımız %90’a yakın. İkinci doz oranımız %79 seviyesinde. İkisi arasında 11 puan fark var. Bu farkı kapatmalıyız. Aşının süreci stabil hale getirdiği ve can kayıplarını azalttığından şüphemiz yok. Fakat tek doz, sonuç almak için yetersiz! https://t.co/nm2TFlmupe</t>
  </si>
  <si>
    <t>1455584851223003145</t>
  </si>
  <si>
    <t>16-22 Ekim arasında vaka yoğunluğu bir önceki haftaya göre EN ÇOK ARTAN 10 İLİMİZ: Yalova, Tunceli, Edirne, Balıkesir, Çanakkale, Tekirdağ, Kocaeli, Amasya, Osmaniye, Kırşehir. https://t.co/oggTncEMp3</t>
  </si>
  <si>
    <t>1455511885571297283</t>
  </si>
  <si>
    <t>16-22 Ekim arasında, 100.000 KİŞİ İÇİNDE bir haftalık toplam yeni Covid-19 vaka sayısı il bazında neydi? Yaşadığınız, gidip geldiğiniz ildeki durumu haftalık İnsidans haritamızdan öğrenebilirsiniz. https://t.co/bjAKPohW29</t>
  </si>
  <si>
    <t>1455507660523065348</t>
  </si>
  <si>
    <t>ELAZIĞ ikinci doz aşı oranında %65’in üzerine çıkarak SARI kategorisine geçti. Aşı oranı düşük tüm illerimizde %75 hedefine ulaşmalıyız.
GEÇ KALANLAR, YARIN KOLLARI SIVAYALIM.</t>
  </si>
  <si>
    <t>1455240702288351240</t>
  </si>
  <si>
    <t>CUMHURİYET’TE 98 YIL
BEYAZ ÖNLÜKLERİYLE İLKLER
Bazı bakımlardan bizden çok ileriydiler. Onlara ilham veren şeyi anlamak için bile emek gerekir. Aşağıda çok azının adına yer verebildik. Bu ilklerden çok var. Daha çok olacak! Beyaz önlüklüler, izleyelim: https://t.co/1CgE9Bawl0</t>
  </si>
  <si>
    <t>1455226570436644864</t>
  </si>
  <si>
    <t>Kimileri aşıdan beklenen sonucun alınamadığı kanısında. İkinci doz aşı oranı %75’i geçtiği halde vaka sayıları 30 bini aşabiliyor. Oysa aşıyla sağlanan önemli bir sonuç var. Artık hızlı tırmanışlar ve pikler görmüyoruz. Dramatik seyir yerine stabil, kontrolü kolay bir seyir var. https://t.co/ta6bir5IDv</t>
  </si>
  <si>
    <t>1455220662176469001</t>
  </si>
  <si>
    <t>Okulların kapanması ihtimalinden söz eden bir habere rastladım. Haber yanlıştır. Bilim Kurulumuzun böyle bir gündemi yok. Kurul üyesi bir arkadaşımızın aşının önemini vurgularken seçtiği ifade yanlış anlaşılmış. ÖĞRENCİLERİMİZE BAŞARI DOLU HAFTALAR DİLİYORUZ.</t>
  </si>
  <si>
    <t>1455060409157931010</t>
  </si>
  <si>
    <t>Yaklaşık 3 milyon kişi zamanı gelen Üçüncü Doz aşısını henüz yaptırmadı. Bilim insanları üçüncü dozu Koruma Kalkanı Dozu şeklinde adlandırıyor. Üçüncü doz aşınızı yaptırın. 18-59 yaş arasında ve sağlıklıysanız 3. Doz için Turkovac da tercih edebilirsiniz. https://t.co/E8uh4tlN81 https://t.co/aFCUYrS2Xa</t>
  </si>
  <si>
    <t>1454847765855588356</t>
  </si>
  <si>
    <t>Köpeğimiz Sultan, dünyaya getirdiği yedi yavruyla hayatımızı bereketlendirdi. Görenler, analı babalı büyüsünler :) dedi. Birazcık büyüsünler isimlerini koyacağız. Diğer köpeğimiz, heyecandan mıdır, şimdilik olayın farkında değil. https://t.co/clRF5Cf6k1</t>
  </si>
  <si>
    <t>1454812341535756288</t>
  </si>
  <si>
    <t>30 Ekim 2020 İzmir depremi hepimizi sarsmıştı. Depremde 117 insanımız can verdi. Bir anda yıkımlara yol açan bir afet! Kayıpları; hastalığa bağlı, süreci bilinen ölümlerle elbette bir tutulamaz. Ama unutmayın: Sadece bugünkü vefat sayımız 203. Önlenmesi mümkün ölümler önlenmeli. https://t.co/gssyWBELO2</t>
  </si>
  <si>
    <t>1454485576527360005</t>
  </si>
  <si>
    <t>Onu Elif bebek diye hatırlıyoruz. Adı Elif Perinçek, büyümüş, umutlarla dolu kız olmuş. Geçen yıl bugün yaşadığımız İzmir depreminde Doğanlar Apartmanının enkazından 65. saatte kurtarılmıştı. Kaybettiğimiz 117 insanımıza Allah’tan rahmet diliyoruz. Acımız taze. Başımız sağ olsun. https://t.co/GcLvoYRyJI</t>
  </si>
  <si>
    <t>1454463071280324609</t>
  </si>
  <si>
    <t>Onu Ayda bebek diye hatırlıyoruz. Adı Ayda Gezgin, kocaman kız olmuş. Geçen yıl bugün yaşadığımız İzmir depreminde Rıza Bey Apartmanının enkazından 91. saatte kurtarılmıştı. Kaybettiğimiz 117 insanımıza Allah’tan rahmet diliyoruz. Başımız sağ olsun. Hayat gücünü umutlardan alır. https://t.co/e1FQDkZhf3</t>
  </si>
  <si>
    <t>1454461323442597889</t>
  </si>
  <si>
    <t>“Elimi tutar mısın?”
30 EKİM İZMİR DEPREMİNDE, UMKE personeli Eda ile İnci arasındaki kurtarma anı diyalogları hâlâ kulaklarımızda. Aradan geçen zamanda bir araya geldiklerini biliyoruz. Konuştukları gibi, İnci keman çalmış. Hayat gücünü umuttan alır.
 https://t.co/V6kEBTly5I</t>
  </si>
  <si>
    <t>1454452602620583936</t>
  </si>
  <si>
    <t>KIRIKKALE ikinci doz aşı oranında %75’in üzerine çıkarak Mavi kategorisine geçti. Aşı oranı düşük tüm illerimizde bu hedefe ulaşmalıyız.</t>
  </si>
  <si>
    <t>1454143662963712012</t>
  </si>
  <si>
    <t>GEBE ÖLÜMLERİ 2020’de salgın öncesi yıla göre %52 artmıştı. Bu yılsa geçen yıla oranla %50 daha fazla anne adayını Covid-19 sebebiyle kaybettik. Kaybettiğimiz gebelerin %99’u aşısızdı. Gebelerde aşılanma oranı maalesef oldukça çok düşük. BEBEKLER DOĞMALI, ANNELER YAŞAMALI https://t.co/jSBbznEUSD</t>
  </si>
  <si>
    <t>1454128188221759491</t>
  </si>
  <si>
    <t>Bayrağınla, İstiklal Marşınla, Cumhuriyet Bayramınla Nice 98 Yıllara Türkiye!
Cumhuriyetimizin kurucusu Mustafa Kemal Atatürk’ü ve arkadaşlarını saygıyla anıyor, Cumhuriyet Bayramımızı 84 Milyon birlikte kutluyoruz. https://t.co/QhTh6Vomph</t>
  </si>
  <si>
    <t>1454056657030365189</t>
  </si>
  <si>
    <t>İlk gününün heyecanıyla Cumhuriyet’in 98. yılındayız. Sağlık çalışanları olarak, 29 Ekim Cumhuriyet Bayramınızı kutluyoruz. https://t.co/NJ0vFOsO39</t>
  </si>
  <si>
    <t>1454048654688403460</t>
  </si>
  <si>
    <t>Ülkemizi hedef alan teröre karşı K. Irak’ta sürdürülen operasyonda görevli Uzm. Çvş. Harun Çalışkan kardeşimiz şehit düştü. Kendisine Allah’tan rahmet; ailesine, kahraman ordumuza başsağlığı diliyorum. Birlik ve beraberlik, bu uğurda can veren şehitlerimize karşı görevimizdir. https://t.co/S2LiwzKT3Y</t>
  </si>
  <si>
    <t>1453797977714274331</t>
  </si>
  <si>
    <t>ADANA ikinci doz aşı oranında %75’in üzerine çıkarak Mavi kategorisine geçti. Aşı oranı düşük tüm illerimizde bu hedefe ulaşmalıyız.</t>
  </si>
  <si>
    <t>1453762543911161864</t>
  </si>
  <si>
    <t>25.528 test pozitif çıktı. Hastalığı ağır geçirenlerden 229 kişi hayatını kaybetti. İkinci doz aşı oranı %75’in altında olan 42 ilimizde aşılanma düşük hızla ilerliyor. Aşının riski azalttığını biliyoruz. Aşınızı bir an önce yaptırın. SİZE DEĞER VERENLER ADINA, LÜTFEN. https://t.co/9wO8iiWK92</t>
  </si>
  <si>
    <t>1453759987176689667</t>
  </si>
  <si>
    <t>TUNCELİ ikinci doz aşı oranında %75’in üzerine çıkarak Mavi kategorisine geçti. Aşı oranı düşük tüm illerimizde bu hedefe ulaşmalıyız.</t>
  </si>
  <si>
    <t>1453635674440089600</t>
  </si>
  <si>
    <t>Bilim Kurulu Gündemi, Covid-19 ve Türkiye https://t.co/CPBWrN1GQS</t>
  </si>
  <si>
    <t>1453618357794713600</t>
  </si>
  <si>
    <t>Sağlık Camiası Gündemi
Yeni Atamalar https://t.co/sdJEGb4472</t>
  </si>
  <si>
    <t>1453459003711934470</t>
  </si>
  <si>
    <t>Sağlık Camiası Gündemi
Ekonomik Koşulların İyileştirilmesi https://t.co/1G5qX5nE62</t>
  </si>
  <si>
    <t>1453457346710097932</t>
  </si>
  <si>
    <t>Sağlık Camiası Gündemi
Çalışanlara Yönelik Şiddet https://t.co/qjBepxoHV4</t>
  </si>
  <si>
    <t>1453455402952187912</t>
  </si>
  <si>
    <t>Sağlık Camiası Gündemi
Nöbetler Konusunda Sevindirici İlk Gelişmeler https://t.co/PTTHxuI7Fu</t>
  </si>
  <si>
    <t>1453453844839600132</t>
  </si>
  <si>
    <t>Sağlık Camiası Gündemi
Makul Nöbet Uygulaması İçin Takipte Olacağız https://t.co/WqouTM72e8</t>
  </si>
  <si>
    <t>1453452509738119184</t>
  </si>
  <si>
    <t>Hepimizi Üzen Olay: Asistan Dr. Rümeysa Şen’in Vefatı. https://t.co/4fXQRHuczj</t>
  </si>
  <si>
    <t>1453449999954677764</t>
  </si>
  <si>
    <t>Bugünkü basın açıklamamızda sağlık çalışanlarımızın sorunlarını ön plana aldık. Bilim Kurulu Toplantısındaki gündemi de her zaman olduğu gibi sizlerle paylaşıyoruz.
video: https://t.co/rW4oBdISz4</t>
  </si>
  <si>
    <t>1453412805617590283</t>
  </si>
  <si>
    <t>26.896 test pozitif çıktı. Hastalığı ağır geçirenlerden 210 kişi hayatını kaybetti. Bu ölümlerin bir kısmı birden çok sebebin bir araya gelmesine bağlı ve önlenebilir. Örneğin, Covid-19’a kronik hastalıkların eşlik etmesi riski artıran bir faktör. Tam doz aşı bu riski azaltıyor. https://t.co/chiSpgkyKJ</t>
  </si>
  <si>
    <t>1453399125609832472</t>
  </si>
  <si>
    <t>KOCAELİ ikinci doz aşı oranında %75’in üzerine çıkarak Mavi kategorisine geçti. Aşı oranı düşük tüm illerimizde bu hedefe ulaşmalıyız.</t>
  </si>
  <si>
    <t>1453054972661207041</t>
  </si>
  <si>
    <t>Covid-19, kronik hastalıklarla bir araya geldiğinde ağır geçirilmesi ihtimali artıyor. Aşı bu ihtimale karşı tabloyu büyük oranda değiştiriyor. Kronik hastalığınız varsa aşı konusunda özenli olun. İstenilen sonucun dozlar tam olduğunda alındığını unutmayın. https://t.co/N9kj4ne5oP</t>
  </si>
  <si>
    <t>1453042813604663299</t>
  </si>
  <si>
    <t>“Kırk yaşındayım. Bu yaşıma kadar yaşamadığımı yaşadım. Bu kadar kötü yakalanacağımı bilseydim aşı yaptırmak isterdim.” https://t.co/kLpfhAigik</t>
  </si>
  <si>
    <t>1452713633830653952</t>
  </si>
  <si>
    <t>BURSA ikinci doz aşı oranında %75’in üzerine çıkarak Mavi, ŞIRNAK %65’in üzerine çıkarak Sarı kategorisine geçti. %75 hedefini tüm illerimizde aşmalıyız.</t>
  </si>
  <si>
    <t>1452705325472272386</t>
  </si>
  <si>
    <t>İkinci doz aşı oranının Türkiye genelinde %77,5’i geçmesi gurur duyulacak bir toplumsal başarıdır. Halen 56 ilimiz ülke ortalamasının altında, bazı illerde fark büyük. Aşıyla birlikte tedbirlerin de önemli olduğunu unutmamalıyız. https://t.co/TeJRTQFsBt</t>
  </si>
  <si>
    <t>1452699850601123843</t>
  </si>
  <si>
    <t>RT @RTErdogan: Kabine Toplantısı Sonrası Millete Sesleniş https://t.co/ELFmgbWTcD</t>
  </si>
  <si>
    <t>1452672346452635652</t>
  </si>
  <si>
    <t>Tablo, belirtileri ciddi veya hafif, aramızdan 24.792 kişiye daha virüs bulaştığını söylüyor. Aşılı olanların hastalığı genellikle hafif geçirdiğini biliyoruz. Aşı vücudu önceden korumaya alıyor. Risklere karşı dikkatli, aşınızı yaptırarak da hastalığa karşı baştan güçlü olun. https://t.co/wgH7brkzn8</t>
  </si>
  <si>
    <t>1452311169465716743</t>
  </si>
  <si>
    <t>Günlük vaka sayılarının 28-30 Bin civarında olduğu son döneme ait veriler, her 1.000 vakadan ortalama 4,2’sinin yatırılarak tedaviye ihtiyaç duyduğunu gösteriyor. Hastalarda zatürre oranı yine bu dönemde %4,2. Vaka sayısına kıyasla ağır hasta oranımız binde 6,6. https://t.co/lb3P0hDPlq</t>
  </si>
  <si>
    <t>1451950018093518848</t>
  </si>
  <si>
    <t>Aşılarınızı yaptırmadıysanız veya devam dozunu öncelikli konularınız arasında görmüyorsanız, hastalığı yaşayan tanıdıklarınızla konuşun. Aşı hakkında en gerçekçi fikre sahip olanlar, Covid-19’u aşı yardımıyla atlatanlardır. Lütfen aşılarınızı yaptırın.</t>
  </si>
  <si>
    <t>1451945802285395981</t>
  </si>
  <si>
    <t>9-15 Ekim arasında vaka yoğunluğu bir önceki haftaya göre EN ÇOK ARTAN 10 İLİMİZ: Kastamonu, Zonguldak, Karabük, Kilis, Tunceli, Ardahan, Çankırı, Kahramanmaraş, Osmaniye, Erzincan. https://t.co/9tGawmx0VN</t>
  </si>
  <si>
    <t>1451921831791931393</t>
  </si>
  <si>
    <t>9-15 Ekim arasında, 100.000 KİŞİ İÇİNDE bir haftalık toplam yeni Covid-19 vaka sayısı il bazında neydi? Yaşadığınız, gidip geldiğiniz ildeki durumu haftalık İnsidans haritamızdan öğrenebilirsiniz. https://t.co/pX3zgqwk9e</t>
  </si>
  <si>
    <t>1451919439356698626</t>
  </si>
  <si>
    <t>23 Ekim 2011’de yaşadığımız VAN DEPREMİNİN 10. YIL DÖNÜMÜNDEYİZ. Hayatını kaybeden insanlarımızı rahmetle anıyor, benzer acıların yaşanmayacağına inanıyoruz. Depremler en çetin sınavlarımızdan oldu, milletimiz felaketler karşısında birlik ve beraberliğini daima gösterdi. https://t.co/Tf2xQKPiGP</t>
  </si>
  <si>
    <t>1451911767278379008</t>
  </si>
  <si>
    <t>“Mehmet amca, senin için geldik.”
Sağlık kurumlarımıza gelmekte zorlanacak büyüklerimizin, evde bakım ihtiyacı olanların aşılarını kendilerini ziyaret ederek yapıyoruz. https://t.co/23Yf86moxy</t>
  </si>
  <si>
    <t>1451621827755794435</t>
  </si>
  <si>
    <t>1 AYIN verilerine göre; yeni vakaların %1,38’i 0-4 yaş, %4,86’sı 5-9 yaş, %16,24’ü 10-14 yaş, %12,94’ü 15-19 yaş grubundan. Buna göre, 19 yaş ve altının vakalar içindeki oranı %35,42. Fakat virüs, bu grupta genel olarak soruna yol açmıyor. Büyüklerimiz dikkatli olmalı. https://t.co/rxJj9n5vXW</t>
  </si>
  <si>
    <t>1451591115543650328</t>
  </si>
  <si>
    <t>Hastalarımızın “Aşınızı olun!” uyarılarına kulak verin. Bilim insanları virüsü, hastalığı ise asıl yaşayanlar biliyor. En çok da, hiç aşı olmayanlar veya aşılarını eksik bırakanlar. Lütfen bugün aşınızı yaptırın.</t>
  </si>
  <si>
    <t>1451470724967944215</t>
  </si>
  <si>
    <t>Aşılarını yaptırdığı halde Covid-19’a yakalanan ve hasta olan da var. Ama hiçbiri keşke aşı olmasaydım demedi. Aşı hakkında en gerçekçi fikre sahip olanlar Covid-19’u aşı yardımıyla atlatanlardır. Lütfen bugün aşınızı yaptırın.</t>
  </si>
  <si>
    <t>1451461910336086016</t>
  </si>
  <si>
    <t>Trabzon, Maviye çok yakın.
Tunceli, Maviye çok yakın.
Bursa, Maviye çok yakın.
Iğdır, Sarıya çok yakın.
Bugün kategori değiştiren ilimiz yok.</t>
  </si>
  <si>
    <t>1451258088867106817</t>
  </si>
  <si>
    <t>5.
İkinci doz ve hatırlatma dozu aşılarının zamanı gelen çok sayıda vatandaşımız var. Vakit kaybetmeden aşılarını tamamlamaları gerekmektedir. Bu, önce kendileri sonra tüm toplum için hayati önemde bir davranıştır.
Salgınla mücadelede sağlığınız için kararlı ve ısrarcıyız.</t>
  </si>
  <si>
    <t>1451232969604145154</t>
  </si>
  <si>
    <t>4.
Toplum bağışıklığı elde edilene kadar maalesef yayılım devam edecek. Şu an, aşılanma oranının seviyesi aşı olmayanlar için güvence değildir. “Nasılsa başkaları aşı oldu ben olmasam da olur” düşüncesi yanlıştır. Aşı, birinci derecede, aşı olan kişileri koruyor.</t>
  </si>
  <si>
    <t>1451232967637020679</t>
  </si>
  <si>
    <t>3.
65 yaş üstü, salgının ilk döneminde kısıtlamalara ciddiyetle uydu. Şu anda bir kısıtlama bulunmuyor ama risk grubunda olduklarını unutmamalıdırlar. Aşılarını tamamlamaları ise hayati derecede önemlidir. Aşı, eğer tamamlanmamış ise sağlayacağı koruma sınırlıdır.</t>
  </si>
  <si>
    <t>1451232966005374981</t>
  </si>
  <si>
    <t>2.
Gençler çok daha az oranda hasta olsalar da büyüklerine karşı sorumlulukları var. Yeni dönemde virüsün daha ziyade gençler üzerinden yayıldığı biliniyor. Bu nedenle, hem sağlıklı bir eğitim ortamı oluşturmak hem de aile çevrelerini korumak için aşılarını yaptırmalıdırlar.</t>
  </si>
  <si>
    <t>1451232964138962949</t>
  </si>
  <si>
    <t>DURUM DEĞERLENDİRMESİ, 1
Vakaların yaş ortalaması düştü. Artık yarıya yakını 30 yaş altında. Aşılama sonucunda hastane kapasitemiz zorlanmıyor. Yoğun bakım üniteleri ile servislerde yatan Covid-19 hastalarının çoğunluğunu halen yaşlılar ve kronik hastalığı olanlar oluşturuyor. https://t.co/kRCpmwHMro</t>
  </si>
  <si>
    <t>1451232961475526656</t>
  </si>
  <si>
    <t>Tunceli Ovacık’ta, terör örgütü ile yaşanan çatışmada, kahraman evlatlarımızdan Jandarma Uzman Çavuş Burak Tortumlu şehit düştü. Şehit askerimize Allah'tan rahmet, ailesine, ordumuza ve milletimize başsağlığı diliyorum. https://t.co/cvdPqMYbNz</t>
  </si>
  <si>
    <t>1451176948344901649</t>
  </si>
  <si>
    <t>Gençler, sorumlu davranarak evlerinize, sevdiklerinize, büyüklerinize virüs taşımamak için tedbirlere uymalı ve en kısa sürede tam aşılı hale gelmelisiniz. Gençler, sizleri mücadelede ön safa davet ediyorum. https://t.co/Hu4uASTy1Y</t>
  </si>
  <si>
    <t>1450911053710254085</t>
  </si>
  <si>
    <t>Türkiye, nüfusa kıyasla aşı oranı en iyi ülkeler arasında. Buna rağmen, günlük vaka ve can kaybı sayılarımız arasında belirgin farklar var. Aşı her yerde benzer etkiyi göstereceğine göre, acaba nerede hata yapıyoruz? Tedbirlerde zayıfız. Aşılanma da tedbir de artmalı. https://t.co/5RaOgVa0kq</t>
  </si>
  <si>
    <t>1450903212697997323</t>
  </si>
  <si>
    <t>84 Milyonun huzurunda her gün vefat haberi vermenin insana neler hissettirdiğini bilemezsiniz. Sağlık bakanı ve yol arkadaşınız olarak, salgın tedbirleriyle aşı konusundaki çağrılarıma lütfen kulak verin. Bugünkü vefat sayımız 214.</t>
  </si>
  <si>
    <t>1450898913658085384</t>
  </si>
  <si>
    <t>KIRŞEHİR’DE ikinci doz aşı oranı %75’in üzerine çıktı. Kırşehir, MAVİ kategorisinde. Bu oranı yükseltmeye devam etmeli, zamanı gelen aşılarımızı hiç aksatmadan yaptırmalıyız. Geç kalmak, risk almaktır.</t>
  </si>
  <si>
    <t>1450534408319127553</t>
  </si>
  <si>
    <t>Zamanı geldiği, hatta üzerinden haftalar geçtiği halde 3. doz aşısını yaptırmamış olan yaklaşık 5 Milyon kişi var. Bu grupta olanlardan hastanede yatanlar var.
İnaktif aşı tercih edenlerin üçüncü dozu yaptırmalarını ısrarla talep ediyoruz. Üçüncü doz, koruma kalkanı dozudur. https://t.co/50hFkVxTwt</t>
  </si>
  <si>
    <t>1450516171846033418</t>
  </si>
  <si>
    <t>Bilge Kralı rahmetle anıyoruz. https://t.co/LbTmXhssLx</t>
  </si>
  <si>
    <t>1450449386752856069</t>
  </si>
  <si>
    <t>“Ben bir şeyi hiç mi hiç az sevemedim. Hele orta hiç sevemedim. Hep çok sevdim.” Nuri Pakdil’i rahmetle anıyoruz. (1934 - 18 Ekim 2019) https://t.co/44nCGkrUpQ</t>
  </si>
  <si>
    <t>1450212398615441417</t>
  </si>
  <si>
    <t>Umutsuzluk da aşısız olmak gibi riskli!
Eğer umutsuz olursak, yapmamız gerekenleri yapma gücünü ve isteğini kendimizde bulamayız. Hem salgına karşı hem salgın ortamında süren hayatımızda! Yaygın aşılamayla şartlar değişecek. Dünya bu çıkış yoluna odaklanmış durumda. İyi akşamlar.</t>
  </si>
  <si>
    <t>1450204545586434054</t>
  </si>
  <si>
    <t>“Ben bir hekim olarak Covid-19 aşısını ihmal etmiştim. Yaklaşık 1 aydır tedavi görüyorum. Toparladım çok şükür.” https://t.co/RLTrsbdg5s</t>
  </si>
  <si>
    <t>1450171918569639948</t>
  </si>
  <si>
    <t>VAN’DA ikinci doz aşı oranı %65’in üzerine çıktı. Van, Sarı kategorisinde. Zamanı gelmiş ikinci veya üçüncü doz aşılarımızı yaptıralım. Geç kalmak, risk almaktır.</t>
  </si>
  <si>
    <t>1450166936059490319</t>
  </si>
  <si>
    <t>TOKAT’TA ikinci doz aşı oranı %75’in üzerine çıktı. Tokat, Mavi kategorisinde. Bu oranı yükseltmeye devam etmeli, zamanı gelen aşılarımızı hiç aksatmadan yaptırmalıyız. Geç kalmak, risk almaktır.</t>
  </si>
  <si>
    <t>1450165039038611456</t>
  </si>
  <si>
    <t>Kronik hastalığı olanlar ve büyüklerimiz Covid-19’u ağır geçiriyor. Tam doz aşı olmalarını ısrarla öneriyoruz. Gençlere çağrımız devam ediyor. 18-25 yaş arası grupta tam doz aşılı olma oranı %53,77.
Dünya salgından çıkış yolu olarak aşıya odaklanmış durumda. Aşı ihmal edilmemeli! https://t.co/YTE4g6xsKW</t>
  </si>
  <si>
    <t>1450155362833817607</t>
  </si>
  <si>
    <t>Türkiye büyük bir değerini kaybetti. Milleti için eşsiz hayalleri olan ve bunların birçoğunu gerçekleştirme bahtiyarlığına eren sanayici, girişimci Özdemir Bayraktar ağabeyimiz Hakk’ın rahmetine yürüdü.
Hayatın, zorluklara bir meydan okumaydı. Mekânın Cennet olsun Özdemir ağabey! https://t.co/VSCNiafUnh</t>
  </si>
  <si>
    <t>1450062627305136128</t>
  </si>
  <si>
    <t>İyi bir hafta diliyorum.
Toplum olarak bizi birleştiren amaçlardan biri, salgın hastalığa karşı başarı kazanmak. Bu uzun, yorucu gündemi geride bırakmak istiyoruz. Tüm dünyada insanlar benzer durumda. Ve dünya, bu amaçla aşı seferberliği içinde. Aşılarınızı aksatmadan yaptırın.</t>
  </si>
  <si>
    <t>1449968964549943297</t>
  </si>
  <si>
    <t>HERKESİN HUZURUNDA gençlerimize çağrıda bulunmak istiyorum: Yarın yeni bir hafta başlıyor. Sizleri, aşılarınızı olmak üzere sağlık kurumlarımıza bekliyoruz. Aşı olmaya kararlı gelmeniz şart değil, bir sorunuz varsa cevap vermeye hazırız. Ne olursa olsun, yeter ki ihmal etmeyin! https://t.co/C8Nn5EmkEx</t>
  </si>
  <si>
    <t>1449771197277872135</t>
  </si>
  <si>
    <t>Erdemin, güler yüzün, iyi davranışın evrensel örneği Peygamberimiz Hz. Muhammed’in doğum yıl dönümündeyiz. Mevlid Kandiliniz mübarek, dualarınız kabul olsun. O’na olan hürmet ve sevgimizi, “İnsanın ufku Peygamber, şiirin ufku na’ttir.” diyen Sezai Karakoç ne güzel anlatıyor! https://t.co/tF86TQIvsp</t>
  </si>
  <si>
    <t>1449744303471931398</t>
  </si>
  <si>
    <t>2-8 Ekim arasında vaka yoğunluğu bir önceki haftaya göre EN ÇOK ARTAN 10 İLİMİZ: Giresun, Ordu, Ardahan, Kastamonu, Çorum, Samsun, Tokat, Amasya, Kahramanmaraş, Karabük. https://t.co/V36NAKw4bx</t>
  </si>
  <si>
    <t>1449683360843026446</t>
  </si>
  <si>
    <t>2-8 Ekim arasında, 100.000 KİŞİ İÇİNDE bir haftalık toplam yeni Covid-19 vaka sayısı il bazında neydi? Yaşadığınız, gidip geldiğiniz ildeki durumu haftalık İnsidans haritamızdan öğrenebilirsiniz. https://t.co/BBH5dgl0Nf</t>
  </si>
  <si>
    <t>1449681298474287108</t>
  </si>
  <si>
    <t>DİYARBAKIR ve BATMAN’DA ikinci doz aşı oranı %55’in üzerine çıktı. Bu iki ilimiz TURUNCU iller kategorisinde. Zamanı gelen aşılarımızı aksatmayalım. Geç kalmak, risk almaktır.</t>
  </si>
  <si>
    <t>1449452011167100936</t>
  </si>
  <si>
    <t>BOLU’DA ikinci doz aşı oranı %75’in üzerine çıktı. Bolu MAVİ iller kategorisinde. Zamanı gelen aşılarımızı aksatmayalım. Geç kalmak, risk almaktır.</t>
  </si>
  <si>
    <t>1449445483542421510</t>
  </si>
  <si>
    <t>Covid-19 tedbirleri, geçtiğimiz yıl, gribal enfeksiyonları çok büyük oranda azaltmıştı. Belirtileri Covid-19’a benzeyen bu enfeksiyonlarda, mevsim şartları, maske ve mesafe tedbirlerindeki ihmaller sebebiyle ciddi artış var. Her iki riske karşı lütfen tedbirlere uymaya çalışın. https://t.co/PvnL7Ainh0</t>
  </si>
  <si>
    <t>1449423250526642176</t>
  </si>
  <si>
    <t>Yeni vakalar içinde gençlerin oranı artış gösteriyor. Umulanın aksine, üniversite öğrencilerimiz arasında aşılanma oranı düşük. Sağlıklı bir eğitim ortamı için gençlerimiz aşılarını aksatmadan yaptırmalı. Toplum, bütün gençlerinin aşı olarak mücadeleye katılmalarını bekliyor. https://t.co/cLzUj2a3qo</t>
  </si>
  <si>
    <t>1449411859182915586</t>
  </si>
  <si>
    <t>16 EKİM DÜNYA ANESTEZİ GÜNÜ
Hastalarımıza ıstırap duymayacakları operasyon koşullarını hazırlayan anestezi uzmanlarımıza ve anestezi ekibi üyelerine bugün vesilesiyle tekrar teşekkür ediyoruz. Tıp tarihinde bir atılım olan anestezi, sağlık hizmetlerine büyük kolaylıklar getirdi. https://t.co/yx15N96Odf</t>
  </si>
  <si>
    <t>1449371608838295552</t>
  </si>
  <si>
    <t>Dün yapılan aşılarla ARDAHAN ve ANTALYA, ikinci doz aşı oranında %75’in üzerine çıkarak MAVİ kategorisine; GAZİANTEP ise %65’in üzerine çıkarak SARI kategorisine geçti. Türkiye’nin her yerinde ikinci doz aşı oranımızı yükseltelim.</t>
  </si>
  <si>
    <t>1449298108937129985</t>
  </si>
  <si>
    <t>YILGINLIK BİZE ZARAR VERİR. Aşısı bulunmuş bir bulaşıcı hastalıkla mücadele ettiğimizi unutmayın. Biraz zamana ve tam doz aşılanma oranının artmasına ihtiyacımız var. Bu gerçek yeterince büyük bir moral kaynağıdır. Salgınlara yol açan birçok hastalık yaygın aşıyla ortadan kalktı. https://t.co/gub2B804cB</t>
  </si>
  <si>
    <t>1449056470008479750</t>
  </si>
  <si>
    <t>COVID-19 AŞILARINI AKSATMADAN YAPTIRAN şu üç şeyi yapmış olur: Kendini korumaya alır. Yakın çevresinde ve şehrinde riski azaltır. 84 Milyonu, salgına karşı verdiği zorlu mücadelede güçlendirir. Kendimize ve tüm topluma karşı böylesi bir sorumlulukla daha önce az karşılaştık.</t>
  </si>
  <si>
    <t>1448918567077007367</t>
  </si>
  <si>
    <t>Şu anda çocuklarımız sınıflarında. Kural, ağız ve burun kapalı olacak şekilde maske takmalarını gerektiriyor. Altı yaşındaki evladımız dâhil.
Anne babalar olarak düşünelim: Salgınla mücadelenin yükünü onlar bizimle bu kadar paylaşmışken, toplum neleri ihmal ediyor? İyi sabahlar..</t>
  </si>
  <si>
    <t>1448888847044075525</t>
  </si>
  <si>
    <t>Muş’ta ikinci doz aşı oranı %55’in üzerine çıktı. Turuncu iller kategorisine giren Muş, oranı yükseltmeli. Tek doz aşı koruma sağlamaz. İkinci doz aşımızı geç kalmadan yaptırmalıyız.</t>
  </si>
  <si>
    <t>1448744061603549185</t>
  </si>
  <si>
    <t>Erzurum’da ikinci doz aşı oranı %65’in üzerine çıktı. Sarı iller kategorisine giren Erzurum, oranı yükseltmeli. Aşı oranı arttıkça risk azalacak.</t>
  </si>
  <si>
    <t>1448733679669456908</t>
  </si>
  <si>
    <t>Günlük vaka sayımız bir süredir 30 binin üzerinde seyrediyor. Şartlar göz önünde bulundurulursa, daha da yükselmesi ihtimali var. Maskenin gerekli olduğu ortamları biliyoruz, maskeyi hayatımızdan çıkarmayalım. Sosyal mesafe kuralına dikkat edelim. Aşılarımızı mutlaka olalım. https://t.co/3IYIQbB890</t>
  </si>
  <si>
    <t>1448709727144325122</t>
  </si>
  <si>
    <t>D Vitamini ihtiyacımızı çok büyük oranda, güneş ışınlarıyla doğrudan temasımız sonucu sağlıyoruz. Kas ve kemik sağlığı için önemli olan D vitamini, bağışıklığı da güçlendiriyor. Uzun zaman kapalı bir hayat yaşadık. Daha fazla güneş ışığı sağlığımıza iyi gelir. BİRAZ DAHA GÜNEŞ? https://t.co/lg6v25vtkA</t>
  </si>
  <si>
    <t>1448606503125008384</t>
  </si>
  <si>
    <t>Günaydın,
Çantalar hazır mı?
Gençler, kahvaltımızı yaptık mı?
Mesajım anne babalara, çocuklara, üniversitelilere:
Dün, Bilim Kurulu toplandı. Aktif vakaların %40’ının 23 yaş altı kişiler olduğu bilgisini sizlerle paylaştık. Dikkatli davranalım. 18 yaş üstüysek aşılarımızı olalım.</t>
  </si>
  <si>
    <t>1448504280223207426</t>
  </si>
  <si>
    <t>ENDİŞE ETMEYİN. Aşı oranımız yükseliyor, Maviye geçen illerimiz artıyor. Tam doz aşı, yakalanmanız durumunda, hastalığı hafif geçirmenizi sağlıyor.
ENDİŞE EDİN. Maske kullananlar azaldı, sosyal mesafeye hassasiyet zayıf. Aşıları henüz eksik olan çok sayıda insan var.</t>
  </si>
  <si>
    <t>1448384348135251971</t>
  </si>
  <si>
    <t>ŞİDDET! Olayların çoğu medyaya yansımıyor. Beyaz Kod uygulamasına çok az durumda başvuruluyor. Dünyada rastlanmayan bir ifade bizde sık sık haber başlığı: “Sağlıkta şiddet!” Şanlıurfa’da bir aile hekimliğimizde yeni bir örneğini yaşadık. Asla toleransımız yok. Gereği yapılacak!</t>
  </si>
  <si>
    <t>1448382722041339908</t>
  </si>
  <si>
    <t>Adıyaman’dan beklenen gelişme!
İkinci doz aşı oranında %65’in üzerine çıktık. Hazır Sarıya geçmişken, oranı hızla yükseltelim.</t>
  </si>
  <si>
    <t>1448378102862725122</t>
  </si>
  <si>
    <t>MAVİ ÇANKIRI: “Her 4 kişiden 3’ümüz 2. doz aşımızı yaptırdık!”
İkinci doz aşı oranı %75’in altında olan bütün iller harekete geçmeli. Yüksek aşı oranıyla ortak hedef, toplum bağışıklığı!</t>
  </si>
  <si>
    <t>1448376400180883456</t>
  </si>
  <si>
    <t>Kendi aşımızın kullanılması için iki doz aşısını olmuş kişilerin Turkovac aşı hatırlatma dozu çalışmasına katılmasına ihtiyaç var. Kendi aşımızın ortaya çıkmasında ben de varım diyen tüm gönüllülerimizi çalışmaya katılmaya davet ediyorum.
Başvuru: https://t.co/E8uh4tlN81 ALO 184</t>
  </si>
  <si>
    <t>1448368545021243392</t>
  </si>
  <si>
    <t>Bilim Kurulumuz bugün salgının seyri, gençler üzerindeki etkisi, aşı programımız ve yerli aşımız Turkovac’ın güncel durumunu değerlendirmek üzere bir araya geldi. https://t.co/pWulwxjut0</t>
  </si>
  <si>
    <t>1448364357843308545</t>
  </si>
  <si>
    <t>31.248 kişinin Covid-19 testi pozitif. Bu sayı büyük olasılıkla önümüzdeki günlerde vefat sayılarına yansıyacak. Bazı kişiler hastalığı ağır geçirecek, yoğun bakıma ihtiyaç duyacak. Tam doz aşının bunları büyük oranda önlediğini biliyoruz. Tedbirlerin sonuç verdiğine tanığız. https://t.co/fxGx3WNXEP</t>
  </si>
  <si>
    <t>1448343845431824385</t>
  </si>
  <si>
    <t>Turkovac’ı Türkiye’nin hizmetine sunmaya hazırlanıyoruz. Daha önce 2 doz aşı yaptırmış, Covid-19 geçirmemiş, 18-59 yaş arası sağlıklı herkes bize destek olabilir! 3. doz aşı tercihi serbest. Ama madem gönüller yerli aşı Turkovac’ta, en az 3.000’imiz Turkovac’ı tercih etmeli! https://t.co/HubUjj7xYr</t>
  </si>
  <si>
    <t>1448225365634256898</t>
  </si>
  <si>
    <t>Günaydın,
Dün yatışı yapılan Covid-19 hastalarına ait bilgileri inceledim. Aşı yaptırmamış gençlerin hastalarımız içindeki oranı arttı. Kronik hastalığı olan büyüklerimiz, aşı yaptırmış olsalar da virüsten etkilenebiliyor. Gençlerimiz aşı olmalı, büyüklerimiz dikkatli davranmalı.</t>
  </si>
  <si>
    <t>1448157421461979138</t>
  </si>
  <si>
    <t>Mardin’de kritik eşiği geçtik.
İkinci doz aşı oranında %55’in üzerindeyiz. Turuncu kategorisinde yerimizi almışken, aşı konusunu aramızda konuşalım. Cevabını merak ettiğimiz soru varsa sağlık görevlilerimize soralım. Aşılarımızı ne kadar erken tamamlarsak o kadar lehimize olur.</t>
  </si>
  <si>
    <t>1448011322139021316</t>
  </si>
  <si>
    <t>MAVİ SAMSUN: “Her 4 kişiden 3’ümüz 2. doz aşımızı yaptırdık!”
Mavi il sayımız 28’e ulaştı. Geride kalan 53 il hızlı hareket etmeli!</t>
  </si>
  <si>
    <t>1448000336258641927</t>
  </si>
  <si>
    <t>Son günlerde aşılanma hızında durağanlık var. Vaka sayılarının yüksekliği aşı konusunda bir tereddüt uyandırmış olabilir mi? Ama şunu unutmayın: Covid-19’u aşı sayesinde, adeta grip gibi atlatanların sayısı artık bunlarla yarışıyor. Kayıplarımızın çoğuysa tam doz aşı olmayanlar. https://t.co/g86G5rJbQN</t>
  </si>
  <si>
    <t>1447986765583761414</t>
  </si>
  <si>
    <t>Bunca tecrübenin gösterdiği bir yol var. Normal hayatımızı sürdürmeli, sadece dikkatli olmalıyız. Aşılarımızı yaptırmalıyız. Oranlar yükseliyor. Biraz daha sabır, sonrası zafer!</t>
  </si>
  <si>
    <t>1447819274744213507</t>
  </si>
  <si>
    <t>Bitlis’te iki doz aşılılar olarak yaklaşık yarı yarıyayız. %55’i aşıp, hazır Turuncu kategorisine geçmişken, aşı konusunu aramızda konuşalım. Cevabını merak ettiğimiz soru varsa sağlık görevlilerimize soralım. Aşılarımızı ne kadar erken tamamlarsak o kadar lehimize olur.</t>
  </si>
  <si>
    <t>1447643445439381514</t>
  </si>
  <si>
    <t>Sırada %75’i aşmak var!
Aksaray ve Gümüşhane’de ikinci doz aşı oranı bugün %65’i geçti. Sarı kategorisine giren bu iki ilimizin yeni hedefi Mavi! Zamanı gelmiş ikinci doz aşıları hemen olalım!</t>
  </si>
  <si>
    <t>1447637414504243201</t>
  </si>
  <si>
    <t>İsmet Uçma ağabeyimizi genç yaşında kaybettik. Farklı alanlardaki eğitimi ve aydın kimliğiyle çok yönlü bir siyasetçiydi. Birikimine coşkulu konuşmacılığı da ekleniyordu. Erken ölüm de bir takdiri ilahi. Ailesinin, dostlarının başı sağ olsun. Kendisine Allah'tan rahmet diliyorum.</t>
  </si>
  <si>
    <t>1447620090594217992</t>
  </si>
  <si>
    <t>Covid-19 sebebiyle bugün kaç can kaybımız olduğu, bu saatlerde cevabı beklenen soruydu. Tanımıyor olsak bile, insanlarımızın acısına kayıtsız kalmayışımız, vefat sayılarından duyduğumuz üzüntü bizi çoğu toplumdan ayırıyor. Bu hassasiyet büyük bir güçtür. Birbirimizi koruyalım. https://t.co/i54IexPNVC</t>
  </si>
  <si>
    <t>1447610960101916673</t>
  </si>
  <si>
    <t>RT @RTErdogan: Kabine Toplantısı Sonrası Millete Sesleniş https://t.co/JynGJf6d6x</t>
  </si>
  <si>
    <t>1447599166906114050</t>
  </si>
  <si>
    <t>Dünya Kız Çocukları Gününde, kızlarımızın her birini gözlerinden öpüyoruz. Gelecek o gözlerde! Bir tane’lerin günü kutlu olsun. https://t.co/zKsoA21ERk</t>
  </si>
  <si>
    <t>1447536883123240961</t>
  </si>
  <si>
    <t>Benim bir gram sıkılma, bir gram yorulma hakkım yok. Sizlerinse, artık uyarılardan bile yorulduğunuzu biliyorum. Haklısınız. Günün sonunda tüm kaygıların yerini sağlık alacak. Emin olun. Ve şartları göz ardı etmeyin. Bu yeter. Bizler, mücadelenin gereğini yapmaya devam edeceğiz.</t>
  </si>
  <si>
    <t>1447425920646647808</t>
  </si>
  <si>
    <t>İki yiğit polisimiz, Fırat Kalkanı Harekât Bölgesinde zırhlı araca terör örgütünce yapılan hain saldırı sonucu şehit düştü. Polis kardeşlerime Allah’tan rahmet, ailelerine ve emniyet teşkilatımıza başsağlığı diliyorum. Makamı cenneti ala olan şehitlerin kalplerdeki yeri ebedidir. https://t.co/Og5XLfp7Lj</t>
  </si>
  <si>
    <t>1447304612508315649</t>
  </si>
  <si>
    <t>Tebrikler Anıl, tebrikler Resul, tebrikler Hami, tebrikler Birkan… Tebrikler ve alkışlar size Down Sendromlular Futsal Milli Takımı. Avrupa şampiyonluk finalinde Portekiz kalesine attığınız 6 gol ve bizlere kazandırdığınız kupa için sizlere teşekkür ediyoruz. Daima yanınızdayız! https://t.co/tp3CQLYSre</t>
  </si>
  <si>
    <t>1447300851232657413</t>
  </si>
  <si>
    <t>4, 3, 2 sizce ne demek?
“Her 4 kişiden 3’ümüz 2 doz aşımızı yaptırdık!” demek.
Bu illerin sayısı bugün itibariyle 27. Geride kalan 54 il hızlı hareket etmeli!</t>
  </si>
  <si>
    <t>1447293576916971530</t>
  </si>
  <si>
    <t>4, 3, 2 sizce ne demek?</t>
  </si>
  <si>
    <t>1447287791491158018</t>
  </si>
  <si>
    <t>Covid-19’a karşı güçleniyoruz.
İkinci doz aşı oranı bugün KASTAMONU’DA da %75’i geçti. MAVİ il sayımız 27. Toplum bağışıklığı için, bütün iller, ikinci doz aşı oranında yarışalım!</t>
  </si>
  <si>
    <t>1447284573642141701</t>
  </si>
  <si>
    <t>“Aşıya rağmen vaka sayıları neden yüksek?” Bugünkü sayıya bakalım: 28.370. Covid-19 sebebiyle hastaneye yatanların sayısı ise 1.283. Henüz toplum bağışıklığı aşamasında değiliz. Aşının sonucunu hastalığın hafif geçirilmesinde görüyoruz. Vaka sayısı? Aşı artıyor ama tedbir azaldı! https://t.co/UwtzklF9KM</t>
  </si>
  <si>
    <t>1447253749693616130</t>
  </si>
  <si>
    <t>Tek değişiklik Siirt’te!
İkinci doz aşı oranında %55’i aşarak Kırmızıdan Turuncuya geçmesi, bizim için neredeyse Maviye geçmesi gibi kıymetli. Teşekkür ederiz Siirt!</t>
  </si>
  <si>
    <t>1446896754121715716</t>
  </si>
  <si>
    <t>GENÇLER, bize salgından çıkış yolunu gösterin! Yeni vakalarda en yüksek oranı sizler oluşturuyorsunuz. Hastalığı fark etmeden bulaştırmanız çok kolay! Covid’siz günlerin özlemini en çok duyansa sizlersiniz. Aşınızla, günlük hayatınızla bize örnek olsanız… Şu tablo çook değişir! https://t.co/3WLaepDRVo</t>
  </si>
  <si>
    <t>1446871200769134600</t>
  </si>
  <si>
    <t>25 Eylül-1 Ekim arasında vaka yoğunluğu bir önceki haftaya göre EN ÇOK ARTAN 10 İLİMİZ: Bursa, Balıkesir, Uşak, Kırklareli, Sakarya, Ardahan, Edirne, Mersin, Denizli, Samsun. Bu illerden birindeyseniz şimdi daha da dikkatli olmalısınız. https://t.co/MQUXHJL8Fw</t>
  </si>
  <si>
    <t>1446835952899481603</t>
  </si>
  <si>
    <t>25 Eylül-1 Ekim arasında, 100.000 kişi içinde BİR HAFTALIK TOPLAM yeni Covid-19 vaka sayısı neydi? Yaşadığınız, gidip geldiğiniz ildeki durumu haftalık İnsidans haritamızdan öğrenebilirsiniz. https://t.co/mJrDAA6HGn</t>
  </si>
  <si>
    <t>1446834818604470276</t>
  </si>
  <si>
    <t>Siz aşınızı olun, tedbirinizi alın. Sağlık çalışanlarımız ve bilim insanlarımızla Covid-19’un üstesinden geliriz. Eğer bu yapılmazsa, kimimiz hasta, çoğumuz salgın şartlarının mağduru olarak bu mücadelenin içinde yaşamak zorundayız. Böyle sürmesin. Bu hayatı değiştirelim.</t>
  </si>
  <si>
    <t>1446570606359719936</t>
  </si>
  <si>
    <t>Hakkâri’nin yeni hedefi Mavi!
İkinci doz aşı oranı bugün %65’in üzerine çıktı. Bu orana göre, haritadaki rengi Sarı. Covid-19’a karşı, Hakkâri’nin tüm Türkiye’ye Mavi haberini vermesini bekliyoruz</t>
  </si>
  <si>
    <t>1446554844395888643</t>
  </si>
  <si>
    <t>Covid-19’a karşı güçleniyoruz.
İkinci doz aşı oranı bugün MERSİN’DE de %75’i geçti. MAVİ il sayımız 26. Toplum bağışıklığı için, bütün iller, ikinci doz aşı oranında yarışalım!</t>
  </si>
  <si>
    <t>1446552732618432513</t>
  </si>
  <si>
    <t>Ana gündeminizin salgın olmasını istemiyoruz. Konuya odaklanma görevi bizim. Olağan hayatınıza kavuşmanız için sizden beklediğimiz, tedbirli davranarak kendinizi korumanız. Aşı olarak, toplum bağışıklığı sürecini hızlandırmanız. Bu tablo ciddi ihmallerimiz olduğunu gösteriyor. https://t.co/1yeYBV4hwq</t>
  </si>
  <si>
    <t>1446520749909495808</t>
  </si>
  <si>
    <t>Dün 236, bugün 217… Her gün, birbirinden çok farklı hayat hikâyeleri son buluyor. Covid-19 kaynaklı, önlenebilir sebeplere bağlı ölüme karşı duyarlı olalım. Tedbirlere uyup, aşımızı olarak kendi hayatımızı ve başkalarını koruyalım.</t>
  </si>
  <si>
    <t>1446176626421772288</t>
  </si>
  <si>
    <t>Covid-19’a karşı güçleniyoruz. Mavi il sayımız 25’e ulaştı! https://t.co/ufMDYs6tbE</t>
  </si>
  <si>
    <t>1446172179087900676</t>
  </si>
  <si>
    <t>Covid-19’a karşı güçleniyoruz.
İkinci doz aşı oranı bugün ANKARA’DA da %75’i geçti. MAVİ il sayımız 25. Toplum bağışıklığı için, 81 il, ikinci doz aşı oranında yarışalım!</t>
  </si>
  <si>
    <t>1446170078123368456</t>
  </si>
  <si>
    <t>Covid-19’a karşı en çok aşı yapılan ülkeler arasında tüm dünyada 7. sıradayız! Bu başarının çok sayıda nedeni var. Bunlardan biri, sağlık çalışanlarımızın içten ve eşsiz çabası. Videoyu izleyince bunu daha iyi anlayacaksınız. https://t.co/vQWEiUHJ1u</t>
  </si>
  <si>
    <t>1446160741527138306</t>
  </si>
  <si>
    <t>217 SAYISINI ANLAMAK? Her gün yeni kayıplar veriyoruz. Kimi torunlarını sevmeye doyamamış bir büyükanne, kimi ailesi için hayalleri olan bir baba, kimi doğumu bekleyen bir anne. Tablolardaki sayılar keşke yeterince hissedilebilir olsa. Birbirimizi anlayıp dayanışma içinde olalım. https://t.co/qhMnUZgmfD</t>
  </si>
  <si>
    <t>1446156790689894404</t>
  </si>
  <si>
    <t>Milletimizin kahraman evlatlarından Samsunlu kardeşimiz Tayfun Özköse, Suriye’nin El Bab bölgesinde, bugün, terör örgütünün hain saldırısı sonucu şehit düştü. Şehidimize Allah’tan rahmet; ailesine, kahraman ordumuza ve milletimize başsağlığı diliyoruz. Vatan sağ olsun! https://t.co/vGaX4BYwxL</t>
  </si>
  <si>
    <t>1446117637239439366</t>
  </si>
  <si>
    <t>Vaka sayılarının günlük 28-30 bin bandında seyrediyor olması on günlük zaman dilimi için yaklaşık aktif 300 bin vakaya karşılık gelmektedir. Bu durumun KRİTİK BİR YÜK olduğunun farkında olmalıyız. Kişilerin genç olması sebebiyle sağlık sistemi zorlanmıyor olsa da sayı çok yüksek.</t>
  </si>
  <si>
    <t>1446114546049978386</t>
  </si>
  <si>
    <t>2 doz mRNA aşısı olan vatandaşlarımızın ortalama 4 ay önce aşı olduklarını dikkate alarak aşının koruyuculuğunun halen devam ettiğini düşünüyoruz. Şu an için 3. doz aşıyı gerektiren bir durum yoktur. İNAKTİF AŞI OLANLARINSA 3. doz aşılarını yaptırmalarını ısrarla öneriyoruz.</t>
  </si>
  <si>
    <t>1446113193344974851</t>
  </si>
  <si>
    <t>Covid-19’a karşı ikinci doz aşı oranı SAKARYA’DA bugün %65’i geçti. Sakarya’nın haritadaki rengi artık SARI. Hepimizin lehine sonuçlar için ikinci doz aşı oranında %75’i aşmak üzere yarışalım!</t>
  </si>
  <si>
    <t>1445839389003853824</t>
  </si>
  <si>
    <t>Covid-19’a karşı ikinci doz aşı oranı UŞAK’TA da %75’i geçti. Böylece MAVİ il sayımız 24’e ulaştı. Hepimizin lehine sonuçlar için ikinci doz aşı oranında yarışalım!</t>
  </si>
  <si>
    <t>1445837277679206400</t>
  </si>
  <si>
    <t>ŞU AN AKTİF VAKALARIN %50’den fazlası 30 yaş altındadır. Gençlerdeki oran artmakla birlikte bu durum hastaneye yatışlara ve yoğun bakıma girişlere yansımamıştır. Ancak gençlerimiz, hastalığın ailelere, vefat oranının yüksek olduğu büyüklerimize taşınmasında etkili bir faktördür.</t>
  </si>
  <si>
    <t>1445832841787412488</t>
  </si>
  <si>
    <t>Vaka sayılarının günlük 28-30 bin bandında seyrediyor olması on günlük zaman dilimi için yaklaşık aktif 300 bin vakaya karşılık gelmektedir. https://t.co/VgJ834NN0h</t>
  </si>
  <si>
    <t>1445790000306692096</t>
  </si>
  <si>
    <t>VAKA SAYILARI NEDEN DÜŞMÜYOR? Sebeplerden üçü: Toplumsal hareketlilik çok arttı. Dışarıda, ortak mekânlarda tedbire önem verilmiyor, hastalığın yayılma ortamları çok fazla. Toplum bağışıklığını henüz sağlamış değiliz. Ne yapmalıyız? Tedbirlere uymalı, aşılarımızı tamamlamalıyız. https://t.co/CyOZsyPxxw</t>
  </si>
  <si>
    <t>1445789026854719490</t>
  </si>
  <si>
    <t>4 YIL 10 AY 23 GÜN! Muhtemelen tarihimizde hiçbir süre milletimize İstanbul’un işgal altında olduğu günler kadar uzun gelmemiştir. Medeniyetimizin göz bebeği İstanbul, Birinci Dünya Savaşından sonraki işgalden 6 Ekim 1923’te kurtuldu. 6 Ekim, İstanbul gibi kutlu bir gün! https://t.co/vu7WMHqKV0</t>
  </si>
  <si>
    <t>1445760875219013639</t>
  </si>
  <si>
    <t>Bazı çocuklarımız Serebral Palsi dediğimiz kalıcı bir beyin hastalığıyla doğuyor ve buna bağlı güçlükler, engeller yaşıyorlar. Bu çocuklarımızın mümkün olan en iyi yaşam kalitesine ulaşması bizler için yüce bir ödev. Toplumsal farkındalığın artması için elimizden geleni yapalım. https://t.co/uHyAdCRXII</t>
  </si>
  <si>
    <t>1445756529521528832</t>
  </si>
  <si>
    <t>Covid-19’a karşı ikinci doz aşı oranı BİNGÖL’DE bugün %55’i geçti. Bingöl’ün haritadaki rengi artık TURUNCU. Hepimizin lehine sonuçlar için ikinci doz aşı oranında %75’i aşmak üzere yarışalım!</t>
  </si>
  <si>
    <t>1445484306126622737</t>
  </si>
  <si>
    <t>Covid-19’a karşı ikinci doz aşı oranı KONYA ve KARS’TA bugün %65’i geçti. Bu iki ilimizin haritadaki rengi artık SARI. Hepimizin lehine sonuçlar için ikinci doz aşı oranında %75’i aşmak üzere yarışalım!</t>
  </si>
  <si>
    <t>1445476064336044036</t>
  </si>
  <si>
    <t>Covid-19’a karşı ikinci doz aşı oranı ISPARTA’DA da %75’i geçti. Böylece MAVİ il sayımız 23’e ulaştı. Hepimizin lehine sonuçlar için ikinci doz aşı oranında yarışalım!</t>
  </si>
  <si>
    <t>1445473485027823616</t>
  </si>
  <si>
    <t>YARIN, İSTER DIŞARIDA İSTER KAPALI MEKÂNDA yolunuz kalabalık bir yere düşerse çevrenize bakın. Kaçımız maskemizi takmış, kaçımız takmamışız? Sosyal mesafe kuralına uyum çabası var mı? Henüz toplum bağışıklığı aşamasında değiliz. Aşılarımızı olmalı ve kurallara uymalıyız. https://t.co/AmOxXe6OcA</t>
  </si>
  <si>
    <t>1445437323668299786</t>
  </si>
  <si>
    <t>Aşı hiçbirimizi Koronavirüse karşı kahraman yapmaz. Aşı olan da maske takmalı, sosyal mesafe kuralına mümkün mertebe uymalıdır. Virüs, hasta etmese bile, herkese bulaşma ve yayılma potansiyeline sahiptir. Toplum bağışıklığı sağlanana kadar kurallara uymalıyız.</t>
  </si>
  <si>
    <t>1445432113986211840</t>
  </si>
  <si>
    <t>Hayvanları Koruma Günü ikinci mesajı. Maviyi yine araya sıkıştırdık :) https://t.co/FnKiZ83B5x</t>
  </si>
  <si>
    <t>1445100945847820293</t>
  </si>
  <si>
    <t>Covid-19’a karşı ikinci doz aşı oranı KAHRAMANMARAŞ ve NİĞDE’DE %65’i geçti. Bu iki ilimizin haritadaki rengi artık SARI. Hepimizin lehine sonuçlar için ikinci doz aşı oranında %75’i aşmak üzere yarışalım!</t>
  </si>
  <si>
    <t>1445097168424087552</t>
  </si>
  <si>
    <t>Covid-19’a karşı ikinci doz aşı oranı TEKİRDAĞ ve ÇORUM’DA da %75’i geçti. Böylece MAVİ il sayımız 22’ye ulaştı. Hepimizin lehine sonuçlar için ikinci doz aşı oranında yarışalım!</t>
  </si>
  <si>
    <t>1445095748538970113</t>
  </si>
  <si>
    <t>Tabloda sık sık endişe verici vaka ve vefat sayıları görüyoruz. Daha iyi durumda olduğumuz dönemler de var. Art arda iniş çıkışlar geliyor. Bu bir kısır döngü mü? Tedbirlerde tekrarlanan yorgunluğa bakılırsa, evet. Ama aşının yakında bu döngüyü kıracağını unutmayın. Toparlanalım! https://t.co/UxuTUlByBq</t>
  </si>
  <si>
    <t>1445079584244916247</t>
  </si>
  <si>
    <t>Dünya Hayvanları Koruma Günü, bizlere hayatın bir bütün, hayvanlara sağlıklı yaşam koşulları sağlamanınsa görevimiz olduğunu hatırlatıyor. Bu konuda da işin başı sevgidir! Çünkü bencilliğin üstesinden gelip, iyi yaşamı hazırlayan sevgidir. Ve her canlı sevildiğini hisseder. https://t.co/dN1vuoaGVH</t>
  </si>
  <si>
    <t>1445037617909796868</t>
  </si>
  <si>
    <t>Covid-19’a karşı ikinci doz aşı oranı MANİSA’DA da %75’i geçti. Böylece MAVİ il sayımız 20’ye ulaştı. Hepimizin lehine sonuçlar için ikinci doz aşı oranında yarışalım!</t>
  </si>
  <si>
    <t>1444759772146831366</t>
  </si>
  <si>
    <t>“Nefesim tamamen gidince yatış verdiler. Aşı olmamıştım.” https://t.co/uELb49lxFE</t>
  </si>
  <si>
    <t>1444731934249267201</t>
  </si>
  <si>
    <t>Aşı konusunda daha hızlı hareket etmeliyiz. Toplum bağışıklığı sağlanana kadar tedbirlere daha büyük bir ciddiyetle uymalıyız. İçinde bulunduğumuz dönemde hastalığın yayılması kolaylaştı. İyi haberler çift doz aşı oranının artmasına, maske ve mesafe kuralına uyulmasına bağlı. https://t.co/NHjJ39pWTk</t>
  </si>
  <si>
    <t>1444715582302179330</t>
  </si>
  <si>
    <t>İşitme Engelliler Kadın Voleybol Milli Takımımız, Dünya Şampiyonası finalinde ev sahibi İtalya'yı yenerek altın madalya kazandı. Ülkemize şampiyonluk getiren milli oyuncularımızı yürekten kutluyoruz. Adınız hep şampiyonlukla anılsın! https://t.co/urcksSzCvg</t>
  </si>
  <si>
    <t>1444377103508680706</t>
  </si>
  <si>
    <t>“Hani, derler ya, ölümü gözümle gördüm. Keşke aşı olsaydım, bu kadar çekmezdim.” https://t.co/UU9ILN1c0E</t>
  </si>
  <si>
    <t>1444357119353016327</t>
  </si>
  <si>
    <t>Yeni vaka sayımız 27.973. Can kaybımız 203. Sonbahar, kış şartlarında salgınla mücadele biraz daha zor. Kapalı ortamlarda geçen zaman ve temas artıyor. Maske kullanımı fazlasıyla önem kazanmış durumda. Hastalığın solunum yoluyla bulaştığını unutmayalım. Aşılarımızı yaptıralım. https://t.co/KZNq3rdjN4</t>
  </si>
  <si>
    <t>1444335143016189953</t>
  </si>
  <si>
    <t>BUGÜN 110 MİLYON DOZU AŞTIK! Covid-19’a karşı uygulanan toplam aşı dozu sayısında Avrupa’da birinci, tüm dünyada 7. ülkeyiz! İlk 6 sırada, aşı üreticisi olan yüksek nüfuslu Çin ve ABD ile yine nüfusu yüksek ülkeler var.</t>
  </si>
  <si>
    <t>1444276988273905666</t>
  </si>
  <si>
    <t>18-24 Eylül arasında vaka yoğunluğu bir önceki haftaya göre EN ÇOK ARTAN 10 İLİMİZ: Zonguldak, Kırşehir, Düzce, Bursa, Bolu, Kars, Bartın, Kütahya, Kocaeli, Bilecik. Bu illerden birindeyseniz şimdi daha da dikkatli olmalısınız. Nihai çözüm aşı! Tedbirler vazgeçilmez. https://t.co/q52AsFO95v</t>
  </si>
  <si>
    <t>1444263350687371267</t>
  </si>
  <si>
    <t>18-24 Eylül arasında, 100.000 kişi içinde BİR HAFTALIK TOPLAM yeni Covid-19 vaka sayısı neydi? Yaşadığınız, gidip geldiğiniz ildeki durumu haftalık İnsidans haritamızdan öğrenebilirsiniz. https://t.co/ysPKuJNyL3</t>
  </si>
  <si>
    <t>1444261987215716360</t>
  </si>
  <si>
    <t>Covid-19’a karşı ikinci doz aşı oranı ARTVİN, SİNOP ve BİLECİK’TE de %75’i geçti. Böylece MAVİ il sayımız 19’a ulaştı. Hepimizin lehine sonuçlar için ikinci doz aşı oranında yarışalım!</t>
  </si>
  <si>
    <t>1444010104899129348</t>
  </si>
  <si>
    <t>Türkiye Büyük Millet Meclisi, 27. Dönem 5. Yasama Yılı çalışmalarına bugün başladı. Yüce Meclisimizin yeni yasama yılının ülkemize nice hayırlı sonuçlar getireceği inancıyla, aziz milletimizin temsilcilerine başarılar diliyorum. https://t.co/OBJL3RI4g2</t>
  </si>
  <si>
    <t>1443992458501705737</t>
  </si>
  <si>
    <t>Yeni vaka sayımız 28.873. Can kaybımız 210. Tedbirleri toplum olarak birlikte ve düzenli şekilde uygulamadığımız gerçeğiyle karşı karşıyayız. Yer yer küçük düşüşler oluyor ama bu düşüşler istikrar göstermiyor. Sonbahar şartlarında daha dikkatli olmalı, aşılarımızı yaptırmalıyız. https://t.co/dEBMWrTX3N</t>
  </si>
  <si>
    <t>1443981903426686978</t>
  </si>
  <si>
    <t>Türk siyasetinin önemli isimlerinden, Milli Görüş Hareketinde rahmetli Necmettin Erbakan’ın yol arkadaşlarından OĞUZHAN ASİLTÜRK beyefendi, bir süredir tedavi gördüğü hastanede Hakk’ın rahmetine kavuştu. Mekânı cennet, makamı âli olsun. Sevenlerine başsağlığı diliyorum.</t>
  </si>
  <si>
    <t>1443954083732332544</t>
  </si>
  <si>
    <t>COVİD-19’A KARŞI YARINKİ PLANINIZ NE?
İlk doz aşınızı yaptırdınız mı? Yaptırmadıysanız, hemen randevu alabilirsiniz. Devam dozunun zamanı gelmişse, aşınızı olabilirsiniz. İşyerinizde, dışarıda, başkalarıyla bir aradayken maskenizi takıp, sosyal mesafenize dikkat etmeyi unutmayın.</t>
  </si>
  <si>
    <t>1443650973323382796</t>
  </si>
  <si>
    <t>Covid-19’a karşı İKİNCİ DOZ aşı oranı KİLİS’TE %65’i geçti. Kilis’in haritadaki rengi artık SARI. Hepimizin lehine sonuçlar için ikinci doz aşı oranında %75’i aşmak üzere yarışalım!</t>
  </si>
  <si>
    <t>1443646489025208325</t>
  </si>
  <si>
    <t>Covid-19’a karşı İKİNCİ DOZ aşı oranı DENİZLİ’DE de %75’i geçti. Böylece MAVİ İL sayımız 16’ya ulaştı. Hepimizin lehine sonuçlar için ikinci doz aşı oranında yarışalım!</t>
  </si>
  <si>
    <t>1443643709636100100</t>
  </si>
  <si>
    <t>Bugünkü can kaybımız 216. Kaybettiğimiz kişiler kendileri önlem almamış olsalar, ama diğer insanlar salgınla mücadelenin gereklerini tam olarak yapsalardı sonuç çok farklı olacaktı. Bulaşma ve vefatlar, zincirleme ihmal sonucu gerçekleşiyor. Aşılarımızı olup, tedbirlere uyalım. https://t.co/yHCOMawNH9</t>
  </si>
  <si>
    <t>1443630749970731016</t>
  </si>
  <si>
    <t>Covid-19’a karşı İKİNCİ DOZ aşı oranı YOZGAT, ERZİNCAN ve MALATYA’DA %65’in üzerine çıktı. Bu üç ilimizin haritadaki rengi SARI. Hepimizin lehine sonuçlar için ikinci doz aşı oranında %75’i geçmek üzere yarışalım!</t>
  </si>
  <si>
    <t>1443281577371389956</t>
  </si>
  <si>
    <t>Covid-19’a karşı İKİNCİ DOZ aşı oranımız AYDIN ve ZONGULDAK’TA da %75’in üzerine çıktı. Böylece MAVİ İL sayımız 15’e ulaştı. Hepimizin lehine sonuçlar için ikinci doz aşı oranında yarışalım!</t>
  </si>
  <si>
    <t>1443270517818073104</t>
  </si>
  <si>
    <t>Günlük vaka sayısında 20.000’in altını kritik eşik kabul ediyoruz. Yeni vaka sayılarımızsa 30.000’e yaklaşmış durumda. Bugünkü vefat sayımız, daha önceki yüksek vaka sayılarının sonucu olarak 227. Bu tabloya karşı, başarının şartı tedbirlere muntazaman uyum ve aşıdır! https://t.co/niKrL4XuDQ</t>
  </si>
  <si>
    <t>1443257397900976132</t>
  </si>
  <si>
    <t>Son günlerde tedbirlerdeki gevşeklik vaka sayılarına yansıyor. Eski günlerimize daha erken dönmek istiyorsak bugün tedbirlere daha sıkı uymalıyız. https://t.co/CkTC53EgkE</t>
  </si>
  <si>
    <t>1443254267863830529</t>
  </si>
  <si>
    <t>Salgın şartlarında yaşamaktan hepimiz sıkıldık. Fakat hayatın eski akışına dönme isteği sağlığımız pahasına olmamalı. Maske ve mesafe kuralına uyalım, virüse karşı direnç kazanmak ve toplum bağışıklığını sağlamak için aşılarımızı yaptıralım.</t>
  </si>
  <si>
    <t>1442937626869178374</t>
  </si>
  <si>
    <t>ŞIRNAK, Covid-19’a karşı İKİNCİ DOZ aşı oranını yükselterek haritamızdaki rengini Kırmızdan TURUNCUYA çevirdi. İkinci doz aşı oranı halen %55’in altında olan illerimiz Doğu ve Güneydoğu Anadolu bölgelerimizde. Hepimizin lehine sonuçlar için ikinci doz aşı oranında yarışalım!</t>
  </si>
  <si>
    <t>1442934930124652546</t>
  </si>
  <si>
    <t>Covid-19’a karşı İKİNCİ DOZ aşı oranımız BARTIN VE GİRESUN’DA da %75’in üzerine çıktı. Böylece MAVİ İL sayımız 13’e ulaştı. Hepimizin lehine sonuçlar için ikinci doz aşı oranında yarışalım!</t>
  </si>
  <si>
    <t>1442924861068746755</t>
  </si>
  <si>
    <t>RT @tcbestepe: Cumhurbaşkanı @RTErdogan’ın Küresel Kovid-19 Zirvesi’ne gönderdiği video mesaj https://t.co/JMCKveJx0e</t>
  </si>
  <si>
    <t>1442902045015478279</t>
  </si>
  <si>
    <t>“BU KADAR İNSANIN İÇİNDE GELİP BENİ Mİ BULACAK?”
Covid-19 toplam vaka sayısı, bugün 28.892 yeni vakayla, 7 Milyon 95.580’e yükseldi. Testleri pozitif çıkana kadar çoğu insan kendini riskten uzak görüyordu. Maske ve mesafe konusunda dikkatli olup, aşılarımızı mutlaka yaptıralım! https://t.co/rJS3qra5vf</t>
  </si>
  <si>
    <t>1442897751235198977</t>
  </si>
  <si>
    <t>Covid-19’a karşı ikinci doz aşı oranı DÜZCE’DE bugün %65’in üzerine çıktı. Risk rengi artık SARI olan Düzce’nin bu oranı kısa sürede %75’in üzerine çıkarmasını bekliyoruz. Hepimizin lehine sonuçlar için, bütün iller, ikinci doz aşıda yarışalım!</t>
  </si>
  <si>
    <t>1442570554494513152</t>
  </si>
  <si>
    <t>Covid-19’a karşı ikinci doz aşı oranı OSMANİYE’DE de %75’in üzerinde. Böylece MAVİ il sayımız 11’e ulaştı. Hepimizin lehine sonuçlar için ikinci doz aşıda yarışalım!</t>
  </si>
  <si>
    <t>1442568073429487619</t>
  </si>
  <si>
    <t>“Neler yaşadım! Bir damla suyun tadını özlemiştim. Herkes aşı olsun lütfen.” https://t.co/GtvyVs9JxK</t>
  </si>
  <si>
    <t>1442561939725602820</t>
  </si>
  <si>
    <t>Bugünkü tabloda, 27.188 kişinin, ortalama bir hafta önce, uymaları gerektiğini aslında bildikleri kurallara uymadığını görüyoruz. Muhtemelen risk aldıklarını düşünmüyor, tedbire gerek görmüyorlardı. Kalabalık ortamda, evimizin dışında tedbirlere mutlaka uymalı, aşımızı olmalıyız. https://t.co/PmhIAE5Nbv</t>
  </si>
  <si>
    <t>1442541896941801475</t>
  </si>
  <si>
    <t>RT @RTErdogan: Kabine Toplantısı Sonrası Millete Sesleniş https://t.co/lAqQfLAicN</t>
  </si>
  <si>
    <t>1442524700647829507</t>
  </si>
  <si>
    <t>Haritamız, toplum bağışıklığı hedefi için yeniden şekillenmeye devam ediyor. MAVİ İL sayımız İZMİR’LE 10’a çıktı. Covid-19’a karşı ikinci doz aşı oranı İzmir’de artık %75’in üzerinde. Hepimizin lehine sonuçlar için, sıradaki 71 il, yarışalım!</t>
  </si>
  <si>
    <t>1442206951333511169</t>
  </si>
  <si>
    <t>“Bu vaka sayısına karşı BEN NE YAPABİLİRİM?” Hastalar tedavi altında, testi pozitif çıkanlar ve temaslılar izolasyonda. Fakat tanı konmamış başka vakalarla virüs aramızda! Vaka sayılarına karşı yapmamız gereken, kendimizi koruyup, aşımızı olarak yayılımı azaltmaktır.</t>
  </si>
  <si>
    <t>1442174549160710144</t>
  </si>
  <si>
    <t>Maske takanların sayısı? Sosyal mesafe kuralına dikkat edenlerin sayısı? Tam doz aşı olanların sayısı?
Salgınla mücadelenin gereklerini yapanlar arttıkça, yeni vaka sayılarımız ve ona bağlı olarak vefat sayılarımız azalacak. Hep birlikte, kararlılıkla, üzerimize düşeni yapalım. https://t.co/3lKGThE5j2</t>
  </si>
  <si>
    <t>1442173228768706569</t>
  </si>
  <si>
    <t>BUGÜN RENKSİZ BİR GÜN, kategori değiştiren ilimiz yok. İkinci doz aşılarla haftaya Covid-19 risk haritamızı iyileştirelim! https://t.co/8BfjGqnJT4</t>
  </si>
  <si>
    <t>1441853469040660481</t>
  </si>
  <si>
    <t>Dünyayı ileriye taşıyacak yeni fikir ve projelerin sergilendiği TEKNOFEST’21 Fuarındayız. Burası geleceğin kalbinin attığı, hayallerin kanatlandığı yer. Sn. Cumhurbaşkanımızın liderliğinde Türkiye’nin potansiyelleri hayat buluyor. Emek veren herkesi tüm kalbimle kutluyorum. https://t.co/rtgUdCWudI</t>
  </si>
  <si>
    <t>1441839563341664261</t>
  </si>
  <si>
    <t>Bozkırın tezenesi (mızrabı), büyük halk ozanımız Neşet Ertaş’ı vefatının dokuzuncu yıl dönümünde saygı, özlem ve rahmetle anıyoruz. Sazıyla, sözüyle hepimizin sesi olmaya devam ediyor. “Gönlüm hep seni arıyor, neredesin sen?” türküsü, bugün daha da dokunaklı! https://t.co/yDtP2e4UEz</t>
  </si>
  <si>
    <t>1441833126410391557</t>
  </si>
  <si>
    <t>Covid-19 virüsü kişiden kişiye geçip yayılırken, direnci zayıf olanları yatağa düşürüyor. Bulaştığı herkesi daha kötü sonuçlar için adeta aracı gibi kullanıyor. Kendini koruyan, başkalarını da hastalıktan, ölümden korur. Dışarıda, birbirimize yakınken maskemizi mutlaka takalım.</t>
  </si>
  <si>
    <t>1441831528338706432</t>
  </si>
  <si>
    <t>“VAKA SAYISI 19 BİN!” Sizce, 20 binin altında günlük vaka sayısı bu toplum için ulaşılması güç bir hedef mi? Hep birlikte karar verip, bugün 26.145 olan vaka sayısını kısa sürede, kritik eşik olan 20 binin altına indirebiliriz. Sonucunu iyi bildiğimiz tedbirler ve aşı bize yeter! https://t.co/W0HUwQqRwm</t>
  </si>
  <si>
    <t>1441827283296268288</t>
  </si>
  <si>
    <t>DOZ SAYISINDA DÜNYADA 7. ÜLKEYİZ!
Covid-19’a karşı uygulanan toplam aşı dozu sayısında, nüfusu bize yakın ve aşı üreticisi olan Almanya’yı da geride bıraktık. Tüm dünyada 7. sıradayız. Türkiye’den önceki ilk 6 sırada, aşı üreticisi Çin ve ABD ile çok yüksek nüfuslu ülkeler var. https://t.co/RcKdl3RWme</t>
  </si>
  <si>
    <t>1441776798912561155</t>
  </si>
  <si>
    <t>Nöbetçi eczane aradığınız bir gece oldu mu? Mutlaka olmuştur. Bir eczacının, eczanenin hayatımızdaki yerini en iyi öyle zamanlarda anlarız. Bugün DÜNYA ECZACILIK GÜNÜ. Sağlık hizmetlerinin en önemli üyelerinden olan eczacılarımıza şükranlarımızı sunuyorum: Bize hep ilaç oldunuz! https://t.co/hUG3hXrIJq</t>
  </si>
  <si>
    <t>1441772996750942208</t>
  </si>
  <si>
    <t>Haritamız, toplum bağışıklığı hedefi için yeniden şekillenmeye devam ediyor. MAVİ İL sayımız bugün BURDUR’LA dokuza çıktı. Hepimizin lehine sonuçlar için, sıradaki 72 il, yarışalım!</t>
  </si>
  <si>
    <t>1441486964163764224</t>
  </si>
  <si>
    <t>11-17 Eylül arasında vaka yoğunluğu bir önceki haftaya göre EN ÇOK ARTAN 10 İLİMİZ: Kastamonu, Kırıkkale, Zonguldak, Tokat, Trabzon, Malatya, Yozgat, Düzce, Erzincan, Çorum! Bu illerden birindeyseniz şimdi daha da dikkatli olmalısınız. Nihai çözüm aşı, tedbirler şart https://t.co/13UXMDNUv6</t>
  </si>
  <si>
    <t>1441446783003942920</t>
  </si>
  <si>
    <t>11-17 Eylül arasında, 100.000 kişi içinde BİR HAFTALIK TOPLAM yeni Covid-19 vaka sayısı neydi? Yaşadığınız, gidip geldiğiniz ildeki durumu haftalık İnsidans haritamızdan öğrenebilirsiniz. https://t.co/Uv8dk8orfU</t>
  </si>
  <si>
    <t>1441444304891830273</t>
  </si>
  <si>
    <t>ALIŞMAK RİSKİ ARTIRIR! Bugünkü vaka sayısı 27.197. Can kaybımız 221. Son günlerde karşımıza çıkan sonuçlara alışırsak salgınla mücadele gücümüz zayıflar. Durumu, ilk kez yaşıyormuş kadar ciddiye almalıyız. Karar verdiğimizde başarı elde ettiğimizi biliyoruz. https://t.co/IsBRgRlSmo</t>
  </si>
  <si>
    <t>1441440535215022081</t>
  </si>
  <si>
    <t>Haritamız, İKİNCİ DOZ aşı oranını esas alacak şekilde yeniden düzenlendi. Şu an SARI olan illerimizde ikinci doz aşı oranı %65’in üzerinde. HATAY, Sarı iller arasına bugün katıldı. Toplum bağışıklığı hedefine ulaşmamız için Hatay’dan çok daha yüksek bir oran bekliyoruz.</t>
  </si>
  <si>
    <t>1441108875319541767</t>
  </si>
  <si>
    <t>Haritamız, İKİNCİ DOZ aşı oranını esas alacak şekilde yeniden düzenlendi. Şu an MAVİ olan illerimizde ikinci doz aşı oranı %75’in üzerinde. BALIKESİR, Mavi iller arasına bugün katıldı. Toplum bağışıklığı hedefine ulaşmamız yönünde gösterdiği başarı için Balıkesir’i kutluyoruz.</t>
  </si>
  <si>
    <t>1441101694708817920</t>
  </si>
  <si>
    <t>Hayat akarken aşı devam ediyor. Soğan tarlalarındayız. https://t.co/toNRIF37Df</t>
  </si>
  <si>
    <t>1441097095201497090</t>
  </si>
  <si>
    <t>Yeni vaka sayımız 27.844. Can kaybımız 217. Salgının dramatik sonuçlarını yeni vaka sayıları belirliyor. Can kayıplarındaki azalmayı ancak vaka sayılarını istikrarlı şekilde düşürerek sürekli hale getirebiliriz. Tabloyu aşılarımızı olarak, tedbirlere uyarak kontrol altına alalım. https://t.co/P60S9Agp0B</t>
  </si>
  <si>
    <t>1441085221756043265</t>
  </si>
  <si>
    <t>13 ülkeyi geride bırakarak Avrupa Ampute Futbol Şampiyonu olan millilerimizle bir araya geldik. 19 Eylül Gaziler Gününde aldıkları kupayı gazilerimizle birlikte sağlık ordumuza armağan ettiler. Gurur duyuyoruz. Sağ olsunlar! https://t.co/pHABR1Qo9b</t>
  </si>
  <si>
    <t>1440761133082628098</t>
  </si>
  <si>
    <t>Bilim Kurulu: “Aşının yaygınlaşması ile birlikte artık üniversiteler dahil okulların en son kapanan değil, asla kapanmayan kurumlar olması konusunda ısrarlıyız.” https://t.co/iabiZIQOJz</t>
  </si>
  <si>
    <t>1440748416712118277</t>
  </si>
  <si>
    <t>Türkiye genelinde, 18 yaş ve üzeri nüfusta iki doz aşı olma oranımız %68,91. Sadece 7 ilde bu oran %75’in üzerinde. İki doz aşıda, il bazında en düşük oranımızsa %42,5. İlk doz başlangıç, ikinci dozla sonuç almaya başlıyoruz. Covid-19 tablosuna karşı aşılarımızı hemen yaptıralım. https://t.co/eOOKeum6mm</t>
  </si>
  <si>
    <t>1440723849927020553</t>
  </si>
  <si>
    <t>Sn. Cumhurbaşkanımız, Birleşmiş Milletler 76. Genel Kuruluna hitaben yaptıkları konuşmada, yerli aşımız Turkovac’ın yakında milletimizle birlikte insanlığın hizmetine sunulacağını belirtti, küresel Covid-19 salgını konusunda önemli tespit ve değerlendirmelerde bulundu: https://t.co/LBqxztqJVT</t>
  </si>
  <si>
    <t>1440421552281976833</t>
  </si>
  <si>
    <t>İki doz aşı olanların 84 Milyon içindeki oranı %50’nin, 18 yaş ve üzeri nüfustaki oranı ise %68’in üstüne çıktı. Bugün paylaşılan bir mesajda toplam nüfustaki aşı oranı yanlışlıkla 18 yaş ve üstü için belirtildi. Doğru haber çok daha iyi: Her ikimizden birimiz çift doz aşılıyız!</t>
  </si>
  <si>
    <t>1440397502344138758</t>
  </si>
  <si>
    <t>Bugünkü vaka sayısı 29.338. Yeni can kaybımız 260. Vaka sayılarında 20.000’i kritik eşik kabul ederken, şimdi neredeyse 30.000’e yaklaşmış durumdayız. Sosyal ortamlarda çok dikkatli olun. Maskenizi kullanın. Yaptırmadığınız aşılarınızı mutlaka yaptırın. Kritik bir dönemdeyiz. https://t.co/Z8YcVpiD9S</t>
  </si>
  <si>
    <t>1440377172649070593</t>
  </si>
  <si>
    <t>“Aşı olmak istedim aslında. İşlerden dolayı ihmalkârlık ettim.” https://t.co/tCISirL81w</t>
  </si>
  <si>
    <t>1440026300136267782</t>
  </si>
  <si>
    <t>GÜNLÜK COVİD-19 TABLOMUZ DEĞİŞTİ. Bugünden itibaren, il bazında, ilk doz yerine, en az iki doz aşı olanların oranlarını paylaşacağız. Aşılarımızı yaptırarak vaka sayılarını düşürelim, can kayıplarımızı azaltalım. İlk doz aşıda önemli bir mesafe kaydettik. https://t.co/gsSO98Hdck</t>
  </si>
  <si>
    <t>1440012037061480454</t>
  </si>
  <si>
    <t>Yüreklerini ortaya koydular, güçleriyle kazandılar! Final maçında İspanya’yı 6-0 yenerek Avrupa Ampute Futbol Şampiyonası kupasının sahibi olan Millilerimizi kutluyoruz. https://t.co/iIy469vjdv</t>
  </si>
  <si>
    <t>1439692295255822337</t>
  </si>
  <si>
    <t>COVİD-19’A KARŞI TEK RENK TÜRKİYE! Sarı risk kategorisinde 10 ilimiz kaldı. İlk doz aşı oranlarımızı yükseltip, 81 il, bütün ülke, Mavide buluşalım. Mavi, toplum bağışıklığı için ilk doz hazırlığının büyük oranda tamamlanması demek!</t>
  </si>
  <si>
    <t>1439679959816155141</t>
  </si>
  <si>
    <t>BİTLİS, ilk doz aşı oranını bugün %75’in üzerine çıkararak, Türkiye Covid-19 Risk Haritasında Mavi oldu. 81 ilimizden 10’u halen Sarı. İlk doz oranındaki başarıyı tamamlamak için harekete geçelim.</t>
  </si>
  <si>
    <t>1439675224245551125</t>
  </si>
  <si>
    <t>Bugünkü vaka sayısı 26.398. Yeni can kaybımız 213. Vaka sayıları son bir haftadaki seyrinde devam ettiği takdirde, yüksek sayıda can kayıplarının önüne geçemeyeceğiz. Tedbirler ve aşıyla istikrarlı bir düşüş sağlamalıyız. Son bir hafta bizi uyarıyor. https://t.co/GmDk8mz621</t>
  </si>
  <si>
    <t>1439624449091936264</t>
  </si>
  <si>
    <t>“Bir dakika, bir saniye bile geçirmeden aşı olun. Benim yaptığım hata sadece ve sadece ihmalkârlıktı.” https://t.co/ZHH6PQmY6r</t>
  </si>
  <si>
    <t>1439310649998389253</t>
  </si>
  <si>
    <t>VAKA SAYILARI
18 Eylül: 26.161
17 Eylül: 27.692
16 Eylül: 28.118
15 Eylül: 28.224
14 Eylül: 27.802
13 Eylül: 24.613
12 Eylül: 21.352
Vaka sayıları bir gün öncesiyle değil, ortalama bir hafta öncesiyle kıyaslanmalıdır. Son bir hafta bizi uyarıyor. Kurallara uyup, aşımızı olalım. https://t.co/Dm24auCsZl</t>
  </si>
  <si>
    <t>1439265590636650503</t>
  </si>
  <si>
    <t>ADIYAMAN, ilk doz aşı oranını bugün %75’in üzerine çıkararak, Türkiye Covid-19 Risk Haritasında Mavi oldu. Adıyaman’dan ikinci doz aşı oranını aynı şekilde yükseltmesini, halen Sarı olan illerimizin de bir an önce Mavi risk kategorisine geçmesini bekliyoruz.</t>
  </si>
  <si>
    <t>1438924034834567169</t>
  </si>
  <si>
    <t>Başbakan Adnan Menderes 60 yıl önce bugün idam edildi. Yargılanması sırasında bu sonuca yol açacak bir suç isnadı bile söz konusu değildi. Fakat 27 Mayıs darbesine ait irade onun idamını istedi. Adnan Menderes’i ve kendisiyle birlikte idam edilen arkadaşlarını rahmetle anıyoruz. https://t.co/4ee4uy9nhD</t>
  </si>
  <si>
    <t>1438913819019984910</t>
  </si>
  <si>
    <t>Can kaybımız dünkü kadar fazla değil. Vaka sayımız, içinde olduğumuz hareketlilik dönemini aynı ciddiyetle yansıtıyor. Bu durum, yakın günlerde vefat sayılarına yansımaya devam edecek. Tam doz aşımızı olup, tedbirlere uyarak salgına karşı gerekli mücadeleyi vermeliyiz. https://t.co/uVsTkxBDD3</t>
  </si>
  <si>
    <t>1438910885565718528</t>
  </si>
  <si>
    <t>Aşı olanlar, aşıları tamamlandıktan, yani 2. dozdan 14 gün geçtikten sonra korundukları gerçeğini aklından çıkarmamalı. Tedbirler ise toplumsal bağışıklık elde edilene kadar hepimiz için zorunlu. Maske, mesafe, temizlik kurallarından taviz vermeyelim. https://t.co/r5VNu3K8Hq</t>
  </si>
  <si>
    <t>1438580992038608896</t>
  </si>
  <si>
    <t>Can kaybımız 262. Vaka sayımız 28.118. Artan hareketlilikle risk daha da yaygın. Yarın tedbirleri uygulayarak, ortalama 1 hafta sonra tablodaki sonuçların değişmesinde, 2. doz aşınızı olarak da, 2 hafta sonra salgına karşı kalıcı başarı elde edilmesinde pay sahibi olabilirsiniz. https://t.co/GAOi95mRcR</t>
  </si>
  <si>
    <t>1438538026116861961</t>
  </si>
  <si>
    <t>Endişe ve karmaşa ortamından çıktık. Bunu kalıcı hale getirmek elimizde. Hep beraber tedbirlere uyacak ve aşı olarak toplumsal bağışıklığı elde edeceğiz. https://t.co/qNDwx1zX9h</t>
  </si>
  <si>
    <t>1438513204427059207</t>
  </si>
  <si>
    <t>Son günlerde kayıplarımızın sayısının yüksek olmasının aşı etkililiği ile ilişkilendirildiğine şahit oluyoruz. Oysa vaka ve kayıplarımız içinde aşısızların oranı çok yüksek. Bu durum, aşılar olmasaydı, sonuçların daha ağır olabileceğini göstermektedir. Mutlaka aşı olmalıyız. https://t.co/9d28YJZjwc</t>
  </si>
  <si>
    <t>1438507306799415296</t>
  </si>
  <si>
    <t>1. Doz aşılamada yüksek bir oranda gelişme kaydettik. Sıra, ikinci doz aşı oranını yükseltmeye geldi. Sizinle her gün paylaştığımız 1. doz aşılanma oranı haritasını düzenleyerek, haritayı Pazartesinden itibaren iki doz aşılanma oranları bilgisiyle yine her gün sunacağız. https://t.co/ADmgAI4xVH</t>
  </si>
  <si>
    <t>1438462485032538116</t>
  </si>
  <si>
    <t>Öğrencilerimize tarama amaçlı yapılacak testler, tümüyle velilerin iznine bağlıdır. Test için örnek alma işlemi, velilerimizin, kendilerine sunulan onam formunda izin vermeleri halinde, sadece boğazdan örnek alınarak yapılacaktır. Aksi tıp etiği bakımından da söz konusu değildir. https://t.co/VlU86JdK2b</t>
  </si>
  <si>
    <t>1438459930340700162</t>
  </si>
  <si>
    <t>4-10 Eylül arasında vaka yoğunluğu bir önceki haftaya göre EN ÇOK ARTAN 10 İLİMİZ: Kilis, Erzincan, Malatya, Karabük, Kastamonu, Erzurum, Adıyaman, Kayseri, Tokat, Sinop! Bu illerden birindeyseniz şimdi daha da dikkatli olmalısınız. https://t.co/GgqfEKQgeZ</t>
  </si>
  <si>
    <t>1438448895160369156</t>
  </si>
  <si>
    <t>4-10 Eylül arasında, 100.000 kişi içinde BİR HAFTALIK TOPLAM yeni Covid-19 vaka sayısı neydi? Yaşadığınız, gidip geldiğiniz ildeki durumu haftalık İnsidans haritamızdan öğrenebilirsiniz. https://t.co/EDK9GYxJBk</t>
  </si>
  <si>
    <t>1438447554258165761</t>
  </si>
  <si>
    <t>CANLI: Bilim Kurulu Toplantımızın ardından Basın Açıklamamız:
https://t.co/YGSTh0drEh</t>
  </si>
  <si>
    <t>1438204503774355459</t>
  </si>
  <si>
    <t>TURUNCU İLİMİZ KALMADI. Türkiye Covid-19 Risk Haritasında son Turuncu ilimiz Gümüşhane, ilk doz aşı oranını %65’in üzerine çıkararak Sarıya geçti. Şimdi sıra, Maviye geçecek başarıyı göstermekte. GÜMÜŞHANE’Yİ KUTLUYORUZ.</t>
  </si>
  <si>
    <t>1438201015354941448</t>
  </si>
  <si>
    <t>Can kaybımız 248. VAKA SAYIMIZ 28.224. Hareketliliğin, dolayısıyla temasın çok yoğun olduğu bir dönemdeyiz. 28 Binin üzerine çıkan yeni vaka sayısına karşı hepimiz tedbirleri uygulamalı, çift doz aşıda hızlı olmalıyız. Salgına karşı başarının şartı birlikte hareket etmektir. https://t.co/rxJWqXAAId</t>
  </si>
  <si>
    <t>1438199223653183490</t>
  </si>
  <si>
    <t>Müziği, çay bahçeleri ve aşı hikâyeleriyle Rize! https://t.co/WgDgrNX5PK</t>
  </si>
  <si>
    <t>1437843963269066753</t>
  </si>
  <si>
    <t>ŞANLIURFA, ilk doz aşı oranını %65’in üzerine çıkardı. Haritamızdaki rengi Turuncu yerine Sarı. Şu an, ilk doz aşı oranı %65’in altında kalan tek ilimiz, Gümüşhane. Sarı ve Mavi bütün iller, Gümüşhane’ye çağrıda bulunalım mı?</t>
  </si>
  <si>
    <t>1437830116155998215</t>
  </si>
  <si>
    <t>Yeni can kaybımız 276. Daha önce tabloda belirtilen vakalardan 276’sı bugün ölümle sonuçlandı. Aşıda ve tedbirlerde birlik ve beraberliği sağlarsak; kısa sürede vaka sayıları, ardından da can kayıpları hızla düşer. Salgına karşı başarının şartı birlik ve istikrardır. https://t.co/iU3OIZX27I</t>
  </si>
  <si>
    <t>1437817610981232644</t>
  </si>
  <si>
    <t>Fındık hasadını tamamlarken aşıları da tamamladılar! https://t.co/90YdcDlR0Z</t>
  </si>
  <si>
    <t>1437499855149142016</t>
  </si>
  <si>
    <t>Bu akşam itibariyle, en az 2 doz aşı yaptıranlarımızın sayısı 40.635.924. Aşı oranı arttıkça toplum bağışıklığına yaklaşmış olacağız. Vaka sayılarının ve buna bağlı olarak da can kayıplarımızın azalması, çift doz aşıların tamamlanma hızına, tedbirlere uyuma bağlı. https://t.co/oIRERqDzJl</t>
  </si>
  <si>
    <t>1437449986212601865</t>
  </si>
  <si>
    <t>Sakarya Meydan Muharebesi Zaferinin 100. Yıl Dönümündeyiz. 22 gün süren muharebe, Kurtuluş Savaşı zaferimizin en büyük haberi olmuştu. Başta Gazi Mustafa Kemal Atatürk ve mücadele arkadaşları olmak üzere, bütün kahramanlarımızı ve şehitlerimizi rahmetle, saygıyla anıyoruz. https://t.co/rVuGkZOdZ2</t>
  </si>
  <si>
    <t>1437442263156731911</t>
  </si>
  <si>
    <t>12 Eylül 1980 darbesi, insanların hayatına, Türkiye’nin yıllarına mal oldu. 15 Temmuz gecesi yeni bir darbeye geçit vermeyerek, darbecilikle de hesaplaşmamızı yaptık. Demokrasi ruhumuz dipdiri. Hafızamızda darbe tecrübeleri var, geleceğimizde asla olmayacak.</t>
  </si>
  <si>
    <t>1437110035629461507</t>
  </si>
  <si>
    <t>“BANA BİR ŞEY OLMAZ!” Bugünkü vaka sayısı: 21.352. Bu vakalara “Bana bir şey olmaz.” ihmali yol açıyor. Bugünkü can kaybı: 243. Vefatların nedeni, ihmallerin yol açtığı yayılım. Tam doz aşımızı zamanında olmalı, tedbirlere düzenli ve birlikte uymalıyız. Risk devam ediyor. https://t.co/bcjy8CMOLt</t>
  </si>
  <si>
    <t>1437090724047200267</t>
  </si>
  <si>
    <t>Cumhurbaşkanımızla dün Kahramanmaraş’ta, Gençlerle Şiir Gecesi’ndeydik. Gecede 1999 yılına ait bir şiir kaydı da yâd edildi: “Sana, Bana, Vatanıma, Ülkemin İnsanlarına Dair”. Erdem Bayazıt’ın ünlü şiirinden bir bölüm paylaşıyoruz: “Beyaz giysilerinden uykular dökülen tabipler…” https://t.co/5aWxWy4v2a</t>
  </si>
  <si>
    <t>1436813665748013057</t>
  </si>
  <si>
    <t>DİYARBAKIR, ilk doz aşı oranını %65’in üzerine çıkardı. Haritamızdaki rengi Turuncu yerine Sarı. Şu an, ilk doz aşı oranı %65’in altında, Turuncu iki ilimiz var: Gümüşhane ile Şanlıurfa. Diyarbakır başta olmak üzere, Sarı ve Mavi bütün iller, çağrıda bulunalım mı?</t>
  </si>
  <si>
    <t>1436765769971519492</t>
  </si>
  <si>
    <t>Milletimizin iki kahraman evladı bugün şehit düştü. İdlib Gerginliği Azaltma Bölgesindeki görevlerinin akabinde uğradıkları hain saldırıda şehit olan Ramazan Demir ile Mücahit Sınırtepe kardeşlerimize Allah’tan rahmet, ailelerine başsağlığı diliyorum. Acımız büyük. https://t.co/rv47jxcNjC</t>
  </si>
  <si>
    <t>1436756479000862728</t>
  </si>
  <si>
    <t>Vaka sayımız 22.923. Can kaybımız 259. Vefat sayılarının azalması; tedbirlere herkesin birlikte - düzenli uymasına, tam doz aşı oranının hızla artmasına bağlı. Yayılımı ve sonuçlarını böyle durdurabiliriz. Her yeni gün, salgın şartlarından geri dönüşü olmayan adımlar atmalıyız. https://t.co/sE8i06jpLh</t>
  </si>
  <si>
    <t>1436739536806088708</t>
  </si>
  <si>
    <t>28 Ağustos-3 Eylül arasında vaka yoğunluğu bir önceki haftaya göre EN ÇOK ARTAN 10 İLİMİZ: Kayseri, Elazığ, Karaman, Bolu, Malatya, Kırşehir, Yozgat, Kırıkkale, Tunceli, Bartın! Bu illerden birindeyseniz şimdi daha da dikkatli olmalısınız. Nihai çözüm aşı! Kurallar çok gerekli. https://t.co/WH4muVxrJN</t>
  </si>
  <si>
    <t>1436617921682345984</t>
  </si>
  <si>
    <t>28 Ağustos-3 Eylül arasında, 100.000 kişi içinde BİR HAFTALIK TOPLAM yeni Covid-19 vaka sayısı neydi? Yaşadığınız, gidip geldiğiniz ildeki durumu haftalık İnsidans haritamızdan öğrenebilirsiniz. https://t.co/OxZ9TVzPY3</t>
  </si>
  <si>
    <t>1436616683150524419</t>
  </si>
  <si>
    <t>Öğretmenlerimizde 2 doz aşısını yaptıranların oranı %77’yi buldu. En az 1 doz aşısını yaptıranların oranı %90’ın üzerinde. Covid-19 hastalığını geçirenlerin oranıysa %4,4’lerde. Sonuç olarak, öğretmenler, şu anda %95’lere yakın aşılanma ve koruyuculuk oranına sahip. https://t.co/Ie95uULGvN</t>
  </si>
  <si>
    <t>1436433858904399914</t>
  </si>
  <si>
    <t>2 doz Sinovac aşısını olan 15 milyon kişi var. 9 milyonu 3. dozu da yaptırdı. 3. dozu yaptıran 9 milyon kişinin hastane yükü %1,5-1,6. Buna karşı, 2 doz aşısını olup, hatırlatma dozunu yaptırmayan 6 milyon kişinin hastane yükü 6-7 kat fazla. 2 doz etkili, 3. doz mutlaka gerekli! https://t.co/1WgGzYseI6</t>
  </si>
  <si>
    <t>1436431722678263819</t>
  </si>
  <si>
    <t>Artık aşı var, yeni dönemde okulları kapatmayı asla istemiyoruz. Olsa olsa bu, vaka sebebiyle, sınıf bazında geçerli olabilir. Mümkün mertebe bu bile olsun istemiyoruz. Eğitimin hiç aksamadan sürdürülmesi için de vatandaşlarımızla birlikte aşı oranını yükseltmeye çalışacağız. https://t.co/9ZiISUETmX</t>
  </si>
  <si>
    <t>1436429216145346563</t>
  </si>
  <si>
    <t>Bu toplum, çocuklarına 13 farklı aşıyı %98 oranında yaptırıyor. Toplumun aşıda bir sorunu yok. Şu an doz sayısı olarak dünyada 8. sıradayız. Avrupa ülkelerinden sadece Almanya bizim önümüzde. Nüfusa oranla yapılan günlük aşı dozu miktarıylaysa genelde dünyada 3. veya dördüncüyüz! https://t.co/zBEICQgutw</t>
  </si>
  <si>
    <t>1436427515912986677</t>
  </si>
  <si>
    <t>İstiklal Madalyası sahibi şehrimiz MARAŞ’TAYIZ. Maraş, aynı zamanda Yüce Meclis tarafından verilen Kahramanlık unvanına sahip. Kahraman olan Maraşlılara sevgi ve saygılarımla bir sürpriz: Şehrimize 1925’te verilen İstiklal Madalyası belgesini görmüş müydük? https://t.co/lmaFocpjCq</t>
  </si>
  <si>
    <t>1436424318469251072</t>
  </si>
  <si>
    <t>ERZURUM, bugün %75’in üzerine çıkan ilk doz aşı oranıyla Mavi illerimiz arasında! Şimdi sıra ikinci doz aşı oranını artırmakta. Öte yandan, halen Turuncu ve Sarı olan illerimiz var. Her yanı Mavi bir Türkiye Risk Haritası için gerekeni yapalım. Yeni örneğimiz Erzurum olsun!</t>
  </si>
  <si>
    <t>1436396672259592218</t>
  </si>
  <si>
    <t>YOZGAT, bugün %75’in üzerine çıkan ilk doz aşı oranıyla Mavi illerimiz arasında! Şimdi sıra ikinci doz aşı oranını artırmakta. Öte yandan, halen Turuncu ve Sarı olan illerimiz var. Her yanı Mavi bir Türkiye Risk Haritası için gerekeni yapalım. Yeni örneğimiz Yozgat olsun!</t>
  </si>
  <si>
    <t>1436394944772591616</t>
  </si>
  <si>
    <t>Vaka sayımız 23.562. Dün 257 olan can kaybımız bugün 214. Vakaların seyrinde bariz düşüş yok. Can kaybı sayısındaki azalma şu an için umut verici. Ama bu, yarın tersi de muhtemel bir durum. Salgın ortamında, aşıyla geri dönüşü olmayan adımlar atmalıyız. Tedbirler yol arkadaşımız. https://t.co/AGyBZpFgaw</t>
  </si>
  <si>
    <t>1436379478188609562</t>
  </si>
  <si>
    <t>OKULLARDA PCR TESTİ? Belirtisiz vaka yaygınlığını anlayabilmek için sınırlı sayıda okulda yapılacak. Velilerimiz önceden bilgilendirilip onayları istenecek. PCR taraması, sağlıklı eğitim ortamının devamına ve olası hazırlığa yönelik. Çocuklarla, en deneyimli arkadaşlar buluşacak.</t>
  </si>
  <si>
    <t>1436363036592324616</t>
  </si>
  <si>
    <t>Sayın Cumhurbaşkanımızın teşrifleriyle, Kahramanmaraş Toplu Açılış Töreni’ni gerçekleştirdik. Biz bir ve beraber oldukça yarın bugünden daha güzel, daha güvenli ve daha müreffeh olacak. https://t.co/puehEw6fVm</t>
  </si>
  <si>
    <t>1436350442607464449</t>
  </si>
  <si>
    <t>RT @RTErdogan: Kahramanmaraş Toplu Açılış Töreni https://t.co/pE6vbqzYaU</t>
  </si>
  <si>
    <t>1436327130103754754</t>
  </si>
  <si>
    <t>Sizlere bir haberim var. Yerli aşımız Turkovac, acil kullanım onayına müracaat edebilecek aşamaya geldi. Bir tesiste üretimine başladığımız Turkovac aşımız bugün ikinci bir tesiste daha seri üretilecek alt yapıya ulaştı. Onay alması halinde Ekim ayı içinde seri üretime geçeceğiz. https://t.co/bvOKuWBQ0G</t>
  </si>
  <si>
    <t>1436058752793387013</t>
  </si>
  <si>
    <t>Covid-19’a karşı Toplum Bağışıklığı için gelin aramızda aşıda birlik ve beraberlik bağı kuralım. Aşı, risklere karşı güven, yarınlar için özgürlük duygusudur. Aşı olan, riski herkes için azaltır. Sizleri, her birimizi kuşatan aşıda birlik ve beraberliğe davet ediyorum. https://t.co/T1jGVN0zIJ</t>
  </si>
  <si>
    <t>1436056230276083723</t>
  </si>
  <si>
    <t>İnaktif aşıdan 3 ay sonra yapılan hatırlatma dozunun koruyuculuğu çok önemli ölçüde artırdığını biliyoruz. 3 doz aşı olmuş vatandaşlarımızın vaka sayıları içindeki oranı %2’den daha azdır. Bugün itibariyle “hatırlatma dozu” zamanı gelen yaklaşık 6 milyon insanımız var. https://t.co/yKxobb8Oki</t>
  </si>
  <si>
    <t>1436053815921418259</t>
  </si>
  <si>
    <t>RT @RTErdogan: Bugün, hamdolsun, 100 milyon doz aşı sayısına ulaştık. Yerli aşımız TURKOVAC’ın da yaygın kullanımıyla birlikte inşallah bu…</t>
  </si>
  <si>
    <t>1436052908706041858</t>
  </si>
  <si>
    <t>Bugünkü başarımız bizi büyük bir sonuca, toplum bağışıklığına hazırlıyor. Toplum bağışıklığı aşı dozlarının tam olmasıyla sağlanabilir. İkinci doz aşısını henüz yaptırmayan 11,3 Milyon kişi var. Oysa tek doz aşı koruyucu değil. İlk dozla biz aşı sürecimizi başlatmış oluyoruz. https://t.co/EtRHyLjTCB</t>
  </si>
  <si>
    <t>1436050499392974848</t>
  </si>
  <si>
    <t>AĞRI, bugün %75’in üzerine çıkan ilk doz aşı oranıyla Mavi illerimiz arasında! Turuncu ve Sarı risk grubunda sadece 14 ilimiz kaldı. Covid-19’a karşı, tüm illeriyle Mavi bir Türkiye Risk Haritası için yapılması gerekeni yapalım. Yeni örneğimiz Ağrı olsun!</t>
  </si>
  <si>
    <t>1436045603524448258</t>
  </si>
  <si>
    <t>100 Milyon Doz, ortak başarının adıdır. 100 Milyon doz aşıda, kararıyla, emeğiyle katkısı olan herkesi kutluyorum. Yeri geldiğinde yaylalara çıkan sağlık çalışanı arkadaşlarıma şükranlarımızı sunuyorum. Geldiğimiz nokta, çok yüksek bir aşılanma hızının mümkün olduğunu gösteriyor. https://t.co/HTwu69cdyM</t>
  </si>
  <si>
    <t>1436041662044717056</t>
  </si>
  <si>
    <t>Bugün,
18 aydır devam eden mücadelemizde kutlanmaya değer bir gün!
100 Milyon doz, 84 Milyona hayırlı olsun! https://t.co/2LlWmQfqio</t>
  </si>
  <si>
    <t>1436030461789315073</t>
  </si>
  <si>
    <t>Vaka sayımız 23.846. Dünle bugün arasında lehimize 68 fark var. Dün 262 olan can kaybımız, bugün 257. Acı haberin sayısı azaldı. Bu farklarda, sayılarla ifade edilemeyecek sonuçlar var. Hayat var. Bugün 100 milyon doz aşıya ulaştık. Birlikte bu tabloyu tümden değiştirebiliriz. https://t.co/n3osKV1nUw</t>
  </si>
  <si>
    <t>1436024211076751361</t>
  </si>
  <si>
    <t>Salgınla mücadele sürecimizde simge bir gün! Aşıda toplam 100 Milyon Doza ulaştık. Toplumun ortak başarısını, önümüzdeki haftaların başarı planını içeren bir gündemle huzurlarınızdayım. Merak ettiğiniz pek çok konu başlıklarımız arasında. https://t.co/tqZ5TlYbMK</t>
  </si>
  <si>
    <t>1435985792925642754</t>
  </si>
  <si>
    <t>Salgınla mücadele sürecimiz açısından simge bir gün! 18:00’DA, rutin seyrin dışında bir konuşmayla huzurlarınızda olacağım. Gündeminizdeki konular, başlıklarımız arasında. 18:00’da buluşmak üzere.</t>
  </si>
  <si>
    <t>1435887384978149382</t>
  </si>
  <si>
    <t>IĞDIR, %75’in üzerine çıkan ilk doz aşı oranıyla Covid-19’a karşı Mavi risk grubundaki iller arasında! Iğdır, ikinci doz aşı hızında diğer illere örnek olmalı. Şimdiden tebrikler!</t>
  </si>
  <si>
    <t>1435681403300204557</t>
  </si>
  <si>
    <t>AKSARAY, %75’in üzerine çıkan ilk doz aşı oranıyla Covid-19’a karşı Mavi risk grubundaki iller arasında! Aksaray, ikinci doz aşı hızında diğer illere örnek olmalı. Şimdiden tebrikler!</t>
  </si>
  <si>
    <t>1435679641931554819</t>
  </si>
  <si>
    <t>Vaka sayımız 23.914. Can kaybımız 262. Tablodaki ciddi seyri kontrol altına almak ve can kayıplarını azaltmak için elimizdeki imkân tedbirler ve aşıdır. Tam doz aşılarımızı olup toplum bağışıklığını sağlayalım. Maske, mesafe, temizlik kuralı şu an vazgeçilmezimiz. https://t.co/FLju1E7j3J</t>
  </si>
  <si>
    <t>1435668988411973636</t>
  </si>
  <si>
    <t>Bugün Bilim Kurulumuz, yüz yüze eğitim, salgının seyri ve aşı programımızın devamlılığı gündemi ile bir araya geldi. Bilim Kurulu Toplantısı sonrası basın açıklamamız: https://t.co/g8fvV04FlR</t>
  </si>
  <si>
    <t>1435665052326105094</t>
  </si>
  <si>
    <t>MARDİN risk haritasındaki rengini Turuncudan Sarıya çevirdi. Covid-19’a karşı aşılanma oranı %65’in üzerinde. Sarıdaki gün sayısı ne kadar azsa o kadar iyi. Mardin’i Mavi iller arasında görmek istiyoruz.</t>
  </si>
  <si>
    <t>1435306452906827781</t>
  </si>
  <si>
    <t>NİĞDE, risk haritamızda artık Mavi. İlk doz aşı oranını %75’in üzerine çıkardı. Kararlılığın şehri Niğde’yi kutluyoruz. Niğde, ikinci doz aşı hızında diğer illere örnek olmalı. Şimdiden tebrikler!</t>
  </si>
  <si>
    <t>1435304921130209289</t>
  </si>
  <si>
    <t>Doğu Anadolu’da MAVİ illerin sayısı artmaya başladı. VAN’DA ilk doz aşı oranı %75’in üzerinde. Van’ı kutluyor, örnek alıyoruz. Van, Covid-19’a karşı ikinci doz aşı oranıyla da örnek olmalı!</t>
  </si>
  <si>
    <t>1435303639732609025</t>
  </si>
  <si>
    <t>Bugün, DMD Kas Hastalığı Farkındalık Günü. Genellikle erkek çocuklarda rastlanan bu hastalıkta zamanla tüm kas gruplarında ilerleyici hasar ortaya çıkıyor. Hastalara düzenli poliklinik hizmeti veriyoruz. Yakınlarıyla sürekli irtibat halindeyiz. Sağlık, yaygın farkındalık ister.</t>
  </si>
  <si>
    <t>1435300347346669568</t>
  </si>
  <si>
    <t>Vaka sayımız 23.638. Covid-19 sebebiyle yeni can kaybımız 274. Vaka sayılarını istikrarlı şekilde düşürmeli ve ölümleri azaltmalıyız. Bunun yolu aşılanma oranını artırmak, toplum bağışıklığı sağlanana kadar tedbirlere uymaktır. İstediğimiz sonuç tedbirle aşıya, yani bize bağlı! https://t.co/y34ippfRxP</t>
  </si>
  <si>
    <t>1435283799647084551</t>
  </si>
  <si>
    <t>KARS, ilk doz aşı oranında %75’i geçerek Orta Risk Seviyesini Düşük Risk Seviyesine indirdi. 4 Turuncu, 15 sarı ilimizin önünde yeni bir örnek var! MAVİ Kars’ı kutluyoruz.</t>
  </si>
  <si>
    <t>1434982792543223816</t>
  </si>
  <si>
    <t>“Aramızdaki tek Turuncu da Sarı oldu!” Doğu Anadolu, ilk doz aşı oranını %65’in üzerine çıkaran MUŞ’U kutluyor. Ve Türkiye’nin dört bir yanı!</t>
  </si>
  <si>
    <t>1434980471058862085</t>
  </si>
  <si>
    <t>Risk haritasında en büyük değişikliklerden birini KONYA yaptı. Nüfusu en kalabalık yedinci şehrimiz artık Mavi. Bu Mavi, Türkiye’de risk düzeyini düşürecek! Kutluyoruz, Konya.</t>
  </si>
  <si>
    <t>1434977146515116035</t>
  </si>
  <si>
    <t>Vaka sayımız 20.962. Covid-19 sebebiyle yeni can kaybımız 271. Okullar açıldı. Büyük şehirlere dönüş başladı. Sosyal hareketlilikle risk artacak. Maske ve mesafe kuralı daha da önemli. Nihai çözüm aşı! Aşılarımızı tamamladığımız zaman Covid-19’a karşı özgürlüğümüze kavuşacağız. https://t.co/cAaQBCwf32</t>
  </si>
  <si>
    <t>1434940395079745548</t>
  </si>
  <si>
    <t>RT @RTErdogan: Kabine Toplantısı Sonrası Millete Sesleniş https://t.co/iBdKCERRtx</t>
  </si>
  <si>
    <t>1434918402095779846</t>
  </si>
  <si>
    <t>Sakarya, Mavi il sayımızı 60’a çıkardı! https://t.co/y5zBv5rI76</t>
  </si>
  <si>
    <t>1434607880498524160</t>
  </si>
  <si>
    <t>G20 Sağlık Bakanları Toplantısına çevrimiçi katılarak, Salgının Küresel Sağlık ve Sürdürülebilir Kalkınma Hedeflerine Etkilerinin Değerlendirilmesi başlıklı oturumda bir konuşma yaptık. G20 Sağlık Bakanları Toplantısı İtalya’nın dönem başkanlığında gerçekleşiyor. https://t.co/4jaeLFoQ5M</t>
  </si>
  <si>
    <t>1434566453936771073</t>
  </si>
  <si>
    <t>Yeni vaka sayımız 19.391. Covid-19 sebebiyle bugünkü can kaybımız 269. Okullar yarın açılıyor. Yedi yaşındaki çocuklarımız sınıflarında maskeli olacak. Hepimize büyük sorumluluk düşüyor. Nihai çözüm, aşı! Aşılarımızı hemen yaptıralım. Tedbirlerde ÇOCUKLARIMIZ KADAR HASSAS olalım. https://t.co/p3AhebYF5G</t>
  </si>
  <si>
    <t>1434562787955642370</t>
  </si>
  <si>
    <t>21-27 Ağustos arasında vaka yoğunluğu bir önceki haftaya göre EN ÇOK ARTAN 10 İLİMİZ: Rize, Bayburt, Nevşehir, Kayseri, Kilis, Trabzon, Aksaray, Gaziantep, Bolu, Tokat. Bu illerden birindeyseniz şu günlerde daha da dikkatli olmalısınız. Nihai çözüm aşı! Kurallar çok gerekli. https://t.co/xSg0z5HxKs</t>
  </si>
  <si>
    <t>1434548464961077252</t>
  </si>
  <si>
    <t>21-27 Ağustos arasında, 100.000 kişi içinde BİR HAFTALIK TOPLAM yeni Covid-19 vaka sayısı neydi? Yaşadığınız, gidip geldiğiniz ildeki durumu haftalık İnsidans haritamızdan öğrenebilirsiniz. https://t.co/g9UkXZYRR8</t>
  </si>
  <si>
    <t>1434547565958156293</t>
  </si>
  <si>
    <t>KAHRAMANMARAŞ, %75’in üzerine çıkan ilk doz aşı oranıyla beklenen haberi verdi. Direniş ve zafer şehrinin Risk Haritasında rengi MAVİ! Maraş’tan yeni beklentilerimiz var. Okullar Pazartesi açılıyor. Şimdi devam doz oranlarını da aynı şekilde yükseltme zamanı. Bugünden tebrikler! https://t.co/RpTjIJmzbQ</t>
  </si>
  <si>
    <t>1434222150257455108</t>
  </si>
  <si>
    <t>ÜÇ-SIFIR!
Türkiye A Milli Kadın Voleybol Takımı, Hollanda’yı 3-0 yenerek Avrupa üçüncüsü oldu. Türk kadınını ve Türkiye’yi temsil eden Filenin Sultanlarını kutluyoruz. Her sayı için ayrı bir alkış! https://t.co/hPzWmVyxNl</t>
  </si>
  <si>
    <t>1434210702336610309</t>
  </si>
  <si>
    <t>Yeni vaka sayımız 20.033. Covid-19 sebebiyle bugünkü can kaybımız 278. İlk ve orta öğretimde okullar 6 Eylülde, devamında üniversiteler açılıyor. Örgün eğitimde 24 Milyondan fazla öğrencimiz var. Kesintisiz, yüz yüze eğitimde kararlıyız. Aşıda ve tedbirde aynı kararlılık olmalı! https://t.co/4JOuPmMKgP</t>
  </si>
  <si>
    <t>1434199553578872842</t>
  </si>
  <si>
    <t>“Hey gidi deli gönlüm,
Ya İSTİKLAL ya ölüm!”
102 yıl önce toplanan Sivas Kongresi’nde Türkiye böyle dedi. Kongre, işgal altında olan ülkemize tam bağımsızlık yolunu açtı. Kararlarıyla yeni devletimize temel oldu. Mustafa Kemal Atatürk’ü, kongrenin tüm üyelerini rahmetle anıyoruz. https://t.co/TQTmtzgD88</t>
  </si>
  <si>
    <t>1434178166097170439</t>
  </si>
  <si>
    <t>Üniversite kayıtları bugün başladı. Birçok gencimiz, okumayı arzu ettikleri şehir yerine, Covid-19 riskinin daha az olduğu yerlerde okumaya hazırlanıyor. Kronik hastalıkları var. İhmallerimizin sonuçları bildiğimizden fazla! Aşı ve tedbirle hayatı herkes için kolaylaştıralım. https://t.co/hg5UuMt4ch</t>
  </si>
  <si>
    <t>1434147170186313733</t>
  </si>
  <si>
    <t>BİTLİS, BATMAN VE BİNGÖL, %65’in üzerine çıkan ilk doz aşı oranlarıyla Covid-19 Risk Haritasında artık SARI. Bu üç ilimiz ilk dozda daha da yüksek oranlara çıkmalı. Okullar 6 Eylül’de açılıyor. Hayatı kolaylaştırmalıyız. Bitlisli, Batmanlı, Bingöllü dostlar! Yeni haber ne zaman?</t>
  </si>
  <si>
    <t>1433902055366832137</t>
  </si>
  <si>
    <t>ERZİNCAN, %75’in üzerine çıkan ilk doz aşı oranıyla beklenen haberi verdi. Risk Haritasında rengi MAVİ! Başarılarıyla tarih kuran bu şehirden yeni beklentilerimiz var. Okullar 6 Eylül’de açılıyor. Şimdi devam doz oranlarını da aynı şekilde yükseltme zamanı. Bugünden tebrikler! https://t.co/wN5hRquPqd</t>
  </si>
  <si>
    <t>1433896817218002950</t>
  </si>
  <si>
    <t>ÇANKIRI, %75’in üzerine çıkan ilk doz aşı oranıyla beklenen haberi verdi. Risk Haritasında rengi MAVİ! Her mücadelesinden galip çıkan bu tarihi şehirden yeni beklentilerimiz var. Okullar 6 Eylül’de açılıyor. Şimdi devam doz oranlarını da yükseltme zamanı. Bugünden tebrikler! https://t.co/UonEzrCk2j</t>
  </si>
  <si>
    <t>1433893343679897604</t>
  </si>
  <si>
    <t>DÜZCE, ilk doz aşı oranında beklenen haberi verdi. Karadeniz sahilinde artık tüm illerimiz MAVİ. Şelaleler şehrinden yeni beklentilerimiz var. Okullar 6 Eylül’de açılıyor. Şimdi ikinci, üçüncü doz aşı oranlarını da aynı şekilde yükseltme zamanı. Bugünden tebrikler! https://t.co/JA7pna6dL5</t>
  </si>
  <si>
    <t>1433891582135177253</t>
  </si>
  <si>
    <t>Filenin Sultanları,
size şampiyonluk bile azdı. Yarın üçüncülük avucunuzda! Şimdiden kutluyoruz. https://t.co/ZkZIjR351Q</t>
  </si>
  <si>
    <t>1433868955895140355</t>
  </si>
  <si>
    <t>PAZARTESİ okullar açılıyor. Yüz yüze ve kesintisiz sürecek bir eğitim yılı için kararlıyız. Şimdi bizlerle birlikte çocuklarımızın, gençlerimizin de gözü bu tabloda: 22.867 yeni vaka, 276 can kaybı! Henüz aşı olmamışsanız, dışarıda maskesizseniz haklı bazı soruları var. https://t.co/XrQxEryibr</t>
  </si>
  <si>
    <t>1433829558248222720</t>
  </si>
  <si>
    <t>Çocuklarımız ve gençlerimiz Pazartesi okullarına kavuşuyor. Güvenilir şartlarda eğitim için dayanışma içinde olmalıyız. Öğretmenlerimizin motivasyonu hepimizden yüksek. Kendi sağlıkları kadar öğrencilerine sevgileri de söz konusu. Bütün topluma büyük sorumluluk düşüyor!</t>
  </si>
  <si>
    <t>1433796402707054602</t>
  </si>
  <si>
    <t>Dünkü Bilim Kurulu toplantısını Milli Eğitim Bakanımızın, YÖK Başkanımızın, Gençlik ve Spor Bakan Yardımcımızın katılımıyla yaptık. Yüz yüze eğitimin kesintisiz devamı için aldığımız tedbirleri değerlendirdik. Tedbirler, salgına karşı, OKULLARDA GÜVEN ORTAMI oluşturacak.</t>
  </si>
  <si>
    <t>1433794592198086705</t>
  </si>
  <si>
    <t>Velilerimiz tedirgin olmasınlar. Ama velilerimiz, üzerine düşen sorumluluğu yapma noktasında en az öğretmenlerimiz kadar sorumluluğu taşıyor olmalılar. https://t.co/dYRTKP6j9I</t>
  </si>
  <si>
    <t>1433756627765768195</t>
  </si>
  <si>
    <t>Biz bu salgını gündemimizden çıkarmak istiyoruz. Bu salgın, artık ülkenin önünde engel olan bir durumdan çıkıyor olmalı. Bu da hepimizin, 84 milyonun bir ve beraber hareket etmesiyle mümkün. Ve aşının etkili olduğunu biliyoruz, sonuçları önümüzde çok net görüyoruz. https://t.co/VciiyBMfiy</t>
  </si>
  <si>
    <t>1433753299623288839</t>
  </si>
  <si>
    <t>Bizim vatandaşımız yüzde 98 oranında kendi çocuğuna hem de yenidoğan döneminde hem de doğduktan bir iki gün sonra başlamak üzere hem de 13 farklı aşıyı yaptırabilmiş bir toplum. Niye aşıyı kendimize yaptırmayalım? Sonuçlarını biliyoruz. https://t.co/ns1G7pnGQM</t>
  </si>
  <si>
    <t>1433748005979578374</t>
  </si>
  <si>
    <t>Bilim Kurulu, özellikle yeni dönemde, hiçbir şekilde okulların kapanmasını gündemine almak istemiyor. Ve yeni dönemde salgın okulların kapanma sebebi olmayacak. Çünkü elimizde artık aşı var. https://t.co/LwczstJGxs</t>
  </si>
  <si>
    <t>1433744992808407040</t>
  </si>
  <si>
    <t>Hep birlikte çaba gösterirsek, zil sesinden sonra alarm sesi gelir diyenleri haksız çıkarırız. Çıkarmalıyız. İnanıyorum ki çıkaracağız. https://t.co/wxzVJF4DDo</t>
  </si>
  <si>
    <t>1433534072505122818</t>
  </si>
  <si>
    <t>Bugün itibariyle, aktif vakalarımızın %81’i tam aşılı olmayan kişilerdir. Hastaneye yatan vatandaşlarımızın yaklaşık %90’ı da tam aşılı olmayan kişilerdir. Vefat eden vatandaşlarımızın %90’ı ya hiç aşı olmamış veya aşıları eksik kişilerdir. https://t.co/WIwlHVfJl1</t>
  </si>
  <si>
    <t>1433531600021688320</t>
  </si>
  <si>
    <t>Bugün 18 yaş ve üzeri nüfusumuzun %78’inden fazlası tek doz, %60’ından fazlası da 2 doz aşı ile aşılanmış durumda. Sizlere aşı programımız başlarken tünelin ucundaki ışık göründü demiştim. Bugün tünelin çıkışı görünüyor diyebilirim. https://t.co/Qpk8DiFvwP</t>
  </si>
  <si>
    <t>1433526163519967233</t>
  </si>
  <si>
    <t>SİVAS VE MALATYA, 18 yaş ve üstü nüfusta %75’in üzerine çıkan ilk doz aşı oranlarıyla, Covid-19 Risk Haritasında artık Mavi. İkinci doz aşıyı yaptırma oranı Sivas’ta %61.8, Malatya’da %57.2. İlk doz oranı hızla %100’e yaklaşırken 2. dozda da yüksek başarı bekliyoruz. TEBRİKLER!</t>
  </si>
  <si>
    <t>1433524698940420096</t>
  </si>
  <si>
    <t>VAKA TABLOLARI ve AŞI: %78’imiz tek, %60’ımız 2 doz aşı olmuş durumdayız. Son 4 haftada vaka artışları özellikle aşı olmamış kişilerden kaynaklanıyor. Aktif vakaların %81’i, hastaneye yatanlarınsa yaklaşık %90’ı aşısı tam olmayan kişiler. Kayıpların sadece %10’a yakını tam aşılı. https://t.co/ezaXjIsgjj</t>
  </si>
  <si>
    <t>1433503574160547850</t>
  </si>
  <si>
    <t>Bilim Kurulu Toplantımızın ardından Koronavirüs ile ilgili son gelişmelere ilişkin basın açıklamamız.
https://t.co/iQhb6kqeMB</t>
  </si>
  <si>
    <t>1433482369160318991</t>
  </si>
  <si>
    <t>18 yaş ve üstü nüfusumuzun %78,5’i birinci doz aşısını yaptırdı. Birinci, ikinci ve üçüncü doz toplamında 95 MİLYONU geçtik. Yakında 100 Milyon doz bilgisini paylaşacağız.</t>
  </si>
  <si>
    <t>1433414053242839048</t>
  </si>
  <si>
    <t>Bize ne oldu?
Maske, mesafe konusunda birbirimize örnektik!</t>
  </si>
  <si>
    <t>1433324155806552065</t>
  </si>
  <si>
    <t>“Şen ol Bayburt!” Covid-19’a karşı risk düzeyin biraz daha azaldı. %65’in üzerine çıkan ilk doz aşı oranını %75’in üstüne çıkarmanı, haritadaki risk rengini Sarıdan Maviye çevirmeni bekliyoruz. https://t.co/HZMhSsYP4k</t>
  </si>
  <si>
    <t>1433177164933963780</t>
  </si>
  <si>
    <t>Merhaba Gaziantep,
Şimdi Kalemiz gibi bir MAVİMİZ var. Covid-19’a karşı ilk doz aşı oranımız %75’in üzeninde. Devam dozlarıyla riski olması gerektiği gibi azaltalım.</t>
  </si>
  <si>
    <t>1433172582103228424</t>
  </si>
  <si>
    <t>Aşı sürecini aksatmış öğretmenler, okul çalışanları; konser, sinema gibi toplu ortamlarda bulunacaklar ve şehirlerarası seyahate çıkacaklar için 6 Eylül itibariyle PCR testi gerekli. Test Covid-19 sağlık durumu takibi anlamı taşıyor. PCR’dan iyi sonuç alalım. Aşılarımızı olalım.</t>
  </si>
  <si>
    <t>1433143456160010240</t>
  </si>
  <si>
    <t>TABLODA DURUM TIPKI BUGÜNKÜ GİBİ devam ederse, 2 haftada en az 335.000 yeni vakamız, 4.000 yeni can kaybımız olur. Günlük hayatta salgın gerçeğini göz ardı etmekle, ilk doz aşıyı ertelemekle, devam dozlarını ihmal etmekle toplum olarak ağır bedel ödüyoruz. https://t.co/RVlhe7786O https://t.co/hCtTMnzGEA</t>
  </si>
  <si>
    <t>1433113031165218819</t>
  </si>
  <si>
    <t>KIRIKKALE’MİZDE ilk doz aşı oranı %75’in üzerine çıktı. İlk doz aşı oranına göre düzenlenen Covid-19 Risk Haritasında Kırıkkale’nin yeni rengi MAVİ. Risk rengini bugün değiştiren Şırnak’la birlikte, Kırıkkale’yi kutluyoruz. Bu oranlar, fazlasıyla, devam dozlarında da şart!</t>
  </si>
  <si>
    <t>1432772280099254276</t>
  </si>
  <si>
    <t>SERTAB ERENER: Ne hastanelerimiz dolsun ne de sahnelerimiz boş kalsın. Çözüm basit ve kesin. Ancak sıramız gelince aşı yaptırarak özlediğimiz normallere dönebiliriz. https://t.co/GlBL2Ba0lg</t>
  </si>
  <si>
    <t>1432768818481451011</t>
  </si>
  <si>
    <t>DEMET AKBAĞ: Uzun bir süredir tüm dünya pandemi ile savaşırken doktorlar, hemşireler, sağlık çalışanları, konunun uzmanları fedakârca çok büyük mücadeleler verdiler. Bu mücadeleye aşı olarak biz de katkıda bulanabiliriz. Aşı olmayı ihmal etmeyelim. https://t.co/d4K7kIcAZc</t>
  </si>
  <si>
    <t>1432766229991800836</t>
  </si>
  <si>
    <t>FARZ EDİN Kİ bugün vefat eden 252 Covid-19 hastamızdan biri için şu an taziye veriyorsunuz. Testi pozitif çıkmış birini aramış, geçmiş olsun diyorsunuz. Bu tabloda yer alacak uyarı, tam o an düşünecekleriniz olsun. Yarın sağduyulu bir başlangıç yapalım. https://t.co/RVlhe7786O https://t.co/GFpeqZwncm</t>
  </si>
  <si>
    <t>1432757928226922504</t>
  </si>
  <si>
    <t>Bu haber akşamı beklemez: Şırnak işi yarına bırakmadı, şu anda Mavi!</t>
  </si>
  <si>
    <t>1432742427681607686</t>
  </si>
  <si>
    <t>YKS tercih sonuçları açıklandı. Hayırlı olsun. Net 18’imizde veya 18’in üstündeysek zamanı gelmiş ilk dozu, bekleyen ikinci veya üçüncü dozu olalım. Ortama uyum aşımızı yaptıralım.</t>
  </si>
  <si>
    <t>1432731624194592768</t>
  </si>
  <si>
    <t>GÖZLER ŞIRNAK’TA!
Şırnak, ilk doz aşı oranında bir haftada 7 ili geride bıraktı. Maviye çok yakın. Yarın hısım akraba, gelin kayınvalide, baba oğul gidip aşılarımızı olalım. Gözler, Covid-19’a karşı elde edilecek sonuçta. Bizce bu iş Çarşambaya garanti olmalı!</t>
  </si>
  <si>
    <t>1432433269035917316</t>
  </si>
  <si>
    <t>Bir hastanın iyileşmesini beklemek nasıl bir duygudur? Hele hayat arkadaşınsa! https://t.co/s3Im2YSp8k</t>
  </si>
  <si>
    <t>1432406942018904071</t>
  </si>
  <si>
    <t>01 ADN MAVİ
03 AFY MAVİ
43 KTH MAVİ
78 KRB MAVİ
Adana, Afyon, Kütahya ve Karabük, %75’in üzerine çıkan ilk doz aşı oranlarıyla Covid-19 Risk Haritasında artık düşük riskli iller arasında. Tüm Türkiye adına, bu dört ile teşekkürler. Aşıda daha yüksek hız bekliyoruz!</t>
  </si>
  <si>
    <t>1432392422303088645</t>
  </si>
  <si>
    <t>Yeni vaka sayımız 19.557 yerine 9.557 olabilirdi. Tedbirler sıkı tutulsa vefat sayılarının da hızla düşeceğini biliyoruz. Toplum bağışıklığı ise tedbir ve aşıyla kolay bir hedef! Her gün ağır sonuçları olan bu tabloyu artık değiştirelim. Başarabiliriz! https://t.co/RVlhe7786O https://t.co/hSqskMkqQP</t>
  </si>
  <si>
    <t>1432386907200278535</t>
  </si>
  <si>
    <t>Gülhane Eğitim ve Araştırma Hastanesinde tedavi altında olan UZM. ÇAVUŞ İSMAİL ŞEBELEK dün şehadete erdi. Askerimiz, sınır ötesi terör operasyonunda uğradığı hain saldırıda ağır yaralanmıştı. Kendisine Allah’tan rahmet; ailesine ve kahraman ordumuza başsağlığı diliyoruz. https://t.co/OO2l1rlZNn</t>
  </si>
  <si>
    <t>1432363593547255814</t>
  </si>
  <si>
    <t>ÖLÜMSÜZ GÜN! Bugün Kurtuluş Savaşımızın başarıya ulaşmasında yeri çok büyük olan Dumlupınar Zaferinin 99. yıl dönümü. Gazi Mustafa Kemal Atatürk’ü, hayatlarını verip bize bir ülke bırakan şehitlerimizi rahmetle anıyoruz. 30 AĞUSTOS ölümsüz gün olarak kalacak. https://t.co/mEdOStvjCd</t>
  </si>
  <si>
    <t>1432240214018338816</t>
  </si>
  <si>
    <t>Bayraktar Akıncı TİHA projesinin gerçekleşmesine katkı verenleri kutluyoruz. Hepimizin hedefi, “Hayırlı uğurlu olsun” sözünün bu millete tekrar tekrar söylenmesi. https://t.co/dqGE5zT10o</t>
  </si>
  <si>
    <t>1432101243233751042</t>
  </si>
  <si>
    <t>Covid-19 Risk Haritasında Maviye geçen yeni ilimiz yok. 255 yeni can kaybı haberine karşı iyi olmaz mıydı! Kütahya, Adana, Karabük, Afyonkarahisar, Kırıkkale ilk doz aşıda %75’in üzerine çıkmaya en yakın 5 ilimiz. Yarın yeni aşılarla, Türkiye’nin Mavi haberlere ihtiyacı var! https://t.co/jteLNPXaEZ</t>
  </si>
  <si>
    <t>1432083823177707522</t>
  </si>
  <si>
    <t>Yeni vaka sayımız 17.332. “Bu bir salgın. İster istemez hastalığa yakalanan olur.” demek hiç mümkün mü? Yeni vefat sayımız 255. Bu ölümleri önceki vakalar hazırlıyor. Toplum bağışıklığına kadar yapılacak iki şey var: Aşı olmak, tedbirlere uymak! https://t.co/RVlhe7786O https://t.co/Ck9NPqFR19</t>
  </si>
  <si>
    <t>1432022556966539265</t>
  </si>
  <si>
    <t>Sn. Nilgün Hanım,
Sorunuz önemli. Covid-19 geçirip antikor düzeyi yüksek olanlar aşı olmalı mı? Dünyada yaygın uygulamaya göre, evet! Salgında olduğu gibi, toplum ölçekli aşılamalarda rutin antikor bakılması önerilmiyor, kesin koruyuculuğu konusundaysa bilgiler henüz yetersiz. https://t.co/qXMJeZ7WYA</t>
  </si>
  <si>
    <t>1431680566865301504</t>
  </si>
  <si>
    <t>Sizin anlatacak pişmanlığınız olmasın. https://t.co/UzqqaoQGuz</t>
  </si>
  <si>
    <t>1431674734085918725</t>
  </si>
  <si>
    <t>TABLOYA KAÇ KİŞİ BAKACAK? Salgın gündemiyle yaşamaya alıştık. Salgının gerektirdiği tedbirler konusundaysa alışkanlıklar sıkı değil. Tabloya her gün bakın. İhmal edilen tedbirleri hatırlamanıza yardımcı olur. Ertelemişseniz aşıyı gündeme almanızı sağlar. https://t.co/RVlhe7786O https://t.co/XmiI9swdNZ</t>
  </si>
  <si>
    <t>1431663189897449473</t>
  </si>
  <si>
    <t>IĞDIR, risk seviyesinde Sarıya geçti. Bölgede Ardahan ve Hakkâri ise %75’in üzerindeki ilk doz aşı oranlarıyla çoktan Mavi. Iğdır; Kars’la, Ağrı’yla, Van’la, Şırnak’la ilk doz aşı hızında karar verip atak yapsa iyi olmaz mı? Çevremize örnek olsak! Komşu ülkeler dâhil!</t>
  </si>
  <si>
    <t>1431560725441417220</t>
  </si>
  <si>
    <t>NEVŞEHİR, %75’in üstündeki ilk doz aşı oranıyla Düşük Riskli İller grubunda. Haritadaki yeni rengi MAVİ. Covid-19’a karşı ilk doz oranı %100’e yaklaşıp, devam dozları da vaktinde yapılırsa caddesinden çarşı pazarına, Avanos’undan Ürgüp’üne Nevşehir eski Nevşehir olacak!</t>
  </si>
  <si>
    <t>1431559881601994755</t>
  </si>
  <si>
    <t>HATAY’DA, ilk doz aşıyı oldunuz mu diye sorsalar, her dört kişiden üçü “Elbette!” der. Türkiye’nin en kalabalık 13. şehri ilk doz aşı oranıyla artık Düşük Riskli İller arasında. Haritadaki rengi MAVİ. Tebrikler Hatay. Mavinin daha mavisi var: %100’e yakın ilk doz oran.</t>
  </si>
  <si>
    <t>1431559134051192837</t>
  </si>
  <si>
    <t>BU 10 ŞEHİRDEN BİRİNDEYSENİZ! 
Bayburt, Gümüşhane, Kayseri, Gaziantep, Kilis, Bolu, Hakkâri, Nevşehir, Sinop, Kars: 14-20 Ağustos arasında vaka sayıları bir önceki haftaya göre en çok artan 10 ilimiz! Bu şehirlerden birindeyseniz, öncesine göre daha az güvendesiniz. Çözüm belli. https://t.co/ukAuXXLxdM</t>
  </si>
  <si>
    <t>1431529378035425281</t>
  </si>
  <si>
    <t>14-20 Ağustos arasında, 100.000 kişi içinde bir haftalık toplam yeni Covid-19 vaka sayısı neydi? Yaşadığınız veya gidip geldiğiniz ildeki durumu haftalık İnsidans haritamızdan öğrenebilirsiniz. Son haritaya göre yeni vaka yoğunluğunun en yüksek olduğu il Rize. https://t.co/kD3vjCE6mI</t>
  </si>
  <si>
    <t>1431528121996558337</t>
  </si>
  <si>
    <t>SİİRT’TE, 18 yaş ve üstü ilk doz aşı olma oranı bugün %65’in üstüne çıktı. Covid-19 Risk Haritasında Siirt’in yeni rengi Sarı. Sağ ol Siirt. Ama İŞ HENÜZ BİTMEDİ!</t>
  </si>
  <si>
    <t>1431363183663583236</t>
  </si>
  <si>
    <t>KARAMAN MAVİ. Demek ki, İzmir, Hakkâri, Kırıkkale, Artvin daha Mavi! Bir ilde risk düzeyi düşünce, risk tüm Türkiye’de düşüyor. Toplum bağışıklığı dayanışma işi! Sağ ol Karaman. %75’in üzerine çıkan ilk doz aşı oranını daha da yükseltelim.</t>
  </si>
  <si>
    <t>1431351109990469638</t>
  </si>
  <si>
    <t>Hepimiz birden sevinebiliriz: İstanbul’umuz Mavi.</t>
  </si>
  <si>
    <t>1431329841811447809</t>
  </si>
  <si>
    <t>Vefat sayımız düne göre az olsa da çok yüksek. Vaka sayımız düne göre az olsa da çok yüksek. Ama şu salgından bayram kutlar gibi çıkmak da var. Hep birlikte tedbirlere uyup, aşılarımızı olmaya bağlı! https://t.co/RVlhe7786O https://t.co/6jnsaFkPbl</t>
  </si>
  <si>
    <t>1431297954170671105</t>
  </si>
  <si>
    <t>ÖĞRETMENLER arasında birinci doz aşı oranı %84,06. Tüm toplumda birinci doz aşı oranı %76,12. İkinci doz aşı oranı öğretmenler arasında %72,57. Tüm toplumda bu oran %58,23. Okullar açılıyor. Henüz aşı olmamış öğretmenler de yakında bizlere örnek olacaklar. Her zaman olmadılar mı? https://t.co/Ubr3IIhnwm</t>
  </si>
  <si>
    <t>1431160558733172742</t>
  </si>
  <si>
    <t>SON DAKİKA MESAJI: Türkiye Covid-19 Risk Haritasında Kırmızı il kalmadı. İşi başlatmak kadar bitirmek de çok güzel. 80 ilden sana selamlar, sevgiler Şanlıurfa!</t>
  </si>
  <si>
    <t>1430988472291037194</t>
  </si>
  <si>
    <t>KAYSERİ risk haritasında artık Mavi. İlk doz aşı oranı %75’in üzerinde. Çevre illerin tamamı Sarı. İç Anadolu’da düşük risk hareketi İç Anadolu’nun kalbinden başladı!</t>
  </si>
  <si>
    <t>1430984838077681664</t>
  </si>
  <si>
    <t>AĞRI risk rengini Sarıya çevirdi. Tebrikler Ağrı! Aslında değil Sarı, değil Mavi, Türkiye’nin en yüksek aşılanma oranı en çok Ağrı’ya yakışmaz mı?</t>
  </si>
  <si>
    <t>1430976695356600329</t>
  </si>
  <si>
    <t>Trafik kazalarında bugün 257 kişinin öldüğü haberini okusaydınız ne hissederdiniz? Covid-19’a bağlı ölüm sayısı bugün 257. Tedbirden uzaklaştık, aşıyı ihmal ettik, sonuçlara alışmaya mı başladık?</t>
  </si>
  <si>
    <t>1430962437457682444</t>
  </si>
  <si>
    <t>TEK AŞI YETMEZ. İLLE İKİ OLACAK. TEK AŞI YETMEZ. İLLE İKİ OLACAK. TEK AŞIYI OLAN İKİNCİYİ DE OLSUN. İKİNCİ DOZU OLUN: Ali Aydoğdu. 80 yaşında. Covid-19 tedavisinin 4. günü. İkinci doz için uyarıyor. https://t.co/ohCpVEO9oD</t>
  </si>
  <si>
    <t>1430957161367183361</t>
  </si>
  <si>
    <t>Dün 217 olan vefat sayısı bugün 257. Vaka sayısı 20.000 sınırında. Elimizden gelen her şeyi yapmayacak mıyız? İlk doz aşısını erteleyen omuz versin. İkinci dozu ihmal eden randevu alsın. Dışarı çıkan kurallara uysun. Bu tablo burada çok uzun kaldı. https://t.co/RVlhe7786O https://t.co/6gCx9gySC9</t>
  </si>
  <si>
    <t>1430925244932497413</t>
  </si>
  <si>
    <t>Bilim Kuruluyla her hafta Covid-19 toplantısı yapıyoruz. Maske, mesafe artık önemsiz sözünü hiç duymadım. Ama sanki öyleymiş gibi yapanlar var. Kurallara uyalım.</t>
  </si>
  <si>
    <t>1430914919717916678</t>
  </si>
  <si>
    <t>Aşı olmakla olmamak arasında, bazı vakalarda yoğun bakım farkı var.</t>
  </si>
  <si>
    <t>1430911060471554050</t>
  </si>
  <si>
    <t>Şimdi size aşı olma diyenler, daha sonra geçmiş olsun diyebilir.</t>
  </si>
  <si>
    <t>1430899413627535361</t>
  </si>
  <si>
    <t>Bunca vaka, bunca ölüm varken birinci doz aşısını olan hiç ikincisini ihmal eder mi?</t>
  </si>
  <si>
    <t>1430866581589041157</t>
  </si>
  <si>
    <t>RT @RTErdogan: Malazgirt Zaferi'nin 950. Yıl Dönümü https://t.co/wK8Oi7tVaB</t>
  </si>
  <si>
    <t>1430813877332283392</t>
  </si>
  <si>
    <t>BUGÜN URFA’DAKİ SEVDİKLERİMİZİ arayıp hal hatır soralım. İlk doz aşı konusunu açalım. Şanlıurfa, halen Kırmızı olan tek ilimiz. Aşı oranı düşük, risk seviyesi Çok Yüksek. Yakınlar böyle yerinde uyarılar için de var. Güzel hassasiyetiniz için şimdiden teşekkür ederim.</t>
  </si>
  <si>
    <t>1430784123677859842</t>
  </si>
  <si>
    <t>İKİ ARKADAŞIMIZ Covid-19’a yenildi. Operatör Dr. İlhami Atılgan 55, Patolog Dr. Murat Tad 49 yaşındaydı. Kayıtlarımızdan maalesef, iki değerli hekimin aşı olmadığını öğrendik. Meslektaşlarımıza Allah’tan rahmet, ailelerine başsağlığı diliyoruz. Benzer acılar artık yaşanmasın.</t>
  </si>
  <si>
    <t>1430621670323195912</t>
  </si>
  <si>
    <t>ELAZIĞ orta riskli iller arasında. Sarı. İlk doz aşı olma oranı artık %65’in üzerinde. Elazığ’ın riski daha da düşürme heyecanı üzümü gibi tatlı.</t>
  </si>
  <si>
    <t>1430619510453776387</t>
  </si>
  <si>
    <t>-Tokat?
+Maviii!
-Kocaeli?
+Maviii!
Türkiye sevinçli. İki ilimiz daha %75’in üzerindeki ilk doz aşı oranıyla düşük riskli.</t>
  </si>
  <si>
    <t>1430607992743997451</t>
  </si>
  <si>
    <t>Kim olduğu şüpheli iki kişi, ailemden kimsenin hatta benim aşı olmadığımı söylemiş. Nerede? Sosyal medyada! Türkiye’de ilk aşıyı ben oldum. Ailemin her ferdi de aşısını yaptırdı. İsim yakıştırma, hesap sahte bile olsa bu iddia insana yakışır mı?</t>
  </si>
  <si>
    <t>1430578484397608961</t>
  </si>
  <si>
    <t>GÖRÜNEN VE GÖRÜNMEYEN TABLO: Bir ayda yaklaşık 5 milyon test yapıldı. Çok büyük bir sayı! Bugün 217 can kaybımızın sebebi önleyemediğimiz bulaşmalar. Salgını başımızdan savdık anlayışı. Ertelenen aşı. Bunların bedelini eğer biz ödemiyorsak, ödeyenler var! https://t.co/RVlhe7786O https://t.co/QM0FuXllfQ</t>
  </si>
  <si>
    <t>1430565811580809220</t>
  </si>
  <si>
    <t>BİZLERE 950 yıldır kutlanan bir zafer bıraktınız! Bir vatan hazırladınız. 1453’teki rüya gibi fethin yolunu açtınız. Bugün evlatlarınız otağ kurduğunuz yerde. Malazgirt Zaferi 950. Yıl Şenlikleri, coşkusuyla tüm ülkede. Ruhunuz şad olsun 1071 ÖNCÜLERİ! https://t.co/ihSzLCKQn0</t>
  </si>
  <si>
    <t>1430525950769381378</t>
  </si>
  <si>
    <t>RT @RTErdogan: Ahlat'tayız. https://t.co/3B4ANM2PFZ</t>
  </si>
  <si>
    <t>1430511302426963968</t>
  </si>
  <si>
    <t>İhmal ettiğimiz ilk doz aşıyı şimdi yaptıralım. Hastalığa, can kaybına karşı! DEĞMEZ Mİ?</t>
  </si>
  <si>
    <t>1430479657053401092</t>
  </si>
  <si>
    <t>Günaydın Şanlıurfa.
Bugün ilk doza karar verip, çok yüksek olan risk seviyemizi düşürelim. Haritada kırmızı tek iliz. Bu yalnızlık bile iyi değil!</t>
  </si>
  <si>
    <t>1430423782880124928</t>
  </si>
  <si>
    <t>4 İYİ HABER! Bursa ve Trabzon’dan söz ettik. Diğer 2 haberimiz de önemli: Mardin çok yüksek risk seviyesini yüksek risk seviyesine, Adıyaman yüksek risk seviyesini orta risk seviyesine indirdi. Kırmızı tek ilimiz var, Şanlıurfa. İlk doz aşı oranıyla o da hepimizi sevindirecek!</t>
  </si>
  <si>
    <t>1430287299980546049</t>
  </si>
  <si>
    <t>Yeşil Bursa Mavi oldu.
%75’i aşan ilk doz aşı oranıyla hangi şehir olmaz! https://t.co/Q4utw2U9AY</t>
  </si>
  <si>
    <t>1430276032809119745</t>
  </si>
  <si>
    <t>Karadeniz sahili boydan boya Mavi! https://t.co/b7FlBJIW4e</t>
  </si>
  <si>
    <t>1430267897230905353</t>
  </si>
  <si>
    <t>Daha güzel günler göreceğiz Trabzon, motorları maviliklere süreceğiz. İlk doz aşı oranında %75’i aşan Trabzon’a saygılar!</t>
  </si>
  <si>
    <t>1430264346127609858</t>
  </si>
  <si>
    <t>“Ne olur, bilinçsiz insanları televizyona çıkarmayın. Herkes konuşuyor, sağlık siyasetle karışıyor. İnsanlar doğru bilgilendirilmiyor. Daha düne kadar ben de aşı olmayın diyordum.”
UĞUR ÇALIŞKAN, 35 yaşında, mühendis. Çam ve Sakura Şehir Hastanesinde 20 gündür yoğun bakımda. https://t.co/oa3GNK90ti</t>
  </si>
  <si>
    <t>1430262320626814980</t>
  </si>
  <si>
    <t>Toplam doz sayısında dünyada 7. sıradayız. Nüfusu Türkiye ile aynı olan aşı üreticisi Almanya 6. sırada. İlk sıradaki ülke, 1 Milyar 400 Milyon nüfuslu, yine aşı üreticisi Çin. Birçok Avrupa ülkesi ise, bu ülke ile aynı hızı, aynı performansı gösteremedi. “HADİ AMA BEKLİYORUZ!” https://t.co/9w2aPToG4v</t>
  </si>
  <si>
    <t>1430238898152779784</t>
  </si>
  <si>
    <t>Covid-19’a karşı uygulanan toplam aşı dozu sayısında dünyada 7. sıradayız.</t>
  </si>
  <si>
    <t>1430222852008128524</t>
  </si>
  <si>
    <t>Vaka sayıları azalmadıkça kayıplarımız azalmıyor. Bugün tedbir alıp harekete geçmezsek yarın daha ağır yükler taşıyabiliriz. Sevdiklerimiz için aşı olup tedbirlere uyalım. https://t.co/RVlhe7786O https://t.co/vcJJmqR1w4</t>
  </si>
  <si>
    <t>1430220734035529732</t>
  </si>
  <si>
    <t>18 YAŞ VE ÜSTÜ HER DÖRT KİŞİDEN ÜÇÜ en az 1 doz aşısını yaptırdı. %75’imizin, ilk dozu erteleyenlerden isteği belli: “Ertelemeyin. Hepimiz nasıl bir bütünsek, aşıda da aynı beraberliği sağlamalıyız. Karşımızda salgın var.”</t>
  </si>
  <si>
    <t>1430161492666724355</t>
  </si>
  <si>
    <t>Aşılarını olanlara, aşılarımızı yapanlara milyonlarca teşekkür. TOPLAM 90 MİLYON DOZU GEÇTİK. Erteleyenler de karar verdiğinde, sonuç sayılarla ifade edilemez.</t>
  </si>
  <si>
    <t>1430138373176545307</t>
  </si>
  <si>
    <t>BABALARA 6 EYLÜL MESAJI. 15.5 Milyon kişi ilk doz Covid-19 aşısını henüz yaptırmadı. Karar verseler, 10 günde ilk dozların hepsi tamamlanır. Aşının önemini çevrenize anlatarak bize yardımcı olun. Okullar 6 Eylülde açılıyor. Hastalığa yakalananlar çocuklarını üzer.</t>
  </si>
  <si>
    <t>1430131805437534208</t>
  </si>
  <si>
    <t>ANNELERE 6 EYLÜL MESAJI. 15.5 Milyon kişi ilk doz Covid-19 aşısını henüz yaptırmadı. Karar verseler, 10 günde ilk dozların hepsi tamamlanır. Aşının önemini çevrenize anlatarak bize yardımcı olun. Okullar 6 Eylülde açılıyor. Hastalığa yakalananlar çocuklarını üzer.</t>
  </si>
  <si>
    <t>1430131560326606848</t>
  </si>
  <si>
    <t>Alparslan Bey bize bir aşı tembelinin hikâyesini anlatıyor. https://t.co/dug7aQPq2V</t>
  </si>
  <si>
    <t>1429885967771504642</t>
  </si>
  <si>
    <t>RİZE, düşük riskli iller arasında yerini aldı. Salgın hastalığa karşı karar verip, ilk doz aşıyı olma oranı %75’in üzerinde. Haritadaki yeni rengi Mavi. Düşük riskli il sayımız 37. Düşük risk düzeyi bir karara bağlı.</t>
  </si>
  <si>
    <t>1429858636017328135</t>
  </si>
  <si>
    <t>ŞAHAN GÖKBAKAR aşı konusunda öyle önemli doğruları dile getirdi ki, bir tek bilgi yanlışı diğer sözlerinden ayrılıyor. Sevgili Gökbakar, devlet turizm sektörü çalışanlarına aşı zorunluluğu getirmedi. Onlara zorunluysa öğretmenlere de zorunlu olmalıydı diyemeyiz.</t>
  </si>
  <si>
    <t>1429848198378577926</t>
  </si>
  <si>
    <t>Kayıplarımız can yakan seviyede. Bu gidişi durduracak olan da sevdiklerini koruyacak olan da biziz. Tedbirli ve aşı yaptırmış olmak yeterli. https://t.co/RVlhe7786O https://t.co/cUWNAuYkF9</t>
  </si>
  <si>
    <t>1429840891691274242</t>
  </si>
  <si>
    <t>Tarihin en uzun meydan savaşı 100 yıl önce bugün başladı. 13 Eylül 1921’deki zaferle, ordumuz bütün dünyaya yeni bir Türk devletinin kurulduğunu kabul ettirdi. Sakarya Meydan Savaşı başkomutanı Gazi Mustafa Kemal Atatürk’ü ve tüm silah arkadaşlarını saygıyla, rahmetle anıyoruz. https://t.co/qwgN94vLSQ</t>
  </si>
  <si>
    <t>1429832682998018054</t>
  </si>
  <si>
    <t>Burdur Devlet Hastanesinde yaşanan şiddet olayında arkadaşlarımızı darp eden, kendilerine sözlü saldırıda bulunan 4 kişi gözaltına alınmıştır. Saldırganların hak ettiği, benzer suçların önünü kesecek cezaları almaları için, camiamız adına sürecin ödünsüz takipçisi olacağız.</t>
  </si>
  <si>
    <t>1429798641028538376</t>
  </si>
  <si>
    <t>Bir sonraki hastayla ilgilenmek yerine darp raporu hazırlatmak? Hasta şikâyeti dinlemek yerine polis merkezine ifade için gitmek? Açıklanabilir yanı yok. Toplum bizimle. Adaletin takipçisiyiz. Aşağıdaki rapor, Burdur İl Sağlık Müdürlüğümüzden geldi. Yargıya, 84 Milyona sunuyorum. https://t.co/uhYg2TLm8F</t>
  </si>
  <si>
    <t>1429700561268576257</t>
  </si>
  <si>
    <t>Solunum cihazının sesi sizi tedirgin edecekse, hastanın uyarılarını lütfen alt yazıdan takip edin. https://t.co/CgzY8MzJ1J</t>
  </si>
  <si>
    <t>1429509787910393862</t>
  </si>
  <si>
    <t>Hafta sonu vaka sayılarında beklediğimiz düşüşler gerçekleşmedi. Bu bize daha dikkatli ve tedbirlere uymada daha ısrarcı olmamız gerektiği uyarısında bulunuyor. Aşı ile başarmak mümkün. https://t.co/RVlhe7786O https://t.co/9dzIhV02ne</t>
  </si>
  <si>
    <t>1429496778139766784</t>
  </si>
  <si>
    <t>“Aşı olan da Koronavirüse yakalanıyor diyenlere uyduk. Aşımı eğer yaptırmış olsaydım belki de şu an 14 günlük çocuğumun yanındaydım.” https://t.co/wme1RfBAoE</t>
  </si>
  <si>
    <t>1429145802434392078</t>
  </si>
  <si>
    <t>Hastalığa yakalananların bir bölümü hastalığı ağır geçiriyor ya da kaybediyoruz. Maalesef yüksek vaka sayıları yüksek kayıp demek. Aşımızı yaptırırsak salgına son vermek için harekete geçmiş oluruz. Aşı ve tedbirle yeniden mücadeleye dönelim.
https://t.co/RVlhe7786O https://t.co/u5UtvhHV2D</t>
  </si>
  <si>
    <t>1429139224348041221</t>
  </si>
  <si>
    <t>DİYARBAKIR, MUŞ ve BİTLİS %55’in üzerine çıkan ilk doz aşılanma oranlarıyla çok yüksek risk seviyesini yüksek risk seviyesine indirdiler. DİYARBAKIR, MUŞ ve BİTLİS Turuncu iller arasında.</t>
  </si>
  <si>
    <t>1428782857611321348</t>
  </si>
  <si>
    <t>KASTAMONU ve KIRŞEHİR düşük riskli iller arasında yerini aldı. Salgın hastalığa karşı karar verip ilk doz aşıyı olma oranları %75’in üzerinde. Haritada iki şehrimiz daha Mavi. Düşük riskli il sayımız 36’ya yükseldi.</t>
  </si>
  <si>
    <t>1428782045862432768</t>
  </si>
  <si>
    <t>Kayıplarımız var. Salgın hastalık bizi sevdiklerimizden zamansız ayırıyor. Dikkatli ve tedbirli olmalıyız. Aşı ile başaracağız. https://t.co/RVlhe7786O https://t.co/a2EOUmGfAG</t>
  </si>
  <si>
    <t>1428753716212027395</t>
  </si>
  <si>
    <t>Sinop’un Ayancık ilçesine bağlı Kestanelik köyünde yaşayan Behiye Yıldırım’ın evindeyiz. Kalça protezi nedeniyle bakıma ihtiyacı olan hastamızın genel muayenesi yapıldı. Behiye teyze evinde sağlık hizmeti alacak. Biz haberini almışsak kimse derdiyle baş başa kalmaz. https://t.co/mPtQRIYLnZ</t>
  </si>
  <si>
    <t>1428436489185206278</t>
  </si>
  <si>
    <t>KAHRAMANMARAŞ ve AKSARAY’DA 18 yaş ve üstü nüfusun en az bir doz aşı olma oranı %65’in üstüne çıktı. Covid-19 Risk Haritasında bu illerimizin rengi Turuncu yerine Sarı.</t>
  </si>
  <si>
    <t>1428432459109183494</t>
  </si>
  <si>
    <t>SAMSUN düşük riskli iller arasında yerini aldı. Salgın hastalığa karşı karar verip ilk doz aşıyı olma oranları %75’in üzerinde. Haritada bir şehrimiz daha Mavi. Düşük riskli il sayımız 34’e yükseldi.</t>
  </si>
  <si>
    <t>1428428218567217163</t>
  </si>
  <si>
    <t>Vaka sayılarının 20 binin altında kalması yeterli değil. Hızla daha düşük vaka sayılarına ulaşmak zorundayız. Maske, mesafe ve temizlik kurallarına tam uyum şart. https://t.co/RVlhe7786O https://t.co/YHceLWklMC</t>
  </si>
  <si>
    <t>1428418037397532674</t>
  </si>
  <si>
    <t>RT @RTErdogan: Kabine Toplantısı Sonrası Millete Sesleniş https://t.co/kcdi5QZUuC</t>
  </si>
  <si>
    <t>1428392754627895301</t>
  </si>
  <si>
    <t>Son bir haftada vaka sayısı en çok artan illerimiz; Batman, Bayburt, Aksaray, Gümüşhane ve Ardahan. Aşı ile bağışıklık kazanana kadar tedbirlere tam uyum şart. Maske, Mesafe ve Temizlik olmazsa olmaz. https://t.co/3rTefY2tLX</t>
  </si>
  <si>
    <t>1428271277794541574</t>
  </si>
  <si>
    <t>İllerimizde 100.000 nüfusa karşılık gelen bir haftalık toplam vaka sayısını gösteren insidans haritasının güncel halini ekte görebilirsiniz. Salgın son hasta iyileşmeden bitmiş sayılmaz. Maske, mesafe ve temizlik kurallarına uyalım. https://t.co/x7pzQcTcIf</t>
  </si>
  <si>
    <t>1428269971239575555</t>
  </si>
  <si>
    <t>Bilim Kurulumuz okullarımızın güvenle açılması için gereken tedbirleri içeren çalışma rehberini hazırladı. https://t.co/JaUtO3mtbU</t>
  </si>
  <si>
    <t>1428266072201998343</t>
  </si>
  <si>
    <t>Son günlerde temelsiz bir cesaret ile hareket edenlerimiz var. https://t.co/leKFmSTnIo</t>
  </si>
  <si>
    <t>1428263692081172482</t>
  </si>
  <si>
    <t>VAN, YOZGAT ve ERZURUM 18 yaş ve üstü nüfusun en az bir doz aşı olma oranı %65’in üstüne çıktı. Covid-19 Risk Haritasında bu illerimizin rengi Turuncu yerine Sarı.</t>
  </si>
  <si>
    <t>1428094303943991305</t>
  </si>
  <si>
    <t>KİLİS ve ZONGULDAK düşük riskli iller arasında yerini aldı. Salgın hastalığa karşı karar verip ilk doz aşıyı olma oranları %75’in üzerinde. Haritada iki şehrimiz daha Mavi. Düşük riskli il sayımız 33’e yükseldi.</t>
  </si>
  <si>
    <t>1428091084165599238</t>
  </si>
  <si>
    <t>Bugün birlik, beraberlik ve kardeşliğin en önemli günlerinden biri. Aşure farklılıkların bir arada olmasının en tatlı halidir. Muharrem ayının 10. günündeyiz. Aşure günümüz mübarek olsun.</t>
  </si>
  <si>
    <t>1428088159217364996</t>
  </si>
  <si>
    <t>Ülkemizde Yüksek Öğretim Kurumlarına kayıt yaptıracak 18 yaşından küçük kişiler de aşı talebinde bulunabiliyorlar. https://t.co/jOhpiMPd9O</t>
  </si>
  <si>
    <t>1428069957796048906</t>
  </si>
  <si>
    <t>Bugün için en önemli sonuç, iki doz inaktif aşı olmuşsanız 3. Doz uygulamayı geciktirmeden yaparak koruma seviyemizi yükseltmemiz gerektiğidir. https://t.co/O77ZcpCMji</t>
  </si>
  <si>
    <t>1428066926501183493</t>
  </si>
  <si>
    <t>3 doz inaktif aşı ile 2 doz inaktif ve bir doz mRNA aşısı yapılmış kişiler benzer oranda korunuyor. Bunun yanında 3 doz aşı olmuş kişiler iki doz aşı olmuş kişilerden daha iyi korunuyor. https://t.co/LB340WyavX</t>
  </si>
  <si>
    <t>1428060204105703427</t>
  </si>
  <si>
    <t>Salgın hastalığı gündemimizden çıkarmalıyız. Ancak bunu hastalığı yok sayarak, salgını bitti kabul ederek yapamayız. https://t.co/bB28ZQYPp8</t>
  </si>
  <si>
    <t>1428053449690816526</t>
  </si>
  <si>
    <t>Aşılanma oranı arttıkça ve tedbirlere uydukça yeni vaka sayısı da azalacak. Yarın bugünden daha güvenli olacak. https://t.co/RVlhe7786O https://t.co/1HBWhzrDCD</t>
  </si>
  <si>
    <t>1428051033763241989</t>
  </si>
  <si>
    <t>CANLI: Bilim Kurulu Toplantımızın ardından Basın Açıklamamız:
https://t.co/aqeBceYBuN</t>
  </si>
  <si>
    <t>1428035028206895104</t>
  </si>
  <si>
    <t>Zeynep Hanım, başınız sağ olsun.
Yaptığınız uyarı için sağlık çalışanları size minnettar. https://t.co/OMb8tgZdFy</t>
  </si>
  <si>
    <t>1427726751594070027</t>
  </si>
  <si>
    <t>ŞIRNAK 18 yaş ve üstü nüfusun en az bir doz aşı olma oranı %65’in üstüne çıktı. Covid-19 Risk Haritasında bu ilimizin rengi Turuncu yerine Sarı.</t>
  </si>
  <si>
    <t>1427720608494796800</t>
  </si>
  <si>
    <t>ARDAHAN, ÇORUM ve MERSİN düşük riskli iller arasında yerini aldı. Salgın hastalığa karşı karar verip ilk doz aşıyı olma oranları %75’in üzerinde. Haritada üç şehrimiz daha Mavi. Düşük riskli il sayımız 31’e yükseldi.</t>
  </si>
  <si>
    <t>1427719573407772674</t>
  </si>
  <si>
    <t>TOPLAM 85 MİLYON DOZ: Üniversiteli ekrandan kampüse neşesi tam yerinde dönsün diye! Biz ilk dozları, eksik aşıları hızla tamamlamaya hazırız. Siz aşı için karar, başarmamız için omuz verin.</t>
  </si>
  <si>
    <t>1427694237806641159</t>
  </si>
  <si>
    <t>TOPLAM 85 MİLYON DOZ: Büyüklerimiz torunlarını sarılıp öpsün, dostlar birbirine rahat konuk olsun diye! Biz ilk dozları, eksik aşıları hızla tamamlamaya hazırız. Siz aşı için karar, başarmamız için omuz verin.</t>
  </si>
  <si>
    <t>1427693142116032519</t>
  </si>
  <si>
    <t>TOPLAM 85 MİLYON DOZ: Türkiye işini gücünü aksatmasın, sokakta hayatın hakkını versin diye! Biz ilk dozları, eksik aşıları hızla tamamlamaya hazırız. Siz aşı için karar, başarmamız için omuz verin.</t>
  </si>
  <si>
    <t>1427691829160513542</t>
  </si>
  <si>
    <t>Kastamonu’da yaşanan sel felaketinde köylerde mağdur duruma düşen, hasta ve ilaca ihtiyacı olan vatandaşların imdadına UMKE Ulusal Medikal Kurtarma Ekipleri yetişti. https://t.co/VBDZWlwhvr</t>
  </si>
  <si>
    <t>1427684816653361163</t>
  </si>
  <si>
    <t>Kontrollü hareket etmez, tedbirlere uymazsak aşı ile bağışıklık elde edene kadar kayıplarımız olacak. Tedbirli olup aşımızı hemen olmalıyız. https://t.co/RVlhe7786O https://t.co/mSX0AmQfb4</t>
  </si>
  <si>
    <t>1427667373427986437</t>
  </si>
  <si>
    <t>TOPLAM 85 MİLYON DOZ! Birinci, ikinci ve üçüncü doz Covid-19 aşılarının toplamı 85 Milyona ulaştı. Kalan tüm aşıları da hızla yapmaya hazırız. Aşı olmayı erteleyenler, lütfen birlikte başarmamız için omuz verin</t>
  </si>
  <si>
    <t>1427651429762744330</t>
  </si>
  <si>
    <t>1939 Erzincan depreminden sonra yaşadığımız en büyük afet olan 1999 Marmara depreminin 22. yıl dönümündeyiz. Hayatını kaybeden 18.373 insanımızı bir kez daha rahmetle anıyoruz. Yıkımlara karşı ayağa kalkan o büyük dayanışma ruhu bu topraklardan hiç eksilmesin.</t>
  </si>
  <si>
    <t>1427574631666442263</t>
  </si>
  <si>
    <t>KONYA, NİĞDE ve GAZİANTEP 18 yaş ve üstü nüfusun en az bir doz aşı olma oranı %65’in üstüne çıktı. Covid-19 Risk Haritasında bu illerimizin rengi Turuncu yerine Sarı.</t>
  </si>
  <si>
    <t>1427359780939644936</t>
  </si>
  <si>
    <t>BATMAN %55’in üzerine çıkan ilk doz aşılanma oranıyla çok yüksek risk seviyesini yüksek risk seviyesine indirdi. BATMAN Turuncu iller arasında.</t>
  </si>
  <si>
    <t>1427358944557735938</t>
  </si>
  <si>
    <t>SİNOP ve OSMANİYE düşük riskli iller arasında yerini aldı. Salgın hastalığa karşı karar verip ilk doz aşıyı olma oranları %75’in üzerinde. Haritada iki şehrimiz daha Mavi. Düşük riskli il sayımız 28’e yükseldi.</t>
  </si>
  <si>
    <t>1427354166293315591</t>
  </si>
  <si>
    <t>Kastamonu Bozkurt'ta ilçe merkezi ve ilçeye bağlı köylerde selden etkilenenler sağlık taramasına alınırken, ilaç ve medikal malzeme ihtiyaçları da karşılandı. Bazı kişilere tedavi uygulandı. İncesu köyü halkı bu kapsamda sağlık taramasından geçirilenlerden. https://t.co/ybxplo4DDs</t>
  </si>
  <si>
    <t>1427339455220887553</t>
  </si>
  <si>
    <t>Sel felaketinin yaşandığı Bozkurt’un köylerinde acil sağlık hizmetlerine devam ediyoruz. Ulusal Medikal Kurtarma Ekiplerinin başta tansiyon ölçümleri olmak üzere gerçekleştirdiği sağlık taramalarında öncelikle yaşlılarımızın muayeneleri yapılarak ilaç ihtiyaçları karşılandı. https://t.co/lSK3dLvk71</t>
  </si>
  <si>
    <t>1427337944449310728</t>
  </si>
  <si>
    <t>Vaka sayılarının kontrolü bizde olsun istiyorsak aşı olmalı ve tedbirlere bir süre daha sıkıca uymalıyız. Kontrolü elde tutma imkanımız var. https://t.co/RVlhe7786O https://t.co/ihxV1xhOeO</t>
  </si>
  <si>
    <t>1427323377241427972</t>
  </si>
  <si>
    <t>Yıldırım-Pençe harekatı bölgesinde 3 kahraman askerimiz şehit oldu. Şehitlerimize Allah'tan rahmet, milletimize sabırlar diliyorum. https://t.co/IXGVKhwILK</t>
  </si>
  <si>
    <t>1427216191999860736</t>
  </si>
  <si>
    <t>Bugün itibariyle 2 doz mRNA aşısı ya da 3 doz inaktif aşı olmuş kimsenin ek bir doz aşı olmasını gerektiren bir durum söz konusu değildir. Böyle bir tıbbi gereklilik de kesinlikle yoktur.</t>
  </si>
  <si>
    <t>1427211961557737472</t>
  </si>
  <si>
    <t>Bazı ülkelere girişte sadece belirli aşı türleri kabul edilmektedir. İlgili ülke düzenlemelerine uymak üzere 2 doz mRNA aşısı olmayı talep eden kişiler için özel bir düzenleme yapılmıştır. Özel seyahat için talep edilmesi dışında ek bir aşı gerekliliği yoktur.</t>
  </si>
  <si>
    <t>1427211960081321989</t>
  </si>
  <si>
    <t>Vaka sayılarındaki kontrolü kalıcı hale getirmek elimizde. Daha çok tedbirlere uyum ve daha çok aşılanma oranı ile başaracağız. https://t.co/RVlhe7786O https://t.co/LnC1j3FGTT</t>
  </si>
  <si>
    <t>1426945759921020933</t>
  </si>
  <si>
    <t>Sağlık için birlik olalım. Hepimiz ilk doz aşılarımızı yaptıralım.</t>
  </si>
  <si>
    <t>1426904215264317454</t>
  </si>
  <si>
    <t>BUGÜN TÜRKİYE HARİTASINA BAKTINIZ MI? 81 ilimizden 26’sı Mavi. 18 yaş ve üstü nüfusta, salgın hastalığa karşı karar verip en az bir doz aşı olanların oranı 26 ilde %75’in üzerinde.</t>
  </si>
  <si>
    <t>1426901700695236612</t>
  </si>
  <si>
    <t>BİNGÖL, çok yüksek risk seviyesini yüksek risk seviyesine indirdi. Haritadaki yeni rengi Turuncu. Aşı konusunda doğru kararı vermek ve risk seviyesini düşürenlerden biri olmak, sağlık çalışanlarımızdan bizzat bilgi almaya bağlı.</t>
  </si>
  <si>
    <t>1426647582676242434</t>
  </si>
  <si>
    <t>BOLU, DÜŞÜK RİSKLİ İLLER ARASINDA YERİNİ ALDI. Salgın hastalığa karşı karar verip ilk doz aşısını olanların oranı %75’in üzerinde. Haritada bir şehrimiz daha Mavi. Düşük riskli il sayımız 26’ya yükseldi.</t>
  </si>
  <si>
    <t>1426646479746306049</t>
  </si>
  <si>
    <t>Kastamonu Bozkurt’ta suların zemin kata sürüklediği kaplumbağayı arkadaşlarımız fark ederek kurtardı ve doğal yaşam alanı olan ormana bıraktı. Sel felaketleri insanlarla birlikte doğadaki hayatları da yerinden ediyor. UMKE ekipleri bölgede görev başında. https://t.co/UySr45FdON</t>
  </si>
  <si>
    <t>1426637821767520263</t>
  </si>
  <si>
    <t>Türk hekimliğinin büyük isimlerinden Prof. Dr. Demir Başar ebediyete uğurlandı. İstanbul Tıp Fakültesinde hocam olan, sayısız insan yetiştiren, göz hekimliği alanında kuşaklara öncülük etmiş Prof. Demir Başar’a Allah’tan rahmet, ailesine ve tıp camiasına başsağlığı diliyorum.</t>
  </si>
  <si>
    <t>1426624687237484553</t>
  </si>
  <si>
    <t>Cerrahpaşa Tıp Fakültesindeki hocalarımızdan; Enfeksiyon Hastalıkları ve Klinik Mikrobiyoloji alanında uzman bilim insanı Prof. Dr. Yaşar Bağdatlı aramızdan ayrıldı. Çalışmasını yaşam boyu sürdüren Prof. Bağdatlı’ya Allah’tan rahmet, ailesine, tıp camiasına başsağlığı diliyorum.</t>
  </si>
  <si>
    <t>1426623850826055688</t>
  </si>
  <si>
    <t>Vaka sayılarındaki artışı kontrol etmek için yüksek aşılanma oranını elde etmek ve tedbirlere uymak zorundayız. https://t.co/RVlhe7786O https://t.co/rbDM1Fbw5v</t>
  </si>
  <si>
    <t>1426580342236909568</t>
  </si>
  <si>
    <t>AŞIDA 13 AĞUSTOS: Dün 1 Milyon 145 Bin 321 doz aşı uygulandı. İlk doz aşısını yaptıranların sayısı 384.945. İkinci doz aşısını yaptıranların sayısı 602.251. Üçüncü doz aşısını yaptıranların sayısı 158.125. İlk doz aşısını henüz yaptırmayanların sayısı 18.313.689’a indi.</t>
  </si>
  <si>
    <t>1426485285290971138</t>
  </si>
  <si>
    <t>Diyaliz hastası gibi, tedavileri belli bir programa bağlı olan hastalarımızı Kastamonu afet bölgesinden alarak en yakın hastanelerimize naklediyoruz. Hizmetine kısa süre ara veren Bozkurt ilçesindeki Devlet Hastanemiz ise tüm kadrosuyla yeniden hizmette. https://t.co/nmAX75Yv2V</t>
  </si>
  <si>
    <t>1426259861797543936</t>
  </si>
  <si>
    <t>Kars, ilk doz aşılanma oranıyla yüksek risk düzeyini orta düzeye düşürdü. Haritada şu an Sarı. TÜM TÜRKİYE BİLİYOR Kİ, KARS’I AÇACAK RENK MAVİ.</t>
  </si>
  <si>
    <t>1426258002508754945</t>
  </si>
  <si>
    <t>ARTVİN, MANİSA, UŞAK düşük riskli iller arasında yerini aldı. Salgın hastalığa karşı karar verip ilk doz aşıyı olma oranları %75’in üzerinde. Haritada üç şehrimiz daha Mavi. Düşük riskli il sayımız 25’e yükseldi.</t>
  </si>
  <si>
    <t>1426256026639212544</t>
  </si>
  <si>
    <t>YAŞANAN SELLERDE SON DURUM: Sinop’ta 6 can kaybımız var. Ayancık Devlet Hastanesi’nde tedavi gören 56 hastanın 38’i Sinop Atatürk Devlet Hastanesi’ne nakledildi. 18 hasta evlerine nakledildi. 27 ambulans, 16 UMKE, 1 Mobil komuta aracıyla toplam 149 sağlık personeli görev başında.</t>
  </si>
  <si>
    <t>1426247122035396612</t>
  </si>
  <si>
    <t>YAŞANAN SELLERDE SON DURUM: Kastamonu’da 32 can kaybımız var. 228 kişi selden etkilendi. Hastanelerimizde 12 kişinin tedavisine devam ediliyor. 32 adet ambulans, 24 adet UMKE timi, 1 set çadır, 1 hastane donanımı ve 1 adet unimog ile toplam 215 sağlık personeli görev başında.</t>
  </si>
  <si>
    <t>1426245692322979841</t>
  </si>
  <si>
    <t>Vaka sayılarındaki azalma henüz istediğimiz seviyede değil. Daha çok bağışıklık kazandıkça ve tedbirlere uydukça başarılı olacağız. Yarın daha güvenli olsun istiyorsak bugün daha tedbirli olalım. https://t.co/RVlhe7786O https://t.co/m4pJrLBeI8</t>
  </si>
  <si>
    <t>1426218877919375361</t>
  </si>
  <si>
    <t>İnsan olmak, hep insanın yanında!
Afet bölgelerine koşan UMKE’lere bin teşekkür. https://t.co/AF5NgclUnR</t>
  </si>
  <si>
    <t>1426210552141987847</t>
  </si>
  <si>
    <t>Aşılama programımızı başarıyla sürdürüyoruz. Bir yandan yoğun aşı yapan, diğer yandan kronik hastalarımızı başarıyla takip eden aile hekimlerimizi ve aile sağlığı çalışanlarımızı tebrik ederim. Aile hekimlerimizi pozitif performansla desteklemeye devam edeceğiz.</t>
  </si>
  <si>
    <t>1426151836642328578</t>
  </si>
  <si>
    <t>18 yaş ve üstü nüfusun, en az bir doz aşı yaptıranların oranı %70’i geçti.</t>
  </si>
  <si>
    <t>1426150813332873223</t>
  </si>
  <si>
    <t>SİİRT VE IĞDIR, %55’in üzerine çıkan ilk doz aşılanma oranıyla çok yüksek risk seviyesini yüksek risk seviyesine indirdi. SİİRT VE IĞDIR Turuncu iller arasında.</t>
  </si>
  <si>
    <t>1426110306569408512</t>
  </si>
  <si>
    <t>MALATYA 18 yaş ve üstü nüfusun en az bir doz aşı olma oranı %65’in üstüne çıktı. Covid-19 Risk Haritasında bu ilimizin rengi Turuncu yerine Sarı.</t>
  </si>
  <si>
    <t>1426107777408278528</t>
  </si>
  <si>
    <t>ISPARTA, Mavi kategoriye geçen yeni ilimiz. İlk doz aşılanma oranı %75’in üzerinde. Bu ilimizle birlikte düşük riskli il sayımız 22’ye yükseldi.</t>
  </si>
  <si>
    <t>1426104131945705472</t>
  </si>
  <si>
    <t>UMKE ekiplerimiz ve acil sağlık hizmetlerimizle dün gece sel felaketi yaşanan Batı Karadeniz illerindeyiz. Felaketlerin üstesinden görev bilinci ve gönüllü gücü gelir. https://t.co/nBq2JV2Q31</t>
  </si>
  <si>
    <t>1425902030409904134</t>
  </si>
  <si>
    <t>Vaka sayılarının seyrini kontrol altında tutmak için elimizdeki iki büyük imkan tedbir ve aşıdır. Aşı olup bağışıklık elde edene kadar tedbirlere uymaya devam etmeliyiz. Aşı ile salgın son bulacak. https://t.co/RVlhe7786O https://t.co/jVGa0ekIjv</t>
  </si>
  <si>
    <t>1425872413355544577</t>
  </si>
  <si>
    <t>Bugün, Milli Eğitim Bakanlığına yeni atanan Prof. Dr. Mahmut Özer hocamıza hayırlı olsun ziyaretinde bulundum. Birlikte büyük hizmetler vermek için çok çalışacağız. Hocamıza muvaffakiyetler dilerim. https://t.co/RtBlLJ7cPU</t>
  </si>
  <si>
    <t>1425870702809391108</t>
  </si>
  <si>
    <t>Sayıştay başkanlığına atanan Sayın Metin Yener beyefendiyi makamında ziyaret ederek hayırlı olsun dileklerimizi ilettik. Yeni başkanımıza görevinde muvaffakiyetler diliyorum. https://t.co/BqYuyZ31LH</t>
  </si>
  <si>
    <t>1425869540999770119</t>
  </si>
  <si>
    <t>Yüksek Öğretim Kurumu başkanlığına atanan Prof. Dr. Erol Özvar hocamızı makamında ziyaret ettim. Hocamızın Yüksek Öğretim camiamıza büyük hizmetler sunacağına eminim. Kendisine kolaylıklar ve muvaffakiyetler diliyorum. https://t.co/wrcgZZCCCB</t>
  </si>
  <si>
    <t>1425867650081689600</t>
  </si>
  <si>
    <t>UMKE ekiplerimiz ve acil sağlık hizmetlerimizle dün gece sel felaketi yaşanan Batı Karadeniz illerindeyiz. Felaketlerin üstesinden görev bilinci ve gönüllü gücü gelir. https://t.co/mMAgxXaw0A</t>
  </si>
  <si>
    <t>1425849458269556746</t>
  </si>
  <si>
    <t>Son bir haftada vaka sayısı en çok artan illerimiz; Rize, Batman, Diyarbakır, Artvin ve Bingöl. En az iki doz aşı olanların sayısı arttıkça vaka sayıları düşecek. Aşınızı vakit kaybetmeden olun. https://t.co/FDZHPbF2nm</t>
  </si>
  <si>
    <t>1425806211195314182</t>
  </si>
  <si>
    <t>İllerimizde 100.000 nüfusa karşılık gelen bir haftalık toplam vaka sayısını gösteren insidans haritasının güncel halini ekte görebilirsiniz. En az iki doz aşı olanların sayısı arttıkça vaka sayıları da düşecek. https://t.co/5XV1qaIUYn</t>
  </si>
  <si>
    <t>1425804360102158345</t>
  </si>
  <si>
    <t>AĞRI, %55’in üzerine çıkan ilk doz aşılanma oranıyla çok yüksek risk seviyesini yüksek risk seviyesine indirdi. AĞRI, Turuncu iller arasında.</t>
  </si>
  <si>
    <t>1425802529443549189</t>
  </si>
  <si>
    <t>BAYBURT, %55’in üzerine çıkan ilk doz aşılanma oranıyla çok yüksek risk seviyesini yüksek risk seviyesine indirdi. BAYBURT, Turuncu iller arasında.</t>
  </si>
  <si>
    <t>1425801221860909060</t>
  </si>
  <si>
    <t>ANTALYA, DENİZLİ, TUNCELİ VE GİRESUN, Mavi kategoriye geçen yeni illerimiz. İlk doz aşılanma oranları %75’in üzerinde. Bu üç ille birlikte düşük riskli il sayımız 21’e yükseldi.</t>
  </si>
  <si>
    <t>1425800255640150016</t>
  </si>
  <si>
    <t>AŞIDA 11 AĞUSTOS: Dün 1 Milyon 274 Bin 368 doz aşı uygulandı. İlk doz aşısını yaptıranların sayısı 385.519. İkinci doz aşısını yaptıranların sayısı 698.312. Üçüncü doz aşısını yaptıranların sayısı 190.537. İlk doz aşısını henüz yaptırmayanların sayısı 19.070.186’a indi.</t>
  </si>
  <si>
    <t>1425799223660974084</t>
  </si>
  <si>
    <t>Bilim Kurulumuz uygulanabilir kuralları belirledi. Bu çalışmaları Milli Eğitim Bakanlığımız ve Yüksek Öğretim Kurulumuzla istişare ederek sizlerle paylaşacağız. İlgili kurumlarımız, bakanlıklarımız tam bir koordinasyon halinde çalışacak ve okullarda öğrencilerimizi bekleyeceğiz. https://t.co/eaWvF6hwLM</t>
  </si>
  <si>
    <t>1425571981420810243</t>
  </si>
  <si>
    <t>Okullarımız açılmadan toplumsal bağışıklık hedefimize ulaşmalıyız. https://t.co/pAOO8EmLr4</t>
  </si>
  <si>
    <t>1425518211290714112</t>
  </si>
  <si>
    <t>Kendi aşımız kendi silahımızdır, bunu unutmamalıyız. https://t.co/LC1lxUDzwI</t>
  </si>
  <si>
    <t>1425516797126529026</t>
  </si>
  <si>
    <t>İnaktif aşı olan vatandaşlarımızda en yüksek koruma seviyesi 3 doz inaktif aşı olan vatandaşlarımızda. Buna en yakın koruma seviyesi ise iki doz inaktif aşı olup 3. Doz mRNA aşısı olan vatandaşlarımızda. https://t.co/e5vfKwXoZb</t>
  </si>
  <si>
    <t>1425515356622397443</t>
  </si>
  <si>
    <t>Aşı programımız bugüne kadar bir teşvik ve tercih konusuydu oysa artık eğitim ve iş hayatının devamı gayesiyle her bir vatandaşımız için tercihe bırakılamayacak bir toplumsal ödevdir. https://t.co/zoA8sO7Bdi</t>
  </si>
  <si>
    <t>1425512712570867718</t>
  </si>
  <si>
    <t>Yüz yüze eğitimden vazgeçmemiz kesinlikle mümkün değildir. Tüm seviyelerde okullarımız yüz yüze eğitim verecek, uygulamalı eğitimler aralıksız olarak devam edecektir. https://t.co/U5qMOrLesU</t>
  </si>
  <si>
    <t>1425510740002226182</t>
  </si>
  <si>
    <t>Artık aşı var. https://t.co/y47xmk0oA3</t>
  </si>
  <si>
    <t>1425509064273014791</t>
  </si>
  <si>
    <t>Artık aşı var. Artan vaka sayılarının kontrolü mümkün. Zaman aleyhimize işlememeli. Bir an evvel aşınızı olun. https://t.co/RVlhe7786O https://t.co/qjLVHrKKp6</t>
  </si>
  <si>
    <t>1425506662467653632</t>
  </si>
  <si>
    <t>CANLI: Bilim Kurulu Toplantımızın ardından Basın Açıklamamız:
https://t.co/VTBUgxt5NZ</t>
  </si>
  <si>
    <t>1425499245436678149</t>
  </si>
  <si>
    <t>3. DÜN GECE BATI KARADENİZ İLLERİNDE meydana gelen sellerde son durum: Bartın Kumluca’da 1 kişi kayıp. İl genelinde selden 4 kişi etkilendi. Olay yerine 7 adet 112 ambulansı, 1 UMKE görevlendirildi. Kastamonu’da ise yine sel sebebiyle 4 UMKE görevde. Hepimize geçmiş olsun.</t>
  </si>
  <si>
    <t>1425436404440567810</t>
  </si>
  <si>
    <t>2. DÜN GECE BATI KARADENİZ İLLERİNDE meydana gelen sellerde son durum: Karabük Bahçecik mevkiindeki köprüde yaşanan çökmede 13 kişi etkilendi. 8’i ambulansla hastaneye nakledildi. Hastaneye naklini istemeyen 5 kişiye evlerinde sağlık hizmeti verildi. 4 ambulans görevlendirildi.</t>
  </si>
  <si>
    <t>1425435277833682946</t>
  </si>
  <si>
    <t>1. DÜN GECE BATI KARADENİZ İLLERİNDE meydana gelen sellerde son durum: Sinop Ayancık Devlet Hastanesi tahliye ediliyor. 4’ü yoğun bakım hastası, 45 hasta Sinop Atatürk Devlet Hastanesine naklediliyor. 27 ambulans, 6 UMKE, 1 Mobil Komuta Aracı görevlendirildi. Kayıp, yaralı yok.</t>
  </si>
  <si>
    <t>1425432617181224965</t>
  </si>
  <si>
    <t>18 yaş ve üzeri nüfusta iki doz aşısını tamamlama oranı %50’nin üzerine çıktı.</t>
  </si>
  <si>
    <t>1425429358865432585</t>
  </si>
  <si>
    <t>Covid-19 salgınına karşı uygulanan aşı dozu sayısı 80 Milyonu geçti.</t>
  </si>
  <si>
    <t>1425421234829934592</t>
  </si>
  <si>
    <t>BUGÜN DE AZ DEĞİLİZ!
Toplam doz sayısı 1.434.181.
410.098 kişi karar verip ilk doz aşısını oldu. 812.852 kişi zamanı gelen 2. doz aşısını, 211.231 kişi ise yaş ve kronik hastalık sebebiyle yapılmasında yarar görülen 3. doz aşısını yaptırdı. Yarın daha da fazla olalım.</t>
  </si>
  <si>
    <t>1425203960852455428</t>
  </si>
  <si>
    <t>Düşük riskli il sayımız 17’ye ulaştı. İl il sonuca yaklaşıyoruz. Hedef, Covid-19’a karşı Mavi bir Türkiye haritası! İlk doz aşıları yaptırarak, toplum bağışıklığı sürecini hızlandıralım. 64 ŞEHRİMİZE SEVGİLER.</t>
  </si>
  <si>
    <t>1425193493580992517</t>
  </si>
  <si>
    <t>SİVAS VE ADANA’DA 18 yaş ve üstü nüfusun en az bir doz aşı olma oranı %65’in üstüne çıktı. Covid-19 Risk Haritasında bu iki ilin rengi Turuncu yerine Sarı. Yüksek risk düzeyini orta risk düzeyine indiren Sivas’la Adana’yı bir an önce haritada Mavi görmek istiyoruz.</t>
  </si>
  <si>
    <t>1425182027888922625</t>
  </si>
  <si>
    <t>BARTIN VE BURDUR DA MAVİ. 18 yaş ve üstü nüfusta en az bir doz aşı olma oranı bu iki ilde de %75’in üstüne çıktı. Sakinlerini kutluyoruz. İkinci doz aşıları da artırarak masmavi olalım.</t>
  </si>
  <si>
    <t>1425177683688894464</t>
  </si>
  <si>
    <t>Vaka sayılarındaki artışı kontrol altında tutmak zorundayız. Aşı ile bağışıklık sağlanmadan tedbirsizlik kısır döngü ile sonuçlanır. Aşı olun. Tedbirlere uyun. https://t.co/RVlhe7786O https://t.co/6Wc9lKibQa</t>
  </si>
  <si>
    <t>1425168724982632459</t>
  </si>
  <si>
    <t>“1 Milyonuncu aşı bize mi nasip oldu?” Elâzığ Fethi Sekin Şehir Hastanesinde yapılan Ali Haydar Polat’ın aşısı günün 1 Milyonuncu aşısıydı. Aşıyı 15.14’te Dr. Leyla Güngör uyguladı. 1 Milyonuncu aşıyı yapmış olmaktan çok o ana dek 1 Milyon aşı yapılmış olmasına sevindi. İşte bu! https://t.co/1T4e0RE57B</t>
  </si>
  <si>
    <t>1425118964242391043</t>
  </si>
  <si>
    <t>İLK DOZ AŞISINI YAPTIRANLARIN SAYISI 42 Milyonu geçti. 18 yaş ve üstü 62 Milyon olarak, üçte ikimiz sağlığımızı koruyacak kararı uygulaya koymuş durumdayız! İkinci dozu yaptırmamışsak zamanında yaptıralım. Hiç aşı olmamışsak harekete geçelim. Sağlık için birlik şart.</t>
  </si>
  <si>
    <t>1425107723813806084</t>
  </si>
  <si>
    <t>İKİ DOZ AŞISINI YAPTIRANLARIN SAYISI 30 Milyona ulaştı. 18 yaş ve üstü 62 Milyon olarak, yarıya yakınımız, sağlığımızı koruyacak kararı çift doz aşıyla uygulamış durumdayız! İlk dozu olanlar ikinciyi ertelemesin. Hiç aşı olmayanlar harekete geçsin. Sağlık için birlik şart.</t>
  </si>
  <si>
    <t>1425099777453211648</t>
  </si>
  <si>
    <t>BUGÜN ÜÇÜNCÜYÜZ! Son 24 saatte 1 Milyon 508 Bin 939 doz Covid-19 aşısı yapıldı. 9 Ağustos, aşı performansında en iyi olduğumuz günler sıralamasında üçüncü. 1.582.232 doz olan günlük rekoru yakalamak biraz bize, biraz da aşıya karar verme hızına bağlı. Biz yarın hazırız!</t>
  </si>
  <si>
    <t>1424853850763190273</t>
  </si>
  <si>
    <t>“Cesaret insanı aslana galip eder. Herkesi aşıya davet ediyorum. Ben faydasını gördüm.” 96 yaşındaki Hüseyin amca size ve 84 Milyona sesleniyor: https://t.co/2o8gIoOSsL</t>
  </si>
  <si>
    <t>1424842592487886856</t>
  </si>
  <si>
    <t>ORDU, Covid-19’a karşı %75’in üstünde aşılanma sağduyusunu gösterdi. Riski düşüren aşılanma oranıyla Ordu’nun haritamızdaki yeni rengi Mavi. Tüm kıyı şeridi illeri rengini Maviye çevirmeli. (Ton fark etmez. Karadeniz mavisi de bize uyar.)</t>
  </si>
  <si>
    <t>1424798549913579525</t>
  </si>
  <si>
    <t>ANKARA, Covid-19’a karşı %75’i aşan aşılanma oranıyla artık Düşük Riskli İller arasında. Haritamızdaki yeni rengi Mavi. Bolu, Çankırı, Kırıkkale, Kırşehir, Aksaray ve Konya, başkentin aşı olma kararıyla kararı uygulama hızını örnek almalı.</t>
  </si>
  <si>
    <t>1424788508963659780</t>
  </si>
  <si>
    <t>Hakkâri, aşılanma oranıyla Covid-19’a karşı güçlü 13 il arasında. Oranın düşük olduğu Iğdır, Ağrı, Muş, Bingöl, Bitlis, Diyarbakır, Şanlıurfa, Mardin, Batman, Siirt, Hakkâri’nin aşı kararını, aşılanma hızını örnek almalı. Van’la Şırnak’tan %75’imiz aşılandık haberini bekliyoruz.</t>
  </si>
  <si>
    <t>1424774691806498818</t>
  </si>
  <si>
    <t>Vaka sayılarının artış hızının durağan hale gelmesi ve vaka sayılarının azalması için önümüzdeki 10 gün çok önemli. Tedbirlere uymalı ve aşı olmayı ihmal etmemeliyiz. https://t.co/7wdZ2ssc4J https://t.co/3ujCfQ6Es9</t>
  </si>
  <si>
    <t>1424772446197096449</t>
  </si>
  <si>
    <t>Saat 15.07’yi gösterirken günün 1 Milyonuncu Covid-19 aşısı yapıldı. Türkiye aşılamada normaline dönüyor. Aşı olma kararı da hızlandı.</t>
  </si>
  <si>
    <t>1424765243494907909</t>
  </si>
  <si>
    <t>Aybüke Hemşire, doğru. 1 Milyonuncu aşıyı bugün siz yaptınız. Kayıtlarımıza göre, aşıyı yaptıran vatandaşımız Özlem Uşar, 42 yaşında. Buca 126 Nolu Aile Hekimliği çalışanlarına selamlar. https://t.co/aDuj5TUN7Z</t>
  </si>
  <si>
    <t>1424737002583470090</t>
  </si>
  <si>
    <t>Eski Sağlık Bakanlarımızdan Prof. Dr. Yaşar Eryılmaz aramızdan ayrıldı. Erzurum Atatürk Üniversitesinde uzun yıllar öğretim üyesi ve dört dönem Ağrı milletvekili olan hocamız, yetiştiği bölgenin büyüklerindendi. Kendisine Allah’tan rahmet, sevenlerine başsağlığı diliyorum.</t>
  </si>
  <si>
    <t>1424711666495787008</t>
  </si>
  <si>
    <t>HAKKÂRİ AŞI EKİBİMİZDEN Melike ve arkadaşları, dün akşam yayınlanan mesajımıza yaptıkları yorumda, adeta, “Sabaha kalmaz, Mavi kategoriye geçeriz.” diyorlardı. Sabah akşam çalışarak %75’in üzerinde aşılanma başarısı sağlayan ekiplerimize teşekkür ediyorum. https://t.co/Yxz4Q5tqzM</t>
  </si>
  <si>
    <t>1424698719547662337</t>
  </si>
  <si>
    <t>HAKKÂRİ, %75’in üstüne çıkan aşılanma oranıyla, Covid-19 Risk Haritasında DÜŞÜK RİSKLİ İLLER ARASINA GİRDİ! Sahadaki uzmanlarımızdan aşı konusunda bilgi alarak karar veren, ekiplerimizi konukları gibi ağırlayarak aşılarını olan Hakkâri insanına teşekkür ediyorum.</t>
  </si>
  <si>
    <t>1424696976365563904</t>
  </si>
  <si>
    <t>HAKKÂRİ, aşılanma oranında, sadece bir haftada, 40. sıradan 13. sıraya yükseldi. Yarın yapılacak aşılarla, Covid-19 Risk Haritasında Mavi ile gösterilen Düşük Riskli İller kategorisine geçmesini bekliyoruz. Salgına karşı toplum bağışıklığı yarışında Hakkâri örnek alınmalı!</t>
  </si>
  <si>
    <t>1424457967139688449</t>
  </si>
  <si>
    <t>Aşılar en güçlü silahımız. Ancak en az iki dozunu tamamlamak koşulu ile. Aşınızı olun ve bağışıklık elde edilene kadar tedbirlere uyun. Tedbir almadan, aşı olmadan istenilen sonucu elde edemeyiz. https://t.co/RVlhe7786O https://t.co/7Wvn6cUNrO</t>
  </si>
  <si>
    <t>1424406555513040899</t>
  </si>
  <si>
    <t>“AŞI GELDİĞİ GÜN GİTMEK LAZIMMIŞ!” 30 yaşındaki hastamız Zekeriya Atabey, aşıyı erteleyenlerden. Kendini korumaya çalışsa da Covid-19’a yakalanmayı önleyememiş. Prof. Dr. Feriha Öz Acil Durum Hastanesinde tedavi altında. Hayatımın en zor günleri diyor. Lütfen dinleyin. https://t.co/sqD5j1f99p</t>
  </si>
  <si>
    <t>1424085286678667267</t>
  </si>
  <si>
    <t>İçişleri Bakanımız Süleyman Soylu’nun amcası Hüseyin Soylu bu dünyadan ayrıldı. Merhuma Allah’tan rahmet, başta Süleyman Bey olmak üzere, Soylu ailesine başsağlığı ve sabır diliyorum. Hüseyin amcamızın mekânı cennet olsun.</t>
  </si>
  <si>
    <t>1424083260762644484</t>
  </si>
  <si>
    <t>Vaka sayılarının hafta sonu olmasına rağmen yüksek seyretmesi sorun olabilir. Bunun önünü almak için aşı olmalı ve bağışıklık kazanana kadar tedbirlere uymalıyız. https://t.co/RVlhe7786O https://t.co/e0oUsk1opZ</t>
  </si>
  <si>
    <t>1424072831051223040</t>
  </si>
  <si>
    <t>Tokyo Olimpiyatlarında ülkemize altın madalya kazandırıp, bizlere İstiklal Marşımızı dünyaya dinlettirme gururunu yaşatan kadın boksörümüz Busenaz Sürmeneli’yi, yine boksta gümüş madalya sahibi Buse Naz Çakıroğlu’nu yürekten kutluyoruz. Buse’lerin demir yumrukları dert görmesin! https://t.co/UxaJTLSGzA</t>
  </si>
  <si>
    <t>1424017775958319106</t>
  </si>
  <si>
    <t>Alanya’daki yangından etkilenen Bircan ile Ceylan sağlığına kavuştu. UMKE ekipleri, yaptıkları müdahale ile nefes alma ve beslenme zorluğu, öksürük ve ses kısıklığı sorunlarını tedavi etti. BİRCAN İLE CEYLAN? Hayvanlarına insan ismi veren güzel halkımızın iki keçisi! https://t.co/8EseeF7CBs</t>
  </si>
  <si>
    <t>1423755483593199618</t>
  </si>
  <si>
    <t>YALOVA, %75’in üstüne çıkan ilk doz aşılanma oranıyla düşük riskli iller kategorisinde yerini aldı. Covid-19 Risk Haritamızda Yalova artık MAVİ.</t>
  </si>
  <si>
    <t>1423731609006747648</t>
  </si>
  <si>
    <t>“ÇOK TEŞEKKÜR EDERİM.” Bu teşekkürler, sağlık çalışanlarıyla birlikte, onları büyütüp yetiştiren sizlere. Tüm kalbinizle; ağabeyleriniz, ablalarınız, evlatlarınızla aynı yerdesiniz. https://t.co/jHv3A94IEu</t>
  </si>
  <si>
    <t>1423712550408105985</t>
  </si>
  <si>
    <t>Sağlık Bakanlığı, Antalya'nın Manavgat ilçesinde, ormanlık alanda çıkan ve çevreye yayılan yangından etkilenen vatandaşlara yönelik sağlık taraması ve psikososyal destek hizmetlerine devam ediyor. Bölgede, doktor ve hemşire yanı sıra, psikolog ve sosyal hizmet uzmanı bulunuyor. https://t.co/W8OtfJiemm</t>
  </si>
  <si>
    <t>1423702504722866177</t>
  </si>
  <si>
    <t>Vaka sayılarının artış hızı istenilen seviyede düşerse daha güvende olacağız. Bunun için iki yol var; tedbir ve aşı. Aşınızı olun. https://t.co/RVlhe7786O https://t.co/duJeo2e6U3</t>
  </si>
  <si>
    <t>1423687200571543556</t>
  </si>
  <si>
    <t>Şimdi her birimiz görevimizin başındayız. Bu karede buluşacağız. https://t.co/IOMHzbyITB</t>
  </si>
  <si>
    <t>1423662422913585163</t>
  </si>
  <si>
    <t>Bakan arkadaşım Sn. Ziya Selçuk görevinden ayrıldı. Eğitim ve öğretimde güler yüzlülüğün simgesi olan hocamıza hizmetleri için teşekkür ediyorum. Milli Eğitim Bakanlığına yeni atanan Prof. Dr. Mahmut Özer’e ve yardımcılarına üstün başarı dileklerimi sunuyorum.</t>
  </si>
  <si>
    <t>1423581176455995395</t>
  </si>
  <si>
    <t>Covid-19 salgınına karşı şu ana kadar 75 MİLYON DOZ aşı yapıldı. Aşılama hızımız, performansımız yüksek. Fakat çift doz aşısını yaptıranların sayısı salgınla mücadele için henüz yeterli değil. Daha önemlisi, ilk dozu erteleyen kişilerin yaklaşık 20 Milyon 570 Bin olması.</t>
  </si>
  <si>
    <t>1423552016102699013</t>
  </si>
  <si>
    <t>Covid-19 salgınına karşı şu ana dek 75 Milyon Doz aşı yapıldı.</t>
  </si>
  <si>
    <t>1423547201247236096</t>
  </si>
  <si>
    <t>Milas’ın Akçakaya köyünün tedbiren tahliyesine karar verilince, köyde yaşayan ve yürümekte güçlük çeken Ayşe nine, ekiplerimiz tarafından evinden alınarak güvenli bölgeye ulaştırıldı. https://t.co/Y4qB2ylC7D</t>
  </si>
  <si>
    <t>1423324201918861320</t>
  </si>
  <si>
    <t>Vaka sayılarındaki artışı kontrol altında tutabilmek için artış hızı yavaşlamalı. Tedbir ve aşı ile bunu başarabilirsek, kontrol bizde kalacak. Tedbirlere uyun, aşınızı olun. https://t.co/RVlhe7786O https://t.co/DiNYubLSEY</t>
  </si>
  <si>
    <t>1423321475273089026</t>
  </si>
  <si>
    <t>Yangından etkilenen bölgelerde, vatandaşlarımıza ilkyardım kitlerini veriyor, genel sağlık durumlarını kontrol ediyor, sağlık hizmetine ihtiyacı olanları kurumlarımıza yönlendiriyoruz. https://t.co/AFIAqW5jeO</t>
  </si>
  <si>
    <t>1423243735178129413</t>
  </si>
  <si>
    <t>Son bir haftada vaka sayısı en çok artan illerimiz; Siirt, Diyarbakır, Bingöl, Batman ve Bitlis. Daha çok aşı olan kişi daha az salgından etkilenmek demek. Aşınızı zaman kaybetmeden olun. https://t.co/MZMRuMgIF8</t>
  </si>
  <si>
    <t>1423238751011188737</t>
  </si>
  <si>
    <t>İllerimizde 100.000 nüfusa karşılık gelen bir haftalık toplam vaka sayısını gösteren insidans haritasının güncel halini ekte görebilirsiniz. Aşı olma oranı yüksek olan illerimiz vaka artışlarından çok daha az etkileniyor. Aşınızı zaman kaybetmeden olun. https://t.co/mAuwbXYnK9</t>
  </si>
  <si>
    <t>1423236418554540032</t>
  </si>
  <si>
    <t>Aşı olmayı erteleyenlerimiz var. Aşı olmamakla bugün risk alsalar da, bilim insanları onlara ikna edici açıklamaları sundukça, düşünceleri değişecektir. Sağlık; kararsızlığa, karşıtlığa elverişli değildir. İnsanlığın ve bilim dünyasının tamamına yakını ise yanlışta birleşmez. https://t.co/AokP8Q8gau</t>
  </si>
  <si>
    <t>1422979544529711106</t>
  </si>
  <si>
    <t>TEKRAR MERHABA. Biontech aşılarımız dün gece gelmeye başladı. 13 Milyon doza yakın aşımızı Pazartesi gününe kadar teslim alacağız. Cuma günü normal hızımıza dönüyoruz. Olağanüstü bir durum olmadıkça biz randevularımıza sadığız.</t>
  </si>
  <si>
    <t>1422978431495589894</t>
  </si>
  <si>
    <t>Vaka sayıları sınır kabul ettiğimiz 20 bin sınırının çok üzerinde. Vaka sayılarını bu sınırın altına indirmek elimizde. Aşınızı olun, kalabalıklardan uzak durun. https://t.co/RVlhe7786O https://t.co/AphphJHyQW</t>
  </si>
  <si>
    <t>1422969793884401664</t>
  </si>
  <si>
    <t>MUĞLA. 450 hastamızı tedavilerini tamamlayarak taburcu ettik. Tedavisi devam eden 10 hastamız var. Bölgedeki felakette 1 can kaybımız olmuştu. 61 Ambulans, 22 UMKE ekibi, 1 mobil komuta aracı, toplam 306 sağlık profesyoneli ile sahadayız.</t>
  </si>
  <si>
    <t>1422949778435067909</t>
  </si>
  <si>
    <t>ANTALYA. 704 hastamızı tedavilerini tamamlayarak taburcu ettik. Tedavisi devam eden 6 hastamız var. Bölgedeki felakette 7 can kaybımız olmuştu. 46 Ambulans, 17 UMKE ekibi, 1 mobil komuta aracı, toplam 242 sağlık profesyoneli ile sahadayız.</t>
  </si>
  <si>
    <t>1422949415971659787</t>
  </si>
  <si>
    <t>BİLECİK, %75’in üstüne çıkan aşılanma oranıyla artık düşük risk kategorisinde. MAVİ haberlerimiz çok olsun!</t>
  </si>
  <si>
    <t>1422942020356689927</t>
  </si>
  <si>
    <t>Yangın söndürme çalışmaları sırasında, gözleri dumandan rahatsız olduğu için işine ara vermek zorunda kalan bir orman kahramanına UMKE gönüllüsü gerekli tıbbi müdahaleyi yapıyor.
3 Ağustos, Saat: 20.30, Marmaris https://t.co/g71Qxw51LM</t>
  </si>
  <si>
    <t>1422889604030533634</t>
  </si>
  <si>
    <t>Söndürülmesi uzun zaman alan yangınlar saniyeler içinde büyüyor. Şükür ki, yine saniyeler içinde sevindirici olaylar da yaşanıyor. Dün Marmaris’te, dumanların arasından gelen yardım çağrısı için UMKE timi anında harekete geçti.
3 Ağustos, Saat: 20.17, Marmaris https://t.co/UJYcwEyH73</t>
  </si>
  <si>
    <t>1422863455271411713</t>
  </si>
  <si>
    <t>Ülkece en büyük mücadelemiz şu an yangınlarla. Öte yandan, önünü almak zor değilse de, salgın hastalıkta vaka sayıları artış gösteriyor. Bizi çevreleyen şartlara karşı, birlikte elimizden geleni yapalım. Yüreklere su serpecek haberlere ihtiyacımız var.</t>
  </si>
  <si>
    <t>1422814819665817601</t>
  </si>
  <si>
    <t>Marmaris’te, iki dağ arasındaki dik arazide devam eden yangında, söndürme ekiplerinin yaralanma ve dumandan etkilenmesi ihtimaline karşı, UMKE timleri acil müdahale eylem planlarını gözden geçiriyor. 
3 Ağustos, Saat: 12.10 https://t.co/hCbuA3YYqw</t>
  </si>
  <si>
    <t>1422652737347522561</t>
  </si>
  <si>
    <t>Günlük vaka sayısı 25 bine yaklaştı. Salgınla mücadelenin kurallarına uyarsak ve aşımızı yaptırırsak salgına son vermek için harekete geçmiş oluruz. İlk doz aşılar gibi, zamanı gelmiş ikinci ve üçüncü doz aşılar da son derece önemli. https://t.co/dXhRgnVtW9</t>
  </si>
  <si>
    <t>1422634653735956482</t>
  </si>
  <si>
    <t>MUĞLA. 271 hastamızı tedavilerini tamamlayarak taburcu ettik. Tedavisi devam eden 36 hastamız var. Bölgedeki felakette 1 can kaybımız oldu. 44 Ambulans, 16 UMKE ekibi, 1 mobil komuta aracı, toplam 228 sağlık profesyoneli ile sahadayız.</t>
  </si>
  <si>
    <t>1422476961331490903</t>
  </si>
  <si>
    <t>ANTALYA. 598 hastamızı tedavilerini tamamlayarak taburcu ettik. Tedavisi devam eden 11 hastamız var. Bölgedeki felakette 7 can kaybımız oldu. 34 Ambulans, 17 UMKE ekibi, 1 mobil komuta aracı, toplam 191 sağlık profesyoneli ile sahadayız.</t>
  </si>
  <si>
    <t>1422476735086538759</t>
  </si>
  <si>
    <t>Vaka sayılarındaki artış hızı azalma eğiliminde. Bunu kalıcı hale getirecek olan biziz. Tedbirden taviz vermeden aşınızı olun. https://t.co/RVlhe7786O https://t.co/Hx8eKAPuM9</t>
  </si>
  <si>
    <t>1422237309710307331</t>
  </si>
  <si>
    <t>İnsanlar acı çektiğinde üstesinden insanlık gelir.
Gönüllü UMKE ekipleri ve acil sağlık hizmetleriyle felaket bölgelerindeyiz. https://t.co/M0AyTvbMZg</t>
  </si>
  <si>
    <t>1422167874823761932</t>
  </si>
  <si>
    <t>Yangınlardaki can kayıpları, yanan ormanlardaki canlılar sayısınca fazla. Manavgat’taki yangında dumandan etkilenen köpeğe tıbbi müdahale UMKE ekiplerimizce yapıldı. Bütün hayvan severler adına teşekkür ediyoruz. https://t.co/ugcYWuCDTp</t>
  </si>
  <si>
    <t>1421899189798178816</t>
  </si>
  <si>
    <t>HASTAMIZIN BİR ÇİFT SÖZÜ VAR. İlki: Covid aşısı olmadım. İkincisi: Keşke olsaydım! Nurettin Karabük 48 yaşında. Covid-19 sebebiyle tedavi görüyor. Virüsü yakınlarına da bulaştırdı. Video, yoğun bakımdaki beşinci gününde çekildi. https://t.co/yBwoXqBuCz</t>
  </si>
  <si>
    <t>1421893835567910914</t>
  </si>
  <si>
    <t>Van’da selden etkilenen bölgelerde ekiplerimiz sağlık taraması yapıyor. Meteorolojiden gelen yağış uyarılarının ardından yaşanabilecek yeni olumsuzluklara karşı da görev başındayız. https://t.co/55PSUWrJvr</t>
  </si>
  <si>
    <t>1421891441287122947</t>
  </si>
  <si>
    <t>Manavgat’taki orman yangınlarından etkilenenlere sunduğumuz sağlık hizmetleri sürüyor. Acil müdahaleler yanında genel sağlık kontrolleri de yapılıyor. Yaşlı ve kronik hastalığı olanların tüm kontrolleri tamamlandı, ilaç ve hijyenik bakım ihtiyaçları karşılandı. https://t.co/O3PEZon6zZ</t>
  </si>
  <si>
    <t>1421889510489608193</t>
  </si>
  <si>
    <t>Vaka sayılarındaki yükselişi durduracak olan bizim göstereceğimiz irade ve tedbirlere uyumdur. Aşı olun, kalabalıklardan uzak durun. https://t.co/RVlhe7786O https://t.co/JDW79YtaK3</t>
  </si>
  <si>
    <t>1421885868336369667</t>
  </si>
  <si>
    <t>112 Acil Ambulans ekiplerimiz, yangın sebebiyle tahliye edilen köylerde olaydan etkilenip bakım ve tedavisi kısa bir süreliğine evlerde yapılan hastalarımızı hastanelere naklediyor. Acil sağlık hizmetlerinin daha da aciliyet kazandığı bir sınavdayız. Arkadaşlarımızı kutluyorum. https://t.co/CzK24kiiEp</t>
  </si>
  <si>
    <t>1421863767193890820</t>
  </si>
  <si>
    <t>Marmaris ve Bodrum’daki yangınlardan etkilenen 203 kişiden 186’sı tedavileri tamamlanarak taburcu oldu. 17’nin tedavisi devam ediyor. Olay yerinde 39 adet 112 ambulansı VE 15 UMKE ekibiyle toplam 193 sağlık personeli görev yapıyor. Marmaris’te bir can kaybımız olmuştu.</t>
  </si>
  <si>
    <t>1421822414900670470</t>
  </si>
  <si>
    <t>Mersin’deki yangından etkilenen 154 kişi, tedavileri tamamlanarak taburcu oldu. 28 adet 112 ambulansı, 2 UMKE timi, 90 sağlık personeliyle olay yerindeyiz. Sağlık çalışanlarımız adına tüm Mersinlilere geçmiş olsun dileklerimi sunuyorum.</t>
  </si>
  <si>
    <t>1421821167732723718</t>
  </si>
  <si>
    <t>Manavgat’taki yangında, ikisi yeni toplam 7 can kaybımız var. Yangından etkilenen 507 kişiden 497’si tedavileri tamamlanarak taburcu edildi. 10 kişinin tedavisi sürüyor. 34 adet 112 ambulansı, 15 UMKE ekibi, 1 mobil komuta aracı, 183 sağlık personeliyle olay yerindeyiz.</t>
  </si>
  <si>
    <t>1421820621231640582</t>
  </si>
  <si>
    <t>KİLİS VE KAYSERİ aşılanmada %65’in üstünde bir orana ulaşarak yüksek riskli (Turuncu) iller grubundan çıktı. Orta riskli (Sarı) iller grubuna geçti. Bundan daha iyisi Mavi!</t>
  </si>
  <si>
    <t>1421789146461392898</t>
  </si>
  <si>
    <t>Vaka sayılarında 20 bin sınırının üzerindeyiz. Almadığımız tedbirleri alalım, ertelediğimiz aşımızı olalım. Sebepleri tersine çevirirsek sonuçlar hızla değişir.</t>
  </si>
  <si>
    <t>1421564153903341573</t>
  </si>
  <si>
    <t>Ankara Şehir Hastanesi Covid-19 Yoğun Bakım Ünitesinde tedavi gören 46 yaşındaki Yasin Yavaş, kendisi gibi aşı olmayanları, bugün yarın diye erteleyenleri uyarıyor: “Ben konuyu basite aldım. Kimse aşısını ihmal etmesin." https://t.co/n1AfvE5W4q</t>
  </si>
  <si>
    <t>1421543624869924866</t>
  </si>
  <si>
    <t>Bu aileyi Nisan ayında böyle mutlu göremezdiniz. Cengiz Bey, kızı Melike, oğlu Alperen COVID-19 hastasıydılar. Anneleri hemşire Semra Hanımsa hasta olmadı, sağlık personeli olarak aşılıydı. Üçünün zamanı gelen aşılarını kendisi yaptı. Fotoğrafın mesajı? Bizce iyilik, sağlık! https://t.co/EGHl2sF8IZ</t>
  </si>
  <si>
    <t>1421528067760168967</t>
  </si>
  <si>
    <t>Kara günlerimizde UMKE daima yanımızda.
Yardım eliniz eksik olmasın arkadaşlar. https://t.co/tAiB79WoQN</t>
  </si>
  <si>
    <t>1421526028837662721</t>
  </si>
  <si>
    <t>Vaka sayıları hafta sonuna rağmen 20 bin sınırının üzerinde. Bunu tersine çevirmek mümkün. Tedbirlere uyar ve aşı ile bağışıklık kazanırsak, durum lehimize dönecek. https://t.co/RVlhe7786O https://t.co/1wm43qUG0l</t>
  </si>
  <si>
    <t>1421516926417784832</t>
  </si>
  <si>
    <t>MERHABA. Çarşamba günü aşacağımız bir gelişme var. Biontech aşısının üretiminde yaşanan aksama sebebiyle ülkemize sevkiyatta birkaç gün azalma olacak. Bu aşıyı tercih edenlerin aşı olmaya randevu almadan gelmemesini rica ediyorum. Anlayışınız için sağ olun. Sinovac’ta aksama yok.</t>
  </si>
  <si>
    <t>1421481906227527685</t>
  </si>
  <si>
    <t>AŞIDA 30 TEMMUZ: Dün 1 Milyon 410 Bin 562 doz aşı uygulandı. İlk doz aşısını yaptıranların sayısı 331.616. İkinci doz aşısını yaptıranların sayısı 890.173. Üçüncü doz aşısını yaptıranların sayısı 188.773. İlk doz aşısını henüz yaptırmayanların sayısı 21.253.444’e indi.</t>
  </si>
  <si>
    <t>1421452420694032388</t>
  </si>
  <si>
    <t>Manavgat’taki orman yangınında, olay yerindeki can kayıplarımız, iki orman işçimizin vefatıyla maalesef beşe yükseldi. Ormanlar gibi, arka arkaya yürekler de yandı. Yangından şu ana kadar 410 kişi etkilendi. Tedavisini tamamladığımız 400 kişi taburcu oldu. Yatan hasta sayımız 10.</t>
  </si>
  <si>
    <t>1421442627178844165</t>
  </si>
  <si>
    <t>Biz de, bize bu gururları yaşatan sporcularımızın değerini bileceğiz. Tebrikler Mete! https://t.co/PfjsiumfsZ</t>
  </si>
  <si>
    <t>1421434560466800642</t>
  </si>
  <si>
    <t>Marmaris ve Bodrum’daki orman yangınlarından 160 kişi etkilendi. 159 hastamızın tedavilerini tamamladık, taburcu oldular. Bir hastamız yanık tedavisi için İzmir Bozyaka Eğitim ve Araştırma Hastanesine sevk edildi. Bilindiği gibi, ilk gün Marmaris’te bir can kaybımız olmuştu.</t>
  </si>
  <si>
    <t>1421432583372554241</t>
  </si>
  <si>
    <t>Memleketim Konya’da bir eve yapılan silahlı saldırıyla akıl almayacak yedi cinayet işlendi. Hayatını kaybedenlere Allah’tan rahmet, yakınlarına başsağlığı diliyorum. Konya’nın acısı ortak, hiçbir amaca alet edilemeyecek kadar büyük. Katillerin yeri hapishane, memleket hepimizin.</t>
  </si>
  <si>
    <t>1421227494041079810</t>
  </si>
  <si>
    <t>Mersin’in Silifke ve Aydıncık ilçelerinde meydana gelen yangınlardan etkilenen 132 kişi, tedavileri tamamlanarak taburcu edildi. Silifke ve Aydıncık halkına, tüm ülkemize, sağlık çalışanlarımız adına geçmiş olsun dileklerimi sunuyorum.</t>
  </si>
  <si>
    <t>1421218820732112896</t>
  </si>
  <si>
    <t>Bugün 1 Milyonuncu doz aşıya saat 15.37’de, Mersin Üniversitesi Hastanesinde ulaştık. Hatice Güzeloğlu’nun 2. doz Biontech aşısını hemşire Sevda Sevim Dürüs, Dr. Gülden Ersöz gözetiminde yaptı. https://t.co/42tBE9VVeL</t>
  </si>
  <si>
    <t>1421212098781138951</t>
  </si>
  <si>
    <t>HAKKARİ, KIRIKKALE, NEVŞEHİR VE ÇANKIRI yüksek riskli il (Turuncu) kategorisinden orta riskli il (Sarı) kategorisine geçti.</t>
  </si>
  <si>
    <t>1421198949545828361</t>
  </si>
  <si>
    <t>VAN VE ERZURUM, çok yüksek riskli il (Kırmızı) kategorisinden yüksek riskli il (Turuncu) kategorisine geçti.</t>
  </si>
  <si>
    <t>1421192782291607552</t>
  </si>
  <si>
    <t>Vaka sayılarının artış hızını henüz kontrol altına tutabilmiş değiliz. Bunun yolu tedbir ve aşıdır. Vakit kaybetmeden, gece gündüz demeden, haftasonu demeden aşınızı olun, tedbirlere uyun. https://t.co/oYEJs9PuFT</t>
  </si>
  <si>
    <t>1421158060349865986</t>
  </si>
  <si>
    <t>Marmaris ve Bodrum’daki orman yangınlarında bir kişi hayatını kaybetti. Yangınlardan etkilenen, üçü yabancı uyruklu 64 kişiden 60’ı tedavileri tamamlanarak taburcu edildi. Tedavisi devam eden dört kişinin genel durumu iyi. Ekiplerimizle yangın bölgelerinde görevdeyiz.</t>
  </si>
  <si>
    <t>1421131704392114178</t>
  </si>
  <si>
    <t>Manavgat’taki orman yangınında üç can kaybımız var. İkisi kırıklarından dolayı ameliyat edilen 16 kişinin tedavileri sürüyor. 292 hastamızı tedavilerini tamamlayarak taburcu ettik. Kısmi tahliye gereği, Devlet Hastanemizdeki 10 yoğum bakım hastası diğer hastanelere nakledildi.</t>
  </si>
  <si>
    <t>1421130639278055429</t>
  </si>
  <si>
    <t>AŞIDA 29 TEMMUZ: Dün 1 Milyon 405 Bin 579 doz aşı uygulandı. İlk doz aşısını yaptıranların sayısı 316.571. İkinci doz aşısını yaptıranların sayısı 857.710 . Üçüncü doz aşısını yaptıranların sayısı 231.298. İlk doz aşısını henüz yaptırmayanların sayısı 21.585.060’a indi.</t>
  </si>
  <si>
    <t>1421044036358582273</t>
  </si>
  <si>
    <t>Bugün 1 milyon 405 Bin 579 doz aşı uygulandı.
Yarın sabah yeni randevularla bu sayıyı aşalım.</t>
  </si>
  <si>
    <t>1420854529034182657</t>
  </si>
  <si>
    <t>Fedakarca çalışan bir hekim arkadaşımız aramızdan ayrıldı. Hayat kurtaran bir kardeşimizi yitirdik. Beylikdüzü Devlet Hastanesi başhekimi Dr.Ali Kalyoncu uzun süreden beri tedavi gördüğü hastanede hayatını kaybetti. Başta ailesi ve sevenleri olmak üzere camiamızın başı sağ olsun.</t>
  </si>
  <si>
    <t>1420819250630078471</t>
  </si>
  <si>
    <t>Şerif Sezer: Geriye dönüp baktığımda, geçmez sandığım bütün acıların geçip gittiğini görüyorum. Bu da geçecek. Gene hayata dört elle sarılacağız umutla, aşı sayesinde. Lütfen aşı olalım, kendimizi ve sevdiklerimizi riske atmayalım. https://t.co/wWwuN9QPvd</t>
  </si>
  <si>
    <t>1420814494121480194</t>
  </si>
  <si>
    <t>ŞIRNAK, çok yüksek riskli il (Kırmızı) kategorisinden yüksek riskli il (Turuncu) kategorisine geçti. Hedefimiz, daha yüksek aşı oranıyla “düşük risk” grubu!</t>
  </si>
  <si>
    <t>1420812783822716936</t>
  </si>
  <si>
    <t>Hayko Cepkin: Aşı konserlere, sahalara, sinemalara, tiyatrolara kısacası hayata açılan kapımız. Bu kapının tekrar kapanmaması ve yarınlarımızın sağlıklı olması için hepimiz aşı olmak zorundayız. https://t.co/BuB34gCTG1</t>
  </si>
  <si>
    <t>1420807836775354368</t>
  </si>
  <si>
    <t>Bugünkü vaka sayısı 22.161. Aşı olmadan tedbirlere uymadan salgında korunmak mümkün değil. AŞI VE TEDBİRLE YENİDEN MÜCADELEYE DÖNELİM. https://t.co/RVlhe7786O https://t.co/195wcaCUZa</t>
  </si>
  <si>
    <t>1420798090462867460</t>
  </si>
  <si>
    <t>SON DAKİKA: Toplam yapılan aşı doz sayısı 71 Milyonu geçti.</t>
  </si>
  <si>
    <t>1420779499902443524</t>
  </si>
  <si>
    <t>AŞIDA 28 TEMMUZ: Dün 1 Milyon 99 Bin 5 doz aşı uygulandı. İlk doz aşısını yaptıranların sayısı 222.803. İkinci doz aşısını yaptıranların sayısı 680.278 . Üçüncü doz aşısını yaptıranların sayısı 195.924. İlk doz aşısını henüz yaptırmayanların sayısı 21.901.631’e indi.</t>
  </si>
  <si>
    <t>1420710247157600260</t>
  </si>
  <si>
    <t>1.099.005 kişi bugün hepimiz için hayırlı bir iş yaptı.</t>
  </si>
  <si>
    <t>1420503839493562368</t>
  </si>
  <si>
    <t>AKSARAY, RİSK DÜZEYİNİ DÜŞÜRDÜ. Çok yüksek riskli, yani haritamızda Kırmızıyla gösterilen iller grubunda olan Aksaray, aşılanma oranının %55’in üzerine çıkmasıyla artık Turuncu, bir alt risk grubunda. Maviye geçiş bir karara, bir de hıza bağlı.</t>
  </si>
  <si>
    <t>1420495914108657673</t>
  </si>
  <si>
    <t>Eskişehir’in kararı Mavi. 
En az 1 doz aşılanma oranı %75’in üzerine çıktı.</t>
  </si>
  <si>
    <t>1420494255194247172</t>
  </si>
  <si>
    <t>Aydın’ın kararı Mavi.
En az 1 doz aşılanma oranı %75’in üzerine çıktı.</t>
  </si>
  <si>
    <t>1420492637551874061</t>
  </si>
  <si>
    <t>Koronavirüs size bulaşırsa vücudunuz ne yapacağını bilsin. Aşınızı olun.</t>
  </si>
  <si>
    <t>1420472557992611853</t>
  </si>
  <si>
    <t>Birinci önceliğimiz, tüm vatandaşlarımızın sorumluluk alarak ve sorumlu bir birey olarak kendi tedbirlerini alması ve aşı olarak topluma karşı ödevini yerine getirmesidir. https://t.co/8KKL3tEH1v</t>
  </si>
  <si>
    <t>1420460077744537600</t>
  </si>
  <si>
    <t>Salgın yönetimi açısından aşıların etki süresi ve etkinliği son derece önemli. Ön değerlendirmemiz risk grubu ve ileri yaşlar için 3. doz aşının gerekli olduğunu gösteriyor. https://t.co/E4bHO9hvtL</t>
  </si>
  <si>
    <t>1420455185357361154</t>
  </si>
  <si>
    <t>Hastanede yatan hastalarımızın %95'i aşısı tamamlanmamış kişiler. https://t.co/YPL2uo1x4y</t>
  </si>
  <si>
    <t>1420450798413168646</t>
  </si>
  <si>
    <t>Artan vaka sayılarının aşı programımız toplum bağışıklığı hedefine ulaşamadan yeni bir varyantın baskın hale gelmesi ve aşı ile bağışıklık programımızı sekteye uğratma riski var. https://t.co/4iwYrCNzLY</t>
  </si>
  <si>
    <t>1420447927638630403</t>
  </si>
  <si>
    <t>Manavgat’ta çıkan yangından 62 kişi etkilendi. 3’ü yanık, 2’si kırık, 57’siyse dumana maruz kalma sebebiyle tedavi altına alındı. 112 ambulanslarımız, mobil komuta aracımız, UMKE ekiplerimiz olay yerinde. Devlet Hastanemizin tahliyesi söz konusu değil. Hepimize büyük geçmiş olsun</t>
  </si>
  <si>
    <t>1420441737588363271</t>
  </si>
  <si>
    <t>Vakalar salgının kontrol altına alınmasını zorlaştıracak düzeyde. Bu riski ortak irade ve hepimizin lehine olacak kararla durdurmalıyız. Tedbirlere uymalı ve aşı olmayanlar aşısını yaptırmalıdır. İlk dozu hemen, ikinci ve üçüncü dozu zamanı gelir gelmez! https://t.co/RVlhe7786O https://t.co/fR5SeCVvuv</t>
  </si>
  <si>
    <t>1420439046690639879</t>
  </si>
  <si>
    <t>CANLI: Bilim Kurulu Toplantımızın ardından Basın Açıklamamız: 
https://t.co/6eykWYIPPZ</t>
  </si>
  <si>
    <t>1420425794699022341</t>
  </si>
  <si>
    <t>Söke Acil Sağlık Hizmetleri İstasyonunda görev yapan acil tıp teknikeri arkadaşımız Erol Yıldız, aşı görevlisi olarak gittiği fabrikada insan kaynakları biriminde çalışan eşi Fatma Yıldız'ın ilk aşısını yaptı. Daha önce Covid-19 geçiren Fatma Hanım, herkese aşı olmasını öneriyor. https://t.co/6s7dMo2VoI</t>
  </si>
  <si>
    <t>1420395248077967362</t>
  </si>
  <si>
    <t>AŞIDA 27 TEMMUZ: Dün 1 Milyon 144 Bin 837 doz aşı uygulandı. İlk doz aşısını yaptıranların sayısı 219.973. İkinci doz aşısını yaptıranların sayısı 722.598. Üçüncü doz aşısını yaptıranların sayısı 202.266. İlk doz aşısını henüz yaptırmayanların sayısı 22.124.434’e indi.</t>
  </si>
  <si>
    <t>1420356661911429125</t>
  </si>
  <si>
    <t>SON DAKİKA: En az bir doz aşı yaptıranların sayısı 40 Milyonu geçti.</t>
  </si>
  <si>
    <t>1420305182408257537</t>
  </si>
  <si>
    <t>Son bir haftada vaka sayısı en çok artan illerimiz; Siirt, Diyarbakır, Bitlis, Giresun ve Iğdır. Vaka sayılarındaki artış ve aşılanma oranları arasında ilişki var. Aşı olup tedbirlere uyun. https://t.co/AKGe6cV87R</t>
  </si>
  <si>
    <t>1420300682108747781</t>
  </si>
  <si>
    <t>İllerimizde 100.000 nüfusa karşılık gelen bir haftalık toplam vaka sayısını gösteren insidans haritasının güncel halini ekte görebilirsiniz. Salgını kontrol altında tutma gücümüzü zora sokmayalım. Aşı olup tedbirlere uymak zorundayız. https://t.co/L8lOdq94Vx</t>
  </si>
  <si>
    <t>1420297556102373376</t>
  </si>
  <si>
    <t>27 TEMMUZ, 1 MİLYONUNCU DOZ
Aşı Olan: Hatice Yenigün (34)
Aşı: Sinovac, 2. Doz
Aşıyı Yapan: İrem Özay
Sorumlu Hekim: Fidan Yıldız Ünal
Aşının Zamanı: 18.05
Yer: İstanbul Okan Üniversitesi
Sağlık Uygulama ve Araştırma Merkezi, Tuzla https://t.co/ClCFjwtfOH</t>
  </si>
  <si>
    <t>1420104969865281544</t>
  </si>
  <si>
    <t>Kolay gelsin diyorlar, aşılarını yapıyorlar. Aşı ekiplerimiz, sağlık kurumlarımıza gelecek zamanı olmayan tarım işçilerinin aşılarını yapabilmek için tarlalarda. Fotoğraf Bafra’nın Yeşilyazı mahallesinden. https://t.co/pjebe5QGxZ</t>
  </si>
  <si>
    <t>1420099681418465281</t>
  </si>
  <si>
    <t>Sevcan Orhan: Aşılar uygulanmaya başladığından beri hastaneye yatış ve can kaybı oranı ne kadar azaldı farkında mısınız? Herkes aşı olduğunda bizi çok daha güzel günler karşılayacak. Lütfen, siz de aşınızı olun. https://t.co/xUKjBLpNsX</t>
  </si>
  <si>
    <t>1420091543243956228</t>
  </si>
  <si>
    <t>Günlük vaka sayısı 20 bine yaklaştı. Salgınla mücadelenin kurallarına uyarsak ortalama bir hafta sonra sonuç almaya başlar, aşımızı yaptırırsak salgına son vermek için harekete geçmiş oluruz. İlk doz aşılar gibi, zamanı gelmiş ikinci ve üçüncü doz aşılar da son derece önemli.</t>
  </si>
  <si>
    <t>1420089486072029184</t>
  </si>
  <si>
    <t>Beyazıt Öztürk: Hiçbirimizin yapısı birbirimizden ayrı kalmaya, hayatı kısıtlamalarla yaşamaya uygun değil. Bugünleri bir daha yaşamamak için aslında yapmamız gereken şey çok basit. Normalleşmek için bilime ve aşıya güvenin. https://t.co/cKHEfj3nXK</t>
  </si>
  <si>
    <t>1420082321097732096</t>
  </si>
  <si>
    <t>Salgının kontrol altında tutulmasını tedirgin edici seviyede vaka sayılarına ulaştık. Bunu durduracak olan göstereceğimiz iradedir. Tedbirlere uyup aşınızı olun. https://t.co/RVlhe7786O https://t.co/jA4OTgjtcZ</t>
  </si>
  <si>
    <t>1420066157369995266</t>
  </si>
  <si>
    <t>AŞILARI AYNI ANDA YAPILDI! Kırşehir Kaman’da aşı için başvuran 18 yaşındaki üçüz kız kardeşler Hasibe, Aslı ve Buse'nin aşıları sağlık çalışanımız Rabia, Temel ve Gökmen tarafından aynı anda yapıldı. Salgınla mücadeleye kattıkları bu renkli an için kendilerine teşekkür ettik. https://t.co/A5pDybOU9s</t>
  </si>
  <si>
    <t>1419984492345843716</t>
  </si>
  <si>
    <t>26 TEMMUZ, 1 MİLYONUNCU AŞI
Aşı Yaptıran: Hatice Mermer (51)
Aşı: Biontech, 2. Doz
Aşıyı Yapan Hemşire: Nevin Özdemir
Sorumlu Hekim: Mehmet İlker Uludağ
Aşının Yapılma Zamanı: 15.49 
Yer: Dr. Sadettin Bilgiç Devlet Hastanesi
Isparta, Şarkikaraağaç https://t.co/OlP0J6AQZy</t>
  </si>
  <si>
    <t>1419947139346612225</t>
  </si>
  <si>
    <t>AŞIDA 26 TEMMUZ: Toplam 1 milyon 367 bin 872 doz aşı uygulandı. İlk doz aşısını yaptıranların sayısı 244.868. İkinci doz aşısını yaptıranların sayısı 910.136. Üçüncü doz aşısını yaptıranların sayısı 212.868. İlk doz aşısını henüz yaptırmayanların sayısı 22.344.407’e indi.</t>
  </si>
  <si>
    <t>1419924555351662592</t>
  </si>
  <si>
    <t>Adıyaman ve Kahramanmaraş, çok yüksek riskli il (Kırmızı) kategorisinden yüksek riskli il (Turuncu) kategorisine geçti. Aşılarımızı yaptırarak riski en az düzeye indirelim.</t>
  </si>
  <si>
    <t>1419772764773306375</t>
  </si>
  <si>
    <t>Vaka sayılarındaki artış hızı salgını kontrol altında tutmayı güçleştiriyor. Aşı ile bağışıklık kazanmadan tedbirlerden taviz vermenin telafisi acı tecrübelere sebep olabilir. Tedbirlere uyun, aşınızı olun. https://t.co/RVlhe7786O https://t.co/h04jKF887Z</t>
  </si>
  <si>
    <t>1419709634697383936</t>
  </si>
  <si>
    <t>AMASYA MAVİYE GEÇTİ.
Amasya artık düşük riskli iller arasında. En az bir doz aşı olanların oranı %75’in üzerinde. Salgınla mücadelenin kurallarına uyum yüksek. Amasya’yı kutluyoruz. Mavi haberlerimiz çok olsun!</t>
  </si>
  <si>
    <t>1419380129613197313</t>
  </si>
  <si>
    <t>Covid-19’la mücadelenin kurallarına uymaz ve aşımızı hemen ilk fırsatta yaptırmazsak, salgını durdurmak uzun sürebilir. Ödediğimiz bedelleri, yaşadığımız kısıtları, maddi ve manevi kayıpları düşünün. Ne çok insanı kaybettiğimizi hatırlayın. Salgın aşısız yenilmez. Aşınızı olun.</t>
  </si>
  <si>
    <t>1419354792569286666</t>
  </si>
  <si>
    <t>“Ne yapalım, böyle oldu” diyemeyiz. Hemen yapacağımız şeyler var!</t>
  </si>
  <si>
    <t>1419351056077701123</t>
  </si>
  <si>
    <t>Tedbirli olmaz ve aşı olmazsak salgını durdurmak çok uzun sürebilir. Ödediğimiz bedelleri, kaybettiğimiz sevdiklerimizi düşünün ve aşınızı olun. https://t.co/RVlhe7786O https://t.co/9Vi5uOZTqJ</t>
  </si>
  <si>
    <t>1419332563127181320</t>
  </si>
  <si>
    <t>Geri dönüp son 10 günü daha dikkatli yaşayamayız. Yarın bize bağlı!</t>
  </si>
  <si>
    <t>1419206101388627969</t>
  </si>
  <si>
    <t>Yaklaşık 23 Milyon kişi henüz aşı olmadı. 2. dozu olmayanların sayısı 17 Milyon. Çift doz aşı olup, 3. doz aşıya gelmeyenlerin sayısı 9 Milyona yakın. Aşıdan istediğimiz sonucu almak için süreci hızla tamamlamalıyız. Şu anki sorun, tedbirlerin esnetilmesidir. Kontrolü ele alalım.</t>
  </si>
  <si>
    <t>1419199322781069314</t>
  </si>
  <si>
    <t>Fırat Kalkanı bölgesinde bir askeri aracımıza teröristlerce yapılan saldırıda iki askerimiz şehit oldu. İki askerimiz yaralı. Milletimizin iki kahramanına Allah’tan rahmet, yakınlarına sabır, yaralılarımıza acil şifa diliyorum. Milletimizin başı sağ olsun. https://t.co/nkDkKinCor</t>
  </si>
  <si>
    <t>1419043313710256133</t>
  </si>
  <si>
    <t>BUGÜNKÜ VAKA SAYISI 12.381. Yeni vaka sayıları, bildiğimiz gibi ortalama 1 hafta önceki temaslardan kaynaklanıyor. Bu demektir ki, yakın günlerde, halen salgın şartlarında yaşadığımızı, bugünkü sonuca yol açacak düzeyde unuttuk. AŞI VE TEDBİRLE YENİDEN MÜCADELEYE DÖNELİM.</t>
  </si>
  <si>
    <t>1419011474949910528</t>
  </si>
  <si>
    <t>Bugünkü vaka sayısı 12.381. Aşı ve tedbirle yeniden mücadeleye dönelim.</t>
  </si>
  <si>
    <t>1419009849023680515</t>
  </si>
  <si>
    <t>Vaka sayılarındaki artış devam ediyor. Bu durum hastaneye yatışlara da yansıyabilir. Bundan korunmanın yolu tedbirlere uymak ve aşı olmak. Vakit kaybetmeyin aşınızı olun. Tedbirden taviz vermeyin. https://t.co/RVlhe7786O https://t.co/53MqAR5VvO</t>
  </si>
  <si>
    <t>1418973222993805315</t>
  </si>
  <si>
    <t>ABLASININ 3. DOZ AŞISINI YAPTI. Aydın Karacasu Toplum Sağlığı Merkezinde görevli Ebe Deniz Engür Karancı, hemşirelikten emekli kardeşi Pınar Mehri Şanlıer’in 3. doz Biontech aşısını kendisi yaptı. Deniz hanımın aşıyı erteleyenlere bir mesajı var: “BİZ SAĞLIKÇILARI ÖRNEK ALIN.” https://t.co/WIus0hIjYR</t>
  </si>
  <si>
    <t>1418958203958747142</t>
  </si>
  <si>
    <t>BABA VE DOKTOR KIZI AŞIDA. Dr. Gizem Ertürk Kastamonu Devrekâni İlçe Devlet Hastanesinde çalışıyor. Babası Rafet Bey sağlık memuru, annesi ebe. Tüm aile Covid-19 ‘a yakalanmışlardı. Hastalığı ağır geçirdiler. Dr. Gizem’in aşısını, çocukluk aşıları gibi, babası yaptı. https://t.co/p60XDJr6nb</t>
  </si>
  <si>
    <t>1418662125296361476</t>
  </si>
  <si>
    <t>ANNE KIZ AŞIDA! Huriye Hanımla kızı Yadigâr, aşılarını Buca Seyfi Demirsoy Eğitim ve Araştırma Hastanesinde yan yana yaptırdılar. Huriye Hanım ikinci doz konusunda kararsızmış. Yadigâr, aşı neden şart, anlatmış. Anne sevgisi ve doğru bilgi! İkisi birlikte sorunu çözmüş. https://t.co/u5uotEO0xG</t>
  </si>
  <si>
    <t>1418660637757120513</t>
  </si>
  <si>
    <t>Bugünkü vaka sayısı: 11.094
Esneklikten sıkı tedbire dönmeli ve ilk doz aşımızı hemen yaptırmalıyız.</t>
  </si>
  <si>
    <t>1418620136458620931</t>
  </si>
  <si>
    <t>Aşısı bulunduğu halde, yıkıcı etkisi süren bir bulaşıcı hastalık yok. Toplum bağışıklığı sağlandıkça, Covid-19’da da vaka sayıları önemsiz hale gelecek. Kurumlarımız gece gündüz emrinizde, sağlık çalışanlarımız hizmetinizde. İlk doz aşınızı olmadıysanız hemen yaptırın.</t>
  </si>
  <si>
    <t>1418615591850680327</t>
  </si>
  <si>
    <t>Yarın bugünden daha iyi olsun istiyorsanız tedbirlere uyun. Aşınızı olun. Verilen emekler milletçe hepimizin emeğidir. https://t.co/RVlhe7786O https://t.co/Kznv6BiGfd</t>
  </si>
  <si>
    <t>1418608247293071365</t>
  </si>
  <si>
    <t>Aşı kampanyamızda toplam 65 MİLYON DOZU geçtik. Başarı ortak ve büyük. Fakat, 18 yaş ve üstü nüfusta henüz aşı olmayanların sayısının 23 Milyona yakın olduğunu unutmayalım. Bu da ciddi bir zayıf noktamız. ERTELEMEDEN İLK DOZU YAPTIRALIM.</t>
  </si>
  <si>
    <t>1418602314890301453</t>
  </si>
  <si>
    <t>Kasım ayında bütün aile Covid-19 geçiren Hemşire Ayşe Kuşçu, bu kez kardeşi Recep’in aşısını yapıyor. Hatay’da görev yapan arkadaşımızın aşıyı erteleyenlere önerisi: “Bir an önce!” https://t.co/uPDLqnhjX6</t>
  </si>
  <si>
    <t>1418599641432543234</t>
  </si>
  <si>
    <t>Ayaktaki, Hemşire Ayşe Kuşçu. Oturan, Hemşire Gamze Dağcı. Hemşire hanım, hemşire hanımın aşısını yapıyor. Hatay’da görevli iki arkadaşımız da Covid-19 geçirmişti. İkisi de aşının önemini hem hasta, hem sağlık çalışanı olarak iyi biliyor. https://t.co/mxMhX1iRnU</t>
  </si>
  <si>
    <t>1418597179388801026</t>
  </si>
  <si>
    <t>Aşı kampanyamızda 65 Milyon dozu geçtik. Aşısını yaptıranlar arasında yerimizi alalım.</t>
  </si>
  <si>
    <t>1418595326659866624</t>
  </si>
  <si>
    <t>Hekim adayı bir kardeşimizin acısı yüreğimizi yaktı. Kırıkkale Tıp Fakültesi öğrencisi Onur Alp Eker’in cansız bedenine ulaşıldığını öğrendik. Bayramın ilk günü, dağlık alana kaçan kurbanlık koyunu bulmaya çalışırken kaybolmuştu. Ailesine, arkadaşlarına başsağlığı diliyorum. https://t.co/DqekdDSLie</t>
  </si>
  <si>
    <t>1418313136260751363</t>
  </si>
  <si>
    <t>Vaka sayılarının 1 gün, birkaç gün içinde düşmediğini deneyimlerimizle biliyoruz. Yarın muhtemelen daha yüksek bir sayıyla karşılaşacağız. Sonraki günleri uyacağımız kurallar, yaptıracağımız aşılar belirleyecek. Almak istediğimiz sonuca göre hareket edelim. Kararlı davranalım.</t>
  </si>
  <si>
    <t>1418307214465511436</t>
  </si>
  <si>
    <t>%63’ümüz en az bir doz aşımızı olduk. Aşılanma oranı daha düşük olsaydı, bugün daha yüksek vaka sayılarıyla karşılaşacaktık. ZAYIF NOKTAMIZ, salgınla mücadelenin kuralları konusunda yorulmuş olmamız ve bazılarımızın aşıyı ertelemesidir. Kurallarla, aşıyla kontrolü ele alalım.</t>
  </si>
  <si>
    <t>1418305899270115328</t>
  </si>
  <si>
    <t>Yeni vaka sayıları 2 haftada 2 katına çıktı. Çözüm: Şu andan itibaren sıkı tedbir, ilk fırsatta aşı. İlk doz ve devam dozları için sağlık kurumlarımız gece gündüz emrinizde. 9.586 olan vaka sayısını geriletelim.</t>
  </si>
  <si>
    <t>1418266044481802251</t>
  </si>
  <si>
    <t>Bugün son zamanların en yüksek vaka sayısına ulaştık. Aşı ile güvence altına alınmadan salgın gündemden çıkmaz. Tedbirinizi alın aşınızı olun. Bu toplumsal sorumluluğumuz. https://t.co/vKWJp8FNML</t>
  </si>
  <si>
    <t>1418259509605175296</t>
  </si>
  <si>
    <t>Son bir haftada vaka sayısı en çok artan illerimiz; Siirt, Giresun, Bingöl, Diyarbakır ve Kırıkkale. Aşı İle Toplumsal bağışıklık elde edilene kadar tedbirlere uymak zorundayız. Sevdiklerinizi tehlikeye atmayın. https://t.co/8LKN9y8hqw</t>
  </si>
  <si>
    <t>1418249214614777856</t>
  </si>
  <si>
    <t>İllerimizde 100.000 nüfusa karşılık gelen bir haftalık toplam vaka sayısını gösteren insidans haritasının güncel halini ekte görebilirsiniz. Aşı programını ne kadar kısa sürede tamamlayabilirsek o kadar kısa sürede salgın gündemi dışında kalırız. https://t.co/IoOSIR3VRc</t>
  </si>
  <si>
    <t>1418247850060886019</t>
  </si>
  <si>
    <t>Artvin Arhavi’de, yoğun yağmur kaynaklı selin yol açtığı afette yedi adet 112 ambulans, 1 UMKE timi görevlendirildi. Göçük altında kalan 1 kişinin hastaneye nakli yapıldı. Durumu iyi. Arhavi Devlet Hastanesi hasta kabulüne tekrar başladı. Geçmiş olsun Artvin, sağlığın için varız!</t>
  </si>
  <si>
    <t>1418219028833660936</t>
  </si>
  <si>
    <t>Gaziantep İl Ambulans Başhekimliğinde görevli bir ekibimiz vaka dönüşündeydi. Yolda önlerine bir kuş düştü. Dönüp aldılar, ayağı kırılmış. Yaralarına pansuman yaptılar. İstasyona getirdikleri kuş iyileşene kadar orada kalacak. Sağlık çalışanı kalbi! Sağ olun arkadaşlar. https://t.co/NwhUTd0K3T</t>
  </si>
  <si>
    <t>1418187750684102661</t>
  </si>
  <si>
    <t>Bir süredir kalp rahatsızlığı olan tiyatro sanatçısı Turgay Yıldız’ı kaybettik. Hastamızın tedavisi son olarak Ankara Şehir Hastanesinin yoğun bakım biriminde devam ediyordu. Kendisine Allah’tan rahmet, ailesine, sevenlerine başsağlığı diliyorum.</t>
  </si>
  <si>
    <t>1418180335263784963</t>
  </si>
  <si>
    <t>Aşı ve tedbirlerle sağlanacak toplumsal bağışıklığın aksi, kısır döngüdür. Salgını bitirmek için tedbirlere uyun, aşınızı olun. Ya tedbir ve aşı, ya kısır döngü!</t>
  </si>
  <si>
    <t>1418104040647389188</t>
  </si>
  <si>
    <t>“Biraz daha zaman geçsin oluruz!” Ya biraz geç olursa? Günlük vaka sayısı 8.780’e kadar çıktı. Ertelemişseniz aşınızı hemen yaptırın.</t>
  </si>
  <si>
    <t>1417894788855107589</t>
  </si>
  <si>
    <t>Bayram artan vaka sayılarını kontrol altına alabilmek için son derece önemli. Aşı olup tedbirlere uyarak toplumsal bağışıklık sağlanırsa salgın biter. Aksi kısır döngü. Tedbirlere uyun, aşınızı olun. https://t.co/RVlhe7786O https://t.co/qQRGAcTxWb</t>
  </si>
  <si>
    <t>1417889659271749632</t>
  </si>
  <si>
    <t>28 yaşındaki Ahmet Yılmaz, ikinci doz aşıların tamamlandığı Kütahya merkeze bağlı İncik köyünde ilk doz aşısını henüz olmamış son kişiydi. Ekiplerimizi köy girişinde karşıladı ve aşısını yaptırdı. https://t.co/3C5U1AJGFv</t>
  </si>
  <si>
    <t>1417877877996015620</t>
  </si>
  <si>
    <t>Kahramanmaraş İl Ambulans Servisi Başhekimliğine ait bir ambulansımız hasta nakli sırasında kaza yaptı. Ağır yaralanan sürücümüz yetiştirildiği hastanede tüm müdahalelere rağmen kurtarılamadı. 2’si sağlık personeli, 5 kişinin tedavisi sürüyor. Allah benzer acı yaşatmasın.</t>
  </si>
  <si>
    <t>1417587420799848462</t>
  </si>
  <si>
    <t>Bugünkü yeni vaka sayısı 8.780.
Tatil boyu hiçbir şey bu sayıya hizmet etmemeli.</t>
  </si>
  <si>
    <t>1417555156854616067</t>
  </si>
  <si>
    <t>İki doz aşı vaka sayılarının önünü keser. İki doz aşı vaka sayılarında artık geri dönüşü olmayacak düşüşü sağlar. Bayramın tadını bozmadan çok dikkatli olalım. Kalıcı çözüm, aşıyla kazanılacak bağışıklıktır. Bugünkü yeni vaka sayısı 8.780. TÜRKİYE’NİN HER YERİNDE AKLIMIZDA OLSUN.</t>
  </si>
  <si>
    <t>1417550699655749634</t>
  </si>
  <si>
    <t>Vaka sayılarındaki artışı engelleyecek olan bir an evvel iki doz aşı olarak bağışıklık elde etmektir. Bayram salgın hastalık için fırsata dönüşmemeli. Sevinç ve teyakkuz bir arada olabilir. https://t.co/RVlhe7786O https://t.co/m3MwgC78M7</t>
  </si>
  <si>
    <t>1417527165713854472</t>
  </si>
  <si>
    <t>Dönüşe bırakmayın.
Bulunduğunuz yerde aşınızı şimdi yaptırın. Sağlık kurumlarımız, ilk doz ve devam dozu aşıları için hizmetinizde.</t>
  </si>
  <si>
    <t>1417477721236676619</t>
  </si>
  <si>
    <t>Mayıs ayında Covid-19’a yakalanan anestezi uzmanı arkadaşımız Dr. Volkan Yarar, 20 gün yoğun bakımda, 45 gün de serviste hayat mücadelesi verdi. Balıkesir Atatürk Şehir Hastanesinde tekrar aramızda. Covid yoğun bakım hastalarıyla ilgilenirken aşı polikliniğine de yardımcı oluyor. https://t.co/eDlt9tsMoT</t>
  </si>
  <si>
    <t>1417441774092623885</t>
  </si>
  <si>
    <t>Önümüzdeki bayramların hazırlığına bugünden başlamalıyız. Video sohbetimize iki dakika ayıralım. Kurban Bayramımız mübarek, SEVİNÇLERİMİZ BÖYLE BÜYÜK VE BİR OLSUN. https://t.co/M42xGh3syd</t>
  </si>
  <si>
    <t>1417333782596788224</t>
  </si>
  <si>
    <t>Yeri geldi tarlalara gittik. Köy bahçelerinde, kent meydanlarında buluştuk. Şimdi bayrama girerken, en az bir doz aşısını yaptıranların sayısı 39 Milyonun üzerinde. Aşı olanların, ev ev dolaşıp aşı yapanların, büyüklerimizin, ülkemizin her bir insanının Bayramını kutluyorum. https://t.co/RKzH0H3NNG</t>
  </si>
  <si>
    <t>1417196242824835073</t>
  </si>
  <si>
    <t>Buluşmak, bulaşmak.
İkisi birbirini andırıyor. Bayramda mesafeyi koruyalım.</t>
  </si>
  <si>
    <t>1417182700591587328</t>
  </si>
  <si>
    <t>Buluşmak güzel de, hasta ayrılmak var. Bayramda dikkatli olalım.</t>
  </si>
  <si>
    <t>1417175248106053633</t>
  </si>
  <si>
    <t>Vaka sayıları geçen haftaya kıyasla yaklaşık %30 oranında artış gösterdi. Bayram telaşı ve neşesi içinde tedbirleri hafife almayın. Kapalı ve kalabalık ortamlardan uzak durun. Bayrama gölge düşürecek tedbirsizliklerde bulunmayın. https://t.co/RVlhe7786O https://t.co/E6Tm3XLuz3</t>
  </si>
  <si>
    <t>1417165699055771650</t>
  </si>
  <si>
    <t>EN AZ BİR DOZ aşısını yaptıranların sayısı 39 Milyonu geçti.
Bu sayı, 18 yaş ve üstü nüfusun yaklaşık %63’üne karşılık geliyor.</t>
  </si>
  <si>
    <t>1417163724855681026</t>
  </si>
  <si>
    <t>İKİ DOZ aşısını yaptıranların sayısı 20 milyonu geçti.
Bu sayı, 18 yaş ve üstü nüfusun yaklaşık %33’üne karşılık geliyor.</t>
  </si>
  <si>
    <t>1417162010203234304</t>
  </si>
  <si>
    <t>Bulaşın kolaylaştığı ortamlara bağlı olarak, vaka sayısı artıyor. Bir hafta önce 5.261 olan yeni vaka sayısı dün 7.680. Biraz daha özen bayram sevincimizi sürdürür, bayramdan sonrasını hasta geçirmemizi önler.</t>
  </si>
  <si>
    <t>1417052877219061769</t>
  </si>
  <si>
    <t>Taraftarlarına aşı olun çağrısı yapan futbol kulüplerimize ve KULÜPLER BİRLİĞİNE TEŞEKKÜR ediyorum. Aşımızı olalım ki, tribünlere tam kadro çıkalım. https://t.co/5D05TOSWFN</t>
  </si>
  <si>
    <t>1417041890285920256</t>
  </si>
  <si>
    <t>Taraftar, tribünlere tam kadro çıkmalı. Kendimizi hastalıktan korumak için aşılarımızı yaptıralım. Gösterdiği hassasiyet için Trabzon Spor Kulübüne teşekkür ediyorum. https://t.co/mFFG0QXQH2</t>
  </si>
  <si>
    <t>1416820065266188289</t>
  </si>
  <si>
    <t>Taraftar, tribünlere tam kadro çıkmalı. Kendimizi hastalıktan korumak için aşılarımızı yaptıralım. Gösterdiği hassasiyet için Beşiktaş Spor Kulübüne teşekkür ediyorum. https://t.co/ZTcZteK1n3</t>
  </si>
  <si>
    <t>1416817648487239683</t>
  </si>
  <si>
    <t>Taraftar, tribünlere tam kadro çıkmalı. Kendimizi hastalıktan korumak için aşılarımızı yaptıralım. Gösterdiği hassasiyet için Galatasaray Spor Kulübüne teşekkür ediyorum. https://t.co/1v1UkYeblp</t>
  </si>
  <si>
    <t>1416815179329937409</t>
  </si>
  <si>
    <t>Taraftar, tribünlere tam kadro çıkmalı. Kendimizi hastalıktan korumak için aşılarımızı yaptıralım. Gösterdiği hassasiyet için Fenerbahçe Spor Kulübüne teşekkür ediyorum. https://t.co/Qvxa7C7WPf</t>
  </si>
  <si>
    <t>1416812525727911940</t>
  </si>
  <si>
    <t>Aydın, İzmir ve Tekirdağ maviye yaklaştı. Tedbirlere taviz vermeden uyalım. Bayramda tedbirlere uymak bayram sonrasını da bayram eder. https://t.co/RVlhe7786O https://t.co/poxlHlh5N6</t>
  </si>
  <si>
    <t>1416811012725121028</t>
  </si>
  <si>
    <t>RİZE’DE dört gün önce yaşanan afetin ardından, acil sağlık ekiplerimiz, bu kez, olaydan etkilenen köyleri ev ev gezerek vatandaşlarımızın sağlık kontrollerini yaptı. Geçmiş olsun Rize. Allah benzer acılar yaşatmasın. https://t.co/UzTsZpzsgh</t>
  </si>
  <si>
    <t>1416477516932558850</t>
  </si>
  <si>
    <t>VAN, DAĞSU YAYLASI. Hemşire arkadaşımız Viyan Çakır, aşı olacak kişilerin kaydını sisteme girebilmek için önce 2.700 metre yükseklikteki internet erişimini yakaladı. Sonra da Dağsu yaylasında, 1.950 metre yükseklikte yaşayan vatandaşlarımızın aşılarını yaptı. https://t.co/dPMfqjTTSS</t>
  </si>
  <si>
    <t>1416450749257723904</t>
  </si>
  <si>
    <t>GAZAL TEYZE, aşısını yapan sağlık personelimizi alnından öptü. Biz de senin ellerinden öpüyoruz Gazal teyze. Sağlığın önce Allah’a sonra bize emanet. https://t.co/4ISg9BZPwy</t>
  </si>
  <si>
    <t>1416443645222440960</t>
  </si>
  <si>
    <t>Bayrama az kaldı. Bayram öncesi 18 yaş ve üzeri nüfusun en az bir doz aşı olması hedefimiz için gayret edelim. Aşı ile salgını gündemden çıkaralım. https://t.co/RVlhe7786O https://t.co/ZA4CXjJsd0</t>
  </si>
  <si>
    <t>1416436709496139779</t>
  </si>
  <si>
    <t>Hayaller gerçek oluyor. Bir şehir hastanemiz daha hizmete alınıyor. Bugün, Sayın Cumhurbaşkanımızın teşrifleri ile Erzurum Şehir Hastanemizin açılışını gerçekleştiriyoruz. Erzurumumuza ve Erzurumlulara hayırlı uğurlu olsun. https://t.co/OUbNIZPmQk</t>
  </si>
  <si>
    <t>1416406061934907400</t>
  </si>
  <si>
    <t>RT @RTErdogan: Erzurum’da Yapımı Tamamlanan Projelerin Açılış Töreni
https://t.co/fSGw1yDrJh</t>
  </si>
  <si>
    <t>1416395716155609095</t>
  </si>
  <si>
    <t>Sayın Cumhurbaşkanımızın teşrifleriyle, Erzurum Şehir Hastanemizin açılışını gerçekleştiriyoruz. https://t.co/oqoKjJVfjD</t>
  </si>
  <si>
    <t>1416393589333102592</t>
  </si>
  <si>
    <t>Sağlıkçıların sayısalı iyi olur.
Bayrama 3 gün kala, 1 milyon 132 bin 517 doz daha!</t>
  </si>
  <si>
    <t>1416142070704656392</t>
  </si>
  <si>
    <t>Aşı Yaptıran: Nurhan Gönül (46)
Aşıyı Yapan Hemşire: Zübeyde Küçük
Aşıdan Sorumlu Hekim: Nihat Bayrak
Aşının Yapılma Zamanı: 19.46
Yer: Çekirge Devlet Hastanesi
1 MİLYONUNCU DOZ aşının, 999.999’uncu doz aşıdan birden çok farkı var. Biri heyecan! https://t.co/6T9DArjIip</t>
  </si>
  <si>
    <t>1416132829298233344</t>
  </si>
  <si>
    <t>DÜN 510 KİŞİYE AŞI YAPTI.
Afyonkarahisar Devlet Hastanesinde görevli hemşire Nihal Gök, dün 510 kişiye aşı yaptı. Fotoğrafa dikkat edin. Sıra bekleyen varsa daha da yaparım diyor. Elleriniz dert görmesin Nihal Hanım. https://t.co/Kx40U9f6BX</t>
  </si>
  <si>
    <t>1416116568380133379</t>
  </si>
  <si>
    <t>18 yaş ve üstü nüfusun üçte birine yakını, yani 20 Milyon kişi, iki doz aşısını da yaptırmış durumda. ARTIK ÜÇTE BİRİMİZ ÇİFT DOZ AŞILIYIZ! https://t.co/rYdx7kfvha</t>
  </si>
  <si>
    <t>1416114120148070405</t>
  </si>
  <si>
    <t>Balıkesir bayramı bayram gibi kutlamayı hak etti. Balıkesir artık mavi kategoride. Bayramdan önce en az bir doz aşımızı olarak mücadelede yerimizi alalım. https://t.co/RVlhe7786O https://t.co/L8Ln88L9cn</t>
  </si>
  <si>
    <t>1416082502679138313</t>
  </si>
  <si>
    <t>1 MİLYON DOZU GEÇTİK. Üstüne konacak her yeni doz çok kıymetli. Salgına karşı kalıcı zaferi bize aşı sağlayacak.</t>
  </si>
  <si>
    <t>1416077654030274560</t>
  </si>
  <si>
    <t>Memlekete mi gidiyoruz?
Gitmeden aile hekimine bir uğrayalım.
Hem bayramlaşalım hem aşımızı olalım.</t>
  </si>
  <si>
    <t>1416063034355851267</t>
  </si>
  <si>
    <t>Toplam doz sayımız 62 Milyonun üstüne çıktı.</t>
  </si>
  <si>
    <t>1416059737989337090</t>
  </si>
  <si>
    <t>Turkovac-Coronovac 3. doz klinik çalışması Ankara Şehir Hastanesinde başladı. Çalışmaya 2 doz Sinovac aşısı yapılıp 2. dozun üzerinden 90 gün geçen 18-59 yaş arası gönüllüler katılıyor. YERLİ AŞININ SONUÇLANMASINA DESTEK İÇİN zemin kat aşı birimine bekliyoruz. Tel: 0312 552 60 19</t>
  </si>
  <si>
    <t>1415940605843329025</t>
  </si>
  <si>
    <t>İKİ DOZ SINOVAC %83,5 ETKİLİ. Türkiye’de Faz-3 çalışmaları tamamlanan Çin menşeli Sinovac aşısının (CoronaVac) iki doz etkinliğinin %83,5 olduğu belirlendi. 10 Bin 218 kişiyle yapılan araştırmanın sonuçları tıp dünyasının ünlü dergilerinden The Lancet’te yayımlandı. https://t.co/VUHtQ59CUg</t>
  </si>
  <si>
    <t>1415714609244352517</t>
  </si>
  <si>
    <t>Gaziantep ve Konya kırmızı kategoriden çıktı. Sıra Kahramanmaraş, Aksaray ve Adıyaman'da. Bayrama kadar aşımızı olarak güvenle bayramı karşılayalım. https://t.co/RVlhe7786O https://t.co/UmfdQnGpt2</t>
  </si>
  <si>
    <t>1415710528664702984</t>
  </si>
  <si>
    <t>Rize’de dün 19.22’de yaşanan sel felaketine karşı ilk ambulansımız olay yerine 19.40’ta ulaştı. 14’ü 112 ambulans, 6’sı UMKE timi; toplam 64 sağlık personeli görevlendirildi. Afette 6 kişi can verdi. 13 kişi etkilendi. 2 kişi için arama çalışması sürüyor. 1 kişi tedavi altında.</t>
  </si>
  <si>
    <t>1415647878664568832</t>
  </si>
  <si>
    <t>Biz milletiz. Sokaktaki insan, meydandaki halkız. Biz ekmeğini ve istikbalini, bayrağını kutsal bilenleriz. Bizim bir yüzümüz var. O gece, ikiyüzlülerin gerçek yüzüyle açtığı savaşın üstesinden geldik. 15 Temmuz şehitlerimizi rahmetle anıyoruz. Gazilerimizi saygıyla selamlıyoruz. https://t.co/37xWTzuQ2E</t>
  </si>
  <si>
    <t>1415565778489954306</t>
  </si>
  <si>
    <t>Saat 24.00’a kadar 1 Milyon 34 Bin 135 doz aşı daha yapıldı. Milyon dozlar, milyon dozlara eklendikçe hayat hepimiz için daha da iyi olacak.</t>
  </si>
  <si>
    <t>1415436084406890498</t>
  </si>
  <si>
    <t>Aşı yaptıran: Evren Durcan. Aşıyı yapan: Dr. Muhammet Gülle. Saat: 18.13. Bugün 1 Milyonuncu doz aşı İstanbul Bağcılar meydanındaki çadırımızda yapıldı. Geç saatte arkadaşlarımıza bu haberi verdiğimizde evlerine yeni dönmüşlerdi. Günün hatırası bir fotoğraf istedik. Gönderdiler. https://t.co/r6XrGwE5XF</t>
  </si>
  <si>
    <t>1415426988135886848</t>
  </si>
  <si>
    <t>Aşı programımızın başarısına rağmen vaka sayılarında artış eğilimi var. Bu salgının henüz bitmediğinin göstergesidir. Elbette yeniden kısıtlamalara ihtiyaç olacak bir gündemde değiliz. Ancak, tedbirlere uymaz ve aşımızı olmazsak telafisi güç günlerle karşılaşabiliriz. https://t.co/zG8czOCXbc</t>
  </si>
  <si>
    <t>1415391690114977798</t>
  </si>
  <si>
    <t>Elde edilen yeni bilgi ve tecrübelere göre 1. doz aşısı tamamlanan vatandaşlarımız için Sinovac aşısını olanlar 2. doz aşılarını 4 hafta sonra, Biontech aşısı olanlar ise 2. doz aşılarını ilk dozdan 3 hafta sonra olabilirler. https://t.co/0x9bjDLxC7</t>
  </si>
  <si>
    <t>1415389046155751425</t>
  </si>
  <si>
    <t>Bu bayram tedbirlere uyar ve aşımızı olursak el öpüp birbirimize sarılmadan geçireceğimiz son bayram olacak. Son kez bu bayram birbirimizle temastan uzak duralım. https://t.co/ttErZbJSAK</t>
  </si>
  <si>
    <t>1415385945378074624</t>
  </si>
  <si>
    <t>Hakkari kırmızı kategoriden turuncu kategoriye geçti. Bu örnek hızla kırmızı kategorideki illerimize yayılmalı. https://t.co/RVlhe7786O https://t.co/nTOPU4Cs8C</t>
  </si>
  <si>
    <t>1415384217387769865</t>
  </si>
  <si>
    <t>Maalesef vaka sayısı artan illerimizle aşılanma oranı arasında benzerlik var. Birkaç istisna dışında aşı olma oranı düşük olan illerimizde vaka sayıları bir önceki haftaya oranla birkaç kat yükseliyor. https://t.co/moSMZLlONQ</t>
  </si>
  <si>
    <t>1415381512531349507</t>
  </si>
  <si>
    <t>Başından beri bayramdan önce tüm 18 yaş ve üzeri vatandaşlarımızın en az 1 doz aşısını uygulamak istediğimizi ve Bayrama böyle ulaşmayı hedef olarak belirledik. https://t.co/IfimVZzQV0</t>
  </si>
  <si>
    <t>1415377845317210114</t>
  </si>
  <si>
    <t>CANLI: Bilim Kurulu Toplantımızın ardından Basın Açıklamamız:
https://t.co/tHuBs27NKP</t>
  </si>
  <si>
    <t>1415366262016909313</t>
  </si>
  <si>
    <t>60 Milyon dozu geçtik. 
Milyon doz sayısı arttıkça bağışıklığa çok daha yakınız.</t>
  </si>
  <si>
    <t>1415288249493426182</t>
  </si>
  <si>
    <t>Rahmetli Cem Karaca’nın seslendirdiği “Bu Son Olsun” şarkısını yeni sözlerle yeniden yorumlayarak aşı kampanyamızın sesi olan Sertab Erener’e teşekkür ederim. https://t.co/PEtpSDLMid</t>
  </si>
  <si>
    <t>1415010587118026758</t>
  </si>
  <si>
    <t>Vaka sayısının geçen haftaya göre en çok arttığı ilk 5 ilimiz, Siirt, Ağrı, Hakkari, Antalya ve Van. Zaman kaybetmeden aşımızı olalım. https://t.co/RVlhe7786O https://t.co/UyHMdeWyy1</t>
  </si>
  <si>
    <t>1414988688166162439</t>
  </si>
  <si>
    <t>Son bir haftada vaka sayısı en çok azalan illerimiz; Kars, Erzurum, Isparta, Kütahya ve Çorum. Aşı ile umudumuz artıyor. Henüz olmadıysanız aşınızı bir an evvel olun. https://t.co/SX1TSlBgCX</t>
  </si>
  <si>
    <t>1414981452710699014</t>
  </si>
  <si>
    <t>Bugün bir yiğidimiz şehit düştü. Uğradığı menfur saldırıda şehit düşen Hakkari İl Emniyet Müdür Yardımcımız Hasan Cevher'e Allah'tan rahmet, milletimize başsağlığı dilerim. https://t.co/e7V2BKqUkY</t>
  </si>
  <si>
    <t>1414974838503059461</t>
  </si>
  <si>
    <t>İllerimizde 100.000 nüfusa karşılık gelen bir haftalık toplam vaka sayısını gösteren insidans haritasının güncel halini ekte görebilirsiniz. Aşı ile umudumuz artıyor. Henüz olmadıysanız aşınızı bir an evvel olun. https://t.co/UoyZN8UGbH</t>
  </si>
  <si>
    <t>1414972734241656840</t>
  </si>
  <si>
    <t>59 Milyon dozu geçtik.
Milyon doz sayısı arttıkça bağışıklığa çok daha yakınız.</t>
  </si>
  <si>
    <t>1414889337234378752</t>
  </si>
  <si>
    <t>Balıkesir sonuca yakın: Ya gök mavisi ya deniz mavisi.</t>
  </si>
  <si>
    <t>1414683893454802944</t>
  </si>
  <si>
    <t>Sonuca bir il daha yaklaştık.
Edirne Mavi oldu.</t>
  </si>
  <si>
    <t>1414681538894209028</t>
  </si>
  <si>
    <t>Kardeşimiz Seyfullah Duran’la filyasyon çalışmaları sırasında tanışmıştık. 23 yaşında. Down sendromu var. Daha önce Covid-19 geçiren Seyfullah’ın birinci doz aşısı bugün Ordu Korgan Devlet Hastanesinde yapıldı. Aşısını, filyasyonunu da yapan Hemşire Kader Menteş’le uyguladı. https://t.co/u6fr4QcGZK</t>
  </si>
  <si>
    <t>1414667944009814017</t>
  </si>
  <si>
    <t>İlber Ortaylı: İnsanlık tarih boyu çeşitli salgın hastalıklarla mücadele etti. Bu salgın hastalıkların zulmünden ancak bazı hekimlerin bulduğu aşı sistemiyle kurtulabildi. Şu anda da bunların belki en korkuncu ve dayanıklısıyla savaşıyoruz. Koronavirüs’e karşı mutlaka aşılanalım. https://t.co/0T3l7R5MiD</t>
  </si>
  <si>
    <t>1414637622668972033</t>
  </si>
  <si>
    <t>Hoş geldin Edirne. Hedef nüfusun %75'inden fazlası aşı olan 4. Şehrimiz Edirne oldu. Tüm illerimizin en kısa sürede mavi renge dönmesi için aşınızı olun. https://t.co/RVlhe7786O https://t.co/mgNOLlo218</t>
  </si>
  <si>
    <t>1414632921554722822</t>
  </si>
  <si>
    <t>RT @RTErdogan: Kabine Toplantısı Sonrası Millete Sesleniş https://t.co/daljrZb4fH</t>
  </si>
  <si>
    <t>1414619744976654340</t>
  </si>
  <si>
    <t>Kırmızı kategorideki illerimizde vaka sayılarının düşüş eğilimini kontrol altında tutmak güçleşiyor. Mücadelede yerinizi almak için biran evvel aşınızı olun. https://t.co/RVlhe7786O https://t.co/ChfkZwdptt</t>
  </si>
  <si>
    <t>1414274901477838851</t>
  </si>
  <si>
    <t>Çevre ve Şehircilik Bakan Yardımcısı değerli hocamız. Marmara denizi aslına döndü, sizleri kutluyoruz. Haritamızda da yeri tertemiz beyaz. Aşılar yakında tamamlanınca Marmara’da karayla deniz aynı renge bürünecek. Masmavi haritayı hazırlıyoruz. https://t.co/ViY7d80pAo</t>
  </si>
  <si>
    <t>1414193792131940354</t>
  </si>
  <si>
    <t>1995 Srebrenitsa Soykırımının yıl dönümündeyiz. Soykırımda şehit olan kardeşlerimize Allah’tan rahmet, İzzetbegoviç’in “Unutulan soykırım tekrarlar.” dediği Bosna halkına başsağlığı diliyoruz. Simgeleşen bu çiçeğin bir adı da Hafıza Çiçeği. Toplu mezarların üzerinde belirmişti. https://t.co/vtKo6SPj7H</t>
  </si>
  <si>
    <t>1414184368147423232</t>
  </si>
  <si>
    <t>“Hürmet benliğimizden taşarak âleme yayılınca merhameti doğurur.” Düsturu ahlak, mesuliyet, şahsiyet ve hareket olan düşünür Nurettin Topçu aramızdan bir 10 Temmuz günü ayrılmıştı. Kendisini yâd etmemiz maalesef bugüne kaldı. Her yeni kuşak onun davasını daha iyi anlayacak. https://t.co/X1oUT4DaD5</t>
  </si>
  <si>
    <t>1414177354595938304</t>
  </si>
  <si>
    <t>Bugün mavi kategoriye eklenen ilimiz olmadı. Tüm illerimizde aşılanma oranını artırmadan toplumsal bağışıklık elde edemeyiz. Biran evvel aşınızı olun. https://t.co/RVlhe7786O https://t.co/4cL3l0NsG6</t>
  </si>
  <si>
    <t>1413922587076440065</t>
  </si>
  <si>
    <t>Hemşire Şule Tınas, Aydın Kadın Doğum ve Çocuk Hastalıkları Hastanesi aşı biriminde görev yapıyor. Kızı Sıla da Aydın Atatürk Devlet Hastanesinde radyoloji teknisyeni. Çocukluk çağı aşılarından bugüne Sıla’nın aşılarını annesi yaptı. Covid-19 aşısını da. https://t.co/hokpyWnsJv</t>
  </si>
  <si>
    <t>1413861205437988866</t>
  </si>
  <si>
    <t>Ahmet Özhan: Sorumluluk sahibi olan, insanları seven, kendinin ve toplumun sağlığını önemseyen herkes aşı olacaktır. Bundan hiç şüphem yok. https://t.co/OrEpDCJ30c</t>
  </si>
  <si>
    <t>1413823722490839041</t>
  </si>
  <si>
    <t>Acun Ilıcalı: Aşı olmamız lazım. Tonlarca sebebi var. Ama en önemlisi toplumca bağışıklık kazanmak. Haydi, hedefe ulaşmak için birlikte hareket edelim ve bir an önce aşımızı olalım. https://t.co/MIWD3eW9us</t>
  </si>
  <si>
    <t>1413820836860080129</t>
  </si>
  <si>
    <t>Tebrikler Kırklareli. 
Yüksek aşı oranıyla rengin artık hep Mavi!</t>
  </si>
  <si>
    <t>1413606461503119366</t>
  </si>
  <si>
    <t>Tebrikler Çanakkale. 
Yüksek aşı oranıyla rengin artık hep Mavi!</t>
  </si>
  <si>
    <t>1413606239494414343</t>
  </si>
  <si>
    <t>57 Milyon dozu geçtik. İlk doz aşısını yaptıranların oranı ise %60’ın üzerine çıktı. Randevu alın, bir an evvel siz de aşınızı yaptırın.</t>
  </si>
  <si>
    <t>1413592451953176583</t>
  </si>
  <si>
    <t>Sevginin, iyi davranışın hayvanlardan esirgenmesini anlamak mümkün değil. Azdır da. Her can sevgiyi hak eder. Sevgi ise bizim en insanca özelliğimiz. Hayvanları Koruma Kanununun Yüce Meclis’ten geçmiş olmasından çok mutlu oldum. Katkısı olanları kutlarım. https://t.co/wtmHpDYHW2</t>
  </si>
  <si>
    <t>1413552831391584265</t>
  </si>
  <si>
    <t>Aşı olma oranının düşük olduğu illerde vaka sayıları artmaya başladı. Hayat ilelebet sıkı tedbirle, hastalık bana bulaştı bulaşacak endişesiyle sürmez. Randevu alıp aşımızı olalım.</t>
  </si>
  <si>
    <t>1413548735255257092</t>
  </si>
  <si>
    <t>Bugün iki ilimiz daha maviye döndü. Yeni örnek iller Kırklareli ve Çanakkale. Birlikte mücadelenin yeni sahası aşı olmaktır. Biran evvel aşınızı olun. https://t.co/RVlhe7786O https://t.co/xYKuCg99Q2</t>
  </si>
  <si>
    <t>1413544864105570315</t>
  </si>
  <si>
    <t>RT @RTErdogan: Diyarbakır’da Yapımı Tamamlanan Projelerin Toplu Açılış Töreni https://t.co/IbHlTBWEst</t>
  </si>
  <si>
    <t>1413501151484563456</t>
  </si>
  <si>
    <t>Sayın Cumhurbaşkanımızın teşrifleriyle; Diyarbakır Toplu Açılış Törenindeyiz. https://t.co/bFbPoL7DDG</t>
  </si>
  <si>
    <t>1413498337139953670</t>
  </si>
  <si>
    <t>37 MİLYON 250 BİN KİŞİ en az bir doz aşısını oldu. Böylece 18 yaş ve üstü nüfusta ilk doz aşısı yapılanların oranı %60’A ULAŞTI. Birinci, ikinci, üçüncü dozların toplam sayısıysa 56 Milyonun üzerinde. Randevu alın, bir an evvel siz de aşınızı yaptırın.</t>
  </si>
  <si>
    <t>1413401449212661760</t>
  </si>
  <si>
    <t>Mavi olmaya yaklaşan illerimizin sayısı artıyor. Aşı ile tam bağışıklık sağlanabilmesi için biran evvel aşınızı olun. https://t.co/QzUJWGU64A</t>
  </si>
  <si>
    <t>1413188024347807756</t>
  </si>
  <si>
    <t>Aşı olmak, düşmanı bize saldırmadan tanımaktır. Ertelemesi riskli. Randevu alıp, Covid-19 aşımızı yaptıralım.</t>
  </si>
  <si>
    <t>1413102522982703107</t>
  </si>
  <si>
    <t>İlk doz aşısını son 10 gün içinde yaptıranların, yani AŞI OLMAYA KARAR VERİP randevu alanların sayısı 4 MİLYON 330 BİNİ geçti. Hızlı hareket etmek hepimize güç verir, zaman kaybetmek riske karşı korunmasız düşürür. Hem sizi hem çevrenizde aşı olmayan diğer kişileri.</t>
  </si>
  <si>
    <t>1413063090883776513</t>
  </si>
  <si>
    <t>Son 10 günde yapılan aşı sayısı 8 milyon dozu geçti.</t>
  </si>
  <si>
    <t>1413056772655484932</t>
  </si>
  <si>
    <t>Engin Altan Düzyatan: Sağlığımızın önemini biliyorduk… Ama toplumsal sağlığın ne kadar değerli olduğunu pandeminin acı deneyimleriyle öğrendik. Neyse ki, artık çok güçlü bir çözümümüz var. Toplumsal bağışıklığımızı bir an önce kazanmamız için lütfen aşı olun. https://t.co/OoBDFcArMo</t>
  </si>
  <si>
    <t>1413045799727112194</t>
  </si>
  <si>
    <t>Zeynep Bastık: Birbirimize kavuşmayı, birlikte gülüp eğlenmeyi o kadar özlemiştik ki... Aşıyla birlikte hayatlarımız tekrar normale dönmeye başladı. Ama tehlike hâlâ geçmiş değil. Lütfen aşılarımızı olalım, aynı sıkıntıları bir daha yaşamayalım. https://t.co/4FDjbOLkRI</t>
  </si>
  <si>
    <t>1413038061328478208</t>
  </si>
  <si>
    <t>Didim’deki Devlet Hastanemizin Covid-19 servisi ve aşılama biriminde çalışan Hemşire Yeter Alaçam, annesiyle yeğenini bir hafta arayla kaybetmesine rağmen, izin almadan, kısa süre sonra görevine devam etti. Salgını en iyi bilen, sağlıkçılar. Aşı olmanın, aşı yapmanın önemini de! https://t.co/By1Ko7TT0U</t>
  </si>
  <si>
    <t>1412869225618755588</t>
  </si>
  <si>
    <t>Aşı ile toplumsal bağışıklık sağlanana kadar kişisel tedbirlerimizden taviz vermeyelim. Bir an evvel aşımızı olalım. https://t.co/x70fN3y1DZ</t>
  </si>
  <si>
    <t>1412860331328745481</t>
  </si>
  <si>
    <t>Vatandaşlarımız hastalığı geçirmiş olsalar da iki doz aşı yaptırarak da aşı sertifikasını oluşturabilirler. https://t.co/r1wDLSmfVR</t>
  </si>
  <si>
    <t>1412855311979982851</t>
  </si>
  <si>
    <t>Üçüncü doz aşı konusunda ise inaktif aşı olan 50 yaşından büyük vatandaşlarımız ve Sağlık çalışanlarımız 3. Doz aşılarını istedikleri aşı türü ile olabilirler. https://t.co/3tQwvVEfeE</t>
  </si>
  <si>
    <t>1412852441465430021</t>
  </si>
  <si>
    <t>Hastalığı geçirmiş ve üzerinden 3 aydan uzun süre geçmiş vatandaşlarımız aşılarını olabilirler. Hastalığı zaten geçirmiş olan kişilerde hatırlatma aşısının yeterli olacağı Bilim Kurulumuzca değerlendirilmiştir. https://t.co/wWzWqCyHpJ</t>
  </si>
  <si>
    <t>1412849421553963012</t>
  </si>
  <si>
    <t>Başarılı bir aşı programı salgından kurtulmuş kutlu bir Türkiye demektir. https://t.co/mmK5l6qMyh</t>
  </si>
  <si>
    <t>1412841199094972422</t>
  </si>
  <si>
    <t>Harita kırmızıdan maviye dönecek. Aşı programının başarıya ulaşma hızı salgını gündemden çıkarma süremizi belirleyecek. Aşınızı olarak mücadeleye katılın. https://t.co/0Z7XEOAKcj</t>
  </si>
  <si>
    <t>1412833602421862405</t>
  </si>
  <si>
    <t>CANLI: Bilim Kurulu Toplantımızın ardından Basın Açıklamamız:
https://t.co/gwBAsEb10I</t>
  </si>
  <si>
    <t>1412826747213647872</t>
  </si>
  <si>
    <t>Bugün 863 Bin 433 doz aşı yapıldı. Yarın randevu alın, Covid-19’a karşı şartları siz de lehinize çevirin!</t>
  </si>
  <si>
    <t>1412523517556498441</t>
  </si>
  <si>
    <t>Salgının seyri değişiyor. Aşı ile toplumsal bağışıklık sağlanana kadar mücadele devam edecek. Yarını bugünden güvence altına alalım. Henüz aşınızı olmadıysanız lütfen acele edin. https://t.co/RVlhe7786O https://t.co/uspcG0WCQB</t>
  </si>
  <si>
    <t>1412450526206304257</t>
  </si>
  <si>
    <t>ANNE KIZ AŞIDA. 26 yıllık hemşire Ülkü Arslan, Aydın Devlet Hastanesinde görevli. Covid-19’a yakalandığında hastalığı kızına da bulaştırdı. Sağlığına kavuşunca kızının aşısını kendi elleriyle yaptı. Çalıştığı poliklinikte günde ortalama 2.400 kişiye aşı uygulanıyor. https://t.co/tH0BVfBBpp</t>
  </si>
  <si>
    <t>1412394893587140608</t>
  </si>
  <si>
    <t>Son bir haftada vaka sayısı en çok azalan illerimiz; Gümüşhane, Eskişehir, Artvin, Denizli ve Bartın. Salgının sonu aşı ile geliyor. Yarına bugünden daha güvenli bakabilmek için aşınızı olun. https://t.co/IvwPgEz03V</t>
  </si>
  <si>
    <t>1412335938399870978</t>
  </si>
  <si>
    <t>İllerimizde 100.000 nüfusa karşılık gelen bir haftalık toplam vaka sayısını gösteren insidans haritasının güncel halini ekte görebilirsiniz. Salgının sonu aşı ile geliyor. Yarına bugünden daha güvenli bakabilmek için aşınızı olun. https://t.co/Zq768qVpYb</t>
  </si>
  <si>
    <t>1412334518917337089</t>
  </si>
  <si>
    <t>-"Sen bu dağ başına nasıl gelmişsin, ne için gelmişsin? Onu söyle."
-"Senin için geldik amca, aşını yapacağız." https://t.co/OMNdVngae6</t>
  </si>
  <si>
    <t>1412312371645779969</t>
  </si>
  <si>
    <t>Bugün 1 milyon 81 Bin 352 doz aşı uygulandı.
Yarın sabah yeni randevularla bu sayıyı aşalım.</t>
  </si>
  <si>
    <t>1412163880588042245</t>
  </si>
  <si>
    <t>Kütahya'da otogarda görevli bir sağlık personelimiz mizahi bir tavırla vatandaşlarımızı aşıya davet ediyordu. Hizmetlerimiz her yerde ancak aşı ciddi bir konudur. Personelimizin soruşturulmasını gerektiren bir durum yok. Ancak aşıyı hepimiz ciddiye almak zorundayız.</t>
  </si>
  <si>
    <t>1412130010060705799</t>
  </si>
  <si>
    <t>BUGÜNKÜ 1 MİLYONUNCU DOZ 
Aşı Yaptıran: Seçil Hoşnut, 29 Yaşında 
Aşıyı Yapan Hemşire: Şadiye Gamze İnceoğlu 
Aşıdan Sorumlu Hekim: Ferah Arslan
Aşının Uygulanma Zamanı: 19:21
Yer: Nazilli Devlet Hastanesi https://t.co/DNOIT2sJmy</t>
  </si>
  <si>
    <t>1412122508166377480</t>
  </si>
  <si>
    <t>Aşı programının lideri Muğla ilimiz. Tüm illerimiz maviye dönene kadar gayret edeceğiz. Salgın gündemimizden çıkıyor. https://t.co/RVlhe7786O https://t.co/pAxEQQCeMF</t>
  </si>
  <si>
    <t>1412119328598659073</t>
  </si>
  <si>
    <t>Hemşire Saliha Aybastı Ordu’da Toplum Sağlığı Merkezinde görevli. Eşi diş hekimi. Salgının zor günlerinde tedavi olamayan hastalarına yetişmekte zorlanınca aşıyı ertelemiş. Sonuç: Ekibiyle sahada olan hemşire hanım “yerinde aşı” yaptı. (Not: Bazı mesleklerde aşı çok daha önemli!) https://t.co/veObo0Qktn</t>
  </si>
  <si>
    <t>1412114794732212229</t>
  </si>
  <si>
    <t>İLK VAKA görüldüğünde tüm ülke endişeye kapıldı. Şu an, bulaşıcı hastalıktan kişisel olarak korunmak ve toplumsal bağışıklığı sağlamak için 36 Milyon kişi aşısının en az 1 dozunu yaptırmış durumda. 1 vaka tehlike demekti. 36 MİLYON güvendir. Bu güveni büyütelim.</t>
  </si>
  <si>
    <t>1412107351184793606</t>
  </si>
  <si>
    <t>RT @RTErdogan: Kabine Toplantısı Sonrası Millete Sesleniş
https://t.co/KFZOek4yHz</t>
  </si>
  <si>
    <t>1412088844720168962</t>
  </si>
  <si>
    <t>Henüz 24 saat dolmadan, 1 MİLYON KİŞİNİN DAHA ilk veya yeni doz aşısı yapıldı. Türkiye, bulaşıcı Covid-19 hastalığına karşı bağışıklık kazanma konusunda kararlı.</t>
  </si>
  <si>
    <t>1412086904259026944</t>
  </si>
  <si>
    <t>Artık vaka sayılarını ve aşı programının seyrini yeni bir ekrandan izleyeceğiz. Daha önce paylaştığımız tüm detayları ise haftalık raporlar halinde yayınlamaya devam edeceğiz. İller aşı olmada yarışacak. https://t.co/RVlhe7786O https://t.co/l3q5lXvMvV</t>
  </si>
  <si>
    <t>1411771996459913218</t>
  </si>
  <si>
    <t>HAVALİMANLARI VE SINIR KAPILARIMIZDA AŞI. 48 havalimanından 38’inde yurt dışından gelen vatandaşlarımıza 1. veya 2. doz aşı hizmeti sunuyoruz. 4 ilimizdeki kara sınır kapılarında şu an aşı hizmeti var. İki sınır kapımız ve 2 havalimanında aşı pazartesi başlıyor. Sayılar artacak.</t>
  </si>
  <si>
    <t>1411658529648398347</t>
  </si>
  <si>
    <t>Doğum Tarihi: 3.07.2021
Doğum Yeri: Ambulans
Afyonkarahisar'ın Sandıklı ilçesinde bu sabah bir bebek dünyaya beklenenden erken geldi. Anneyi hastaneye götüren sağlık görevlileri, doğumu ambulansta yaptırmak zorunda kaldı. Aileyi, acil sağlık ekibimizi kutluyorum. Gözünüz aydın. https://t.co/1GH2qBe0Hh</t>
  </si>
  <si>
    <t>1411439024015921157</t>
  </si>
  <si>
    <t>SERPİL HEMŞİRE ÇOĞUMUZDAN İYİ BİLİR. Aşı niçin bu denli önemli? Geçen yılın Kasım ayında annesi, babası, oğlu, kendisi Covid-19’a yakalandı. Şu an Kocaeli Devlet Hastanesi Aşı Polikliniğinde çalışıyor. Ve ne kadar çok aşı yapabiliyorsa o kadar mutlu! https://t.co/Hpl7VUdsu9</t>
  </si>
  <si>
    <t>1411424692557262852</t>
  </si>
  <si>
    <t>Keşke bugünlerde aramızda olsaydın. 
21 yıl önce bugün, 56 yaşında vefat eden Kemal Sunal’ı rahmetle anıyoruz. https://t.co/cNwWGQd18E</t>
  </si>
  <si>
    <t>1411234010630660099</t>
  </si>
  <si>
    <t>Covid-19, Covid-Sıfıra nasıl iner?
Sonuca yakın tek çözüm, aşı!</t>
  </si>
  <si>
    <t>1411083581028540417</t>
  </si>
  <si>
    <t>Saat 24’e kadar 1 Milyon 171 Bin 305 doz aşı uygulandı.
Sağlıklı, endişesiz günlere bir gün daha yaklaştık!</t>
  </si>
  <si>
    <t>1411077989081702401</t>
  </si>
  <si>
    <t>Koronavirüs salgınına karşı yurt çapında sürdürdüğümüz aşı seferberliği büyük destek görüyor. Yeni örneklerden birini Batman’da yaşadık. Gercüş’ün Kırkat köyüne giden İl Sağlık Müdürlüğü aşı ekiplerimize, köy imamı, köy halkına yaptığı anonsla destek verdi. https://t.co/s9I0SRgsNT</t>
  </si>
  <si>
    <t>1411069977042505737</t>
  </si>
  <si>
    <t>Açılışı Sayın Cumhurbaşkanımızın teşrifleriyle yapılan Sakarya Kadın Doğum ve Çocuk Hastanesi ek binasında 27 Kadın Doğum, 26 Çocuk Polikliniği ve 5 ameliyathane bulunuyor. Toplam yatak kapasitesi 370. Sağlığa yatırım hizmet ve güven demek. İyi olmak için sebepler artıyor. https://t.co/7GXxdKr8I3</t>
  </si>
  <si>
    <t>1411024381141209096</t>
  </si>
  <si>
    <t>Bugünkü 1 Milyonuncu doz aşı, Kuşadası Devlet Hastanesinde yapıldı. Makbule Handan Hanımın aşısını sorumlu hekim Yusuf Kuyucu’nun gözetiminde, sağlık personelimiz Utku Karaçay uyguladı. Aşı olmakla en iyisini yaptınız Makbule Hanım. Çevrenizden aşı olmayan varsa bekliyoruz. https://t.co/l2Uaubg8cM</t>
  </si>
  <si>
    <t>1410992987350487041</t>
  </si>
  <si>
    <t>Kartal Tibet hayata veda etti. İzleyici onu jön olarak tanıdığı Yeşilçam efsaneleri kadar, yönettiği filmler, dizilerle de sevmişti. Bir röportajında, “rol” yerine doğallık taraftarı olduğunu söylüyor. Ve hayatın kötülük yapmak için kısa, insanın fani olduğunu. Nur içinde yatsın. https://t.co/MOOW9O90r7</t>
  </si>
  <si>
    <t>1410973329037709315</t>
  </si>
  <si>
    <t>RT @RTErdogan: Sakarya'da Yapımı Tamamlanan Projelerin Resmî Açılış Töreni https://t.co/XtYcDNHjLE</t>
  </si>
  <si>
    <t>1410943444516753410</t>
  </si>
  <si>
    <t>Sayın Cumhurbaşkanımızın teşrifleriyle; Sakarya Kadın Doğum ve Çocuk Hastanesi Açılış Programı’nı gerçekleştiriyoruz.
📍SAKARYA https://t.co/di4Y5IbOPy</t>
  </si>
  <si>
    <t>1410940195583758342</t>
  </si>
  <si>
    <t>AİLE HEKİMLİKLERİMİZ, pandemiye karşı baştan beri büyük bir mücadele veriyor. Aşı uygulamasında da ön sıralardalar. Hedefimiz, hizmet verdikleri ailelerde aşısız kimsenin kalmaması. Bakanlığımız, aile hekimliklerimizin başarılarını, toplumumuz adına karşılıksız bırakmayacak.</t>
  </si>
  <si>
    <t>1410893751891935234</t>
  </si>
  <si>
    <t>Sabah randevu, gün içinde aşı? 
Yanlış okumadınız. Bugün bekliyoruz.</t>
  </si>
  <si>
    <t>1410823437258563587</t>
  </si>
  <si>
    <t>Bugün 50 Milyon doz aşıyı geçtik. En az bir doz aşısı yapılan kişi sayısı 35 Milyondan fazla: 18 yaş ve üzeri nüfusumuzun %57 kadarı aşılanmış durumda. Bayrama kadar hedefimiz %70. Aşı ihmale gelmez. Aşımızı yaptırmaya öncelik tanıyalım.</t>
  </si>
  <si>
    <t>1410692761926373389</t>
  </si>
  <si>
    <t>Ordu Üniversitesi Eğitim Araştırma Hastanesinde 75.000’inci doz aşının yapılış anı. Hemşire Çiğdem Aydın; eşi, oğlu, anne ve babasıyla birlikte Covid-19 geçirmişti. Şimdi aşılama biriminde gönüllü çalışıyor. Şahsınızda aşı biriminin tüm çalışanlarını kutluyoruz Çiğdem Hanım. https://t.co/099ERFGHLI</t>
  </si>
  <si>
    <t>1410667066550542336</t>
  </si>
  <si>
    <t>RT @RTErdogan: Koronavirüs salgınıyla mücadelede en etkili silahımız olan aşıda, hamdolsun, 50 MİLYON dozu aştık. Hayırlı uğurlu olsun. htt…</t>
  </si>
  <si>
    <t>1410524610139938816</t>
  </si>
  <si>
    <t>Doktor olmak isteyen kızının ilk doz aşısını hemşire annesi yaptı. Esma 18 yaşında. Annesi Meral Hanım, Batman 112 Acilde çalışıyor. Anne kızı buluşturan, yerinde aşı uygulamasında bir AVM idi. Esma, sağlık çalışanları olarak seni aramıza bekliyoruz. Hiç yabancılık çekmeyeceksin! https://t.co/eaKueFiv5F</t>
  </si>
  <si>
    <t>1410501742190641152</t>
  </si>
  <si>
    <t>İzmir Kâtip Çelebi Üniversitesi Atatürk Eğitim ve Araştırma Hastanesi Aşı Ünitesinde çalışan Hemşire Betül Dağ dün 300 Covid-19 aşısı yaptı. Eşi hemşire Özgür Dağ, Covid Acilde çalışıyor. Dün ilgilendiği hasta sayısı 250. Bu özveriye karşılık tek beklentileri aşıya daha çok ilgi. https://t.co/62NQTInuMx</t>
  </si>
  <si>
    <t>1410329459941588999</t>
  </si>
  <si>
    <t>Bugün, bilimler tarihi alanında yaptığı çalışmalarla geriye eşsiz bir miras bırakan, İslam âlimlerinin mühendislik harikası buluş ve eserlerini bu çağda gün ışığına çıkaran Prof. Dr. Fuat Sezgin hocamızın vefatının 3. yıl dönümü. Nur içinde yatsın. Eserleri hep göz önünde olsun. https://t.co/rLfcbEU1Tg</t>
  </si>
  <si>
    <t>1410319455327068164</t>
  </si>
  <si>
    <t>Bilmenizi isterim ki zor günlerde büyük işlerin üstesinden birlikte geldik. Birlikte sabrettik, birlikte mücadele ettik ve zafere birlikte yürüyoruz. Salgına son darbeyi vuracak olan, aşı ile toplumsal bağışıklığı elde etmektir. https://t.co/Miax2Fqe1g</t>
  </si>
  <si>
    <t>1410317527817859083</t>
  </si>
  <si>
    <t>Çocukluk çağı aşılarında ülkemiz %98 gibi bir aşılama oranına sahiptir. Böyle bir ortamda aşı karşıtlığından bahsetmek sadece küçük bir zümreyi cesaretlendirmeye yarar. https://t.co/MriQRxieXb</t>
  </si>
  <si>
    <t>1410308403130474497</t>
  </si>
  <si>
    <t>9 aydır aşıya en doğru koşullarda ulaşmak için gayret eden bu devletin kurumlarıdır. Bu devlet gücünü ispata muhtaç olmayacak kadar büyük ve güçlüdür. Bu güce güvenin derken bu özgüvenle sesleniyoruz. https://t.co/pSurczWr6A</t>
  </si>
  <si>
    <t>1410304557662584836</t>
  </si>
  <si>
    <t>Elde edilen yeni veriler ışığında Biontech aşısının ilk dozunu olan vatandaşlarımız ikinci dozlarını 4 hafta sonra olabilecek şekilde randevu abilirler. https://t.co/ErpSU2wdSI</t>
  </si>
  <si>
    <t>1410302509491568653</t>
  </si>
  <si>
    <t>Hastalığı geçirmiş olan vatandaşlarımız hatırlatma dozu olarak aşıyı hastalığın üzerinden 3 ay geçtikten sonra olabileceklerdir. https://t.co/EpoE5OOGOy</t>
  </si>
  <si>
    <t>1410300889068343303</t>
  </si>
  <si>
    <t>İki doz aşı olmuş 50 yaş ve üzeri vatandaşlarımız ile sağlık çalışanlarımız yarından itibaren istedikleri aşı ile 3. Doz aşılarını olmak üzere randevu alabileceklerdir. https://t.co/AdrpDrABCn</t>
  </si>
  <si>
    <t>1410298804323164167</t>
  </si>
  <si>
    <t>CANLI: Bilim Kurulu Toplantımızın ardından Basın Açıklamamız: https://t.co/4ECqhpps5Y</t>
  </si>
  <si>
    <t>1410284913195114496</t>
  </si>
  <si>
    <t>Yurtdışından Türkiye'ye girişlerde aşı kartı, PCR negatif test sonucu ve/veya hızlı antijen negatif test sonucu ibrazı zorunludur. Bunun dışında bir serbestlik uygulamamız yoktur. https://t.co/i51G8mNupC</t>
  </si>
  <si>
    <t>1409991344215543808</t>
  </si>
  <si>
    <t>Türkiye iddia edildiği gibi başka ülkelerin almadığı aşıları değil biontech firmasının Türkiye için ürettiği aşıları temin ediyor. Aşıları Türkiye ve Almanya'ya Biontech, diğer ülkelere pfizer teslim ediyor. Biz bize üretilen aşıları teslim alıyoruz. 9 ay boyunca buna çabaladık. https://t.co/w7pDHNpElV</t>
  </si>
  <si>
    <t>1409985460101865472</t>
  </si>
  <si>
    <t>Şehir hastanelerimiz kamunun malıdır. Satılması da devredilmesi de söz konusu değildir. İznimiz olmadan işletmeci değişikliği de mümkün değildir. https://t.co/hiYK6FIHkf</t>
  </si>
  <si>
    <t>1409979139143110659</t>
  </si>
  <si>
    <t>HER 4 KİŞİDEN BİRİNİN AŞISI TAMAMLANDI. Çift doz aşısı yapılanların sayısı bugün öğle saatlerinde 15 Milyona ulaştı. 18 yaş ve üstü nüfusumuzun %25’i artık aşılı. Salgına karşı gücümüzün artması oranın yükselmesine bağlı. Aşımızı yaptıralım.</t>
  </si>
  <si>
    <t>1409879808427888645</t>
  </si>
  <si>
    <t>Tren ve otobüs garlarında oluşturduğumuz merkezlerde aşı hizmeti  başladı. İlk uygulama Ankara’da. Aşı olmak isteyenlerin kolunu sıyırması yeterli.</t>
  </si>
  <si>
    <t>1409830103668998148</t>
  </si>
  <si>
    <t>Bartın’daki gezici aşı ekibimiz, 18 yaşındaki Furkan’la yolda karşılaştı. Aşı olmak isteyip istemediğini sordular. Aşısı hemen orada yapıldı. Elinde dondurma olduğu için maskesini indirmişti. Tekrar takmayı unutmuş. Böylesi bir anda bu kadarı olur. (Ekip, aşıya devam!) https://t.co/QkX6J8962M</t>
  </si>
  <si>
    <t>1409817730065354754</t>
  </si>
  <si>
    <t>1 Milyon 44 Bin 263 kişi bugün aşı yaptırdı.
Randevunuzu alın, siz de aşınızı yaptırın.</t>
  </si>
  <si>
    <t>1409619684048179202</t>
  </si>
  <si>
    <t>Başkalarının yaptırdığı aşı sizin sağlığınızı korumaz. Lütfen aşınızı yaptırın.</t>
  </si>
  <si>
    <t>1409609008525283332</t>
  </si>
  <si>
    <t>BUGÜN 1 MİLYONUNCU DOZ AŞI, 21.04’te Ankara Gülhane Eğitim ve Araştırma Hastanesinde yapıldı. Aşıyı uygulayan arkadaşımız Hemşire Esma Alay, tüm çalışma arkadaşlarımız gibi herkesi aşıya bekliyoruz diyor. “Bütün ülke aşılanırsa, bu virüsten kurtuluruz.” https://t.co/QzkA5KRign</t>
  </si>
  <si>
    <t>1409606428617232387</t>
  </si>
  <si>
    <t>Yağmur hemşire Covid-19 servisinde görevli. Hastalarıyla ilgilenirken kendi babasının yanında olamamış. Eşi hekim. Dün görevli olmadığı halde 9 saat aşılamada Yağmur hanıma yardım etmiş. Bu fedakârlıkların ardında acı tecrübeler var. Yağmur hanım, aşınızı olun derken çok haklı. https://t.co/EN5V76rB9T</t>
  </si>
  <si>
    <t>1409563389626572800</t>
  </si>
  <si>
    <t>Meliha bebeğe 13.20 civarında Sivas Koyulhisar Devlet Hastanesinde aspirasyon pnömonisi ön tanısı kondu. Hava ambulans Sivas’tan 13.40’ta kalktı, 14.08’de Koyulhisar’a ulaştı. Meliha 14.47’de Sivas Numune Hastanesi Pediatri Acilde tedavi altına alındı. Bu ekipten mutlusu var mı? https://t.co/7mpbFMtbeX</t>
  </si>
  <si>
    <t>1409550147017654280</t>
  </si>
  <si>
    <t>Son bir haftada vaka sayısı en çok azalan illerimiz; Bolu, Kastamonu, Muş, Yozgat ve Tokat. Vaka sayılarının azalması normalleşme cesaretimizi artırıyor. Aşı ile endişeden kurtulacağız. Aşımızı yaptıralım. https://t.co/HtVJlZv5lD</t>
  </si>
  <si>
    <t>1409539360496758791</t>
  </si>
  <si>
    <t>İnsidans haritamızın güncel şekli, illerimizde 100.000 nüfusa karşılık gelen haftalık toplam vaka sayısını gösteriyor. Vaka sayılarının düşüş hızı azalsa da bu durum normalleşmeye engel değil. Aşı, endişesiz günlere dönüşün olmazsa olmazıdır. Aşımızı yaptıralım. https://t.co/V5RE5lUGRc</t>
  </si>
  <si>
    <t>1409537614781161481</t>
  </si>
  <si>
    <t>Gün gelir herkes aşı olduğu günü unutur. Ama bazı aşı hikâyeleri unutulmaz. İşte Egemen’in hikâyesi: https://t.co/xuc58orI4Z</t>
  </si>
  <si>
    <t>1409212959621013513</t>
  </si>
  <si>
    <t>4.883 vaka sayısı, aşısını yaptıranların gurur tablosu sayılmalı.</t>
  </si>
  <si>
    <t>1409193201727070214</t>
  </si>
  <si>
    <t>Saat 18.10’da bugüne kadar yapılan toplam aşı sayısı 47 milyon dozu geçti. 18 yaş üstü nüfusumuzun %54’ü en az bir doz aşı yaptırmış durumda.</t>
  </si>
  <si>
    <t>1409185266800152578</t>
  </si>
  <si>
    <t>Hemşire arkadaşımız Uğur Demirel, Gaziantep-Şahinbey’de aşıların bir an önce tamamlanması için çalışıyor. Covid-19 yoğun bakım biriminde görevli meslektaşı Sare Hanımla nişanlı, Temmuza düğün tarihi aldılar: Düğünden önce, aşı salgına karşı üstünlük kazanmalı. https://t.co/3XvAh9Hrtx</t>
  </si>
  <si>
    <t>1409164554626605059</t>
  </si>
  <si>
    <t>Kıvanç Tatlıtuğ: Bence dünyada asıl hayran olunması gereken insanlar, bilim insanları ve sağlık çalışanları. Onların fedakârlıkları sayesinde hayata tutunduk, umutlarımızı koruduk. Şimdi sıra bizde. Aşı olalım. https://t.co/ISxIhvHkQY</t>
  </si>
  <si>
    <t>1409135532987371522</t>
  </si>
  <si>
    <t>Cedi Osman: Siz sahada olmayı özlediniz, biz ise seyirci desteğini yanımızda hissetmeyi… Güzel günler için siz de aşınızı olun, Koronavirüs’e karşı kazanan taraf biz olalım. https://t.co/RlcQcTpJjQ</t>
  </si>
  <si>
    <t>1409117692267839490</t>
  </si>
  <si>
    <t>Aşı, normal hayatın olmazsa olmazıdır. Ertelemişsek aşımızı hemen yaptıralım.</t>
  </si>
  <si>
    <t>1409087477864976387</t>
  </si>
  <si>
    <t>Ebru Ulu, 13 yıllık hemşire. Kasımda Covid-19’a yakalandı. Aynı hastalık sebebiyle babasını kaybetti. Halen Balıkesir Atatürk Şehir Hastanesinde görevli. Çalıştığı Covid-19 aşı polikliniğinde günde 2.000 doz aşı yapılıyor. Yerinde olsanız, siz de canla başla çalışmaz mıydınız? https://t.co/zGpp9dIBPO</t>
  </si>
  <si>
    <t>1408786258160201731</t>
  </si>
  <si>
    <t>Aşı yaptırmak üzere, dün saat 24’e kadar sağlık kurumlarımıza 997 BİN kişi geldi, 997 bin doz aşı yapıldı. Zaman kaybetmeden aşı olmanın önemini bilseler, şu an aşılarını erteleyenler, aşı yaptıranlara teşekkür eder. Bekleyip risk almayalım. Randevumuzu alıp, aşımızı olalım.</t>
  </si>
  <si>
    <t>1408685282497548288</t>
  </si>
  <si>
    <t>Sınava giren gençler, hepinize başarılar diliyorum. Unutmayın, doğrulara doğru diyen daima kazanır.</t>
  </si>
  <si>
    <t>1408634702399946757</t>
  </si>
  <si>
    <t>Bingöl’ün Kiğı ilçesinde, çevre illerimizde de hissedilen 5,2 büyüklüğünde bir deprem yaşandı. Şükürler olsun, can kaybımız, yaralımız yok. Bölge halkımıza geçmiş olsun dileklerimi sunuyorum. İhtiyaç anında bir çağrınızla yanınızdayız. Allah hepimizi afetlerden korusun.</t>
  </si>
  <si>
    <t>1408518184098009093</t>
  </si>
  <si>
    <t>Elazığ Fethi Sekin Şehir Hastanesi. Eda hemşire tedavisi halen devam eden bir rahatsızlığı olduğu halde görevinin başında. Covid-19’u da iyi biliyor, bizzat yaşadı. Yaptığı on binlerce aşıyla mücadelemizde yer aldı. Arkadaşlarımızın fedakârlıkları aşı için en anlamlı çağrıdır. https://t.co/ntlcOAawd8</t>
  </si>
  <si>
    <t>1408469560987197440</t>
  </si>
  <si>
    <t>Okan Bayülgen: Ben de yerli yabancı aşı karşıtı yazıları okudum, videoları izledim. Biliyorum birçok kişinin aklı çeliniyor. Sonra doktor arkadaşlarıma sordum. Covid-19’un ölümcül etkilerine karşı aşı olmaktan başka çaremiz yok. Ben doktorlara inanıyorum. https://t.co/hSUVYfm8eN</t>
  </si>
  <si>
    <t>1408448933081366531</t>
  </si>
  <si>
    <t>Yaz döneminde 18 yaş üstü herkes aşılanabilir dediğimizde, yaz bitiminde nasıl olsa yüzü kızarmayacak diyenler, umarız bugünlerde sık sık güneşe çıkıyorlar.</t>
  </si>
  <si>
    <t>1408439558140792837</t>
  </si>
  <si>
    <t>Genç normale hazırlık başladı. Arkadaşlar heyecanlı. https://t.co/6IqGZlPkqI</t>
  </si>
  <si>
    <t>1408433610479357954</t>
  </si>
  <si>
    <t>Aşı sırası gelip, en az 1 doz aşı yaptıranların oranı yükseliyor. Salgın hastalıkları kontrol altına alabilmenin en etkili yolu dün olduğu gibi bugün de aşıdır. Sağlığınız için siz de kolları sıvayın. https://t.co/VPJpemFLIX</t>
  </si>
  <si>
    <t>1408329468381388800</t>
  </si>
  <si>
    <t>Candan Erçetin: Müziğin kaldığı yerden devam etmesi ve çocuklarımızın yüz yüze eğitime kavuşması bir an evvel aşı olmamıza bağlı. İhmal etmeyin, ertelemeyin ki yine birlikte şarkılar söyleyelim. https://t.co/kqKQkIk1PU</t>
  </si>
  <si>
    <t>1408113859265765383</t>
  </si>
  <si>
    <t>Gençler, aşılanıp hayata karışalım. Randevularda yaş sınırı 18’e indi. İlk gün yarın!</t>
  </si>
  <si>
    <t>1408079814662275075</t>
  </si>
  <si>
    <t>Herkes kendi kişisel güvenlik çemberini oluşturarak bir süre daha dikkatli olmalı ve vakit geçirmeden aşısını olmalı. https://t.co/SKchwOMsgt</t>
  </si>
  <si>
    <t>1408002580941266945</t>
  </si>
  <si>
    <t>Bugün küresel ölçekte en az 3,9 milyon insan covid-19 sebebiyle hayatını kaybetti ancak, doğrulanmamış vakalar ve sağlık hizmetine erişimin kısıtlanması gibi dolaylı nedenlerle, 10 milyonun üzerinde ölümde covid-19 ve onun yıkıcı etkisi olduğu değerlendiriliyor. https://t.co/lLaPjqsuvk</t>
  </si>
  <si>
    <t>1407994243642236931</t>
  </si>
  <si>
    <t>Aşı ile salgından tamamen kurtulmanın eşiğindeyiz. https://t.co/R9Li6Oi9dA</t>
  </si>
  <si>
    <t>1407986469227184133</t>
  </si>
  <si>
    <t>Bildiğiniz gibi dünyanın en hızlı aşılama programlarından birini yürütüyoruz. https://t.co/CT3zsPJVkE</t>
  </si>
  <si>
    <t>1407978760910131200</t>
  </si>
  <si>
    <t>Cuma gününden itibaren; 18 yaşından gün almış olan herkes randevu alabilir olacak. https://t.co/GMPcEOB9No</t>
  </si>
  <si>
    <t>1407973122674937859</t>
  </si>
  <si>
    <t>Bilim Kurulu Toplantımızın ardından Koronavirüs ile ilgili son gelişmelere ilişkin basın açıklamamız.
📍Sağlık Bakanlığı
https://t.co/IDwAOlOSaq</t>
  </si>
  <si>
    <t>1407733705121189894</t>
  </si>
  <si>
    <t>Cem Yılmaz: “Sağlıklı günlerimize geri dönebilmek için lütfen aşılarımızı olalım.” Salgın hastalıkları kontrol altına alabilmenin en etkili yolu dün olduğu gibi bugün de aşıdır. SAĞLIĞIMIZ İÇİN KOLLARI SIVAYALIM. https://t.co/z8gF2NnrlG</t>
  </si>
  <si>
    <t>1407694675750883328</t>
  </si>
  <si>
    <t>Dr. Mehmet Öz: “Pandeminin sonunu getirmek ve geleceğe sağlıklı bakmak için mutlaka aşı olalım.” Salgın hastalıkları kontrol altına alabilmenin en etkili yolu dün olduğu gibi bugün de aşıdır. SAĞLIĞIMIZ İÇİN KOLLARI SIVAYALIM. https://t.co/KucvTEJOTX</t>
  </si>
  <si>
    <t>1407608735871258625</t>
  </si>
  <si>
    <t>Haluk Bilginer: “Aşıyla pandemi son bulacak, perdelerimiz yine açılacak. Bugün alkışlar bize değil, hepimizin sağlığını koruyarak aşı olanlara…” Salgın hastalıkları kontrol altına alabilmenin en etkili yolu dün olduğu gibi bugün de aşıdır. SAĞLIĞIMIZ İÇİN KOLLARI SIVAYALIM. https://t.co/cTY9loLylO</t>
  </si>
  <si>
    <t>1407604564900171778</t>
  </si>
  <si>
    <t>Aşı olanların birbirine güveni artar. Aşımızı hemen yaptıralım.</t>
  </si>
  <si>
    <t>1407600921987764225</t>
  </si>
  <si>
    <t>Aşı olanların kendine güveni artar. Aşımızı hemen yaptıralım.</t>
  </si>
  <si>
    <t>1407594570884464640</t>
  </si>
  <si>
    <t>Ezgi Mola: “Bu kadarı ancak filmlerde olur dediğimiz pek çok şey yaşadık. Aşımızı olalım, hayatımıza kaldığımız yerden sağlıkla devam edelim.” Salgın hastalıkları kontrol altına alabilmenin en etkili yolu dün olduğu gibi bugün de aşıdır. SAĞLIĞIMIZ İÇİN KOLLARI SIVAYALIM. https://t.co/LPkqWCIBbh</t>
  </si>
  <si>
    <t>1407405152374509572</t>
  </si>
  <si>
    <t>Şener Şen: “Sinemalarda, konserlerde, tiyatrolarda yeniden buluşmamız için… Ve normal hayatımıza geri dönmemiz için siz de mutlaka aşınızı yaptırın.” Salgın hastalıkları kontrol altına alabilmenin en etkili yolu dün olduğu gibi bugün de aşıdır. SAĞLIĞIMIZ İÇİN KOLLARI SIVAYALIM. https://t.co/RDl4wjDEzh</t>
  </si>
  <si>
    <t>1407395100884451340</t>
  </si>
  <si>
    <t>Son bir haftada vaka sayısı en çok azalan illerimiz; Kars, Gümüşhane, Bartın, Balıkesir ve Kırklareli. Vaka sayılarında düşüş devam edecek aşı ile bağışıklık kazanacağız. Normalleşmeye devam edeceğiz. Aşı ile bitecek. https://t.co/SQKyIbvYyI</t>
  </si>
  <si>
    <t>1407383712854069254</t>
  </si>
  <si>
    <t>İllerimizde 100.000 nüfusa karşılık gelen bir haftalık toplam vaka sayısını gösteren insidans haritasının güncel halini ekte görebilirsiniz. Vaka sayılarının düşüş hızı azalsa da normalleşmeye engel değil. Aşı ile bitecek. https://t.co/xBYWcpfxQo</t>
  </si>
  <si>
    <t>1407380130796867584</t>
  </si>
  <si>
    <t>Turkovac’ın 3. faz çalışmalarında ilk doz uygulandı. 40 Bin 800 gönüllünün yardımına ihtiyaç duyulduğu halde, E-Nabız üzerinden kısa sürede 846 Bin 451 başvuru oldu. Sonuca inancımız tam. Yakında kendi aşısını üreten ve aşısı dünyada kullanılan sayılı ülkelerden biri olacağız. https://t.co/V6Kz9JAZSh</t>
  </si>
  <si>
    <t>1407374782920790020</t>
  </si>
  <si>
    <t>RT @tcbestepe: Cumhurbaşkanı @RTErdogan: "Türkiye'nin yerli Kovid-19 aşısının adı TURKOVAC."</t>
  </si>
  <si>
    <t>1407322004064190467</t>
  </si>
  <si>
    <t>RT @tcbestepe: Cumhurbaşkanı @RTErdogan, yerli aşının üçüncü fazının ilk doz uygulamasına video konferans yöntemiyle katıldı https://t.co/4…</t>
  </si>
  <si>
    <t>1407319835609083917</t>
  </si>
  <si>
    <t>Gençlik salgına karşı harekete geçsin. Aşı randevularında yaş sınırı 25’e indi. İlk randevular yarın.</t>
  </si>
  <si>
    <t>1407243783000006659</t>
  </si>
  <si>
    <t>AŞI RANDEVULARINDA YAŞ SINIRI 25’E İNDİ. Randevu alan gençler, aşı olmayı ertelemiş büyükleri varsa konuşup, randevu için yardımcı olsun. İlk randevular yarın. Gençlik salgına karşı harekete geçsin.</t>
  </si>
  <si>
    <t>1407240298669948928</t>
  </si>
  <si>
    <t>Normal hayata geçiş için 1 milyon 195 bin 426 doz aşı daha yapıldı. (21 Haziran Pazartesi Aşı Raporu)</t>
  </si>
  <si>
    <t>1407092497822662659</t>
  </si>
  <si>
    <t>BUGÜN 1 MİLYONUNCU AŞI, saat 18.56’da Kütahya Evliya Çelebi Eğitim ve Araştırma Hastanesi’nde yapıldı. Sağlık personelimizden günün sembol ismi, Emine Altuner. Aşıdan sorumlu hekim arkadaşımız, Ömer Çankaya. Aşısını yaptıran Halime Hanım, salgınla mücadele için aramıza katıldı. https://t.co/GDjJS9qwFP</t>
  </si>
  <si>
    <t>1407086450294857729</t>
  </si>
  <si>
    <t>Antalya’nın Aksu ilçesinde görevli 28 yıllık ebe arkadaşımız Serpil Minaz, tüm gün Antalya Havalimanı'ndaydı. Daha önce de Bingöl, Maraş ve İslahiye’de kendi isteğiyle sorumluluk aldı. Aşı olmak isteyen milyonlar bu fedakârlıkları hak ediyor. Serpil Hanımsa binlerce teşekkürü! https://t.co/jZ4dEPaCrI</t>
  </si>
  <si>
    <t>1407071468417077252</t>
  </si>
  <si>
    <t>AŞILAMA HIZINDA EN İYİ PERFORMANS TÜRKİYE’NİN. 14-20 Haziran arasında, Türkiye, Çin ve Almanya’yı geride bırakarak, aşılama hızında en yüksek performansı gösteren ülke oldu. Her gün, aşı programındaki her 100 kişiden ortalama 1,45’inin aşısı yapıldı. (Kaynak: Our World in Data) https://t.co/vl5DmvciWg</t>
  </si>
  <si>
    <t>1407044395615068161</t>
  </si>
  <si>
    <t>RT @RTErdogan: Kabine Toplantısı Sonrası Millete Sesleniş https://t.co/zWauCZEPR9</t>
  </si>
  <si>
    <t>1407007428491743235</t>
  </si>
  <si>
    <t>Geçen Haftanın Aşı Raporu: 14 Haziran saat 00.00’dan 20 Haziran 23.59’a kadar 7 milyon 776 bin 326 doz aşı yapıldı.</t>
  </si>
  <si>
    <t>1406995320563802117</t>
  </si>
  <si>
    <t>Aşı temininde düzenlilik sağlandı. Aşı yapan sağlık personeli sayısından yana da sorunumuz yok. Günde 1,5 Milyon dozu aşıyoruz. Aşınızı randevu alarak yaptırın.</t>
  </si>
  <si>
    <t>1406598693818601475</t>
  </si>
  <si>
    <t>Babalarla evlatlarının Babalar Günü kutlu olsun. https://t.co/RJqBEWGzpT</t>
  </si>
  <si>
    <t>1406564526548467717</t>
  </si>
  <si>
    <t>Randevusuz aşı başvuruları bizi biraz yavaşlatıyor. Yine de günde 1,5 Milyon dozu aşıyoruz. Randevu alarak işi hızlandıralım.</t>
  </si>
  <si>
    <t>1406297464639045632</t>
  </si>
  <si>
    <t>Aşı randevularında yaş sınırı 30’a indi. (Aşıyı erteleyen büyükler de gençlerin arasına karışabilirler.)</t>
  </si>
  <si>
    <t>1406251058356232193</t>
  </si>
  <si>
    <t>AŞI RANDEVULARINDA YAŞ SINIRI 30’A İNDİ. 30 yaş üstü her yaştan gençler yarından itibaren randevu alabilirler.</t>
  </si>
  <si>
    <t>1406247052527517698</t>
  </si>
  <si>
    <t>SAAT 00.00’A KADAR yapılan aşı sayısı: 1 milyon 538 bin 144 doz. Aşı ekibimiz 24 saat boyunca yine en çok şu kelimeyi kullandı: Sıradaki? (Az kelimeyle bu kadar çok şey daha iyi anlatılabilir mi?)</t>
  </si>
  <si>
    <t>1406001981177708550</t>
  </si>
  <si>
    <t>1,5 MİLYONUNCU DOZ KADROSU. Aşı yaptıran: TAHİR ASLAN. Aşıyı yapan sağlık çalışanı: ALİCAN KIŞ. Aşıdan sorumlu hekim: HİLAL KÜNKÜL. Yer: Başakşehir Çam ve Sakura Şehir Hastanesi. Saat: 22.15. Bu hızla Covid-19 yenilmeye mahkûm. https://t.co/jXls5UnlsY</t>
  </si>
  <si>
    <t>1405991812104396801</t>
  </si>
  <si>
    <t>MERSİN’DE BUGÜN en çok aşıyı hemşire MERYEM MAVİ yaptı. 323 aşı yapan hemşire arkadaşımız Mersin Şehir Hastanesi’nde görevli. Meryem Hanım ve doktor olan eşi salgının zor günlerinde Covid-19’a yakalanmışlardı. https://t.co/B7CUfZ1QGo</t>
  </si>
  <si>
    <t>1405977829276278784</t>
  </si>
  <si>
    <t>Yer: İstanbul Bayrampaşa Devlet Hastanesi. Saat: 15.45. Dr. Gülşah Hanım çok mutlu. 40 Milyonuncu aşıyı o yaptı. Yani, yapmıştı. Çünkü şu an 40 Milyon 300 bini aştık. https://t.co/xzrjCpolou</t>
  </si>
  <si>
    <t>1405956699505238020</t>
  </si>
  <si>
    <t>40 MİLYONUNCU DOZA ULAŞTIK. 206 ülke arasında, doz olarak en yüksek sayıda aşıyı yapan 9. ÜLKEYİZ. Sağlık personelimiz gün oluyor dakikada 6.000 kişiye aşı hizmeti veriyor. İmkânlarımız büyük, dayanışmamız yüksek. Sonuçlar sürpriz değil.</t>
  </si>
  <si>
    <t>1405873039464620034</t>
  </si>
  <si>
    <t>Aşı programında yer alan 18 YAŞ ÜSTÜ NÜFUSUN %50’SİNİN tam doz veya ilk doz aşısı tamamlanmış durumda. Program, kısa sürede, beklediğiniz başarıya ulaşacak. Aşısı henüz yapılmayanların sayısında geri sayım başladı</t>
  </si>
  <si>
    <t>1405843323521273858</t>
  </si>
  <si>
    <t>Bugün 1,5 Milyonuncu doz aşı, saat 21.43’te uygulandı. Aşı ordumuz, 2 saat 17 dakika içinde 82 Bin 232 doz aşı daha yaptı. Böylece son 24 saat içinde 1 Milyon 582 Bin 232 doza ulaştık. 24.00 itibariyle yeni günün mesaisi başladı. İçiniz rahat uyuyun. Hayırlı geceler.</t>
  </si>
  <si>
    <t>1405633428834377728</t>
  </si>
  <si>
    <t>1,5 MİLYONUNCU DOZ AŞI, 24 saatin dolmasına 2 saat 17 dakika kala yapıldı. Yer, Tekirdağ Dr. İsmail Fehmi Cumalıoğlu Şehir Hastanesi. Sağlık personeli, Dilek Coşkun. Aşıdan sorumlu hekim, Beraat Özdemir. Dünkü toplam sayı 1 Milyon 416 Bin 795’ti. Bu hız bu işi erkenden bitirecek. https://t.co/XGKURVqTQR</t>
  </si>
  <si>
    <t>1405613172850057224</t>
  </si>
  <si>
    <t>DÜNKÜ EN İYİ PERFORMANS, TÜRKİYE’NİN. Dün, her 1 Milyon kişide günlük aşılama sayısına göre, dünyadaki en yüksek aşılama sayısına ulaştık. 47 bin kişilik aşı ordumuzdan bugün daha da iyi bir sonuç bekleyin.</t>
  </si>
  <si>
    <t>1405585133546115078</t>
  </si>
  <si>
    <t>BUGÜN 1 MİLYONUNCU AŞI, saat 15.20’de, Balıkesir Altı Eylül 14 No’lu Aile Hekimliği Birimi ekibi tarafından yapıldı. Bu kez aşıyı yapan, sorumlu hekim arkadaşımız Süheyla Camcı Diri idi. Aşı kampanyamızda doktorlarımız da kolları sıvamış durumda. Sağ olun. https://t.co/4umtRecNhU</t>
  </si>
  <si>
    <t>1405543681101160453</t>
  </si>
  <si>
    <t>Son bir haftada vaka sayısı en çok azalan illerimiz; Bilecik, Karaman, Malatya, Kastamonu ve Isparta. Vaka sayılarında düşüş devam edecek aşı ile bağışıklık kazanacağız. Aşı ile bitecek. https://t.co/270I82paN4</t>
  </si>
  <si>
    <t>1405541006104166401</t>
  </si>
  <si>
    <t>İllerimizde 100.000 nüfusa karşılık gelen bir haftalık toplam vaka sayısını gösteren insidans haritasının güncel halini ekte görebilirsiniz. Vaka sayılarının düşüş hızı azalsa da düşme eğilimi devam ediyor. Aşı ile bitecek. https://t.co/tyXHSVcOPv</t>
  </si>
  <si>
    <t>1405539184400474123</t>
  </si>
  <si>
    <t>Saat 24 itibariyle, 18.584 merkezde 47.314 sağlık çalışanımız 1 Milyon 416 Bin 795 doz aşı yaptı. Elleriniz dert görmesin arkadaşlar.</t>
  </si>
  <si>
    <t>1405269598778261506</t>
  </si>
  <si>
    <t>Dünü unutarak yarını inşa edemeyiz. https://t.co/ZDjHOScDry</t>
  </si>
  <si>
    <t>1405221145612369927</t>
  </si>
  <si>
    <t>Unutmamalıyız ki zafere en yakın zaman riskin de en yüksek olduğu zamandır. https://t.co/lDA61aYYWG</t>
  </si>
  <si>
    <t>1405216368367181825</t>
  </si>
  <si>
    <t>Hepimiz sevdiklerimizle aramızdaki mesafeden kurtulacağız. https://t.co/QKK4t8oBNW</t>
  </si>
  <si>
    <t>1405214110103523344</t>
  </si>
  <si>
    <t>Bu güce güvenin demiştik. https://t.co/86gxy2gWYi</t>
  </si>
  <si>
    <t>1405212219521093635</t>
  </si>
  <si>
    <t>Yarın itibariyle 35 yaş üzerindeki tüm vatandaşlarımız için de aşı randevularını açıyoruz. https://t.co/91A09X4dLh</t>
  </si>
  <si>
    <t>1405210476410179584</t>
  </si>
  <si>
    <t>CANLI: Bilim Kurulu Toplantımızın ardından Basın Açıklamamız:
https://t.co/11Gp4XPw7b</t>
  </si>
  <si>
    <t>1405190500995502083</t>
  </si>
  <si>
    <t>1 Milyonuncu doz aşının yapılış anı. Yer: Kocaeli Darıca, Farabi Eğitim ve Araştırma Hastanesi. Saat 16:53. Aşıyı yapan sağlık personeli: Enis Akdeniz. Sorumlu hekim: Ömer Faruk Aşcı. Geçmiş olsun Kıymet Bey. Omuzunuzdaki bandı çıkarmayı unutmadınız, değil mi? https://t.co/VJ4gxOixuN</t>
  </si>
  <si>
    <t>1405189681730437124</t>
  </si>
  <si>
    <t>“Bu kız bugün 224 kişiye aşı yaptı.” Aşı ekibinden bir arkadaşımız dün böyle bir tweet atmış. Ardından, şu duygusunu paylaşmış: “Son günlerde o kadar çok aşı yaptım ki, dışarı çıkınca herkesin yüzü tanıdık geliyor.” Aşı yapan ellerinize sağlık. Bu fedakârlıklar unutulmayacak. https://t.co/fh9cHpEvfk</t>
  </si>
  <si>
    <t>1405113223020482560</t>
  </si>
  <si>
    <t>BUGÜN RANDEVU İSTESEM AŞIM NE ZAMAN YAPILIR? “Gün içinde randevu, gün içinde aşı” uygulamasını başlattık. Randevu alın, aşınızı vakit kaybetmeden yapalım.</t>
  </si>
  <si>
    <t>1405073192348176389</t>
  </si>
  <si>
    <t>1 MİLYON 240 BİN 311. SİZCE NEDİR? 24 saat içinde bu kadar doz aşı, randevu alıp aşı olan bu kadar insan. Önümüzdeki günler için güven. Sağlık çalışanlarımız için tatlı bir yorgunluk.</t>
  </si>
  <si>
    <t>1404907276717133825</t>
  </si>
  <si>
    <t>1 MİLYON DOZ aşı hedefine az önce ulaştık. Bir milyonuncu aşının yeri Ankara, aşı olan arkadaşımız 48 yaşında. Hatice kardeşim, günün kahramanı olduğunun farkında mısın?</t>
  </si>
  <si>
    <t>1404848852038000651</t>
  </si>
  <si>
    <t>Üretimin devamlılığı ve güvenliği için organize sanayi bölgelerinde mobil ekiplerimizle yerinde aşı uygulamasına başlıyoruz. Çarklar dönmeye devam edecek. Bu güce güvenin.</t>
  </si>
  <si>
    <t>1404765214797672449</t>
  </si>
  <si>
    <t>An itibariyle 35 Milyon doz aşıya ulaştık. 35 Milyonuncu doz aşı az önce Çanakkale Bayramiç’te yapıldı.</t>
  </si>
  <si>
    <t>1404737089758019593</t>
  </si>
  <si>
    <t>14 Haziran Pazartesi toplam aşı dozu raporu: 842.494
Hedeflediğimizden 92.494 doz daha fazla aşı yaptık.</t>
  </si>
  <si>
    <t>1404545384244985857</t>
  </si>
  <si>
    <t>Kayseri’nin Develi ilçesinde görevli bir hekim arkadaşımız silahlı saldırıya uğradı. Çok sayıda sabıkası olan saldırgan yakalandı, arkadaşımız ambulansla hastaneye kaldırıldı. Az önce kendisiyle görüştüm. Yasalar ve toplum olarak şiddetin karşısında asla aciz kalmayacağız.</t>
  </si>
  <si>
    <t>1404514279982776326</t>
  </si>
  <si>
    <t>İŞÇİ VE MEMURLARIN TAMAMI için yarın yeni bir gün başlıyor. SGK kayıtlı tüm çalışanlar… YARIN İLK İŞİMİZ aşı randevusu almak olsun!</t>
  </si>
  <si>
    <t>1404506539931623426</t>
  </si>
  <si>
    <t>Az önce 750.001’inci doz aşıyı yaptık.</t>
  </si>
  <si>
    <t>1404498069467578372</t>
  </si>
  <si>
    <t>Şu ana kadarki en yüksek günlük doza ulaşıyoruz: Bir günde 750.000 doz. Kısa süreliğine geçerli bir ilk!</t>
  </si>
  <si>
    <t>1404351621392437249</t>
  </si>
  <si>
    <t>750.000 kişi bugün, 11 Mart 2020’den sonraki hayatlarının belki de en mutlu anlarını yaşayacak.</t>
  </si>
  <si>
    <t>1404318323207143426</t>
  </si>
  <si>
    <t>Verdiğim sayı “hatalı” çıktı. Bugün 448 bin değil, 456 bin doz aşı yaptık. Aşı var, zaman var. Randevusu yok diye 8 bin kişiyi geri çeviremezdik. https://t.co/gCdbqWY745</t>
  </si>
  <si>
    <t>1404192131317706756</t>
  </si>
  <si>
    <t>Bugün vefat sayımız 53. Çok can yakıcı sayılardan bugünlere geldik. Vaka sayımız 5.012. Bir kez daha gördük: Zaferi, yolu kararlı yürüyenler kazanır. Salgın iyice geriledi, yenileceği gün çok yakın.</t>
  </si>
  <si>
    <t>1404182932143718401</t>
  </si>
  <si>
    <t>13 Haziran 1987’de aramızdan ayrılan Cemil Meriç’i rahmet ve hürmetle anıyoruz. Fikir hayatımızda hakiki olanla sahte olanı birbirinden ayıran bu büyük zekâ medeniyetimizin yeniden inşasında bize nesiller boyu yol göstermeye devam edecek. Ruhu şad olsun. https://t.co/0Ai8FbXkYX</t>
  </si>
  <si>
    <t>1404073332908167171</t>
  </si>
  <si>
    <t>Bugün 448 bin kişi için aşı günü!</t>
  </si>
  <si>
    <t>1403978387341910018</t>
  </si>
  <si>
    <t>AŞIDA 40 YAŞA KADAR İNDİK. Yaşınız 40 veya üstüyse bu sabahtan itibaren randevu alabilirsiniz. Yüzde yüz katılım bekliyoruz.</t>
  </si>
  <si>
    <t>1403956359339593728</t>
  </si>
  <si>
    <t>12 Haziran Cumartesi toplam 449.684 aşı yapıldı. Aşı yaptırmak üzere randevu alanların %99,485’i gelip aşılarını yaptırdı. Normal hayata bir adım daha yaklaştık. Sağ olun.</t>
  </si>
  <si>
    <t>1403835987793518596</t>
  </si>
  <si>
    <t>İtalyan RAI Televizyonundan TG3 ekibinin Mardin’de yaptığı çekimlerde aşıya karşı önyargıların nasıl kolayca değiştiğini görüyoruz. Teşekkürler Halise teyze. Sağ ol arkadaşımız Azize. Sağ olun sözüyle çevresine güven veren genç hanımlar. https://t.co/KD5VBnfjlE</t>
  </si>
  <si>
    <t>1403731868093227008</t>
  </si>
  <si>
    <t>3 saat önce 33 Milyonuncu doz aşıyı yaptık. Sırası gelenleri kararlaştırdığımız saatte bekliyoruz.</t>
  </si>
  <si>
    <t>1403695440621621258</t>
  </si>
  <si>
    <t>Yerli aşımız son aşamada. FAZ 3 insan çalışmasında gönüllü olun, sonuca birlikte ulaşalım.  
https://t.co/E8uh4tlN81 https://t.co/Pg4xo7Yrsz</t>
  </si>
  <si>
    <t>1403623472681652224</t>
  </si>
  <si>
    <t>Randevusunda dakik olanlara, aşı sırası bekleyen milyonlar adına teşekkür ederim.</t>
  </si>
  <si>
    <t>1403615915762196481</t>
  </si>
  <si>
    <t>Bugün en az 450.000 kişinin önemli bir randevusu var.</t>
  </si>
  <si>
    <t>1403589664833949697</t>
  </si>
  <si>
    <t>Saat 23.59. Son 24 saat içinde toplam 597.647 doz aşı yapıldı. Bu vakte kadar çalışan arkadaşlarımıza, aşı randevusunu aksatmayan vatandaşlarımıza binlerce teşekkür! Aşı, fedakârlık, planlama: Hepsi var, sorun yok!</t>
  </si>
  <si>
    <t>1403457773279514628</t>
  </si>
  <si>
    <t>Gözümüz, kulağımız Türkiye-İtalya maçında. Avrupa Futbol Turnuvasının açılış maçı olan bu maçı tüm dünya izleyecek. Futbol nedir, dünya görsün arkadaşlar!</t>
  </si>
  <si>
    <t>1403422684734701571</t>
  </si>
  <si>
    <t>500 BİNİNCİ DOZ aşı az önce yapıldı! GÜNLÜK doz sayısında ileriki saatlerde yeni bir rekora ulaşacağız. Çalışanlarımız iş başında. Günlük kapasitemiz bu dozun 3 katından fazla. Hadi bakalım: Bugünkü aşı toplam kaç doza ulaşacak? Öte taraftan maçın sonucu ne olacak?</t>
  </si>
  <si>
    <t>1403406254928769029</t>
  </si>
  <si>
    <t>TÜRK KIZILAY 153 YAŞINDA. 1868’deki ilk kurucuları, tıpkı bugün görevli hekimleri, personeli, gönüllüleri gibi fedakârlık timsali şahsiyetlerdi. Kızılay’ın Hilal’i nerde bir yardım çağrısı varsa orada yeniden doğar. Kızılay, bizim dünyadaki iyilik bayrağımızdır. https://t.co/5yuOdZ266q</t>
  </si>
  <si>
    <t>1403390150894305285</t>
  </si>
  <si>
    <t>Kargo çalışanlarıyla kuryelerin aşılarına da yarın başlıyoruz. Artık iyice hızlandık.</t>
  </si>
  <si>
    <t>1403329093706342407</t>
  </si>
  <si>
    <t>Şehir içi ve şehirlerarası ulaşım faaliyetlerinde çalışanlar ile taksi ve dolmuş esnafı da aşı programımıza dahil oluyor. Yarından itibaren aşılarını olabilirler.</t>
  </si>
  <si>
    <t>1403261128512315395</t>
  </si>
  <si>
    <t>Her BIONTECH aşı flakonunda 6 KİŞİLİK, yani 6 doz aşı bulunuyor. Flakon açılıp sulandırıldıktan sonra bu 6 doz aşı 6 saat içinde kullanılmalıdır. 6 SAAT içinde kullanılmayan dozlar daha sonra kullanılamaz, israf olur. Aşı kıymetli, temini kolay değil. Randevunuzu aksatmayın.</t>
  </si>
  <si>
    <t>1403250186550484996</t>
  </si>
  <si>
    <t>Yaş kısıtlaması olmadan tüm avukatlar aşı programına dahil oluyor. Yarından itibaren tüm avukatlarımız aşı olabilirler. Bu güce güvenin.</t>
  </si>
  <si>
    <t>1403042203396624386</t>
  </si>
  <si>
    <t>Aşı programı kapsamında berber ve kuaförler de aşılanmaya başlıyor. Randevularınızı yarından itibaren alabilirsiniz. Bu güce güvenin.</t>
  </si>
  <si>
    <t>1403037585878945794</t>
  </si>
  <si>
    <t>Aşı programımızda meslek gruplarımızın tanımlanmasına devam ediliyor. Yarından itibaren Gıda üretim ve dağıtım sektörü ile kafe, lokanta ve restoran çalışanları da programa dahil ediliyor. Bu güce güvenin.</t>
  </si>
  <si>
    <t>1403033016784535557</t>
  </si>
  <si>
    <t>Çok yakında salgın haberlerinden kurtulacağız. Gün gibi aydınlık, sağlıklı ve mutlu günler yakındır. Büyük Türkiye güçlü bir devlettir. Bu güce güvenin. https://t.co/feWZMBfNRb</t>
  </si>
  <si>
    <t>1402690211226734597</t>
  </si>
  <si>
    <t>Aşıların belirli süre ile bağışıklık sağladığı ve iki doz aşı olan kişilerin üçüncü doz aşı olması gerekliliği konusunda bilimsel çalışmalar devam etmektedir. https://t.co/LgvuCZ2gmj</t>
  </si>
  <si>
    <t>1402687076827533314</t>
  </si>
  <si>
    <t>Türk aşısı son aşamaya geldi. Salgın kontrolünün sürekliliği ve aşıda dışa bağımlılığı bitirecek bu önemli gelişmeyi hep birlikte yaşayacağız. https://t.co/KEKIAia3ln</t>
  </si>
  <si>
    <t>1402683606129070083</t>
  </si>
  <si>
    <t>Aşılama ile toplumsal bağışıklığı elde edene kadar kişisel tedbirlerimize tavizsiz uymaya devam edelim. https://t.co/mweIxx44TI</t>
  </si>
  <si>
    <t>1402678503326334980</t>
  </si>
  <si>
    <t>İster yaş ister meslek grubu sebebiyle sıranız gelmiş olsun, lütfen zaman kaybetmeden aşınızı olun. https://t.co/eTOxKHJa9k</t>
  </si>
  <si>
    <t>1402675710574182406</t>
  </si>
  <si>
    <t>Büyüklerimizin ellerini doya doya öpeceğimiz, sevdiklerimizle kucaklaşacağımız, çekinmeden tokalaşacağımız günler yakın. https://t.co/FpSfzIhyPH</t>
  </si>
  <si>
    <t>1402672455383191558</t>
  </si>
  <si>
    <t>CANLI: Bilim Kurulu Toplantımızın ardından Basın Açıklamamızı aşağıdaki YouTube linkimizden takip edebilirsiniz.
Video: https://t.co/jV1AjfoRWb</t>
  </si>
  <si>
    <t>1402660707439611907</t>
  </si>
  <si>
    <t>Bilim Kurulu Toplantımızın ardından Basın Açıklamamızı, Saat: 19.00'da aşağıdaki YouTube kanalımızdan takip edebilirsiniz.
YouTube: https://t.co/LZZbTwLqKJ</t>
  </si>
  <si>
    <t>1402647049129054215</t>
  </si>
  <si>
    <t>RT @RTErdogan: AK Parti TBMM Grup Toplantısı https://t.co/YYLj8yfhtm</t>
  </si>
  <si>
    <t>1402552601770610688</t>
  </si>
  <si>
    <t>Behzat Bey, sizin sıranız gelmişti zaten yaş grubunuz sebebiyle :) Ama merak etmeyin, tiyatrocularımız zaten ilan ettiğimiz kapsama dahil. https://t.co/xZ3kh2LtUm</t>
  </si>
  <si>
    <t>1402362892712878092</t>
  </si>
  <si>
    <t>Cem Bey, merak etmeyin 13 Eylülden önce üniversite öğrencilerimiz de aşılarını olacak. Artık salgın ülkemizin gündeminden çıkacak. Siz de destek olun. https://t.co/2zvUXvW1xN</t>
  </si>
  <si>
    <t>1402353983742791681</t>
  </si>
  <si>
    <t>Bir meslek grubu daha aşı programında yerini alıyor. Üniversitelerimizin Eylül'de yüz yüze eğitime başlayabilmesi için öğretim üyelerimizin ve üniversite personellerinin aşılanmasına da yarın başlıyoruz. Bu güce güvenin.</t>
  </si>
  <si>
    <t>1402309982356377602</t>
  </si>
  <si>
    <t>Aşı programımızda bir grubun daha aşılanmasına başlıyoruz. Müzisyen, film ve dizi prodüksiyon ekipleri yarından itibaren aşı olmaya başlayabilecekler. Her geçen gün yeni meslek ve yaş grupları eklenerek ülkemizi en kısa sürede salgın gündeminden çıkaracağız. Bu güce güvenin.</t>
  </si>
  <si>
    <t>1402293432366899208</t>
  </si>
  <si>
    <t>Son bir haftada vaka sayısı en çok azalan illerimiz Gümüşhane, Bilecik, Bayburt, Kocaeli ve Kırklareli. Vaka sayılarında düşüş devam edecek aşı ile bağışıklık kazanacağız. Bu güce güvenin. https://t.co/iT0JPGv8JI</t>
  </si>
  <si>
    <t>1402264533360693255</t>
  </si>
  <si>
    <t>İllerimizde 100.000 nüfusa karşılık gelen bir haftalık toplam vaka sayısını gösteren insidans haritasının güncel halini ekte görebilirsiniz. Vaka sayılarının düşüş hızı azalsa da düşme eğilimi devam ediyor. Bu güce güvenin. https://t.co/Tdew0cuZqS</t>
  </si>
  <si>
    <t>1402259927280852998</t>
  </si>
  <si>
    <t>Aşıya erişimde yeni kolaylıklar var. Biontech aşısı için artık kamu ve özel hastanelerle birlikte Aile hekimlerimiz de devrede. Bugünden itibaren e-nabız ve MHRS üzerinden randevu alabilirsiniz. Bu güce güvenin.</t>
  </si>
  <si>
    <t>1402173928743870465</t>
  </si>
  <si>
    <t>CAHİT ZARİFOĞLU, Yedi Güzel Adam demişti ve onlardan biriydi. Şiirleriyle, yetiştirdiği gençlerle bize muştu verdi: “Beyaz haberlerim var kardeşlerim”. ABDURRAHİM KARAKOÇ, Mihriban şiiriyle insanımızın gönül teline dokundu. Bu iki şairi vefat yıl dönümlerinde rahmetle anıyorum.</t>
  </si>
  <si>
    <t>1401889837310005248</t>
  </si>
  <si>
    <t>Pençe Yıldırım harekat bölgesinde el yapımı patlayıcı sebebiyle şehit düşen kahraman askerimiz Samet Şeker'e Allah'tan rahmet, yakınlarına ve milletimize başsağlığı diliyorum. https://t.co/t44Q9yZZFn</t>
  </si>
  <si>
    <t>1401623360056999937</t>
  </si>
  <si>
    <t>Değerli diyetisyenler, Dünya Diyetisyenler Günü’nüzü kutluyorum. Eski normallerine dönmek isteyenlere desteğiniz önemli. Eski normallere, bize göre de, sağlıklı beslenme ve normal kilolar dâhil.</t>
  </si>
  <si>
    <t>1401561325298401285</t>
  </si>
  <si>
    <t>Büyüklerimizin küçüklerimize kavuşması için #kollarısıvıyoruz https://t.co/hYwonCzOnf</t>
  </si>
  <si>
    <t>1401271743642226691</t>
  </si>
  <si>
    <t>Bugün Dünya Çevre Günü. Bugünden uyarayım. Yakında maskeleri çıkarıp atacağız. Ama yere değil!</t>
  </si>
  <si>
    <t>1401219663569244165</t>
  </si>
  <si>
    <t>AŞIDA TOPLAM 30 MİLYON DOZA ULAŞTIK. Bugün itibariyle ulaştığımız bu sayının sonuçlarını çok yakında, 84 Milyon birlikte göreceğiz. Sağlıklı günlere dönmek için yol doğru, kararlılıkla devam edelim.</t>
  </si>
  <si>
    <t>1400919347825156107</t>
  </si>
  <si>
    <t>VEFAT SAYIMIZ BUGÜN 100’ÜN ALTINA İNDİ. Gösterdiğiniz dikkat ve aşı, giderek her şeyi kontrol altına alıyor. Aramızdan ayrılan hastalarımıza Allah’tan rahmet, yakınlarına başsağlığı diliyorum. Sağlıklı günlere dönmek için yol doğru, kararlılıkla devam edelim.</t>
  </si>
  <si>
    <t>1400917964803747848</t>
  </si>
  <si>
    <t>Müziğin saklı hazinelerini derleyip kitlelerle buluşturan Hasan Saltık, bugün son yolculuğuna uğurlandı. Kalp krizi sebebiyle aramızdan ayrılan bu müzik insanı gönüllerde yaşayacak. Sayesinde yaygınlaşan Bu Dünya Bir Pencere adlı türküyü Ahmet Aslan ve Kemal Dinç seslendiriyor: https://t.co/EevDU2dkM5</t>
  </si>
  <si>
    <t>1400905009626288133</t>
  </si>
  <si>
    <t>Vatandaşlarımızın aşı olması için gerekli tüm şartları hazırlamaya gayret ediyoruz. Vatandaşlarımız neredeyse hizmetimiz orada olacak. Aşı olarak bağışıklık kazanacak ve salgını gündemimizden çıkaracağız. Bu güce güvenin. https://t.co/SmybxbeJJ4</t>
  </si>
  <si>
    <t>1400827651384881160</t>
  </si>
  <si>
    <t>Bugün itibariyle 30 milyon doz aşı yapıldı. Nüfusumuzun üçte birinden fazla doz aşı uygulanmış oldu. Nüfusumuzun üç katından fazla doz aşı için anlaşmamız bulunuyor. Yarın bugünden daha güzel olacak. Bu güce güvenin. https://t.co/h7AO82CTPi</t>
  </si>
  <si>
    <t>1400771360570458115</t>
  </si>
  <si>
    <t>Savaşı, yoksulluğu, hürriyet arayışını, insanın evrensel hikâyesini anlatan büyük şairimiz Nazım Hikmet’i ölüm yıl dönümünde saygıyla anıyorum. Türkçe’nin göğü altında yükselen çınar ağacı tüm dünyanın sevgisini kazanmış bir şairimiz. Kız Çocuğu şiirini kendi sesinden dinleyelim. https://t.co/yUjiMMptln</t>
  </si>
  <si>
    <t>1400434424425201674</t>
  </si>
  <si>
    <t>Önümüzdeki hafta aşılama programımız için yeni bir dönem daha başlıyor. 7 Haziran Pazartesi gününden itibaren yaş sınırı olmaksızın tüm öğretmenlerimiz aşı olabilecekler. Aşı ile bağışıklık kazanacak ve salgını gündemimizden çıkaracağız. Bu güce güvenin.</t>
  </si>
  <si>
    <t>1400127542519074824</t>
  </si>
  <si>
    <t>Bitlis-Tatvan’da girdikleri çatışmada şehit düşen Korucu Yücel Aki ve Jandarma Teğmen Baki Koçak’a Allah’tan rahmet; ailesi, sevenleri ve milletimize başsağlığı diliyorum. Aynı çatışmada yaralanan 4 kahraman askerimiz için de acil şifalar dilerim. https://t.co/bAcFp12pum</t>
  </si>
  <si>
    <t>1400124660231049220</t>
  </si>
  <si>
    <t>Eski normale giden yol, aşılamadan geçiyor. https://t.co/VVovVXkkDn</t>
  </si>
  <si>
    <t>1400122999022497800</t>
  </si>
  <si>
    <t>Sırası gelen vatandaşımız hangi aşı ile aşılanma imkanı varsa güvenle o aşıyı olmalı. https://t.co/V6TfcX8BcP</t>
  </si>
  <si>
    <t>1400120637369339904</t>
  </si>
  <si>
    <t>Maskelerin yüzümüzü terlettiği son yaz, bu yaz olacak. https://t.co/6DlKLYKo0F</t>
  </si>
  <si>
    <t>1400117692359716867</t>
  </si>
  <si>
    <t>CANLI: Bilim Kurulu Toplantımızın ardından Basın Açıklamamızı aşağıdaki YouTube linkimizden takip edebilirsiniz.
Video: https://t.co/s3tNyBEZKN</t>
  </si>
  <si>
    <t>1400111408461893633</t>
  </si>
  <si>
    <t>Bilim Kurulu Toplantımızın ardından Basın Açıklamamızı, Saat: 18.20'de aşağıdaki YouTube kanalımızdan takip edebilirsiniz.
YouTube: https://t.co/LZZbTwLqKJ</t>
  </si>
  <si>
    <t>1400107620049039363</t>
  </si>
  <si>
    <t>Diğerkâmlık ve fedakârlık karşısında gösterilmesi gereken saygı yerine şiddete yönelmek sadece ağır cezalar getiren ağır bir suç değil, vicdanları sarsan ağır bir utançtır da. #SağlıktaŞiddeteAfYok https://t.co/I5vpKF0LLV</t>
  </si>
  <si>
    <t>1400044200561889282</t>
  </si>
  <si>
    <t>Kendisine yapılan saldırı ile yaralanan meslektaşım Ertan İskender'i tedavi gördüğü hastanede ziyaret ettim. Durumu her gün iyiye gidiyor. Saldırıların son bulması için takibimiz sonuç alana kadar devam edecek. Sağlık çalışanlarını korumak hepimizin sorumluluğu. https://t.co/2hCmccZBtI</t>
  </si>
  <si>
    <t>1399812744703053828</t>
  </si>
  <si>
    <t>Son bir haftada vaka sayısı en çok azalan illerimiz Erzurum, Tunceli, Kastamonu, Samsun ve Kocaeli. Olumlu seyir sürüyor. Bu güce güvenin. https://t.co/SaqW0YJTJ6</t>
  </si>
  <si>
    <t>1399775743610077185</t>
  </si>
  <si>
    <t>İllerimizde 100.000 nüfusa karşılık gelen bir haftalık toplam vaka sayısını gösteren insidans haritasının güncel halini ekte görebilirsiniz. Vaka sayılarının düşüş eğilimi devam ediyor. https://t.co/XBwWbCKWmM</t>
  </si>
  <si>
    <t>1399773661066895363</t>
  </si>
  <si>
    <t>Ülkemizde yaygın olarak kullanılan Sinovac firmasının COVID-19 aşısı Coronovac; Dünya Sağlık Örgütü tarafından da onaylandı. Güvenirliği ve etkisi kanıtlanmış her aşıyı vatandaşımızla buluşturmaya devam edeceğiz. Bu güce güvenin.</t>
  </si>
  <si>
    <t>1399756151097602059</t>
  </si>
  <si>
    <t>50 yaş üzeri vatandaşlarımızın aşı programı bugün itibariyle başladı. Aşı ile salgının etkisini gündemimizden çıkaracağız. Bu güce güvenin.</t>
  </si>
  <si>
    <t>1399699962598985739</t>
  </si>
  <si>
    <t>Hayatın tüm güzelliklerini sevdiklerimizle paylaşmak için #kollarısıvıyoruz https://t.co/31AUc7eVZA</t>
  </si>
  <si>
    <t>1399440527796355081</t>
  </si>
  <si>
    <t>RT @RTErdogan: Kabine Toplantısı Sonrası Millete Sesleniş https://t.co/wg6tHhvEr0</t>
  </si>
  <si>
    <t>1399408725262323715</t>
  </si>
  <si>
    <t>Sigara, puro, pipo, nargile gibi tütün ürünlerinin dumanıyla, muhtemelen sizden uzak olan hastalıkların nedenlerini hazırlarsınız. Üstelik bile bile. Kısa bir “keyif” uğruna ağır hastalıklara yakalanmayı göze almayın. 31 Mayıs Dünya Tütünsüz Günü sağlık için karar günü olsun.</t>
  </si>
  <si>
    <t>1399336914763845634</t>
  </si>
  <si>
    <t>Anadolu Efes, Euroleague yarı finalinde Rus takımı CSKA'yı, finalde de İspanyol takımı Barcelona’yı yenerek şampiyon oldu. Başta oyuncularımız olmak üzere, bu başarıda payı olan herkesi kutluyorum. Potalar, Avrupa’nın en büyüğünü çok iyi tanıyor, çok!</t>
  </si>
  <si>
    <t>1399113778751545345</t>
  </si>
  <si>
    <t>İş hayatımızın normalleşmesi için #kollarısıvıyoruz https://t.co/lmMr7HKK97</t>
  </si>
  <si>
    <t>1399078927247806468</t>
  </si>
  <si>
    <t>Koronavirüs’e karşı birlikte zafere ulaşmak için #kollarısıvıyoruz https://t.co/cP8pKxS1nR</t>
  </si>
  <si>
    <t>1398708281179348993</t>
  </si>
  <si>
    <t>Seni ilk günün aşkıyla seviyoruz İstanbul. Fethinin 568. yıl dönümü kutlu, müjdelenmiş Fatih’inin ruhu şad olsun. https://t.co/RkqBrUiZyQ</t>
  </si>
  <si>
    <t>1398549839785385999</t>
  </si>
  <si>
    <t>Tünelin sonundaki ışığa birlikte ulaşmak için #kollarısıvıyoruz https://t.co/FtohJSTlaZ</t>
  </si>
  <si>
    <t>1398366847985139713</t>
  </si>
  <si>
    <t>Tam bağımlı orta düzey ve ağır engelli vatandaşlarımızın aşılanması başladı. Hizmete nerede ihtiyaç varsa sağlık çalışanlarımız orada. Bu güce güvenin. https://t.co/zaNWTVm07O</t>
  </si>
  <si>
    <t>1398358279378681856</t>
  </si>
  <si>
    <t>Saldırıya uğrayan meslektaşım Ertan İskender’in ameliyatı başarıyla tamamlandı. Kendisiyle konuştum, durumu iyi. Saldırgan adli işlemler için polis gözetiminde. Konunun sonuna kadar takipçisi olacağım. Canımızı emanet ettiğimiz hekimlerimizin hak ve emniyeti bize emanet.</t>
  </si>
  <si>
    <t>1398019644317970432</t>
  </si>
  <si>
    <t>Ankara Eğitim ve Araştırma Hastanesi’nde asistan hekimimiz Ertan İskender bir hastanın saldırısına uğrayarak elinden ve belinden yaralandı. Bıçaklı saldırıya uğrayan hekimimiz şu an ameliyatta. Durumu yakından takip ediyorum. Şifa veren eli kesmeye çalışmanın affı mümkün değil.</t>
  </si>
  <si>
    <t>1397998672927940608</t>
  </si>
  <si>
    <t>Hayatımızın yeniden normalleşmesi için #kollarısıvıyoruz https://t.co/iOKMdo3dhN</t>
  </si>
  <si>
    <t>1397976314422960131</t>
  </si>
  <si>
    <t>Üzerinden 61 yıl geçen 27 Mayıs ihtilalini demokrasi tarihimizde ilelebet nefret konusu bir hadise olarak; canlarına, masum oldukları bilindiği halde kıyılan demokrasi şehitlerimizi rahmetle anıyorum. Zulüm payidar olmaz. Tarih, yaşama hakkını kahramanlara tanır.</t>
  </si>
  <si>
    <t>1397913358766993416</t>
  </si>
  <si>
    <t>Aşı programımızda öncelikli bir grubu daha aşılamaya başlıyoruz. Bugünden itibaren tam bağımlı orta düzey ve ağır engelli vatandaşlarımızın aşılanması başlıyor. Bu güce güvenin.</t>
  </si>
  <si>
    <t>1397832751563292672</t>
  </si>
  <si>
    <t>Yerli aşımızla ilgili de son aşamaya gelmiş bulunuyoruz. Faz çalışmaları devam eden üç aşı adayımızdan biri Faz 3 aşamasına gelmiştir. En kısa sürede Faz 3 aşılamaları başlayacaktır. Kendi geliştirdiğimiz aşımızın kullanımının da yaklaştığı müjdesini vermek isterim. https://t.co/7Enohe4nH1</t>
  </si>
  <si>
    <t>1397825202587832325</t>
  </si>
  <si>
    <t>Aşı programında sırası gelen çiftçilerimizi bulundukları yerde aşılarını yapmak üzere ziyaret ettik. Aşı ile salgını durduracağız. Bu güce güvenin. https://t.co/G2o4NPw6Ga</t>
  </si>
  <si>
    <t>1397650136189308929</t>
  </si>
  <si>
    <t>Aşı tedariki yavaşladığında sizi ne kadar açık bilgilendirmişsek bugün de bu güzel haberleri aynı açıklıkta takdirlerinize sunuyorum. Her olumlu gelişmeyi eleştirmeye devam edenler elbette olacaktır ve bu saygı çerçevesinde kaldıkça haklarıdır da. https://t.co/8Aid1jgiLS</t>
  </si>
  <si>
    <t>1397631011136098311</t>
  </si>
  <si>
    <t>Bilim insanlarımız Uğur Şahin ve Özlem Türeci ile sürecin başından beri irtibat halindeyiz. Daha önce 27 Aralık 2020’de 30 milyon doz olarak imzaladığımız anlaşmayı 120 milyon doza çıkardık. Destek ve gayretleri için bir kez daha Uğur hocamıza ve ekibine teşekkür ediyorum. https://t.co/ZsqL0LmRs2</t>
  </si>
  <si>
    <t>1397626695620960257</t>
  </si>
  <si>
    <t>Aşı tedarikinin en sıkıntılı olduğu günlerde dünyanın en hızlı aşı kampanyalarından birini yürüttük. Çok yakında önemli bir miktar daha aşı ülkemize ulaşmış olacak. Buradan Çin makamlarına gösterdikleri destek ve anlayış için teşekkür ediyorum. https://t.co/cUefhD4o21</t>
  </si>
  <si>
    <t>1397624729557688324</t>
  </si>
  <si>
    <t>Normalleşme döneminde kısıtlamaların giderek azalacağı ancak bireysel tedbirlerin öne çıkacağı ve yaygın aşılama ile güçlendirilmiş bir uygulama hedefliyoruz. 1 Haziran’dan itibaren 50 yaş üzeri vatandaşlarımızın da aşılanmasına başlanacaktır. https://t.co/oC3llg77mP</t>
  </si>
  <si>
    <t>1397622635668938752</t>
  </si>
  <si>
    <t>CANLI: Bilim Kurulu Toplantımızın ardından Basın Açıklamamızı aşağıdaki YouTube linkimizden takip edebilirsiniz.
Video: https://t.co/SPFuPz0ni6</t>
  </si>
  <si>
    <t>1397589112375451648</t>
  </si>
  <si>
    <t>1397579524301336581</t>
  </si>
  <si>
    <t>RT @RTErdogan: AK Parti TBMM Grup Toplantısı https://t.co/qHtFks5JKZ</t>
  </si>
  <si>
    <t>1397482353946251266</t>
  </si>
  <si>
    <t>Son bir haftada vaka sayısı en çok azalan illerimiz Erzincan, İstanbul, Karabük, Ağrı ve Karaman. Olumlu seyir sürüyor. Birlikte mücadele ile başaracağız. https://t.co/hUTYlF6kzz</t>
  </si>
  <si>
    <t>1397242878838116355</t>
  </si>
  <si>
    <t>İllerimizde 100.000 nüfusa karşılık gelen bir haftalık toplam vaka sayısını gösteren insidans haritasının güncel halini ekte görebilirsiniz. Vaka sayılarının düşüş eğilimi devam ediyor. https://t.co/Lv2R51Epvz</t>
  </si>
  <si>
    <t>1397241282406330369</t>
  </si>
  <si>
    <t>Bugün, Necip Fazıl’ın vefat yıldönümü. O büyük şair ve mütefekkir olmaktan öte, her yönüyle bir üstattı. Eserleri, sadece kitapları değil, yol gösterdiği nesillerdir. Kendisini rahmetle anıyoruz. https://t.co/kUuJcqvYrZ</t>
  </si>
  <si>
    <t>1397174879271727105</t>
  </si>
  <si>
    <t>Aşı sırası gelen mevsimsel tarım işçisi vatandaşlarımızın aşılarını bulundukları yerde yapıyoruz. Bu güce güvenin. https://t.co/Eryj9AKriU</t>
  </si>
  <si>
    <t>1396208279542501379</t>
  </si>
  <si>
    <t>Yeterli aşıya erişim için var gücümüzle çalışmaya devam ediyoruz. Sırası gelen vatandaşlarımızın aşı olması halinde bu yaz salgının yıkıcı etkisi sona erecek. Sırası gelen vatandaşımız aşısını olmalı. Bu güce güvenin.</t>
  </si>
  <si>
    <t>1396149205496958978</t>
  </si>
  <si>
    <t>100 milyon doz Sinovac, 120 milyon doz BionTech ve 50 milyon doz Sputnik aşıları için anlaşmamız var. 270 milyon doz nüfusumuzun 3 katından fazla aşı. Bu güce güvenin.</t>
  </si>
  <si>
    <t>1396146717813354506</t>
  </si>
  <si>
    <t>Gösterdiğimiz sabır meyvesini vermeye devam ediyor. Bugün de 9.000 vaka sayısının altına indik. Düşüşü sürekli kılacak olan bizleriz. Bu güce güvenin.</t>
  </si>
  <si>
    <t>1396141415290261504</t>
  </si>
  <si>
    <t>Ambulans helikopterle Afyon’dan Eskişehir Şehir Hastanesi Yanık Tedavi Merkezine getirdiğimiz 15 aylık Beril bebeğin durumu iyi, tedavisi devam ediyor. Hasta bilhassa bir çocuksa kalbinin titreyişini daima gösteren sağlık personelimize ve ilginiz için sizlere teşekkür ederim. https://t.co/MrA47rBfAB</t>
  </si>
  <si>
    <t>1395778977717964807</t>
  </si>
  <si>
    <t>Değerli ses sanatçısı Hakan Taşıyan dün Ankara Şehir Hastanemizden taburcu oldu. Karaciğer ve böbrek nakli başarıyla tamamlanan Taşıyan’a ve sevenlerine geçmiş olsun dileklerimi sunuyorum. Tedavide emeği geçen hekimlerimizle tüm sağlık çalışanlarına teşekkür ediyorum. https://t.co/419FUijOlj</t>
  </si>
  <si>
    <t>1395774755010195464</t>
  </si>
  <si>
    <t>Bugün duyurusunu Prof. Dr. Uğur Şahin’le birlikte yaptığımız aşı tedariki anlaşmasıyla, Eylül ayı sonuna kadar toplam 120 Milyon doz BioNTech aşısı elimizde olacak! Bunun 6,1 Milyon dozluk kısmı teslim alınmış durumda. Salgının sonu görünüyor. #120MilyonDoz https://t.co/IUNiyNuAfE</t>
  </si>
  <si>
    <t>1395458769182724099</t>
  </si>
  <si>
    <t>Salgının sonu görünüyor. #120MilyonDoz</t>
  </si>
  <si>
    <t>1395448871459991559</t>
  </si>
  <si>
    <t>İlk COVID-19 aşısını geliştiren Prof. Dr. Uğur Şahin ve Dr. Özlem Türeci, Bilim Kurulu toplantısına online katıldı. Yaptığımız 120 Milyon dozluk BioNTech aşısı tedarik anlaşmasını ekranlardan Uğur Şahin hocamızla birlikte duyurduk. Gözün aydın Türkiye. #120MilyonDoz https://t.co/qSLhLrANs2</t>
  </si>
  <si>
    <t>1395444182995673093</t>
  </si>
  <si>
    <t>Bilim Kurulu Toplantımızın ardından Koronavirüs ile ilgili son gelişmelere ilişkin basın açıklamamız.
📍Sağlık Bakanlığı
https://t.co/b954PYXmIG</t>
  </si>
  <si>
    <t>1395413015521021955</t>
  </si>
  <si>
    <t>RT @RTErdogan: #KütüphaneSöyleşileri’nin İkincisinde, @CB_Kutuphane’de Gençlerimizle https://t.co/YM9QLywKLN</t>
  </si>
  <si>
    <t>1395077774105214978</t>
  </si>
  <si>
    <t>Dün Türkiye Büyük Millet Meclisi'nde Milletvekillerimizle bir araya gelerek bölgelerindeki sağlık konularını tek tek ele aldık. https://t.co/RpLgDIsatR</t>
  </si>
  <si>
    <t>1394933139802402817</t>
  </si>
  <si>
    <t>Tüm düşmanların artık bitti dediği zamanda bir milletin yeniden diriliş günüdür bugün. Vatan nedir, vatan müdafaası nedir, tüm dünyaya gösterilen gündür bugün. 19 Mayıs Atatürk'ü Anma, Gençlik ve Spor Bayramımız kutlu olsun. https://t.co/N5IKcrayG1</t>
  </si>
  <si>
    <t>1394926360406249472</t>
  </si>
  <si>
    <t>Son bir haftada vaka sayısı en çok azalan illerimiz Kastamonu, Tekirdağ, İstanbul, Bayburt ve Zonguldak. Bu güzel seyri kalıcı hale getirmek elimizde. Başardık yine başarabiliriz. https://t.co/PgIUVFvkTG</t>
  </si>
  <si>
    <t>1394686515888984064</t>
  </si>
  <si>
    <t>Bugün aşı kampanyasında yeni bir aşamaya geçiyoruz. Yaş sınırlaması olmaksızın tüm ilköğretim öğretmenlerimizi aşı programına almıştık. Şimdi ise 40 yaş üzerindeki tüm branş öğretmenlerimizi aşılamaya başlıyoruz.</t>
  </si>
  <si>
    <t>1394684222858739718</t>
  </si>
  <si>
    <t>İllerimizde 100.000 nüfusa karşılık gelen bir haftalık toplam vaka sayısını gösteren insidans haritasının güncel halini ekte görebilirsiniz. Düşüş hızı azalsa da vaka sayılarının düşüş eğilimi devam ediyor. https://t.co/tdbjWctGOK</t>
  </si>
  <si>
    <t>1394683145849610244</t>
  </si>
  <si>
    <t>RT @RTErdogan: Kabine Toplantısı Sonrası Millete Sesleniş https://t.co/EICwLqnyHf</t>
  </si>
  <si>
    <t>1394329639791771649</t>
  </si>
  <si>
    <t>ALİCAN, dün Erek Dağı kayalıklarında yayla muzu bitkisi toplamaya gitti. Dengesini kaybedip düşmüş. Yaralandığı bilgisini alan ekiplerimiz, 12 yaşındaki kardeşimize ambulans helikopterle ulaştı, ilk müdahaleyi UMKE yaptı. Şu an Van Eğitim Araştırma Hastanesi’nde. Durumu iyi. https://t.co/FC92o9Ywux</t>
  </si>
  <si>
    <t>1393839268884369410</t>
  </si>
  <si>
    <t>Süper Lig şampiyonu belli oldu. Beşiktaş’ı ve taraftarını kutluyoruz. An itibariyle, Beşiktaş camiasının salgınla mücadelenin sıkı taraftarı olmayı sürdüreceğine inanıyorum. Sevinçleri paylaşırken riskten uzak duralım.</t>
  </si>
  <si>
    <t>1393659963373936646</t>
  </si>
  <si>
    <t>Pandemide herkese ilaç oldunuz. 
Sağlık personelinden ilk kayıp içinizden biri oldu. Sayenizde biliyoruz ki insan sağlığına hizmet edenler; merhametin, iyiliğin ve diğer insani vasıfların görüldüğü mesleğin mensuplarıdır. Sizlere şükran duyuyoruz. 
Eczacılar Günü kutlu olsun. https://t.co/W9IPPEH4XT</t>
  </si>
  <si>
    <t>1393166453122215943</t>
  </si>
  <si>
    <t>Ağrı Doğubeyazıt'ta terör örgütü tarafından yapılan hain saldırıda şehit düşen kahraman Özel Harekat Polisimiz Veli Kabalay'a Allah'tan rahmet, milletimize başsağlığı diliyorum. Şehidimizin ruhu şad olsun. https://t.co/DefWMZYVr6</t>
  </si>
  <si>
    <t>1392959677605027840</t>
  </si>
  <si>
    <t>Filyasyon ve temaslı takibi bayram günü de devam ediyor. Bu fedakârlık unutulmayacak. https://t.co/vt8fiFinCd</t>
  </si>
  <si>
    <t>1392888278081314817</t>
  </si>
  <si>
    <t>Sağlık çalışanlarımızdan bir bayram tebriği var. Onların bu fedakâr cümlelerine kulak verelim. Bayramımız kutlu olsun. https://t.co/ufyZUvdgKp</t>
  </si>
  <si>
    <t>1392853424107053062</t>
  </si>
  <si>
    <t>Sevdiklerimizle candan ama mesafeli, el öpmeden idrak edeceğimiz üçüncü bayram. Büyük bölümünü evlerimizde geçirdiğimiz bir ayın sonunda kısıtlamaların kademeli olarak kalkacağı günlere ulaşıyoruz. Doyasıya kucaklaşacağımız bayramların hasretiyle Bayramınızı tebrik ediyorum. https://t.co/NO70CoZmZn</t>
  </si>
  <si>
    <t>1392822537508335618</t>
  </si>
  <si>
    <t>Aşı programında yeni bir kademeye geçiyoruz. Yarından itibaren sağlık çalışanlarımızın eşlerini aşılamaya başlıyoruz. Yarından itibaren randevu alabilecekler. Sağlık çalışanlarımıza bu zamana kadar gösterdikleri fedakarlık ve mücadele için bir kere daha teşekkür ederim.</t>
  </si>
  <si>
    <t>1392525039338201089</t>
  </si>
  <si>
    <t>Bizim değer dünyamızda hemşirelik kardeşlik makamıdır. 
Onlar unutulmayacak emeğin sahipleri, gurur duyduğumuz mesai arkadaşlarımız...
Yaşadığımız salgında o yüce gönüller adeta destanlaştılar. 
Onlara şükran duygularımızın ifadesi zordur. 
12 Mayıs Hemşireler Günü kutlu olsun. https://t.co/ZBBWSGixqg</t>
  </si>
  <si>
    <t>1392443034852380673</t>
  </si>
  <si>
    <t>İstanbul’da sağlık yöneticilerimizle  salgının seyrini değerlendirdik. Vaka sayısı ve poliklinik başvuruları %65 azaldı. Hastaneye yatışlarda %50, yoğun bakıma yatışlarda üçte bir oranında düşüş var. İstanbul gösterdiği sabrın meyvesini alıyor. Salgını durdurmak elimizde. https://t.co/9gA35otZKN</t>
  </si>
  <si>
    <t>1392143861183651846</t>
  </si>
  <si>
    <t>Son hafta vaka sayısı en çok azalan illerimiz Kırklareli, Çanakkale, Düzce, İstanbul ve Tekirdağ. Vaka sayılarındaki düşüş yaygın şekilde tüm illerimizde yaşanacak. https://t.co/6ocxHykynk</t>
  </si>
  <si>
    <t>1392102405089767430</t>
  </si>
  <si>
    <t>Mescid-i Aksa, kutsal mabeddir. Mabedde zulme sessiz kalınamaz. Zalimin zulmüne mani olmadıkça kimseye kurtuluş yoktur.</t>
  </si>
  <si>
    <t>1391865354041929733</t>
  </si>
  <si>
    <t>İllerimizde 100.000 nüfusa karşılık gelen haftalık vaka sayısını gösteren insidans haritasını aşağıda bulabilirsiniz. Kararlılığımız vaka sayılarını düşürmeye devam edecek. https://t.co/jj1bzaH5eV</t>
  </si>
  <si>
    <t>1391757002993512448</t>
  </si>
  <si>
    <t>Evlat sevgisi bir annenin yüreğinden başka bir yere sığdırılamazdı. Başta evlatlarını doya doya sevememe pahasına mücadele veren sağlık çalışanı annelerimiz olmak üzere, yürekleri sevgi dolu annelerimizin Anneler Günü’nü kutluyorum. ANA VARSA HER ŞEY VAR.</t>
  </si>
  <si>
    <t>1391372140897837061</t>
  </si>
  <si>
    <t>KADİR GECESİ: Yüceliş gecesi. Her insanın bir “acz” taşıdığını bilme gecesi. 
Hataları tekrarlamamaya söz verme, dünyaya gönüller yapmaya geldiğini bilme gecesi. 
GECENİZ KUTLU OLSUN.</t>
  </si>
  <si>
    <t>1391087163505315842</t>
  </si>
  <si>
    <t>Nerde o eski Ramazanlar sözü hiç bu kadar manidar olmamıştı. Ama iftarlar, sahurlar yine güzel, niyetler yine eskisi gibi mübarek. Gönlümüzle dost sofralarındayız.</t>
  </si>
  <si>
    <t>1390345337613824004</t>
  </si>
  <si>
    <t>5 Mayıs 2021 tarihinde paylaştığım grafikte il adları grafiklere yanlış olarak yerleştirilmiştir. Bu teknik hata Bakanlığımız kayıtlarındaki doğru hali yeniden düzenlenerek giderilmiştir. Grafiğin doğru halini ekte yeniden dikkatlerinize sunuyorum. https://t.co/EazSHOUICe</t>
  </si>
  <si>
    <t>1390300628123938820</t>
  </si>
  <si>
    <t>DÜNYA EBELER GÜNÜ. Sağlık hizmetleri doğumla başlar. Mesleğimizdeki yeri biricik olan ebelerimizin 5 Mayıs Dünya Ebeler Günü’nü kutluyor, ailelerimiz ve toplum adına her birine saygı ve sevgilerimi sunuyorum.</t>
  </si>
  <si>
    <t>1390046712765599757</t>
  </si>
  <si>
    <t>Türkçemizin ünlü kalemlerinden Emine Işınsu’yu 83 yaşında kaybettik. Romanlarıyla birkaç nesil üzerinde etkili olmuş yazarımıza Allah’tan rahmet, yakınlarına ve okuyucularına başsağlığı diliyorum. Mekânı cennet olsun.</t>
  </si>
  <si>
    <t>1390025312210194434</t>
  </si>
  <si>
    <t>Şu anda Türkiye; 100 milyon doz Sinovac ile, 90 milyon doz Biontech ve 50 milyon doz da Sputnik ile anlaşma imzalamış durumdadır. Yaklaşık nüfusumuzun 3 katı kadarlık doz aşı için anlaşmalar imzalanmıştır. https://t.co/scXfaMVWzL</t>
  </si>
  <si>
    <t>1390004000985174016</t>
  </si>
  <si>
    <t>Uygulanan tedbir ve kısıtlamalar ile birlikte, hastalığın genel seyri de dikkate alındığında, son 15 günde vaka sayısında önemli derecede düşüş yaşadık. https://t.co/chfsZaa4nz</t>
  </si>
  <si>
    <t>1390000186215260165</t>
  </si>
  <si>
    <t>CANLI: Bilim Kurulu Toplantımızın ardından Basın Açıklamamızı aşağıdaki YouTube linkimizden takip edebilirsiniz.
Video: https://t.co/7dHBb32PJL</t>
  </si>
  <si>
    <t>1389967419951796231</t>
  </si>
  <si>
    <t>Bilim Kurulu Toplantımızın ardından Basın Açıklamamızı, Saat: 18.15’te aşağıdaki YouTube kanalımızdan takip edebilirsiniz.
YouTube: https://t.co/JUHNIzmt3q</t>
  </si>
  <si>
    <t>1389953439937990660</t>
  </si>
  <si>
    <t>İllerimizde bir haftada 100.000 nüfusa karşılık gelen vaka sayısını gösteren insidans haritasının güncel halini ekte bulabilirsiniz. Tedbir ve kısıtlamalar bu haritayı her gecen gün daha iyi bir tabloya çevirecek. https://t.co/UKZ20FVX9R</t>
  </si>
  <si>
    <t>1389601715343790085</t>
  </si>
  <si>
    <t>Bu sürecin sonunda vaka sayılarının çok azaldığı gerçek bir bayramı yaşamak istiyoruz. Bayramı, bayram gibi yaşamak istiyoruz. https://t.co/JIPLs63kzy</t>
  </si>
  <si>
    <t>1389262151769104387</t>
  </si>
  <si>
    <t>Bu sıkıntılı dönemde milletçe büyük bir fedakârlık örneği gösteriyoruz. Bunun kazanımlarını yakında mutlaka göreceğimize inanıyorum.
Mücadele birlikte kazanılacaktır. https://t.co/IlMvb617KA</t>
  </si>
  <si>
    <t>1389259864334032901</t>
  </si>
  <si>
    <t>Edirne’de geçen haftaya göre vaka sayısında %50 düşüş yaşandı.
65 yaş üstü vatandaşlarımızın Edirne’de aşılanma oranı ise %88. https://t.co/r0eoNHceVi</t>
  </si>
  <si>
    <t>1389255342001897480</t>
  </si>
  <si>
    <t>Yeni sözleşmelerimiz ve aşı tedariki konusundaki iyileşmelerle mevcut kapasitemizi harekete geçirip daha hızlı bir aşılama programı yürüteceğiz. Biontech aşısı Haziran ayı sonuna kadar 30 milyon doz olarak ülkemize teslim edilmiş olacak. Toplam 90 milyon doza ulaşacak. https://t.co/nHmc9qzZ52</t>
  </si>
  <si>
    <t>1389249975322828804</t>
  </si>
  <si>
    <t>Vaka sayılarındaki düşüş ile test sayısı arasında ilişki kurarak test sayıları düşürülerek vaka sayılarının düştüğü yönünde asılsız ve iyi niyetli olmayan bazı değerlendirmeler görüyoruz. Özetle test sayılarının düşmesi vaka sayısının düşmesinin sebebi değil, sonucudur. https://t.co/kP5KS2sAbT</t>
  </si>
  <si>
    <t>1389246711466430465</t>
  </si>
  <si>
    <t>Salgınla mücadelede Edirne, Tekirdağ, Çanakkale, Kırklareli’nde son durum ve Türkiye değerlendirmesi: 
📍Edirne https://t.co/6tLBLmncgr</t>
  </si>
  <si>
    <t>1389215103350984710</t>
  </si>
  <si>
    <t>Edirne Sultan 1. Murat Devlet Hastanemizde tedavi gören  büyüklerimizle sohbet ettik. Onların sağlık durumları ve memnuniyetleri önceliğimiz. https://t.co/SAHRDhtJbn</t>
  </si>
  <si>
    <t>1389194407765762050</t>
  </si>
  <si>
    <t>EDİRNE’DEYİZ. Bölgedeki salgın sürecini değerlendirmek üzere Edirne, Tekirdağ, Çanakkale ve Kırklareli illerimizle toplantılar gerçekleştireceğiz. https://t.co/Tt5jh7dMh4</t>
  </si>
  <si>
    <t>1389163365214433284</t>
  </si>
  <si>
    <t>Karabük Üniversitesi Kurucu Rektörü ve 26. Dönem Karabük Milletvekili, kardeşimiz Burhanettin Uysal Beyefendi’yi koronavirüs sebebiyle bugün kaybettik. Burhanettin Uysal kardeşimize Allah’tan rahmet, sevenlerine ve yakınlarına başsağlığı diliyorum.</t>
  </si>
  <si>
    <t>1389141694696853504</t>
  </si>
  <si>
    <t>Bir vakıf üniversitesi hastanesinde tedavi görürken ölüm raporunda tüm bilgilerin eksiksiz verilmediği bir vatandaşımızın kayıtlarımızda durumu olması gerektiği gibi covid-19 olarak yer almıştır. Buradan bilgilerin güvenilirliğini şüpheli hale getirmenin kimseye faydası yoktur. https://t.co/e8r9NdAfgD https://t.co/cReQKINv8u</t>
  </si>
  <si>
    <t>1388983384228175874</t>
  </si>
  <si>
    <t>Başta fedakarca ve cansiperane çalışan sağlık çalışanlarımız olmak üzere tüm emekçi kardeşlerimin 1 Mayıs Emek ve Dayanışma Günü’nü kutluyorum. https://t.co/Wyv9VSMBJr</t>
  </si>
  <si>
    <t>1388451978737553410</t>
  </si>
  <si>
    <t>Antalya'da son bir haftada vaka sayıları %35 azaldı. https://t.co/xPUyf7H5jG</t>
  </si>
  <si>
    <t>1388185044259414024</t>
  </si>
  <si>
    <t>Aşılama programımız yeni aşılar ulaştıkça daha hızlı sürecek. Hedefimiz bir an evvel 40 yaş üzerini aşılamak. https://t.co/KuBimHxZoY</t>
  </si>
  <si>
    <t>1388180384588910598</t>
  </si>
  <si>
    <t>Sıkılaştırılmış kısıtlamaların ilk gününde uyum memnun edici seviyedeydi. Tüm vatandaşlarımıza hassasiyetleri sebebiyle teşekkür ederim. https://t.co/P3XictCcOm</t>
  </si>
  <si>
    <t>1388174433215463432</t>
  </si>
  <si>
    <t>Salgınla mücadelede Antalya, Isparta, Burdur’da son durum ve Türkiye değerlendirmesi: 
📍Antalya
https://t.co/itISDSUTIE</t>
  </si>
  <si>
    <t>1388150090100092929</t>
  </si>
  <si>
    <t>Kepez Devlet Hastanemizde tedavisi devam eden yavrularımızı ziyaret ettik. Durumları gayet iyi ve yakın zamanda taburcu olacaklar. Sağlık hizmetlerinden dolayı memnuniyetlerini dile getiren ailelerimiz adına, hastane personelimize teşekkür ediyorum. https://t.co/X5cubrSnDh</t>
  </si>
  <si>
    <t>1388141677228044289</t>
  </si>
  <si>
    <t>Türkiye İlaç ve Tıbbi Cihaz Kurumumuz yaptığı inceleme ve değerlendirmeler sonunda Sputnik V aşısının acil kullanımına onay vermiştir. İki ülke için hayırlı olmasını dilerim. Böylece üçüncü aşı olarak Sputnik V aşısı da ülkemizde kullanıma girecek.</t>
  </si>
  <si>
    <t>1388108376584953860</t>
  </si>
  <si>
    <t>ANTALYA’DAYIZ.
17 günlük kapanmanın ilk gününde, Antalya, Isparta ve Burdur illerimizle, salgın süreci üzerine durum değerlendirmesi yapacağız. https://t.co/70ZT7jne0o</t>
  </si>
  <si>
    <t>1388073607134339075</t>
  </si>
  <si>
    <t>17 günlük mücadelemiz başladı. 
Bayram, Bayram olsun. https://t.co/Tsc8wngKjb</t>
  </si>
  <si>
    <t>1387854497914003481</t>
  </si>
  <si>
    <t>Çalışma ve Sosyal Güvenlik Bakanımız Sayın Vedat Bilgin Beyefendi’ye hayırlı olsun ziyaretinde bulunduk. Nazik misafirperverlikleri için teşekkür ediyor, vazifesinde başarılar diliyorum. https://t.co/b17PwJEyOK</t>
  </si>
  <si>
    <t>1387803972342329347</t>
  </si>
  <si>
    <t>Aile ve Sosyal Hizmetler Bakanımız Sayın Derya Yanık Hanımefendi’yi ziyaret edip, görevinde başarılar diledik. Kendilerine muvaffakiyetler diliyorum. https://t.co/PY0gkmRA3Z</t>
  </si>
  <si>
    <t>1387799506549231617</t>
  </si>
  <si>
    <t>Ticaret Bakanımız Sayın Mehmet Muş Beyefendi’yi makamında ziyaret ederek hayırlı olsun dileklerimizi ilettik. Kardeşimize vazifesinde muvaffakiyetler diliyorum. https://t.co/bQOson5fOL</t>
  </si>
  <si>
    <t>1387794621472903173</t>
  </si>
  <si>
    <t>Sözün gücünün azaldığının farkındayım ama sizin gücünüzden hiç endişem yok. https://t.co/8i34OG3YEb</t>
  </si>
  <si>
    <t>1387458923234566153</t>
  </si>
  <si>
    <t>Aşı çalışmalarının etkinliğini de salgının seyrini de yakından ilgilendiren bir konu daha var: Mutasyonlar. https://t.co/21OuoHP9bi</t>
  </si>
  <si>
    <t>1387454845465112577</t>
  </si>
  <si>
    <t>Yerli gücümüz yerli aşılarımız sahaya çıkmaya hazırlanıyor. https://t.co/YHnhk2OHi9</t>
  </si>
  <si>
    <t>1387450519183138818</t>
  </si>
  <si>
    <t>Aşı tedariki önümüzdeki 2 ay için güçleşiyor ancak sonrasında aşı bolluğu yaşanması bekleniyor. https://t.co/91VyMYkuwa</t>
  </si>
  <si>
    <t>1387447590569103362</t>
  </si>
  <si>
    <t>Tüm Dünya ile birlikte salgın boyunca ağır bedeller ödedik. https://t.co/mFmDxJCOWo</t>
  </si>
  <si>
    <t>1387439794813382657</t>
  </si>
  <si>
    <t>CANLI: Bilim Kurulu Toplantımızın ardından Basın Açıklamamızı aşağıdaki YouTube linkimizden takip edebilirsiniz.
Video: https://t.co/Z0W7K9DDEa</t>
  </si>
  <si>
    <t>1387430448314437636</t>
  </si>
  <si>
    <t>Bilim Kurulu Toplantımızın ardından Basın Açıklamamızı, Saat: 18.00’de aşağıdaki YouTube kanalımızdan takip edebilirsiniz.
YouTube: https://t.co/JUHNIzmt3q</t>
  </si>
  <si>
    <t>1387410062088577029</t>
  </si>
  <si>
    <t>Geçen haftaya göre 100.000 nüfusa karşılık gelen haftalık vaka sayısı en çok artan illerimiz; Zonguldak, Gümüşhane, Kırşehir, Ağrı ve Giresun. En çok azalan illerimiz ise, Yalova, Kastamonu, Çanakkale, Samsun ve Yozgat. https://t.co/QRiOoILGgQ</t>
  </si>
  <si>
    <t>1387375174757011457</t>
  </si>
  <si>
    <t>Irak’ın kuzeyinde terör örgütüne karşı yürütülen harekatta şehit olan Piyade Teğmen Mehmet Kıvık ve Piyade Er Mustafa Çalım’a Allah’tan rahmet, sevenlerine ve milletimize başsağlığı diliyorum. https://t.co/V4dlpxG3nL</t>
  </si>
  <si>
    <t>1387042795811082245</t>
  </si>
  <si>
    <t>Evimiz en güvenli kalemiz. Bir süre mücadeleyi evimizden sürdüreceğiz. Bu fedakarlığın sonu bayram olsun.</t>
  </si>
  <si>
    <t>1386726145652047875</t>
  </si>
  <si>
    <t>İllerimizde 100.000 nüfusa karşılık gelen haftalık vaka sayısını gösteren insidans haritamızı aşağıda görebilirsiniz. Tedbir ve kısıtlamalar etkisini daha çok gösterecek. https://t.co/VMLOGvVXXy</t>
  </si>
  <si>
    <t>1386724579159257090</t>
  </si>
  <si>
    <t>RT @RTErdogan: Kabine Toplantısı Sonrası Millete Sesleniş https://t.co/ehz4KpSJ83</t>
  </si>
  <si>
    <t>1386711682634993666</t>
  </si>
  <si>
    <t>Sayın Bakanım; nazik ziyaret ve güzel mesajlarınız için teşekkür ederiz. Kadronuzun sürece desteği için ise minnettarız. https://t.co/woEDUcDrMx</t>
  </si>
  <si>
    <t>1386063901264072704</t>
  </si>
  <si>
    <t>Sayın Cumhurbaşkanımızın yüreklendirici bir teşekkürü var. https://t.co/TujZFnkeJ1</t>
  </si>
  <si>
    <t>1386059379905110022</t>
  </si>
  <si>
    <t>Bugün nöbetteki Sağlık çalışanlarımızın iftar sofrasına Sayın Cumhurbaşkanımız teşrif ettiler. Sağlık çalışanlarımıza moral verdiler. Teşekkür ederiz. https://t.co/F9rt6qleMT</t>
  </si>
  <si>
    <t>1386058333313015811</t>
  </si>
  <si>
    <t>Kuzey Kıbrıs Türk Cumhuriyeti Cumhurbaşkanı Sayın Ersin Tatar Beyefendi'nin babası Rüstem Tatar Beyefendi vefat etmiştir. Merhuma Allah'tan rahmet; yakınlarına, sevenlerine ve Sayın Cumhurbaşkanına sabırlar diliyorum.</t>
  </si>
  <si>
    <t>1385903590909358080</t>
  </si>
  <si>
    <t>Evet o evladımız. Mustafa Erkam Ordulu. Fatsa TOKİ İlkokulu’nda okuyor. Torunum değil ama bazen benim yerime açıklama yapıyor. https://t.co/UiGzXLpDrp</t>
  </si>
  <si>
    <t>1385659161141301256</t>
  </si>
  <si>
    <t>İl Sağlık Yöneticilerimizle salgın sürecini değerlendirdik. İstanbul'da vaka sayılarında yaklaşık %20 düşüş oldu. Polikliniklerde ve yatan hasta sayısında da düşüş var. Ancak yoğun bakım yükü devam ediyor. Kısıtlamalara uyum hissedilmeye başlandı. Birlikte başaracağız. https://t.co/dvP667bbmw</t>
  </si>
  <si>
    <t>1385638610691624963</t>
  </si>
  <si>
    <t>https://t.co/ZkBT2pfn7f</t>
  </si>
  <si>
    <t>1385583109400416261</t>
  </si>
  <si>
    <t>Saat 16.15’te bir açıklama yapacağım.</t>
  </si>
  <si>
    <t>1385580426715144197</t>
  </si>
  <si>
    <t>Salgın yönetiminde toplumu doğru bilgilendirmek ve bir arada tutarak birlikte mücadele etmek hepimizin sorumluluğudur. https://t.co/fSCJr5dWUd</t>
  </si>
  <si>
    <t>1385266744172896258</t>
  </si>
  <si>
    <t>Yerli aşı, yerli güç ve güven demektir. https://t.co/dAOPJf3CXg</t>
  </si>
  <si>
    <t>1385263992071991306</t>
  </si>
  <si>
    <t>Mevcut mutasyonlar dışında yeni bir tür daha ortaya çıktı. https://t.co/Yy4CfZZxyy</t>
  </si>
  <si>
    <t>1385262080744476674</t>
  </si>
  <si>
    <t>Vaka sayılarındaki artış hızı azaldı. Bundan sonra kısıtlama ve tedbirlere uyumla vaka sayısı düşecek. https://t.co/wu7aHh07ve</t>
  </si>
  <si>
    <t>1385260186089234434</t>
  </si>
  <si>
    <t>Bilim Kurulu Toplantımızın ardından Basın Açıklamamızı aşağıdaki YouTube linkimizden takip edebilirsiniz.
Video: https://t.co/YtXIwoUumX</t>
  </si>
  <si>
    <t>1385232869845573633</t>
  </si>
  <si>
    <t>Bilim Kurulu Toplantımızın ardından Basın Açıklamamızı, Saat: 17.00’de aşağıdaki YouTube kanalımızdan takip edebilirsiniz.
YouTube: https://t.co/JUHNIzmt3q https://t.co/B8mrnihjIj</t>
  </si>
  <si>
    <t>1385220004396863491</t>
  </si>
  <si>
    <t>Arnavutluk'ta Sayın Cumhurbaşkanımızın himayelerinde, Türkiye-Arnavutluk Fier Dostluk Hastanesi’nin açılışını gerçekleştirdik. Kardeşlerimize ve kardeşliğimize hayırlı olsun. https://t.co/EIVkBk6MPr</t>
  </si>
  <si>
    <t>1384981127409119235</t>
  </si>
  <si>
    <t>RT @RTErdogan: Türkiye-Arnavutluk Fier Dostluk Hastanesi Açılış Programı https://t.co/YFGUWT5oYO</t>
  </si>
  <si>
    <t>1384864673217097731</t>
  </si>
  <si>
    <t>Türkiye-Arnavutluk Fier Dostluk Hastanesi Açılış Töreni. 
📍Arnavutluk https://t.co/MqXhFOFHj6</t>
  </si>
  <si>
    <t>1384857869028413443</t>
  </si>
  <si>
    <t>Yeni kabinede Çalışma ve Sosyal Güvenlik Bakanlığı’na atanan Vedat Bilgin Beyefendi’ye, Aile ve Sosyal Hizmetler Bakanlığı’na atanan Derya Yanık Hanımefendi’ye, Ticaret Bakanlığı’na atanan Mehmet Muş Beyefendi’ye hayırlı olsun dileklerimi iletiyorum. Millete hizmet bizi bekler.</t>
  </si>
  <si>
    <t>1384653147449307139</t>
  </si>
  <si>
    <t>Kabinede birlikte görev yaptığımız Aile, Çalışma ve Sosyal Hizmetler eski Bakanımız Zehra Zümrüt Selçuk Hanımefendi’ye ve Ticaret eski Bakanımız Ruhsar Pekcan Hanımefendi’ye hizmetleri ve dostlukları için çok teşekkür ederim.</t>
  </si>
  <si>
    <t>1384652785581441025</t>
  </si>
  <si>
    <t>Değerli kardeşim Şamil Tayyar Beyefendi’nin muhterem babası Hüseyin Tayyar Beyefendi Hakkın rahmetine kavuştu. Merhuma Allah'tan rahmet, yakınlarına başsağlığı diliyorum.</t>
  </si>
  <si>
    <t>1384619070331498497</t>
  </si>
  <si>
    <t>100.000 nüfusa karşılık gelen haftalık vaka sayısı en çok artan illerimiz Düzce, Çanakkale, Zonguldak, Yozgat ve Yalova. Azalan illerimiz ise Kırklareli, Kilis, Samsun, Osmaniye ve Adıyaman. Vaka sayısı artış hızı azaldı. Vaka sayıları da tedbirlerle birlikte azalacak. https://t.co/mMsHMT3JEi</t>
  </si>
  <si>
    <t>1384467526281842688</t>
  </si>
  <si>
    <t>Bu araç Iğdır'da bir hastanın filyasyonunu tamamladıktan sonra dönüş yolundaki sağlık çalışanlarımızı taşıyordu. Doktor, hemşire ve şoförümüzün durumları iyi. Sağlık çalışanları yılı sağlıkçıların emekleri ile anılacak. Geçmiş olsun. https://t.co/rOyWHsPdTi</t>
  </si>
  <si>
    <t>1384254247085035522</t>
  </si>
  <si>
    <t>İstanbul’da yoğun bakım yataklarımızda doluluk %71,4. Çanakkale’de %67,1. Tekirdağ’da %73,5. Kırklareli’nde %69. Yalova’da %55,4. Vaka sayılarının artışı, sağlık çalışanlarımızın yükünü de oransal olarak artırıyor.</t>
  </si>
  <si>
    <t>1384222348539174918</t>
  </si>
  <si>
    <t>Vaka artışımızın en yüksek olduğu İstanbul, Çanakkale, Tekirdağ, Kırklareli, Yalova illerimizin Sağlık Müdürleri ve Valileriyle online toplantı yaparak, bu illerimizdeki salgın sürecini ve alınan tedbirleri değerlendirdik. https://t.co/hBeL1zlvLI</t>
  </si>
  <si>
    <t>1384222157408931854</t>
  </si>
  <si>
    <t>Bugün itibariyle aşılama programında yeni bir safhaya geçiyoruz. Aşılamada sıra 55 yaşından büyüklere geldi. Sırası gelen vatandaşlarımızı aşı olmaya davet ediyorum. Aşı programımız tedarik koşullarına bağlı olarak kararlılıkla sürecek.</t>
  </si>
  <si>
    <t>1384142531282100235</t>
  </si>
  <si>
    <t>Bugün itibariyle 20 milyondan fazla doz aşı yaptık. Büyüklerimizi ve kronik hastalığı olan vatandaşlarımızı öncelikle korumaya almaya çalıştık. Aşı programımız tüm güçlüklere rağmen kararlılıkla sürecek. https://t.co/osI4yYriqp</t>
  </si>
  <si>
    <t>1384052492481163269</t>
  </si>
  <si>
    <t>İllerimizde bir haftada 100.000 nüfusa karşılık gelen vaka sayısını gösteren insidans haritasının güncel halini bulabilirsiniz. Kısıtlama ve tedbirler artış hızını düşürmeye başladı. Bu düşüşü hızlı ve kalıcı hale getirmek için birlik olalım. https://t.co/AhqWBTmVd0</t>
  </si>
  <si>
    <t>1383812178700947462</t>
  </si>
  <si>
    <t>2021 World Para Swimming Series yarışlarında 50 metre sırt üstünde Olimpiyat ve Avrupa Şampiyonası’nda birinci de ikinci de bizim kızlarımız. Tebrikler Sümeyye Boyacı. Tebrikler Sevilay Öztürk. https://t.co/aWOocOeluA</t>
  </si>
  <si>
    <t>1383521026428964871</t>
  </si>
  <si>
    <t>Daha özgür ve müreffeh bir Türkiye ideali ile ömrünü milletimize hizmetle geçiren 8. Cumhurbaşkanımız Turgut Özal'ı rahmetle anıyorum. https://t.co/iuwPk2aZga</t>
  </si>
  <si>
    <t>1383405716564705291</t>
  </si>
  <si>
    <t>Öncesinde sizin de katkınız az değil. Annenizin aşı olmayı kabul etmesinden hepimiz mutluyuz. https://t.co/aCI4rQveXw</t>
  </si>
  <si>
    <t>1382952233566883840</t>
  </si>
  <si>
    <t>Son iki günde, açılan aşı kapasitesinin çok az bir bölümüne randevu alındı. Hastanelerimizde gece saat 24’e kadar aşı randevusu verilmektedir. Gündüz vakit bulamayanlar için iftardan sonra aşı olma imkanı var. En  önemli silahımız aşı. Sıranız gelmişse vakit geçirmeden aşı olun.</t>
  </si>
  <si>
    <t>1382733374469648392</t>
  </si>
  <si>
    <t>Aşılama programında kullandığımız aşılar uygun saklama koşullarını haiz merkezlerde uygulanmaktadır. Aşının çöpe gittiği iddiaları gerçekle bağdaşmamaktadır. Her bir doz aşının kıymetini biliyor ve ona göre planlama yapıyoruz. Aşının israfı söz konusu değildir.</t>
  </si>
  <si>
    <t>1382605120521781248</t>
  </si>
  <si>
    <t>Gökhan Bey, tekrar merhaba. 
Hep birlikte elimizden geleni yapmaya çalıştıkça zorluklar kolaylaşacak. Aşı konusunda gerçek, algılanandan kat kat iyi, daha da iyi olacak. Mesajınız için teşekkürler. https://t.co/WhgFRZOIlu</t>
  </si>
  <si>
    <t>1382459098793443331</t>
  </si>
  <si>
    <t>Başika üs bölgesine yapılan hain saldırıda şehit olan askerimize Allah'tan rahmet, milletimize başsağlığı diliyorum. https://t.co/4xqzwQuFKC</t>
  </si>
  <si>
    <t>1382445678924865541</t>
  </si>
  <si>
    <t>Gökhan Bey kardeşim, sorumluluk suçlamak manasına gelmez. Artan vaka sayısında suçumuz yok sorumluluğumuz var. 84 milyon beraber artırmadık vaka sayılarını ama birlikte mücadele etme sorumluluğumuz var. Destek olacağınızdan şüphem yok. https://t.co/mnaKqhBaiu</t>
  </si>
  <si>
    <t>1382428543381037060</t>
  </si>
  <si>
    <t>Bu fotoğraf salgında sağlık hizmeti veren bir hastanemizden. Sağlık çalışanlarımıza saldırarak bu manzaraya sebep olan şahıslar göz altına alındı. İçlerinden iki kişi tutuklandı. Sağlık çalışanlarına sözde değil eylemde sahip çıkmak hepimizin sorumluluğu. https://t.co/vpPuOkBr1E</t>
  </si>
  <si>
    <t>1382398917803970560</t>
  </si>
  <si>
    <t>Dr. Kemal Gökhan Günel ile bir kez daha telefonda görüştüm. Kendisinin nezdinde tüm hekimlerimizin haklarına sahip çıktığımızın bilinmesini isterim. Ayrıca yargı teşkilatımıza da hassasiyetleri sebebiyle teşekkür ederim.</t>
  </si>
  <si>
    <t>1382398788426432517</t>
  </si>
  <si>
    <t>Eski Başbakanlarımızdan Yıldırım Akbulut Beyefendi’yi kaybettik. İyi bir insan ve milletimizin hizmetinde bir devlet adamıydı. Kendisine Allah'tan rahmet, yakınlarına ve sevenlerine başsağlığı dilerim. Mekânı cennet olsun.</t>
  </si>
  <si>
    <t>1382342841599463424</t>
  </si>
  <si>
    <t>Bütün işi aşıya bırakmayalım. Aşıya kadar vakaları azaltalım. Kısmi kapanma fırsattır.</t>
  </si>
  <si>
    <t>1382330307270033410</t>
  </si>
  <si>
    <t>100.000 nüfusa karşılık gelen haftalık vaka sayısında en çok artış Kırklareli, Çanakkale, Bayburt, İstanbul ve Tekirdağ'da oldu. Samsun ve Ardahan'da ise azalış gerçekleşti. Yeni kararlara tam uyumla vaka sayılarını azaltmak elimizde. https://t.co/7e5hwYpiov</t>
  </si>
  <si>
    <t>1382305280663371777</t>
  </si>
  <si>
    <t>Ulaştırma ve Altyapı Bakanımız Adil Karaismailoğlu Beyefendi’nin ablası Nermin Öztürk Hanım hayatını kaybetti. Nermin Hanım’a Allah’tan rahmet; Sayın Bakanımıza, kederli ailesine ve merhumenin tüm yakınlarıyla sevenlerine sabır diliyorum. Mekânı cennet olsun.</t>
  </si>
  <si>
    <t>1382132655966277635</t>
  </si>
  <si>
    <t>https://t.co/MOvzPARvQs</t>
  </si>
  <si>
    <t>1382091785925705730</t>
  </si>
  <si>
    <t>https://t.co/XnnO2neYdv</t>
  </si>
  <si>
    <t>1382091705554513922</t>
  </si>
  <si>
    <t>https://t.co/9PCD7DnGUE</t>
  </si>
  <si>
    <t>1382091628576378885</t>
  </si>
  <si>
    <t>https://t.co/h9zwxCvy7v</t>
  </si>
  <si>
    <t>1382091493490442245</t>
  </si>
  <si>
    <t>https://t.co/1olZiwiXtH</t>
  </si>
  <si>
    <t>1382091439639789572</t>
  </si>
  <si>
    <t>100.000 nüfusa karşılık gelen haftalık vaka sayısını gösteren insidans haritamızın güncel hali ektedir. Mutasyonlu virüs aynı yolla ancak daha hızlı yayılıyor. Kısıtlamalar zaruri hale geldi. Birlikte mücadele edip kazanacağız. https://t.co/srNinJxtrp</t>
  </si>
  <si>
    <t>1382000411167580160</t>
  </si>
  <si>
    <t>RT @RTErdogan: Kabine Toplantısı Sonrası Millete Sesleniş https://t.co/t72XUQGtqp</t>
  </si>
  <si>
    <t>1381991474234073088</t>
  </si>
  <si>
    <t>Esenlik ayı Ramazan’a girdik. Günlük isteklerimize karşı, kendi kararımızla irade sınavı vereceğiz. Ve bu aydan daha iyi, daha güçlü insanlar olarak çıkacağız. Ramazanımız, orucumuz mübarek olsun.</t>
  </si>
  <si>
    <t>1381729483753930752</t>
  </si>
  <si>
    <t>Bilmenizi istiyorum: Bu iş bitene dek bir gün bile yalnız kalmayacaksınız. Bizi bir gün bile kararsız ya da yılgın görmeyeceksiniz. Sizden isteğim moralinizi yüksek tutmanızdır. https://t.co/62qiodJCev</t>
  </si>
  <si>
    <t>1381711134651219971</t>
  </si>
  <si>
    <t>Şu ana dek 18 Milyon dozdan fazla aşı yapılmıştır. İster “Türkiye aşıda başarılıdır.” diyelim, ister başarısızdır diyelim, şurası tartışma götürmez bir gerçektir: Türkiye dünyada en çok aşı yapan 6. ülkedir! https://t.co/NnaSPJwoyW</t>
  </si>
  <si>
    <t>1381708843483283460</t>
  </si>
  <si>
    <t>Yeni vakaların %85’i İngiltere mutasyonu kaynaklıdır. Virüsün bu şekli ilk Koronavirüse göre daha hızlı yayılmaktadır. Virüsün dünyada yaygın olan tipi budur. DSÖ’nün yüksek bulaştırıcılığı nedeniyle sıkı takibini tavsiye ettiği E484K mutasyonuna bizde 4.820 vakada rastlanmıştır. https://t.co/PyCw6c995V</t>
  </si>
  <si>
    <t>1381705898331148292</t>
  </si>
  <si>
    <t>Varyant, ortaya çıktığı ilk şekle göre farklılık göstermiş virüs demektir. Farklı ülkelerden bilim insanları Covid-19’un eskisinden hızlı yayılım göstermesini virüsün yeni varyantlarına bağlamaktadır. Türkiye’nin tecrübesi bunu doğrulamıştır. https://t.co/KfsgZ9ForU</t>
  </si>
  <si>
    <t>1381702715823247368</t>
  </si>
  <si>
    <t>Şu anda iki olumsuz faktör güçlerini bize karşı birleştirmiş, daha hızlı yol almamızı zorlaştırmaktadır. Faktörlerden biri zamanla yorulmuş olmamızdır. Daha önemli diğer faktör virüsün yeni varyantlarıdır. https://t.co/bxRjZglCJR</t>
  </si>
  <si>
    <t>1381697817308229639</t>
  </si>
  <si>
    <t>Bilim Kurulu Toplantımızın ardından Koronavirüs ile ilgili son gelişmelere ilişkin basın açıklamamız.
📍Sağlık Bakanlığı
https://t.co/rjSMm4TLVw</t>
  </si>
  <si>
    <t>1381672726943965191</t>
  </si>
  <si>
    <t>Can ve mal güvenliğimizin, toplumumuzun huzurunun teminatı Polis Teşkilatımızın 176. kuruluş yıl dönümünü ve Polis Haftası’nı kutluyorum.</t>
  </si>
  <si>
    <t>1380898834163900416</t>
  </si>
  <si>
    <t>Kıymetli kardeşim, bakan arkadaşım Abdülhamit Gül Beyefendi’nin muhterem anneleri Saliha Hanımefendi tedavi gördüğü hastanede rahmet-i rahmana kavuştu. Mekanı cennet, makamı âli olsun.</t>
  </si>
  <si>
    <t>1380579374404079619</t>
  </si>
  <si>
    <t>Tespit edilen vakaların %85’ini çeşitli varyantlar oluşturuyor. Bütün veriler bulaşmanın daha hızlı olduğunu gösteriyor. Bulaşma hızını azaltmak için tedbirler belli. Aşı ise en büyük silahımız. Sırası gelen vatandaşlarımız randevularını alarak aşılarını olmaktan çekinmemeli.</t>
  </si>
  <si>
    <t>1380576746592948226</t>
  </si>
  <si>
    <t>İl sağlık yöneticilerimizle salgın sürecini değerlendirdik. İstanbul’da Mart başına göre vaka sayıları yaklaşık 10 kat arttı. Ülkemizde vakaların yaklaşık %40’ı İstabul’da. İstanbul’un durumu ülkemizin durumunu belirliyor. İstanbul’u koruyabilirsek ülkemizi de koruyabileceğiz. https://t.co/rHievbIYXM</t>
  </si>
  <si>
    <t>1380576438835949570</t>
  </si>
  <si>
    <t>Yaşlanan nüfusumuz artıyor. Engelli ve yaşlı bakımı ile rehabilitasyona her geçen gün daha çok ihtiyacımız var. Bu hizmet yükünü taşıyan kıymetli meslektaşlarımız var. Türkiye Fizyoterapistler Günü’nü kutluyor, kendilerine hizmetleri için teşekkür ediyorum.</t>
  </si>
  <si>
    <t>1380246639403794432</t>
  </si>
  <si>
    <t>Zeytin Dalı Harekatı bölgesindeki hain terör saldırısında şehit düşen kahraman askerlerimize Allah'tan rahmet milletimize başsağlığı diliyorum. https://t.co/ZHfmWXFE58</t>
  </si>
  <si>
    <t>1379899374726168579</t>
  </si>
  <si>
    <t>Sayın Cumhurbaşkanımıza gösterdikleri hassasiyet ve teveccüh için tüm sağlık çalışanları ve bilim insanlarımız adına teşekkür ederim. Küresel salgın ile mücadele siyaset üstü bir konudur. https://t.co/6bgqueNSnI</t>
  </si>
  <si>
    <t>1379760476536647681</t>
  </si>
  <si>
    <t>Undoubtedly, achieving universal health coverage will continue to be our ultimate goal. In the light of this guiding principle, we will strive towards a healthier and a fairer world. #UHC, #worldhealthday2021, @DrTedros, @hans_kluge, #COVID19, @WHO</t>
  </si>
  <si>
    <t>1379719411511140355</t>
  </si>
  <si>
    <t>Şüphesiz ki, evrensel sağlık kapsayıcılığı nihai hedefimiz olmaya devam edecektir. Bu yol gösterici ilkenin ışığında, daha sağlıklı ve daha adil bir dünya için tüm gayretimizle çalışmaya devam edeceğiz. #UHC, #worldhealthday2021, @DrTedros, @hans_kluge, #covid19, @WHO</t>
  </si>
  <si>
    <t>1379718976700301313</t>
  </si>
  <si>
    <t>Haber alma özgürlüğünü kesintisiz yaşamamızı sağlayan bir asırlık bir ajansımız var. Hizmetinin 101. yılında Anadolu Ajansı’nın kuruluş yıl dönümünü tebrik ederim.</t>
  </si>
  <si>
    <t>1379456101033385987</t>
  </si>
  <si>
    <t>Başından beri salgınla mücadeleyi siyasetten ayırdık. Bilim Kurulumuzun salgın boyunca verdiği emeği görmezden gelerek saldırgan bir üslupla bilim insanlarımıza hakaret edilmesini asla kabul etmeyiz. Bilim Kurulu siyasi rant malzemesi değildir. Saygılı olun.</t>
  </si>
  <si>
    <t>1379449679356829702</t>
  </si>
  <si>
    <t>RT @RTErdogan: Değerlendirme Toplantısı Sonrası Basın Açıklaması https://t.co/3sScLNwOGU</t>
  </si>
  <si>
    <t>1379090331732484104</t>
  </si>
  <si>
    <t>Eğer yola sabırla devam edersek, aşı sıramız geldikçe, hayatta sözü bile edilmez, bizi nihayet güvende hissettirecek küçük bir acı yaşayacağız. Aşı devam ederken büyük acılarımızın sayısı azalacak. Dünkü vefat sayısının 186 olmasında sebep çok. Risk almayalım. https://t.co/M0FAsr71q7</t>
  </si>
  <si>
    <t>1378716764507402252</t>
  </si>
  <si>
    <t>Aşı, maske ve mesafeden daha fazla korur. Biraz daha sabır.</t>
  </si>
  <si>
    <t>1378715017948884992</t>
  </si>
  <si>
    <t>65 yaş üstü büyüklerimizin son bir ayda toplam vakalar içindeki oranı %14,39’dan 11,3’e düştü. Gençlerin aktif vakalar içindeki oranı ise artıyor. Gençlerimizi de koruyacağız.</t>
  </si>
  <si>
    <t>1378636283539554311</t>
  </si>
  <si>
    <t>Darbe ve vesayet heveslilerinin hevesleri daima boşa çıkmıştır. Milletimiz bu geride kalmış zihniyete cevabını en son 15 Temmuz'da vermiştir.</t>
  </si>
  <si>
    <t>1378631132347043841</t>
  </si>
  <si>
    <t>Türkiye, kendi aşısını henüz üretmemiş ülkeler içinde en çok aşı yapan ülkedir. Toplam doz sayısı bu mesajın yayına konduğu an itibariyle 16.668.844’tür. https://t.co/EzDMnM0AaP</t>
  </si>
  <si>
    <t>1378430397726478338</t>
  </si>
  <si>
    <t>En çok aşı yapan ülkeler arasında 6. sıradayız. Bizden daha fazla aşı yapan ülkeler ABD, Çin, Hindistan, İngiltere ve Brezilya’dır. https://t.co/k7DWgMqzXn</t>
  </si>
  <si>
    <t>1378429045768138761</t>
  </si>
  <si>
    <t>İllerimizde 100.000 nüfusa karşılık gelen haftalık vaka sayısını gösteren insidans haritamızın güncel hali. Durumu lehimize çevirmek elimizde. https://t.co/gQBktuyaJJ</t>
  </si>
  <si>
    <t>1378405075182366726</t>
  </si>
  <si>
    <t>Tüm dünyadaki değerli sağlık çalışanlarına şu mesajı vermek isterim: 
Sizler, tüm insanlığın, aynı anda, aynı sebeple şükran duyduğu insanlarsınız. İnsanlık, bu duygusunu ifade etmenin en güzel yolunu bulacaktır. https://t.co/4izw3AU4kY</t>
  </si>
  <si>
    <t>1378065590728937478</t>
  </si>
  <si>
    <t>OTİZM FARKINDALIK GÜNÜ
En büyük güç nedir?
En büyük güç, hiçbir koşula bağlanmamış insan sevgisidir.
-
Bu güç hepimizde bulunuyor. https://t.co/TLgbLF6O7d</t>
  </si>
  <si>
    <t>1378061497767755781</t>
  </si>
  <si>
    <t>OTİZM FARKINDALIK GÜNÜ. Zihinsel özel gereksinimli ve otistik bireylerle, ailelerine yönelik ödevlerimize son 1 yılda da aynı bağlılıkla sarıldık. Bu ödevler şartların üstündedir. Çalışmalarımızın özeti, Otizm Sempozyumunda yaptığımız konuşmada. 
 Video: https://t.co/JgHfO32L7v</t>
  </si>
  <si>
    <t>1378024560809938945</t>
  </si>
  <si>
    <t>DSÖ Genel Direktörü Tedros Ghebreyesus’la dün gerçekleştirdiğimiz, önerimizle ilan edilen, 2021 Uluslararası Sağlık Çalışanları Yılı konulu medya brifinginde yaptığımız konuşmadan: https://t.co/aTa0C5n2fz</t>
  </si>
  <si>
    <t>1378021057190367238</t>
  </si>
  <si>
    <t>DSÖ Genel Direktörü Tedros Ghebreyesus’la gerçekleştirdiğimiz medya brifinginde Türkiye’nin önerisiyle Uluslararası SAĞLIK ÇALIŞANLARI YILI ilan edilen 2021’i ve dünyanın sağlık çalışanına yeni bakışını ele aldık. Konuşmamız YouTube kanalımızda. 
Video: https://t.co/bFRTo7cmPQ</t>
  </si>
  <si>
    <t>1377703190079143947</t>
  </si>
  <si>
    <t>Prof. Cemil Taşçıoğlu hocamızı geçen yıl bugün, salgının oldukça zor döneminde kaybettik. Umutla karanlık iç içeyken. Büyük özverisiyle hepimize örnekti. Kendisini ve onun şahsında sağlık çalışanı bütün kayıplarımızı saygı ve rahmetle anıyoruz. Acımız büyük, yolumuzsa kısaldı. https://t.co/DLtJgyDySZ</t>
  </si>
  <si>
    <t>1377663340529516545</t>
  </si>
  <si>
    <t>HEDEFİMİZ: YAYGIN AŞI İLE TOPLUM BAĞIŞIKLIĞI. Artık yükün geri kalan kısmı, bizim, bilim insanlarımızın, sağlık çalışanlarımızın üzerindedir. Bu büyük sorumluluk duygusu, size tedbirlere uyma isteği vermelidir. Yapmanız gereken, kendinizi korumak ve aşı sıranızı beklemektir.</t>
  </si>
  <si>
    <t>1377356856775991296</t>
  </si>
  <si>
    <t>İntranazal yani burun spreyi şeklinde uygulanacak aşının Faz 1 çalışmaları başlamak üzere. Bu aşı, gönüllüler üzerindeki sonuçları beklediğimiz gibi olursa, dünyada örneği bulunmayan bir COVID aşısı olacaktır. (BİLİM KURULU TOPLANTISI, 31 Mart Çarşamba)</t>
  </si>
  <si>
    <t>1377356260643762176</t>
  </si>
  <si>
    <t>Mutasyona uğrayan virüslerin yayılım hızını artırdığı konusu tüm dünyada ciddiyetle ele alınmaktadır. Testi pozitif çıkan kişilerde ülkemizde yapılan araştırmalarda da bu varyantlara çok sık rastlanmaktadır. (BİLİM KURULU TOPLANTISI, 31 Mart Çarşamba)</t>
  </si>
  <si>
    <t>1377355614095990787</t>
  </si>
  <si>
    <t>Artan vaka sayıları, virüsün gücünü korumaya devam ettiğinin kanıtıdır. Toplum, kesinlik arz eden bu durumu henüz gündemine almamış görünmektedir. (BİLİM KURULU TOPLANTISI, 31 Mart Çarşamba)</t>
  </si>
  <si>
    <t>1377354990788829184</t>
  </si>
  <si>
    <t>Bilim Kurulu’nun bugünkü toplantısında virüsün yeni varyantları, aşı konusundaki son gelişmeler ve Aşıyla Bağışıklama hedefiyle birlikte, bazı illerimizde artan risk düzeyini ele aldık. Aşıyla bağışıklama hedefini, virüsünse gücünü koruduğu gerçeğini hatırlatma gereği duyuyoruz. https://t.co/2jFnWIhpoI</t>
  </si>
  <si>
    <t>1377337354499682304</t>
  </si>
  <si>
    <t>3-3 bir eşitlik değildir. Aramızdaki farkı daha büyük destekle gösterelim.</t>
  </si>
  <si>
    <t>1377036527147040771</t>
  </si>
  <si>
    <t>DÜN BİR GÖREVİMİZ DAHA VARDI. Meclis Nöbetindeydik. Genel Kurulun çalıştığı Salı, Çarşamba ve Perşembe günleri gerçekleşen bu uygulama bizleri vekillerimiz aracılığıyla da buluşturuyor. Nöbetimizde taleplerinizi iletmek üzere bizimle görüşen bütün vekillerimize teşekkür ediyorum. https://t.co/15NFkN6i1T</t>
  </si>
  <si>
    <t>1377024986506989568</t>
  </si>
  <si>
    <t>İllerimizin risk durumunu gösteren son haritamız. Virüs gücünü kaybetmiş değil. Bu haritayı maviye çevirmek elimizde. Aşı programı toplum bağışıklığını sağlayana kadar mücadele etmeliyiz. Zor olanı aştık kolay olanı kaybetmeyelim. https://t.co/jBnZGPNbwq</t>
  </si>
  <si>
    <t>1376581936236351504</t>
  </si>
  <si>
    <t>RT @RTErdogan: Kabine Toplantısı Sonrası Millete Sesleniş https://t.co/VCaXODXB1B</t>
  </si>
  <si>
    <t>1376575876779929601</t>
  </si>
  <si>
    <t>İçişleri Bakanımız Sayın Süleyman Soylu Beyefendi’nin kıymetli dayısı Selami Reis Hakk’ın rahmetine kavuştu. Merhuma Allah’tan rahmet, kardeşim Süleyman Bey ve ailesine sabırlar diliyorum.</t>
  </si>
  <si>
    <t>1376144816363483140</t>
  </si>
  <si>
    <t>Daha büyük maçları da alacağız. Biz de doyasıya sarılacağız. 
A Milli Futbol Takımımıza galibiyeti için teşekkür ediyoruz. https://t.co/FcbA0sp40g</t>
  </si>
  <si>
    <t>1375909629293641735</t>
  </si>
  <si>
    <t>Bu gece Berat Kandili. “Beraat” ruhu içinde, bağışlanmak için çevremize karşı daima bağışlayıcı, ilahi iyiliğe nail olmak için de iyilik dolu olalım. Birimizin diğerimize mesajı erdem ve dostluk olsun. Ve düşünelim, bütün kandil mesajlarının ötesinde BU GECENİN BİZE MESAJI NE?</t>
  </si>
  <si>
    <t>1375878912287326212</t>
  </si>
  <si>
    <t>Risk grubunda olan morbid obez, malign tümörü olan kanser ve diyaliz hastaları, Down sendromu olan vatandaşlarımız ve immuno supresif tedavi alanlar öncelikli aşı olmak için sisteme tanımlandı. En kısa sürede en çok riskli vatandaşımızı korumak istiyoruz.</t>
  </si>
  <si>
    <t>1375845413174050816</t>
  </si>
  <si>
    <t>Aşı programında yeni gruba geçiyoruz. Aşısı sisteme tanımlanmış olan vatandaşlarımız 60 yaş üzeri vatandaşlarımız eşleri ile birlikte randevu alarak aşılarını olabilecekler. Ayrıca bazı risk grupları da programa dahil edildi.</t>
  </si>
  <si>
    <t>1375845271914090505</t>
  </si>
  <si>
    <t>CEVABINI BEKLEDİĞİNİZ BİR SORU VAR: Bu ne kadar sürecek? Salgın ne zaman kontrol altına alınacak? Bu çok açık: Aşılama bittiğinde bu çile son bulacak. Planlarımıza göre, 100 Milyon doz aşının hepsi Mayıs sonuna kadar elimizde olacak. Ve 50 Milyon kişinin aşısı tamamlanacak. https://t.co/7MLP6Sdq4k</t>
  </si>
  <si>
    <t>1375194965844852739</t>
  </si>
  <si>
    <t>Aşının uzun vadeli bir ihtiyaç olacağı çok açıktır. Başka ülkelerin ürettiği aşılara bel bağlamak yanlıştır. Tedarikte zorlanmanın ötesinde bunun ekonomik bedelleri de ağır olur. Kendi aşımız, kendi silahımızdır. Yerli aşı çalışmalarımız sonuca doğru önemli gelişmeler kat ediyor. https://t.co/HlvISFROVF</t>
  </si>
  <si>
    <t>1375188191511072770</t>
  </si>
  <si>
    <t>AŞI ALIMINDA SEÇENEKLERİMİZ ARTIYOR. Aşılama sürecini hızlandırmak için, Sinovac, Biontech gibi aşıların yanında yeni tedarik kaynaklarımız var. Farklı üreticilerle görüşmelerimiz sürüyor. Bunlardan sadece biriyle yapılan tedarik planlamasında 40 Milyon doz söz konusu. https://t.co/YFfxz5HCLo</t>
  </si>
  <si>
    <t>1375177288212418562</t>
  </si>
  <si>
    <t>BIONTECH AŞISI. Aşılamayı hızlandırmak için Alman menşeli Biontech aşısını sürece dâhil ettik. 1,4 Milyon doz aşı bugün itibariyle elimizde. Nisan başında bu, 4,5 Milyon doza ulaşacak. 30 Milyon dozluk opsiyonlu bir anlaşma da yaptık. Üretim arttıkça daha çok aşı alacağız. https://t.co/Ftb6iRUiGw</t>
  </si>
  <si>
    <t>1375171865342308353</t>
  </si>
  <si>
    <t>“BULK” HALDE AŞI ifadesinden ne anlamalıyız? Bulk halde aşı, aşının şişelenmemiş şeklidir. Taşımadaki kolaylık sebebiyle bu yol tercih edilmektedir. Elimize bugün ulaşan, önceki 18 Milyon doza ilave olacak 10 Milyon dozluk aşı bu şekildedir. Şişeleme işlemine başlanmıştır.</t>
  </si>
  <si>
    <t>1375170868092006401</t>
  </si>
  <si>
    <t>MAYIS ayı sonuna kadar 100 MİLYON DOZ AŞI gelecek! Bunun şu ana kadar gelen kısmı 18 Milyon dozun üzerinde. Aşının 14 Milyon dozu uygulandı. 10 Milyon doza tekabül eden, “bulk” haldeki aşı ise elimize bugün ulaştı. 100 Milyon dozla, 50 MİLYON KİŞİNİN aşısını yapmış olacağız. https://t.co/FsmroIoott</t>
  </si>
  <si>
    <t>1375168106226712582</t>
  </si>
  <si>
    <t>Bilim Kurulu Toplantımız sonrası basın açıklamamızı YouTube kanalımızdan izleyebilirsiniz.
Video: https://t.co/u3E5IeoquX https://t.co/xAkmwEJR0y</t>
  </si>
  <si>
    <t>1375153741867970564</t>
  </si>
  <si>
    <t>Duruşunuz, üslubunuz unutulmadı, hatta örnek sayıldı. Ülkenin zor zamanlarında gösterdiğiniz kale gibi tavır için milletimiz hâlâ müteşekkir. Siyasete, Anadolu’nun duygusunu getirdiniz. Bu toprağın insanı sizi bunun için de sevdi. Ruhunuz şad olsun Muhsin Başkan. https://t.co/3mTZ31fcoU</t>
  </si>
  <si>
    <t>1375126470973124615</t>
  </si>
  <si>
    <t>Bugün ayrıca 700 bin dozdan fazla Biontech aşısı daha ülkemize ulaştı. Böylece yaklaşık 1.4 milyon doz kullanıma hazır aşı ulaşmış oldu. Bu aşı ülkemizde ilk defa kullanılacak. Aşı ,saklama koşulları uygun olan her merkezimizde uygulanacak.</t>
  </si>
  <si>
    <t>1374773424720068611</t>
  </si>
  <si>
    <t>Biontech aşısı geçen hafta 5.800 doz test edilmek üzere ülkemize ulaştı. Dün ise yaklaşık 750 bin doz aşı teslim aldık. Testler ve klinik araştırma dışında ilk kez Biontech aşısı geldi. Güvenlik testleri yapılıyor ve önümüzdeki hafta sırası gelen vatandaşlarımıza uygulanacak. https://t.co/ENDMpAd9rt</t>
  </si>
  <si>
    <t>1374773095139930122</t>
  </si>
  <si>
    <t>Karanlıkları aydınlığa kavuşturacak olan sevgi, merhamet ve ilimdir. Bu ruhla kurulan Ak Parti 2023’te, 2053’te ve 2071’de de aynı vizyonla yoluna devam edecek. Kongremizde yeniden başkanlığa seçilen Cumhurbaşkanımız Sayın Recep Tayyip Erdoğan’ı yürekten tebrik ediyorum.</t>
  </si>
  <si>
    <t>1374732157449601026</t>
  </si>
  <si>
    <t>DİKKAT ETMELİYİZ. Bugün 26 Bin 182 yeni vaka tespit ettik. Yine bugün 138 can kaybımız var. Vaka ve kayıp sayıları hayatımızı, sağlımızı, çaba göstererek kazandığımız serbestliği tehdit ediyor. Geri dönüş yolumuz tedbirdir.</t>
  </si>
  <si>
    <t>1374406585351507968</t>
  </si>
  <si>
    <t>Son hafta 100.000 nüfusta vaka görünme oranı en çok artan illerimiz: Kastamonu, Çankırı, Yalova, İstanbul ve Erzincan. En çok azalan illerimiz: Sinop, Gümüşhane, Mersin, Kırıkkale ve Burdur. Riski ortadan kaldıracak olan tedbirdir. https://t.co/mhum3yKLHo</t>
  </si>
  <si>
    <t>1374305399558529025</t>
  </si>
  <si>
    <t>Vaka artışı devam ediyor. Geçtiğimiz hafta en çok vaka artışı yaşanan il yöneticilerimizle korordinasyon toplantısı gerçekleştirdik. Tecrübelerimiz bu artışı göğüslemeye yeterli. Yerinde karar, yerinde tedbir, etkili mücadele ile virüse fırsat vermeyeceğiz. https://t.co/R3Ro87Jivg</t>
  </si>
  <si>
    <t>1374124450015285250</t>
  </si>
  <si>
    <t>Hayat kurtarmak için zamanla yarışılan anlarda kritik görevler üstlenen Acil Tıp Teknisyenleri ve Teknikerlerimiz… Sizler, sağlık hizmetlerimizin birer kahramanı, hepimizin övüncüsünüz. 22 Mart Acil Tıp Teknisyenleri ve Teknikerleri Gününüz kutlu olsun. Türkiye sizi seviyor. https://t.co/uHU9hVtda7</t>
  </si>
  <si>
    <t>1374069278366912522</t>
  </si>
  <si>
    <t>DÜN atmayı bugüne bıraktığım tweet: 21 Mart Dünya Şiir Günü, dün, bugün, yarın kutlu olsun. Her türlü virüse karşı şiir bünyeyi güçlendirir, unutmayalım.</t>
  </si>
  <si>
    <t>1373915766995685377</t>
  </si>
  <si>
    <t>İş yerinde maskesini çıkaranlar olduğu bilgisini alıyoruz. Oysa risk, dışarıda olduğu gibi, iş ortamında da sürüyor. İşteyken, gözden uzak da değilsiniz: Aldığınız riskle 83 Milyonun gözü önündesiniz. Lütfen sorumlu davranın. Maskenizi çıkarmayın.</t>
  </si>
  <si>
    <t>1373900351208878084</t>
  </si>
  <si>
    <t>Bugün kutlanan, sadece baharın gelişi değil. Daha da fazlası. Örneğin, umutların yükselişi. Bahar, zorluklara karşı hepimize ilham versin. Nevruz’unuzu yürekten kutlarım.</t>
  </si>
  <si>
    <t>1373672206987898883</t>
  </si>
  <si>
    <t>Âşık Veysel, yaklaşık yarım asır önce bu dünyadan ayrıldı. Şiirleri, ezgileriyle adı aramızda. O bir halk ozanından öte, bir halk filozofu, ifade edilmesi zor soruları anlaşılır şekilde soran, cevap arayan bir bilgeydi. Yolların en incesinde bir yolcu. Rahmetle anıyoruz. https://t.co/dvp0Nh2Bey</t>
  </si>
  <si>
    <t>1373663655758344192</t>
  </si>
  <si>
    <t>Down Sendromu Farkındalık Günü vesilesiyle, down sendromlu çocuklarımıza, yetişkin bireylere ve ailelerine saygı ve sevgilerimi sunuyorum. Down sendromlular, algıları ve duygularıyla özel insanlardır. Onları anlamaya çalışalım. Biricik olan dünyalarına karşı hassas olalım.</t>
  </si>
  <si>
    <t>1373657195766804482</t>
  </si>
  <si>
    <t>Yarın bugünden tedbirli olalım.</t>
  </si>
  <si>
    <t>1373650858349633540</t>
  </si>
  <si>
    <t>Bilimin zaferi yakın olmasına yakın ama, bazı kayıplar da zafer çok yakınken verilir. Buna fırsat tanımayın.</t>
  </si>
  <si>
    <t>1373628125435813888</t>
  </si>
  <si>
    <t>Bugün, bazılarımız anlayışından, bazılarımız da ister istemez evde. Hafta içi riski her yerde düşürelim.</t>
  </si>
  <si>
    <t>1373617995340210179</t>
  </si>
  <si>
    <t>Virüsü yok sayamayız. Onun normal hayatımızı elimizden almasına da izin vermemeliyiz. Bunu tedbirlere uyarak başarabiliriz.</t>
  </si>
  <si>
    <t>1373346541260443652</t>
  </si>
  <si>
    <t>İllerimizde haftalık 100.000 nüfusa karşılık gelen toplam vaka sayısını gösteren insidans haritamızı ekte görebilirsiniz. Normale dönmek elimizde. Bu ancak tedbirle mümkün. https://t.co/MWa4RsIJDd</t>
  </si>
  <si>
    <t>1373345363537584133</t>
  </si>
  <si>
    <t>Kendilerine Alman devlet nişanı tevdi edilen bilim insanlarımız Dr. Özlem Türeci ile Prof. Dr. Uğur Şahin'i tebrik ediyorum. Dünyayı kurtaracak olan merhamet, zaferi getirecek olan bilimdir. https://t.co/Pch5BdsVfW</t>
  </si>
  <si>
    <t>1373009915762126850</t>
  </si>
  <si>
    <t>Büyüklerimizin gönlü yaşından çok büyük. Yaşlılar Haftası kutlu olsun. https://t.co/RsLSSTm2dx</t>
  </si>
  <si>
    <t>1373007071399059462</t>
  </si>
  <si>
    <t>Vaka sayılarının artış gösterdiği illerimizle koordinasyon toplantısı yaptık. İl yöneticileri ile tedbir ve uygulamaları istişare ettik. Kısıtlamaları bir daha gelmemek üzere kaldırabilecek olan bizleriz. Virüs yok olmadı, tedbirlere uymak zorundayız. https://t.co/B88jP7yAz9</t>
  </si>
  <si>
    <t>1372971412898652162</t>
  </si>
  <si>
    <t>İlimle tevazunun aynı bünyede nasıl yaşayabileceğini gösteren, ülkemizin en büyük iktisat tarihçisi Mehmet Genç, kuşaklar boyu faydalanabileceğimiz derin bilgiler bırakarak ebedi âleme göçtü. Ülkemizin başı sağ olsun. Kendisine sonsuz rahmet, yakınlarına sabır dilerim. https://t.co/mwE0oZ3Y3t</t>
  </si>
  <si>
    <t>1372923993968234498</t>
  </si>
  <si>
    <t>Devlete ancak milli bir şuurla ve kararlılıkla hizmet edilebilir. Bu milli ve kararlı duruşu her zaman sergileyen Sayın Devlet Bahçeli Beyefendi’yi partisinin 13. Olağan Genel Kurultayında yeniden genel başkanlığa seçilmesi vesilesi ile tebrik ediyorum.</t>
  </si>
  <si>
    <t>1372563873593761809</t>
  </si>
  <si>
    <t>Güçlü sanılanın zayıf sanılan karşısında çaresiz kaldığı yerdir Çanakkale. Bir milletin doğrulup ayağa kalktığı yerdir. Çanakkale Zaferimizin 106. yılında şehitlerimizi rahmet ve minnetle anıyorum.</t>
  </si>
  <si>
    <t>1372469921460916224</t>
  </si>
  <si>
    <t>Virüs, eski virüs değil, mutasyona uğradı diyerek, asla işi hafife almayın. Mutantı da olsa, Koronavirüs tehlikeli bir virüstür. Hepinize saygı ve selamlarımı sunuyorum. Yarın bugünden tedbirli olalım. https://t.co/E1SqJg5Hkz</t>
  </si>
  <si>
    <t>1372305975076589570</t>
  </si>
  <si>
    <t>COVID-19’un kitlesel bir sorun olmaktan çıkması için önümüzde yıllar yok, aylar var. İnsanlık, 2020’nin çaresizliğini aştı. 2021 yılı umut ve zafer yılıdır. https://t.co/POv7CUXQMz</t>
  </si>
  <si>
    <t>1372303476999471107</t>
  </si>
  <si>
    <t>Virüse sosyal hayatı ele geçirme fırsatı vermeyin! https://t.co/Fq0TLkcA0R</t>
  </si>
  <si>
    <t>1372300878678519813</t>
  </si>
  <si>
    <t>Bilim Kurulumuz bu hafta toplanarak, normalleşme sürecimizin 15 günlük yansımalarını ve aşı konusundaki gelişmeleri değerlendirdi: Son 15 günde, maalesef çoğu ilimizde, vaka artışı görüldü. Sonuçlar henüz hastanelere fazla yansımaya başlamadı.
Video: https://t.co/oxid95VjD1 https://t.co/djps20dk4S</t>
  </si>
  <si>
    <t>1372296553075990538</t>
  </si>
  <si>
    <t>Şehriye teyzem Allah sana uzun ömürler versin. Büyüklerimize hizmet etmek sorumluluğumuz. Dün biz size emanettik, bugün siz bize emanetsiniz. https://t.co/BkOYxfFHSU</t>
  </si>
  <si>
    <t>1371912260055076868</t>
  </si>
  <si>
    <t>Son hafta 100.000 nüfusta vaka görünme oranı en çok artan illerimiz: Samsun, Kilis, Balıkesir, İstanbul ve Yalova. En çok azalan illerimiz: Sakarya, Ordu, Amasya, Rize ve Burdur. Birlikte tedbirlere uyarak kontrollü normalleşmeye destek olalım. https://t.co/ymqzrUlEfV</t>
  </si>
  <si>
    <t>1371859182610186241</t>
  </si>
  <si>
    <t>İllerimizde 100 bin nüfusa karşılık gelen haftalık toplam vaka sayılarını harita üzerinde görebilirsiniz. Tedbirlere uyarak normalleşmek mümkün. https://t.co/8RYfnGSIJB</t>
  </si>
  <si>
    <t>1371575594014621697</t>
  </si>
  <si>
    <t>RT @RTErdogan: Kabine Toplantısı Sonrası Millete Sesleniş https://t.co/VugDFFBbt3</t>
  </si>
  <si>
    <t>1371498804776689666</t>
  </si>
  <si>
    <t>#DestanYazanlaraMektupYaz
Ben mektubumu yazıp sisteme yükledim. Siz de mektubunuzla Sağlık Personelimize düşüncelerinizi iletebilirsiniz. Yürekten bir teşekkürü hak ettiler.
https://t.co/3pXVhdChXP</t>
  </si>
  <si>
    <t>1371144870430183428</t>
  </si>
  <si>
    <t>İstisnasız herkes ama herkes kabul etti ki bize ihtiyaç varsa biz amasız, fakatsız, tereddütsüz ve en gözü kara halimizle oradayız. Bu şeref bize yeter. https://t.co/XAFgkt1NTR</t>
  </si>
  <si>
    <t>1371098792867602433</t>
  </si>
  <si>
    <t>Gece gündüz demeden çalışan, bu kutsal görevi büyük fedakarlıklarla yerine getiren, varlıkların en şereflisi olan insana hizmet onurunu göğsünde taşıyan meslektaşlarımın 14 Mart Tıp Bayramı'nı yürekten kutlarım. https://t.co/me9LpELavV</t>
  </si>
  <si>
    <t>1371094332187480064</t>
  </si>
  <si>
    <t>RT @tcbestepe: Cumhurbaşkanı Erdoğan’ın, #14MartTıpBayramı videomesajı https://t.co/McshiIcr5H</t>
  </si>
  <si>
    <t>1371078254472351744</t>
  </si>
  <si>
    <t>14 Mart Tıp Bayramı Programı
CANLI YAYIN: https://t.co/cZm1WpHFdo https://t.co/DCl3J3njoo</t>
  </si>
  <si>
    <t>1371068971840114688</t>
  </si>
  <si>
    <t>Sayın Cumhurbaşkanımızın teşrif edecekleri 14 Mart Tıp Bayramı töreni YouTube kanalımızdan canlı olarak takip edilebilecek.
YouTube: https://t.co/BxFZseFRun https://t.co/PjiMmEU2yi</t>
  </si>
  <si>
    <t>1370818863487672329</t>
  </si>
  <si>
    <t>İçişleri Bakanımız Sayın Süleyman Soylu Beyefendi’nin muhterem anneleri Hakkın rahmetine kavuştu. Merhumeye Allah'tan rahmet, Süleyman Bey kardeşimize ve ailesine sabırlar diliyorum.</t>
  </si>
  <si>
    <t>1370646551392096256</t>
  </si>
  <si>
    <t>Sağlık hizmetine erişim için hastamızın evine gitmemiz gerekiyorsa ekiplerimiz evine gidiyor. Bu yavrularımız bize, geleceğimiz ise yavrularımıza emanet. https://t.co/LgmWhHnSJQ</t>
  </si>
  <si>
    <t>1370465997740777477</t>
  </si>
  <si>
    <t>Hürriyet ve Bağımsızlığın kalpten dile düşen en güzel ifadesi olan İstiklâl Marşımızın kabulünün 100. yılını kutluyorum. Milli şairimiz Mehmet Akif Ersoy’u ve şanlı mücadelemizin kahramanlarını minnetle anıyorum.</t>
  </si>
  <si>
    <t>1370285092707446784</t>
  </si>
  <si>
    <t>Zor günler hepimizi çok yorsa da çok yakında geride kalacak. Bu illetten hep birlikte kurtulacağız. https://t.co/48zXfduyk0</t>
  </si>
  <si>
    <t>1370112347952574467</t>
  </si>
  <si>
    <t>COVID-19’dan, gripten bahsedermiş gibi bahsedeceğimiz günler de gelecek: “Üzerinize afiyet! Biraz Korona olmuşum.” O günlerle arayı açmayalım. Yolu birlikte kısaltalım.</t>
  </si>
  <si>
    <t>1370063095306067970</t>
  </si>
  <si>
    <t>İnanmalıyız ki, umut kadar büyük bir güç yok. Bilmeliyiz ki yolu kısaltan iyimserliktir. https://t.co/wxo1jiBb4z</t>
  </si>
  <si>
    <t>1370037573175947264</t>
  </si>
  <si>
    <t>Milletimin huzurunda milletim adına sağlık çalışanlarımıza bir kez daha minnettar olduğumuzu ifade ediyorum. https://t.co/9JD4T1AofD</t>
  </si>
  <si>
    <t>1370034522331504640</t>
  </si>
  <si>
    <t>Koronavirüs hayatımızdan çıkacak. 2020 yılına düşürdüğü karanlık gölge 2021’de olmayacak. https://t.co/tUqUGcNrT6</t>
  </si>
  <si>
    <t>1370031913671528448</t>
  </si>
  <si>
    <t>RT @RTErdogan: Sağlık ordumuzun fedakârlığıyla, sürekli yenilerini hizmete aldığımız, kapasitelerini arttırdığımız hastanelerimizle ve güçl…</t>
  </si>
  <si>
    <t>1370029098383282178</t>
  </si>
  <si>
    <t>Türkiye’de ilk vakanın üzerinden 1 yıl geçti.
https://t.co/P23wyf2mka</t>
  </si>
  <si>
    <t>1370015348766998530</t>
  </si>
  <si>
    <t>Kıymetli vatandaşlarım; 
Saat 17.00’da huzurlarınızda olacağım.
YouTube: https://t.co/BxFZseFRun</t>
  </si>
  <si>
    <t>1370006930425536514</t>
  </si>
  <si>
    <t>Aşı tedariki ve uygulama performansımız konusunda, küresel koşulların tüm engellerine rağmen, aşı üretme kapasitesi erken devreye girmiş ülkelerle rekabet eder durumdayız. 10 milyonun üzerinde aşılama gerçekleştirmiş durumdayız.</t>
  </si>
  <si>
    <t>1369725028485509123</t>
  </si>
  <si>
    <t>Mutant virüsler yayılım hızını artırmıştır. Her ne kadar bu artış hastanelere yatışları paralel şekilde etkilemese de çok vaka maalesef çok hasta potansiyelini barındırıyor.</t>
  </si>
  <si>
    <t>1369723276059152384</t>
  </si>
  <si>
    <t>Bugüne kadar 76 ilimizde toplam 41.488 B.1.1.7 (İngiltere) mutantı, 9 ilimizde toplam 61 B.1.351 (Güney Afrika) mutantı 1 ilimizde 2 B.1.427 (California-NewYork) mutantı ve 1 adet de P.1 (Brezilya) mutantı tespit edilmiştir.</t>
  </si>
  <si>
    <t>1369722498170884096</t>
  </si>
  <si>
    <t>Unutmayalım! İnanç, azim ve kararlılık olduğu sürece kırmızı maviye en yakın renktir. https://t.co/tJAaBlo2hy</t>
  </si>
  <si>
    <t>1369720188921331714</t>
  </si>
  <si>
    <t>Peygamberimizin Miracı, o kutlu yolculuk, insanın evrensel bir özleminin simgesi olmuştur. Çünkü insan ruhen yücelmek, biricik varlığını olgunluğa ulaştırmak ister. Miraç Kandilinizi kutluyor, insanlık serüvenimizde Miracın hepimize yol gösterici olmasını diliyorum.</t>
  </si>
  <si>
    <t>1369651639477473292</t>
  </si>
  <si>
    <t>Sınırlarımızı koruyalım. Virüsün ne zaman saldıracağı belli olmaz.</t>
  </si>
  <si>
    <t>1369268724738494468</t>
  </si>
  <si>
    <t>Dizi, tiyatro ve sinema oyuncusu Rasim Öztekin, geçirdiği kalp rahatsızlığından sonra, Dr. Siyami Ersek Göğüs Kalp ve Damar Cerrahisi Eğitim ve Araştırma Hastanemizde yapılan bütün müdahalelere rağmen hayatını kaybetti. Televizyon olan her evde aileden biriydi. Başımız sağ olsun. https://t.co/0SOZYIAg7e</t>
  </si>
  <si>
    <t>1368995155726962695</t>
  </si>
  <si>
    <t>Aşı programımız planlandığı gibi ilerliyor. Bugün itibariyle 10 milyon doz aşı yapıldı. Emek veren tüm personelimize teşekkür ederim. Milletimiz en iyisini hak ediyor. https://t.co/BZDPjOn1Id</t>
  </si>
  <si>
    <t>1368857801448169472</t>
  </si>
  <si>
    <t>Kadınlar bizi bağışlasın. Fedakârlıkları bugüne dek hak ettiği karşılığı görmedi. Sevgiyle yeşerttikleri, aynı özenle korunmadı. Sözleri daha fazla etki etse, hayat daha iyi olabilirdi. Çünkü güçle merhamet, kadınlarda birbirinden ayrılmaz. 8 Mart Dünya Kadınlar Günü kutlu olsun.</t>
  </si>
  <si>
    <t>1368802846951550978</t>
  </si>
  <si>
    <t>Ağrı Adıyaman’a, Batman Samsun’a, Bingöl Ordu’ya, Bitlis Balıkesir’e, Diyarbakır İstanbul’a, Mardin Trabzon’a, Van İzmir’e, Siirt Rize’ye, Hakkâri Sinop’a, Şanlıurfa Konya’ya, Şırnak Zonguldak’a, Uşak Tokat’a, Iğdır Giresun’a… örnek olsun! Riski tüm illerde düşürelim.</t>
  </si>
  <si>
    <t>1368592531978657792</t>
  </si>
  <si>
    <t>Son hafta 100.000 nüfusta vaka görünme oranı en çok artan illerimiz: Sinop, Kilis, Samsun, Amasya ve Edirne. En çok azalan illerimiz: Ordu, Bolu, Trabzon, Nevşehir ve Karaman. Birlikte tedbirlere uyarak tüm illerimizi mavi kategoriye sokalım. https://t.co/ghs0lohTRn</t>
  </si>
  <si>
    <t>1368575801881485312</t>
  </si>
  <si>
    <t>Bir kadının, sokakta, çocuğunun gözü önünde ağır şiddete maruz kaldığı haberi, tüm Türkiye’yi üzdü. Samsun’daki olayda 112 Acil Ekibimiz, 21.11’de gelen çağrı üzerine 21.16’da hastaya, 21.20’de hastaneye ulaştı. Şu an Eğitim Araştırma Hastanesinde olan hastanın hayati sorunu yok.</t>
  </si>
  <si>
    <t>1368353793214210048</t>
  </si>
  <si>
    <t>TÜRKİYE’NİN İKİ ORDUSU var. Biri ülkeyi, biri 83 milyonun sağlığını koruyor. İkisi de siyasi çıkar amaçlı ithamlarla yıpratılmaya gelmez. Bilhassa, salgınla savaşın silahı olan aşının tedariki boş sözlerle, maksatlı ifşaatla riske atılıyorsa! Söz sırası aşı bekleyenlere de gelir! https://t.co/Xvhns215n6</t>
  </si>
  <si>
    <t>1368234667099447303</t>
  </si>
  <si>
    <t>Bu hafta ne kadar tedbirli olursak şehirlerimizin rengi ona uygun olarak şekillenecek. Mevcut avantajlarımızı kaybetmemek için daha dikkatli ve temkinli hareket etmeliyiz.</t>
  </si>
  <si>
    <t>1368201362723508225</t>
  </si>
  <si>
    <t>Kontrollü normalleşme için illerimizin 100.000 nüfusa karşılık gelen haftalık vaka sayılarını içeren insidans haritasının güncel hali ektedir. Yüksek riskli illerimiz risklerini düşürmek için daha tedbirli olmalı. Normalleşme kontrollü gerçekleşmeli. https://t.co/wt7YsOJ7qQ</t>
  </si>
  <si>
    <t>1368196881495506946</t>
  </si>
  <si>
    <t>Tüm gün dışarıda kalma kısıtlaması yok:) Yavaş yavaş evin yolunu tutsak?</t>
  </si>
  <si>
    <t>1368185512780038150</t>
  </si>
  <si>
    <t>Mutlu Cumartesi! Hata yaparsak, bir hafta on gün sonra üzülürüz.</t>
  </si>
  <si>
    <t>1368154912970964994</t>
  </si>
  <si>
    <t>Zor günlere dönüş yolunu kapatalım: Dışarı çıkıyorsak, maske takalım.</t>
  </si>
  <si>
    <t>1368120976010002433</t>
  </si>
  <si>
    <t>Kısıtlamaların azalması, kurallara uymanın ödülüdür. Kurallara uyalım.</t>
  </si>
  <si>
    <t>1368113186986205190</t>
  </si>
  <si>
    <t>Beklediğimiz Cumartesilerin ilki! Devamı, kıymetini bilmemize bağlı.</t>
  </si>
  <si>
    <t>1368103931088433154</t>
  </si>
  <si>
    <t>İstanbul’da sağlık yöneticilerimizle bir araya gelerek salgının seyrini değerlendirdik. Polikliniklerimizde hasta artışı olduğu görülüyor. İstanbul normalleşmenin örnek şehri olmalı. Bunu başaracak kararlılıktayız. https://t.co/G9ua2i2Gpg</t>
  </si>
  <si>
    <t>1367870967301763075</t>
  </si>
  <si>
    <t>Yapımı tamamlanan 702 yataklı Seyrantepe Şehir Hastanemizin hazırlıklarını yerinde inceledik. Mart ayı içinde hasta kabulüne başlıyoruz. Yakında açılışını yapacağız. Güçlü Sağlık altyapımız en büyük güvencemiz. Bu güce güvenin. https://t.co/MKMBkX62qa</t>
  </si>
  <si>
    <t>1367868094098587656</t>
  </si>
  <si>
    <t>Emek veren tüm bakanlık personelimize teşekkür ederim. Emeklerinin kıymeti tescillenmiş oldu. https://t.co/RL1Jc91krC</t>
  </si>
  <si>
    <t>1367736290041552902</t>
  </si>
  <si>
    <t>Şartlar ne olursa olsun sağlık hizmetini ulaştırmak sorumluluğumuz. Ordu ilimizi çok yüksek riskli bölgeden düşük riskli bölge haline getirmek için birlikte gayret etmeliyiz. https://t.co/k3Kusng6Qk</t>
  </si>
  <si>
    <t>1367554082865614849</t>
  </si>
  <si>
    <t>Konya, Trabzon, Sakarya, Edirne, Adıyaman İl Sağlık Müdürlerimiz ve Valilerimizle çevrimiçi toplantı yaptık. Çok yüksek risk grubunda olan bu illerimizde yerinde alınabilecek önlemleri ve bu illerimizin düşük risk grubuna girebilmesi için yapılması gerekenleri istişare ettik. https://t.co/EZNf9wTVP8</t>
  </si>
  <si>
    <t>1367549425019736064</t>
  </si>
  <si>
    <t>Bingöl'den Tatvan'a giden ve askerlerimizi taşıyan helikopterin düşmesi sonucu; 9 vatan evladımız şehit olurken 4 askerimiz de yaralanmıştır. Şehitlerimize Allah'tan rahmet, yaralı askerlerimize acil şifa diliyorum. Milletimizin başı sağ olsun. https://t.co/UKlclQ0Qpu</t>
  </si>
  <si>
    <t>1367501514437238790</t>
  </si>
  <si>
    <t>FAZ III, SONUÇ II: Kullandığımız aşı, hastaneye yatış ihtiyacını %100 ortadan kaldırıyor. Aşı olan biri, yakalansa bile COVID-19’u hafif geçiriyor. Bu sonuç, Sinovac aşısının bugün açıklanan Türkiye Faz III araştırmasında ortaya kondu. Hayat yakında daha da normal olacak!</t>
  </si>
  <si>
    <t>1367214387996594176</t>
  </si>
  <si>
    <t>FAZ III, SONUÇ I: Kullandığımız aşı, her 100 kişiden 83,5’inde etkili. Bu sonuç, Sinovac aşısının bugün açıklanan Türkiye Faz III araştırmasında ortaya kondu. Hayat yakında daha da normal olacak!</t>
  </si>
  <si>
    <t>1367213760344174597</t>
  </si>
  <si>
    <t>7 günlük vaka görülme sıklığını il bazında yayınlamaya haftalık olarak devam edeceğiz, risk haritası da 15 günde bir yayınlanacak.</t>
  </si>
  <si>
    <t>1367189660636745728</t>
  </si>
  <si>
    <t>Umutla beklediğimiz günlere sosyal hareketliliğimiz içinde de virüsün yayılmasını engelleyerek ulaşacağız.</t>
  </si>
  <si>
    <t>1367189056090734593</t>
  </si>
  <si>
    <t>Kontrollü olarak normalleşme dönemi fiilen başladı. Bunun konforunu yaşarken tedbiri elden bırakmayalım. https://t.co/IxYUf78nHz</t>
  </si>
  <si>
    <t>1367187966515425281</t>
  </si>
  <si>
    <t>Bugün Sinovac aşısının Türkiye Faz III sonuçları açıklandı. Buna göre genel etkinlik %83,5 ve hastaneye yatışları %100 engelliyor. Klinik çalışma 10 binden fazla gönüllüde yapıldı. 9 milyon dozdan fazla aşı yapıldı. Bizim tecrübemiz de hastaneye yatışların engellendiği yönünde. https://t.co/AmTfnfa6Oa</t>
  </si>
  <si>
    <t>1367141241989783554</t>
  </si>
  <si>
    <t>Haritamızın tamamının mavi olması için çalışacağız. Bunu sağlayacak olan en önemli gayretimiz tedbirlere tam uyum. Sarı, turuncu ve kırmızı iller de mavi olana kadar tedbirli olmalıyız. Mavi illerimiz de durumlarını korumalı. https://t.co/5IjAnWzGcj</t>
  </si>
  <si>
    <t>1366827765048225794</t>
  </si>
  <si>
    <t>Her hafta açıkladığımız illerimizde 100.000 nüfusa düşen haftalık toplam vaka sayısının güncel haritasını ilan ettik. Kademeli ve kontrollü normalleşecegiz. https://t.co/RVlhe7786O https://t.co/IOSAAcuqB9</t>
  </si>
  <si>
    <t>1366502967373946886</t>
  </si>
  <si>
    <t>Bilim Kurulumuz, illerin risk kategorilerini belirlemede 100.000 nüfusa düşen haftalık vaka sayısı ile birlikte yapılan PCR testlerinin pozitiflik oranı, yoğun bakım doluluk oranı ve entübe hasta artışını dikkate aldı. Kademeli normalleşmek elimizde.</t>
  </si>
  <si>
    <t>1366490379130966022</t>
  </si>
  <si>
    <t>İllerimiz risk değerlendirme kriterlerine göre 4 kategoriye ayrıldı. Düşük riskli (mavi), orta riskli (sarı), yüksek riskli (turuncu) ve çok yüksek riskli (kırmızı) olarak kategoriler belirlendi. Buna göre normalleşme adımları uygulanacaktır. Tedbirli ve kademeli normalleşecegiz. https://t.co/ims9A3VE3e</t>
  </si>
  <si>
    <t>1366438618286424065</t>
  </si>
  <si>
    <t>RT @RTErdogan: Kabine Toplantısı Sonrası Millete Sesleniş https://t.co/sCDPjO3y2s</t>
  </si>
  <si>
    <t>1366433014297862148</t>
  </si>
  <si>
    <t>112 Acil Sağlık Hizmetine hiç ihtiyaç olmamasını temenni ederim. Varlığını bilmek ise büyük bir güvence. Sağlıkçılar milletimizin hizmetinde. https://t.co/toNQOUQ8HP</t>
  </si>
  <si>
    <t>1366093168299679745</t>
  </si>
  <si>
    <t>Darbe sadece meşru yönetimi ele geçirmek değil; sosyal, iktisadi ve kültürel hayatı bütünüyle esir almaktır. #28Şubat darbenin postmodern uygulama örneği olarak tarihteki yerini aldı. Darbenin her türlüsününün karşısında, Millet iradesinin yanındayız.</t>
  </si>
  <si>
    <t>1365983372280033285</t>
  </si>
  <si>
    <t>Mücadelemizi takdirle gündemine getiren yabancı devletler artıyor. Dünya takdir etsin diye mücadele vermedik. Mücadelemiz vatandaşımızın sağlığı ve afiyeti için. Dünyanın takdiri değerli ama milletimizin güveni daha değerli. https://t.co/kkwD7vMzwr</t>
  </si>
  <si>
    <t>1365674192579026947</t>
  </si>
  <si>
    <t>Malıyla, canıyla cihad eden bir Müslüman olarak anılmak istemişti. Sevenleri ona Mücahit Erbakan diye seslendi. Merhum Necmettin Erbakan Hocamızı vefatının 10. yılında rahmet ve minnetle anıyorum. https://t.co/6BQvZf5v5J</t>
  </si>
  <si>
    <t>1365607325160120332</t>
  </si>
  <si>
    <t>Geçen haftaya göre vaka sayısı 100.000 nüfusta en çok azalan illerimiz; Bayburt, Erzincan, Trabzon, Karabük ve Hatay. En çok artış olan illerimiz ise; Ordu, Giresun, Samsun, Tokat ve Bolu. Normalleşmek için daha çok emek vermek gerekiyor. https://t.co/8ea1X3xX0e</t>
  </si>
  <si>
    <t>1365379571646881792</t>
  </si>
  <si>
    <t>Sağlık hizmetine bulunduğu yerden ayrılmadan ihtiyaç duyan vatandaşlarımız var. Bu hizmeti onlara ulastirabilecek imkanımız da var. Daha çok hizmet etmek için çalışmaya devam edeceğiz. https://t.co/IHdinuAa6l</t>
  </si>
  <si>
    <t>1365364655607136256</t>
  </si>
  <si>
    <t>Hocalı Azerbaycan’dır. Canlarımızı katlettiler. Şehitlerimize rahmet ve minnetle... https://t.co/IootY05Jq2</t>
  </si>
  <si>
    <t>1365280422301749249</t>
  </si>
  <si>
    <t>Mazlumların umudu olan merhamet içindeki cevherin aynasıdır.
#İyikiDoğdunMilletinAdamı https://t.co/hIjl4KbfjI</t>
  </si>
  <si>
    <t>1365271052708941825</t>
  </si>
  <si>
    <t>AB Delegasyonu Başkanı Büyükelçi Sayın Nikolaus Meyer-Landrut’u Bakanlığımızda ağırlayarak, salgınla mücadeyi değerlendirdik. AB ile ortaklaşa yürüttüğümüz projeleri ve yeni iş birliği imkânlarını istişare ettik. Ziyareti için kendisine teşekkür ediyorum. @EUDelegationTur https://t.co/rPKcQI8ZVa</t>
  </si>
  <si>
    <t>1365236215482613766</t>
  </si>
  <si>
    <t>İletişim kanalları iyi niyetli her talep ve tenkite açık. Bilgi edinmek için siyasi kürsülere ihtiyaç yok. https://t.co/tP89Ki95LZ</t>
  </si>
  <si>
    <t>1365212857755910144</t>
  </si>
  <si>
    <t>4. Vatandaşa hizmet yolunu aramak yerine kafa karışıklığına sebep olmaya çalışılmıştır.
Tüm bunlar maalesef ahlaki değildir.
Milletimizin irfanı bu hakikatten uzak söylemleri idrak edecek seviyede ve hakkı teslim edecek durumdadır.(Belgelerin Türkçe ve İngilizcesi ektedir) https://t.co/NqRcvRiLe9</t>
  </si>
  <si>
    <t>1365046848780701700</t>
  </si>
  <si>
    <t>Durduğumuz yer siyasetin dışında herkesi kuşatacak bir noktadır.
1. Haksız ve asılsız iddialarla ithamda bulunulmuştur.
2. Aşı temini engellenmeye çalışılmıştır.
3. Salgın yönetimi siyasi malzeme haline getirilmeye çalışılmıştır. https://t.co/o5Byy3VmQQ</t>
  </si>
  <si>
    <t>1365046838542426114</t>
  </si>
  <si>
    <t>Aşı bir sağlık meselesidir. Sağlık siyasi alana çekilmemelidir. Hele hele böylesi kritik bir dönemde stratejik önemdeki bir ürünün tedarikini sekteye uğratabilecek girişimler asla kabul edilemez. https://t.co/yd6ubVAyF7</t>
  </si>
  <si>
    <t>1365033502782218241</t>
  </si>
  <si>
    <t>Risk sınıflamasına uygun olarak kademeli normalleşmeyi planlanladık. https://t.co/6gorNdTID5</t>
  </si>
  <si>
    <t>1365026601558245383</t>
  </si>
  <si>
    <t>İkinci Doz aşıyı olup üzerinden 14 gün geçtikten sonra aşılanmış oluyoruz. https://t.co/hZVu65nM8t</t>
  </si>
  <si>
    <t>1365023819195416586</t>
  </si>
  <si>
    <t>Aşıyı hazır temin eden ülkeler içinde en hızlı ve en çok aşılamayı başarmış durumdayız. https://t.co/Pke7MwcDds</t>
  </si>
  <si>
    <t>1365014670382428167</t>
  </si>
  <si>
    <t>Salgınla mücadelenin bir yılı yeni tecrübeler kazandırdı. Salgının sosyal etkisi şimdi eskisinden daha çok odakta. https://t.co/r0LzbfmNQl</t>
  </si>
  <si>
    <t>1365003800847736837</t>
  </si>
  <si>
    <t>Bilim Kurulu Toplantımızın ardından Koronavirüs ile ilgili son gelişmelere ilişkin basın açıklamamız.
📍Sağlık Bakanlığı
https://t.co/WxgcCWDIRB</t>
  </si>
  <si>
    <t>1364977922231173123</t>
  </si>
  <si>
    <t>Bugünü mecliste geçirerek vatandaşlarımızın sesi olan milletvekillerimizi dinledik. Yüce Meclisimize ulaştırılan konuları vekillerimizle istişare ettik. https://t.co/cqLBRQ6Yd3</t>
  </si>
  <si>
    <t>1364688329162317838</t>
  </si>
  <si>
    <t>Tüm dünya salgınla mücadele ediyor. Biz de millet olarak bir mücadele veriyoruz. Bunun siyasi malzeme yapılamayacak kadar önemli bir insanlık görevi olduğunu anlamak istemeyenler olsa da duruşumuz değişmeyecek. https://t.co/DqxUnpVw4c</t>
  </si>
  <si>
    <t>1364679653001203713</t>
  </si>
  <si>
    <t>Yüz yüze eğitimin başladığı köy okullarımızda görevli öğretmenlerimizin aşılanmasına başlandı. İlk aşıyı Bakan arkadaşım Sayın Ziya Selçuk oldu. Daha güvenli bir eğitim ortamı için birlikte gayret etmeye devam edeceğiz.</t>
  </si>
  <si>
    <t>1364587871835947009</t>
  </si>
  <si>
    <t>Haftalık 100.000 nüfusa karşılık gelen vaka sayısında bazı illerimizde belirgin artış var. Normalleşmeyi konuştuğumuz şu günlerde daha hızlı normal hayata dönebilmek için her birimiz tedbirlere daha çok uymalıyız.
https://t.co/RVlhe7786O https://t.co/KPgQ3g8c5N</t>
  </si>
  <si>
    <t>1363956564579745793</t>
  </si>
  <si>
    <t>Sağlık çalışanlarımız için bayrağımızın dalgalandığı hiçbir yer uzak, hiçbir saat geç değil. https://t.co/yT89x8Hggi</t>
  </si>
  <si>
    <t>1363106482934415361</t>
  </si>
  <si>
    <t>Normalleşme adımlarını titizlikle çalışıyoruz. Yerinde karar dönemi ile  kademeli normalleşecegiz. 1 Mart itibariyle süreç belirlenen kriterler çerçevesinde dört risk seviyesinde Valilerimizin başkanlığındaki il hıfzıssıha kurullarımızla başlayacak.</t>
  </si>
  <si>
    <t>1363059958900813824</t>
  </si>
  <si>
    <t>Memleketimize insan yetiştirme sevdasında bir ömür boyu çalışmış, YÖK Başkanımız Yekta Saraç Beyefendi’nin muhterem babası, İslam Alimi Muhammed Emin Saraç Hocamızı kaybettik. Alimin ölümü alemin ölümü gibidir. Milletimizin başı sağ olsun.</t>
  </si>
  <si>
    <t>1362843124888969217</t>
  </si>
  <si>
    <t>İnaktif aşının yan etki riski düşüklüğünün yanında mutasyonlardan da daha az etkileneceğini daha önce söylemiştik. Şimdi dünya bunu konuşmaya ve haberleştirmeye başladı. Ülkemizin güzide vatandaşlarına en iyiyi temin etmek için çalışmaya devam ediyoruz.
https://t.co/ObkjLT6pEN</t>
  </si>
  <si>
    <t>1362774837689802754</t>
  </si>
  <si>
    <t>Salgının kahramanları sevimli dostlarımızı da ihmal etmiyor. Ordu 112 Acil ekibinden Paramedik Mustafa Baran vaka dönüşü yolda gördüğü yaralı köpeğe duyarsız kalmadı. Dünyayı yaşanılabilir bir yer kılan merhamettir. https://t.co/OD5grMUlJf</t>
  </si>
  <si>
    <t>1362480334370181122</t>
  </si>
  <si>
    <t>Her kandil yeni bir umut ışığıdır. Aydınlık günler yakın. Regaib Kandilimiz mübarek olsun.</t>
  </si>
  <si>
    <t>1362428667595472901</t>
  </si>
  <si>
    <t>Geçen haftaya göre 1 haftada 100.000 nüfusta görülen vaka sayısı en çok artan 5 ilimiz: Bilecik, Erzincan, Kilis, Uşak ve Çanakkale. En çok azalan illerimiz ise Bitlis, Mardin, Kastamonu, Yalova ve Bingöl. Tedbir ve kısıtlamalara uyum aşı ile birlikte en büyük gücümüz. https://t.co/moxqbBdvV5</t>
  </si>
  <si>
    <t>1362373898298396673</t>
  </si>
  <si>
    <t>Ülkemizde aşı sadece Bilim Kurulunca belirlenen öncelik sırasına göre ve herkes için ücretsiz olarak yapılmaktadır. Vatandaşlarımıza ulaşarak aşıda öncelikli hale getireceğini iddia ederek para talep eden dolandırıcılar hakkında adli işlem başlatılacaktır. SABİM 184'e ihbar edin.</t>
  </si>
  <si>
    <t>1362137741568471040</t>
  </si>
  <si>
    <t>RT @RTErdogan: Kabine Toplantısı Sonrası Millete Sesleniş https://t.co/6cX5SqLztT</t>
  </si>
  <si>
    <t>1362075299731628041</t>
  </si>
  <si>
    <t>Aşınızı yapmak için Cumartesi, Pazar dâhil hizmetinizdeyiz. Mesajımızı aldıysanız ilk işiniz randevu almak olsun. COVID-19’a karşı zaman kaybetmeyin. https://t.co/bsNcLvnes0</t>
  </si>
  <si>
    <t>1362065073662013447</t>
  </si>
  <si>
    <t>Bugün yüksek öğretim ile ilgili değerlendirmeler yaptık. Yapılan değerlendirmede uygulamalı eğitimin mümkün olduğunca yüz yüze yapılması, teorik eğitimlere ise çevrimiçi olarak devam edilmesi konusundaki görüş birliği Yüksek Öğretim Kurumumuza iletilmiştir.</t>
  </si>
  <si>
    <t>1361755713215860740</t>
  </si>
  <si>
    <t>Bugün itibariyle 5 milyondan fazla aşı yaptık. Bilim Kurulumuzun oluşturduğu öncelikli grupların aşılanmasında 1. aşamayı tamamlamak üzereyiz.</t>
  </si>
  <si>
    <t>1361755312307503120</t>
  </si>
  <si>
    <t>Tedbirlerle ilgili artık vaka sayılarına göre "Yerinde karar" dönemine geçiyoruz. https://t.co/7ZVypczqfs</t>
  </si>
  <si>
    <t>1361750004973641732</t>
  </si>
  <si>
    <t>“Annen yok, kimsen yok.” Ünlü psikoloğumuz Doğan Cüceloğlu annesinin ölümünü anlatırken bu cümleyi kullanırdı. Bugün, hayatına dokunduğu insanları üzecek bir haber aldık: Hocamız aramızdan ayrıldı. Kendisine Allah’tan rahmet, sevenlerine başsağlığı diliyorum. https://t.co/OhtHczzxKo</t>
  </si>
  <si>
    <t>1361688435736645637</t>
  </si>
  <si>
    <t>Aylardır yaşadığımız korku, sonunda bir iğne ucu kadar küçülecek. Sıramız gelmişse aşımızı yaptıralım.</t>
  </si>
  <si>
    <t>1361591982745878529</t>
  </si>
  <si>
    <t>Alperen Bey, belki orada grafiği hazırlayan arkadaşın eski sevgilisi yok ama Anadolu’nun güzel insanları var. Orayı görünce Kahramanmaraş olduğunu herkes bilir :) https://t.co/07UYPPbzi1</t>
  </si>
  <si>
    <t>1361434194518413312</t>
  </si>
  <si>
    <t>Son basın toplantımızda illerimizdeki  vaka sayısını paylaşacağımızı belirtmiştim. Bundan sonra her hafta başında 7 günün vaka sayısını ilan edeceğiz. Yerinde karar dönemindeyiz. https://t.co/RVlhe7oIYm https://t.co/Uq4k2Tfmiz</t>
  </si>
  <si>
    <t>1361415163883098115</t>
  </si>
  <si>
    <t>Sayın Mustafa Destici'ye aşı programımıza verdikleri destek sebebiyle çok teşekkür ederim. Tüm vatandaşlarımız aşılanana kadar çalışmaya devam edeceğiz. https://t.co/pQllCDiKh5</t>
  </si>
  <si>
    <t>1361361876920258564</t>
  </si>
  <si>
    <t>Büyüklerimiz bizim kıymetlilerimiz. Onlara gözümüz gibi bakmak sorumluluğumuz. Nerede olurlarsa olsunlar bize emanetler. https://t.co/Bqphaj5p43</t>
  </si>
  <si>
    <t>1361321877646569477</t>
  </si>
  <si>
    <t>Bugün 500.000'den fazla aşı yapıyoruz. Aşı sayısı arttıkça hayatımızdaki soru işaretleri azalacak.</t>
  </si>
  <si>
    <t>1361249793914322945</t>
  </si>
  <si>
    <t>Sehitlerimizin ruhu şad olsun. Milletimizin başı sağ olsun. Hain her fırsatta ihanetin şiddetini artırma hevesindedir. Tüm hainlerin hevesi kursağında kalacak. Masum canlara kıyan teröristler inlerine gömülecek. https://t.co/5IyozESZHn</t>
  </si>
  <si>
    <t>1361016780957884422</t>
  </si>
  <si>
    <t>Bu ülkeyle gurur duymak için çok nedenimiz var. https://t.co/fT82j4l3iL</t>
  </si>
  <si>
    <t>1360637430882316289</t>
  </si>
  <si>
    <t>Bu memleket, bu vatan gönlü umman kadar geniş analarımızın duasıyla ilelebet var olacak. https://t.co/eipHlk59tV</t>
  </si>
  <si>
    <t>1360610273208459268</t>
  </si>
  <si>
    <t>Ölüm bir köprüdür, dostu dosta götürür. Ömrü millete hizmet ve insan yetiştirmekle, dost biriktirmekle geçen alçak gönüllü, fedakar Kadir abimiz bugün hakka yürüdü. Mekânı cennet, makamı âli olsun.</t>
  </si>
  <si>
    <t>1360585624122712064</t>
  </si>
  <si>
    <t>Allah’ım Receb ve Şaban aylarını bizlere mübarek kıl ve bizi Ramazan'a eriştir. Kutlu günler başladı. Mübarek olsun.</t>
  </si>
  <si>
    <t>1360531253171224580</t>
  </si>
  <si>
    <t>Evet #235SağlıkAtamasıKabulEdilemez
Çünkü 235 yeni atama sayısı değil geçen yıl açılan kadrolardan boş kalan kadro sayısıdır. Yeni atamalarla ilgisi yoktur. Yanlış bilginin doğrudan hızlı yayılması sağlıklı değil.</t>
  </si>
  <si>
    <t>1360321694724980738</t>
  </si>
  <si>
    <t>Acil sağlık hizmetine umarım hiçbir zaman ihtiyaç olmaz. Ancak ihtiyaç olması halinde can kurtaran, hızır gibi yetişen sağlık çalışanlarımız ve sağlık altyapımız var. https://t.co/5k00PDUPAP</t>
  </si>
  <si>
    <t>1360310351712124932</t>
  </si>
  <si>
    <t>Alimin ölümü âlemin ölümü gibidir. Ömrünü Allah yolunda hizmet etmeye vakfetmiş Elazığımızın kanaat önderi Hafız Abdullah Nazırlı Hocamız 107 yaşında rahmet-i Rahman'a kavuştu. Mekanı cennet, ruhu şâd olsun. https://t.co/d725spYHPu</t>
  </si>
  <si>
    <t>1360274265031983107</t>
  </si>
  <si>
    <t>Şu ana kadar aşısı yapılan yurttaşlarımızın sayısı 3.5 milyonun üzerinde. Bugün 65 yaş üstü büyüklerimiz de kolları sıvadı.</t>
  </si>
  <si>
    <t>1360215368187465728</t>
  </si>
  <si>
    <t>Sayın Kemal Kılıçdaroğlu'na aşı kampanyamıza verdiği destek için çok teşekkür ediyorum. Tüm vatandaşlarımız aşılanana kadar çalışacağız. https://t.co/min4nC37KL</t>
  </si>
  <si>
    <t>1360160599255224322</t>
  </si>
  <si>
    <t>Yarın sabah 65 yaş üzeri vatandaşlarımızın aşılanması başlıyor. 65 yaş üzeri vatandaşlarımızın 60 yaş üzeri eşleri de aşı olabilecekler. Randevularınızı web sayfamızdan ve mobil uygulamadan almanızı rica ederim. https://t.co/JGFZwJ4DUz</t>
  </si>
  <si>
    <t>1359896502383104002</t>
  </si>
  <si>
    <t>Sayın Devlet Bahçeli Beyefendi’ye, salgının başından beri verdiği destek ve aşı programımızda gösterdiği örnek duruş sebebiyle şükranlarımı sunuyorum. https://t.co/asrMm2kraV</t>
  </si>
  <si>
    <t>1359868637763555330</t>
  </si>
  <si>
    <t>28 gün önce Sayın Cumhurbaşkanımızın başlattığı aşı kampanyasında bugün kendileri 2. doz aşılarını oldular. Liderliğinde tüm vatandaşlarımız aşılanana kadar çalışacağız.</t>
  </si>
  <si>
    <t>1359864855835140101</t>
  </si>
  <si>
    <t>Irak’ın kuzeyinde teröristlerle girilen çatışmada şehit düşen kahramanlarımıza Allah’tan rahmet, yaralılarımıza acil şifa diliyorum. Başımız sağ olsun. https://t.co/niSjiSiuW8</t>
  </si>
  <si>
    <t>1359622298643419136</t>
  </si>
  <si>
    <t>Aşılama kapasitemizin büyüklüğünü daha önce ifade etmiştim. Yeterli aşı olduğunda yeterli alt yapımız var. https://t.co/w4Ou5nTiNu</t>
  </si>
  <si>
    <t>1359614758434050049</t>
  </si>
  <si>
    <t>Aşağıdaki mesaj tüm vatandaşlarımıza gelene kadar çalışacağız. https://t.co/YNJA3WIsKY</t>
  </si>
  <si>
    <t>1359610377630318594</t>
  </si>
  <si>
    <t>Farklı ülkelerin ürettiği COVID-19 aşıları arasında biz tercihimizi özellikle inaktif aşıdan yana kullandık. Bunun düşük riskli ve daha etkili olduğunu 24 Aralık’ta yaptığımız basın toplantısında açıklamıştım. https://t.co/tfWDAGuwXb https://t.co/nxu0BqVftz</t>
  </si>
  <si>
    <t>1359589783354368004</t>
  </si>
  <si>
    <t>Bizim milletimizin sağlığı ve huzurundan başka hiçbir gayemiz de gayretimiz de yoktur. https://t.co/aHFnT5hAHY</t>
  </si>
  <si>
    <t>1359584626189172749</t>
  </si>
  <si>
    <t>Öngörülebilir bir gelecek için aşı programını titizlikle ele alıyoruz. https://t.co/iLMFVgfkIo</t>
  </si>
  <si>
    <t>1359558707554754567</t>
  </si>
  <si>
    <t>28. gün ikinci doz aşımı oldum. https://t.co/hRUIKs5tPz</t>
  </si>
  <si>
    <t>1359551731147939841</t>
  </si>
  <si>
    <t>Bilim Kurulu Toplantımızın ardından Koronavirüs ile ilgili son gelişmelere ilişkin basın açıklamamız.
📍Sağlık Bakanlığı
https://t.co/AMEW1rhMBC</t>
  </si>
  <si>
    <t>1359542068654317570</t>
  </si>
  <si>
    <t>Bugün 9 Şubat Dünya Sigarayı Bırakma Günü. Bugün siz de geleceğiniz için sağlıklı bir karar verebilirsiniz. Sevdiklerinizin kokusunu uzun yıllar ciğerlerinize çekebilmek için... https://t.co/H9CvK8J0sE</t>
  </si>
  <si>
    <t>1359159296911630337</t>
  </si>
  <si>
    <t>Sağlık hizmeti vermek için dağları aşmak, karlı yolları geçip büyüklerimize ulaşmak en büyük bahtiyarlığımız. Sağlık çalışanlarımız uzak, zor demeden her yerdeler. https://t.co/PdKWJ4uDld</t>
  </si>
  <si>
    <t>1359094389801443331</t>
  </si>
  <si>
    <t>Bugün İtalya’nın Ankara Büyükelçisi Sn. Massimo Gaiani’yi ağırladık. Küresel salgın konusundaki iş birliğimizi ele aldık. İki ülkenin salgın yönetiminde iş birliği devam edecek. İtalya’nın G20 dönem başkanlığında yapılacak “Küresel Sağlık Zirvesi” planlarını değerlendirdik. https://t.co/IBgMIhojo9</t>
  </si>
  <si>
    <t>1358808456296353792</t>
  </si>
  <si>
    <t>Bugün Macaristan Dışişleri ve Dış Ticaret Bakanı Sn. Peter Szijjarto’yu ağırladık. Bakan bey küresel salgın sırasında gösterdiğimiz destek ve iş birliği için teşekkür ettiler. Macaristan ile iş birliğimiz devam edecek. https://t.co/IHGMiztRN5</t>
  </si>
  <si>
    <t>1358805213424087043</t>
  </si>
  <si>
    <t>Devletin kuvveti büyüklerin duasında. https://t.co/S2uvuleJTn</t>
  </si>
  <si>
    <t>1358127503399862274</t>
  </si>
  <si>
    <t>Birlik ve beraberlik için, milletimize hizmet etmek için, mazlumların sesi olmak için #ErdoğanınYanındayız</t>
  </si>
  <si>
    <t>1357804082371715076</t>
  </si>
  <si>
    <t>RT @drfahrettinkoca: “Olmaya devlet cihânda bir nefes sıhhat gibi.” Milletimizin Hizmetindeyiz. https://t.co/wVIAqrCT7V</t>
  </si>
  <si>
    <t>1357624544723406853</t>
  </si>
  <si>
    <t>“Olmaya devlet cihânda bir nefes sıhhat gibi.” Milletimizin Hizmetindeyiz. https://t.co/wVIAqrCT7V</t>
  </si>
  <si>
    <t>1357388614330699780</t>
  </si>
  <si>
    <t>Mücadelemizin merkezinde koronavirüs salgını olsa da tüm hastalıklar varlığını sürdürüyor. Kanser sevdiklerimizi elimizden almaya devam ediyor. Kanserle mücadelede erken tanı hayat kurtarır. https://t.co/mEZ8Hi4DHQ</t>
  </si>
  <si>
    <t>1357386538275995648</t>
  </si>
  <si>
    <t>Ayla Kırs, İzmir’in Seferihisar ilçesinde görevli hemşiremiz. Yaşanan sel felaketi sebebiyle evinden çıkamayan hastaya müdahale etmek için beline kadar suya girerek hastaya ulaştı ve gerekli müdahaleyi yaptı. Her koşulda milletimizin hizmetindeyiz. https://t.co/bnWgWjVOTp</t>
  </si>
  <si>
    <t>1357356087557689345</t>
  </si>
  <si>
    <t>Vatanı müdafaa görevini ifa ederken Elbab’da şehit düşen evladımız Süleyman Demirel’e Allah’tan rahmet, milletimize başsağlığı diliyorum. https://t.co/lCB6AXyY2P</t>
  </si>
  <si>
    <t>1357352967431667714</t>
  </si>
  <si>
    <t>Vaka sayısının yeniden artışa geçmesi daha fazla dikkatli davranmamızı gerektirmektedir. Hareketliliği artıracak, bir araya gelmeleri, toplanmaları sağlayacak her türlü ortamdan uzak duralım. Kapalı ve kalabalık yerlerden özellikle kaçınalım.</t>
  </si>
  <si>
    <t>1357033356039499778</t>
  </si>
  <si>
    <t>Riskli mutasyonlar sınır tanımadan yayılıyor. Ülkemizdeki İngiltere mutasyonu 196 oldu. İki Güney Afrika, bir de Brezilya varyantı ile karşılaşıldı. Yeni mutasyonların görüldüğü ve vakaların yeniden artışa geçtiği bugünlerde tedbirlerden taviz vermeden mücadelemizi sürdüreceğiz.</t>
  </si>
  <si>
    <t>1357031734127247362</t>
  </si>
  <si>
    <t>Bilim Kurulumuz bugün haftalık toplantısını yaparak aşılama çalışmalarını ve hastalığın seyrini gözden geçirdi. Mutasyonlar ve vakaların yeniden artış trendine karşı dikkat edilecek hususlar gündemdeydi. https://t.co/RvvRSrwAnL</t>
  </si>
  <si>
    <t>1357023468542447617</t>
  </si>
  <si>
    <t>UMKE gönüllüsü kızımız Edanur, arkadaşları Gökhan ve Mehmet ile birlikte halk otobüsünde doğum yapan bir annenin yardımına koştu. UMKE sağlık çalışanı gönüllülerimizden oluşan muazzam bir ekip. Depremde, yangında, salgında, doğumda her yerdeler. 
UMKE 
“Umut Gönüllüleri” https://t.co/lujOG05aWp</t>
  </si>
  <si>
    <t>1356359137135898632</t>
  </si>
  <si>
    <t>"İnsanı yaşat ki devlet yaşasın." 
Şeyh Edebali https://t.co/QASR0Pohpq</t>
  </si>
  <si>
    <t>1356308747233202182</t>
  </si>
  <si>
    <t>RT @RTErdogan: Kabine Toplantısı Sonrası Millete Sesleniş https://t.co/whNRzcgthr</t>
  </si>
  <si>
    <t>1356280554124140551</t>
  </si>
  <si>
    <t>Devletimiz var olsun. https://t.co/7s6tQFI0kl</t>
  </si>
  <si>
    <t>1355515641168613376</t>
  </si>
  <si>
    <t>Vaka sayılarını kontrol etmek elimizde. Kontrol elimizdeyken kıymetini bilerek temkinli hareket etmeli ve kalabalık ortamlardan uzak durmalıyız.</t>
  </si>
  <si>
    <t>1355206726044311553</t>
  </si>
  <si>
    <t>Virüsün mutasyona uğramış olması şimdilik aşı çalışmalarını etkilememektedir. Ancak yeni mutasyonlar aşı çalışmalarını da zorlayabilir. En büyük silahımız halen maske ve mesafe kuralına uymak.</t>
  </si>
  <si>
    <t>1355205290816397319</t>
  </si>
  <si>
    <t>Mutasyon tehdidine karşı dikkatli olmalıyız. Avrupa’daki vaka artışlarının arkasındaki etmenlerden biri virüsün mutasyonlu varyantı. Ülkemizde mutasyonlu virüs tespit edilen vatandaş sayısı 128’e yükselmiştir. 17 şehrimizde İngiltere varyantı görüldü.</t>
  </si>
  <si>
    <t>1355203980289310720</t>
  </si>
  <si>
    <t>İnşaatı tamamlanan 620 yataklı İstanbul Seyrantepe hastanemizdeki hazırlıkları gözden geçirdik. Güçlü sağlık alt yapımıza yeni bir hizmet alanı daha ekleniyor. Seyrantepe hastanemiz mart ayı içinde hasta kabulüne başlayacaktır. Milletimize yadigâr olacak eserler devam edecek. https://t.co/X3jyj5Nd7R</t>
  </si>
  <si>
    <t>1355201829357969412</t>
  </si>
  <si>
    <t>İnaktif aşıların 10 milyon dozluk 2. sevkiyatının birinci bölümü geçtiğimiz hafta sonu elimize ulaşmıştı. Bu sabah itibariyle ikinci bölümü ülkemize ulaşmış olacak. Tedarik programına uygun olarak aşı sevkiyatı devam edecek.</t>
  </si>
  <si>
    <t>1354900866264920068</t>
  </si>
  <si>
    <t>Bugün tespit edilen vaka sayısı 7.279 kişi. Durumun ciddiyetini görmezden gelemeyiz. Aşı programının selameti açısından da tedbirlere ve kısıtlamalara uymalıyız. Büyük emek ve zahmetlerle elde ettiğimiz kontrolü riske atmamalıyız.</t>
  </si>
  <si>
    <t>1354850775848153090</t>
  </si>
  <si>
    <t>Sağlık ordumuzun silahları hazırlandı. Girdikleri üstün mücadelede artık daha korunaklılar. Aşı programımızın ilk adımını sağlık çalışanlarını aşılayarak tamamladık.</t>
  </si>
  <si>
    <t>1354517904075743233</t>
  </si>
  <si>
    <t>Salgının tüm dünyaya bir kişiden yayıldığını aklımızdan çıkarmamalıyız. Salgın süresince zorlu bir mücadele verdik ve tüm milletimiz çok yoruldu. Bu emeklerin karşılığını almaya çok yaklaştığımız ortadadır.</t>
  </si>
  <si>
    <t>1354498866830311434</t>
  </si>
  <si>
    <t>Bilim Kurulumuzun önerisiyle yarından itibaren 75 yaş üzeri büyüklerimiz randevu alarak aşı olabilecekler. Büyüklerimizi daha iyi koruyabilecegiz.</t>
  </si>
  <si>
    <t>1354498739277361155</t>
  </si>
  <si>
    <t>Bilim Kurulumuzda aşı programını ve öncelikli grupların durumunu değerlendirdik. Mutasyonun salgının seyrine etkisi ve salgının ülkemizdeki seyri gündemimizdeydi. https://t.co/vQj0QK0d2u</t>
  </si>
  <si>
    <t>1354496716821639171</t>
  </si>
  <si>
    <t>Tedbir ve kısıtlamalara uyumla vaka sayılarını önemli ölçüde düşürdük. Ancak son günlerde 5.000-7.000 arasında seyreden vaka sayıları hâlâ tedirgin edici seviyede. Kapalı ortamlarda kalabalıktan uzak durmalı, maske ve mesafe kurallarına özen göstermeliyiz. https://t.co/RVlhe7786O</t>
  </si>
  <si>
    <t>1354101665377484803</t>
  </si>
  <si>
    <t>Sağlık çalışanlarımızın verdikleri emek ve özveri sonucu iyileşen her hastamız en büyük motivasyonumuz. Bizi mutlu eden sizin sağlığınıza kavuşmanız. Biz sağlık çalışanları olarak son hastamız iyileşene kadar çalışmaya devam edeceğiz. https://t.co/bFOKC447C0</t>
  </si>
  <si>
    <t>1353819765941350401</t>
  </si>
  <si>
    <t>Sayın Cumhurbaşkanımızın himayelerinde bugün, bundan bir yıl önce depremde evlerini kaybeden depremzedeler için yapılan yeni konutlar teslim edildi. Enkazdan UMKE ekiplerince kurtarılan Azize Hanım da evine kavuştu. https://t.co/olzUVOEA3A</t>
  </si>
  <si>
    <t>1353804603507281923</t>
  </si>
  <si>
    <t>RT @RTErdogan: Elâzığ’da vatandaşlarımızla birlikteyiz. https://t.co/oxIQ3z7XQA</t>
  </si>
  <si>
    <t>1353692032942944256</t>
  </si>
  <si>
    <t>Bilim Kurulumuzun önerisiyle hazırlanan program dâhilinde bugün itibariyle, 80 yaş üzeri vatandaşlarımızın da aşılanmasına başlıyoruz. 80 yaş üzeri vatandaşlarımız sağlık kuruluşlarımızda aşılanacaklar.</t>
  </si>
  <si>
    <t>1353633732457078784</t>
  </si>
  <si>
    <t>Tüm Türkiye’de aşı programının günlük gelişimini artık canlı olarak izleyebilirsiniz. Program ilerledikçe daha fazla bilgiyi paylaşabileceğiz. https://t.co/osI4yY9HyR</t>
  </si>
  <si>
    <t>1353626196572041218</t>
  </si>
  <si>
    <t>Bundan tam bir yıl önce Elazığ'da yaşanan deprem felaketi sebebiyle oradaydık. Allah bu aziz millete böyle felaketler yaşatmasın. https://t.co/H7GF3A1Y7X</t>
  </si>
  <si>
    <t>1353310522746298369</t>
  </si>
  <si>
    <t>Mesleğini vatan aşkı ile yapan, gönlüne bu milletin her bir ferdini sığdırabilmiş bir yiğit haince katledildi. Gaffar Okkan'ı vefatının 20. yıl dönümünde rahmet ve minnetle anıyorum. https://t.co/DA20cl7JC9</t>
  </si>
  <si>
    <t>1353300267584942085</t>
  </si>
  <si>
    <t>İnaktif aşıların 10 milyon doz olan 2. sevkiyatının ilk bölümü (6.5 milyon doz) aşılar pazartesi sabahı ülkemizde olacak. Tedarik planına uygun olarak teslimatlar aşı programı aksamadan devam edecek şekilde elimize ulaşacak.</t>
  </si>
  <si>
    <t>1353294936490340352</t>
  </si>
  <si>
    <t>1.200.000’den fazla kişi şu ana kadar aşı oldu. Türkiye’de iller bazında aşı dağılımını görebilirsiniz. Pazartesi gününden itibaren bunu canlı olarak takip edebileceksiniz. En çok sağlık çalışanımızın bulunduğu İstanbul’da 224.000’den fazla kişi aşı oldu. https://t.co/CzgHZJx4ep</t>
  </si>
  <si>
    <t>1353056278789017600</t>
  </si>
  <si>
    <t>Mutasyon sebebi ile İngiltere, Danimarka ve Güney Afrika'dan ülkemize olan uçuşlarda geçici durdurma kararı alınmıştı. Bu ülkelere bugün itibariyle artan mutasyonlu virüs kaynaklı vakalar sebebiyle Brezilya da eklenmiştir.</t>
  </si>
  <si>
    <t>1352658983505555462</t>
  </si>
  <si>
    <t>Salgının yıkıcı etkisini durdurmak için filyasyon ekibimiz çetin kış şartlarında da görev ve sorumluluklarını yerine getirmeye devam ediyorlar. Sağlık ordumuzun inanç ve azmi güven veriyor. https://t.co/uwbmodjGqf</t>
  </si>
  <si>
    <t>1352641663806615552</t>
  </si>
  <si>
    <t>Yazdığı eserlerle gençlere tarihi sevdiren ve iz bırakan bir düşünce adamını daha ebediyete uğurladık. Niyazi Birinci’ye (Yavuz Bahadıroğlu) Allah’tan rahmet, ailesine ve sevenlerine başsağlığı diliyorum.</t>
  </si>
  <si>
    <t>1352570153674960896</t>
  </si>
  <si>
    <t>85 yaş üzeri büyüklerimizin aşıları evde yapılıyor. Büyüklerimizin kıymetini bilerek onları korumak sorumluluğumuz. https://t.co/jhwKKCyDUz</t>
  </si>
  <si>
    <t>1352311310688677889</t>
  </si>
  <si>
    <t>Kıymetli arkadaşım Mehmet Muş kardeşimizin muhterem amcaları Yakup Muş Beyefendi’ye Allah'tan rahmet, yakınlarına sabırlar diliyorum.</t>
  </si>
  <si>
    <t>1352004495673352199</t>
  </si>
  <si>
    <t>Bilim Kurulumuzun yaptığı değerlendirme ile yarından itibaren 85 yaş üzerindeki vatandaşlarımızın da aşılanmasına başlanacaktır. 85 yaş üzerindeki vatandaşlarımız da evlerinde aşı olacaklar.</t>
  </si>
  <si>
    <t>1351988469187436550</t>
  </si>
  <si>
    <t>Şu ana kadar 1 milyondan fazla vatandaşımız aşılanmış bulunmaktadır. Aşı programının 1. aşaması bildiğiniz gibi sağlık çalışanlarımızla başladı ve şu ana kadar 980 binden fazla sağlık çalışanı aşı oldu. https://t.co/UVtUi7SpBY</t>
  </si>
  <si>
    <t>1351988104723386369</t>
  </si>
  <si>
    <t>Aşı programının 1. aşama 2. adımının bir diğer grubu 90 yaş üzeri büyüklerimiz; yetkin sağlık ekibi ve ekipmanları ile evlerinde aşı olmaya başladı. Huzurevleri, yaşlı bakım ve rehabilitasyon merkezlerinde de aşı programı başladı. https://t.co/a1u212UR5c</t>
  </si>
  <si>
    <t>1351594508174172163</t>
  </si>
  <si>
    <t>Çin Halk Cumhuriyeti Ankara Büyükelçisi Sayın Liu Shaobin’i bakanlığımızda misafir ettik. Aşı programımıza verdikleri destek ve üstlendikleri dostça rol sebebiyle kendilerine çok teşekkür ediyorum. İnsanlığın ortak faydası için birlikte çalışmaya devam edeceğiz. https://t.co/qC62FuWF0V</t>
  </si>
  <si>
    <t>1351562929078988800</t>
  </si>
  <si>
    <t>Bugün Rusya Federasyonu Ankara Büyükelçisi Sayın Aleksey Yerhov’u Bakanlığımızda misafir ettik. Kendileri ile Sputnik V aşısı başta olmak üzere sağlık alanındaki iş birliklerimizi değerlendirdik. İkili iş birliği konusunda gösterdikleri hassasiyete teşekkür ederim. https://t.co/1cqpbGl2FC</t>
  </si>
  <si>
    <t>1351556055835275266</t>
  </si>
  <si>
    <t>Bu toprakların önemli değerlerinden birini, Prof. Dr. Nur Vergin Hocamızı kaybettik. İlim ve fazilet sahibi bir insandı. Hakkıyla ilminden istifade edemedik. Eserlerinden yeni nesillerin istifade etmesi temennisiyle, hocamıza Allah'tan rahmet diliyorum.</t>
  </si>
  <si>
    <t>1351302634523795458</t>
  </si>
  <si>
    <t>Aşılama programının 1. aşamasının 2. adımına geçiyoruz. Yarından itibaren Huzurevleri ve Bakımevlerinde kalanlar ile bu vatandaşlarımızın bakımından sorumlu kişilerin aşılanmasına başlanacak. Aynı zamanda 90 yaş üzeri vatandaşlarımız için de program yarın başlıyor. https://t.co/A9NL22PEbL</t>
  </si>
  <si>
    <t>1351251697033740292</t>
  </si>
  <si>
    <t>81 ilimizin sağlık müdürleri ile aşı programımızı değerlendirdik. Sağlık çalışanlarımızdan 830 bin kişi aşının ilk dozunu oldu. Dünyadaki en hızlı uygulamalardan birini gerçekleştirdik. Program takvimine göre sağlık çalışanları çarşamba gününe kadar aşılanmaya devam edilecek. https://t.co/O6QONQOEKy</t>
  </si>
  <si>
    <t>1351246437930119169</t>
  </si>
  <si>
    <t>Demokrat Parti Genel Başkanı Sayın Gültekin Uysal Beyefendi, bugün Ankara Şehir Hastanemizde COVID-19 aşısı oldu. Aşı programımıza verdikleri destek için teşekkür ediyorum. Salgınla mücadeleyi birlikte kazanacağız.</t>
  </si>
  <si>
    <t>1351185562229735426</t>
  </si>
  <si>
    <t>Küresel salgının dünyada ilk göründüğü günden beri gece gündüz demeden çalışan, ailesinden sevdiklerinden ayrı kalan sağlık çalışanlarımıza minnettarız. Sağlık çalışanlarımızın hakkını ödemek mümkün değil. Onlara büyük bir teşekkür borçluyuz. 2021 sağlık çalışanları yılıdır.</t>
  </si>
  <si>
    <t>1350800211350843392</t>
  </si>
  <si>
    <t>Aşı uygulaması hakkında pratik bilgilere aşağıdaki videodan ulaşabilirsiniz. Salgınla mücadeleyi birlikte kazanacağız. https://t.co/osI4yY9HyR https://t.co/EviklBtrJD</t>
  </si>
  <si>
    <t>1350524969009229825</t>
  </si>
  <si>
    <t>Saadet Partisi Genel Başkanı Sayın Temel Karamollaoğlu'na, aşı programımıza verdikleri destek ve nezaketleri için teşekkür ediyorum. Gösterdikleri sorumluluk son derece değerlidir. Salgınla mücadeleyi birlikte kazanacağız. https://t.co/8Jtq6Dn1de</t>
  </si>
  <si>
    <t>1350155810232553475</t>
  </si>
  <si>
    <t>Türkiye İşçi Partisi Genel Başkanı Sayın Erkan Baş Beyefendi’yi arayarak aşı programında örnek olmak için aşı olmaya davet etmiştim. Kendisi sırasını bekleyerek örnek olmayı tercih etti. Destekleri için teşekkür ediyorum. Salgınla mücadeleyi birlikte kazanacağız.</t>
  </si>
  <si>
    <t>1350073597155549185</t>
  </si>
  <si>
    <t>HDP Genel Başkanı Mithat Sancar Beyefendi’yi arayarak kendilerini de aşı olarak örnek olmaya davet etmiştim. Parti olarak yaptıkları açıklama ile sıra bekleyerek örnek olmayı tercih ettiler. Destekleri için teşekkür ediyorum. Salgınla mücadeleyi birlikte kazanacağız.</t>
  </si>
  <si>
    <t>1350067665717649409</t>
  </si>
  <si>
    <t>Türkiye Büyük Millet Meclisi Başkanımız Sayın Prof. Dr. Mustafa Şentop'a aşı programımıza verdikleri destek için çok teşekkür ediyorum. Salgınla mücadeleyi birlikte kazanacağız.</t>
  </si>
  <si>
    <t>1350053579332214785</t>
  </si>
  <si>
    <t>Aşılama programımızın 2. gününde şu ana kadar 500.000’den fazla sağlık çalışanımız aşı oldu. Aşı programını ülke sathında uygulamakta tecrübeli bir ülkeyiz. Alt yapımız bu programı kontrollü şekilde yürütmek için fazlasıyla yeterli. Salgınla mücadeleyi birlikte kazanacağız. https://t.co/a3b04aq4h2</t>
  </si>
  <si>
    <t>1350044678243160065</t>
  </si>
  <si>
    <t>Sayın Kemal Kılıçdaroğlu’na aşı programına destek için yaptıkları açıklama ve aşı olacaklarını beyan etmeleri sebebiyle çok teşekkür ederim. Salgınla mücadeleyi birlikte kazanacağız.</t>
  </si>
  <si>
    <t>1350037091267309569</t>
  </si>
  <si>
    <t>Sayın Meral Akşener Hanımefendi’ye aşı davetimizi kabul ederek aşı olmaları vesilesi ile çok teşekkür ediyorum. Salgınla mücadeleyi birlikte kazanacağız. https://t.co/UVaGJJTcTb</t>
  </si>
  <si>
    <t>1350025720358195200</t>
  </si>
  <si>
    <t>Sayın Devlet Bahçeli’ye devlet politikaları söz konusu olduğunda gösterdiği hassasiyetin bir parçası olarak aşı programına olan destek ve katkıları sebebiyle çok teşekkür ederim. Salgınla mücadeleyi birlikte kazanacağız. https://t.co/OucRPMfxDi</t>
  </si>
  <si>
    <t>1350019220856307712</t>
  </si>
  <si>
    <t>Sayın Cumhurbaşkanımızın başlattığı aşı olmayı teşvik programı kapsamında mecliste temsil edilen tüm siyasi parti genel başkanlarını, Anayasa Mahkemesi Başkanımızı ve Meclis Başkanımızı arayarak aşı olmaya davet ettim. Kendilerine gösterdikleri nezaket için teşekkür ediyorum.</t>
  </si>
  <si>
    <t>1349815350561558530</t>
  </si>
  <si>
    <t>Bilim Kurulu Üyelerimizin önerisi ile Devlet büyüklerinin aşı kampanyasına katılımını Sayın Cumhurbaşkanımız kendisi ilk aşıyı olarak başlattı. Milletimize hayırlı uğurlu olsun. https://t.co/lnrj709S1r</t>
  </si>
  <si>
    <t>1349783735558877185</t>
  </si>
  <si>
    <t>RT @RTErdogan: Basın Açıklaması https://t.co/JySgSsxnRs</t>
  </si>
  <si>
    <t>1349745512237441024</t>
  </si>
  <si>
    <t>RT @RTErdogan: Başarıyla devam eden aşı programımız dahilinde şu ana kadar 254 bin sağlık çalışanımız ilk doz aşılarını oldu. Ben de onlara…</t>
  </si>
  <si>
    <t>1349745501512593409</t>
  </si>
  <si>
    <t>Şuan itibariyle 1. doz aşısını olan sağlık çalışanı sayısı 100.000'i geçti. Türkiye aşı programı uygulamakta güçlü bir alt yapıya sahiptir. Bu güce inanan, destek veren herkese teşekkür ederim. https://t.co/osI4yY9HyR https://t.co/sljpAzYnJD</t>
  </si>
  <si>
    <t>1349667600230395910</t>
  </si>
  <si>
    <t>Aşı programı adaletle ve bilimin gösterdiği yolla yürütülecektir. https://t.co/6vVLQgsuiT</t>
  </si>
  <si>
    <t>1349428418786586625</t>
  </si>
  <si>
    <t>Aşı programımız tüm vatandaşlarımız tarafından anlık olarak takip edilebilecektir. https://t.co/wTGaBYMdMQ</t>
  </si>
  <si>
    <t>1349423600202354688</t>
  </si>
  <si>
    <t>Bugün Bilim Kurulu Üyelerimizle birlikte, Koronavirüs aşısının Acil Kullanım Onayı sonrası ilk uygulanan sağlık çalışanları olduk. Tüm sağlık çalışanlarımız için süreç başladı. Hayırlı uğurlu olsun. https://t.co/K1cPxMt3SE</t>
  </si>
  <si>
    <t>1349408226450804740</t>
  </si>
  <si>
    <t>Sağlık Bakanlığımızdan bir mesaj aldım. https://t.co/eVGvJ00pa2</t>
  </si>
  <si>
    <t>1349401555380920321</t>
  </si>
  <si>
    <t>Bilim Kurulu Toplantımızın ardından Koronavirüs ile ilgili son gelişmelere ilişkin basın açıklamamız.
📍Sağlık Bakanlığı
https://t.co/M5VoaBdJjZ</t>
  </si>
  <si>
    <t>1349388483069153280</t>
  </si>
  <si>
    <t>"Seni kendi benliğinden, şanlı geçmişinden ayırmak isteyenlerin karşısında dik durmasını bil. Benliğine ve geçmişine sahip ol ki, yarınlara sahip çıkabilesin." Gençlere böyle hitap etmişti Rauf Denktaş. Rahmetle ve sevgiyle anıyorum. https://t.co/vTN108DBSs</t>
  </si>
  <si>
    <t>1349348565299113990</t>
  </si>
  <si>
    <t>Bugün tespit edilen 983 yeni hastamız var. Uzun bir aradan sonra günlük hasta sayımız 1.000’in altına indi. Ağır hasta sayımız da azalmaya devam ediyor. Kısıtlama ve tedbirlere uymaya devam ederek aşı uygulamasına geçeceğiz. Birlikte başaracağız. https://t.co/RVlhe7786O</t>
  </si>
  <si>
    <t>1349024800245747715</t>
  </si>
  <si>
    <t>Bugün tespit edilen 1.003 yeni hastamız var. Ağır hasta sayısındaki düşüş umut verici şekilde devam ediyor. Tedbir en büyük silahımız. Aşı programı başarıyla tamamlanana kadar kısıtlama ve tedbirlere tam uyum son derece önemli. Birlikte kazanacağız. https://t.co/RVlhe7786O</t>
  </si>
  <si>
    <t>1348679492135432194</t>
  </si>
  <si>
    <t>RT @RTErdogan: Kabine Toplantısı Sonrası Millete Sesleniş https://t.co/CbZxkC5i0J</t>
  </si>
  <si>
    <t>1348671646526275586</t>
  </si>
  <si>
    <t>Bu akşam Ankara’nın Kalecik ilçesinde yaşanan 4.5 büyüklüğündeki deprem sebebiyle herhangi bir can ya da mal kaybı olmamıştır. Geçmiş olsun Ankara.</t>
  </si>
  <si>
    <t>1348375191215341568</t>
  </si>
  <si>
    <t>Muhalefet etmekle millet iradesini kabullenememek birbirinden farklıdır. Milletin iradesinin tecellisi olarak Cumhurbaşkanlığı makamında bulunan Sayın Cumhurbaşkanımıza “sözde cumhurbaşkanı” demek millet iradesini yok saymaktır.</t>
  </si>
  <si>
    <t>1348366218013659142</t>
  </si>
  <si>
    <t>Bugün tespit edilen 1.017 yeni hasta var. Vaka sayısı azaldıkça filyasyon ihtiyacı da test talebi de kademeli olarak azalıyor. Ağır hasta sayısındaki düşüş kayıplarımızın da sayısını azaltacak. Netice aldığımız kısıtlama ve tedbirlere uymaya devam edelim. https://t.co/RVlhe7786O</t>
  </si>
  <si>
    <t>1348298673558597632</t>
  </si>
  <si>
    <t>Yaşadığımız pandemi sürecinde bilginin, alınan kararların ve uygulanan tedbirlerin hızlı ve doğru bir şekilde kamuoyuna aktarılmasında gösterdikleri çaba için gazetecilerimize teşekkür ediyor, 10 Ocak Çalışan Gazeteciler Günü’nü en kalbi duygularımla kutluyorum. https://t.co/e7FSYDZ8zp</t>
  </si>
  <si>
    <t>1348190548952231936</t>
  </si>
  <si>
    <t>Biz her şartta vatandaşımızın yanındayız. Tek beklediğimiz tedbirlere sıkıca uyulması. Birlikte güçlüyüz. https://t.co/kWdfvHTmo7</t>
  </si>
  <si>
    <t>1347969191165497344</t>
  </si>
  <si>
    <t>Bugün tespit edilen 1.103 yeni hasta var. Vaka sayıları düşmeye devam ediyor. Ağır hasta sayısı 3.000’in altına geriledi. Kısıtlama ve tedbirler netice veriyor. Birlikte mücadele etmeye ve ülkemizi küresel salgının yıkıcı ektisinden kurtarmaya kararlıyız. https://t.co/RVlhe7786O</t>
  </si>
  <si>
    <t>1347936509102587904</t>
  </si>
  <si>
    <t>Gen tedavisi konusunda tüm gelişmeleri yakından takip ediyoruz. Tedavinin bilimsel olarak somut etkisi görülmesi halinde uygun hastalarda devreye alınacaktır. SMA Hastalığının tedavisinde kullanılan Nusinersen tedavisinin uygulandığı merkez sayılarını da artıracağız.</t>
  </si>
  <si>
    <t>1347935075250405376</t>
  </si>
  <si>
    <t>SMA Hastası çocuklarımızın durumu ile ilgili SMA Bilim Kurulumuz önemli bir toplantı yaptı. Bilimin gösterdiği her yolu çocuklarımızın tedavisi için değerlendireceğimizden emin olunuz. Uygun hastada uygun tedavi kesinlikle devreye alınacaktır. https://t.co/FN9eINMz0C</t>
  </si>
  <si>
    <t>1347933535659827200</t>
  </si>
  <si>
    <t>Bugün tespit edilen 1.291 yeni hastamız var. Ağır hasta sayımız azalmaya devam ediyor. Hastane yükümüz umut verici şekilde azalıyor. Vaka sayılarındaki düşüşü kalıcı kılmak elimizde. Kısıtlama ve tedbirlere tam olarak uyalım. Birlik olup kazanacağız. https://t.co/RVlhe7786O</t>
  </si>
  <si>
    <t>1347574570308530177</t>
  </si>
  <si>
    <t>Aşı lojistik planlaması ile ilgili detayları ele alarak Acil Kullanım Onayı’nı takiben tüm adımları hızlıca hayata geçirmek için hazırlıklarımızı gözden geçirdik. Bu dönemi güçlü bir aşılama programı için fırsata dönüştürmeliyiz. Bundan sonra en önemli gündemimiz aşı.</t>
  </si>
  <si>
    <t>1347556559132520451</t>
  </si>
  <si>
    <t>İstanbul, Ankara, İzmir ve Bursa Valilerimiz ve il sağlık müdürlerimizle ayrı ayrı görüşüp salgın ile ilgili durum değerlendirmesi ve aşı hazırlıklarını ele aldık. Son iki hafta içinde İstanbul ve İzmir’de vaka sayısında %40, Ankara ve Bursa’da %60’a yakın düşüş oldu. https://t.co/FfnfsrREWn</t>
  </si>
  <si>
    <t>1347556557026947072</t>
  </si>
  <si>
    <t>Programa taraf olan ülkelerin önemli bir bölümü aşıya erken ulaşabilmek için birebir aşı şirketleri ile anlaşmaya çalışmaktadır. Bu programda yer almamamızın eski Hazine ve Maliye Bakanımız Sayın Berat Albayrak ile hiçbir ilgisi yoktur.</t>
  </si>
  <si>
    <t>1347290707833327617</t>
  </si>
  <si>
    <t>Covax oluşumu öncelikle aşıya ulaşım imkânı olmayan ülkeler için planlanmıştır. Hangi aşıyı teslim edeceği ise halen net değildir. Taraf ülkelerin nüfusunun en az %10’u kadar aşı vermek için planlanmıştır.</t>
  </si>
  <si>
    <t>1347290706180788224</t>
  </si>
  <si>
    <t>Acil kullanım onayını takiben büyüklerimiz ve kritik görevdeki kişilerden başlayarak 18 yaş üzerindeki tüm vatandaşlarımızı aşılamayı hedefliyoruz. Lojistik planlaması, başta Aile Sağlığı Merkezleri olmak üzere tüm hastanelerimizi de kapsayacak şekilde organizasyonu yapılmıştır.</t>
  </si>
  <si>
    <t>1347286589777600524</t>
  </si>
  <si>
    <t>Teslim aldığımız aşılar için güvenlik testleri devam etmektedir. Testler tamamlanır tamamlanmaz sonuçların uygun olması halinde Acil Kullanım Onayı verilecektir. Şu ana kadar 10.000’in üzerinde gönüllüye 17.700 doz aşı uygulanmış ve sonuçları takip edilmeye devam edilmektedir.</t>
  </si>
  <si>
    <t>1347286474111279105</t>
  </si>
  <si>
    <t>2021 yılının ilk Bilim Kurulu toplantısında Aşı planlamasını ele aldık. Planlarımız hazır. Küresel salgının yıkıcı etkisine son vermesini ümit ettiğimiz aşılama için var gücümüzü kullanacağımızdan emin olunuz. https://t.co/YIKU4cSusv</t>
  </si>
  <si>
    <t>1347284721244524546</t>
  </si>
  <si>
    <t>Dünya Sağlık Örgütü (DSÖ) Avrupa Bölge Direktörü Dr. Hans Kluge ile video konferans üzerinden bir görüşme gerçekleştirdik. Görüşmede Avrupa bölgesindeki vaka artışları, koronavirüsteki mutasyon, Türkiye’deki güncel durum ve aşı çalışmalarını ele aldık. https://t.co/ksBJMDpL4v</t>
  </si>
  <si>
    <t>1347247937764659201</t>
  </si>
  <si>
    <t>Bugün Sanayi ve Teknoloji Bakanımız Sayın Mustafa Varank ile bir araya gelerek yerli aşı projelerimizde insan deneyleri safhasına geçen aşı adaylarımızı değerlendirdik. Kurumlarımızın tüm imkânları en iyi aşıları ülkemize kazandırmak için devrede. https://t.co/dujshOVPyZ</t>
  </si>
  <si>
    <t>1347242448339275777</t>
  </si>
  <si>
    <t>Prof. Dr. Uğur Şahin ve ekibiyle Biontech aşısının ülkemize gelişi ile ilgili son planlamaları ele aldık. Toplantımızda ayrıca bize ayrılan aşı dozlarının sayısını nasıl artırabileceğimizi de görüştük. Yeni üretim imkânları devreye girdikçe Türkiye’ye ayrılan kapasite de artacak. https://t.co/dZZtTOUS0e</t>
  </si>
  <si>
    <t>1347224156430102541</t>
  </si>
  <si>
    <t>Bugün tespit edilen 1.370 yeni hastamız var. Ağır hasta sayımız her geçen gün azalıyor. Aktif vaka sayımızda sınırlı artış gözleniyor. Kısıtlama ve tedbirler netice vermeye devam ediyor. Kısıtlama ve tedbirlere uyarak mücadele edersek kazanacağız. https://t.co/RVlhe7786O</t>
  </si>
  <si>
    <t>1347217093813547010</t>
  </si>
  <si>
    <t>Cumhurbaşkanımız Recep Tayyip Erdoğan ve Arnavutluk Başbakanı Edi Rama öncülüğünde; iki ülke arasında Sağlık Alanında İşbirliği Anlaşmasını mevkidaşım Sağlık ve Sosyal Koruma Bakanı Ogerta Manastirliu ile birlikte imzaladık. Hayırlı olsun. https://t.co/aIzHDjd6LV</t>
  </si>
  <si>
    <t>1346951924919259136</t>
  </si>
  <si>
    <t>Bugün tespit edilen 1.458 yeni hastamız var. Aktif vaka sayımız durağan seyrediyor. Ağır hasta sayımız sevindirici şekilde azalmaya devam ediyor. Kayıplarımızın sayısında azalma eğilimi var. Birlikte tedbir ve birlikte mücadele ile kazanacağız. https://t.co/RVlhe7786O</t>
  </si>
  <si>
    <t>1346855810534662151</t>
  </si>
  <si>
    <t>RT @RTErdogan: Arnavutluk Başbakanı Edi Rama ile Ortak Basın Toplantısı
Deklarate per mediat se bashku me Kryeministrin e Shqiperise z. Ed…</t>
  </si>
  <si>
    <t>1346851860976717825</t>
  </si>
  <si>
    <t>SMA kampanyasının 'kirli' yönü bazı küresel şirketlerin insanımızın iyi niyetini suistimal etmesidir. Samimi duygularla hareket edenlerin tüm çabaları masumdur. SMA Bilim Kurulumuzun uygun gördüğü her tedavi, uygun görülen her hastaya uygulanmaktadır. Konu mali değil, insanidir.</t>
  </si>
  <si>
    <t>1346713784493211648</t>
  </si>
  <si>
    <t>Bir aşı adayımız Faz II safhasında, 6 aşı adayımız da Faz I çalışması aşamasına geldi. Tüm imkanlarımız bize en iyi aşıyı kazandırmak için seferber edilmiştir. Bilimden gelen güçle ve bilim insanlarımızın gayretiyle başaracağız.</t>
  </si>
  <si>
    <t>1346568066885423106</t>
  </si>
  <si>
    <t>Ülkemizde devam eden AŞI ÇALIŞMALARI ile ilgili bir toplantı daha yaptık. Ülkemizin bilimsel ve teknik alt yapısı, Bilim İnsanlarımızın azim ve gayretinin bize en iyi aşıları kazandıracağına inanıyorum. https://t.co/FobZEevnPQ</t>
  </si>
  <si>
    <t>1346561406255194119</t>
  </si>
  <si>
    <t>Vatan uğrunda canını feda etmek yüreği vatan için çarpan yüce gönüllere mahsustur. Salgında canını feda eden sağlık çalışanlarımız da terörle mücadelede yitirdiğimiz yiğitler de böyledir. Bizleri korumak için kendi canından vazgeçen Fethi Sekin’i rahmet ve minnetle yad ediyorum.</t>
  </si>
  <si>
    <t>1346539995276914689</t>
  </si>
  <si>
    <t>Bugün tespit edilen 1.477 yeni hastamız var. Ağır hasta sayımız azalmaya devam ediyor. Ağır hasta sayısındaki azalmaya bağlı olarak kayıplarımız da azalma eğiliminde. Sonuç almak için birlikte ve sürekli mücadele etmeliyiz. https://t.co/RVlhe7786O</t>
  </si>
  <si>
    <t>1346491799053987844</t>
  </si>
  <si>
    <t>Bugün tespit edilen 1.508 yeni hastamız var. Ağır hasta sayımız düşmeye devam ediyor. Kısıtlama ve tedbirlerle elde ettiğimiz kazanımları kalıcı hale getirmeliyiz. Birlikte hareket edersek güçlüyüz. https://t.co/RVlhe7786O</t>
  </si>
  <si>
    <t>1346130821879574528</t>
  </si>
  <si>
    <t>İlaç şirketlerinin baskısı ile çocuklarımızın kobay olarak kullanılmasına izin vermeyeceğiz. Ülkemizde SMA hastalığı görülmeyene, mevcut tüm hastalarımız tedavi edilene kadar mücadelemiz devam edecektir. https://t.co/qAO1xC6GHM</t>
  </si>
  <si>
    <t>1345812552404623363</t>
  </si>
  <si>
    <t>Bugün tespit edilen 1.515 yeni hastamız var. Uzun bir aradan sonra vaka sayısı 10.000’in altına indi. Kısıtlamalara ve test talebindeki düşüşe bağlı olarak vaka sayıları beklenenden fazla gerilese de bunu kalıcı hale getirmek elimizde. Birlikte güçlüyüz. https://t.co/RVlhe7786O</t>
  </si>
  <si>
    <t>1345764052153348100</t>
  </si>
  <si>
    <t>Zamanın akışını durduramayız. Hastalığın yayılımını ise yavaşlatabilir, durdurabiliriz. Kısıtlama ve tedbirlere sabırla uyan tüm vatandaşlarımıza teşekkür ederim. https://t.co/LqbNo8UXHr</t>
  </si>
  <si>
    <t>1345729794026172416</t>
  </si>
  <si>
    <t>Aldığımız her nefes çok kıymetli. Nefesimizi korumak için bugün eski normallerle aramıza mesafe koyalım. Tedbirlerden ödün vermeyelim. https://t.co/IaeFzenCd7</t>
  </si>
  <si>
    <t>1345431396395966465</t>
  </si>
  <si>
    <t>Hüzün kapımızı çalmadan tedbirimizi alalım. https://t.co/7rTxZVsVcH</t>
  </si>
  <si>
    <t>1345411426970710018</t>
  </si>
  <si>
    <t>Bugün tespit edilen 1.713 yeni hastamız var. Ağır hasta sayımızdaki düşüş devam ediyor. Kayıplarımızın daha da azalması en büyük beklentimiz. Aşılama programından başarıyla netice alana kadar tedbirlere ısrarla uymalıyız. Birlikte hareket edersek güçlüyüz. https://t.co/RVlhe7786O</t>
  </si>
  <si>
    <t>1345399769393463296</t>
  </si>
  <si>
    <t>Somali'de yaşanan terör saldırısında hayatını kaybeden vatandaşlarımızın sayısı 2’ye yükseldi. Yaralanan 3’ü Türk 14 kişinin tedavisine Mogadişu Recep Tayyip Erdoğan Hastanemizde devam ediyoruz. Yaralı vatandaşlarımızın hayati tehlikesi bulunmuyor. Saldırıyı şiddetle kınıyorum.</t>
  </si>
  <si>
    <t>1345347307265519616</t>
  </si>
  <si>
    <t>Prof. Dr. Murat Dilmener ve Prof. Dr. Feriha Öz Acil Durum Hastanelerimizin her birini 1008 odalı ve tek yataklı olarak teslim aldık. Bugüne kadar 235 bin hastamıza hizmet vermiştir. YATACAK YERİMİZ DE, VERECEK CEVABIMIZ DA VAR. Milletimizin hizmetindeyiz. https://t.co/9QZADPjwPj</t>
  </si>
  <si>
    <t>1345295639933038592</t>
  </si>
  <si>
    <t>Devlet eski Bakanı Teoman Rıza Güneri ağabeyimizin muhterem babası, milli görüş hareketinin sembol isimlerinden Ali Güneri beyefendinin rahmet-i rahman'a kavuştuğunu teessürle öğrenmiş bulunuyorum. Dava insanıydı, şahidiz.</t>
  </si>
  <si>
    <t>1345131984511754241</t>
  </si>
  <si>
    <t>İngiltere kaynaklı mutasyon sebebiyle yapılan incelemelerde bu ülkeden yurda giriş yapan 15 kişide mutasyonlu virüs tespit edilmiş ve kontrol altına alınmıştır. İngiltere’den yurda girişler geçici olarak tamamen durdurulmuştur. https://t.co/VlJXs784bg</t>
  </si>
  <si>
    <t>1345052710836596737</t>
  </si>
  <si>
    <t>Bugün tespit edilen 1.908 hastamız var. Aktif vaka sayısı, ağır hasta sayısı düşmeye devam ediyor. Kayıplarımızda düşme eğilimi başladı. Ağır hasta sayısındaki azalışa bağlı olarak kayıplarımız azalacak. Salgının yıkıcı etkisinin azalacağına inanıyorum. https://t.co/RVlhe7786O</t>
  </si>
  <si>
    <t>1345044510045331457</t>
  </si>
  <si>
    <t>Adı İsranur. Yeni yılda Çam ve Sakura Şehir Hastanemizde dünyaya geldi. Anne de kendisi de gayet sağlıklı. Ailenin sevincine görüntülü görüşme yöntemiyle ortak olduk. Evladımıza ve ailesine sağlıklı bir ömür diliyorum. https://t.co/rK7dPfQ55H</t>
  </si>
  <si>
    <t>1344794080988041216</t>
  </si>
  <si>
    <t>Yeni yılı İstanbul Avrupa Yakası Komuta Kontrol Merkezi’nde, görevleri başındaki çalışma arkadaşlarımızla karşıladık. Sağlık çalışanlarımızın gayreti, milletimizin desteğiyle 2021 salgını bitiren yıl olacaktır. “Sağlık Çalışanları Yılı” tarihe onların başarısı olarak geçecektir. https://t.co/NB0ERMsWpS</t>
  </si>
  <si>
    <t>1344773845165748226</t>
  </si>
  <si>
    <t>Koronavirüs hastalığına ismini 2019 yılı verdi. Ancak O, 2020 yılını sosyal ve iktisadi hayatımızdan kopardı. 2021 ise tüm dünyada bizim teklifimizle "Sağlık Çalışanları Yılı" kabul edildi.
Unutmayın! Her geceden sonra bir sabah, her darlıktan sonra bir genişlik vardır. https://t.co/r5paenjsnV</t>
  </si>
  <si>
    <t>1344709373134843905</t>
  </si>
  <si>
    <t>Bugün tespit edilen 2.219 yeni hastamız var. Kayıplarımızın sayısındaki düşüşün kalıcı ve sürekli olmasını bekliyoruz. Ağır hasta sayımız 4.000’in altında indi. Planlı ve tedbirli hareket ederek, kısıtlamalara tam uyarak başarılı olacağız. https://t.co/RVlhe7786O</t>
  </si>
  <si>
    <t>1344681118814130177</t>
  </si>
  <si>
    <t>Aşı risk yönetim stratejisine uygun olarak hakkaniyetle dağıtılacak, sonuçları anlık ve canlı olarak paylaşılacaktır. Bilim Kurulumuzun belirlediği stratejiye uygun olarak 28 gün ara ile iki doz halinde uygulanacaktır. https://t.co/USi5LqQELh</t>
  </si>
  <si>
    <t>1344346390584033283</t>
  </si>
  <si>
    <t>Bugün tespit edilen 2.612 yeni hastamız var. Ağır hasta ve yoğun bakımdaki hasta sayımız düşmeye devam ediyor. Bu durumun kayıplarımıza da yansımasını yakın gelecekte görmeyi ümit ediyorum. Birlikte mücadele virüsü yener. https://t.co/RVlhe7786O</t>
  </si>
  <si>
    <t>1344319691750318082</t>
  </si>
  <si>
    <t>Aşılarımızı getiren uçak Esenboğa Havalimanımıza ulaştı. 14 gün sürecek testleri hemen Türkiye İlaç ve Tıbbi Cihaz Kurumumuzda başlayacak. Testleri biter bitmez ise aşılama programımız Halk Sağlığı GM koordinasyonunda gerçekleşecek. Birlikte başaracağız.</t>
  </si>
  <si>
    <t>1344112215683698688</t>
  </si>
  <si>
    <t>Ümit ederim ki darlıkların bittiği genişliklerin başladığı gün bugündür. Aşılarımızı taşıyan Türk Hava Yolları’na ait uçağın bu sabah 05.30'da Esenboğa Havalimanımıza ulaşması beklenmektedir.</t>
  </si>
  <si>
    <t>1344057863107469312</t>
  </si>
  <si>
    <t>Aşı tedarikinde aracı firma kullanıldığına dair iddialar ile ilgili açıklamamız ektedir. Milletimiz irfan sahibidir. Hakikati görür ve ona sahip çıkar. https://t.co/oCz0erDGqC</t>
  </si>
  <si>
    <t>1344047902801408002</t>
  </si>
  <si>
    <t>İnaktif aşılarımızın ilk bölümünü getiren uçak Türkiye saati ile 19.50’de Pekin havalimanından havalandı. Yarın sabah burada olmasını bekliyoruz. Gelişmeleri bildirmeye devam edeceğiz.</t>
  </si>
  <si>
    <t>1343966659233656832</t>
  </si>
  <si>
    <t>Bugün tespit edilen 2.783 yeni hastamız var. Aktif vaka sayısında düşüş devam ediyor. Düşüş hızında yavaşlama olsa da ağır hasta sayımız da düşmeye devam ediyor. Kısıtlamalar sonuç veriyor. Aşıdan da sonuç alana kadar sabırla tedbirlere uymalıyız. https://t.co/RVlhe7786O</t>
  </si>
  <si>
    <t>1343952344355123201</t>
  </si>
  <si>
    <t>Sağlık çalışanlarımızın mücadelesine tedbirlere uyarak destek olalım. Tedbirlerin aynı zamanda sosyal hayatımızın güvencesi olduğunu unutmayalım. https://t.co/RSqXIziwre</t>
  </si>
  <si>
    <t>1343627000129445890</t>
  </si>
  <si>
    <t>Bugün tespit edilen 2.816 yeni hastamız var. Aktif vaka sayısı düşmeye devam ediyor. Elde ettiğimiz kazanımları muhafaza edebilmek ve salgınla mücadele edebilmek için tedbir ve kısıtlamalara tam uyum şart. Birlikte üstesinden geleceğiz. https://t.co/RVlhe7786O</t>
  </si>
  <si>
    <t>1343591853791342594</t>
  </si>
  <si>
    <t>RT @RTErdogan: Kabine Toplantısı Sonrası Millete Sesleniş https://t.co/TrVVBy82AT</t>
  </si>
  <si>
    <t>1343577634052206595</t>
  </si>
  <si>
    <t>Aşının zorunlu olmayacağını daha önce de söylemiştim. Aşılama programımız hazır. Vatandaşımızı zorlayıcı bir uygulama olmayacak. Aşının gerekliliğini bilim insanlarımızla toplumumuza anlatarak ikna etme çabası içinde olacağız. Bunun dışında bir uygulama söz konusu olmayacak. https://t.co/ie3F8wz5qb</t>
  </si>
  <si>
    <t>1343298898534821890</t>
  </si>
  <si>
    <t>Büyük Türk şairi, mütefekkir, dava insanı Mehmet Akif Ersoy'u ebediyete irtihalinin 84. yılında minnet, hürmet ve rahmetle anıyorum. https://t.co/AVhvE06VHL</t>
  </si>
  <si>
    <t>1343285274604957699</t>
  </si>
  <si>
    <t>Pekin’deki COVID-19 alarmı ve Pekin gümrüğünde görülen COVID-19 vakası sebebiyle gümrük hareketliliğine geçici olarak ara verilmiştir. Bu nedenle gümrük işlemlerinden sonra yola çıkması beklenen aşılarımızın gelişi bir iki gün ertelenmiştir. Gelişmeleri aktarmaya devam edeceğiz. https://t.co/G2GfEX1MXo</t>
  </si>
  <si>
    <t>1343250525022806016</t>
  </si>
  <si>
    <t>Bugün tespit edilen 2.806 hastamız var. Vaka ve hasta sayımız düşmeye devam ediyor. Temaslı sayısı ve test talebi de azalıyor. Tedbir ve kısıtlamaların etkisini yakında kayıplarımızda da görmeyi ümit ediyoruz. Mücadele sürekliliği başarıyı kalıcı kılacak. https://t.co/RVlhe7786O</t>
  </si>
  <si>
    <t>1343226481607143424</t>
  </si>
  <si>
    <t>Elazığ Merkez'de gerçekleşen 5.3 büyüklüğündeki depremde can kaybı yaşanmaması sevindiricidir. Durumu ciddi olan bir vatandaşımız bulunmamaktadır. Bu yıl büyük zorlukları göğüsleyen Elazığlı hemşehrilerimize tekrar geçmiş olsun.</t>
  </si>
  <si>
    <t>1343152963422924800</t>
  </si>
  <si>
    <t>Ne son dönemde yurda ilgili ülkelerden giriş yapan PCR pozitif vakalardan alınan numunelerde ne de yurdun çeşitli bölgelerinden toplanan örneklerde İNGİLTERE ‘NİN rapor ettiği GEN MUTASYONUNA  RASTLANMAMIŞTIR. Düzenli incelemelerimiz devam edecek.</t>
  </si>
  <si>
    <t>1342880377262768131</t>
  </si>
  <si>
    <t>MUTASYON tedbir uygulamaları kapsamında son dönemde İNGİLTERE’ DEN ülkemize gelen ve test sonucu pozitif çıkan kişilerin PCR örnekleri ile ülkemizin çeşitli bölgelerinden örnekler referans laboratuvarımızda TAM GEN SEKANSLAMA YÖNTEMİ ile incelenmiştir.</t>
  </si>
  <si>
    <t>1342880375706677250</t>
  </si>
  <si>
    <t>Virüste MUTASYON ve varyasyon değişikliklerinin izlenmesi için Halk Sağlığı referans laboratuvarlarımız düzenli olarak ülkemizin çeşitli bölgelerinden örnekleri incelemektedir. Bu incelemeler kapsamında belirlenen varyasyon ve MUTASYONLAR Dünya Sağlık Örgütü ile paylaşılmaktadır.</t>
  </si>
  <si>
    <t>1342880374268026880</t>
  </si>
  <si>
    <t>Bugün tespit edilen 3.002 yeni hasta var. Vaka sayısı, aktif vaka sayısı ve hasta sayısı düşmeye devam ediyor. Ağır hasta sayımızdaki düşüş de devam ediyor. Bu güzel haberleri sürekli hale getirecek olan aşılama programı etkisini gösterene kadar mücadele. https://t.co/RVlhe7786O</t>
  </si>
  <si>
    <t>1342865106238119937</t>
  </si>
  <si>
    <t>HATAY: Yatak doluluk oranı %54’e düşmesine rağmen yoğun bakım doluluk oranı halen %86.
ADANA: Yatak doluluk oranı %62’ye gerilemiş olmasına rağmen yoğun bakım doluluğu halen %78.</t>
  </si>
  <si>
    <t>1342574379960512513</t>
  </si>
  <si>
    <t>BURSA: Yatak doluluk oranı %52’ye, yoğun bakım doluluk oranı %70’e düştü.
ANKARA: Yatak doluluk oranı %52’ye, yoğun bakım doluluk oranı %65’e düştü.</t>
  </si>
  <si>
    <t>1342574378467340288</t>
  </si>
  <si>
    <t>BURSA, ANKARA, HATAY, ADANA Valilerimiz, İl Sağlık Müdürlerimiz ve Halk Sağlığı Başkanlarımızla bu illerimizde salgının seyrini değerlendirdik. Vaka sayılarında da hastane yüklerinde de düşüş olması sevindirici. Kısıtlamaların neticelerini alıyoruz. https://t.co/ZZwGy3bPh4</t>
  </si>
  <si>
    <t>1342574376517042177</t>
  </si>
  <si>
    <t>Aşı zorunlu olmayacak. Vatandaşımızı aşının etkisine ve güvenilirliğine ikna ederek aşılamak istiyoruz. İlk aşıyı olanlardan biri de sağlık çalışanlarımızla birlikte ben olacağım. https://t.co/rgHYpqDgfq</t>
  </si>
  <si>
    <t>1342567506775584772</t>
  </si>
  <si>
    <t>Her bir sağlık personelimiz iyi bir eğitimin eseridir. Nazik mesajları sebebiyle Bakan Arkadaşım Prof. Dr. Ziya Selçuk’un nezdinde tüm eğitim camiamıza teşekkür ederiz. #sağlıkçılarımızlayız https://t.co/UErc7E9Bk1</t>
  </si>
  <si>
    <t>1342545538739277824</t>
  </si>
  <si>
    <t>Bu anlaşmanın hayata geçmesinde engellerin ortadan kalkmasında PROF. DR. UĞUR ŞAHİN hocamızın büyük emekleri vardır. Türkiye için yaptığı ayrıcalık unutulmayacaktır. Kendisine milletimiz adına bir kez daha teşekkür ederim.</t>
  </si>
  <si>
    <t>1342533733497368577</t>
  </si>
  <si>
    <t>Gecikmenin nedeni üreticinin aşının üretiminden kaynaklanabilecek sorunlarla ilgili SORUMLULUK KABUL ETMEK İSTEMEMESİYDİ. Bu konuda üreticinin sorumluluğunun sözleşmenin mali büyüklüğü ile sınırlı tutulmasında anlaşıldı. Bu aşıyı kullanmak için vatandaşlarımızdan ONAM ALINACAK.</t>
  </si>
  <si>
    <t>1342533731995758594</t>
  </si>
  <si>
    <t>Bu miktarın Türkiye’ye yıl sonuna kadar ya da ocak ayı başında gelmesi beklenmektedir. Bununla birlikte MART ayı sonuna kadar 4.5 MİLYON doz aşı ülkemize teslim edilecektir. Anlaşmamıza göre tarafların mutabakatı ile 30 MİLYON doza kadar aynı şartlarda aşı temin edilebilecektir.</t>
  </si>
  <si>
    <t>1342533730607517700</t>
  </si>
  <si>
    <t>BIONTECH aşısı ile ilgili anlaşmanın imzalanmak üzere olduğunu dün sizlerle paylaşmıştım. Bu gece 04.30 itibariyle anlaşma imzalandı. Yapılan anlaşmaya göre bu yıl için ayrılan, depolarda hazır beklediğini PROF. DR. UĞUR ŞAHİN hocamızın açıkladığı doz miktarı 550.000 dozdur.</t>
  </si>
  <si>
    <t>1342533729261146117</t>
  </si>
  <si>
    <t>Yurtdışı tedbirleri artırıyoruz. 28 Aralıktan itibaren yurtdışından ülkemize hava yoluyla, 30 Aralıktan itibaren kara yoluyla gelen her yolcunun, SON 72 SAAT İçinde yapılmış NEGATIF PCR TEST SONUCU İBRAZ ETMESİ zorunlu olacak. Aksi durumda ülkeye girişlerine izin verilmeyecektir. https://t.co/NZGbnK7AWA</t>
  </si>
  <si>
    <t>1342521323642351616</t>
  </si>
  <si>
    <t>Bugün tespit edilen 3.199 yeni hastamız var. Hasta ve vaka sayılarındaki düşüş etkisini hastane yükümüzde de göstermeye başladı. Ümidimiz bu iyileşmenin yakın zamanda kayıplarımızın sayısına da yansıması. Aşı kampanyası sonuna kadar tedbirde ısrar edelim. https://t.co/RVlhe7786O</t>
  </si>
  <si>
    <t>1342504836747636738</t>
  </si>
  <si>
    <t>Sahada 1963 filyasyon ekibimiz temaslı taramasına devam ediyor. Sağlık kuruluşlarımız görevini aksatmadan yürütüyor. Gayretlerimiz sonuç veriyor. Duraksama, tereddüt, gevşeme yok. Hep birlikte kazanacağız.</t>
  </si>
  <si>
    <t>1342485456664080385</t>
  </si>
  <si>
    <t>İSTANBUL İl sağlık yöneticilerimiz ve Başhekimlerimizle haftalık değerlendirmemizi yaptık.
Son hafta içinde İstanbul’da vaka sayısında önemli oranda düşüş kaydedildi. Polikliniklerde %50’ye  varan azalma oldu; bu durum hastane yatışlarına %35, yoğun bakımlara %30 olarak yansıdı. https://t.co/JQHtIfV2ZM</t>
  </si>
  <si>
    <t>1342485452952100864</t>
  </si>
  <si>
    <t>İnancımız bize her darlıktan sonra bir genişlik olduğunu söylüyor. İnanıyorum ki bugün, Millet olarak, bu darlık zamanından genişlik günlerine geçişimizin habercisi olacak. https://t.co/W3AHKXFTPh</t>
  </si>
  <si>
    <t>1342186185221931010</t>
  </si>
  <si>
    <t>Acil Kullanım onayına temel teşkil edecek veriler, bağımsız değerlendirme komitesi tarafından değerlendirilerek Türkiye İlaç ve Tıbbi Cihaz Kurumu’na iletilmiştir. https://t.co/9Jle2bI2Ah</t>
  </si>
  <si>
    <t>1342182945189203974</t>
  </si>
  <si>
    <t>İnaktif aşı bilinen en kadim aşı yöntemidir. https://t.co/f9xTgg4pSd</t>
  </si>
  <si>
    <t>1342179980764188675</t>
  </si>
  <si>
    <t>Salgın her alanda bizi etkiledi. Dünyanın ahlakını yeniden tanzim etti. https://t.co/U4suJ5mfBW</t>
  </si>
  <si>
    <t>1342176542261194753</t>
  </si>
  <si>
    <t>Salgın boyunca, üzerimde çok ağır bir sorumluluk olsa da her durumda karşınıza çıkıp tüm gelişmeleri sizlere zamanında ve en açık şekilde iletmeye çalıştım. https://t.co/H3jsDL2oCt</t>
  </si>
  <si>
    <t>1342165612286644224</t>
  </si>
  <si>
    <t>Bugün tespit edilen 3.218 yeni hastamız var. Aktif vaka sayısındaki düşüş devam ediyor. Aşının etkili olacağı müjdesini aldık. Şimdi aşılanıp etkisini görene kadar kendimizi daha iyi koruma zamanı. Güzel günlere tedbirle hazırlanalım. https://t.co/RVlhe7786O</t>
  </si>
  <si>
    <t>1342157228904763393</t>
  </si>
  <si>
    <t>Bilim Kurulu Toplantımızın ardından COVID-19 ile ilgili son gelişmelere ilişkin basın açıklamamız.
📍Sağlık Bakanlığı
https://t.co/kPjn7sndFG</t>
  </si>
  <si>
    <t>1342143612935671808</t>
  </si>
  <si>
    <t>Ön saflarda kahramanca mücadele eden sağlık çalışanlarımıza tedbirlere uyarak destek olalım. Tedbirlerin aynı zamanda sosyal hayatımızın güvencesi olduğunu unutmayalım. https://t.co/GWlbzjN9Uq</t>
  </si>
  <si>
    <t>1341798352665665540</t>
  </si>
  <si>
    <t>Çevre duyarlılığı ve halk sağlığı alanındaki mücadelesiyle tanıdığımız Prof. Dr. Orhan Kural hocamızı kaybetmenin derin üzüntüsünü yaşıyoruz. Hocamıza Allah'tan rahmet, sevenlerine başsağlığı diliyorum.</t>
  </si>
  <si>
    <t>1341791262052106240</t>
  </si>
  <si>
    <t>Bugün tespit edilen 3.192 hastamız var. Aktif vaka sayısındaki düşüş sevindirici. Yeni vaka sayısını da kısıtlamalara ve tedbirlere uyumla azaltacağız. Bu dönemde ev içi bulaşmaları engellemek son derece önemli. Tehdit neredeyse tedbir oraya odaklanmalı. https://t.co/RVlhe7786O</t>
  </si>
  <si>
    <t>1341784261280542721</t>
  </si>
  <si>
    <t>Rubella virus is eliminated in Turkey. I would like to thank my friend @hans_kluge for congratulating us with this great news. Vaccines are the most important power in hand for preventing from infections. https://t.co/QeveZvVyva</t>
  </si>
  <si>
    <t>1341496582437543947</t>
  </si>
  <si>
    <t>Rubella virüsü (kızamıkçık) Türkiye’de sorun olmaktan çıktı. Bu güzel haberle bizi tebrik eden dostum @hans_kluge‘ye teşekkür ediyorum. Aşılar enfeksiyonların engellenmesi için elimizdeki en önemli güç. https://t.co/QeveZvVyva</t>
  </si>
  <si>
    <t>1341496517467750400</t>
  </si>
  <si>
    <t>SAMSUN’DA vaka sayısında %35 düşüş oldu. Yatak doluluğu %62, yoğun bakım doluluğu %80. HATAY’DA vaka sayısında %40 düşüş gerçekleşti. Yatak doluluğu %85, yoğun bakım doluluğu %77. SAMSUN ve HATAY’DA Ağır hasta yükü yüksek. Tedbirlere ısrarla uyalım.</t>
  </si>
  <si>
    <t>1341485561773780997</t>
  </si>
  <si>
    <t>İZMİR’DE günlük vaka sayısında son bir hafta içinde %30 azaldı. Yatak doluluk oranı %57, yoğun bakım doluluk oranı %77. TRABZON’DA vaka sayıları %25 düştü, yatak doluluğu %52, yoğun bakım doluluğu %72. İZMİR ve TRABZON’DA tedbirleri sürdürmeliyiz.</t>
  </si>
  <si>
    <t>1341485560419016709</t>
  </si>
  <si>
    <t>İZMİR, TRABZON, SAMSUN, HATAY Valilerimiz, İl Sağlık Müdürlerimiz ve Halk Sağlığı Başkanlarımızla illerimizin güncel durumunu ele aldık. Bu İllerimizde günlük yeni vaka sayılarında düşüş başladı. Ancak hastane ve yoğun bakım servislerimizin yükü hala yüksek seyrediyor. https://t.co/DxcI43WlVD</t>
  </si>
  <si>
    <t>1341485557122252802</t>
  </si>
  <si>
    <t>Kısıtlamalar ve tedbirlere uyum sayesinde vaka sayılarımız düşüyor. Buna rağmen virüsün bulaşma yolları değişmeye başladı. Ev içi bulaşma oranları %85'e kadar yükseldi. Tedbir, tehdit neredeyse oraya odaklanmalı. Ev içi bulaşmalara karşı tedbirli olalım.</t>
  </si>
  <si>
    <t>1341450917430906882</t>
  </si>
  <si>
    <t>Onlar, hilal uğruna batan güneşler, vatan için canını feda eden yiğitler. Sarıkamış şehitlerimizi rahmetle ve minnetle yâd ediyorum. https://t.co/LvT6CedFjy</t>
  </si>
  <si>
    <t>1341442267161255937</t>
  </si>
  <si>
    <t>Bugün tespit edilen 3.309 yeni hastamız var. Ağır hasta sayısı ve aktif vaka sayısı düşmeye devam ediyor. Vakaların azaldığı bu dönemde aile içi bulaşmalar artış gösteriyor. Her yerde tedbirlere uymalıyız. Birlikte mücadele güçlü netice verecek. https://t.co/RVlhe7786O</t>
  </si>
  <si>
    <t>1341423823200116736</t>
  </si>
  <si>
    <t>Hiç beklentisi olmadan hayatın her türlü zorlu şartlarına rağmen hepimizin yükünü sırtında taşıyan kahramanlar var. 22 Aralık #ParamediklerGünü kutlu olsun. https://t.co/bCA8iD5ePo</t>
  </si>
  <si>
    <t>1341411309804527621</t>
  </si>
  <si>
    <t>RT @EmineErdogan: Paramedikler Günü vesilesiyle, Cumhurbaşkanlığı sağlık ekibindeki paramediklerimiz ile buluştuk. Onların nezdinde, gece g…</t>
  </si>
  <si>
    <t>1341399686436032512</t>
  </si>
  <si>
    <t>RNA virüslerinde mutasyon beklenen bir durumdur. Halk Sağlığı Genel Müdürlüğümüz salgının başından beri ülkemizde görülen tüm virüs suşlarında gen mutasyonunu düzenli olarak taramaktadır. Eylül ayından beri ülkemizde görülen suşların incelenmesi kısa sürede neticelenecektir.</t>
  </si>
  <si>
    <t>1341326985071632385</t>
  </si>
  <si>
    <t>14 Aralık’tan itibaren İngiltere’den gelen tüm yolcuların tespiti yapılmıştır. 4.603 yolcunun bilgileri siteme aktarılarak ikametleri ve kaldığı otellerinde izolasyona alınmışlardır. Bu yolcularımızın Halk Sağlığı Genel Müdürlüğümüz koordinasyonunda PCR testleri yapılmaktadır.</t>
  </si>
  <si>
    <t>1341254035723186177</t>
  </si>
  <si>
    <t>Önceki gece bu ülkelerden ülkemize giriş yapan 335 yolcu sağlık kontrolünden geçirilmiş ve PCR testi yapılmıştır. Yolculara 1. ve 7. Günü PCR örnekleri alınmaktadır. Testleri negatif çıksa bile tüm yolcular izolasyona alınmıştır.</t>
  </si>
  <si>
    <t>1341254033894494209</t>
  </si>
  <si>
    <t>İngiltere’de tespit edilen koronavirüs mutasyonu üzerine 20 Aralık gecesi İngiltere, Hollanda, Danimarka ve Güney Afrika’dan ülkemize uçuşların askıya alındığını ve o an itibariyle havada olan yolcular için de tedbirlerimizi duyurmuştuk.</t>
  </si>
  <si>
    <t>1341254032657145857</t>
  </si>
  <si>
    <t>KAYSERİ: Vaka düşüşü %35, yatak doluluğu %58, yoğun bakım doluluğu %67. 
TEKİRDAĞ: Vaka düşüşü %60, yatak doluluğu %43, yoğun bakım doluluğu %59.</t>
  </si>
  <si>
    <t>1341142476082597888</t>
  </si>
  <si>
    <t>BURSA: Günlük vaka sayısında son bir hafta içinde %50 düşü oldu. Yatak doluluk oranı %55, yoğun bakım doluluk oranı %73. 
KONYA: Vaka düşüşü %50, yatak doluluğu %52, yoğun bakım doluluğu %66.</t>
  </si>
  <si>
    <t>1341142474669105160</t>
  </si>
  <si>
    <t>BURSA, KONYA, KAYSERİ, TEKİRDAĞ illerimizde salgının seyri ile ilgili tedbirleri ele aldık. Günlük Vaka sayıları  düşmeye devam ediyor. Kısıtlama ve tedbirlere uyum netice veriyor. Mücadeleye ısrarla devam edelim. https://t.co/YF3K6E2utk</t>
  </si>
  <si>
    <t>1341111378141130755</t>
  </si>
  <si>
    <t>Bugün tespit edilen 3.412 yeni hastamız var. Aktif vaka ve ağır hasta sayımız azalıyor. Yatak doluluk oranı, yoğun bakım doluluk oranı ve solunum cihazı doluluk oranları düşmeye devam ediyor. Kurallara birlikte uymanın neticesini almaya başladık.  https://t.co/RVlhe7786O</t>
  </si>
  <si>
    <t>1341053079085563905</t>
  </si>
  <si>
    <t>İngiltere kaynaklı mutasyon riski üzerine alınan tedbirler kapsamında halen yolda olan uçuşlar için tüm yolculara test yapılacak ve karantina kuralları uygulanacaktır. Tedbirler tam koordinasyonla yürütülmektedir.</t>
  </si>
  <si>
    <t>1340762399310290946</t>
  </si>
  <si>
    <t>Koronavirüsün mutasyonuyla İngiltere'de bulaş hızının arttığı bildirilmiştir. Cumhurbaşkanımızın talimatı, Ulaştırma ve Altyapı Bakanlığımızın koordinasyonu ile tedbiren; İngiltere, Danimarka, Hollanda ve Güney Afrika'dan ülkemize olan uçuşlarda geçici durdurma kararı alınmıştır.</t>
  </si>
  <si>
    <t>1340752471908638724</t>
  </si>
  <si>
    <t>Dünyanın en iyi hekimleri Türk hekimleridir. Hastasını ailesinin bir ferdi bilen, can kurtarmak için canını ortaya koyan Türk hekimlerinden, hemşirelerinden, hasta bakıcılarından başkaları değildir.</t>
  </si>
  <si>
    <t>1340751857195597830</t>
  </si>
  <si>
    <t>Sağlık alt yapımızın birçok Avrupa ülkesinden daha iyi olduğu ortadadır.Salgının ilk gününden beri vatandaşlarımızın mücadelemize gösterdiği teveccüh ve sağlık ordumuza duyulan güven basit iddialarla yıpratılmamalı.</t>
  </si>
  <si>
    <t>1340751855526301696</t>
  </si>
  <si>
    <t>Bizim vakaları tespit etmede, temaslıları takip etmede, hastaların takip ve tedavisinde daha başarılı olduğumuzdan şüphesi olanların sağlık çalışanlarımızın gözlerinin içine bakarak bu soruyu tekrar sormalarını isterim.</t>
  </si>
  <si>
    <t>1340751853613625348</t>
  </si>
  <si>
    <t>Üzülerek görüyorum ki, bazı siyasilerimiz, gazetecilerimiz, sivil toplum örgütlerinde görevli arkadaşlarımız eleştiri adı altında mücadelemizi sekteye uğratabilecek değerlendirmeler yapmaktadır.</t>
  </si>
  <si>
    <t>1340751851864649731</t>
  </si>
  <si>
    <t>Kimsenin toplumun umutlarını tüketecek ve karamsarlığa itecek yorumlar yapmaya hakkı yoktur. Biz hasta sayısını vaka sayısından bağımsız olarak açıklıyoruz. Oysaki birçok ülke açıklamıyor. Dolayısıyla hangi ülkenin hastası daha çok bilmiyoruz.</t>
  </si>
  <si>
    <t>1340751850040078345</t>
  </si>
  <si>
    <t>İlk günden beri salgın hastalıkla birlikte mücadele edilmesi gerektiğini, toplumun hiçbir ferdinin kendisini bu mücadelenin dışında tutmaması gerektiğini ifade ettik.</t>
  </si>
  <si>
    <t>1340751848375001089</t>
  </si>
  <si>
    <t>Salgınla mücadele ortak paydamızdır. Sağlık sistemimize olan güveni sarsacak mesnetsiz ithamlardan uzak durulmalı. Kendimizi eksik görmeyi bırakıp milletimizle ve onun evlatları ile gurur duyalım. https://t.co/k3ouRO8vV0</t>
  </si>
  <si>
    <t>1340723791035572225</t>
  </si>
  <si>
    <t>Bugün tespit edilen 3.546 yeni hastamız var. Ağır hasta ve aktif vaka sayımız düşmeye devam ediyor. Tedbir ve kısıtlamalar netice veriyor. Daha belirgin neticeler alacağımıza inanıyoruz. Bunu birlikte başarabiliriz. Birlikte mücadele virüsten daha güçlüdür https://t.co/RVlhe7786O</t>
  </si>
  <si>
    <t>1340691665934233605</t>
  </si>
  <si>
    <t>Gaziantep’te bir özel hastanemizde dün yaşanan elim hadise idari ve adli olarak incelenmektedir. Bu hadise ile Bakanlığımızın yetki ve sorumlulukları arasında gerçek dışı ilişkiler kurmanın kimseye faydası yoktur. https://t.co/xznEKKRTAK</t>
  </si>
  <si>
    <t>1340657554309984257</t>
  </si>
  <si>
    <t>RT @hans_kluge: Gaziantep’te yaşanan üzücü kaza sonucu hayatını kaybedenlere baş sağlığı, yaralılara acil şifalar diliyoruz.
We extend our…</t>
  </si>
  <si>
    <t>1340415628344238084</t>
  </si>
  <si>
    <t>Gaziantep’te meydana gelen üzücü olay nedeniyle bir hastamız daha nakledildiği hastanede yaşamını yitirdi. Can kaybımız 10’a yükseldi. Merhumeye Allah’tan rahmet, yakınlarına başsağlığı diliyorum.</t>
  </si>
  <si>
    <t>1340371649951088644</t>
  </si>
  <si>
    <t>Adalet Bakanımız, Bakan Yardımcılarımız, Milletvekillerimiz, GAZİANTEP Valimiz, Büyükşehir Belediye Başkanımız, İl Sağlık Müdürümüz ve Başhekimlerimizin katılımıyla; ilimizdeki salgın seyrini ve alınan tedbirleri değerlendirdik. https://t.co/pPC55uH9bl</t>
  </si>
  <si>
    <t>1340341349799895040</t>
  </si>
  <si>
    <t>Bugün tespit edilen 4.002 yeni hastamız var. Ağır hasta ve aktif vaka sayımız düşmeye devam ediyor. Tedbir ve kısıtlamaların etkisini görüyoruz. Önümüzdeki günlerde daha belirgin neticeler almayı bekliyoruz. Salgınla ancak birlikte mücadele edilebilir. https://t.co/RVlhe7786O</t>
  </si>
  <si>
    <t>1340332684841762817</t>
  </si>
  <si>
    <t>Gaziantep’te elim kazanın yaşandığı hastanede incelemelerde bulunup olay hakkında yetkililerden bilgi aldık. Olaya müdahale esnasında etkilenen sağlık çalışanı arkadaşlarımızı da ziyaret edip geçmiş olsun dileklerimizi ilettik. https://t.co/EzQXEDLuH8</t>
  </si>
  <si>
    <t>1340318092560392192</t>
  </si>
  <si>
    <t>Yaşanan üzücü olayı yerinde incelemek ve süreci yakından takip etmek üzere Gaziantep'teyiz. https://t.co/5wBRhUgeVj</t>
  </si>
  <si>
    <t>1340298886867464195</t>
  </si>
  <si>
    <t>Gaziantep’te yoğun bakım ünitesinde meydana gelen elim olay hepimizi üzmüştür. Vefat sayımız 9 oldu. Yangından etkilenen diğer hastalar 112 acil ekiplerimiz tarafından civar hastanelere nakledildi. Vefat edenlere Allah’tan rahmet diliyorum. Olayı yakından takip ediyoruz.</t>
  </si>
  <si>
    <t>1340221105789952000</t>
  </si>
  <si>
    <t>Bugün, yakın planda MERSİN, DİYARBAKIR, TRABZON, ANTALYA ve KOCAELİ illerimizin durumunu değerlendirdik. Birlikte mücadelemizin erken sonuçları alınmaya başlandı. Ara vermeden mücadeleye devam. https://t.co/RNFnzP0T9F</t>
  </si>
  <si>
    <t>1340024086089633793</t>
  </si>
  <si>
    <t>Bugün Resmi Gazete’de yayımlanan “Beşeri Tıbbi Ürünler Ruhsatlandırma Yönetmeliğinde Değişiklik Yapılmasına Dair Yönetmelik” hakkında asılsız bilgiler yayıldığı görülmüştür. Bu özellikle yerli aşı adaylarımız ve ülkemizde kullanılacak tüm aşılar için yapılmış bir düzenlemedir. https://t.co/Cvn837jVFB</t>
  </si>
  <si>
    <t>1340010547140571136</t>
  </si>
  <si>
    <t>Bugün tespit edilen 4.103 yeni hastamız var. Ağır hasta sayımız düşmeye devam ediyor. Aktif vaka sayımız da azalmaya başladı. Tedbirlerin bu hafta sonundan itibaren etkisini daha çok göstermesini bekliyoruz. Mücadeleye ara vermeden devam edelim. https://t.co/RVlhe7786O</t>
  </si>
  <si>
    <t>1339985230049005569</t>
  </si>
  <si>
    <t>Birlikte tedbirlere uyum ve mücadele sonuç vermeye başladı. Ancak günlük toplam vaka düşüşüne rağmen son günlerde evde bulaşma oranı yükseldi. Evde kalırken tedbirleri elden bırakmayalım. Mücadeleye birlikte ve ara vermeden devam edelim.</t>
  </si>
  <si>
    <t>1339972050073612289</t>
  </si>
  <si>
    <t>Polikliniklerde yaklaşık %30, hastaneye yatışlarda %15, yoğun bakımda ise yüzde %10 azalma oldu. Yatak doluluk oranı %55, yoğun bakım doluluk oranı %65. 658’den 1934’e çıkarılan filyasyon ekiplerimiz yaygın temaslı taraması yapıyor.</t>
  </si>
  <si>
    <t>1339972048358174720</t>
  </si>
  <si>
    <t>İl sağlık yöneticilerimiz ve hastane başhekimlerimizle İSTANBUL’DAKİ rutin değerlendirmemizi yaptık. Tedbirlerin etkisi görülmeye başlandı. Son hafta içinde pozitif vaka sayısındaki azalma %20’yi buldu. Hastanelerimizde bunun yansımasını gördük. https://t.co/LMl3NEbuGq</t>
  </si>
  <si>
    <t>1339972045942210561</t>
  </si>
  <si>
    <t>Samsun Bafra Devlet Hastanesi’nde bir doktor arkadaşımızı görevi başında bıçakla yaralamaya çalışan saldırgan tutuklandı. Bu uğurda canlarını hiçe sayan sağlık çalışanlarımıza saldırmanın izahı olamaz. Şiddetle mücadelemizi sürdüreceğiz.</t>
  </si>
  <si>
    <t>1339682191568211970</t>
  </si>
  <si>
    <t>Sevgi çağrısı Konya’dan dünyaya çağlar boyu bir rahmet sağanağı gibi yağan Hazret-i Mevlânâ‘yı vuslatının 747. yılında rahmetle anıyorum. https://t.co/DmA6a1RuqB</t>
  </si>
  <si>
    <t>1339667350237442049</t>
  </si>
  <si>
    <t>SPORTMEN GENÇ
Virüs genç yaşlı ayırmıyor, en küçük dikkatsizlikte bile bulaşabiliyor. Tedbirlere uyarak sağlığımızı ve sosyal hayatımızı koruyalım. https://t.co/xr4vtdXo3G</t>
  </si>
  <si>
    <t>1339632406630842368</t>
  </si>
  <si>
    <t>HATAY, ADANA, SAMSUN ve İZMİR yakın takibimizde. Çabalar sonuç veriyor. Birlikte kazanacağımız günler uzak değil. https://t.co/Izi7gz9VBb</t>
  </si>
  <si>
    <t>1339606503943262208</t>
  </si>
  <si>
    <t>Bugün tespit edilen 4.209 hastamız var. Ağır hasta sayımız uzun bir aradan sonra düştü. Aktif hasta sayısı da azalmaya devam ediyor. Tedbir ve kısıtlamalar netice vermeye başladı. Bunu sürekli hale getirecek olan bizleriz. Sonuç alana kadar mücadele edelim https://t.co/RVlhe7oIYm</t>
  </si>
  <si>
    <t>1339602697868124160</t>
  </si>
  <si>
    <t>Antalya Kumluca Devlet Hastanesi Başhekimi görevinden uzaklaştırıldı. Hakkında disiplin soruşturması başlatılan Başhekimin sözleşmesi feshedilerek görevine son verilmiştir. Böyle bir davranışı kabul etmemiz mümkün değildir. https://t.co/Q28Jfwq3q3</t>
  </si>
  <si>
    <t>1339563099100237824</t>
  </si>
  <si>
    <t>Kamu ve özel sağlık sektörümüz pandemi mücadelesinde başarılı bir sınav vermiştir. Gelişmiş ülkelerdeki hasta tercih etme tabloları ülkemizde yaşanmamıştır. Bugüne kadar fedakarlıktan kaçınmayan tüm kamu ve özel sağlık kuruluşlarımızın aşı konusunda da gerekeni yapacağına eminim. https://t.co/OnKlXn6MOG</t>
  </si>
  <si>
    <t>1339554931200712704</t>
  </si>
  <si>
    <t>COVID-19 aşı hazırlıklarının en yoğun olduğu bir dönemde DSÖ tarafından aşı ile önlenen hastalıklardan kızamıkçık hastalığının elimine edildiği ülke olma müjdesini aldık. Aynı başarıyı COVID-19 mücadelesinde de gösterme kararlılığındayız. https://t.co/37K5aoqCB7</t>
  </si>
  <si>
    <t>1339331771578654721</t>
  </si>
  <si>
    <t>Bugün tespit edilen 4.893 hastamız var. Bir süredir günlük hasta sayımız düşüşte. Bugün uzun bir aradan sonra ilk defa günlük iyileşen sayısı yeni vaka sayısını geçti. Aktif hasta sayımız uzun bir aradan sonra düşmüş oldu. Sevdiklerimizi tedbirle koruyalım https://t.co/RVlhe7786O</t>
  </si>
  <si>
    <t>1339247880629051393</t>
  </si>
  <si>
    <t>Bakanlığımız bünyesinde 12 bin sözleşmeli sağlık personeli alım sonuçları açıklandı. Sonuçlar ÖSYM'nin sitesinden yayımlandı. Yeni atamalar bize güç katacaktır. Hayırlı olsun.</t>
  </si>
  <si>
    <t>1338966135929233409</t>
  </si>
  <si>
    <t>Taziyeler gibi büyük kalabalıklar katılan herkesin sağlığı için büyük bir tehdittir. Tedbirlere uymak sağlığımızın ve sosyal hayatımızın güvencesidir. https://t.co/b1N4RgHWlH</t>
  </si>
  <si>
    <t>1338937077224890371</t>
  </si>
  <si>
    <t>Bugün tespit edilen 5.105 yeni hastamız var. Ağır hasta sayımız durağan seyrediyor. Kayıplarımızı azaltmak zorundayız. Kapalı ve kalabalık ortamlardan uzak durarak sevdiklerimizi koruyalım. https://t.co/RVlhe7786O</t>
  </si>
  <si>
    <t>1338893105089613825</t>
  </si>
  <si>
    <t>YAKIN ÇEVREMİZLE ilişkilerimizde tedbirleri aklımızdan çıkarmayalım. Salgın bizi yakınlarımızdan ayırmaya devam ediyor. https://t.co/KAPuzKR25P</t>
  </si>
  <si>
    <t>1338583531509993473</t>
  </si>
  <si>
    <t>Bugün tespit edilen 5.064 yeni hastamız var. Ağır hasta sayısı 6.000’e yaklaştı. Hastane yükümüz halen çok yüksek. Kalabalık ve kapalı ortamlardan uzak durarak sevdiklerimizi koruyalım. Kısıtlamaların etkisini yakında daha belirgin göreceğiz. https://t.co/RVlhe7786O</t>
  </si>
  <si>
    <t>1338536397905539073</t>
  </si>
  <si>
    <t>RT @RTErdogan: Kabine Toplantısı Sonrası Millete Sesleniş https://t.co/DRC2cbbFL5</t>
  </si>
  <si>
    <t>1338525861105037316</t>
  </si>
  <si>
    <t>Milletimizin Vekillerine milletimiz için yaptığımız hizmetleri anlatma fırsatı bulduk. Bu zor günleri mutlaka aşacağız. Ümitvarız. https://t.co/Zkydvc1Sdd</t>
  </si>
  <si>
    <t>1338242560255553537</t>
  </si>
  <si>
    <t>100 bin kişiye düşen yoğun bakım yatağı oranıyla (%40.3) dünyada 1. sıradayız. TÜRKİYE İLE GURUR DUYUN! https://t.co/0ANiSsvLPU</t>
  </si>
  <si>
    <t>1338200802784120839</t>
  </si>
  <si>
    <t>Doğu ve Güneydoğu Anadolu Bölgemizde, DİYARBAKIR, ŞANLIURFA ve MARDİN Şehir Hastaneleri dışında; Şehir Hastaneleri niteliğine sahip, BATMAN, BİNGÖL, KARS, MUŞ, SİİRT ve ŞIRNAK’TA 500 yataklı hastanelerimiz de 2023 yılına kadar tamamlanıp, bölge halkımızın hizmetine sunulacaktır. https://t.co/lDIfOjkau1</t>
  </si>
  <si>
    <t>1338192865827164160</t>
  </si>
  <si>
    <t>✔️SAMSUN, AYDIN, TRABZON Şehir Hastaneleri ihale süreçleri tamamlandı.
✔️1.750 yataklı ŞANLIURFA, her biri 1000’er yataklı ORDU, DENİZLİ, SAKARYA, DİYARBAKIR, ANTALYA, 
RİZE ve 750 yataklı MARDİN Şehir Hastaneleri’nin ihalelerini de yaparak 2023 yılından önce hizmete açacağız. https://t.co/t7azZm4iZs</t>
  </si>
  <si>
    <t>1338189176911646726</t>
  </si>
  <si>
    <t>Yerli aşımızın faz II safhası başlıyor. Hazır aşı tedariki ile ilgili anlaşmamızı da yaptık. https://t.co/xloUqAcPy2</t>
  </si>
  <si>
    <t>1338160614036942851</t>
  </si>
  <si>
    <t>Bugün tespit edilen 5.103 hastamız var. Ağır hasta sayısındaki artış hızı azalmaya devam ediyor. Hasta sayımızdaki artış hızı da azalıyor. Aşıdan etkin olarak fayda sağlayıncaya kadar kapalı ve kalabalık ortamlardan sevdiklerimiz için uzak duralım. https://t.co/RVlhe7786O</t>
  </si>
  <si>
    <t>1338155555442077696</t>
  </si>
  <si>
    <t>DSÖ sadece Türkiye‘nin pandemi dönemindeki başarısını raporlaştırmıştır, dünyada başka bir örneği yoktur. Ayrıca Avrupa İlerleme Raporu’nda sosyal güvencesine bakılmaksızın Türkiye’nin herkese bedelsiz test ve tedavi imkanı sağladığına vurgu yapılarak başarımızdan söz edildi. https://t.co/RfmEJofEYy</t>
  </si>
  <si>
    <t>1338148182354759680</t>
  </si>
  <si>
    <t>Gösterdiğiniz kahramanlığı, yaptığınız fedakarlığı milletçe unutmayacağız. #Minnettarız https://t.co/m1UtKjJgPS</t>
  </si>
  <si>
    <t>1338139166417227778</t>
  </si>
  <si>
    <t>Salgın döneminde vatandaşlarımızın sağlığı için canını feda eden sağlık şehitlerimizi kalbimize gömdük. #minnettarız</t>
  </si>
  <si>
    <t>1337858241045389313</t>
  </si>
  <si>
    <t>TBMM Genel Kurulu 2021 Bütçe Görüşmeleri sürüyor. Bakanlığımızın bütçesi için yüce meclisimizdeyiz. https://t.co/XV3TqzDlns</t>
  </si>
  <si>
    <t>1337829124870565888</t>
  </si>
  <si>
    <t>Bugün tespit edilen 5.203 hastamız var. Ağır hasta sayısındaki artış hızının durağan olması sevindirici. Kısıtlamalara tam uyum ve tedbirlere riayetle mücadelemizi sürdürelim. Aşının yaygın uygulaması ve etkisinin görülmesine kadar sevdiklerimizi koruyalım https://t.co/RVlhe7786O</t>
  </si>
  <si>
    <t>1337790189016641539</t>
  </si>
  <si>
    <t>Bakan arkadaşlarımla birlikte, 2021 yılı bütçe görüşmeleri için Yüce Meclis’teyiz. https://t.co/MA6AV93la4</t>
  </si>
  <si>
    <t>1337765471240806405</t>
  </si>
  <si>
    <t>Bugün Nobel ödüllü bilim insanımız Prof. Dr. Aziz Sancar ile görüştüm. Hocamıza bugün basında da yer alan Bakanlığımızın aşı konusundaki stratejisini destekleyen açıklamalarından dolayı teşekkürlerimi ilettim. Hocamızın cesaretlendirici sözlerine minnettarım. https://t.co/Fgg28Ce4xw</t>
  </si>
  <si>
    <t>1337503596615782404</t>
  </si>
  <si>
    <t>Tedbirlere sıkı uyup elbirliği ile gayret edince, sonuç almak daha kolay. Hepimiz sorumluluğumuzun bilincinde olalım. Ara vermeden mücadeleye devam; birlikte kazanacağız.</t>
  </si>
  <si>
    <t>1337502132866592768</t>
  </si>
  <si>
    <t>İSTANBUL, İZMİR ve KOCAELİ’DE  %30, ANKARA’DA ise %40 günlük vakada düşüş oldu. Ancak hastane ve yoğun bakımlarda hasta yükü devam ediyor. Yoğun bakım doluluk oranı İSTANBUL’DA  %67, İZMİR’DE %78, KOCAELİ ve ANKARA’DA %72.</t>
  </si>
  <si>
    <t>1337502086406266888</t>
  </si>
  <si>
    <t>İSTANBUL, ANKARA, İZMİR, KOCAELİ Valilerimiz, İl Sağlık Müdürlerimiz ve Halk Sağlığı Başkanlarımızla online görüşerek son durumu değerlendirdik. https://t.co/WEyZC346hi</t>
  </si>
  <si>
    <t>1337501986044993538</t>
  </si>
  <si>
    <t>Bugün tespit edilen 5.607 yeni hastamız var. Ağır hasta sayısının artış hızı durağana yaklaştı. Tedbirlere kararlılıkla uymak zorundayız. Aşı uygulanıp etkisini gösterene kadar ısrarla kendimizi ve sevdiklerimizi koruyalım. Bu hepimizin ortak sorumluluğu. https://t.co/RVlhe7786O</t>
  </si>
  <si>
    <t>1337436795458433026</t>
  </si>
  <si>
    <t>Hacettepe Üniversitesi tarafından düzenlenen Uluslararası Katılımlı Ortak Aşı Sempozyumu’nda; katılımcılarla aşıyla ilgili gelişmeleri ve çalışmalarımızı paylaştık. Türkiye gerek aşı tedariğinde gerekse kendi aşısını geliştirmekte erken yol almıştır. https://t.co/LY3wUcBcS3</t>
  </si>
  <si>
    <t>1337431680710307841</t>
  </si>
  <si>
    <t>Yerel ilave tedbirleri daha hızlı ve daha kararlı uygulandıkça, daha olumlu sonuç almamamız mümkün değil. Ara vermeden mücadeleye devam edelim; birlikte kazanacağız.</t>
  </si>
  <si>
    <t>1337143389641469968</t>
  </si>
  <si>
    <t>GAZİANTEP’TE günlük vaka sayısı %35, ŞANLIURFA’DA %30, TEKİRDAĞ’DA %20, DENİZLİ’DE %25 oranında düştü. Filyasyon ekiplerimiz sahada yoğun takip yapıyor. Hastane ve yoğun bakımlarda yükümüz henüz devam ediyor.</t>
  </si>
  <si>
    <t>1337143387846291457</t>
  </si>
  <si>
    <t>GAZİANTEP, ŞANLIURFA, TEKİRDAĞ, DENİZLİ Valilerimiz, İl Sağlık Müdürlerimiz ve Halk Sağlığı Başkanlarımızla online görüşerek durum değerlendirmesi yaptık. https://t.co/BxPkOP3y31</t>
  </si>
  <si>
    <t>1337143383786184706</t>
  </si>
  <si>
    <t>Resulayn’da uğradıkları saldırı sonucu şehit olan kahramanlarımıza Allah’tan rahmet, yaralılarımıza acil şifalar diliyorum. Milletimizin başı sağ olsun. https://t.co/PDVTXx81qM</t>
  </si>
  <si>
    <t>1337119733288759296</t>
  </si>
  <si>
    <t>Bugün tespit edilen 5918 hasta var. Alınan tedbirlerin etkisini hissetmeye başladık. Ağır hasta sayısı artış hızında azalma devam ediyor. Kısıtlamalarla elde edilen kazanımları, kişisel tedbirlerle destekleyerek başarılı olacağız. Birlikte mücadele edelim. https://t.co/RVlhe7786O</t>
  </si>
  <si>
    <t>1337077084666130433</t>
  </si>
  <si>
    <t>Salgının seyrini lehimize değiştirmek için birlikte hareket etmek zorundayız. https://t.co/hAFOpFzpCi</t>
  </si>
  <si>
    <t>1336991991582896129</t>
  </si>
  <si>
    <t>Salgınla mücadelede hepimizin aynı tarafta olduğunu unutmamalıyız. https://t.co/AKcbq1TXix</t>
  </si>
  <si>
    <t>1336985144780058624</t>
  </si>
  <si>
    <t>Aşıda tek önceliğimiz GÜVENİLİR ve ETKİLİ olmasıdır. Başka hastalıklar için yıllardır yapageldiğimiz gelenekselleşmiş inaktif aşıyı yakinen biliyoruz. https://t.co/G6MxytSIIj</t>
  </si>
  <si>
    <t>1336783517041168385</t>
  </si>
  <si>
    <t>Bu bir seferberlik anıdır. Birlik ve beraberlik içinde hepimiz üzerimize düşeni yapmak zorundayız. https://t.co/1ilaKXEZhy</t>
  </si>
  <si>
    <t>1336778358034665472</t>
  </si>
  <si>
    <t>Bilim Kurulu Toplantımızın ardından Koronavirüs ile ilgili son gelişmelere ilişkin basın açıklamamız.
📍Sağlık Bakanlığı
https://t.co/LFOuAJafV3</t>
  </si>
  <si>
    <t>1336709401856647168</t>
  </si>
  <si>
    <t>Sevdiklerimizden uzak kalmamak için eski normallerimizle aramıza mesafe koyalım.
Tedbirlere uyarak hem kendimizi hem de sevdiklerimizi koruyalım. https://t.co/lmdGLZX3rV</t>
  </si>
  <si>
    <t>1336568083260071936</t>
  </si>
  <si>
    <t>Sonucu ne olursa olsun bu onurlu duruşu sergilemek gerekir. Tebrikler asil duruşlu Başakşehir. #notoracism https://t.co/3s2bXyji3O</t>
  </si>
  <si>
    <t>1336424760641728521</t>
  </si>
  <si>
    <t>Canlı yayında rahatsızlanan Prof. Dr. Mehmet CEYHAN Hocamızla görüştüm. Genel durumu iyi. Yakından takip ediyoruz. Hocamıza geçmiş olsun.</t>
  </si>
  <si>
    <t>1336423262717435904</t>
  </si>
  <si>
    <t>Yerel ilave tedbirler hızlı ve zamanında devreye girince sonuç almak daha kolay. Sorumluluk hepimizin. Ara vermeden mücadeleye devam edelim; birlikte kazanacağız.</t>
  </si>
  <si>
    <t>1336358580321214464</t>
  </si>
  <si>
    <t>İZMİR’DE yatak doluluk oranı %59, yoğun bakım doluluk oranı %83. ADANA’DA yatak doluluk oranı %62, yoğun bakım doluluk oranı %81. Mersin’de yatak doluluk oranı %58, yoğun bakım doluluk oranı %84. HATAY’DA yatak doluluk oranı %64, yoğun bakım doluluk oranı %89.</t>
  </si>
  <si>
    <t>1336358578823827456</t>
  </si>
  <si>
    <t>İZMİR, ADANA, MERSİN, HATAY Valilerimiz, İl Sağlık Müdürlerimiz ve Halk Sağlığı Başkanlarımızla online görüşerek durumu tekrar gözden geçirdik. Bu illerimizde sabit vaka artışı var, ağır hasta yükü artıyor. Sırasıyla HATAY, MERSİN, ADANA ve İZMİR’DE risk devam ediyor. https://t.co/AHKB4xJE5u</t>
  </si>
  <si>
    <t>1336358575912914944</t>
  </si>
  <si>
    <t>Bugün tespit edilen 6.593 yeni hastamız var. Günlük test sayısında 200.000’e toplamda ise 20.000.000’a ulaştık. Ağır hasta sayımız artış hızı azalsa da 6.000’e yaklaştı. Kalabalıklardan uzak durmalı ve kendi kısıtlamalarımızı kendimiz uygulamalıyız. https://t.co/RVlhe7786O</t>
  </si>
  <si>
    <t>1336344304026054662</t>
  </si>
  <si>
    <t>SAMSUN, ANTALYA ve ORDU'DA yüksek risk devam ediyor. KONYA ve TRABZON'DA artış kısmen kontrol altında. Sağlık çalışanlarımız elinden geleni yapıyor. Kamu ve özel kurumlarımızla birlikte bütün hemşehrilerimizin duyarlılığı gücümüzü artırıyor. Ara vermeden mücadeleye devam edelim.</t>
  </si>
  <si>
    <t>1336028431734231043</t>
  </si>
  <si>
    <t>Yüksek vaka sayılarının devam ettiği KONYA, SAMSUN, ANTALYA, TRABZON, ORDU Valilerimiz, İl Sağlık Müdürlerimiz ve Halk Sağlığı Başkanlarımızla görüşmeye devam ediyoruz. Bu iller yakın takibimiz altında. Test kapasitemizi ve filyasyon ekiplerimizi artırdık. https://t.co/ACuyK3GuUQ</t>
  </si>
  <si>
    <t>1336028429557362690</t>
  </si>
  <si>
    <t>Bugün tespit edilen 6.420 hastamız var. Ağır hasta sayısındaki artış hızı azalıyor. Kısıtlamaların etkisi görülmeye başlandı. Yakında daha çok hissedeceğimizi ümit ediyoruz. Hepimizin görevi kendi kısıtlamalarımızı uygulayarak kalabalıklardan uzak durmak. https://t.co/RVlhe7786O</t>
  </si>
  <si>
    <t>1335986229582688262</t>
  </si>
  <si>
    <t>Sosyalleşmeye değil, kendimizi korumaya odaklanalım. 
Kalabalık, kapalı ve havalandırması yetersiz ortamlardan uzak duralım. https://t.co/Pwk799ftDr</t>
  </si>
  <si>
    <t>1335647726122524674</t>
  </si>
  <si>
    <t>Bugün tespit edilen 6.093 yeni hastamız var. Ağır hasta sayısındaki artış hızı azalma eğiliminde. Tedbirler ve kısıtlamaların etkisini görmeyi ümit ediyoruz. Tedbirlere uymak hepimiz için insani bir görevdir. Kısıtlama olmadan da kalabalıklardan uzak durun https://t.co/RVlhe7786O</t>
  </si>
  <si>
    <t>1335615120513314816</t>
  </si>
  <si>
    <t>Risk kapımızda. Alışkanlıklarımıza teslim olmayalım. Kısıtlamaları fırsata çevirelim. Tedbirlere daha sıkı uyarak sağlık çalışanlarımıza destek olalım. Mücadele birlikte kazanılır.</t>
  </si>
  <si>
    <t>1335282843304472581</t>
  </si>
  <si>
    <t>Son haftada ADANA'DA vaka artışı %50, yoğun bakım doluluk oranı %79. HATAY'DA artış %125, yoğun bakım doluluk oranı %86. MERSİN'DE artış %50, yoğun bakım doluluk oranı %74. SAMSUN'DA artış %35, yoğun bakım doluluk oranı %81. KASTAMONU'DA artış %50, yoğun bakım doluluk oranı %74.</t>
  </si>
  <si>
    <t>1335282841823944704</t>
  </si>
  <si>
    <t>ADANA, HATAY, MERSİN, SAMSUN ve KASTAMONU Valilerimiz, il Sağlık Müdürlerimiz ve Halk Sağlığı Başkanlarımızla il toplantılarımızı tekrarladık. Sırasıyla ADANA, HATAY, MERSİN ve SAMSUN yüksek risk altında. https://t.co/hjfP5b4Uz0</t>
  </si>
  <si>
    <t>1335282839533867008</t>
  </si>
  <si>
    <t>Her hafta olduğu gibi, İl Sağlık yöneticilerimiz ve Başhekimlerimizle İstanbul’u değerlendirdik. Son bir aydaki çabalar ve tedbirlerle bu hafta vaka sayısında %25 düşüş başladı. Ancak hastane ve yoğun bakım yükü devam ediyor. Ara vermeden mücadeleye devam edelim. https://t.co/hmbDQhVPps</t>
  </si>
  <si>
    <t>1335262817788817413</t>
  </si>
  <si>
    <t>Bugün tespit edilen 6.128 hastamız var. Sokağa çıkma kısıtlamalarının tek sebebi toplum sağlığını korumaktır. Hepimiz üzerimize düşeni yapmalı ve kendi kısıtlamalarımızı uygulamalıyız. Evimiz en güvenli yerdir. Kapalı ve kalabalık ortamlara ara verelim. https://t.co/RVlhe7786O</t>
  </si>
  <si>
    <t>1335254888297734144</t>
  </si>
  <si>
    <t>Cumhurbaşkanımız Sayın Recep Tayyip Erdoğan: “Aşı olma konusunda herhangi bir sıkıntım söz konusu değildir. Çünkü burada sağlık söz konusudur.” https://t.co/vvEY6fPvFx</t>
  </si>
  <si>
    <t>1334931968509833217</t>
  </si>
  <si>
    <t>Ara vermeden mücadeleye devam etmeliyiz. Tedbirlere daha sıkı uyarak sağlık çalışanlarımıza destek olalım. Sağlık çalışanlarının üzerindeki yükü azaltalım.</t>
  </si>
  <si>
    <t>1334923156839129088</t>
  </si>
  <si>
    <t>Son bir haftada ZONGULDAK’TA  vaka artışı %50, yoğun bakım doluluk oranı %77, ANKARA’DA sabit artış olmakla birlikte yoğun bakım doluluk oranı %74, SİVAS’TA artış %25, yoğun bakım doluluk oranı %66, MALATYA’DA artış  %35 yoğun bakım doluluk oranı %61.</t>
  </si>
  <si>
    <t>1334923154825867264</t>
  </si>
  <si>
    <t>ZONGULDAK, ANKARA, SİVAS, MALATYA valileri, il sağlık müdürleri ve halk sağlığı başkanlarıyla ayrı ayrı il değerlendirme toplantıları yaptık. 
Sırasıyla ZONGULDAK, ANKARA, SİVAS ve MALATYA’DA risk devam ediyor. https://t.co/w2jacob6tr</t>
  </si>
  <si>
    <t>1334923152707743747</t>
  </si>
  <si>
    <t>Bugün tespit edilen 6.903 yeni hasta var. Ağır hasta sayısı da aktif hasta sayısı da artmaya devam ediyor. Bugünlerde en büyük bulaşma ortamı kapalı ve kalabalık mekanlar. Kapalı ortamlarda kalabalık içinde bulunmayın. Kendinizi ve sevdiklerinizi koruyun. https://t.co/RVlhe7786O</t>
  </si>
  <si>
    <t>1334897895485689873</t>
  </si>
  <si>
    <t>Koronavirüs’ü daha çok kişiye taşımamak için toplu taşıma hizmetlerimizi kısıtlıyoruz. https://t.co/Ep12zP8Xp1</t>
  </si>
  <si>
    <t>1334895147616755722</t>
  </si>
  <si>
    <t>Bütün kurumlarımızla seferberlik zamanı. Sağlık çalışanlarının üzerindeki yükü azaltalım. Mücadele güç birliği ile kazanılır.</t>
  </si>
  <si>
    <t>1334610358628196354</t>
  </si>
  <si>
    <t>Son bir haftada HATAY’da vaka artışı %100, yoğun bakım doluluk oranı %70, ANTALYA ‘da vaka artışı %100,  yoğun bakım doluluk oranı %71, TRABZON’DA vaka artışı  %50, yoğun bakım doluluk oranı %75, DİYARBAKIR’DA sabit artış var; yoğun bakım doluluk oranı %70.</t>
  </si>
  <si>
    <t>1334610357332172804</t>
  </si>
  <si>
    <t>HATAY, ANTALYA, TRABZON ve DİYARBAKIR İl Sağlık Müdürleriyle ayrı ayrı yaptığımız online toplantılarda, bu illerin durumlarını değerlendirdik. Yüksek risk devam ediyor. https://t.co/KUnUz8AlyA</t>
  </si>
  <si>
    <t>1334610355075551232</t>
  </si>
  <si>
    <t>Sevdiklerimizle aramıza mesafeler girmesin diye cadde ve meydanlarda sayımızı azaltıyor, mesafeyi artırıyoruz. https://t.co/YfVAbojLWm</t>
  </si>
  <si>
    <t>1334599612955561986</t>
  </si>
  <si>
    <t>Salgının etkisini en kısa sürede azaltabilmek için evlerde buluşmaya bir süre ara veriyoruz. https://t.co/qpPY79SPLP</t>
  </si>
  <si>
    <t>1334598401888030725</t>
  </si>
  <si>
    <t>Bizi insan yapan, duyularımızdan öte duygularımızdır. Sabır, inanç, kararlılık gibi en asil duygularla hayatı engelsiz yaşayan vatandaşlarımızı Engelliler Günü münasebetiyle saygıyla selamlıyorum. https://t.co/V3jqSjKRtO</t>
  </si>
  <si>
    <t>1334542601475776517</t>
  </si>
  <si>
    <t>Bugün tespit edilen 6.511 yeni hastamız var. Hasta sayımızı azaltmak zorundayız. Kapalı ve kalabalık ortamlar virüsün en kolay bulaştığı ortamlardır. Kış aylarını kalabalık ve kapalı ortamlardan uzak durarak geçirmeliyiz. Mücadele evde kalarak da mümkün. https://t.co/RVlhe7786O</t>
  </si>
  <si>
    <t>1334535826756300802</t>
  </si>
  <si>
    <t>RT @RTErdogan: BM Genel Kurulu Kovid-19’la Mücadele Özel Oturumu https://t.co/9u2hMMoYTk</t>
  </si>
  <si>
    <t>1334506856321077248</t>
  </si>
  <si>
    <t>Beyaz tulumlarınızdan dolayı yüzlerinizi göremesek de o kocaman yüreklerinizi milletçe görüyor ve biliyoruz. Minnettarız... https://t.co/M1VIb252sy</t>
  </si>
  <si>
    <t>1334469829475098625</t>
  </si>
  <si>
    <t>Son iki haftada İZMİR ve KONYA’DA %50 vaka artışı, ADANA, SAMSUN ve ORDU’DA %100 vaka artışı var. Başta İZMİR, ADANA ve SAMSUN olmak üzere bu illerimizde hastanelerimiz ve sağlık personelimiz büyük bir yükün altında. Salgınla mücadelede fedakarlık sınavımız devam ediyor.</t>
  </si>
  <si>
    <t>1334267051188301825</t>
  </si>
  <si>
    <t>İZMİR, ADANA, SAMSUN, BURSA, ORDU, GAZİANTEP ve KONYA İl Sağlık Müdürlerimizle online görüşmemizi tekrarladık. Bu illerimizde salgının seyrini yakından takip ediyoruz. https://t.co/t6wn2jDIDI</t>
  </si>
  <si>
    <t>1334267048764051460</t>
  </si>
  <si>
    <t>Ülke olarak aşılama çalışmalarına önceden hazırlıklı olma gayretindeyiz. Bilim Kurulumuz aşılama stratejisi üzerinde çalışmalarını yürütüyor. Planlamalarımızı yaptık. https://t.co/K5FuFhDfQI</t>
  </si>
  <si>
    <t>1334230296099745794</t>
  </si>
  <si>
    <t>Salgınla aramıza mesafe koymak için pazar ve AVM’lerde kalabalığa karışmıyoruz. https://t.co/fXgRVqaRPv</t>
  </si>
  <si>
    <t>1334201940301975552</t>
  </si>
  <si>
    <t>Bugün tespit edilen 6.690 yeni hastamız var. Mevsim şartları nedeniyle kapalı ortamların kullanımı arttı. Artan aktif hasta sayısını azaltmak için kalabalık, kapalı ve yeterince havalandırılmayan ortamlardan uzak durmalıyız. https://t.co/RVlhe7786O</t>
  </si>
  <si>
    <t>1334170473563910146</t>
  </si>
  <si>
    <t>Duygularımızı rahatça paylaşabileceğimiz günler için cenaze ve nikâhlarda 30 kişiyi geçmiyoruz. https://t.co/rme4nw6deB</t>
  </si>
  <si>
    <t>1334147064586964996</t>
  </si>
  <si>
    <t>Salgının seyrini değiştirmesini ümit ettiğimiz aşı için sözleşme imzalandı. Hedefimiz Aralık ayında hızla aşılamaya başlamak. Önce sağlık çalışanlarımız aşılanacak. https://t.co/zdIKZ78Xyd</t>
  </si>
  <si>
    <t>1333889937633120256</t>
  </si>
  <si>
    <t>Amacımız hayatı değil, salgını kısıtlamak. https://t.co/UqVKQdDYBe</t>
  </si>
  <si>
    <t>1333885349534294019</t>
  </si>
  <si>
    <t>Salgının yayılımını azaltmak zorundayız. Bu yüzden zorunlu olmadıkça dışarı çıkmıyoruz. https://t.co/C6YKQbTiOn</t>
  </si>
  <si>
    <t>1333882857329221633</t>
  </si>
  <si>
    <t>Bugün TBMM’de milletvekillerimizle bir araya geldik. Memleketimizin sağlık politikaları ve yatırımlarımız üzerine istişarelerde bulunduk. Vatandaşlarımızın vekillerimiz aracılığıyla ilettiği talepleri değerlendirdik. https://t.co/cFXk3ff8HE</t>
  </si>
  <si>
    <t>1333860924785127460</t>
  </si>
  <si>
    <t>Bugün tespit edilen 6.101 yeni hastamız var. İyileşen hasta sayımız yeni hasta sayımızı geçmedikçe sağlık sisteminin yükü artmaya devam ediyor. İster zorunlu olsun isterse gönüllü tedbirlerin hayat kurtardığını unutmayalım. Tedbirlere uyalım. https://t.co/RVlhe7oIYm</t>
  </si>
  <si>
    <t>1333802905585926146</t>
  </si>
  <si>
    <t>Bilim Kurulumuzun tavsiyelerinin değerlendirildiği Kabine Toplantısı’nın ardından Sayın Cumhurbaşkanımız, Koronavirüs’le mücadelede yeni tedbirleri açıkladı. Bu tedbirlere milletçe uymak, hem zorunluluğumuz hem de sorumluluğumuzdur. Mücadeleyi ancak birlikte kazanabiliriz. https://t.co/gvGllYWMjN</t>
  </si>
  <si>
    <t>1333520234611957761</t>
  </si>
  <si>
    <t>Tez canlı davranır, işimize yetişme telaşıyla kalabalık demeden OTOBÜSE binersek, işimize bir daha ulaşamayacağımız bir yolculuğa çıkabiliriz. Anlık bir ihmalin nelere yol açtığını görelim. Tedbir kişisel sağlığımızın güvencesi olduğu kadar toplumsal sorumluluğumuz da. https://t.co/KsEso5fqbM</t>
  </si>
  <si>
    <t>1333492651803467778</t>
  </si>
  <si>
    <t>Salgınla mücadele silahlarımız belli: Temizlik, maske ve mesafe. Toplumun sağlığını korumak için bazı tedbirleri almak zorundayız. Tedbirlere birlikte uyarsak zorunlu kısıtlamalardan daha kısa sürede kurtuluruz. Kısıtlamalara tam uyum gösterelim.</t>
  </si>
  <si>
    <t>1333481025213767680</t>
  </si>
  <si>
    <t>Bugün tespit edilen 6.514 yeni hastamız var. Daha sıkı korunma ve daha sıkı tedbire ihtiyacımız var. Mücadeleyi birlikte sürdürmek zorundayız. Tedbirlere uyarak mücadeleye destek olun. https://t.co/RVlhe7786O</t>
  </si>
  <si>
    <t>1333465836204462083</t>
  </si>
  <si>
    <t>RT @RTErdogan: Kabine Toplantısı Sonrası Millete Sesleniş https://t.co/JLUJPTIz64</t>
  </si>
  <si>
    <t>1333455226687401986</t>
  </si>
  <si>
    <t>HAFİFE ALMA.
Bugün virüsü hafife alır ve eski normallerimizden vazgeçmezsek, yarın çok pişman olabiliriz. Tedbir hem sağlığımızın hem de sosyal hayatımızın güvencesidir. https://t.co/fkVMpJt45a</t>
  </si>
  <si>
    <t>1333288137699831809</t>
  </si>
  <si>
    <t>Bugün 6.439 yeni hastamız var. Ağır hasta sayısı artmaya devam ediyor. Bu yükü başarıyla göğüsleyen sağlık çalışanlarımıza destek olun. Tedbirlere daha sıkı uyarak mücadeleye güç katın. https://t.co/RVlhe7786O</t>
  </si>
  <si>
    <t>1333091828049059847</t>
  </si>
  <si>
    <t>COVID-19 aşısı ile ilgili ilk anlaşmaları yaptık. Alternatif üreticilerle de görüşmelerimiz devam ediyor. Daha önce de açıkladığım gibi BEDELSİZ olarak, sağlık çalışanlarımızdan başlayarak, kademeli bir şekilde aşı yapmayı planlıyoruz. Devletimiz vatandaşının yanındadır. https://t.co/mj5fTssPtU</t>
  </si>
  <si>
    <t>1332776645720231937</t>
  </si>
  <si>
    <t>Bugün eski normallerle aramıza mesafe koymazsak, yarın en sevdiklerimizle aramıza istemediğimiz mesafeler girebilir. Maske, mesafe ve temizlik tedbirleri sağlığımızın ve sosyal hayatımızın en büyük güvencesidir. https://t.co/PkmetQnV1S</t>
  </si>
  <si>
    <t>1332761253283057667</t>
  </si>
  <si>
    <t>İstanbul'da Sağlık yöneticilerimizle haftalık değerlendirme toplantımızı gerçekleştirdik. Pandemi yönetimi ve sağlık hizmetlerimizin durumunu gözden geçirdik. İSTANBUL'DA AĞIR HASTA ARTIŞI VAR; RİSK DEVAM EDİYOR. Kısıtlama olmayan zamanları da, mecbur olmadıkça evde geçirelim. https://t.co/7wLvxEdNNs</t>
  </si>
  <si>
    <t>1332752383357689858</t>
  </si>
  <si>
    <t>PROF. DR. FERİHA ÖZ ve PROF. DR. MURAT DİLMENER Acil Durum Hastanelerimizin üstlendiği yükü ve yatan hastalarımızın durumunu yerinde değerlendirdik. Artan ağır hastaların takibinde üstlendikleri sorumluluk, İstanbul’da pandemi kontrolünde büyük yer tutuyor. https://t.co/mDsJuzwTnK</t>
  </si>
  <si>
    <t>1332745782815039490</t>
  </si>
  <si>
    <t>Bugün tespit edilen 4.903 ağır hastamız var. Sağlık ordumuz ağır yük altında. Her birimiz tedbirlere uymakla mesulüz. Bu kişisel bir tercih değil, toplumsal bir zorunluluktur. https://t.co/RVlhe7786O</t>
  </si>
  <si>
    <t>1332720542084894720</t>
  </si>
  <si>
    <t>Hatırlı kahvelerin yerini acı hatıralar alabilir. Dostlarınıza açtığınız kapıdan GÖRÜNMEZ MİSAFİR girebilir. En güvenilir yer evinizdir. Riski evinize davet etmeyin ve ailenizi koruyun. https://t.co/nVWGEiR3Wx</t>
  </si>
  <si>
    <t>1332707904810590208</t>
  </si>
  <si>
    <t>Gen tedavisi uygulama prosedürünün bir parçası olarak en az 1 ay süreyle bağışıklık sisteminin baskılanması gerekmekte, özellikle kilosu yüksek olan bazı hastalarda bu süreç 1 yıla kadar uzayabilmektedir. SMA Bilim Kurulu, her ay toplanıyor, STK’lar ve aileler bilgilendiriliyor.</t>
  </si>
  <si>
    <t>1332665123643813890</t>
  </si>
  <si>
    <t>SMA Bilim Kurulu, hastalığın tedavisi olmadığı, 2 yaşına kadar gen tedavisi almazsa öleceği hakkındaki iddiaların asılsız olduğunu belirtti. Başvuru süreci tamamlanan SMA hastaları etkinliği ve yan etkileri bilinen, ülkemizde başarı ile uygulanan tedaviden halen faydalanmaktadır.</t>
  </si>
  <si>
    <t>1332665122112876545</t>
  </si>
  <si>
    <t>Bakanlığımızca düzenlenen SMA Hastalığında Güncel Tedaviler Çalıştayı’na SMA Bilim Kurulu üyeleri, Bakanlık yetkilileri, SMA dernekleri katıldı. SMA Bilim Kurulu, SMA ilaçlarıyla ve son dönemde gündeme gelen muhtemel gen tedavisiyle ilgili güncel bilimsel çalışmalara değindiler.</t>
  </si>
  <si>
    <t>1332665120615501824</t>
  </si>
  <si>
    <t>Kontrollü Sosyal Hayat'ın amacı kurallar dahilinde hayatın normal akışını devam ettirmektir. Ancak artan vaka sayıları bu hafta sonu da 20.00-10.00 saatleri arasında kısıtlama uygulamasını zorunlu kıldı. Mecbur değilsek kısıtlamaların olmadığı zamanları da evimizde geçirelim. https://t.co/aiNcB1FOsD</t>
  </si>
  <si>
    <t>1332434466309091329</t>
  </si>
  <si>
    <t>DÜĞÜNLER gibi büyük kalabalıklar, katılan herkesin sağlığı için büyük bir tehdittir. Her ihmal virüse bir davetiye çıkarmaktır. https://t.co/sbXrl9paAN</t>
  </si>
  <si>
    <t>1332386692452524032</t>
  </si>
  <si>
    <t>Bugün tespit edilen 6.592 yeni hastamız var. Ağır hasta sayımız 5.000’e yaklaştı. Kayıplarımız artıyor. Tedbirlere sıkı uyarsak kısıtlama olmadan da mücadele edebiliriz. Yoksa kısıtlamalar kaçınılmaz olur. En güvenli yer evimizdir. https://t.co/RVlhe7786O</t>
  </si>
  <si>
    <t>1332363477378355203</t>
  </si>
  <si>
    <t>Vakalar Tokat, Tekirdağ, Adana, Mersin ve Sakarya'da iki haftada %100, Erzurum'da ise %50 artış gösterdi. Tedbirlerden verdiğimiz her taviz, salgınla mücadeleyi zorlaştırıyor. Tedbirin olmadığı yerde tehdit devam ediyor.</t>
  </si>
  <si>
    <t>1332343639645843456</t>
  </si>
  <si>
    <t>Adana, Mersin, Sakarya, Tokat, Tekirdağ ve Erzurum Sağlık Müdürleri ile yaptığımız online toplantıda, salgının bu illerimizdeki seyri, temaslı takibi, hasta yükü ve vaka artışları üzerinde durduk. https://t.co/T1C3wrgn1i</t>
  </si>
  <si>
    <t>1332343637515100162</t>
  </si>
  <si>
    <t>Samsun, İzmir, Denizli, Balıkesir ve Çorum İl Sağlık Müdürleriyle online toplantıda salgın seyrini ele aldık. Samsun’da vaka artıyor. Samsun, Çorum ve İzmir’de ilaç kullanımı düşük. Vaka sayısına oranla hastaneye yatışlar gittikçe artıyor. Fedakarlık sınavımız devam ediyor. https://t.co/3ophGyWR52</t>
  </si>
  <si>
    <t>1332060380282155008</t>
  </si>
  <si>
    <t>Zorunlu karantina tedbirlerine uymamak, temas ettiğimiz herkesi riske atmak demektir. Tedbirlere harfiyen uymak ise kendimize, sevdiklerimize ve ülkemize karşı vicdani sorumluluğumuzdur. https://t.co/PKvulLcIoF</t>
  </si>
  <si>
    <t>1332031918242611202</t>
  </si>
  <si>
    <t>COVID-19’a karşı aşı geliştirme çalışmaları yarışında biz de varız.
TÜSEB desteği ile Erciyes Üniversitesi’nde geliştirilen COVID-19 aşı çalışmaları planlanan takvime uygun olarak devam ediyor. Milli aşı adayının gönüllülere ikinci doz uygulaması bugün başladı. Umutluyuz.</t>
  </si>
  <si>
    <t>1332015007987617792</t>
  </si>
  <si>
    <t>Hastaneye yatan, yoğun bakıma geçişi olan, cihaza bağlanan ve erken dönemde kaybetmek durumunda kaldığımız hastaların önemli kısmı, erken dönemde ilacını almayan kişiler olduğunu bilelim. https://t.co/89TstovqTL</t>
  </si>
  <si>
    <t>1332002148075397121</t>
  </si>
  <si>
    <t>Bugün tespit edilen 6.876 yeni hastamız var. Aktif hasta sayımız artıyor. Salgının seyri kadar bizim tedbirlere uyumumuz da kısıtlamalar konusunda belirleyici olacak. Tedbirlere uyarsak kısıtlamalara gerek kalmaz. Birlikte mücadele edersek başarabiliriz. https://t.co/RVlhe7786O</t>
  </si>
  <si>
    <t>1331994263287197696</t>
  </si>
  <si>
    <t>Dünyada tüm aşı platformalarında aşı geliştirmeye çalışan ender ülkelerden biriyiz. Aşı Değerlendirme Komisyonu'nun onayını alan tüm bilim insanlarımızı ayrım yapmaksızın destekliyoruz. Nisanda ilk yerli COVID-19 aşımıza kavuşmayı ümit ediyoruz. https://t.co/2IPVQcIoLx</t>
  </si>
  <si>
    <t>1331946958303481856</t>
  </si>
  <si>
    <t>Vakalarla ve temaslılarla ilgili her türlü bilgi sistemimizde kayıtlıdır. HES kodu sorgulaması ile, toplu nüfusla muhatap olan tüm kurumlarımız bu sisteme erişebilmektedir. https://t.co/8sS7vgtMO9</t>
  </si>
  <si>
    <t>1331943160818376704</t>
  </si>
  <si>
    <t>Salgın döneminde özellikle yöneticilerimizin yapacağı çok iş var. Salgınla mücadelede herkes üzerine düşeni yapmalı, icraate odaklanmalı. https://t.co/JRdgd1pTmK</t>
  </si>
  <si>
    <t>1331714745506947077</t>
  </si>
  <si>
    <t>Şiddet: İnsan olma hasletlerini reddetmektir. Kadına şiddet, bu acziyetin en belirgin göstergesidir. Her türlüsüyle mücadele etmeliyiz. https://t.co/7r1vdILAfJ</t>
  </si>
  <si>
    <t>1331704221733883904</t>
  </si>
  <si>
    <t>Hiç kimse kendini mücadele sorumluluğu taşımaktan uzak görmesin. https://t.co/7cGczzoK0k</t>
  </si>
  <si>
    <t>1331703242833743874</t>
  </si>
  <si>
    <t>Dönem birlikte mücadele etme dönemidir. Bu kadar ciddi bir durum varken, mazeret üretmeksizin sorumluluğumuzu bilmek, tedbirleri almak, üzerimize düşen görevleri hakkıyla yapmak zamanıdır. https://t.co/KpAY36U00h</t>
  </si>
  <si>
    <t>1331695744588378126</t>
  </si>
  <si>
    <t>Bilim Kurulu Toplantımızın ardından Koronavirüs ile ilgili son gelişmelere ilişkin basın açıklamamız.
📍Sağlık Bakanlığı
https://t.co/m3qlG4DEsH</t>
  </si>
  <si>
    <t>1331640994626940931</t>
  </si>
  <si>
    <t>Temmuz 2020’de ruhsat verdiğimiz, antijen üretimi dahil tamamen yerli Tetanos-Difteri aşısının ilk kısmı bugün Bakanlığımızca kullanıma alındı. Yerlileşme politikası çerçevesinde başlattığımız yerli aşı üretimine yönelik süreç yeni müjdelerle devam edecektir. https://t.co/TuaHWpRzQw</t>
  </si>
  <si>
    <t>1331520584539312128</t>
  </si>
  <si>
    <t>Bursa, Kocaeli ve Gaziantep'te belirgin artış var. Bu illerimizde daha gayretli, daha titiz bir çalışma gerekiyor. Desteğinizin önemi artmış durumda. Mücadelemize desteğinizle güç verin.</t>
  </si>
  <si>
    <t>1331373836185505792</t>
  </si>
  <si>
    <t>Bursa, Gaziantep, Kocaeli, Tekirdağ, Malatya ve Ordu İl Sağlık Müdürleriyle yaptığımız online toplantıda; salgın seyrini, hizmet kapasitemizi ve filyasyon ekiplerimizin performansını gözden geçirdik. Ek tedbirleri ele aldık. https://t.co/Li6j2ehd8t</t>
  </si>
  <si>
    <t>1331373833903878145</t>
  </si>
  <si>
    <t>Bugün eski normallerimize mesafe koymazsak yarın sevdiklerimizle aramıza hiç kapanmayacak mesafeler girebilir. Maske, mesafe ve temizlik kurallarına uymak kendimize, sevdiklerimize ve ülkemize karşı vicdani sorumluluğumuzdur. Sağlığımızın ve sosyal hayatımızın güvencesi budur. https://t.co/FQX9WqEkd3</t>
  </si>
  <si>
    <t>1331295453019856899</t>
  </si>
  <si>
    <t>Bugün tespit edilen 7.381 yeni hastamız var. Ağır hasta sayımız 4.543’e ulaştı. Salgının seyrini değiştirmek elimizde. Aldığımız tedbir ve kısıtlamaların daha iyi ve hızlı netice vermesi için desteğiniz şart. Zorunlu olmadıkça kalabalıklardan uzak durun. https://t.co/RVlhe7786O</t>
  </si>
  <si>
    <t>1331277086913392640</t>
  </si>
  <si>
    <t>Ne zorluk bildiniz ne mesafe tanıdınız, zorlu pandemi sürecinde bile bilimin meşalesini gururla taşıdınız. Siz değerli öğretmenlerimizin Öğretmenler Günü’nü bütün kalbimle kutluyorum. https://t.co/zWeyyXHIMr</t>
  </si>
  <si>
    <t>1331226089658724353</t>
  </si>
  <si>
    <t>Bakanlığımız; 7.000’i hemşire, 1.700’ü ebe ve 2.864’ü sağlık teknikeri/teknisyeni, 14 branşta 12 bin sağlık personeli alacak. Tercih Kılavuzunun yayınlanmasını müteakip mülakatsız atama yapılacak. Pandemi mücadelemizin bu zor günlerinde, atamalar bize güç katacaktır. https://t.co/po5ISU7BBk</t>
  </si>
  <si>
    <t>1331108580452421634</t>
  </si>
  <si>
    <t>Şanlıurfa, Ankara, Adana, Konya, Manisa, Kayseri, Sakarya, Samsun, Antalya, Diyarbakır sağlık müdürlerimizle yaptığımız video konferans toplantılarında, salgınla mücadelede bulunduğumuz noktayı, sağlık çalışanlarımızın ihtiyaçlarını ele aldık. Desteğinizin önemi artmış durumda. https://t.co/yqUPVQh6fc</t>
  </si>
  <si>
    <t>1330955392751431687</t>
  </si>
  <si>
    <t>Bugün eski normallerimize mesafe koymazsak yarın sevdiklerimizle aramıza hiç kapanmayacak mesafeler girebilir. Maske, mesafe ve temizlik kurallarına uymak kendimize, sevdiklerimize ve ülkemize karşı vicdani sorumluluğumuzdur. Sağlığımızın ve sosyal hayatımızın güvencesi budur. https://t.co/UKDu9gRknK</t>
  </si>
  <si>
    <t>1330944847897833475</t>
  </si>
  <si>
    <t>Salgınla mücadelede toplum olarak bir fedakârlık sınavındayız. Sadece bugünkü yeni hasta sayımız 6.713. Dışarı çıkmak için mecburiyetiniz yoksa evde kalın. Sizin evde geçirdiğiniz zaman arttıkça bizim mücadele gücümüz artacak. Yayılımı durdurmak için en iyi tedbir evinizdir. https://t.co/Z5nsu04HMd</t>
  </si>
  <si>
    <t>1330927910325252097</t>
  </si>
  <si>
    <t>Bugün tespit edilen 6.713 yeni hastamız var. Aşı kullanıma girene kadar, salgının yayılma hızını kontrol altında tutmaya devam edebilmek için destek verin. Tedbirlere uyun. Maske takın. Temizliğe dikkat edin. Zorunlu olmadıkça kalabalık ortamlara girmeyin. https://t.co/RVlhe7786O</t>
  </si>
  <si>
    <t>1330919266221248518</t>
  </si>
  <si>
    <t>TÜSEB desteğiyle Erciyes Üniversitesi’nde geliştirilen COVID-19 aşısının Faz-I çalışmasında 44 gönüllüye aşı uygulandı. Şu ana kadar ciddi bir yan etki görülmedi. İkinci doz aşılama 26 Kasım-14 Aralık tarihleri arasında yapılacak. Güzel haberlerini vereceğim 15 aşı adayı daha var</t>
  </si>
  <si>
    <t>1330902182250614785</t>
  </si>
  <si>
    <t>Salgınla mücadelede toplum olarak bir fedakârlık sınavındayız. Sadece dünkü yeni hasta sayımız 6.017. Dışarı çıkmak için mecburiyetiniz yoksa evde kalın. Sizin evde geçirdiğiniz zaman arttıkça bizim mücadele gücümüz artacak. Yayılımı durdurmak için en iyi tedbir evinizdir. https://t.co/leZpJE7rtW</t>
  </si>
  <si>
    <t>1330862767352532999</t>
  </si>
  <si>
    <t>Bir fedakârlık sınavındayız. Mecburiyet yoksa evden çıkmayın.</t>
  </si>
  <si>
    <t>1330830898145726466</t>
  </si>
  <si>
    <t>Fatih Altaylı ve topluma her zaman ışık tutan değerli bilim insanlarımıza, maske takarak ve mesafeye dikkat ederek programa katıldıkları için teşekkür ediyorum. https://t.co/U1yKRWvDQq</t>
  </si>
  <si>
    <t>1330610943542390791</t>
  </si>
  <si>
    <t>Salgınla mücadelede bir fedakârlık sınavındayız. Sadece bugünkü yeni hasta sayımız 6.000’in üzerinde. Kısıt olmayan zamanlarda da, mecburiyetiniz yoksa evde kalın. Evde geçen zaman arttıkça mücadele gücümüz artacak. En iyi tedbir evimizdir. #bizevdeyiz https://t.co/UyCLRVck2R</t>
  </si>
  <si>
    <t>1330578806512508928</t>
  </si>
  <si>
    <t>Salgınla mücadelede bir fedakârlık sınavındayız. Sadece bugünkü yeni hasta sayımız 6.000’in üzerinde. Kısıt olmayan zamanlarda da, mecburiyetiniz yoksa evde kalın. Evde geçen zaman arttıkça mücadele gücümüz artacak. En iyi tedbir evimizdir. #bizevdeyiz https://t.co/pZ33019W0k</t>
  </si>
  <si>
    <t>1330572256657944577</t>
  </si>
  <si>
    <t>Bugün tespit edilen 6.017 hastamız var. Tedbirler ve kısıtlamaların yakın zamanda netice vermesi için kurallara sıkı sıkıya uymalıyız. Salgınla mücadelenin yöntemi asırlardır değişmedi: el Temizliği, Maske ve Mesafe. Sevdiklerimiz için tedbirlere uyalım. https://t.co/RVlhe7786O</t>
  </si>
  <si>
    <t>1330553537475059712</t>
  </si>
  <si>
    <t>22 Kasım, Dünya Diş Hekimleri Günü. İçinde bulunduğumuz haftaysa Ağız Diş Sağlığı Haftası. Salgın döneminde risk alma pahasına hastalarıyla yakından ilgilenmeye devam eden, birçoğu yanımızda olan diş hekimlerimizi kutluyoruz. Fedakârlıkları için de kendilerine şükran borçluyuz.</t>
  </si>
  <si>
    <t>1330515734250786816</t>
  </si>
  <si>
    <t>Bugün Pazar. Yakınlarımızla, aile büyüklerimizle görüşmek için mümkünse teknolojiden yararlanalım. Büyüklerimizi ziyaret etmek yerine, görüntülü konuşalım. Sevdiklerimizle ekran başında bir araya gelelim. Sizin evde geçirdiğiniz zaman arttıkça bizim mücadele gücümüz artacak. https://t.co/fRtvybBAwM</t>
  </si>
  <si>
    <t>1330476212578381827</t>
  </si>
  <si>
    <t>Sizin evde geçirdiğiniz zaman arttıkça bizim mücadele gücümüz artacak.</t>
  </si>
  <si>
    <t>1330468582598316033</t>
  </si>
  <si>
    <t>En iyi tedbir evimizdir.</t>
  </si>
  <si>
    <t>1330451368486854659</t>
  </si>
  <si>
    <t>Bugün eski normallerimize mesafe koymazsak yarın sevdiklerimizle aramıza hiç kapanmayacak mesafeler girebilir. Maske, mesafe ve temizlik kurallarına uymak kendimize, sevdiklerimize ve ülkemize karşı vicdani sorumluluğumuzdur. Sağlığımızın ve sosyal hayatımızın güvencesi budur. https://t.co/Chqdrc3bGl</t>
  </si>
  <si>
    <t>1330241500781932549</t>
  </si>
  <si>
    <t>Salgınla mücadelede bir fedakârlık sınavındayız. Sadece bir gündeki yeni hasta sayımız 5.000’in üzerinde. Kısıt olmayan zamanlarda da, mecburiyetiniz yoksa, evde kalın. Evde geçen zaman arttıkça mücadele gücümüz de artacak. En iyi tedbir evimizdir. https://t.co/M3Fq8N9sZw</t>
  </si>
  <si>
    <t>1330224845427257346</t>
  </si>
  <si>
    <t>Salgınla mücadelede bir fedakârlık sınavındayız. Sadece bir gündeki yeni hasta sayımız 5.000’in üzerinde. Kısıt olmayan zamanlarda da, mecburiyetiniz yoksa, evde kalın. Evde geçen zaman arttıkça mücadele gücümüz de artacak. En iyi tedbir evimizdir. https://t.co/oNqfOHcnjH</t>
  </si>
  <si>
    <t>1330220211212083200</t>
  </si>
  <si>
    <t>İSTANBUL sağlık yöneticileriyle yaptığımız değerlendirmede, çabalarımızın sonuç vermeye başladığını gördük. Artan test sayıları, filyasyon hızı, sağlık çalışanlarının yoğun emeği ve tedbirlere gösterilen uyumla daha iyi bir noktadayız. Artış kontrol altında. Süreç hepimize bağlı. https://t.co/niiBueGeVf</t>
  </si>
  <si>
    <t>1330201666679877639</t>
  </si>
  <si>
    <t>En iyi tedbir evimizdir. Evde geçen zaman arttıkça salgınla mücadele gücümüz de artacak. Ben işimin başında olmak zorundayım. Sizden evde olduğunuzu gösteren fotoğraf ve videoları bekliyoruz. #bizevdeyiz https://t.co/ZNapMn4r22</t>
  </si>
  <si>
    <t>1330193834681249796</t>
  </si>
  <si>
    <t>Bugün tespit edilen 5.532 yeni hasta var. Ağır hasta sayımız da kayıplarımız da can yakıyor. Kayıplarımızı azaltacak olan kurallara ve tedbirlere canla başla uymaktır. Mücadelenin gücü birlik olmak. Güç verin. https://t.co/RVlhe7786O</t>
  </si>
  <si>
    <t>1330186573003055104</t>
  </si>
  <si>
    <t>AKŞAM 20.00’DE EVDE OLALIM. Kısıtlama başlıyor. Evde olmak, ailece zaman geçirmek için fırsat, salgınla mücadele eden sağlık çalışanlarımıza karşı ise bir sorumluluk. Sizin evde geçirdiğiniz zaman arttıkça bizim mücadele gücümüz artacak.</t>
  </si>
  <si>
    <t>1330172396523950085</t>
  </si>
  <si>
    <t>Ağır hasta sayısı 4 ayda 8 kat arttı. Bir gündeki yeni hasta sayımız, 5.000’in üzerinde. Dünkü can kaybımız, 141. Mücadeleden daha az yara, daha az acıyla çıkmak için, zorunlu tedbirlere kendi tercihimizi eklemeliyiz. EN İYİ TEDBİR EVİMİZDİR. Mecburiyet yoksa dışarı çıkmayın.</t>
  </si>
  <si>
    <t>1330122916739080192</t>
  </si>
  <si>
    <t>SEVGİLİ GENÇLER. 13.00-16.00 arası evde kalmak yerine, çıkmayı tercih etmişseniz, kurallara eskisiyle kıyaslanmayacak kadar çok dikkat edin. Dışarıda 3 saat yerine, daha az zaman geçirirseniz bu hepimiz için daha iyi. (Gençler mesajı aldı. Biz yine de telefon edip, hatırlatalım.)</t>
  </si>
  <si>
    <t>1330114097208307712</t>
  </si>
  <si>
    <t>DEĞERLİ BÜYÜKLERİMİZ. 10.00-13.00 arası evde olmak yerine, dışarıda olmayı tercih etmişseniz, kurallara eskisiyle kıyaslanmayacak kadar çok dikkat edin. Dışarıda 3 saat yerine, daha az zaman geçirirseniz bu sizin için daha iyi. (Büyüklerimize telefon edelim, MESAJ YERİNİ BULSUN.)</t>
  </si>
  <si>
    <t>1330066788722368514</t>
  </si>
  <si>
    <t>Sağlık çalışanlarımız, COVID-19’a karşı gerçek bir savaş veriyor. Hiç aralıksız! Sadece dün 5.103 yeni hastamız vardı. Doktordan hemşireye, laboranttan ambulans şoförüne, hepimizin yükü fazlasıyla ağırlaştı. Kısıtlamalara lütfen uyun. Salgını geriletmek için, bize fırsat tanıyın. https://t.co/f7qm68DekA</t>
  </si>
  <si>
    <t>1329900011023429632</t>
  </si>
  <si>
    <t>Prof. Dr. Asım Cenani’yi kaybettik. Cerrahpaşa Tıp Fakültesi’nde, Çocuk Hastalıkları uzmanlık eğitimim sırasında öğrencilerinden biri olma onuruna kavuşmuştum. Genetik ve Tıbbi Biyoloji alanında öncü kabul ediliyordu. Kendisine Allah’tan rahmet, yakınlarına başsağlığı diliyorum.</t>
  </si>
  <si>
    <t>1329895876236554241</t>
  </si>
  <si>
    <t>Ülkemizde Faz-3 çalışmalarına 15 Eylülde başlanan, Çin’de geliştirilmiş COVID-19 AŞISI, ilkin gönüllü sağlık çalışanlarına uygulanmıştı. Çalışmaların devamı için bu sabah sizlerden gönüllü aradığımızı duyurduk. Gün bitmeden 20 BİN başvuru aldık. 83 MİLYON ADINA BİNLERCE TEŞEKKÜR.</t>
  </si>
  <si>
    <t>1329878240002011137</t>
  </si>
  <si>
    <t>İZMİR, BURSA, KOCAELİ, GAZİANTEP, KAHRAMANMARAŞ, DENİZLİ, SİVAS il sağlık müdürleriyle yaptığımız video konferans görüşmelerinde, salgının son durumunu, yeni kısıtlamalardan beklenen sonuçları, ek tedbirleri ele aldık. Hasta yükümüzü ve filyasyon çalışmalarımızı gözden geçirdik. https://t.co/O4tQvxrmBs</t>
  </si>
  <si>
    <t>1329840079712514049</t>
  </si>
  <si>
    <t>Bugün eski normallerimize mesafe koymazsak yarın sevdiklerimizle aramıza hiç kapanmayacak mesafeler girebilir. Maske, mesafe ve temizlik kurallarına uymak kendimize, sevdiklerimize ve ülkemize karşı vicdani sorumluluğumuzdur. Sağlığımızın ve sosyal hayatımızın güvencesi budur. https://t.co/2oP8dVIqi1</t>
  </si>
  <si>
    <t>1329832498403143681</t>
  </si>
  <si>
    <t>Bugün tespit edilen 5.103 yeni hastamız var. Ağır hasta sayımız 4.000’e yaklaştı. Salgınla mücadelede yeniden kısıtlamalar uygulamak zorunda kaldık. Birlikte tedbirlere uyarsak kendi kısıtlamalarımızı kendimiz koyarsak mücadele daha kolay olacak. Güç verin https://t.co/RVlhe7786O</t>
  </si>
  <si>
    <t>1329821505568567296</t>
  </si>
  <si>
    <t>HAFTA SONU sokağa çıkma sınırlaması yarın başlıyor. Cumartesi saat 20.00'den Pazar sabah 10.00'a kadar. Pazar günü ise akşam 20.00'den Pazartesi sabah 05.00’e kadar. Zorunlu tedbirlere gönüllü tedbirlerle destek olmanızı bekliyoruz. Kendinize ek kısıtlar koyarsanız, seviniriz.</t>
  </si>
  <si>
    <t>1329802035504570368</t>
  </si>
  <si>
    <t>NEDEN BÜYÜKLER? 65 yaş ve üstü büyükler, bir süreliğine, sadece 10.00-13.00 saatleri arasında sokağa çıkabilecek. “Neden herkes değil de, büyükler?” İleri yaşlarda, hastalığa karşı vücut direncimiz azalıyor. Kısıtlama size karşı değil, virüse karşı. Sizi korumamıza yardımcı olun.</t>
  </si>
  <si>
    <t>1329750165901746176</t>
  </si>
  <si>
    <t>DEĞERLİ BÜYÜKLERİMİZ. Bugünlerde sağlığımızı korumamız zorlaştı. COVID-19, biz bir araya geldikçe yayılıyor. Sosyal hareketliliği azaltmak zorundayız. Kısıtlamalar saat 20.00’de başlayacak. 65 yaş ve üzeri, SADECE 10.00-13.00 arası sokağa çıkabilecek. Daha az olursa, seviniriz.</t>
  </si>
  <si>
    <t>1329744421844373504</t>
  </si>
  <si>
    <t>NEDEN GENÇLER? Gençler, bir süreliğine, sadece 13.00-16.00 saatleri arasında sokağa çıkabilecek. “Neden herkes değil de, biz gençler?” Siz fark etmeseniz de, virüsün gençler üzerinden bulaşma ve yayılma potansiyeli çok yüksek. Buna karşı da, fedakârlığınıza çok ihtiyacımız var.</t>
  </si>
  <si>
    <t>1329715421931577347</t>
  </si>
  <si>
    <t>SEVGİLİ GENÇLER. Bugünlerde gençliğini yaşamak da zor. COVID-19, hareketlilik arttıkça yayılıyor. Sosyal hareketliliği azaltmak zorundayız. Kısıtlamalar saat 20.00’de başlayacak. 2001 ve sonrası doğumlular, SADECE 13.00-16.00 arası sokağa çıkabilecek. Daha az olursa, seviniriz.</t>
  </si>
  <si>
    <t>1329708042292760576</t>
  </si>
  <si>
    <t>Bakan arkadaşım Ruhsar Pekcan Hanımefendi’nin kıymetli annesi vefat etti. Başakşehir Çam ve Sakura Şehir Hastanesi’nde durumunu yakından takip ediyorduk. Merhumeye Allah’tan rahmet, Ruhsar Hanımefendi’ye, yakınlarına ve sevenlerine başsağlığı diliyorum. Mekanı cennet olsun.</t>
  </si>
  <si>
    <t>1329541913444298753</t>
  </si>
  <si>
    <t>Bugün eski normallerimize mesafe koymazsak yarın sevdiklerimizle aramıza hiç kapanmayacak mesafeler girebilir. Maske, mesafe ve temizlik kurallarına uymak kendimize, sevdiklerimize ve ülkemize karşı vicdani sorumluluğumuzdur. Sağlığımızın ve sosyal hayatımızın güvencesi budur. https://t.co/M2C6tfFaJi</t>
  </si>
  <si>
    <t>1329491600389644288</t>
  </si>
  <si>
    <t>Bugün tespit edilen 4.542 hastamız var. Ağır hasta sayımız 3.850’ye ulaştı. Tedbirleri kendimiz alırsak, zorunlu kısıtlamalara mecbur kalmayız. Salgının seyrini lehimize çeviremezsek hayatımızın her alanında zorunlu tedbirler olabilir. Mücadeleye katılın. https://t.co/RVlhe7786O</t>
  </si>
  <si>
    <t>1329459210611003393</t>
  </si>
  <si>
    <t>Zorunlu tedbirlere gönüllü tedbirleri ekleyelim. Evde daha fazla zaman geçirelim.</t>
  </si>
  <si>
    <t>1329439079398858752</t>
  </si>
  <si>
    <t>https://t.co/2TXWyHb67h</t>
  </si>
  <si>
    <t>1329424487171887107</t>
  </si>
  <si>
    <t>Salgına karşı zorunlu tedbirler tekrar hayatımızda. Zorunlu tedbirlerin amacı hareketliliği, dolayısıyla hastalığın yayılmasını ve hastanelerin yükünü azaltmaktır. Tedbirlerin amacına gönüllü olarak da destek verelim. Hareketliliği azaltalım. Mümkün olduğu kadar evimizde kalalım.</t>
  </si>
  <si>
    <t>1329363722415054849</t>
  </si>
  <si>
    <t>Salgınla mücadele tedbirleri kapsamında, kalabalık cadde ve sokaklarda sigara içilmesi yasaklandı. Yasağa uyulacağına inanıyoruz. Sigara, sayısız hastalığa yol açıyor. Dışarıda içilmesi, virüsün bulaşmasını kolaylaştırdığı için ayrıca sakıncalı. Maskenizi sigara için çıkarmayın. https://t.co/Ic2X4ChbA8</t>
  </si>
  <si>
    <t>1329164281821220865</t>
  </si>
  <si>
    <t>Bugün tespit edilen 4.215 hasta var. Ağır hasta sayısındaki artış devam ediyor. Virüsün yayılımı bizi zorunlu tedbirler almaya mecbur bırakıyor. Hastalığın yayılımını durdurmak için birlikte hareket etmeliyiz. Tedbirlere birlikte uyarak mücadele güç verin. https://t.co/RVlhe7oIYm</t>
  </si>
  <si>
    <t>1329092382604685315</t>
  </si>
  <si>
    <t>BİR TEK MASKENİN hasta sayılarını ne kadar azalttığı hesaplanabilseydi, maske takmayan kalmazdı. Maskeyle hem kendimizi hem karşımızdakini koruyoruz.</t>
  </si>
  <si>
    <t>1329077421849468930</t>
  </si>
  <si>
    <t>https://t.co/UriHdxLrNT</t>
  </si>
  <si>
    <t>1329062778502586370</t>
  </si>
  <si>
    <t>https://t.co/guYZK0aPum</t>
  </si>
  <si>
    <t>1329062717643173890</t>
  </si>
  <si>
    <t>https://t.co/7MJj9UlN0B</t>
  </si>
  <si>
    <t>1329062664614637574</t>
  </si>
  <si>
    <t>2021 YILI TBMM PLAN VE BÜTÇE KOMİSYONU Bütçe Sunum Toplantısında ekibimle bir sunum yapıyoruz. Sunum toplantısına, hayata geçirilmiş, çalışmaları devam eden ve planlanan yatırımlarla ilgili bilgileri, komisyon üyeleriyle paylaşarak başladık. https://t.co/SiiUyXtZJz</t>
  </si>
  <si>
    <t>1329004038743056384</t>
  </si>
  <si>
    <t>Bugün tespit edilen 3.819 hastamız var. Mücadelenin kritik aktörleri sağlık çalışanlarımız. En kritik savaşçılarımızı güçlü tutmak zorundayız. Tedbirlere uymak hepimiz için bir zorunluluk. Sağlık ordumuzun yanında olduğunuzu gösterin. Mücadeleye güç verin. https://t.co/RVlhe7786O</t>
  </si>
  <si>
    <t>1328751688283541507</t>
  </si>
  <si>
    <t>RT @RTErdogan: Kabine Toplantısı Sonrası Millete Sesleniş https://t.co/3OBRcbL3zS</t>
  </si>
  <si>
    <t>1328737969365250050</t>
  </si>
  <si>
    <t>Bugün tespit edilen 3.316 yeni hastamız var. Ağır hasta sayımız 3.610’a yükseldi. Tedbirlere uymak, birlikte hareket etmek bu mücadelenin en önemli silahıdır. Tedbirlere uyma sorumluluğu hepimize ait. Tedbirlere birlikte uyarak mücadeleye güç verin. https://t.co/RVlhe7786O</t>
  </si>
  <si>
    <t>1328367340224978949</t>
  </si>
  <si>
    <t>Tedbirlere uyarak şartları kolaylaştıralım. Tedbir kısıtlamadan iyidir. Eğer uyarsak!</t>
  </si>
  <si>
    <t>1328356798601027584</t>
  </si>
  <si>
    <t>Virüsün bulaşma yollarını tamamen kapatalım.</t>
  </si>
  <si>
    <t>1328349207661604869</t>
  </si>
  <si>
    <t>Arkadaşlarınızla görüşmek için teknolojiden destek alın. Aynı ortamda bulunarak, risk almayın. Yüz yüze görüşmeleri telefonla da, bilgisayarla da yapmak mümkün. Unutmayın: COVID-19 genç, yaşlı ayırmıyor. https://t.co/6jQ7qc89eL</t>
  </si>
  <si>
    <t>1328326163291365377</t>
  </si>
  <si>
    <t>Maskenin koruyuculuğu, ağzı ve burnu tamamen kapatmasına bağlıdır. Havayla doğrudan temas önlenmelidir. Örneğin, burun açıkta bırakılırsa virüse yoğun şekilde maruz kalmanız mümkün. Virüs yükü arttıkça da hastalık ağırlaşır. Maskenizden tam yararlanın. Hastalığın önünü kesin. https://t.co/6YoohMLU75</t>
  </si>
  <si>
    <t>1328306867081244675</t>
  </si>
  <si>
    <t>Toplantılarınız için mümkünse teknolojiden yararlanın. Yakın günlerde risk alıp almadığını, virüs taşıyıp taşımadığını bilemeyeceğiniz insanlarla zorunluluk dışında aynı ortamı paylaşmayın. Unutmayın: COVID-19 yayılmak için her fırsatı kullanıyor. https://t.co/K4huWEY164</t>
  </si>
  <si>
    <t>1328292200577429511</t>
  </si>
  <si>
    <t>Maskenin koruyuculuğu, ağzı ve burnu tamamen kapatmasına bağlıdır. Havayla doğrudan temas önlenmelidir. Örneğin, burun açıkta bırakılırsa virüse yoğun şekilde maruz kalmanız mümkün. Virüs yükü arttıkça da hastalık ağırlaşır. Maskenizden tam yararlanın. Hastalığın önünü kesin. https://t.co/zIIHGLDjPW</t>
  </si>
  <si>
    <t>1328277739179274240</t>
  </si>
  <si>
    <t>Burnun altına indirilmiş maskenin, yarısı kesilmiş maskeden bir farkı yok. Maskenizi burnu açıkta bırakacak şekilde takarsanız, bir yarısını kullanmış olursunuz. Koronavirüs ağızdan daha çok burun yoluyla, nefes alıp verirken bulaşıyor. Maskenizi sizi koruyacak şekilde kullanın. https://t.co/3JnP5qi72P</t>
  </si>
  <si>
    <t>1328246665543880704</t>
  </si>
  <si>
    <t>Hizmete açılan Lefkoşa Acil Durum Hastanesi 100 yatak kapasitesine, 6 ameliyathaneye, 6 görüntüleme odasına, 64 tek yataklı odaya, 24 yoğun bakım ve 12 acil yatağına sahip. KKTC’nin 37. kuruluş yıl dönümünde Kıbrıs Türklerine hayırlı olsun. https://t.co/AwvJa7a4BI</t>
  </si>
  <si>
    <t>1328092351697461249</t>
  </si>
  <si>
    <t>RT @RTErdogan: Bugün Kuzey Kıbrıs Türk Cumhuriyeti’nde resmî açılışını gerçekleştirdiğimiz Lefkoşa Acil Durum Hastanesi'nin Kıbrıs Türk hal…</t>
  </si>
  <si>
    <t>1328059181312724996</t>
  </si>
  <si>
    <t>Lefkoşa Acil Durum Hastanemiz, Cumhurbaşkanımız Sn. Recep Tayyip Erdoğan ile Kuzey Kıbrıs Türk Cumhuriyeti Cumhurbaşkanı Sn. Ersin Tatar’ın katıldıkları törenle Kuzey Kıbrıs Türk Cumhuriyeti’nin kuruluşunun 37. yıl dönümünde, bugün hizmete açıldı. Kıbrıs Türklerine hayırlı olsun. https://t.co/NcG8NEQMaU</t>
  </si>
  <si>
    <t>1328043897898082306</t>
  </si>
  <si>
    <t>RT @RTErdogan: KKTC Lefkoşa Acil Durum Hastanesi Açılış Töreni https://t.co/IfobhFp4jm</t>
  </si>
  <si>
    <t>1328027778097303564</t>
  </si>
  <si>
    <t>T.C. Sağlık Bakanlığı KKTC Lefkoşa Acil Durum Hastanemizi Kıbrıslı kardeşlerimizin hizmetine açıyoruz. https://t.co/98RZmKDI0m</t>
  </si>
  <si>
    <t>1328024393541324800</t>
  </si>
  <si>
    <t>Sayın Cumhurbaşkanımız ve bakan arkadaşlarımla, Kuzey Kıbrıs Türk Cumhuriyeti’nin kuruluşunun 37. yıl dönümü kutlama programına ve 15 Kasım Cumhuriyet Bayramı için düzenlenen törenlere katıldık. 1571 Osmanlı fethinden itibaren bütün Kıbrıs şehitlerimizi rahmetle anıyorum. https://t.co/QiPToIPVD5</t>
  </si>
  <si>
    <t>1328023702043320328</t>
  </si>
  <si>
    <t>Bugün tespit edilen 3.223 yeni hastamız var. Kayıplarımız günlük 100'e yakın. Sağlık çalışanlarımızın gücünün de sağlık alt yapılarının da kapasitesinin bir sınırı var. Tedbirlere uyarak mücadeleye güç verin. https://t.co/RVlhe7786O</t>
  </si>
  <si>
    <t>1328007811771625473</t>
  </si>
  <si>
    <t>Normalde çözüm bu: Maske + Sosyal Mesafe. Sizce, kurallara uymak ve hayatın düzenini normaline yakın tutmak mı daha iyi, HAYATA SINIR KOYMAK mı? Tercihimizi gözden geçirelim. https://t.co/KYxqI9lNUx</t>
  </si>
  <si>
    <t>1327946611239104513</t>
  </si>
  <si>
    <t>Sevdiklerimizi riskten korumak için teknolojiden yardım alalım. Yüz yüze görüşme telefonla da mümkün. Büyüklerimizi ziyaret etmek yerine, sık sık arayalım. Bir görüşme değilse bile, belki ikisi, bir ziyaret yerine geçer. Unutmayın: Büyükler, kurallara uyanları daima takdir eder. https://t.co/Bc3aJb9CxW</t>
  </si>
  <si>
    <t>1327929892319727616</t>
  </si>
  <si>
    <t>Bugün Pazar. Evinizde, ailenizle zaman geçirin. Başkalarıyla paylaşacağınız mekânlarda risk almayın. Bir mecburiyetiniz yoksa en güzeli bu! Giderek artan COVID-19 riskine karşı, kuralların geçersiz olduğu tek yer eviniz. Özgür bir Pazarımız diyenlere çok teşekkür ederiz. https://t.co/uA14XQTkXS</t>
  </si>
  <si>
    <t>1327911252526510081</t>
  </si>
  <si>
    <t>Maskenin koruyuculuğu, ağzı ve burnu tamamen kapatmasına bağlıdır. Havayla doğrudan temas önlenmelidir. Örneğin, burun açıkta bırakılırsa virüse yoğun şekilde maruz kalmanız mümkün. Virüs yükü arttıkça da hastalık ağırlaşır. Maskenizden tam yararlanın. Hastalığın önünü kesin. https://t.co/tcEoAGD3Jo</t>
  </si>
  <si>
    <t>1327889444972732416</t>
  </si>
  <si>
    <t>Burnun altına indirilmiş maskenin, yarısı kesilmiş maskeden bir farkı yok. Maskenizi burnu açıkta bırakacak şekilde takarsanız, bir yarısını kullanmış olursunuz. Koronavirüs ağızdan daha çok burun yoluyla, nefes alıp verirken bulaşıyor. Maskenizi sizi koruyacak şekilde kullanın. https://t.co/wqlVDFJOLr</t>
  </si>
  <si>
    <t>1327886596344078339</t>
  </si>
  <si>
    <t>Sevdiklerimizi riskten korumak için teknolojiden yardım alalım. Yüz yüze görüşme telefonla da mümkün. Büyüklerimizi ziyaret etmek yerine, sık sık arayalım. Bir görüşme değilse bile, belki ikisi, bir ziyaret yerine geçer. Unutmayın: Büyükler, kurallara uyanları daima takdir eder. https://t.co/cOKNP6hDMj</t>
  </si>
  <si>
    <t>1327692217159446530</t>
  </si>
  <si>
    <t>Sevdiklerimizi riskten korumak için teknolojiden yardım alalım. Yüz yüze görüşme telefonla da mümkün. Büyüklerimizi ziyaret etmek yerine, sık sık arayalım. Bir görüşme değilse bile, belki ikisi, bir ziyaret yerine geçer. Unutmayın: Büyükler, kurallara uyanları daima takdir eder. https://t.co/eQHMcMRh5N</t>
  </si>
  <si>
    <t>1327692011554676740</t>
  </si>
  <si>
    <t>Yarın Pazar. Evinizde, ailenizle zaman geçirin. Başkalarıyla paylaşacağınız mekânlarda risk almayın. Bir mecburiyetiniz yoksa en güzeli bu! Giderek artan COVID-19 riskine karşı, kuralların geçersiz olduğu tek yer eviniz. Günü evde geçireceklere bu akşamdan çok teşekkür ederiz. https://t.co/rN5AMENI5F</t>
  </si>
  <si>
    <t>1327684612991102977</t>
  </si>
  <si>
    <t>Sağlık çalışanlarına yönelik şiddetin bir yenisi Ankara Üniversitesi Tıp Fakültesi Cebeci Hastanesinde dün gece yaşandı. Saldırganlar Çocuk Yoğun Bakım Servisine kaldırılan bir hastanın yakınlarıydı. Mahkemede hesap verecekler. Ama çocuklarına verebilecekleri bir cevap olmayacak.</t>
  </si>
  <si>
    <t>1327677213081276416</t>
  </si>
  <si>
    <t>İSTANBUL’DA SON DURUM TOPLANTISI: Başakşehir Çam ve Sakura Şehir Hastanesinde bakan yardımcılarım, il sağlık müdürü ve başhekimlerin katılımıyla gerçekleşen toplantıda, artan hasta yükümüzü, temaslı takibini, kaçınılmaz görünen tedbirleri ve yeni mücadele stratejisini ele aldık. https://t.co/OSbt95ktsP</t>
  </si>
  <si>
    <t>1327660840867287046</t>
  </si>
  <si>
    <t>Bugün tespit edilen 3.116 yeni hastamız var. Ağır hasta sayımız artıyor. Hastane yükümüz ve sağlık çalışanlarımızın omuzundaki yük artıyor. Mevcut hasta yükünü taşınabilir seviyede tutmak için tedbirlere uymak zorundayız. Birlik olup mücadeleye güç verin. https://t.co/RVlhe7786O</t>
  </si>
  <si>
    <t>1327644920761479168</t>
  </si>
  <si>
    <t>Maskenin koruyuculuğu, ağzı ve burnu tamamen kapatmasına bağlıdır. Havayla doğrudan temas önlenmelidir. Örneğin, burun açıkta bırakılırsa virüse yoğun şekilde maruz kalmanız mümkün. Virüs yükü arttıkça da hastalık ağırlaşır. Maskenizden tam yaralanın. Hastalığın önünü kesin. https://t.co/E3F5tLJzAs</t>
  </si>
  <si>
    <t>1327623980040286208</t>
  </si>
  <si>
    <t>Maskenin koruyuculuğu, ağzı ve burnu tamamen kapatmasına bağlıdır. Havayla doğrudan temas önlenmelidir. Örneğin, burun açıkta bırakılırsa virüse yoğun şekilde maruz kalmanız mümkün. Virüs yükü arttıkça da hastalık ağırlaşır. Maskenizden tam yaralanın. Hastalığın önünü kesin. https://t.co/JvuDMf8cYC</t>
  </si>
  <si>
    <t>1327623805141999617</t>
  </si>
  <si>
    <t>Burnun altına indirilmiş maskenin, yarısı kesilmiş maskeden bir farkı yok. Maskenizi burnu açıkta bırakacak şekilde takarsanız, bir yarısını kullanmış olursunuz. Koronavirüs ağızdan daha çok burun yoluyla, nefes alıp verirken bulaşıyor. Maskenizi sizi koruyacak şekilde kullanın. https://t.co/143ht7wMG7</t>
  </si>
  <si>
    <t>1327538848155504646</t>
  </si>
  <si>
    <t>TEKİRDAĞ, 12 KASIMDAKİ TEKİRDAĞ DEĞİL! Dr. İsmail Fehmi Cumalıoğlu Şehir Hastanesi, 13 Kasımda hizmete açıldı. Yüksek yatak ve yoğun bakım kapasitesine sahip hastanemiz, Tekirdağ ve çevre iller için sağlık hizmetlerinde bir dönüm noktası olacak. Bir kez daha hayırlı olsun. https://t.co/sMyApMs95S</t>
  </si>
  <si>
    <t>1327532087755362304</t>
  </si>
  <si>
    <t>Bugün eski normallerimize mesafe koymazsak yarın sevdiklerimizle aramıza hiç kapanmayacak mesafeler girebilir. Maske, mesafe ve temizlik kurallarına uymak kendimize, sevdiklerimize ve ülkemize karşı vicdani sorumluluğumuzdur. Sağlığımızın ve sosyal hayatımızın güvencesi budur. https://t.co/PghYHmDsrZ</t>
  </si>
  <si>
    <t>1327340330321063936</t>
  </si>
  <si>
    <t>Bugün eski normallerimize mesafe koymazsak yarın sevdiklerimizle aramıza hiç kapanmayacak mesafeler girebilir. Maske, mesafe ve temizlik kurallarına uymak kendimize, sevdiklerimize ve ülkemize karşı vicdani sorumluluğumuzdur. Sağlığımızın ve sosyal hayatımızın güvencesi budur. https://t.co/QlS9SEuxVY</t>
  </si>
  <si>
    <t>1327324945727229952</t>
  </si>
  <si>
    <t>Bugün tespit edilen yeni hasta sayısı 3.000'den fazla. Ağır hasta sayımız da kayıplarımız da artıyor. Virüs yükünü düşüren en önemli araç maske. Tedbirlere uyarak mücadeleye güç verin. https://t.co/RVlhe7786O</t>
  </si>
  <si>
    <t>1327287714169970688</t>
  </si>
  <si>
    <t>TEKİRDAĞ DR. İSMAİL FEHMİ CUMALIOĞLU ŞEHİR HASTANESİ AÇILDI. Yüksek yatak ve yoğun bakım kapasitesine sahip hastane, deprem riskine karşı sismik izolatörlerle güçlendirildi. Nitelikli insan kaynağı ve modern alt yapısıyla Tekirdağ ile birlikte çevre illerimize de hizmet verecek. https://t.co/NCuucdij4v</t>
  </si>
  <si>
    <t>1327253913318395909</t>
  </si>
  <si>
    <t>RT @RTErdogan: Trakya bölgesine hizmet verecek dev bir sağlık tesisi olan Tekirdağ İsmail Fehmi Cumalıoğlu Şehir Hastanemizin açılışını ger…</t>
  </si>
  <si>
    <t>1327247660810702850</t>
  </si>
  <si>
    <t>ÖZGÜRCE NEFES ALACAĞIMIZ günleri özledik. Maske, yakın zamanda hayatımızdan çıkmış olacak. COVID-19 aşı çalışmalarında büyük ilerlemeler var. Sonucu bekleyelim. Evimizin dışında, başkalarıyla olduğumuz her yerde maskemizi kuralına uygun şekilde takalım. Sabrınız için: Sağ olun. https://t.co/g7aOQBpqHZ</t>
  </si>
  <si>
    <t>1327175763918016512</t>
  </si>
  <si>
    <t>ÖZGÜRCE NEFES ALACAĞIMIZ günleri özledik. Maske, yakın zamanda hayatımızdan çıkmış olacak. COVID-19 aşı çalışmalarında büyük ilerlemeler var. Sonucu bekleyelim. Evimizin dışında, başkalarıyla olduğumuz her yerde maskemizi kuralına uygun şekilde takalım. Sabrınız için: Sağ olun. https://t.co/WBZuyj8eNc</t>
  </si>
  <si>
    <t>1327145430812151810</t>
  </si>
  <si>
    <t>Bugün eski normallerimize mesafe koymazsak yarın sevdiklerimizle aramıza hiç kapanmayacak mesafeler girebilir. Maske, mesafe ve temizlik kurallarına uymak kendimize, sevdiklerimize ve ülkemize karşı vicdani sorumluluğumuzdur. Sağlığımızın ve sosyal hayatımızın güvencesi budur. https://t.co/7w3YObTPjE</t>
  </si>
  <si>
    <t>1326977609406746625</t>
  </si>
  <si>
    <t>Bugün eski normallerimize mesafe koymazsak yarın sevdiklerimizle aramıza hiç kapanmayacak mesafeler girebilir. Maske, mesafe ve temizlik kurallarına uymak kendimize, sevdiklerimize ve ülkemize karşı vicdani sorumluluğumuzdur. Sağlığımızın ve sosyal hayatımızın güvencesi budur. https://t.co/D5ss18NDuo</t>
  </si>
  <si>
    <t>1326960093024444417</t>
  </si>
  <si>
    <t>ZATÜRRE akciğerdeki hava keseciklerinin iltihaplı sıvıyla dolmasıdır. Koronavirüs dâhil, virüs, bakteri, nadiren mantar kökenli enfeksiyonların akciğerlere ulaşması sonucu oluşur. Zatürre bulaşıcıdır, ölüme yol açabilir. Özgürce nefes almanın ve sağlıklı yaşamın değerini bilin. https://t.co/EjnQE2iYUa</t>
  </si>
  <si>
    <t>1326949728970559492</t>
  </si>
  <si>
    <t>TEKİRDAĞ ŞEHİR HASTANESİ YARIN AÇILIYOR. Açılış, Sn. Cumhurbaşkanımızın katılımıyla gerçekleşecek. Yüksek yatak ve yoğun bakım kapasitesine sahip hastanemiz, deprem riskine karşı sismik izolatörlerle güçlendirildi. İkinci fazıyla 158.000 m²’lik dev bir sağlık kampüsüne dönüşecek. https://t.co/HKnCmZCUhs</t>
  </si>
  <si>
    <t>1326941426270285826</t>
  </si>
  <si>
    <t>Bugün tespit edilen 2.841 yeni hastamız var. Ağır hasta sayısındaki artış devam ediyor. Artan hasta sayısını düşürecek olan hareketliliği ve teması azaltarak tedbirlere beraberce uymaktır. Maske ile virüs yükünü düşürelim. https://t.co/RVlhe7786O</t>
  </si>
  <si>
    <t>1326926014430240768</t>
  </si>
  <si>
    <t>PROF. DR. UĞUR ŞAHİN’LE bir telefon görüşmesi yaptım. Prof. Şahin, Özlem Türeci ile Almanya’da, kendi şirketleri olan BioNTech’te COVID-19’a karşı bilim çevrelerinde ilgi uyandıran bir aşı geliştirdi. Görüşmede bu gelişmeyi ele aldık. Bakanlık olarak süreçte iletişim halindeydik. https://t.co/FoBsnZFDNB</t>
  </si>
  <si>
    <t>1326899107584225286</t>
  </si>
  <si>
    <t>HIMSS 20 Eurasia Sağlık Bilişimi ve Teknolojileri Konferansının açılışına video konferans yöntemiyle katıldık. Konuşmamızda, dünyanın birlikte mücadele ettiği virüse karşı en büyük avantajımızın eriştiğimiz tıbbi teknolojiyle bilişim ve iletişim altyapısı olduğu üzerinde durduk. https://t.co/vrpSYRlC8p</t>
  </si>
  <si>
    <t>1326601707867017217</t>
  </si>
  <si>
    <t>2021’İN ULUSLARARASI SAĞLIK ÇALIŞANLARI YILI ilan edilmesine yönelik teklifimiz, Dünya Sağlık Örgütü tarafından kabul edildi. Önerimiz, 73. Dünya Sağlık Asamblesi Genel Kurulunda tüm üye ülkeler tarafından desteklendi. Salgın döneminde dünya, sağlık çalışanlarına çok şey borçlu. https://t.co/mgH5gYaA7e</t>
  </si>
  <si>
    <t>1326584378001125376</t>
  </si>
  <si>
    <t>Bugün tespit edilen 2.693 yeni hastamız var. Salgın hastalıkla mücadele hem bireysel hem de toplum halinde yürütülebilir. Sağlık çalışanlarımız hastane yükümüzü yönetilebilir seviyede tutmak için var gücüyle çalışıyor. Virüsü ancak birlikte yenebiliriz. https://t.co/RVlhe7786O</t>
  </si>
  <si>
    <t>1326566623277412353</t>
  </si>
  <si>
    <t>SİZDEN, SADECE, ELİNİZDEN GELENİ YAPMANIZI İSTİYORUM. Daha fazlasını değil. Kendinizi maskeyle korumaya alın. Mesafe kuralına uyabilmek için çaba gösterin. Virüs, burun yoluyla daha kolay bulaşıyor. Maske koruma sağlayacak şekilde takılırsa risk çok azalır.</t>
  </si>
  <si>
    <t>1326510216649846784</t>
  </si>
  <si>
    <t>SALGINDA HAYAT ZOR. İşyerleri, ulaşım, pazaryerleri, günlük hayat, ileride bir gün salgın olacağı düşünülerek planlanmadı. Mücadeleyi tüm zorluklara rağmen vereceğiz. Elimizden gelenin en iyisini yaparak. Kurallarla kayıpları en aza indirelim.</t>
  </si>
  <si>
    <t>1326502954636095488</t>
  </si>
  <si>
    <t>RT @RTErdogan: AK Parti Grup Toplantısı https://t.co/BohLOkgFH5</t>
  </si>
  <si>
    <t>1326483671289835521</t>
  </si>
  <si>
    <t>Şu anda, taşıyıcı olan pek çok kişi, kurallara uymadığı için, virüsü başkalarına bulaştırıyor.</t>
  </si>
  <si>
    <t>1326472494157586433</t>
  </si>
  <si>
    <t>Şu anda, pek çok kişi, kurallara uymadığı için, birkaç gün içinde COVID-19 hastası olacak.</t>
  </si>
  <si>
    <t>1326467022071492609</t>
  </si>
  <si>
    <t>Rusya Federasyonu Sağlık Bakanı Sayın Mikhail Murashko ile bir telefon görüşmesi yaptık. COVID-19 aşı çalışmaları başta olmak üzere, sağlık alanında iş birliği içinde olduğumuz konular ve yer aldığımız uluslararası faaliyetler üzerinde fikir alışverişinde bulunduk.</t>
  </si>
  <si>
    <t>1326242339350786049</t>
  </si>
  <si>
    <t>Bugün tespit edilen 2.529 yeni hastamız var. Ağır hasta sayımız 3.000’i geçti. Kayıplarımızı azaltmak için hasta ve ağır hasta sayısını azaltmak zorundayız. Buna ancak birlik ve beraberlik içinde mücadele ederek, tedbirlere uyarak ulaşabiliriz. Maske takın https://t.co/RVlhe7786O</t>
  </si>
  <si>
    <t>1326198009936433153</t>
  </si>
  <si>
    <t>Birlik, beraberlik, yakınlık, sosyal mesafe: Ortaklaşa mücadele! Bugün değilse ne zaman?</t>
  </si>
  <si>
    <t>1326162897911865346</t>
  </si>
  <si>
    <t>Gazi Mustafa Kemal Atatürk’ü 82 yıl önce bugün kaybettik. Cumhuriyetimizin her kuşağı, onun öncülük ettiği Milli Mücadeleden ilham aldı. Dayanışma ve beraberlik ruhuna ihtiyaç duyduğumuz bugünlerde onu saygıyla anıyoruz. https://t.co/qiwS01sOFI</t>
  </si>
  <si>
    <t>1326081105674588160</t>
  </si>
  <si>
    <t>Gazi Mustafa Kemal Atatürk’ü 82 yıl önce bugün kaybettik. Cumhuriyetimizin her kuşağı, onun öncülük ettiği Milli Mücadeleden ilham aldı. Dayanışma ve beraberlik ruhuna ihtiyaç duyduğumuz bugünlerde onu saygıyla anıyoruz. https://t.co/2ec4TS0h2a</t>
  </si>
  <si>
    <t>1326043288588197889</t>
  </si>
  <si>
    <t>Hazine ve Maliye Bakanlığı görevine getirilen Sayın Lütfi Elvan’ı kutluyorum. Çok uzun yıllara dayanan deneyiminin, içinde bulunduğumuz dönemde daha da zorlaşan bir görevi kolaylaştıracağına inanıyoruz. Başarısına hepimizin ihtiyacı var. Çalışma arkadaşımız olmasından mutluyuz.</t>
  </si>
  <si>
    <t>1326026638409289729</t>
  </si>
  <si>
    <t>Sorumluluk aldığı konularda, Türkiye’nin kendine her yönden yeterli olması idealiyle çalışan Sayın Berat Albayrak, görevinden, isteği üzerine affedildi. Değerli çalışma arkadaşımın, birikimiyle milletimize yararlı olmaya devam edeceğinden kuşkumuz yok.</t>
  </si>
  <si>
    <t>1325926853236944902</t>
  </si>
  <si>
    <t>ESKİŞEHİR, BURSA, ISPARTA, KOCAELİ, DENİZLİ il sağlık müdürleriyle bu akşam ayrı ayrı toplantılar yaparak, bu illerde salgınla mücadelede gelinen noktayı değerlendirdik. İhtiyaçları, ek tedbirleri, mevcut hasta yükümüzü ve olası gelişmelere karşı kapasite konusunu ele aldık. https://t.co/wxtwqBlKjq</t>
  </si>
  <si>
    <t>1325884474744336384</t>
  </si>
  <si>
    <t>Bir arada bulunduğunuz ortamlarda, SOLUDUĞUNUZ HAVA, ihtiyacımız olan Oksijenin yanı sıra, sağlıklı bir insanı ağır hasta etmeye yetecek miktarda Koronavirüs içeriyor olabilir. Risk almayın. Maskenizi, solunum yolunu tamamen örtecek şekilde kullanın. COVID-19 yayılıyor.</t>
  </si>
  <si>
    <t>1325853400492339201</t>
  </si>
  <si>
    <t>Bugün tespit edilen 2.576 yeni hastamız var. Ağır hasta sayımız dünden 127 fazla. Salgının yayılma hızının arttığı bu dönemde en etkili silahımız düzgün şekilde ağız ve burnunu kapayacak şekilde maske takmaktır. Maskenizi doğru takarak virüs yükünü azaltın https://t.co/RVlhe7786O</t>
  </si>
  <si>
    <t>1325838520573976578</t>
  </si>
  <si>
    <t>Ağzınızı örter, maskeyi burnunuzun altına indirirseniz, kendinizi çok az korumuş olursunuz. Genellikle burundan nefes aldığımız için, ortamda bulunan virüs yüklü damlacıklarla hastalık size kolay bulaşır. Aldığınız virüs miktarı fazla olacağı için, hastalığı daha ağır yaşarsınız. https://t.co/5Q0gcw6Hv0</t>
  </si>
  <si>
    <t>1325821412351893506</t>
  </si>
  <si>
    <t>Ağzınızı örtmekle yetinip, maskeyi burnunuzun altına indirirseniz kendinizi çok az korumuş olursunuz. Genellikle burundan nefes aldığımız için, ortamda bulunan virüs yüklü damlacıklar size kolayca bulaşır. Aldığınız virüs miktarı da fazla olur. Hastalığı çok daha ağır yaşarsınız. https://t.co/fNEGUNPzhl</t>
  </si>
  <si>
    <t>1325813561231355906</t>
  </si>
  <si>
    <t>Ağzınızı örtmekle yetinip, maskeyi burnunuzun altına indirirseniz kendinizi çok az korumuş olursunuz. Genellikle burundan nefes aldığımız için, ortamda bulunan virüs yüklü damlacıklar size kolayca bulaşır. Aldığınız virüs miktarı da fazla olur. Hastalığı çok daha ağır yaşarsınız. https://t.co/SZW7QnfRQf</t>
  </si>
  <si>
    <t>1325811929827467264</t>
  </si>
  <si>
    <t>Bugün tespit edilen 2.516 yeni hastamız var. Ağır hasta sayımız 2.740’a ulaştı. Bugün taburcu olan 2.000’den fazla iyileşen hastamız oldu. Zorunlu olmadıkça kalabalık ortamlardan uzak durun. Hijyene dikkat edin. Maske kullanın. https://t.co/RVlhe7786O</t>
  </si>
  <si>
    <t>1325471359665844226</t>
  </si>
  <si>
    <t>COVID-19’u hafife alanlar var. Hasta olan, bu fikrini “kolay” değiştiriyor. Değiştirmemek mümkün değil.</t>
  </si>
  <si>
    <t>1325423223861862401</t>
  </si>
  <si>
    <t>https://t.co/Ga4YX99Hlh</t>
  </si>
  <si>
    <t>1325409504582922240</t>
  </si>
  <si>
    <t>https://t.co/Er4nSJURuL</t>
  </si>
  <si>
    <t>1325408225311780865</t>
  </si>
  <si>
    <t>HAVALAR SOĞUDU. Maskeyi kuralına göre, ağzı ve burnu bütünüyle kapatacak şekilde takmak, sizi hem COVID-19’a yakalanma riskinden hem de mevsimsel gripten korur. Görünürde maske takıp, burnunuzu açıkta bırakmayın. Koronavirüsün daha ziyade burun yoluyla bulaştığı netlik kazandı. https://t.co/8DmZ3w9Uwo</t>
  </si>
  <si>
    <t>1325377804825923585</t>
  </si>
  <si>
    <t>HAVALAR SOĞUDU. Maskeyi kuralına göre, ağzı ve burnu bütünüyle kapatacak şekilde takmak, sizi hem COVID-19’a yakalanma riskinden hem de mevsimsel gripten korur. Görünürde maske takıp, burnunuzu açıkta bırakmayın. Koronavirüsün daha ziyade burun yoluyla bulaştığı netlik kazandı. https://t.co/XvN3G1I6iy</t>
  </si>
  <si>
    <t>1325370216541466626</t>
  </si>
  <si>
    <t>HAVALAR SOĞUDU. Maskeyi kuralına göre, ağzı ve burnu bütünüyle kapatacak şekilde takmak, sizi hem COVID-19’a yakalanma riskinden hem de mevsimsel gripten korur. Görünürde maske takıp, burnunuzu açıkta bırakmayın. Koronavirüsün daha ziyade burun yoluyla bulaştığı netlik kazandı. https://t.co/ibmkywNUK5</t>
  </si>
  <si>
    <t>1325363203375820800</t>
  </si>
  <si>
    <t>İSTANBUL GAZİOSMANPAŞA Eğitim ve Araştırma Hastanesinde Toplantı: Yöneticilerle hasta yükümüzü, salgın hastalığa karşı tedavi yöntemlerimizi, ŞU ANKİ KAPASİTENİN ARTIRILMASINA YÖNELİK çözümleri değerlendirdik. https://t.co/9lO0xVItCg</t>
  </si>
  <si>
    <t>1325116279049613323</t>
  </si>
  <si>
    <t>Bugün tespit edilen 2.483 yeni hastamız var. Hasta sayımız da ağır hasta sayımız da artıyor. Güvenli aşı uygulamasına kadar hep birlikte tedbirlere uymak zorundayız. Zorunlu olmadıkça kalabalık ortamlardan uzak durun. Maske takın. Virüs yükünü azaltın. https://t.co/RVlhe7786O</t>
  </si>
  <si>
    <t>1325106708033773570</t>
  </si>
  <si>
    <t>İSTANBUL BAHÇELİEVLER Devlet Hastanesinde Toplantı: Yöneticilerimizle hastanenin mevcut koşullarını değerlendirdik. ŞU ANKİ KAPASİTENİN ARTIRILMASINA YÖNELİK çözümleri ve çevre ilçelerle koordinasyonu ele aldık. Hasta yükünün dağılımına yönelik çalışmalar yaptık. https://t.co/Nlea2hY0pR</t>
  </si>
  <si>
    <t>1325099823394152449</t>
  </si>
  <si>
    <t>SAMATYA İstanbul Eğitim ve Araştırma Hastanesinde Toplantı: Hastanemiz; pandeminin ilk anından itibaren, mücadelenin en yoğun verildiği merkezlerden biri. Yöneticilerle, ŞU ANKİ KAPASİTENİN ARTIRILMASINA YÖNELİK çözüm yollarını değerlendirdik, tedavi yöntemlerini ele aldık. https://t.co/hQSCMoByWG</t>
  </si>
  <si>
    <t>1325092172711010307</t>
  </si>
  <si>
    <t>https://t.co/4zP3urNZwg</t>
  </si>
  <si>
    <t>1325086623302823938</t>
  </si>
  <si>
    <t>COVID-19 yayılıyor. Günlük hayattaki hareketliliğinizi azaltmadıkça, mesafe kuralına uymayı zorlaştıran her tür kalabalıktan uzak kalmadıkça kendinizi virüsten yeterince koruyamazsınız. Riski azaltın. Hastalığın zorluklarını yaşamamak için lütfen kendinizi koruyun. https://t.co/fZ4lWaKDD2</t>
  </si>
  <si>
    <t>1325085110518091776</t>
  </si>
  <si>
    <t>Bu video, İzmir depremi sırasında bir hastanenin ameliyathane kamera kaydıdır. https://t.co/yPwn1NFbjv</t>
  </si>
  <si>
    <t>1324801387654426626</t>
  </si>
  <si>
    <t>COVID-19 yayılıyor. Ertelenmesi mümkün seyahatleri erteleyin. Gün içinde hareketliliğinizi sınırlandırın. Unutmayın: Vaka artışlarının başlıca nedeni, hayatı salgın öncesindeymiş gibi yaşamaktır. https://t.co/jvaoy5ZQqq</t>
  </si>
  <si>
    <t>1324795604430630913</t>
  </si>
  <si>
    <t>https://t.co/ACx7jWi4qj</t>
  </si>
  <si>
    <t>1324789902685384705</t>
  </si>
  <si>
    <t>İSTANBUL SALGINLA MÜCADELE TOPLANTISI: Başakşehir Çam ve Sakura Şehir Hastanesinde yapılan toplantıya bakan yardımcılarımız, genel müdürlerimiz, il sağlık müdürümüz ve saha koordinatörlerimiz katıldı. Salgının seyri, artan risk ve yeni hasta yüküne karşı yapılacaklar ele alındı. https://t.co/e3Abll0CuV</t>
  </si>
  <si>
    <t>1324783825793261569</t>
  </si>
  <si>
    <t>İSTANBUL BEYLİKDÜZÜ, ESENYURT, BÜYÜKÇEKMECE DEVLET HASTANELERİ ZİYARETİ: Bu üç hastane, hasta sayılarımızın arttığı İstanbul’da salgına karşı verilen savaşın önemli merkezlerinden. Yaptığımız toplantılarda, yatak kapasitelerini, hasta yüküne karşı yapılması gerekenleri ele aldık. https://t.co/TM5y13Z0lX</t>
  </si>
  <si>
    <t>1324767854881812481</t>
  </si>
  <si>
    <t>Bugün tespit edilen 2.436 hastamız var. Ağır hasta sayımız artıyor. Sağlık hizmetinde bir güçlük yaşamamak için sağlık çalışanlarımıza dinlenecek zaman tanımalıyız. Bu ancak tedbirlere birlikte uymakla mümkün. Maske takın. Mesafenizi koruyun. https://t.co/RVlhe7786O</t>
  </si>
  <si>
    <t>1324743585607143425</t>
  </si>
  <si>
    <t>https://t.co/3p4fcUvLGv</t>
  </si>
  <si>
    <t>1324681931926241282</t>
  </si>
  <si>
    <t>https://t.co/tfsJcl03zP</t>
  </si>
  <si>
    <t>1324666974643884032</t>
  </si>
  <si>
    <t>İzmir depreminde enkaz altından çıkarılan, durumunu sizlerin de yakından takip ettiği hastalarımızı ziyaret ettik. Daha iyiler. Yakında sağlıklarına kavuşacaklar. https://t.co/9UJWthE1sI</t>
  </si>
  <si>
    <t>1324424571743776770</t>
  </si>
  <si>
    <t>Çevre ve Şehircilik Bakanımız, İzmir valisi, İzmir milletvekilleri, İzmir Büyükşehir Belediye Başkanı ve İlçe Belediye Başkanlarının katılımıyla AFAD’da deprem, şehircilik ve sağlık hizmetlerini ele aldığımız bir toplantı gerçekleştirdik. Afete ve salgına karşı birlikteyiz. https://t.co/xfAVHkXhR3</t>
  </si>
  <si>
    <t>1324415671225229313</t>
  </si>
  <si>
    <t>İZMİR İL SAĞLIK TOPLANTISI KARARLARI: Çadır kentlerde COVID-19’a karşı yoğun önlem. Maske ve dezenfektan dağıtımı. Depremzedelerin, ekiplerimizce, belirti yönünden yakından takibi. Semptomsuz olsalar bile, temaslılara test yapılması. Taramalarla, salgının yayılmasının önlenmesi. https://t.co/C1lpbAKi9R</t>
  </si>
  <si>
    <t>1324407689363992579</t>
  </si>
  <si>
    <t>Bakan arkadaşım Süleyman Soylu taburcu oldu. COVID-19 tedavisi, bir süre evde dinlenerek tamamlanacak. Çalışmalarına eski enerjisiyle devam edeceği için mutluyuz. Kendisine ve ailesine tekrar geçmiş olsun dileklerimizi sunuyorum.</t>
  </si>
  <si>
    <t>1324399991637610496</t>
  </si>
  <si>
    <t>YERLİ AŞI ÇALIŞMASINDA, İNSAN ÜZERİNDE İLK UYGULAMA BUGÜN BAŞLADI. Çalışma Erciyes Üniversitesinde yürütülüyor. Bu süreçte, yani Faz-1 safhasında aşı 44 kişiye uygulanacak. Tahminen 5-6 haftalık zaman diliminde Faz-1 aşaması bitmiş olacak. (Bir soru üzerine yapılan açıklama) https://t.co/4Zpp9ir52U</t>
  </si>
  <si>
    <t>1324391035020189696</t>
  </si>
  <si>
    <t>İzmir deprem bölgesinde, başta COVID-19 olmak üzere, genel sağlık hizmetlerinin önemi büyük. Halkımızı ve depremzedelere hizmet vermeye devam eden UMKE polikliniği ziyaret ederek, ihtiyaçları gözden geçirdik. Isınmadan psikolojik desteğe, devletimiz İzmir halkının yanında. https://t.co/M10QxSSEHV</t>
  </si>
  <si>
    <t>1324386506044297220</t>
  </si>
  <si>
    <t>Bugün tespit edilen 2.311 yeni hastamız var. Ağır hasta sayımız dünden 100 fazla. Bu artışa engel olmak zorundayız. Hastalığa yakalanmayı göze alacak kadar mecbur olmadıkça temas ve hareketlilikten uzak durun. Hijyene önem verin. Maske kullanın. https://t.co/RVlhe7786O</t>
  </si>
  <si>
    <t>1324381290183929857</t>
  </si>
  <si>
    <t>İzmir’de, Bakanlığımızın gönüllülerinden oluşan acil müdahale ekibi UMKE’yi de ziyaret ettik. Genç, yaşlı onlarca insana göçük altında, kurtarılma anlarında ilk tıbbi müdahaleyi yaptılar. Fedakârlıklarından dolayı her birine İzmir halkı adına ve şahsen tekrar teşekkür ediyorum. https://t.co/pnkncYme2I</t>
  </si>
  <si>
    <t>1324378231655587842</t>
  </si>
  <si>
    <t>Sağlık durumu hepimizce merak edilen Elif’i, ablaları Elzem ve Ezel’i ziyaret ettik, anneleri ile görüştük. Tedavileri devam ediyor. İyiler. 3 yaşındaki Ayda’nın da sağlık durumu iyi. Yarın normal servise alınacak. Genç arkadaşımız Günay’la Ahmet amcadan da iyi haberlerimiz var.</t>
  </si>
  <si>
    <t>1324355834655264771</t>
  </si>
  <si>
    <t>İZMİR’DEYİZ. Depremde yaralanan ve tedavileri devam eden hastalarımızı ziyaret edip durumları hakkında bilgi aldık. https://t.co/CprZ9PzeLi</t>
  </si>
  <si>
    <t>1324297995668525056</t>
  </si>
  <si>
    <t>HERHANGİ BİR YERİN ACIYOR MU AYDA? Soruyu soran Acil Tıp Uzmanı bir UMKE gönüllüsüydü. Göçük altından çıkarılıp, ambulansa alınan 3 yaşındaki bir çocuğa hayata dönüş anında soru acaba nasıl sorulmalıydı?</t>
  </si>
  <si>
    <t>1324141791084511233</t>
  </si>
  <si>
    <t>Ulusal Medikal Kurtarma Ekibi UMKE, bakanlığımızın gönüllülerden oluşan acil müdahale ekibi. Üyeleri, 1.100.000’i aşkın sağlık ordumuzun üyesi. Onları son depremde bir kez daha gördünüz. Yıkıntıların arasından çıkıp işlerine dönen birer gizli kahramanlar. Onlara şükran borçluyuz. https://t.co/XyoL3nOKlE</t>
  </si>
  <si>
    <t>1324097639340802051</t>
  </si>
  <si>
    <t>https://t.co/bw8d2mckK7</t>
  </si>
  <si>
    <t>1324052427029516288</t>
  </si>
  <si>
    <t>COVID-19 tüm dünyada yayılıyor. İstanbul’da, Türkiye genelinde virüse yakalananların sayısında artış var. Tanı konmamış taşıyıcılarla kalabalıkta, herhangi bir ortamda bir araya gelebilirsiniz. Vaka artışlarının başlıca nedenlerinden biri hayatı salgın öncesindeymiş gibi yaşamak. https://t.co/xVZz1OuFZp</t>
  </si>
  <si>
    <t>1324038953054461953</t>
  </si>
  <si>
    <t>Bugün tespit edilen 2.391 hastamız var. Ağır hasta sayımız 2.464’e ulaştı. Salgının kontrol altında tutulması teması azaltmadan mümkün değil. Sağlık personelimiz yorgun düşmemeli. Onlara destek olmak için teması azaltın. Hijyene önem verin. Maske kullanın. https://t.co/RVlhe7786O</t>
  </si>
  <si>
    <t>1324019626477559809</t>
  </si>
  <si>
    <t>Aynı ortamı paylaştığınız, görüştüğünüz birinin COVID-19 testi pozitif çıkmışsa, şu an SİZDE BELİRTİ OLMASA BİLE aile bireylerini riskten koruyun. Büyüklerinize yakın durmamaya dikkat edin, bir aradayken maske kullanın. Aile hekiminiz sizi takip edecek. KURALLAR, EVDE DE GEÇERLİ. https://t.co/Sv7VbiLzGe</t>
  </si>
  <si>
    <t>1323720656274546690</t>
  </si>
  <si>
    <t>TEMASLI OLDUĞUNUZ BİRİNİN TESTİ POZİTİF ÇIKTIYSA kendinizi COVID-19 belirtileri açısından takibe alın. Belirti göstermeseniz bile izole olmaya çalışın. Temaslı listesinde adınız söylenmemiş olabilir. Size 1 gün içinde ulaşılmamışsa aile hekiminizi arayın. https://t.co/0J8pI1yMRq</t>
  </si>
  <si>
    <t>1323718242272239619</t>
  </si>
  <si>
    <t>COVID-19 TESTİNİZ POZİTİF ÇIKTIYSA, belirtilerin başlangıcından 2 gün öncesine dek kimlerle temasınız olduysa onlara bilgi verin. Kendilerini takip etsinler. Filyasyon ekiplerimize temaslı listesi verirken kimseyi atlamayın. Ne kadar dikkatli olursanız yayılımı o kadar azaltırız. https://t.co/nhtZPMei33</t>
  </si>
  <si>
    <t>1323715700163313664</t>
  </si>
  <si>
    <t>Bugün tespit edilen 2.343 yeni hastamız var. Ağır hasta sayımız artmaya devam ediyor. Salgının seyrini değiştirebilecek en önemli gücümüz tedbirlere uymak. Birlikte tedbirlere uyarsak virüsün yayılmasına fırsat vermemiş oluruz. Mücadeleye güç verin. https://t.co/RVlhe7786O</t>
  </si>
  <si>
    <t>1323673450481963008</t>
  </si>
  <si>
    <t>RT @RTErdogan: Kabine Toplantısı Sonrası Millete Sesleniş https://t.co/cBycwT7pOk</t>
  </si>
  <si>
    <t>1323664160937357312</t>
  </si>
  <si>
    <t>RT @RTErdogan: Mucizenin adı Ayda... 91 saat sonra senin o gülen gözlerinle birlikte hepimize yeni umutlar bahşeden Allah’a şükürler olsun.…</t>
  </si>
  <si>
    <t>1323557026484637696</t>
  </si>
  <si>
    <t>Ayda’nın acıyan bir yeri yok. Köfte ve ayran istiyor. https://t.co/nhMV2SPlnw</t>
  </si>
  <si>
    <t>1323544964693897216</t>
  </si>
  <si>
    <t>Ayda Gezgin. 3 yaşında. Ve 91 saat sonra tekrar aramızda! https://t.co/SCDCsEZ6YS</t>
  </si>
  <si>
    <t>1323538309738598406</t>
  </si>
  <si>
    <t>İZMİR DEPREMİNDE, arama ve kurtarma çalışmaları sonuçlarına göre, can kaybımız 95’e yükseldi. Tedavisi halen devam eden hasta sayımız, 147. Şu an 12 hastamız yoğun bakımda, 5’inin durumu ağır. Bu akşam itibariyle, tedavileri tamamlanarak taburcu edilen hasta sayısı ise 847.</t>
  </si>
  <si>
    <t>1323380988756578305</t>
  </si>
  <si>
    <t>İSTANBUL’A DÖNEN BÜYÜKLERİNİZİ BİR SÜRE ZİYARET ETMEYİN. Kışı daha rahat şartlarda geçirmek için şehre gelen, çoğunluğu ileri yaşlardaki nüfusu, bazı riskler bekliyor. Vakaların %40’ı burada. Yüz yüze ziyaret sakıncalı. Lütfen büyüklerinizin ihtiyaçlarını telefonla öğrenin.</t>
  </si>
  <si>
    <t>1323349715686215681</t>
  </si>
  <si>
    <t>İSTANBUL’DAYSANIZ, AYRILMAYIN. Türkiye’deki vakaların %40’ı yaşadığınız şehirde. Semptomsuz bir taşıyıcı, tespit edilmemiş bir temaslı olabilirsiniz. Seyahatiniz çok gerekli değilse erteleyin.</t>
  </si>
  <si>
    <t>1323347351533162502</t>
  </si>
  <si>
    <t>YOLCULUK İSTANBUL’A MI? Yola çıkmadan, sağlık durumunuzu 7 gün izleyin. Ateş, kuru öksürük, yorgunluk, boğaz ağrısı, tat veya koku duyusu kaybı, solunum güçlüğü vb. şikâyetiniz varsa, seyahati erteleyin. Bir sağlık kuruluşuna müracaat edin.</t>
  </si>
  <si>
    <t>1323344804072329218</t>
  </si>
  <si>
    <t>İSTANBUL’DA, salgınla mücadeleye odaklanmış hastanelerimizden biri olan Prof. Dr. Feriha Öz Acil Durum Hastanesini ziyaret ederek, yeni vaka artışlarına karşı durumu tekrar gözden geçirdik. Gelinen noktada, BİZLERİN HAZIRLIKLI, SİZLERİNSE FAZLASIYLA DİKKATLİ olması gerekiyor. https://t.co/qPpjivBRro</t>
  </si>
  <si>
    <t>1323339854244184064</t>
  </si>
  <si>
    <t>İSTANBUL’DA SALGINLA MÜCADELEYE ODAKLANMIŞ hastanelerimizden Sultangazi Haseki Eğitim ve Araştırma Hastanesi ile Yeşilköy Prof. Dr. Murat Dilmener Acil Durum Hastanesini ziyaret ederek, durumu tekrar gözden geçirdik. Vaka artışlarına karşı birlikte çok dikkatli olmamız gerekiyor. https://t.co/v6fqLYrcFP</t>
  </si>
  <si>
    <t>1323319613074165760</t>
  </si>
  <si>
    <t>İZMİR’DE ŞU ANKİ ŞARTLAR COVID-19’UN yayılmasına çok elverişli. Zor günlerin daha da zorlaşmasına izin vermeyelim. Vakaların azalması, kontrolümüze bağlı. COVID-19 sebebiyle yeni kayıplar vermeyelim.</t>
  </si>
  <si>
    <t>1323309027686785024</t>
  </si>
  <si>
    <t>Bugün tespit edilen 2.302 hastamız var. Ağır hasta sayımız bugün düne göre 164 artarak 2.341’e ulaştı. Salgınla mücadelede sadece sağlık çalışanlarının fedakârlığı ile başarılı olamayız. Hep birlikte mücadeleye katılmalı ve tedbirlerden taviz vermemeliyiz. https://t.co/RVlhe7786O</t>
  </si>
  <si>
    <t>1323293792309514240</t>
  </si>
  <si>
    <t>65 saat sonra kurtarılan Elif’in sağlık durumu bilgilerini 2 saat kadar önce paylaşmıştım. Kendisini merak edenlere şimdi bizzat mesajı var. https://t.co/6A5Y9fsMfc</t>
  </si>
  <si>
    <t>1323264486791385088</t>
  </si>
  <si>
    <t>CAN KAYBIMIZ, enkaz altından yeni çıkarılanlarla 91’e yükseldi. 155 kişi halen tedavi altında. 10 hastamız yoğun bakımda, 3’ünün durumu ağır. Şu ana kadar hastaneye kaldırılanlardan 8’i tüm müdahalelere rağmen kurtarılamadı. Tedavileri tamamlanıp, taburcu edilen kişi sayısı 839.</t>
  </si>
  <si>
    <t>1323253099130179586</t>
  </si>
  <si>
    <t>30 EKİM İZMİR DEPREMİNDE, ŞU ANA KADAR 85 can kaybımız var. 220 kişinin tedavisi halen devam ediyor. 3’ü ağır olmak üzere, 10 hastamız yoğun bakımda. 774 kişi, tedavileri tamamlanarak taburcu edildi.</t>
  </si>
  <si>
    <t>1323230083948154896</t>
  </si>
  <si>
    <t>İDİL ŞİRİN. 55 saat sonra kurtarıldı. 14 yaşında. SAĞLIK DURUMU: Bilinci açık, hayati fonksiyonları yerinde, böbrek fonksiyonları normal. Enkaz altında uzun süre hareketsiz kaldığı ve sıkıştığı için yoğun bakımda takip ediliyor. Tetkikinde omurgasında kırık görülmedi.</t>
  </si>
  <si>
    <t>1323226520090038272</t>
  </si>
  <si>
    <t>ELİF PERİNÇEK. 65 saat sonra kurtarıldı. 3 yaşında. SAĞLIK DURUMU: Bilinci açık, ciddi bir kas ezilmesi ya da kırığı yok. Enkaz altında uzun süre hareketsiz kaldığı ve sıkıştığı için yoğun bakımda takip ediliyor. İki ablasının da durumu iyi.</t>
  </si>
  <si>
    <t>1323223470608625664</t>
  </si>
  <si>
    <t>65 saat sonra! 
Elif’e ve kurtarma ekiplerimize teşekkür ediyoruz. https://t.co/gmxo5pNaYF</t>
  </si>
  <si>
    <t>1323205207744983040</t>
  </si>
  <si>
    <t>HAYAT BİR KEZ DAHA KAZANDI.
İdil kızımızın ardından, 65 saat sonra aramıza dönen 3 yaşındaki Elif kızımız da hayata yeniden merhaba dedi. Yaşamdan yana olan umut ve mücadelemize güç kattınız. Ekiplerimize minnettarız. https://t.co/ukl6kqv2Wg</t>
  </si>
  <si>
    <t>1323148345586688001</t>
  </si>
  <si>
    <t>Bugün tespit edilen 2.106 hastamız var. Ağır hasta sayısındaki yükseliş bugün de devam etti. Ağır hasta sayısını düşürmek zorundayız. Sağlık personelimiz her olağan üstü durumda olağan üstü fedakârlıkla çalışıyor. Onlara destek olmak için tedbirlere uyun. https://t.co/RVlhe7786O</t>
  </si>
  <si>
    <t>1322931378917429257</t>
  </si>
  <si>
    <t>8 binanın enkazında çalışmalar devam ediyor. AFAD, UMKE ve diğer görevli ekiplerimiz, şu ana kadar 104 insanın hayatını kurtardı. Henüz ulaşılamayan kişiler, belki de kurtarılması hâlâ mümkün hayatlar var. Arkadaşlarımızdan bilgi aldık. Umudumuz hayattan yana. https://t.co/fa5K9fxskx</t>
  </si>
  <si>
    <t>1322909871570849792</t>
  </si>
  <si>
    <t>Kayıplarımız, tedavisi devam eden hastalarımız ve taburcu edilenler hakkında, son bilgilerle yaptığımız açıklama: https://t.co/dX4VUsscUC</t>
  </si>
  <si>
    <t>1322879226035527681</t>
  </si>
  <si>
    <t>Dün gece 01.00 sularında, depremin üzerinden 34 saat geçmişken kurtarılan Ahmet Çitim amcamızı ziyaret ettik. Olay yerinde yapılan ilk tıbbi müdahale sırasında yanındaydık. Genel durumu iyi. Kısa bir sürede daha da iyi olacak. https://t.co/8uVD5gYFK8</t>
  </si>
  <si>
    <t>1322866361169793024</t>
  </si>
  <si>
    <t>Bakan arkadaşım Süleyman Soylu’nun COVID-19 testi pozitif çıktı. Pandemi boyunca çok desteğini gördük. Sahadan uzak kalmak, mücadeleci ruhuna pek uygun olmasa da bir süre dinlenecek. Virüsle mücadele onun için kolay bir mücadele. Geçmiş olsun değerli kardeşim.</t>
  </si>
  <si>
    <t>1322863927965978624</t>
  </si>
  <si>
    <t>Depremde İzmir Buca Seyfi Demirsoy Hastane binası da kısmen zarar gördü. Bu bölümü hemen tahliye ettik. Hastaneyle aynı yerde çözüm üretmek ve hizmetlerimizi aynı şekilde sürdürmek üzere alternatif eylem planları üzerinde duruyoruz. Aksama olmayacak. https://t.co/uIicjGRMHE</t>
  </si>
  <si>
    <t>1322853678022348802</t>
  </si>
  <si>
    <t>Depremde hayatını kaybeden 12 yaşındaki evladımız Halil Berk Öztürk’ün cenaze törenine katıldık. Ailesine tekrar başsağlığı diliyorum. Allah acılarını hafifletsin, hiçbirimize evlat acısı vermesin. https://t.co/kgKY0fQV9I</t>
  </si>
  <si>
    <t>1322851024160329728</t>
  </si>
  <si>
    <t>Depremdeki can kayıplarımız, tedavisi devam eden hastalarımız, sağlık hizmetlerimiz ve kurtarma çalışmalarımız hakkında İZMİR’DE YAPTIĞIMIZ BASIN AÇIKLAMASI: https://t.co/NXwec8A3EC</t>
  </si>
  <si>
    <t>1322817285258678272</t>
  </si>
  <si>
    <t>Saygın siyasetçimiz, hukukçu ağabeyimiz Prof. Burhan Kuzu’yu, 17 Ekimden beri tedavi gördüğü COVID-19 sebebiyle kaybettik. Kendisine Allah’tan rahmet, ailesine ve camiamıza başsağlığı diliyorum. Salgın, bizi yakınlarımızdan, yeri doldurulamaz insanlardan ayırmaya devam ediyor. https://t.co/kUGhI2Ylua</t>
  </si>
  <si>
    <t>1322774727337877504</t>
  </si>
  <si>
    <t>HAYAT BİR KEZ DAHA KAZANDI. Bu gece 01.00 sularında, depremden tam 34 saat sonra, 70 yaşındaki Ahmet amcamız, UMKE ekiplerinin yardımıyla yıkıntıların arasından sağ çıkmayı başardı. Geçmiş olsun Ahmet amca. Bizi mutlu eden sözün için de teşekkür ederiz: “Umudumu hiç kaybetmedim.” https://t.co/nWnbS0xozC</t>
  </si>
  <si>
    <t>1322699798869364739</t>
  </si>
  <si>
    <t>112 Acil Komuta Merkezinde yaptığımız toplantıda, afet süreci yönetiminde görev alan çalışma arkadaşlarımızla durumu değerlendirdik. Depremin üzerinden yaklaşık 35 saat geçti. Şu an yapılabilecek her şey için ihtiyaçları belirleyip, eylem planları üzerine istişarelerde bulunduk. https://t.co/bGF3xB71ur</t>
  </si>
  <si>
    <t>1322679651953770496</t>
  </si>
  <si>
    <t>Kurtarma ekiplerimizin, yerini, telefonla iletişim kurarak tespit ettiği ve enkaz altından çıkardığı Buse Hanımı ziyaret edip, geçmiş olsun dileklerimizi sunduk. O anlarda neler hissettiğini dinledik, durumu hakkında bilgi aldık. Kendisi için endişe eden herkese teşekkür ediyor. https://t.co/2DmHpT55lN</t>
  </si>
  <si>
    <t>1322662177292124160</t>
  </si>
  <si>
    <t>UMKE ekibinden Edanur’la, enkaz altından kurtardıkları İnci’yi ziyaret ettik. Kurtarma anlarında, aralarında geçen konuşmalar hepimizi duygulandırmıştı. İnci’nin durumu iyi, tedavisi bir süre daha sürecek. Geçmiş olsun dilekleriniz için teşekkür ediyor. https://t.co/y8SerpVFuV</t>
  </si>
  <si>
    <t>1322658213116915712</t>
  </si>
  <si>
    <t>Tedavileri devam eden depremzedeleri ziyaret ettik. 218 kişi halen hastanelerimizde. 667 kişi taburcu oldu. Hastane personelimiz olağanüstü bir performans gösteriyor. Tüm hastalarıma tekrar geçmiş olsun dileklerimi sunuyorum. https://t.co/eoN6fPA7rr</t>
  </si>
  <si>
    <t>1322600313963057152</t>
  </si>
  <si>
    <t>RT @tcbestepe: Cumhurbaşkanı Erdoğan, İzmir’de açıklamalarda bulunuyor https://t.co/WpSM4PzIgC</t>
  </si>
  <si>
    <t>1322593765031333888</t>
  </si>
  <si>
    <t>112 Acil Yardım Ekiplerimiz ve UMKE Timlerimizin çalışmalarına nezaret etmek, sağlık hizmetlerimizin yönetimiyle bizzat ilgilenmek üzere İzmir’deyiz. Size iyi haberler vermek için elimizden gelen her şeyi yapmaya devam edeceğiz. https://t.co/YKAwOnC0pv</t>
  </si>
  <si>
    <t>1322571414482886658</t>
  </si>
  <si>
    <t>Bugün tespit edilen 2.213 yeni hastamız var. Ağır hasta sayımız bir günde yaklaşık %5 arttı. Bu durum salgınla mücadele konusunda hassasiyetimizi artırmamız gerektiğine işaret ediyor. Teması üçte birine indirmek zorundayız. Mücadeleye güç verin. https://t.co/RVlhe7786O</t>
  </si>
  <si>
    <t>1322569089575981056</t>
  </si>
  <si>
    <t>28 can kaybımız var. 3’ü ağır 7 kişi yoğun bakımda, 243 kişi halen tedavi görüyor. 642 kişinin tedavisi tamamlanmış durumda. 112 Acil Yardım Ekipleri, UMKE Timleri, ambulanslarımız ve hastanelerimizle, acımızı azaltmak için İzmir’de görev başındayız.</t>
  </si>
  <si>
    <t>1322519783275900930</t>
  </si>
  <si>
    <t>UMKE Personeli Eda: Birazdan dışarı çıkacağız seninle, annen bizi bekliyor. 
“UMUT VAR VE HEP OLACAK!” https://t.co/V6kEBTly5I</t>
  </si>
  <si>
    <t>1322500553725923328</t>
  </si>
  <si>
    <t>26 can kaybımız var. 25’i yoğun bakımda, 381 kişi halen tedavi görüyor. 4 ameliyat daha başarıyla sonuçlandı. 504 kişinin tedavisi tamamlanmış durumda. 112 Acil Yardım Ekipleri, UMKE Timleri, ambulanslarımız ve hastanelerimizle, acımızı azaltmak için İzmir’de görev başındayız</t>
  </si>
  <si>
    <t>1322487663178469377</t>
  </si>
  <si>
    <t>YAKINLARINIZ İÇİN ALO 184’Ü ARAYIN 
Depremde zarar görmüş olabileceğini düşündüğünüz yakınlarınız için Bakanlığımızın 184 SABİM Hattını arayın. Tedavimiz altındalarsa sağlık durumlarını ve hangi hastanemizde olduklarını öğrenin. https://t.co/Vyfy1PEURa</t>
  </si>
  <si>
    <t>1322419327006638080</t>
  </si>
  <si>
    <t>21 can kaybımız var, 435 kişi halen tedavi görüyor. 25’i yoğun bakımda, 9 ameliyat devam ediyor. 364 kişinin tedavisi tamamlanarak taburcu edildi.
112 Acil Yardım Ekipleri, UMKE Timleri, ambulanslarımız ve hastanelerimizle, acımızı azaltmak için İzmir’de görev başındayız.</t>
  </si>
  <si>
    <t>1322314633517170689</t>
  </si>
  <si>
    <t>“UMUT VAR VE HEP OLACAK!” https://t.co/zAtfnT3DF2</t>
  </si>
  <si>
    <t>1322310836787052546</t>
  </si>
  <si>
    <t>“UMUT VAR VE HEP OLACAK!” https://t.co/lhsLB3PDsi</t>
  </si>
  <si>
    <t>1322306584207347712</t>
  </si>
  <si>
    <t>112 Acil ve UMKE Timlerinde görevli 832 profesyonelimiz, can kurtarmak ve yaralılara acil sağlık hizmeti vermek için çalışmalarına devam ediyor. Bu acıyı azaltmak için göze alamayacağımız bir sorumluluk yok. Tüm desteğimizle İzmir halkının yanındayız. https://t.co/nexKHSqTfH</t>
  </si>
  <si>
    <t>1322279876813086725</t>
  </si>
  <si>
    <t>Cumhurbaşkanımız Sn. Recep Tayyip Erdoğan’ın himayelerinde gerçekleşen PROF. DR. AZİZ SANCAR BİLİM, HİZMET VE TEŞVİK ödülleri programında yaptığımız konuşma. https://t.co/FdCw6uiGuj</t>
  </si>
  <si>
    <t>1322272793606737921</t>
  </si>
  <si>
    <t>ANKARA, BURSA VE DENİZLİ İL SAĞLIK MÜDÜRLERİMİZLE video konferans yöntemiyle birer görüşme yaptık. Salgınla mücadelede gelinen noktayı, üç ildeki hasta yükünü değerlendirdik, filyasyon çalışmaları ve yatak kapasiteleri hakkında bilgi aldık. https://t.co/cpiglXLP8Q</t>
  </si>
  <si>
    <t>1322259006174482437</t>
  </si>
  <si>
    <t>4. Türk Konseyi Sağlık Bilim Kurulu Toplantısında Genel Sekreter Amrayev, Macaristan Devlet Bakanı Lorinczi, Azerbaycan Sağlık Bakan Yrd. Agayev, DSÖ Avrupa Direktörü Kluge, Kazakistan, Kırgızistan, Özbekistan sağlık bakanları Tsoy, Savirdinovich, Shadmanov’la ayrı ayrı görüştük. https://t.co/a9nUbiqH0v</t>
  </si>
  <si>
    <t>1322252395452243968</t>
  </si>
  <si>
    <t>RT @RTErdogan: Prof. Dr. Aziz Sancar Bilim, Hizmet ve Teşvik Ödülleri Töreni https://t.co/opZZdcIvqv</t>
  </si>
  <si>
    <t>1322250782226395136</t>
  </si>
  <si>
    <t>4. Türk Konseyi Sağlık Bilim Kurulu Toplantısında Yaptığımız Açılış Konuşması https://t.co/XHlyE4p9Rn</t>
  </si>
  <si>
    <t>1322209207240843264</t>
  </si>
  <si>
    <t>Bugün tespit edilen 2.322 yeni hastamız var. Ağır hasta sayımız 2.000’e yaklaştı. Salgınla mücadele hem bireysel hem de toplu halde tedbirlere uymaktan geçiyor. Yarın bugünden daha az hastamız olsun istiyorsak hareketliliği üçte birine indirmeliyiz. https://t.co/RVlhe7786O</t>
  </si>
  <si>
    <t>1322206473913573376</t>
  </si>
  <si>
    <t>İzmir’deki depremde ne yazık ki 4 vatandaşımız hayatını kaybetti. Toplamda 120 vatandaşımız depremden etkilendi. 38 ambulansımız, 35 UMKE ekibimiz ve 2 ambulans helikopterimiz olay yerinde. Tüm desteğimizle İzmir halkının yanındayız. Başımız sağ olsun.</t>
  </si>
  <si>
    <t>1322174512050409472</t>
  </si>
  <si>
    <t>DSÖ Avrupa Bölge Direktörü, Türk Konseyi Genel Sekreteri, Azerbaycan, Kazakistan, Kırgızistan, Özbekistan, Macaristan Sağlık Bakanları ve üst düzey diğer katılımlarla gerçekleşen 4. TÜRK KONSEYİ SAĞLIK BİLİM KURULU TOPLANTISI AÇILIŞ KONUŞMASI
https://t.co/uF4S8wEUVf</t>
  </si>
  <si>
    <t>1322085640322928640</t>
  </si>
  <si>
    <t>Bir süredir tedavi gören ve durumunu yakından takip ettiğimiz Eski Başbakanlarımızdan Sayın Mesut Yılmaz’ı kaybettik. Kendisine Allah’tan rahmet, sevenlerine ve ailesine başsağlığı diliyorum. https://t.co/YBESzd6ink</t>
  </si>
  <si>
    <t>1322078699064348672</t>
  </si>
  <si>
    <t>İSTANBULLULAR, RİCA EDİYORUM: Testi pozitif çıkanlar temaslılarını eksiksiz bildirsin. Yaşlılar, kronik hastalığı olanlar kendilerini korumaya alsın. Şu an sistemin tıkanmasına yol açacak bir sorunumuz yok. Fakat her kapasitenin sonuçta bir sınırı vardır. Sağduyunuza güveniyoruz. https://t.co/ndijDFn9Yk</t>
  </si>
  <si>
    <t>1321895759944552449</t>
  </si>
  <si>
    <t>SEVGİLİ İSTANBULLULAR. Mecburiyetiniz yoksa evden çıkmayın. Hastalığa yakalanmayı göze alacağınız ziyaretleri ve seyahatleri yapın. Kalabalık ortama girecekseniz, hastalığa yakalanmaya değip değmeyeceğini düşünün. Maskenizi, virüsün size bulaşmasını göze alacağınız zaman çıkarın. https://t.co/v7vN2Po0Rs</t>
  </si>
  <si>
    <t>1321887363371589632</t>
  </si>
  <si>
    <t>Bugün tespit edilen 2.319 hastamız var. Ağır hasta sayısı 1.916’ya ulaştı. Salgının mevcut durumu bizi hayatımızı yavaşlatmaya zorluyor. Teması üçte birine indirmek zorundayız. Birlikte mücadele edecek ve virüsü yeneceğiz. Güç verin, destek olun. https://t.co/RVlhe7786O</t>
  </si>
  <si>
    <t>1321844443369082881</t>
  </si>
  <si>
    <t>İstanbul’da artışın öne çıkan nedeni hareketliliktir. Hareketliliği azaltmalısınız. Maske, mesafe, temizlik kuralına uymalısınız. Çözüm, virüsün yöntemini virüse karşı kullanmaktır. Virüs, bir kişiden ortalama 3 kişiye bulaşıyor. SİZ DE, HAREKETİ VE TEMASI 3’TE BİRİNE İNDİRİN. https://t.co/TjfCN0XO8e</t>
  </si>
  <si>
    <t>1321832609173901314</t>
  </si>
  <si>
    <t>TESTİ POZİTİF ÇIKAN HER 10 KİŞİDEN 4’Ü İSTANBUL’DADIR. Son 7 gündeki artış, geçen ayın ortalamasından %85 fazladır. Nüfus düşünüldüğünde, bu oran korkutucudur. Durum 83 Milyonu ilgilendiriyor. İstanbul’da gidişi kontrol altına alamazsak, salgın baş edilebilir olmaktan çıkacaktır. https://t.co/0opMFjE8qO</t>
  </si>
  <si>
    <t>1321822737883684864</t>
  </si>
  <si>
    <t>CUMHURİYETİMİZİN 97. YIL DÖNÜMÜ KUTLU OLSUN. Milletimize, 29 Ekim 1923 gününü ve bugünleri hazırlayan kahramanları, başta Cumhuriyetimizin kurucusu Gazi Mustafa Kemal Atatürk ve arkadaşları olmak üzere, tarihin huzurunda saygı ve minnetle anıyoruz. Cumhuriyetimizle güçlüyüz. https://t.co/jkHpB2fZzH</t>
  </si>
  <si>
    <t>1321799701126107136</t>
  </si>
  <si>
    <t>Bilim Kurulu Toplantımızın ardından Koronavirüs ile ilgili son gelişmeler ve aldığımız yeni tedbirlere ilişkin basın açıklamamız.
📍Başakşehir Çam ve Sakura Şehir Hastanesi / İstanbul
https://t.co/b3J3OhQ805</t>
  </si>
  <si>
    <t>1321496676645875714</t>
  </si>
  <si>
    <t>PCR COVID-19 TEST LABORATUVARI ZİYARETİ. Kanuni Sultan Süleyman Eğitim ve Araştırma Hastanesi yöneticileriyle pandemideki hasta yükü, değişiklik gösteren şartlara karşı verilecek katkıları ele aldıktan sonra, İstanbul için çok önemli olan laboratuvarımızda incelemelerde bulunduk. https://t.co/2APdp0nJie</t>
  </si>
  <si>
    <t>1321493299274960896</t>
  </si>
  <si>
    <t>AŞI ÇALIŞMALARI ZİYARETİ. Mehmet Akif Ersoy İDEA Araştırma Geliştirme ve Eğitim Merkezinde bilim insanlarımızla bir araya geldik. Bilimsel çalışmalar ve yapılan deneyler hakkında bilgi aldık. Bilim, salgına son verene kadar, elimizde tedbirlerden başka güç yok. Kurallara uyalım. https://t.co/dc6Qgx2gGb</t>
  </si>
  <si>
    <t>1321483851768713216</t>
  </si>
  <si>
    <t>PROF. DR. CEMİL TAŞCIOĞLU ŞEHİR HASTANESİ YÖNETİCİLERİYLE GÖRÜŞME. Yaptığımız ziyarette, yöneticilerden pandemi sürecindeki hasta yükü, değişiklik gösteren şartlarda verilecek katkı ve diğer konularda bilgi aldık. Tedbirlere tam olarak uyarsak hastanelere daha az ihtiyaç duyarız. https://t.co/DCAm9ZvYAX</t>
  </si>
  <si>
    <t>1321477530596028416</t>
  </si>
  <si>
    <t>İSTANBUL ŞİŞLİ ETFAL EĞİTİM VE ARAŞTIRMA HASTANESİ YÖNETİCİLERİYLE GÖRÜŞME. Yaptığımız ziyarette, pandemi sürecindeki hasta yükü, değişiklik gösteren şartlarda verilecek katkı ve diğer hizmetler konusunda bilgi aldık. Tedbirde tavizsiz olursak hastanelere daha az ihtiyaç duyarız. https://t.co/toDCwVnXYw</t>
  </si>
  <si>
    <t>1321469725281558528</t>
  </si>
  <si>
    <t>İSTANBUL FİLYASYON ÇALIŞMALARI TAKİP KURULU BUGÜN TOPLANDI. Valimiz, kaymakamlarımız, ilçe sağlık müdürlerimiz ve diğer yöneticilerimizin katılımıyla yaptığımız toplantıda, temaslı takibi çalışmalarını ve artışla birlikte oluşan ihtiyaçları ele aldık. Vakaların %40’ı İstanbul’da. https://t.co/S10dlpkmV3</t>
  </si>
  <si>
    <t>1321464742536499200</t>
  </si>
  <si>
    <t>KORONAVİRÜS BİLİM KURULU, vaka sayılarının ülke genelinin %40’ına ulaştığı İstanbul’da toplanıyor. Bu, çalışmalarına 10 Ocakta başlayan kurulun Ankara dışında yapacağı ilk toplantı olacak.</t>
  </si>
  <si>
    <t>1321423709547171840</t>
  </si>
  <si>
    <t>İstanbul’da vaka sayılarındaki artış, büyük hazırlık gerektiriyor. Çalışmalarımızın 4. gününde üniversite rektörleri, Tıp Fakültelerinin dekanları ve hastane başhekimleriyle bir araya geldik. 3 kurala uyulursa hastanelere daha az ihtiyaç duyarız. SALGINA KARŞI ORGANİZE OLALIM. https://t.co/utPX5GnLlg</t>
  </si>
  <si>
    <t>1321164967987552257</t>
  </si>
  <si>
    <t>İstanbul’da vaka sayılarındaki büyük artış, şehirde her alanda harekete geçmeyi gerektiriyor. Sosyal Güvenlik Kurumundan İl Göç İdaresi ve DHMİ Atatürk Havalimanı Müdürlüğüne kadar tüm il idaresiyle bir araya gelerek, hareket planlarımızı ele aldık. SALGINA KARŞI ORGANİZE OLALIM. https://t.co/rflaXE0TiX</t>
  </si>
  <si>
    <t>1321150730225520649</t>
  </si>
  <si>
    <t>Bugün tespit edilen 2.209 yeni hastamız var. Ağır hasta sayımız 1.827’ye yükseldi. Ağır hasta ve aktif hasta sayısı düşmeden başarılı olamayız. Mücadele birlikteliği tedbirleri istisnasız uygulamaktan geçiyor. Salgına karşı organize olalım. https://t.co/RVlhe7786O</t>
  </si>
  <si>
    <t>1321119714643447808</t>
  </si>
  <si>
    <t>İstanbul’da vaka sayılarındaki büyük artış ciddi bir hazırlık gerektiriyor. Bakan yardımcılarımla İstanbul’a ayırdığımız 4. günde Kamu Hastaneleri Başhekimleriyle hareket planlarımızı ele aldık. 3 kurala uyulursa hastanelere daha az ihtiyaç duyarız. SALGINA KARŞI ORGANİZE OLALIM. https://t.co/bxubcKLpFj</t>
  </si>
  <si>
    <t>1321101445119287297</t>
  </si>
  <si>
    <t>Vaka sayılarının ülke genelinin %40’ına ulaştığı İstanbul’da dün son toplantımızı Özel Hastaneler ve Sağlık Kuruluşları Derneği ve özel hastane yöneticileriyle yaptık. Gücümüzü takviye ediyoruz. 3 kurala uyulursa hastanelere daha az ihtiyaç duyarız. SALGINA KARŞI ORGANİZE OLALIM. https://t.co/0l91MiDk3W</t>
  </si>
  <si>
    <t>1320999028268634112</t>
  </si>
  <si>
    <t>Bir süredir tedavisi devam eden sağlık eski bakanımız, kıymetli meslektaşım Dr. Osman Durmuş Bey maalesef aramızdan ayrıldı. Kendisine sonsuz rahmet, ailesine ve sevenlerine sabırlar diliyorum. Milletçe başımız sağ olsun.</t>
  </si>
  <si>
    <t>1320820945880317952</t>
  </si>
  <si>
    <t>İstanbul Valisi, İBB Genel Sekreteri, 39 ilçenin belediye başkanı, salgınla mücadelenin tüm ortakları, bir araya geldik. Toplu taşımadan pazaryerine, kalabalık kaynaklı yayılıma karşı çözüm üretilmesini gündeme taşıdık. KURUMLAR VE ŞEHİR HALKI, RİSKE KARŞI ORGANİZE OLMALIYIZ. https://t.co/ruACefoOJN</t>
  </si>
  <si>
    <t>1320789429632569344</t>
  </si>
  <si>
    <t>Bugün tespit edilen 2.198 yeni hasta var. Ağır ve aktif hasta sayısı artmaya devam ediyor. Salgının bölgesel tırmanışını durdurmak için birlikte mücadele etmek zorundayız. Tedbirden daha güçlü bir silahımız bugün için yok. Salgına karşı organize olalım. https://t.co/RVlhe7786O</t>
  </si>
  <si>
    <t>1320761211143835649</t>
  </si>
  <si>
    <t>İstanbul Valimiz, İBB Genel Sekreterimiz ve İlçe Belediye Başkanlarımızın katılımıyla gerçekleştirdiğimiz Salgın Sürecini Değerlendirme Toplantımızın ardından basın açıklamamız:
📍İstanbul Valiliği
https://t.co/4XfQofqp7Y</t>
  </si>
  <si>
    <t>1320737342399877121</t>
  </si>
  <si>
    <t>Vaka sayılarının ülke genelinin %40’ına ulaştığı İstanbul’da bugün dördüncü toplantımızı Marmara Üniversitesi Prof. Dr. Asaf Ataseven Hastanesi yöneticileriyle yaptık. Gücümüzü takviye ediyoruz. 3 kurala uyulursa hastanelere daha az ihtiyaç duyarız. SALGINA KARŞI ORGANİZE OLALIM. https://t.co/KHyFhVCUSS</t>
  </si>
  <si>
    <t>1320457919008264192</t>
  </si>
  <si>
    <t>Vaka sayılarının ülke genelinin %40’ına ulaştığı İstanbul’da, bugün, üçüncü toplantımızı Kartal Dr. Lütfi Kırdar Şehir Hastanesinin yöneticileriyle yaptık. Riske karşı gücümüzü takviye ediyoruz. 3 kurala uyulursa hastanelere daha az ihtiyaç duyarız. SALGINA KARŞI ORGANİZE OLALIM. https://t.co/r9VCOHO0ri</t>
  </si>
  <si>
    <t>1320429225887911936</t>
  </si>
  <si>
    <t>Vaka sayılarının ülke genelinin %40’ına ulaştığı İstanbul’da ikinci günümüz. İkinci toplantıyı Göztepe Prof. Dr. Süleyman Yalçın Şehir Hastanesinde yaptık. Riske karşı gücümüzü takviye ediyoruz. 3 kurala uyulursa hastanelere daha az ihtiyaç duyarız. SALGINA KARŞI ORGANİZE OLALIM. https://t.co/wCNKu2ZhWD</t>
  </si>
  <si>
    <t>1320415997828993024</t>
  </si>
  <si>
    <t>Dün, İstanbul Avrupa Yakası Komuta Kontrol Merkezini ziyaret ettiğimiz 112 Acilin Anadolu yakası çalışanlarıyla buluştuk. Salgına karşı verdiğimiz mücadelede, tıpkı diğer hizmetlerdeki gibi büyük görev üstleniyorlar. Durum değerlendirmesi: SALGINA KARŞI DAHA SIKI ORGANİZE OLALIM. https://t.co/TvYWYEe0X7</t>
  </si>
  <si>
    <t>1320403457250123777</t>
  </si>
  <si>
    <t>Bugün tespit edilen 2.017 yeni hasta var. Ağır hasta sayımız ve aktif hasta sayımız artmaya devam ediyor. Bu gidişatı değiştirmek bizim elimizde. Mücadeleyi bize kazandıracak olan birbirimizin hakkına saygı duymak ve tedbirlere birlikte uymaktır. https://t.co/RVlhe7786O</t>
  </si>
  <si>
    <t>1320394880024272897</t>
  </si>
  <si>
    <t>Vaka sayılarının ülke genelinin %40’ına ulaştığı İstanbul’da ikinci günümüz. Salgınla mücadelede önemli üslerimizden olan Ümraniye Eğitim Araştırma Hastanesinde bir risk değerlendirmesi yaptık. Kurallara uyarsak, hastanelere daha az ihtiyaç duyarız. SALGINA KARŞI ORGANİZE OLALIM. https://t.co/JKYBoV2JPa</t>
  </si>
  <si>
    <t>1320392162945761282</t>
  </si>
  <si>
    <t>Afiyet ve moral motivasyon olsun:) 
112 Acil çalışanlarımızın her birine sevgi ve selamlar. https://t.co/29KPwpvlxI</t>
  </si>
  <si>
    <t>1320111152672706560</t>
  </si>
  <si>
    <t>Başakşehir Çam ve Sakura Şehir Hastanesi, artan hasta yükümüze karşı en önemli sağlık üslerimizden biri. Ekip olarak, 5 çalışma gününü ayıracağımız İstanbul’da, karargâhımız olacak. Çarşamba günü, Bilim Kurulu toplantımız da burada gerçekleşecek. SALGINA KARŞI ORGANİZE OLALIM. https://t.co/ohXbGZJyt1</t>
  </si>
  <si>
    <t>1320096482985496578</t>
  </si>
  <si>
    <t>Prof. Dr. Feriha Öz Acil Durum Hastanesi, İstanbul’da artan hasta yükümüze karşı en önemli sağlık üslerimizden biri. Bugün, yöneticilerimizden hastanenin durumu ve süreç hakkında bilgi aldık. Kurallara uyarsak, hastanelere daha az ihtiyaç duyarız. SALGINA KARŞI ORGANİZE OLALIM. https://t.co/geFrUsi1pu</t>
  </si>
  <si>
    <t>1320071213365022721</t>
  </si>
  <si>
    <t>112 Acil Çağrı Merkezi, salgına karşı verdiğimiz mücadelede, tıpkı genel sağlık hizmetlerindeki kritik rolü gibi büyük işlev üstleniyor. İstanbul Avrupa Yakası Komuta Kontrol Merkezinde bugün arkadaşlarımızla görüşüp, durum değerlendirmesi yaptık. SALGINA KARŞI ORGANİZE OLALIM. https://t.co/GkWxsA96W3</t>
  </si>
  <si>
    <t>1320048115404148736</t>
  </si>
  <si>
    <t>Prof. Dr. Murat Dilmener Acil Durum Hastanesi, artan hasta yükümüze karşı en önemli sağlık üslerimizden biri. Bugün, yöneticilerimizden hastanenin durumu ve salgın süreci hakkında bilgi aldık. Kurallara uyarsak, hastanelere daha az ihtiyaç duyarız. SALGINA KARŞI ORGANİZE OLALIM. https://t.co/wgWy7OESB8</t>
  </si>
  <si>
    <t>1320043324301021185</t>
  </si>
  <si>
    <t>5 GÜN İSTANBUL’DAYIZ. Toplam vakaların %40’ı İstanbul’da. Salgına karşı organize olalım.</t>
  </si>
  <si>
    <t>1320036268307288065</t>
  </si>
  <si>
    <t>Bugün yapılan 113.427 test sonucunda 2.091 yeni hasta tespit edildi. Ağır hasta sayımız artmaya devam ediyor. Hastaların tedavisi özveri ile çalışan sağlık çalışanlarımıza emanet. Tedbirlere uymak ise bizim sorumluluğumuz. Birlikte mücadele edelim. https://t.co/RVlhe7786O</t>
  </si>
  <si>
    <t>1320032899316539394</t>
  </si>
  <si>
    <t>COVID-19 testinin pozitif çıktığını öğrenince arayıp, geçmiş olsun dileklerimi ilettiğim İstanbul Büyükşehir Belediye Başkanı Sn. Ekrem İmamoğlu’na buradan bir kez daha geçmiş olsun diyorum. Bu vesileyle, salgının yayıldığı İstanbul’da halkımızı tedbirli olmaya davet ediyorum.</t>
  </si>
  <si>
    <t>1320009216116097024</t>
  </si>
  <si>
    <t>Sağlık sistemimiz, hastamızı en iyi şekilde tedavi edecek güçte. Bundan önemli olan, tedbirlerle salgına set çekmektir. Halen tedbirlerden daha güçlü silahımız yok. Mücadele sadece hasta tedavi ederek kazanılamaz, yayılmayı önleyerek kazanılır. Bu, tedbirlere uymakla mümkündür. https://t.co/6c61G8hQY7</t>
  </si>
  <si>
    <t>1319741914879528960</t>
  </si>
  <si>
    <t>Bursa, Bilecik, Balıkesir, Çanakkale ve Yalova illerimizde son durum: Bursa’da günlük vaka sayısı 1 ay öncesine göre yaklaşık 3 kat, Bilecik’te 2 kat arttı. Balıkesir, Yalova ve Çanakkale’deyse 1 ay öncesine göre %50 oranında vaka artışı var. Her ilde imkânlar yeterli düzeydedir. https://t.co/StOnKuncJU</t>
  </si>
  <si>
    <t>1319736431489785856</t>
  </si>
  <si>
    <t>Çoğu kişide belirti görülmemesi sevindiricidir. Bu, işin ciddiyetini azaltmıyor. Salgın bize şunu öğretti: Virüsün yayılması, sadece daha fazla sayıda insanın hasta olması değil, tüm hayatın sekteye uğramasıdır. Salgına karşı verilen mücadele bütün hayatı koruma mücadelesidir. https://t.co/dDzYXo5hwv</t>
  </si>
  <si>
    <t>1319723933697036290</t>
  </si>
  <si>
    <t>Anadolu, ikinci zirve döneminde. İlk zirveyi büyük illerde 14 Nisan’da, ikinci zirveyi Eylül’de yaşamıştık. Anadolu’da ilk zirve Eylül’de görülmüştü. İkincisini şimdi yaşıyoruz. Tedbirlere ciddiyetle sarılmanın sonuçlarını daha önce aldık. Bu yeni sınavda kararlılığa ihtiyaç var. https://t.co/XWi78HEoAw</t>
  </si>
  <si>
    <t>1319717779168256000</t>
  </si>
  <si>
    <t>Bugün tespit edilen 2.165 yeni hastamız var. Toplamda yaklaşık 13 milyon test yapıldı. Ağır hasta sayımızda artış devam ediyor. Salgınla mücadelede geldiğimiz noktada elimizdeki en büyük silah başta MASKE olmak üzere tedbirlerdir. Mücadeleye güç verin. https://t.co/RVlhe7786O</t>
  </si>
  <si>
    <t>1319697664330575873</t>
  </si>
  <si>
    <t>Salgınla mücadelede Bursa, Balıkesir, Çanakkale, Bilecik ve Yalova’daki son durum ve Türkiye değerlendirmesi: 
📍BURSA
https://t.co/C8Xey1i7Hx</t>
  </si>
  <si>
    <t>1319685425418653703</t>
  </si>
  <si>
    <t>BURSA programında ikinci durağımız Şehir Hastanemiz oldu. Tedavileri devam eden gençlerimizle çocuklarımızı ziyaret ettik. Sağlık çalışanı arkadaşlarımızla yaptığımız görüşmelerde, hastanedeki pandemi süreci ile genel sağlık hizmetlerindeki düzenlilik konusunda bilgi aldık. https://t.co/33fAWPldzt</t>
  </si>
  <si>
    <t>1319627992566550530</t>
  </si>
  <si>
    <t>BURSA’DAYIZ. Bütün sürecin en önemli aşamalarından birinde, burada yapacağımız çalışma toplantılarında; Bursa, Balıkesir, Çanakkale, Bilecik ve Yalova’da salgına karşı verdiğimiz mücadelede gelinen noktayı, hastanelerimizin ve sağlık çalışanlarımızın ihtiyaçlarını ele alacağız. https://t.co/GNbI6tvMmL</t>
  </si>
  <si>
    <t>1319569838000525313</t>
  </si>
  <si>
    <t>İstanbul’da en çetin sınavı kalabalığa karşı vereceğiz. Mecbur olmadıkça kalabalık ortama girmeyin.</t>
  </si>
  <si>
    <t>1319359473794908160</t>
  </si>
  <si>
    <t>İSTANBUL’DA VAKA SAYISI Türkiye genelinin %40’ına, Ankara’nın 5 katına ulaştı. Temaslı taramasını, test sayısını artırdık. Salgınla mücadelede, şu an, sizlerin uyacağı tedbirlerden daha güçlü bir silahımız yok. Maskenin önemi arttı. Ve en çetin sınavı kalabalığa karşı vereceğiz.</t>
  </si>
  <si>
    <t>1319349956474437634</t>
  </si>
  <si>
    <t>İSTANBUL Valisi Sn. Ali Yerlikaya, İl Emniyet Müdürü Sn. Zafer Aktaş, bakan yardımcılarımız, il sağlık müdürümüz, saha koordinatörlerimiz ve başhekimlerimizle birlikte, salgının İstanbul’daki seyrini masaya yatırdık. Devam eden artışa karşı alınacak tedbirleri kararlaştırdık. https://t.co/cygH788oMe</t>
  </si>
  <si>
    <t>1319340511619129347</t>
  </si>
  <si>
    <t>Yazar ve milletvekili kardeşimiz Markar Esayan’ı, Cumhurbaşkanımız Erdoğan ve saygıdeğer eşi Emine Erdoğan Hanımefendinin katıldığı törenle son yolculuğuna uğurladık. Dini tören, Kumkapı Meryem Ana Patriklik Kilisesinde yapıldı. Yakınlarına ve sevenlerine başsağlığı diliyorum. https://t.co/r4sVFt7icI</t>
  </si>
  <si>
    <t>1319326793053122560</t>
  </si>
  <si>
    <t>Bugün tespit edilen 2.102 yeni hastamız var. Ağır hasta sayımız 1.599. Sağlık çalışanlarımız için en önemli mücadele alanı ağır hastaları tedavi ederek sayılarını azaltmak Bize düşen çok daha kolay. Başta maske ile tedbirlere uyarak mücadeleye destek verin https://t.co/RVlhe7786O</t>
  </si>
  <si>
    <t>1319308470173245442</t>
  </si>
  <si>
    <t>İZMİR, GAZİANTEP, KAHRAMANMARAŞ, ESKİŞEHİR, DENİZLİ, ADIYAMAN, AYDIN toplantılarında salgınla mücadelede geldiğimiz noktayı değerlendirdik. İstanbul başta olmak üzere, bu 7 il ve ülke genelinde vaka artışı görülüyor. Maskenin önemi arttı. Kurallara uyalım. https://t.co/qwpIvIF6e0</t>
  </si>
  <si>
    <t>1319008020282703873</t>
  </si>
  <si>
    <t>RT @CMYLMZ: Sayın Sağlık Bakanımız @drfahrettinkoca Bugün dile getirdiğim düşünce ile ilgili beni cok mutlu eden haberler verdi. Kendisine…</t>
  </si>
  <si>
    <t>1318960421202780160</t>
  </si>
  <si>
    <t>RT @CMYLMZ: Pandemi boyunca sorumluluğu en yüksek seviyede olan Sağlık Bakanlığımıza önerimdir Tüm ülkede,sağlık personeline,canıyla kanıyl…</t>
  </si>
  <si>
    <t>1318960387774156803</t>
  </si>
  <si>
    <t>Bugün 2.000’den fazla yeni tespit edilmiş hastamız var. Toplam ağır hasta sayımız 1.504. Sağlık çalışanlarımızın en çok emek çektiği hastalar ağır hastalarımız. Onların yükünü azaltmak tedbirlere birlikte uyarak mümkün. Mücadeleye destek verin. https://t.co/RVlhe7786O</t>
  </si>
  <si>
    <t>1318958865669623814</t>
  </si>
  <si>
    <t>Sağlık çalışanlarımızın hastaları iyileştirmek için gösterdiği çabayı bizler de tedbirlere uymak için göstermeliyiz.</t>
  </si>
  <si>
    <t>1318628746665013248</t>
  </si>
  <si>
    <t>Bugün tespit edilen 1.894 yeni hastamız var. Ağır hasta sayımız 1.545’e yükseldi. Sağlık çalışanlarımızın hastaları iyileştirmek için sarf ettiği gayreti biz de tedbirlere uymak için sarf etmeliyiz. Tedbirlere uyarak birlikte mücadeleye destek verin. https://t.co/RVlhe7786O</t>
  </si>
  <si>
    <t>1318597919210147842</t>
  </si>
  <si>
    <t>DOLUYSA, BİNMEYİN! İstanbul’da dolmuş şoförleri içinden bazılarının, salgına rağmen, kapasitelerinden fazla yolcu aldıkları yönünde şikâyetler artmaya başladı. Lütfen, fazla yolcu taşıyan dolmuşa binmeyin. Yolcu kapasitesi denetimi yapan Emniyet birimlerine yardımcı olsun. https://t.co/XiAJvN3z0f</t>
  </si>
  <si>
    <t>1318273341573287939</t>
  </si>
  <si>
    <t>Bugün tespit edilen 1.958 yeni hastamız var. Ağır hasta sayısını azaltmadan mücadelemizi başarıya ulaştırmamız güç. Bunu ancak tedbirlere birlikte uyarak güç birliği ile sağlayabiliriz. Sağlık çalışanlarımızın emeklerini katkı vererek yüceltelim. https://t.co/RVlhe7786O</t>
  </si>
  <si>
    <t>1318224373040488453</t>
  </si>
  <si>
    <t>Bosna Hersek bağımsızlık mücadelesinin büyük kahramanı, 20. yüzyılın en ileri aydın ve siyasetçilerinden ALİYA İZZETBEGOVİÇ’İ vefatının 17. yıl dönümünde hürmet ve rahmetle anıyoruz. Bilge Kral, eseriyle yüzyıla tanık oldu, mücadelesiyle yön verdi. https://t.co/c1ltttTynG</t>
  </si>
  <si>
    <t>1318159768503144448</t>
  </si>
  <si>
    <t>BU KALABALIĞA SAĞLAM GİREN HASTA ÇIKAR. Taksim İstiklal Caddesi, bu Pazar, insanı iyimserlikten uzaklaştıran görüntülere sahne oldu. Maskesini takmış az sayıda kişi olmasa, Pandemi döneminde olduğumuz hiç akla gelmeyebilirdi. Mecburiyet olmadıkça kalabalık ortama girmeyelim. https://t.co/1WCorodzSJ</t>
  </si>
  <si>
    <t>1317910590669705218</t>
  </si>
  <si>
    <t>KKTC Başbakanı Ersin Tatar, resmi olmayan sonuçlara göre, Cumhurbaşkanı seçildi. Kendisini şimdiden kutluyor ve başarılar diliyorum. Kıbrıs Türkleri ve hepimiz için hayırlı olsun.</t>
  </si>
  <si>
    <t>1317888914011623427</t>
  </si>
  <si>
    <t>Bugün 1.500’den fazla iyileşen hastamız var. Yeni tespit edilen 1.815 hastamız var. Ağır hasta sayısı durağan seyrine devam ediyor. Aktif ve ağır hasta sayılarını azaltmak zorundayız. Tedbirlere uyarak mücadeleyi güç birliği ile sürdürmeye devam edelim. https://t.co/RVlhe7786O</t>
  </si>
  <si>
    <t>1317862252817666049</t>
  </si>
  <si>
    <t>Birbirimizi tek millet, iki devlet bildiğimiz kardeş Azerbaycan’ın 18 Ekim Bağımsızlık Günü kutlu olsun. Ermenistan'ın barbar saldırılarına karşı topraklarını savunan Azerbaycan'ın yanındayız. https://t.co/JyXZQgr4me</t>
  </si>
  <si>
    <t>1317806774062374912</t>
  </si>
  <si>
    <t>MUHTAR FEVZİ BEY, 76 yaşında. COVID-19’a yakalandı. 10 gün karantinada kaldı. Şikâyetleri devam edince, 6 gün hastanede tedavi gördü. 1 hafta evde dinlendi. Söylediği çok basit: Maske kuralına uyulursa hastalık azalır. Kendinden biliyor: Hatam, maskeyi burnumun altına indirmekti. https://t.co/1nGNX6lz9l</t>
  </si>
  <si>
    <t>1317742230908657664</t>
  </si>
  <si>
    <t>TEDBİRLERE UYMAYANLARA KARŞI ne yapılıyor? Salgına rağmen sorumsuzca davrananlara karşı, İÇİŞLERİ BAKANLIĞIMIZ denetim ve yaptırımlarına devam ediyor. Ortak alanlarda maske ve mesafe kurallarına uyulması için, önlemler alıyor. Bu çabaya nazik uyarılarınızla siz de katkı verin. https://t.co/t1dEag7b3B</t>
  </si>
  <si>
    <t>1317542116160163840</t>
  </si>
  <si>
    <t>ÜÇ tedbire uymak, filyasyon ekibi sayımızdan, günlük test sayımızdan, yatak kapasitemizden, solunum cihazı doluluk oranımızdan daha önemlidir. Çünkü bunlara ihtiyacımız, tedbirlere uyulup uyulmadığına bağlı olarak değişmektedir. https://t.co/aat93O3ymV</t>
  </si>
  <si>
    <t>1317526589417152512</t>
  </si>
  <si>
    <t>Koronavirüs, solunum yoluyla bulaştığı için, maske vazgeçilmez bir tedbirdir. Hatta tedbirlerin en önemlisidir. Bilim adamlarımız, bazı şartlarla birlikte, MASKENİN KORUYUCULUK ÖZELLİĞİNİN %90’A KADAR ÇIKTIĞINI söylemektedir. https://t.co/eLNDH4qsc6</t>
  </si>
  <si>
    <t>1317511256652251139</t>
  </si>
  <si>
    <t>Bugün yapılan testlerde 1.723 yeni hasta tespit edildi. Ağır hasta sayısını düşürecek olan hastalığın bulaş yollarını engellemektir. Bunun için şuan en önemli silahımız tedbirlere birlikte uymak. Tedbirlere uyarsak kazanan biz olacağız. https://t.co/RVlhe7786O</t>
  </si>
  <si>
    <t>1317495779343454209</t>
  </si>
  <si>
    <t>RT @RTErdogan: Fatih Sondaj Gemimizden Milletimize #MilliEnerjideYeniMüjde https://t.co/748SzSHwlT</t>
  </si>
  <si>
    <t>1317458389979508737</t>
  </si>
  <si>
    <t>DSÖ Avrupa Direktörü Dr. Hans Kluge, önlem alınmazsa Avrupa’da ölüm oranlarının Nisan ayına göre 5 kat artabileceğini açıkladı. 6 milyon olan vaka sayısı 10 gün içinde 7 milyona ulaştı. Günlük vefat, 1.000’in üzerinde. AVRUPA’DAKİ TABLO İKİNCİ DALGA OLARAK NİTELENDİRİLMEKTEDİR. https://t.co/bf50vCTQlg</t>
  </si>
  <si>
    <t>1317449445622095873</t>
  </si>
  <si>
    <t>Dünyadaki aktif vaka sayısı geçmiş aylardan kat kat fazla. Sadece 15 Ekim’de tanı konarak tespit edilen, 430 bin. Tahminlere göre, bulaştırıcılık özelliğine sahip toplam kişi sayısı 70 Milyonun üzerinde. 1 KİŞİDEN BAŞLAYAN SALGININ ŞU AN 70 MİLYONDAN ÇOK YAYILMA KANALI VAR. https://t.co/R2FIA9gqv4</t>
  </si>
  <si>
    <t>1317447661172252675</t>
  </si>
  <si>
    <t>Virüs, resmi rakamlara göre, en az 39 Milyon kişiye bulaştı. En başta, bu sayı sadece 1’di. Koronavirüs, dünyaya o 1 kişiden yayıldı. O “Bir” sayısı en az 39 Milyon oldu. Aramızda bir tek taşıyıcının bile olması, o izole edilmediği sürece, riskin devam ettiği anlamına gelir. https://t.co/QekI13Uywv</t>
  </si>
  <si>
    <t>1317445502175186944</t>
  </si>
  <si>
    <t>Doğrudan Azerbaycan halkını hedef alan, aralarında çocukların olduğu çok sayıda sivilin şehadetine ve yaralanmasına yol açan füze saldırıları sebebiyle Ermenistan’ı ve barbarlık gösterisindeki ordusunu lanetliyoruz. Teröristlerin ömrü daima kısa olmuştur.</t>
  </si>
  <si>
    <t>1317410216640679936</t>
  </si>
  <si>
    <t>SORU: Kesitsel taramalarda çıkacak pozitif vakalar, sadece Dünya Sağlık Örgütü’ne mi bildirilecek? 
CEVAP: Önce vatandaşımız, sonra Dünya Sağlık Örgütü öğrenecek! https://t.co/PJGKhgZkp9</t>
  </si>
  <si>
    <t>1317208346722783234</t>
  </si>
  <si>
    <t>ŞEHİT SAĞLIK MEMURU BURAK TATAR’IN ailesini Erzurum’daki evlerinde ziyaret ettik. Burak, ilk görevinden sonra, Fırat Kalkanı ve Cerablus operasyonlarına gönüllü katılmış, Zeytin Dalı Operasyonunda şehit olmuştu. Ziyaretimizde, anne ve babasına hepiniz adına hürmetlerimizi sunduk. https://t.co/501IMxN36v</t>
  </si>
  <si>
    <t>1317185586080501760</t>
  </si>
  <si>
    <t>Markar Esayan’ı kaybettik. Çok gençti. Çok dosttu. Bir ayrıcalık olarak iki ana dili olan bir yazar, birleştirici bir aydındı. Tedavi gördüğü kanser hastalığına bugün yenildi. Hepimiz üzgünüz. Yakınlarına, okurlarına, Ermeni cemaatine, siyaset arkadaşlarına başsağlığı diliyorum.</t>
  </si>
  <si>
    <t>1317159515729645568</t>
  </si>
  <si>
    <t>Bugün tespit edilen 1.812 hastamız var. Ağır hasta sayımız uzun bir aradan sonra artış eğiliminde. Vaka sayısı artan illerde tedbirlere uyup azalan illerde tedbirlerden taviz verirsek mücadelemiz güçleşir. Tüm bölgelerimizde tedbirlere eksiksiz uymalıyız. https://t.co/RVlhe7786O</t>
  </si>
  <si>
    <t>1317147140410511365</t>
  </si>
  <si>
    <t>Salgınla mücadelede Erzurum, Ağrı, Iğdır, Kars, Ardahan, Erzincan, Tunceli ve Bingöl’deki son durum ve Türkiye değerlendirmesi: 
📍Erzurum
https://t.co/8oFqbGs6Km</t>
  </si>
  <si>
    <t>1317136355554623488</t>
  </si>
  <si>
    <t>ERZURUM’DA, 8 İLİMİZ İÇİN salgınla mücadele çalışma toplantılarını tamamladık. Erzurum, Ağrı, Iğdır, Kars, Ardahan, Erzincan, Tunceli ve Bingöl’ün il sağlık müdürleri ve saha koordinatörleriyle bir araya gelerek, her kent için durum analizi yaptık ve stratejimizi gözden geçirdik. https://t.co/vwclQELeIA</t>
  </si>
  <si>
    <t>1317132164945858560</t>
  </si>
  <si>
    <t>Koronavirüs İl Değerlendirme Toplantılarımıza başlamadan önce, Erzurum Şehir Hastanemizde çalışma arkadaşlarımızla buluşup, salgınla ilgili tecrübelerini, genel sağlık hizmetlerini ve ihtiyaçları konuştuk. Çocuk servisinde tedavi gören yavrularımızla gençlerimizi ziyaret ettik. https://t.co/yWtY5J1m9V</t>
  </si>
  <si>
    <t>1317082956251488258</t>
  </si>
  <si>
    <t>ERZURUM’DAYIZ. Yapacağımız çalışma toplantılarında; Doğu Anadolu kentlerimizden Erzurum, Ağrı, Iğdır, Kars, Ardahan, Erzincan, Tunceli ve Bingöl’de salgına karşı verdiğimiz mücadelede geldiğimiz noktayı, hastanelerimizin ve sağlık çalışanlarımızın ihtiyaçlarını ele alacağız. https://t.co/e1KCMplxTF</t>
  </si>
  <si>
    <t>1317026700048420864</t>
  </si>
  <si>
    <t>Toplamda 12 milyondan fazla test yapıldı. Bugün tespit edilen 1.693 yeni hasta var. Ağır hasta sayımız durağan seyrine devam ediyor. Filyasyon, izolasyon eksiksiz devam ediyor. Hasta sayısını tedbirlere birlikte uyarak azaltabiliriz. Kazanan biz olacağız. https://t.co/RVlhe7786O</t>
  </si>
  <si>
    <t>1316771510078631942</t>
  </si>
  <si>
    <t>15 Ekim Dünya El Yıkama Günü, 
16 Ekim Dünya El Yıkama Günü, 
17 Ekim Dünya El Yıkama Günü, 
18 Ekim Dünya El Yıkama Günü, 
19 Ekim… Ellerimizi sabunlayarak, her gün, sık sık, 20 saniye yıkayalım. El temizliği ile kendimizi iyi ve hastalıklara karşı güvende hissedelim. https://t.co/PJM5PELl8l</t>
  </si>
  <si>
    <t>1316761971266527233</t>
  </si>
  <si>
    <t>KORONAVİRÜS TEDBİRLERİNİN, GRİP ve benzeri enfeksiyonları azalttığını kanıtlayan araştırmalar var. DSÖ, 2 gün önce Grip Güncelleme Raporunda, grip mevsimini geçirmiş olan Güney Yarım Kürede enfeksiyonun çok seyrek görüldüğü bildirdi. Özellikle maske, gribe karşı tam bir engeldir. https://t.co/oe8vbQEGA6</t>
  </si>
  <si>
    <t>1316637652112809984</t>
  </si>
  <si>
    <t>Salgın döneminde herkesin GRİP AŞISI yaptırması gerektiği şeklinde yanlış bir düşünce var. Dünyada da grip aşısı üretiminde %20 artış oldu. Grip aşısını ÖZELLİKLE RİSKLİ KİŞİLERE öneriyoruz. Koronavirüs bulaştığında risk altında kalacak grubu tespit ederek, onlardan başlıyoruz. https://t.co/AgOxcHqGM0</t>
  </si>
  <si>
    <t>1316478281659699201</t>
  </si>
  <si>
    <t>Çok sayıda bilim insanının görev aldığı bir AŞI ORTAK ÇALIŞMA GRUBUMUZ var. Türkiye’nin aşı çalışmaları bu bilim insanlarına bağlı 600 kişilik ekip tarafından sürdürülüyor. Ortak Çalışma Grubumuz, halen 4 farklı aşı üzerinde çalışıyor. İkisi, insan deneyleri aşamasına yakındır. https://t.co/pxAmeNKrPI</t>
  </si>
  <si>
    <t>1316474059081867265</t>
  </si>
  <si>
    <t>DSÖ’NÜN TÜRKİYE RAPORUNDA, en zengin ülkeler arasında bulunmuyor olmamıza rağmen, salgınla mücadelede en cömert davranan ülkelerden olduğumuz vurgulanıyor. AB İLERLEME RAPORUNDA ise, halk sağlığı ve sağlık personeli politikamızın uluslararası standartlara uygunluğu gösteriliyor. https://t.co/OwCepq5JSx</t>
  </si>
  <si>
    <t>1316471083621593089</t>
  </si>
  <si>
    <t>Bilim Kurulu Toplantımızın ardından Koronavirüs ile ilgili son gelişmeler ve aldığımız yeni tedbirlere ilişkin basın açıklamamız.
📍SAĞLIK BAKANLIĞI BİLKENT YERLEŞKESİ / ANKARA
https://t.co/prxbliBC2s</t>
  </si>
  <si>
    <t>1316416547385151488</t>
  </si>
  <si>
    <t>Yarınımızı daha aydınlık kılacak çalışmalarla ilgili önemli bir toplantı yaptık. Yerli Aşı Ortak Çalışma Grubunun ilk toplantısında tüm araştırmacılarımızla bir araya geldik. Virüse karşı aşıyı da birlikte geliştireceğiz. @tusebgovtr @Tubitak https://t.co/661kEhAWAB</t>
  </si>
  <si>
    <t>1316132902032281600</t>
  </si>
  <si>
    <t>Bugün tespit edilen 1.632 yeni hasta var. Ağır hasta sayımız 1.416. Ağır hasta sayımız durağan seyrediyor. Ağır hasta sayısını azaltmak elimizde. Tedbirlere birlikte uyarak virüsün önüne geçebiliriz. Birlikte başaracağız, güvenin. https://t.co/RVlhe7786O</t>
  </si>
  <si>
    <t>1316047301782241280</t>
  </si>
  <si>
    <t>Bugün toplam ağır hasta sayımız 1.417. Yoğun bakım doluluk oranlarımızda bu hafta düşüş var. Hastalarda zatürre oranı da geçen haftaya göre düştü. Tedbirler birlikte ve sürekli uygulandığında sonuç veriyor. Birlikte başaracağız, güvenin. https://t.co/RVlhe7786O</t>
  </si>
  <si>
    <t>1315684003006091264</t>
  </si>
  <si>
    <t>Milli Eğitim Bakanlığımızın yüz yüze eğitime geçiş planlamasının ikinci aşamasında, ilkokul 2, 3 ve 4. sınıflar, köy okulları, 8. ve 12. sınıflar, lise hazırlık sınıfı öğrencileri ile özel gereksinimli öğrencilerimiz bugün yüz yüze eğitime başladı. Her şey sırayla yoluna girecek. https://t.co/d7suAqWAIw</t>
  </si>
  <si>
    <t>1315673961355792384</t>
  </si>
  <si>
    <t>Kilis Belediye Başkanı Mehmet Abdi Bulut, bir süredir Gaziantep Üniversitesi Şahinbey Araştırma ve Uygulama Hastanesi Yoğun Bakım Ünitesinde tedavi altındaydı. Kıymetli arkadaşımızı maalesef kaybettik. Kendisine Allah’tan rahmet, yakınlarına ve dostlarına başsağlığı diliyorum.</t>
  </si>
  <si>
    <t>1315649812725993474</t>
  </si>
  <si>
    <t>Bugün 1.502 yeni hasta tespit edildi. Toplam ağır hasta sayımız bugün 1.411. Hastaların şifa bulması için kendisi hastalanmayı göze alan, uykusuz kalan sağlık çalışanlarımıza destek olmak istiyorsak tedbirlere uyalım. Birlikte başaracağız, güvenin. https://t.co/RVlhe7786O</t>
  </si>
  <si>
    <t>1315321306548666374</t>
  </si>
  <si>
    <t>İstanbul il sağlık eski müdürlerinden, bakanlığımız emekli müsteşar yardımcısı Dr. Mehmet Bakar, tedavi gördüğü Bakırköy Eğitim Araştırma Hastanesinde vefat etti. Tıp camiasının saygı ve sevgisini kazanmış ağabeyimize Allah’tan rahmet, yakınlarına başsağlığı diliyorum.</t>
  </si>
  <si>
    <t>1315261103878832129</t>
  </si>
  <si>
    <t>İSTANBUL DEĞERLENDİRME VE SALGINLA MÜCADELE TOPLANTISI. İki bakan yardımcımız, il sağlık müdürümüz ve saha koordinatörlerimizin katılımıyla salgının seyrini, alınması gereken ek tedbirleri, hastanelerimizin durumunu ve filyasyon çalışmalarını ele aldık. Tedbirlerde ısrarcıyız. https://t.co/hb6SHA82dC</t>
  </si>
  <si>
    <t>1314968115403522049</t>
  </si>
  <si>
    <t>Ağır hasta sayımızdaki düşüş durağanlaşıyor. Ağır hasta sayısını kontrol altında tutmak zorundayız. Bugün 1.649 yeni hasta tespit edildi. Sağlık çalışanlarımızın işlerini kolaylaştırmak için tedbirlere uymalıyız. Birlikte başaracağız, güvenin. https://t.co/RVlhe7786O</t>
  </si>
  <si>
    <t>1314964960104058883</t>
  </si>
  <si>
    <t>İSTANBUL İNCELEMELERİNDE İKİNCİ DURAĞIMIZ: Prof. Dr. Cemil Taşçıoğlu Şehir Hastanesi. Arkadaşlarımızdan salgına yönelik çalışmalar ve genel sağlık hizmetleri hakkında bilgi aldık, hastaları ziyaret ettik. Ameliyatı yapılıp tedavisi devam Sabri amcayla da kısa bir sohbetimiz oldu. https://t.co/0BAlyiK49N</t>
  </si>
  <si>
    <t>1314962030433009664</t>
  </si>
  <si>
    <t>İSTANBUL, YAKINDA yeni bir hastaneye sahip olacak. Seyrantepe’deki binamız büyük oranda hazır. İncelemelerde bulunduğumuz binanın kapalı alanı 172.825 metrekare. 163 poliklinikle hizmet verecek olan hastanemiz 620 yataklı, 84 yoğun bakım yataklı planlandı. Ameliyathane sayısı 24. https://t.co/rzcYWgfcnM</t>
  </si>
  <si>
    <t>1314958678269845505</t>
  </si>
  <si>
    <t>KİMLERE TEST YAPILACAĞI Bilim Kurulu’nun hazırladığı rehberle belirlenmiştir. Buna göre Türkiye olarak, semptomu olan kişilere test yapıyoruz. Kriteri apaçık olan bu testlerin sonuçlarını Dünya Sağlık Örgütü’ne aynı açıklıkla bildiriyoruz. Ölçüt ve sonuç DSÖ için güven vericidir. https://t.co/oYzaDx91kq</t>
  </si>
  <si>
    <t>1314873738245083139</t>
  </si>
  <si>
    <t>SON 3 HAFTA İÇİNDE, SALGIN TÜM TÜRKİYE’DE GERİLEDİ. 4 hafta önce ise, Ankara’da vaka sayısı İstanbul’un iki katına çıkmıştı. Şu an Ankara’da vaka sayısı, İstanbul’un yarısına inmiş durumda. Bu gelişmeyi, semptomu olmasa bile, testi pozitif olan herkesi izole ederek sağlıyoruz. https://t.co/lwmCG3Poom</t>
  </si>
  <si>
    <t>1314869988889702401</t>
  </si>
  <si>
    <t>İKİ GÜN ÖNCE AVRUPA İLERLEME RAPORU yayınlandı. Raporda, Türkiye’nin Koronavirüse karşı elde ettiği başarıdan da söz ediliyor. Bu, sağlık çalışanımızın, 83 Milyonun gurur duyacağı bir sonuç, sağlık sistemimizin eseri. Gurur duyacak yerde, gölgelemek için çaba göstermek yanlıştır. https://t.co/GrV8iROd2x</t>
  </si>
  <si>
    <t>1314866170554712064</t>
  </si>
  <si>
    <t>MERSİN’DE, 22 MARTTAN ÖNCE vakaya rastlandığı iddiası yanlıştır. Mersin’de ilk vakanın tarihi 22 Marttır. Siyasetçiler, politikacılar hedeflerine sağlık ve hastalık üzerinden ulaşmaya kalkarlarsa şifa bulamazlar. Biz, 83 milyon, mücadeleyi beraberlik ve kararlılıkla sürdüreceğiz. https://t.co/ft2yEGiim9</t>
  </si>
  <si>
    <t>1314863280247255040</t>
  </si>
  <si>
    <t>Koronavirüsle bizim gibi sistemli şekilde mücadele eden yok. Bu sözün arkasında duran sadece Türkiye Cumhuriyeti Sağlık Bakanlığı değil; bu sözün arkasında, salgınla ilgili her konuda son sözü söyleyen Dünya Sağlık Örgütü de duruyor. Türkiye’yi dünyaya örnek gösteriyor. https://t.co/VjfDtcRoQr</t>
  </si>
  <si>
    <t>1314843971189911552</t>
  </si>
  <si>
    <t>11.800 filyasyon ekibimiz var. Toplamda 35.400 görevli. Bu sayı, bazı ülkelerin salgında görevlendirdiği hekim sayısından bile fazla. TV ekranlarından tanındıkları ÜLKELERDE EKİPLERİMİZ GİDİP TEMASLI TARAMASI YAPSA Koronavirüs pozitiflerin sayısı görünenden kat kat fazla çıkardı. https://t.co/zQXNlCKf7P</t>
  </si>
  <si>
    <t>1314827960592084992</t>
  </si>
  <si>
    <t>ÖLÜMLERE YOL AÇAN BAŞKA PEK ÇOK HASTALIK varken, COVID-19 niçin bu kadar önemli? Eleştirenler, yanılıyor. Hipertansiyon ne denli yaygın olsa da, sokağa çıkma kısıtı gerektirmez. Kanser, okulların tatil edilmesine yol açmaz. Salgınsa, tüm toplumsal hayatı hastalığa maruz bırakır. https://t.co/brC1VaoyGG</t>
  </si>
  <si>
    <t>1314825740639141889</t>
  </si>
  <si>
    <t>ADANA, MERSİN, GAZİANTEP, KAHRAMANMARAŞ, HATAY, OSMANİYE, KİLİS il sağlık müdürleri ve başhekimlerimizle toplantılar yaptık. Salgında son durumu, filyasyon çalışmalarını, ihtiyaçları ve sağlık yatırımlarını ele aldık. Tedbirlere uyarak salgınla mücadelemize destek verin. https://t.co/TSV81NINnh</t>
  </si>
  <si>
    <t>1314690750777614337</t>
  </si>
  <si>
    <t>Bugün yeni 1.629 hastamız var. Toplam ağır hasta sayımız 1.398. Ağır hasta sayımızı düşürmek için mücadele ediyoruz. Hastalarımızın durumu ilerlemeden tespit edebilmek için yoğun filyasyon çalışması yürütülüyor. Bu emeklere tedbirlere uyarak destek olun. https://t.co/RVlhe7786O</t>
  </si>
  <si>
    <t>1314605514077204483</t>
  </si>
  <si>
    <t>Salgınla mücadelede Adana, Mersin, Gaziantep, Kahramanmaraş, Hatay, Osmaniye ve Kilis’teki son durum ve Türkiye değerlendirmesi: 
📍Adana
https://t.co/81yG1myU92</t>
  </si>
  <si>
    <t>1314589684513861632</t>
  </si>
  <si>
    <t>ADANA PROGRAMIMIZDA ilk olarak, Şehir Hastanemizde tedavi gören hastalarımızı ziyaret edip, durumları hakkında bilgi aldık. Sağlık çalışanı arkadaşlarımızla pandemiyi ve genel sağlık sorunlarını değerlendirdik. Şehir Hastanemiz, halkımıza adına yakışır şekilde hizmet veriyor. https://t.co/6IHXG9j2i5</t>
  </si>
  <si>
    <t>1314541496578834440</t>
  </si>
  <si>
    <t>ADANA’DAYIZ. Mersin, Gaziantep, Kahramanmaraş, Hatay, Osmaniye ve Kilis illerimizin sağlık müdürleri ve saha koordinatörlerinin katılımlarıyla bölge değerlendirme toplantılarımızı gerçekleştireceğiz. Birlikte mücadele ile başaracağız. https://t.co/OLIkxoGEev</t>
  </si>
  <si>
    <t>1314492839867355137</t>
  </si>
  <si>
    <t>Ankara, Denizli, Adıyaman, Bursa, Malatya ve Erzurum il sağlık müdürlerimizle ayrı ayrı video konferans görüşmeleri gerçekleştirdik. Bu 6 kentimizde, salgına karşı gelinen son noktayı, hastanelerimizdeki yatak doluluk oranlarını ve filyasyon çalışmalarını ele aldık. https://t.co/4xuRRmyRxv</t>
  </si>
  <si>
    <t>1314336531524575234</t>
  </si>
  <si>
    <t>Teması Pandemi ve Sürdürülebilir Sağlık olan 9. Sağlık Zirvesi başladı. Açılış konuşmasında, COVID-19 Pandemisinin sağlık hizmetlerinde sürdürülebilirliğin önemini tekrar ortaya koyduğunu, özverili insan gücününse vazgeçilmezliğini vurguladık. Katılımcılara teşekkür ediyorum. https://t.co/vQOqyZh092</t>
  </si>
  <si>
    <t>1314304344154570754</t>
  </si>
  <si>
    <t>Bugün 1.615 hasta tespit edildi. Ağır hasta sayımızda düşüş eğilimi devam ediyor. Salgını kontrol altında tutacak olan filyasyon ve izolasyon. Tedbirlere uyarsak buna gerek kalmayacak. Salgını birlikte kontrol altında tutabiliriz. Bu mücadeleye güç verin. https://t.co/RVlhe7786O</t>
  </si>
  <si>
    <t>1314249948477763586</t>
  </si>
  <si>
    <t>Bilim Kurulumuz toplanarak, güncel durumu değerlendirmiştir. Yerli aşının geliştirilmesinde ulaşılan nokta, Bağışıklık ve İnsidans (Görülme Sıklığı) Taraması çalışmasının ikinci kez yapılması ve tarama testleri politikamız ele alınmıştır. Detaylı açıklama aşağıdadır. https://t.co/DVoxR1msIh</t>
  </si>
  <si>
    <t>1313974534668726272</t>
  </si>
  <si>
    <t>Bugün tespit edilen 1.581 hasta var. Ağır hasta sayısının düşüş eğilimi başladı. Ağır hasta sayısını düşürmek hastaların erken tedaviye başlaması ile mümkün. Sağlık çalışanlarımız insan üstü bir gayretle çalışıyor. Mücadelede onlara birlikte destek olalım. https://t.co/RVlhe7786O</t>
  </si>
  <si>
    <t>1313877777427333120</t>
  </si>
  <si>
    <t>Ağır hasta sayısı kontrol edilebilir seviyede seyrediyor. Bugün tespit edilen 1.511 yeni hasta var. Tedbirlerle galip geleceğiz. Birlik ve beraberlik virüsle mücadelenin gücü. Bu güce destek verin. https://t.co/RVlhe7786O</t>
  </si>
  <si>
    <t>1313517323295305729</t>
  </si>
  <si>
    <t>İçişleri Bakanımız, pandemide yakın mücadele arkadaşım Süleyman Soylu’ya teşekkür ediyorum. Cumhurbaşkanımızın liderliğinde, kabine üyelerimiz, devletimizin tüm yönetim birimleri ve milli beraberlik ruhuyla sonuca ulaşacağımıza inanıyorum. Tarihin yazacağı bu beraberlik olacak. https://t.co/h3pjGKIIsI</t>
  </si>
  <si>
    <t>1313433690719092737</t>
  </si>
  <si>
    <t>DSÖ TÜRKİYE COVID-19 RAPORUNDAN İKİ TESPİT: Ölüm oranları dünya ortalamasının oldukça altında. Türkiye genç nüfusu avantaja çevirdi. Editörlüğünde, Avrupa Bölgesi Direktörü Dr. Hans Kluge'ye destek verdiğimiz DSÖ COVID-19 Türkiye raporuna ulaşmak için: https://t.co/mUKag3ntGM</t>
  </si>
  <si>
    <t>1313374708012847105</t>
  </si>
  <si>
    <t>DSÖ, Türkiye’nin COVID-19’la  mücadelesi konusunda, Avrupa bölgesinde İLK OLMA ÖZELLİĞİ TAŞIYAN BİR RAPOR yayınladı. Raporda, kararlılıkla uygulanan tedbirler ve çok sektörlü yaklaşım sonucu ulaşılan başarı ele alınıyor. Rapora göre, Türkiye, uygulamalarıyla birçok ülkeye örnek.</t>
  </si>
  <si>
    <t>1313374385588383744</t>
  </si>
  <si>
    <t>18. Dönem Malatya Milletvekili Mehmet Bülent Çaparoğlu hayatını kaybetti. Kendisine Allah’tan rahmet, yakınlarına başsağlığı diliyorum. Milletin iradesi yönünde örnek çaba göstermiş, Türkiye’nin yönetim ihtiyaçları konusunda da vizyon sahibi bir siyasetçiydi. Mekânı cennet olsun.</t>
  </si>
  <si>
    <t>1313252206632751110</t>
  </si>
  <si>
    <t>Ağır hasta sayımız azalma eğiliminde. Yeni tespit edilen 1.603 hastamız var. Aktif hasta sayımızı düşürmek zorundayız. Tedbirde birlik olmaya devam edersek bunu başarabiliriz. Birlikte tedbirlere uyarak gücümüze güç katın. https://t.co/RVlhe7786O</t>
  </si>
  <si>
    <t>1313159953025323008</t>
  </si>
  <si>
    <t>RT @RTErdogan: Kabine Toplantısı Sonrası Millete Sesleniş https://t.co/DwE9NxEljx</t>
  </si>
  <si>
    <t>1313153152871534594</t>
  </si>
  <si>
    <t>Timuçin Esen, Bakanlığımızın Koronavirüsle mücadele amacıyla yürüttüğü kampanyada ikinci kez karşımızda. Esen, uyarıları sürecin özetinden hareketle yeniden gündeme taşıyor: Maske, mesafe, temizlik. Eğer istersek tedbirlerle sosyal hayatı ustaca bir araya getirebiliriz. https://t.co/1sfEeQMHKp</t>
  </si>
  <si>
    <t>1312850978731970567</t>
  </si>
  <si>
    <t>Taner Ölmez, Bakanlığımızın Koronavirüsle mücadele amacıyla yürüttüğü kampanyada ikinci kez karşımızda. Ölmez, uyarıları sürecin özetinden hareketle yeniden gündeme taşıyor: Maske, mesafe, temizlik. Eğer istersek tedbirlerle sosyal hayatı ustaca bir araya getirebiliriz. https://t.co/qk1j4mIkxG</t>
  </si>
  <si>
    <t>1312845926097211395</t>
  </si>
  <si>
    <t>DSÖ Avrupa Bölgesi Direktörü Dr. Hans Kluge’ye, dün yayınladığı “Sayın Bakan Koca; DSÖ Avrupa Bölgesi, liderliğinizi ve COVID-19 ile mücadelenizi her zaman desteklemektedir ve her zaman Türk halkının yanındadır.” şeklindeki mesajı için ülkem adına teşekkür ederim. https://t.co/Ne0ELAmK9r</t>
  </si>
  <si>
    <t>1312825508887957509</t>
  </si>
  <si>
    <t>Bugün yapılan 104.402 test sonucunda 1.429 yeni hasta tespit edildi. Ağır hasta sayımız 1.475. Rehavete kapılmamalı ve tedbiri elden bırakmamalıyız. Birlikte tedbirlere uyarak virüse fırsat vermemeliyiz. Birlik olursak kazanan biz oluruz. https://t.co/RVlhe7786O</t>
  </si>
  <si>
    <t>1312789525505232901</t>
  </si>
  <si>
    <t>Dünyayı paylaştığımız canlıların, ağacından kuşuna tüm varlıkların yaşamda yeri ve hakkı var. Hayvanları Koruma Günü, yaşamın bütünlüğü konusunda sevgi ve bilinç günü olsun.</t>
  </si>
  <si>
    <t>1312769529261555714</t>
  </si>
  <si>
    <t>Dün ebedi hayata uğurlanan, eski Bayındırlık ve İskân Bakanlarımızdan, AK Parti'nin kurucularından Zeki Ergezen ağabeyimize Allah’tan rahmet diliyorum. Mekânı cennet olsun. Ailesinin, yakınları ve dava arkadaşlarının başı sağ olsun.</t>
  </si>
  <si>
    <t>1312766597019426819</t>
  </si>
  <si>
    <t>TÜSEB’in @tusebgovtr desteklediği Kırım-Kongo Kanamalı Ateşi aşısı insan deneyi Faz-1 safhası başarıyla tamamlandı. Kuduz, verem ve su çiçeği aşısı adayları da insan deneyi aşamasına geldi. Milli aşılarımızı geliştirmek ve milletimizin hizmetine sunmakta kararlıyız.</t>
  </si>
  <si>
    <t>1312486019493629952</t>
  </si>
  <si>
    <t>Ülkemizde 13 ayrı COVID-19 aşı adayı çalışmalarını hızla sürdürüyor. Bunlardan 5’i insan deneyleri safhasına yaklaştı. Klinik safhaya gelen tüm aşı adaylarımız Türkiye Sağlık Enstitüleri Başkanlığımız (TÜSEB) @tusebgovtr tarafından destekleniyor. Türkiye’nin gücü bilimde.</t>
  </si>
  <si>
    <t>1312484548454674432</t>
  </si>
  <si>
    <t>Milli Aşımızın meydan okuma çalışmasında 10 transgenik hayvan aşılandı, 9 hayvan ise aşılanmadı. Virüse maruz bırakıldılar ve aşılanan hayvanlarda hiç virüse rastlanmadı. Aşılanmayanların 4’ü hayatını kaybetti 5’inin ise akciğerlerinde virüse rastlandı. Milli aşıya daha yakınız.</t>
  </si>
  <si>
    <t>1312483521181564928</t>
  </si>
  <si>
    <t>Yerli ve Milli COVID-19 aşısı ile ilgili bugün çok önemli bir gelişme oldu. TÜSEB tarafından desteklenen aşı adayımız transgenik hayvanda meydan okuma (challenge) çalışmasını tamamlayarak insan deneyleri safhasına geldi. Sayın Cumhurbaşkanımıza müjdeyi verdik. Sonuca çok yakınız. https://t.co/XXVqIFJ3nZ</t>
  </si>
  <si>
    <t>1312480046217601024</t>
  </si>
  <si>
    <t>Bugün tespit edilen 1.502 yeni hastamız var. 59 can kaybımız var. Ağır hasta sayımız kontrol edilebilir seviyede seyrediyor. Yeni hasta sayısını azaltmak zorundayız. Bunun yolu tedbirlere birlikte uymak. Birlik olursak sonunda yenilen virüs olacak. https://t.co/RVlhe7786O</t>
  </si>
  <si>
    <t>1312422949102727170</t>
  </si>
  <si>
    <t>DSÖ bugün Avrupa Bölgesinde COVİD-19 veri raporlamasını uyumlu hale getirmek için yayınladığı basın bildirisi ile virüsün yayılmasını önleme stratejimizi takdir etti. Türkiye bu konuda da deneyimini paylaşmaya hazır. Avrupa Bölge Direktörü @hans_kluge’ye teşekkürler. https://t.co/ykDWRdKaxA</t>
  </si>
  <si>
    <t>1312163294891843584</t>
  </si>
  <si>
    <t>Açılışı Cumhurbaşkanımız Sn. Recep Tayyip Erdoğan tarafından bugün yapılan Konya Şehir Hastanesinin hayırlı olmasını diliyorum. Hastanemiz; 1.250 yatağa, 380 polikliniğe, 49 ameliyathaneye, 73 görüntüleme odasına sahip. Şehirlerimizin şehir hastanesi hayali bir bir gerçek oluyor. https://t.co/BPCZnNVsed</t>
  </si>
  <si>
    <t>1312109970956013569</t>
  </si>
  <si>
    <t>RT @RTErdogan: Bugün resmî açılışını gerçekleştirdiğimiz Konya Şehir Hastanemizin ülkemize, milletimize, şehrimize hayırlı olmasını diliyor…</t>
  </si>
  <si>
    <t>1312083677430587393</t>
  </si>
  <si>
    <t>Ağır hasta sayısında ve zatürre oranında düşüş devam ediyor. Bugün toplam ağır hasta sayımız 1.455. Bugün iyileşen hasta sayımız yeni hasta sayımızdan fazla. Tedbirlere birlikte uyarak bu gerilemeyi sağladık. Birlikten kuvvet doğar. Birlik olalım. https://t.co/RVlhe7786O</t>
  </si>
  <si>
    <t>1312073715052613632</t>
  </si>
  <si>
    <t>Konya Şehir Hastanemizin açılışını gerçekleştiriyoruz. Ülkemize ve milletimize hayırlı olsun. https://t.co/CSKosczByW</t>
  </si>
  <si>
    <t>1312004414190702592</t>
  </si>
  <si>
    <t>Sağlık yatırımlarımıza bugün Konya Şehir Hastanesi’ni de ekliyoruz. Hastane: 1250 yatak kapasitesi, gelişmiş tıbbi donanım ve nitelikli insan kaynağı ile COVID-19 mücadelesinde ve genel sağlık hizmetlerinde bölgeye kesintisiz hizmet verecek. Milletimize hayırlı olsun. https://t.co/IVBj9J824m</t>
  </si>
  <si>
    <t>1311998605906116608</t>
  </si>
  <si>
    <t>Sayın Cumhurbaşkanımızın Özel Kalem Müdürü, Büyükelçi Hasan Doğan Beyin ağabeyi çok kıymetli Murat Doğan’ı kaybettik. Kendisine Allah’tan rahmet, kederli ailesine ve Hasan Doğan Beye sabır diliyorum. Mekânı cennet olsun.</t>
  </si>
  <si>
    <t>1311735907188445189</t>
  </si>
  <si>
    <t>Bugün tespit edilmiş 1.407 yeni hastamız var. Ağır hasta sayımızda düşüş devam ediyor. İyileşen hastalarımızın sayısı yeni hasta sayısına yakın. Tedbirler elimizdeki en güçlü silah. Tedbirlere birlikte uyarak bu mücadelenin galibi olalım. https://t.co/RVlhe7786O</t>
  </si>
  <si>
    <t>1311723741282435072</t>
  </si>
  <si>
    <t>Bilelim ki, salgınla mücadele sürecinde, devletimiz, HALKININ SAĞLIĞI KADAR, ULUSAL ÇIKARLARINI DA korumaktadır. Çünkü salgın hayatın bütün alanlarını etkilemektedir. Mesuliyeti olmayan bazı kişilerin tenkitleri, fotoğrafın bir noktasına mercekle bakıp, leke aramaktan farksızdır.</t>
  </si>
  <si>
    <t>1311638305981771776</t>
  </si>
  <si>
    <t>Son 3 hafta içinde yapılan bölgesel müdahalelerin sonuçlarını gördük. Yüksek artıştan söz ettiğimiz birçok ilimizde başarı sağladık. En fazla dikkat çeken yer Ankara’ydı. Ankara’da hasta sayısı yarı yarıya azaldı. Bunu hastanelerimizdeki yoğunluğun azalmasından da anlamak mümkün. https://t.co/tXUJ9zNuou</t>
  </si>
  <si>
    <t>1311599265337270273</t>
  </si>
  <si>
    <t>Her vaka hasta değildir. Belirtisiz, salgın açısından önemi bulaştırıcılık olan, izole edilip ortalama 1 hafta sonra testi negatif çıkan Asemptomatik Pozitifleri salgındaki öncelikli sorun olarak göremeyiz. Önemli olan, artan hasta sayımız ve sağlık sisteminin gücünü korumasıdır. https://t.co/aGTdYYw0gc</t>
  </si>
  <si>
    <t>1311589273997631489</t>
  </si>
  <si>
    <t>Bilim Kurulu Toplantımızın ardından Koronavirüs ile ilgili son gelişmeler ve aldığımız yeni tedbirlere ilişkin basın açıklamamız.
📍SAĞLIK BAKANLIĞI BİLKENT YERLEŞKESİ / ANKARA
https://t.co/3L1AQcq4Bx</t>
  </si>
  <si>
    <t>1311346914210832385</t>
  </si>
  <si>
    <t>İZOLASYON KURALINA NEDEN UYULMALIDIR? Evde tedavi görenlerle belirtisi olmayan virüs taşıyıcıları, bulaştırıcılık yönünden kendilerini, tedavisi hastanede yapılan COVID-19 hastasından farksız görmelidir. Dışarıda kimse, hastanede olduğu gibi koruyucu özel kıyafetlere sahip değil.</t>
  </si>
  <si>
    <t>1311268733130870784</t>
  </si>
  <si>
    <t>Ağır hasta sayımız durağan seyrediyor. Bugün tespit edilmiş 1.427 yeni hastamız var. Virüs ile mücadele birlikte yapıldığında netice veriyor. Mücadeleye güç katan birlikte tedbirlere uymak. Başarının devamı ve sürekliliği için mücadeleye destek verin. https://t.co/RVlhe7786O</t>
  </si>
  <si>
    <t>1310978830962774030</t>
  </si>
  <si>
    <t>İÇERİDE RİSK VAR MI? Girip çıkacağınız her yer için güncel Koronavirüs pozitif vaka uyarısı HES’te. Kullanmıyorsanız, uygulamayı hemen indirin.
ANDROID: https://t.co/fyRVgTdCcK
IOS: https://t.co/DU40Y5sf9f</t>
  </si>
  <si>
    <t>1310928056991834112</t>
  </si>
  <si>
    <t>Dışarıda tedbirsiz dolaşan içeride izole olur.</t>
  </si>
  <si>
    <t>1310897328988065794</t>
  </si>
  <si>
    <t>Batman’da, filyasyon ekibinde görevli bir doktor arkadaşımız saldırıya uğradı. Saldırgan, olayın ertesi günü, dün tutuklanmıştır. Gece gündüz görev başında olan sağlık çalışanlarımıza yönelik şiddet olaylarını nefretle kınıyoruz. Devletimizin gücüyle çalışanlarımızın yanındayız.</t>
  </si>
  <si>
    <t>1310656087813754880</t>
  </si>
  <si>
    <t>Azerbaycan Sağlık Bakanı Oktay Şiraliyev’le telefon görüşmesi yaptık. Ermenistan’ın insanlık dışı saldırısı sebebiyle kendisine taziye ve üzüntülerimizi belirttik. Kardeş Azerbaycan halkının yanındayız. Her türlü sağlık ihtiyaçlarında yardıma hazırız. https://t.co/CNYhh4L9qL</t>
  </si>
  <si>
    <t>1310637911021412354</t>
  </si>
  <si>
    <t>TRT WORLD, BU ÇARŞAMBA yayınlanacak belgeseliyle, Türkiye’nin COVID-19’la başarılı mücadelesini dünyanın dikkatine sunuyor. Çekimler, salgınla mücadelede rolü büyük iki hastanemizde 2 ay sürdü. Belgeselde dünyaca önemli isimlerin tanıklığı da yer alıyor. TRT’ye teşekkür ediyoruz. https://t.co/9RsYxITDEi</t>
  </si>
  <si>
    <t>1310630518271213574</t>
  </si>
  <si>
    <t>Virüse yakalanıp hasta olanların da çoğu şansına güveniyordu. Tedbirlere uyun.</t>
  </si>
  <si>
    <t>1310621904223510528</t>
  </si>
  <si>
    <t>Bugün uzun bir aradan sonra ilk defa günlük iyileşen hasta sayımız yeni hasta sayımızdan fazla. Bugün tespit edilen 1.412 yeni hasta var. Tedbirlerin netice verdiğinden eminiz. Virüsü yenene kadar birlikte mücadele edelim, tedbirlere birlikte uyalım. https://t.co/RVlhe7786O</t>
  </si>
  <si>
    <t>1310616217733009413</t>
  </si>
  <si>
    <t>Ermenistan, Azerbaycan’a hain bir saldırıda bulundu. Yoğun bombardıman sonucu sivillerden çok sayıda yaralı ve kayıp oldu. Devlet olabilme onuru ve insanlık değerleriyle bağdaşmayan saldırıyı kınıyoruz. Meşru cevap için harekete geçen kardeş Azerbaycan’ın yanındayız.</t>
  </si>
  <si>
    <t>1310323151239344133</t>
  </si>
  <si>
    <t>Hafif şikayetleri olup tedavisi evde yapılan veya semptomsuz ama izolasyon kuralına kesinlikle uyması gereken kişilerden bazılarının, bu kurala nedense uymadığı bilgisini alıyoruz. Testi pozitif çıkan kişi, bulaştırıcılık açısından kendini tıpkı hastanedeki hasta gibi görmelidir. https://t.co/AIgTs1ihRo</t>
  </si>
  <si>
    <t>1310281811700916224</t>
  </si>
  <si>
    <t>Virüse yayılma fırsatı veren bizleriz. Mücadelenin kurallarına ne kadar uyarsak, o kadar geriliyor.</t>
  </si>
  <si>
    <t>1310256559184924672</t>
  </si>
  <si>
    <t>Uzun bir aradan sonra ağır hasta sayımız azaldı. Bugün 1.583 ağır hastamız var. Zatürre oranı da düşmeye devam ediyor. Yeni hasta sayısı azalma eğiliminde. Tedbirlerin netice verdiği tartışmasız bir gerçek. Birlikte tedbirlere uyarak virüsü yenelim. https://t.co/RVlhe7786O</t>
  </si>
  <si>
    <t>1310248030176792576</t>
  </si>
  <si>
    <t>Kurallardan taviz verirseniz, hasta sayımızın artması ve yeni kayıplarla karşılaşmamız kaçınılmazdır. Filyasyon ekipleri her vakada temaslılara ulaşıp, pozitif kişilerin tespitini sağlasa bile, siz bu savaşta kararlı olmadıkça istenilen sonucu alamayız. Tedbirde kararlı olun. https://t.co/9cDSk5jOlK</t>
  </si>
  <si>
    <t>1310222881142571009</t>
  </si>
  <si>
    <t>Hayatımızın en uzun gecelerini yaşıyoruz. Hastalarını hayatta tutmaya çalışırken kendisi virüse yenilen arkadaşlarımız oldu. Pek çok arkadaşımız iyileşir iyileşmez mücadeleye geri döndü. Polikliniklerimiz 24 saat açık. Sizin için göreve her an hazırız. Ama en iyi çözüm tedbirdir. https://t.co/RhtSxLml2t</t>
  </si>
  <si>
    <t>1310217751483633665</t>
  </si>
  <si>
    <t>Dr. Gülbahar Çalışkan, 40 yaşında bir hastanın öyküsünü anlatıyor: Hasta solunum cihazındayken uyandı, kâğıt istedi. Kâğıda, “Eşimi çok seviyorum, ona söyleyin” yazdı. 2 gün sonra kendisini kaybettik. Kâğıdı eşine veremedik, burası izole bir bölüm. Dışarıya bir şey çıkaramıyoruz. https://t.co/imP9cKXjPx</t>
  </si>
  <si>
    <t>1310157569256820736</t>
  </si>
  <si>
    <t>NE YAPIYORUZ, NE İSTİYORUZ? Son haftalarda operasyon ölçeğimizi büyüttük. Temaslı taramasında daha da etkiniz. Test sayılarımızı artırdık. Tedaviyi erkenden başlatıyoruz. Yerel tedbirler uyguluyoruz. Sizden tek isteğimiz şu: Maske ve mesafe kuralıyla virüsten kendinizi korumanız.</t>
  </si>
  <si>
    <t>1310126989387460608</t>
  </si>
  <si>
    <t>Sağlık çalışanına şiddet, sadece mağdurun sorunu ve yasanın konusu değildir. Toplumun ortak sorunudur. Dostça çalışma ortamı, nitelikli hizmet güvencesidir. Yasa ve ahlak iş birliği yapmalıdır. Dahası: Sağlık çalışanı, savaşta bile güvence altındadır. Şiddete karşı bir olmalıyız.</t>
  </si>
  <si>
    <t>1309939096110936065</t>
  </si>
  <si>
    <t>Çapa Tıp Fakültesi’nde görevli hasta bakıcımız, maskesini doğru takması için uyardığı kişi tarafından darp edilmiş ve göz ameliyatına alınmıştı. Saldırgan, Çağlayan Adliyesi’nde "kasten yaralama" suçundan tutuklanarak cezaevine gönderildi. Şiddete karşı bir olmalıyız.</t>
  </si>
  <si>
    <t>1309934480514338816</t>
  </si>
  <si>
    <t>İstanbul’da salgın sürecinde kurduğumuz Prof. Dr. Feriha Öz, Prof. Dr. Murat Dilmener Acil Durum Hastanelerini ziyaret ettik. Çalışma arkadaşlarımızla mücadelede son durumu inceledik. Kontrol altındaki durumun daha iyi yönetilmesi için tedbirleri her birimiz tavizsiz uygulayalım. https://t.co/LcnkoXjfHz</t>
  </si>
  <si>
    <t>1309923914332737538</t>
  </si>
  <si>
    <t>Bugün tespit edilen 1.511 yeni hastamız var. Hasta sayısındaki düşüş işareti bizi tedbirlere daha sıkı tutunmaya davet ediyor. Ağır hasta sayımızda da artış hızı azalma eğiliminde. Birlikte mücadele tedbirlere birlikte uyarak mümkün. https://t.co/RVlhe7786O</t>
  </si>
  <si>
    <t>1309894736803758083</t>
  </si>
  <si>
    <t>Pandemide bize ilaç oldunuz. Dünya Eczacılar Gününüz kutlu olsun.</t>
  </si>
  <si>
    <t>1309564065749106690</t>
  </si>
  <si>
    <t>SAMSUN, ORDU, ÇORUM, AMASYA, TOKAT, SİNOP il sağlık müdürleri, hastane başhekimleri ve saha koordinatörlerimiz ile il bazında toplantılar yaptık. Salgında son durumu, filyasyon çalışmalarını, ihtiyaçları, planlanan sağlık yatırımlarını ele aldık. Çabalarımız karşılığını buluyor. https://t.co/GFvwRyuZMS</t>
  </si>
  <si>
    <t>1309544143547437063</t>
  </si>
  <si>
    <t>Bugün tespit edilen 1.665 yeni hastamız var. Bölgesel çalışmalarımızın neticesini görmeye başladık. Önümüzdeki günlerde yeni hasta sayılarının salgını kontrol altına aldığımızı göstereceğine inanıyorum. Virüsle hep birlikte mücadele edelim. https://t.co/RVlhe7786O</t>
  </si>
  <si>
    <t>1309539823665938432</t>
  </si>
  <si>
    <t>Salgınla mücadelede Samsun, Ordu, Çorum, Tokat, Amasya ve Sinop’ta son durum ve Türkiye değerlendirmesi: 
📍Samsun
https://t.co/2fLMoJfMGI</t>
  </si>
  <si>
    <t>1309531125325467648</t>
  </si>
  <si>
    <t>Satı Köksal, 23 yılını sağlık hizmetine adamış bir çalışma arkadaşımız, Samsun’daki genç hemşirelerimizin Hemşire Ablası. Bugünlerde bir sağlık sorunu olmuş. Geçireceği operasyon öncesinde, kendisini ziyaret ettik. İyileşip, işinin başına dönecek. Tecrübesine ihtiyacımız var. https://t.co/2NA2SU5hDj</t>
  </si>
  <si>
    <t>1309471089140133893</t>
  </si>
  <si>
    <t>Samsun Eğitim ve Araştırma Hastanemizi, Hematoloji bölümünde tedavi gören hastalarımızı, çalışma arkadaşlarımızı ziyaret ettik. Hastanemiz, genel sağlık hizmetleriyle birlikte, salgınla mücadeleyi başarıyla sürdürüyor. https://t.co/GVQrHpMd2F</t>
  </si>
  <si>
    <t>1309458981375692800</t>
  </si>
  <si>
    <t>SAMSUN’DAYIZ. Ordu, Çorum, Tokat, Amasya, Sinop ve Samsun illerimizin sağlık müdürleri ve saha koordinatörlerinin katılımlarıyla bölge değerlendirme toplantılarımızı gerçekleştireceğiz. Birlikte mücadele ile başaracağız. https://t.co/CGwaUZgW8z</t>
  </si>
  <si>
    <t>1309424514107924481</t>
  </si>
  <si>
    <t>Hepimiz alın teri döküyoruz. Sağlık çalışanları, salgında bu teri tepeden tırnağa döküyor. https://t.co/2bPazoFPUU</t>
  </si>
  <si>
    <t>1309257603923480579</t>
  </si>
  <si>
    <t>11 kentimizin Sağlık Müdürleriyle ayrı ayrı toplantı yaptık. Ankara, Konya, Kayseri, Adana, Malatya, Van, Elazığ, Adıyaman, Ağrı, Yozgat ve Erzurum’da, salgının şu anki seyrini, hasta ve taşıyıcı tespiti çalışmalarını, tedavileri ve alınması gereken ek tedbirleri değerlendirdik. https://t.co/oArJmGjYqz</t>
  </si>
  <si>
    <t>1309227808368058371</t>
  </si>
  <si>
    <t>Ağır hasta sayımız 1.573’e ulaştı. Hastalarda zatürre oranı (%6.6) düşmeye devam ediyor. Bugün  tespit edilmiş yeni hasta sayımız 1.721. Sağlıkçılarımız son derece özverili. Tedbirlere uyarak sağlık çalışanlarımızın yanında olalım. https://t.co/RVlhe7786O</t>
  </si>
  <si>
    <t>1309165429819150338</t>
  </si>
  <si>
    <t>Ağır hasta sayımız bugün 1.561’e yükseldi. Aktif hasta sayımız artmaya devam ediyor. Bugün tespit edilen 1.767 yeni hastamız var. Sağlık sistemimizin sürdürülebilir ve sağlık çalışanlarımızın hizmet verebilir kalmaları için tedbirleri birlikte uygulayalım. https://t.co/RVlhe7786O</t>
  </si>
  <si>
    <t>1308799086120796160</t>
  </si>
  <si>
    <t>Keçiören EA Hastanemize yaptığımız ziyarette, dün gerçekleşen ve sağlık çalışanlarımıza yönelik şiddet konusunda tüm duyarlıkları harekete geçiren olayı, yaşayanların tanıklığı ve kamera kayıtlarıyla değerlendirdik. Mesaj net: Fedakârlık, ruhumuzda. Güvenlik, kırmızı çizgimizdir. https://t.co/TBg93FhLe3</t>
  </si>
  <si>
    <t>1308526945852960768</t>
  </si>
  <si>
    <t>Keçiören EAH Acil Servisindeki arkadaşlarımı ziyaret ettim. Emniyet güçlerimizce incelenen kamera kayıtları, arkadaşlarımızın beyanı olayın ciddiyetini ortaya koymuştur. Cumhuriyet Başsavcılığımız süreci başlatmıştır. Sağlık camiası olarak üzgün ve konunun takibinde kararlıyız. https://t.co/GPCaSFfZbA</t>
  </si>
  <si>
    <t>1308478521338146816</t>
  </si>
  <si>
    <t>Ağır hasta sayımız 1.522’ye ulaştı. Zatürre oranında düşüş devam ediyor. Bugün 1.692 yeni hastamız var. Tedbirlere uygun hareket ederek gecesi gündüzü bizim için çalışmakla geçen sağlık çalışanlarımıza destek verelim. Birlikte başaracağız. https://t.co/RVlhe7786O</t>
  </si>
  <si>
    <t>1308438362630520832</t>
  </si>
  <si>
    <t>https://t.co/3tt1w2fncx</t>
  </si>
  <si>
    <t>1308326358129487875</t>
  </si>
  <si>
    <t>https://t.co/OPTh4noYEe</t>
  </si>
  <si>
    <t>1308326339716558848</t>
  </si>
  <si>
    <t>https://t.co/3XvMJZcCQj</t>
  </si>
  <si>
    <t>1308326319986487301</t>
  </si>
  <si>
    <t>“Sağlık çalışanına saygı bir insanlık kalitesidir.” 
(Bu sabah yayınlanacak basın açıklamamızdan.)</t>
  </si>
  <si>
    <t>1308208163418710018</t>
  </si>
  <si>
    <t>Keçiören EAH Acil Servisinde, çok sayıda kişi, ateşli silahla yaralanan, müdahalelere rağmen kurtarılamayan yakınlarını, kuralları zorlayarak görmeye çalıştı. Arkadaşlarımız, şiddet olasılığına karşı, kapıyı kapalı tuttu. Şiddetin ihtimali bile olmamalı. Devlet, geçit vermeyecek! https://t.co/m3pbNz03DS</t>
  </si>
  <si>
    <t>1308183704934789121</t>
  </si>
  <si>
    <t>Bugün 1.743 yeni hasta tespit edildi. Can yakan 68 kaybımız var. Ağır hasta sayımız 1.500’e yaklaştı. Sağlık çalışanlarımızın özverili çalışmalarının sürdürülebilmesi için onların yükünü azaltmalıyız. Bu ancak tedbirlere uyarak gerçekleşebilir. https://t.co/RVlhe7786O</t>
  </si>
  <si>
    <t>1308086083641577476</t>
  </si>
  <si>
    <t>Bir hemşire arkadaşımız “Gülüşümüzdeki çiçekler soldu.” demiş. Özverili sağlık personeli istiyorsanız, tedbir alın. Hasta yükümüz azalsın.</t>
  </si>
  <si>
    <t>1307733072679444480</t>
  </si>
  <si>
    <t>Bugün ağır hasta sayımız 1.456’ya ulaştı. Artış hızı yavaşlamış olsa da bu sayı azalmadan huzurlu olamayız. Birlikte mücadele virüsü yenecek en önemli güç. Sağlık çalışanlarımıza vefa göstergemiz tedbirde güç birliğidir. https://t.co/RVlhe7786O</t>
  </si>
  <si>
    <t>1307711227360088064</t>
  </si>
  <si>
    <t>Kötümserlik bugüne kadar tedbir yerine geçmemiştir. Kötümserlik yayarak, virüsün gücünü ölçüsüzce büyütenlere maske, mesafe ve temizlik önerin.</t>
  </si>
  <si>
    <t>1307669454080356353</t>
  </si>
  <si>
    <t>Gribin sebebi İnfluenza virüsü, Koronavirüsle aynı şekilde bulaşır. Yakın mesafede, kapalı ortamda risk artar. Koronavirüse karşı alınan üç tedbiri sıkı uygularsak, grip vakalarını da azaltmış oluruz. Lütfen daha dikkatli olalım. Aynı anda iki virüsle savaşmak zorunda kalmayalım. https://t.co/fJ5Xi9CFKK</t>
  </si>
  <si>
    <t>1307611987103436800</t>
  </si>
  <si>
    <t>Sn. Yavaş, 
Teşekkür ederim. Covid pozitif ve şüpheliler HES Uygulamasına kayıtlıdır; bilgiler, talep eden kurumların entegrasyonuna açık. Sistem, istenirse şehir içi toplu taşımada da riski önlemeye elverişli. Devlet teamülü görünürlüğe feda edilmemeli. Mücadele birlikte mümkün. https://t.co/KH4sOGWiDk</t>
  </si>
  <si>
    <t>1307442629546827776</t>
  </si>
  <si>
    <t>İSPANYOL GRİBİ SALGININDA, Koronavirüsle aynı şekilde bulaşan H1N1 virüsüne karşı alınacak tedbir de aynıydı: Maske, mesafe, temizlik. Bunlar iyi bilinmiyordu, yaygın uygulanmadı. Virüs 500 Milyon insana bulaştı. 50 ila 100 Milyon can kaybı oldu. O salgından tedbir dersi alalım. https://t.co/9aii4Sqwda</t>
  </si>
  <si>
    <t>1307379178145222656</t>
  </si>
  <si>
    <t>100 YIL ÖNCE dünya bir salgın yaşadı. İspanyol Gribi salgınında tahminen 50-100 Milyon can kaybı oldu. Hastalığa yol açan H1N1 virüsü, bugünkü Koronavirüsle aynı şekilde bulaşıyordu. Sizce, can kaybı neden I. Dünya Savaşındakinden bile fazlaydı? Üzerinde düşünmeye değer bir soru.</t>
  </si>
  <si>
    <t>1307375283914371079</t>
  </si>
  <si>
    <t>Bugün ağır hasta sayımız 1.432'ye ulaştı. Sağlık çalışanlarımızın en büyük mücadelesi ağır hastalarımızı iyileştirmeye yönelik. Ağır hasta sayımızı azaltmak elimizde. Tedbirlere uymamız için bu uyarılar bize yetmeli. Birlikte mücadele edelim. https://t.co/RVlhe7786O</t>
  </si>
  <si>
    <t>1307351404030423042</t>
  </si>
  <si>
    <t>İZMİR, MANİSA, AYDIN, MUĞLA, UŞAK, DENİZLİ il sağlık müdürleri, hastane başhekimleri ve saha koordinatörlerimiz ile il bazında toplantılar yaptık. Salgında son durumu, filyasyon çalışmalarını, tamamlanan ve planlanan sağlık yatırımlarını ele aldık. Çabamıza tedbirle destek verin. https://t.co/elYC6IYUeV</t>
  </si>
  <si>
    <t>1307014106898141185</t>
  </si>
  <si>
    <t>Toplam hastalığa yakalanmış kişi sayısı yaklaşık 300.000 oldu. Bugün 62 CAN kaybımız var. Hastalıkla mücadele etmek tedbirde mücadele birlikteliği ile mümkün. BİRLİKte mücadele edelim. Sağlık çalışanlarımızın omuzlarındaki yükü azaltmak sorumluluğumuz. https://t.co/RVlhe7786O</t>
  </si>
  <si>
    <t>1306993631916687360</t>
  </si>
  <si>
    <t>Salgınla mücadelede İzmir, Manisa, Aydın, Muğla, Uşak ve Denizli’de son durum ve Türkiye değerlendirmesi: 
📍İzmir
https://t.co/1oH9shCR08</t>
  </si>
  <si>
    <t>1306982916057174016</t>
  </si>
  <si>
    <t>İZMİR’İN DEĞERLİ SAKİNLERİ. Bugün sabah saatlerinden itibaren beraberiz. Arkadaşlarımla İzmir ve çevre illerin salgınla mücadelede son durumunu, yeni hedefleri değerlendirdik. Tedbir yayıldıkça virüs geriliyor. https://t.co/p6VNjMNNeh</t>
  </si>
  <si>
    <t>1306977223480573955</t>
  </si>
  <si>
    <t>83 Milyon, filyasyon ekiplerimizle gurur duyuyoruz. Virüse dur demek için, dedektifler gibi iz sürüyorlar. Başarıları dünya televizyonlarına konu oluyor. Böyleyken hangimiz, kapımızı çalmalarını isteriz? Hiçbirimiz. Öyleyse, maske ve mesafe kuralına uyalım. Temastan uzak duralım. https://t.co/G9f3afBHO5</t>
  </si>
  <si>
    <t>1306950642800431106</t>
  </si>
  <si>
    <t>Daha önce, Diyarbakır ve Van’a gitmiş, çevre iller dâhil, 9 ilimiz için durum değerlendirmesi yapmıştık. Bugün İzmir’deyiz. İlk olarak Kâtip Çelebi Üniversitesi Eğitim Araştırma Hastanesi kardiyoloji bölümünde tedavi gören hastalarla sağlık çalışanı arkadaşlarımızı ziyaret ettik. https://t.co/ap0l5jgLp8</t>
  </si>
  <si>
    <t>1306936118454165509</t>
  </si>
  <si>
    <t>İÇİMİZDEKİ EN BABAYİĞİT KİŞİ İÇİN: Testi pozitif çıkarsa, içimizdeki en babayiğit kişiye bile çok şey olur. Hiçbir şey olmazsa, en az 1 hafta hayattan izole olur. Bana bir şey olmaz diyen konuyu tekrar düşünsün. Tedbirin, 83 Milyona, 1 milyon yüz bin sağlık çalışanına yararı var.</t>
  </si>
  <si>
    <t>1306870614490263554</t>
  </si>
  <si>
    <t>Sağlık kuruluşuna gelen vatandaşımızın testi pozitif çıkmış ve hastanede yatmak yerine evde izole edilmesi gerekiyorsa, kendisinin evine araçla bırakılmasını son derece önemsiyoruz. Bunun başarıldığı iller var. İstenilen düzeyde başarı olmayan illerde de hedef budur. https://t.co/ZARV9N8u89</t>
  </si>
  <si>
    <t>1306866823950987264</t>
  </si>
  <si>
    <t>DSÖ 70. Avrupa Bölge Komitesi Toplantısı Genel Kurulu bugün yapıldı. Direktör @hans_kluge gündemin Türkiye kısmında Suriyeli mültecilere yaptığımız sağlık yardımları üzerinde etraflıca durdu. Ülkemizi temsilen yaptığımız konuşmada 2021’in Sağlık Çalışanları Yılı olmasını önerdik. https://t.co/1k1FXGw6A2</t>
  </si>
  <si>
    <t>1306712132344598528</t>
  </si>
  <si>
    <t>Ülkemizin deneyimli siyasetçilerinden, Saadet Partisi lideri Temel Karamollaoğlu ağabeyimizle sohbet etme şansımız oldu. Koronavirüs salgınında son durum, sağlık altyapımız ve hizmetlerimiz hakkında konuştuk. Verdiğim bilgiler gönlünü müsterih etti. Ziyareti için müteşekkirim. https://t.co/cw1Xkxf603</t>
  </si>
  <si>
    <t>1306694574837043203</t>
  </si>
  <si>
    <t>Adnan Menderes, 27 Mayıs darbesinden sonra Yassıada Mahkemesinde idamla yargılanırken “Hiçbir şey için müteessir değilim.” demişti. Onu, kendisiyle birlikte idam edilen iki arkadaşını bir kez daha derin bir üzüntüyle anıyoruz. Demokrasiye ve milletimize yapılanları unutmayacağız. https://t.co/iExLxzsbV4</t>
  </si>
  <si>
    <t>1306692237326274561</t>
  </si>
  <si>
    <t>Güçlü bir tanı ve uyarı sistemi kurduk. Filyasyonla, hasta veya taşıyıcıların temaslısı olan kişilere ulaşıyoruz. Her pozitif sonucu HES mobil uygulamasına yüklüyoruz. Bu, salgını bütün boyutlarıyla gösteren bir sistemdir. Günlük tabloda asıl önem kazanan başlıklar öne çıkmıştır. https://t.co/babnN5HZs8</t>
  </si>
  <si>
    <t>1306688205606060032</t>
  </si>
  <si>
    <t>Önümüzdeki dönemde üzerinde asıl durulması gereken şu olmalıdır: Başkasına bulaştırmadığı sürece, semptomu olmayan, sadece taşıyıcı olan kişi sayısının önemi yok. Önemli olan hastane ortamında tedavi edilmesi gereken hastalar ve bunların sayısıdır. Bunu Bilim Kurulu’nda konuştuk. https://t.co/kUsFIqBYMF</t>
  </si>
  <si>
    <t>1306671693876940800</t>
  </si>
  <si>
    <t>Dünyanın hiçbir yerinde, temaslı taraması ve hızlı tanıyla erken dönemde ilaç başlanmıyor. Dünyanın hiçbir yerinde, zatürre oranının bu şekilde düştüğü görülmüyor. Vaka yükümüz bu düşüş sebebiyle sistemi sarsmıyor. Zatürre oranı %75-80 kadar düşmeseydi sistem yükü kaldıramazdı. https://t.co/BdM985qwkS</t>
  </si>
  <si>
    <t>1306664748319215616</t>
  </si>
  <si>
    <t>Testi pozitif çıkan kişileri evine araçla bırakıyoruz. Temaslıların taramasını 15 saat içinde yapıyoruz. İzole edilen taşıyıcıyı arıyor, semptom gelişmişse 112 Acille hastaneye getiriyoruz. Bu sistem tüm illerde uygulanıyor. Dünyada böyle bir uygulama söz konusu değil. https://t.co/jlnIgokobI</t>
  </si>
  <si>
    <t>1306662164107849728</t>
  </si>
  <si>
    <t>Toplamda 9 milyona yakın test yapıldı. Bugün 1.648 yeni hastamız var. Kayıplarımızı ve ağır hasta sayısında artışı durdurmak elimizde. Tedbirlere hep birlikte uyarsak başarılı olacağız. Tedbirlere uyarak sağlık ordumuzun gücüne güç katın. https://t.co/RVlhe7786O</t>
  </si>
  <si>
    <t>1306633891915198466</t>
  </si>
  <si>
    <t>Sayı onlarla ifade edilirken, Bilim Kurulu maskeyi bütün ülke için zorunlu görmedi. Şüpheli, temaslı veya pozitif kişiler artınca, artık herkesin kendisini pozitifmiş gibi düşünüp, maske takması gerektiğine karar verdi. Uygulama doğruydu. Şu an bütün dünyada buna itiraz eden yok. https://t.co/MUPhEeH3Gf</t>
  </si>
  <si>
    <t>1306614849858928647</t>
  </si>
  <si>
    <t>Tedbir mi güçlü tehdit mi?
Kurallara uyanlar cevabı biliyor.</t>
  </si>
  <si>
    <t>1306517917241167873</t>
  </si>
  <si>
    <t>Bilim dünyası aşıda yıl sonuna dek sonuç alınacağına inanıyor. Faz 3 aşamasında 9 aşı var. İngiltere, Almanya, Çin ön uygulamaya geçti. Türkiye tedarik sürecini başlattı. Çin Sinovac aşısının ilk uygulamasına Hacettepe Üniversitesinde, 3 gönüllü sağlık çalışanıyla bugün başlandı. https://t.co/hof35iwJ67</t>
  </si>
  <si>
    <t>1306357047739461633</t>
  </si>
  <si>
    <t>İlk döneme kıyasla, sağlık çalışanlarımızın yükü dört beş kat artmış durumda. Onların cephede sizin için göğüs göğüse çarpışan kişiler olduğunu bilin. Bu mücadelede onlara verebileceğiniz yegâne destek, kendinizi korumanızdır. Hastanelerimize, hastalığa yakalanmayarak güç katın. https://t.co/3tdeNCuW91</t>
  </si>
  <si>
    <t>1306328352337395714</t>
  </si>
  <si>
    <t>Bilim Kurulu Toplantımızın ardından Koronavirüs ile ilgili son gelişmeler ve aldığımız yeni tedbirlere ilişkin basın açıklamamız.
📍SAĞLIK BAKANLIĞI BİLKENT YERLEŞKESİ / ANKARA
https://t.co/Lpn3YMWscI</t>
  </si>
  <si>
    <t>1306276933693472769</t>
  </si>
  <si>
    <t>Zor olan, kurallara uymak değil, sağlıklı günlerimize muhtaç kalmaktır. Tedbirde hassasiyet, mücadelede birlik ve beraberlik gerektirir.</t>
  </si>
  <si>
    <t>1305915343873941510</t>
  </si>
  <si>
    <t>Aktif hasta sayımız da ağır hasta sayımız da artmaya devam ediyor. Kayıplarımız can yakmaya devam ediyor. İyileşenlerimizin sayısı kayıplarımızın sayısını ancak tedbirle geçebilir. Mücadelede GÜÇ BİRLİĞİ yaparsak virüsü yenebiliriz. https://t.co/RVlhe7786O</t>
  </si>
  <si>
    <t>1305900400336347138</t>
  </si>
  <si>
    <t>ANKARA, İZMİR, KAYSERİ, ÇANKIRI ve ADIYAMAN’ın sağlık müdürleriyle ayrı ayrı video konferansta bir araya geldik. Vaka artışlarının sebeplerini, yoğun bakım kapasiteleri ve filyasyon oranlarını ele aldık. İlave tedbirleri değerlendirdik. BAŞARI, BİRLİKTE MÜCADELEDE GİZLİDİR. https://t.co/qF6Uvrpn9T</t>
  </si>
  <si>
    <t>1305645316671180800</t>
  </si>
  <si>
    <t>Sayın Devlet Bahçeli’nin salgın ile mücadelemize verdikleri desteğe, hassasiyetlerine ve sağlık ordumuza gösterdikleri teveccühe teşekkür ediyorum. Bu mücadele ancak milletçe başarıya ulaşabilir. Birlik olup başaracağız. https://t.co/yy7X1eA7FE</t>
  </si>
  <si>
    <t>1305573685382742016</t>
  </si>
  <si>
    <t>DOKTOR MEHMET ULUSOY. Malatya’da doğdu. İstanbul Tıp Fakültesi’nden mezun olduktan sonra Mikrobiyoloji Uzmanı olarak uzun yıllar hastalarına hizmet verdi. Mesleğine aşık ve spor yapmayı çok seven bir sağlık çalışanıydı. COVID-19 onu bizden kopardı. Mücadelesi için #minnettarız https://t.co/Rvbq8f1C6z</t>
  </si>
  <si>
    <t>1305570229402169344</t>
  </si>
  <si>
    <t>Hastalığın bulaşma hızında tespit edilmiş bir yavaşlama yok. Bugün hastalığa yakalanan 1.716 yeni hastamız var. Kayıplarımızın sayısı 60’tan fazla. Tek tek mücadele edemeyiz ama birlikte galip gelebiliriz. BİRLİKte TEDBİRlere uyalım. https://t.co/RVlhe7786O</t>
  </si>
  <si>
    <t>1305546059310141441</t>
  </si>
  <si>
    <t>Suriye'de teröristlerin Kızılay aracına saldırısı sonucu 1 Kızılay personelimiz şehit olmuş, 2 personelimiz de yaralanmıştır. Yaralıların ilk müdahalesi yapılarak Kilis Devlet Hastanesi’ne sevki gerçekleşmiştir. Şehidimize Allah’tan rahmet, yaralılarımıza acil şifalar diliyorum.</t>
  </si>
  <si>
    <t>1305490447977115649</t>
  </si>
  <si>
    <t>Ağır hasta sayısı artışı, virüse karşı birlikte mücadele etmemizi zorunlu kılıyor. Sağlık çalışanlarımız tedbirli davranmamız konusunda ısrarcılar. Kurallara uymak vicdani de bir sorumluluktur. Bireysel sorumsuzluklar toplumsal zafere gölge düşürür. Hedefimizden uzaklaşmayalım. https://t.co/ChQBgT1VVv</t>
  </si>
  <si>
    <t>1305230520759005185</t>
  </si>
  <si>
    <t>57 CAN kaybı, 1.527 yeni hasta. Virüs sevdiklerimizi bizden ayırıyor. Bu gidişe dur diyecek olan Birlik ve Beraberlik içinde mücadeledir. TEDBİRde BİRLİK olalım virüse fırsat vermeyelim. https://t.co/RVlhe7786O</t>
  </si>
  <si>
    <t>1305183117834170368</t>
  </si>
  <si>
    <t>Toplu ulaşım araçları ile seyahat etmeye çalışan 125.246 kişi HES koduyla riskli olduğu için engellenmiştir. Bu sayı HES kodu kullanmaya başladığımız tarihten bu yana toplam engellenen kişi sayısıdır. MÜCADELE BİRLİKTELİĞİ hepimizi virüsten kurtaracak olan güçtür. https://t.co/5UoEh6ptCN</t>
  </si>
  <si>
    <t>1304890416257433601</t>
  </si>
  <si>
    <t>Salgınla mücadele hepimizin görevi. BİRBİRİMİZLE DEĞİL, SALGINLA MÜCADELE EDELİM. https://t.co/f5YEpz6Uqw</t>
  </si>
  <si>
    <t>1304871842134536193</t>
  </si>
  <si>
    <t>Tüm dünyayı kasıp kavuran bu hassas dönemde her zamankinden daha duyarlı olmak zorundayız. Mücadelenin galibi olmak için BİRLİK OLALIM. https://t.co/3v1pXmIs1Q</t>
  </si>
  <si>
    <t>1304843470092238850</t>
  </si>
  <si>
    <t>Bugün yapılan yaklaşık 100 bin yeni test ile 1.509 yeni hasta tespit edildi. Ağır hasta sayımızda artış devam ediyor. Virüsü yenecek güç BİRLİKte MÜCADELEdir. https://t.co/RVlhe7786O</t>
  </si>
  <si>
    <t>1304819266869485571</t>
  </si>
  <si>
    <t>https://t.co/YZi25Gedyp</t>
  </si>
  <si>
    <t>1304780096159592450</t>
  </si>
  <si>
    <t>Demokrasi ve özgürlük derslerimizi çok acı tecrübelerle aldık. İzleri hala silinememiş “12 Eylül Darbesi” bunlardan sadece biridir. Milleti ve milletin iradesini hiçe sayan her türlü ideoloji, hareket ve girişimi lanetliyorum.</t>
  </si>
  <si>
    <t>1304720044283359232</t>
  </si>
  <si>
    <t>Nisan ayında Ağır Hastaların %76’sı İstanbul’daki hastanelerimizdeydi. Ancak son 1 ay içinde ağır hasta sayısı İstanbulda %42 arttı. İstanbul’da oluşabilecek riski birlikte yok edebiliriz. Mücadele gücümüz TEDBİRlere BİRLİKte uyum.</t>
  </si>
  <si>
    <t>1304677070199496704</t>
  </si>
  <si>
    <t>Nisan ayında hastaların %65’i, vefatların ise %54’ü İstanbul’daydı. Aldığımız tedbirler ile hasta sayısı %72, vefatlar %78 azaldı. 11 Eylül’de hasta sayısı geçen ayın hasta sayısının yaklaşık iki katı. Bugün filyasyon ekip sayımızı %34 artırdık. TEDBİRlere BİRLİKte uyalım.</t>
  </si>
  <si>
    <t>1304676936799719424</t>
  </si>
  <si>
    <t>Kuralları bizden daha iyi bilenler var. https://t.co/AtVcv5MFiu</t>
  </si>
  <si>
    <t>1304538262967590912</t>
  </si>
  <si>
    <t>Başakşehir Çam ve Sakura Şehir Hastanemizde bakan yardımcıları, il sağlık müdürü ve başhekimlerin katılımıyla; İstanbul’daki salgın seyrini ele aldığımız detaylı bir toplantı yaptık. Virüsle mücadele, toplumsal bir mücadeledir. Ortak düşmana karşı birlikte mücadele edelim. https://t.co/ysdKrIOr7V</t>
  </si>
  <si>
    <t>1304468546894934017</t>
  </si>
  <si>
    <t>Van’da teröristlerle yaşanan çatışmada şehit olan 3 vatan evladımıza Allah’tan rahmet diliyorum. Bir askerimiz Van Yüzüncü Yıl Üniversitesi Hastanesi’nde tedavi altına alındı, durumunu yakından takip ediyor, acil şifalar diliyorum. Milletimizin başı sağ olsun. https://t.co/RpaJAUB8b9</t>
  </si>
  <si>
    <t>1304465091375628288</t>
  </si>
  <si>
    <t>Bugün 56 CAN sevdiklerini geride bırakıp aramızdan ayrıldı. Birbirimizi korumak için sevdiklerimizi korumak zorundayız. Ancak birlikte mücadele ile bunu başarabiliriz. Virüsle etkin mücadele ancak BİRLİKTE TEDBİRle mümkün. https://t.co/RVlhe7786O</t>
  </si>
  <si>
    <t>1304450431108681731</t>
  </si>
  <si>
    <t>Tıp fakültesi son sınıf öğrencisi Merve, mücadelesine ve genç yaşına rağmen COVID-19’a yenik düştü. Annesi gibi sağlık çalışanı olarak aramıza katılacaktı. Kaybettiğimiz her bir can için acımız büyük. Çocuklarımız, gençlerimiz ve büyüklerimiz; lütfen tedbirlere riayet edelim. https://t.co/4LrZ08sUGj</t>
  </si>
  <si>
    <t>1304157936881729540</t>
  </si>
  <si>
    <t>Van'daki 112 Acil Çağrı Merkezi’nde görev yapan personelimizle buluştuk. 24 saat kesintisiz canla başla çalışan, her çağrıya koşan, "can kurtaran" tüm çalışanlarımıza şükranlarımı sunuyorum. https://t.co/nfBd1tp6F4</t>
  </si>
  <si>
    <t>1304152197706534912</t>
  </si>
  <si>
    <t>Aktif hastaların yaş ortalaması 42. Yoğun bakım hastalarının yaş ortalaması ise 65. Virüsün sevdiklerimizi bizden ayırmaması için birlikte tedbirlere uymakta ısrar edelim. Güçlü MÜCADELE BİRLİKTE tedbirle mümkün. https://t.co/RVlhe7oIYm</t>
  </si>
  <si>
    <t>1304104871524577280</t>
  </si>
  <si>
    <t>Van, Muş, Hakkari ve Bitlis illerimizle gerçekleştirdiğimiz değerlendirme toplantılarımızın ardından basın açıklamamız;
📍VAN
https://t.co/W3rQM0MQ6I</t>
  </si>
  <si>
    <t>1304091607222964224</t>
  </si>
  <si>
    <t>Van, Muş, Hakkari ve Bitlis illerimizin sağlık müdürleriyle ayrı ayrı toplantılarda bir araya gelerek; bu illerimizdeki COVID-19 seyrini ve yatırımlarımızı ele aldık. Salgınla başa çıkmakta en büyük gücümüz BİRLİKTE MÜCADELEDİR. https://t.co/P22cJUIiXF</t>
  </si>
  <si>
    <t>1304075187407720455</t>
  </si>
  <si>
    <t>DSÖ İstanbul Ofisi’nin açılışını Avrupa Bölge Direktörü @hans_kluge ile gerçekleştirdik. Bu ofis, COVID-19 ile mücadele başta olmak üzere, sağlık alanında insanlığın karşılaştığı tüm krizlere hem hazırlık hem de yanıt verebilme konusunda bölge ülkeleri için bir rehber olacak. https://t.co/6ONx0CsXfM</t>
  </si>
  <si>
    <t>1304036674763214849</t>
  </si>
  <si>
    <t>Nazlı kızımız 16 yaşında ve tedavisi başarıyla devam ediyor. Kendisinden lise eğitimine devam etmesi için söz aldık. Başkale Kız Meslek Lisesi Pansiyonu’nda artık yeri hazır. Çocuklarımızın sağlığı ve eğitimi konusunda çok hassas olmalıyız. https://t.co/zQQMDLgm7n</t>
  </si>
  <si>
    <t>1304017912638955523</t>
  </si>
  <si>
    <t>Van Bölge Eğitim ve Araştırma Hastanemizde, çalışma arkadaşlarımızı ve tedavi gören çocuklarımızı ziyaret ettik. Pandemi sürecinin genel sağlık hizmetlerini aksatmamasına özen gösteriyoruz. Gayretlerimiz ancak gayretlerinizle anlam kazanacaktır. https://t.co/IbpFMr89bn</t>
  </si>
  <si>
    <t>1304007651601403905</t>
  </si>
  <si>
    <t>Pandemi süreci başta olmak üzere, sağlık yatırımlarımızı değerlendirmek için bugün Van ilimizdeyiz. https://t.co/VRdktjI3IC</t>
  </si>
  <si>
    <t>1303989700517138438</t>
  </si>
  <si>
    <t>VAN’DAYIZ. Bölgemizde tamamlanan ve devam eden sağlık yatırımlarımızı gözden geçirecek ve pandemi mücadelemizi yerinde değerlendireceğiz. Virüsle mücadelemize ülkemizin her köşesinde aralıksız devam ediyoruz. https://t.co/ymhX2Fw2YJ</t>
  </si>
  <si>
    <t>1303971277305245696</t>
  </si>
  <si>
    <t>Fotoğrafta sohbet eden iki insan görmüyoruz sadece. Ailesini, arkadaşını ve ülkesini seven, onların sağlığını önemseyen iki sorumlu insan görüyoruz. Bu sorumuluk ve hassasiyeti gösteren herkese teşekkür ederim. https://t.co/NTFyZ3eJDD</t>
  </si>
  <si>
    <t>1303736801245491200</t>
  </si>
  <si>
    <t>Toplamda 8 milyondan fazla test yapıldı. Bugün ise 110.000’den fazla yapılan test sonucunda 1.673 yeni tanı konmuş hastamız var. Tedbirlere hepimiz destek verirsek virüse karşı daha güçlü olacağız. Bu güce destek verin, sevdiklerimizi koruyalım. https://t.co/RVlhe7786O</t>
  </si>
  <si>
    <t>1303724990261612545</t>
  </si>
  <si>
    <t>https://t.co/kC9FhECGYf</t>
  </si>
  <si>
    <t>1303628408103014401</t>
  </si>
  <si>
    <t>11 İLİMİZİN SAĞLIK MÜDÜRLERİYLE ayrı ayrı video konferans görüşmesi yaptık. İllerimizin durumu, filyasyon ekiplerinin performansı, erken ilaç kullanımı ve takibiyle, bu illerimizde alınması gereken ek tedbirleri konuştuk. İki gücümüz var: Tedbir, tedavi. Gücümüzü kullanalım. https://t.co/x3TLsIOHM0</t>
  </si>
  <si>
    <t>1303447417296125952</t>
  </si>
  <si>
    <t>Düzenli egzersiz ve fiziksel hareket sağlıklı yaşamın anahtarıdır. 
Fizyoterapistlerimiz aktif, bağımsız hareket edebilmenin ve daha kaliteli bir yaşamın güvencesidir. Sağlık ordumuzun güzide mensupları fizyoterapistlerimizin Dünya Fizyoterapistler Günü kutlu olsun. https://t.co/dm8P0a10lC</t>
  </si>
  <si>
    <t>1303414133354889216</t>
  </si>
  <si>
    <t>Bugün 110.000’den fazla test yapıldı ve 1.761 yeni hasta tespit edildi. Ağır hasta sayımız artmaya devam ediyor. Kayıplarımız can yakıyor. Bu durumu durduracak olan birlikte tedbirlere uymaktır. Güç birlikte tedbirde. https://t.co/RVlhe7786O</t>
  </si>
  <si>
    <t>1303367766800506880</t>
  </si>
  <si>
    <t>Günlük en çok hasta görülen ilimiz Ankara. Türkiye genelinde son bir haftada zatürre oranı artan ilimiz olmadı. Ağır hasta sayısı ise halen yükselmeye devam ediyor. Birlikte tedbirlere uyarsak sonunda yenilen virüs olacak. https://t.co/RVlhe7786O</t>
  </si>
  <si>
    <t>1303023645518897152</t>
  </si>
  <si>
    <t>Son bir ayda Koronavirüs’e yakalanan 100 kişiden 40,1’i 20-40 yaş aralığındaki gençler. Zatürre gelişen hastaların da %11’i yine bu yaş grubundan. Gençlerimiz kendilerini ve büyüklerimizi korumak için tedbirlere uyumda örnek olmalı. Virüse karşı GÜCÜMÜZ BİRLİKTE TEDBİR.</t>
  </si>
  <si>
    <t>1302677618207195138</t>
  </si>
  <si>
    <t>Son hafta günlük hasta sayısı en çok artan illerimiz; Van, Karaman, Erzincan, Çankırı ve Kayseri. Ağır hasta sayısı en çok olan illerimiz; İstanbul, Ankara, Konya, Erzurum ve Yozgat. Tedbirlere birlikte uyarak başarılı olabiliriz. Birlikte tedbirli olalım. https://t.co/RVlhe7786O</t>
  </si>
  <si>
    <t>1302638835998785537</t>
  </si>
  <si>
    <t>Sağlık çalışanlarımıza yapılan ek ödeme süresi pandemi nedeniyle 3 ay daha uzatılmıştır. Canla başla verilen mücadelenin karşılığı elbette bu değil, biliyorum.</t>
  </si>
  <si>
    <t>1302540675637039104</t>
  </si>
  <si>
    <t>KPSS sınavına girecek genç arkadaşlarım! Heyecanınız tedbiri elden bırakmaya yol açmasın; hayalleriniz gölgelenmesin. Hepinize başarılar diliyorum.</t>
  </si>
  <si>
    <t>1302315178084782082</t>
  </si>
  <si>
    <t>RT @RTErdogan: Bugün hizmete aldığımız Göztepe Prof. Dr. Süleyman Yalçın Şehir Hastanemizin ülkemize, milletimize, şehrimize hayırlı olması…</t>
  </si>
  <si>
    <t>1302309730635976706</t>
  </si>
  <si>
    <t>Sevdiklerimizi korumak için tedbirlere uymak zorundayız. Bu zorunluluk her birimiz için kimsenin bizi zorlamadan uymamız gereken bir ödevdir. Ancak birlikte mücadele ederek virüsü yenebiliriz. Gücümüz birlikte tedbirlere uymakta. https://t.co/RVlhe7786O</t>
  </si>
  <si>
    <t>1302280761576480769</t>
  </si>
  <si>
    <t>Göztepe Prof. Dr. Süleyman Yalçın Şehir Hastanemizi milletimizin hizmetine açtık. https://t.co/rMXoWzM3ng</t>
  </si>
  <si>
    <t>1302233365546962946</t>
  </si>
  <si>
    <t>Sağlık sistemimizi güçlendirmeye kararlı bir şekilde devam ediyoruz. PROF. DR. SÜLEYMAN YALÇIN ŞEHİR HASTANESİ Sn. Cumhurbaşkanımızın katılımıyla hizmete AÇILDI. Hastanemiz, yüksek kapasite ve teknolojiye sahip. Türkiye, sağlık sistemiyle dünyada fark yaratmaya devam edecek. https://t.co/n3jKnCxyif</t>
  </si>
  <si>
    <t>1302229953099030529</t>
  </si>
  <si>
    <t>Salgından etkilenerek görev yapamayan aile hekimleri ile aile sağlığı çalışanlarının maaşlarından artık kesinti yapılamayacak. Ayrıca COVID-19 hasta takibine göre 3 ay süreyle ek ödeme verilecek. Emeklerinin kıymeti karşılıksız olan sağlık çalışanlarımıza hayırlı olsun.</t>
  </si>
  <si>
    <t>1302138709735878656</t>
  </si>
  <si>
    <t>Yüksek teknolojik donanımı ve hizmet kapasitesiyle İstanbul’un en önemli sağlık merkezlerinden biri olacak Göztepe Şehir Hastanemizi yarın 15.00’da açıyoruz. Güçlü sağlık altyapımız en büyük güvencemiz. Bu güce inanın. https://t.co/JhSYVYG3tc</t>
  </si>
  <si>
    <t>1301987707330211842</t>
  </si>
  <si>
    <t>Bugün 200 laboratuvarda 117.113 yeni test yapıldı. Ağır hasta sayımızda artış devam ediyor. İyileşen hasta sayımız halen yeni hasta sayımızdan az. Dönem mücadele ve tedbirde GÜÇ birliği dönemidir. Birlik olalım. https://t.co/RVlhe7786O</t>
  </si>
  <si>
    <t>1301918551054352385</t>
  </si>
  <si>
    <t>Mardin, Şanlıurfa, Batman, Siirt, Şırnak ve Diyarbakır illerimizle COVID-19 salgınını değerlendirme toplantıları gerçekleştirdik.
📍DİYARBAKIR
https://t.co/HIkSjGTU2U</t>
  </si>
  <si>
    <t>1301910230813483008</t>
  </si>
  <si>
    <t>Mardin, Şanlıurfa, Batman, Siirt ve Şırnak illerimizin sağlık müdürleri ve diğer üst düzey sağlık yöneticileriyle bir araya gelerek bu illerimizde salgının seyrini ve planlanan sağlık yatırımlarını değerlendirdik. Dönem mücadelede ve tedbirde güç birliği dönemidir. Birlik olalım. https://t.co/ImxLlHRNLy</t>
  </si>
  <si>
    <t>1301896420442734592</t>
  </si>
  <si>
    <t>Diyarbakır Valimiz, İl Sağlık Müdürümüz, saha koordinatörlerimiz, hastane başhekimlerimiz ve ilgili başkanlıklarımızın katılımlarıyla, Diyarbakır İl Değerlendirme Toplantımızı gerçekleştirdik. https://t.co/K8kk4YSVLY</t>
  </si>
  <si>
    <t>1301810033798381570</t>
  </si>
  <si>
    <t>Bölgedeki COVID-19 salgınının seyri, planladığımız ve yapımı devam eden sağlık yatırımları üzerine değerlendirmelerde bulunmak üzere Diyarbakır’dayız. https://t.co/8P8o6JFdbG</t>
  </si>
  <si>
    <t>1301797517521231873</t>
  </si>
  <si>
    <t>Yeni yargı yılının başlaması münasebetiyle Yargıtay 1. Başkanı Sn. Mehmet Akarca, Yargıtay Başsavcısı Sn. Bekir Şahin ve Danıştay Başkanı Sn. Zeki Yiğit’i ziyaret ederek iyi dileklerimi sundum. https://t.co/4kXE4gz6it</t>
  </si>
  <si>
    <t>1301581897395572737</t>
  </si>
  <si>
    <t>En çok hasta bulunan beş ilimizde pnömoni oranları; Ankara: %4.7, İstanbul: %4.61, Konya: %8.78, Kayseri: %6.49, Diyarbakır: %8,37. Güç tedbirde. https://t.co/RVlhe7786O</t>
  </si>
  <si>
    <t>1301553662792261632</t>
  </si>
  <si>
    <t>Sağlık çalışanlarımız, Koronavirüs’e yakalanmış hastaları sevdiklerine kavuşturmak için tüm mesailerini harcayıp hayatlarını tereddütsüz riske atmakla kalmıyor; çocuklarından, ailelerinden, sevdiklerinden ve sosyal çevrelerinden de kendilerini mahrum ediyorlar. https://t.co/foesaBl7Fi</t>
  </si>
  <si>
    <t>1301530895439089664</t>
  </si>
  <si>
    <t>Binali Yıldırım Bey ve kıymetli eşi Semiha Hanım’ın Ankara Şehir Hastanemizde yapılan tetkiklerinde COVID-19 testleri pozitif çıkmıştır. Şu an için durumları iyi ve kendilerini evde tedavileri için hastanemizden uğurladık. Gücümüz tedbir almaya ve sevdiklerimizi korumaya yeter. https://t.co/LGzf1tgxFI</t>
  </si>
  <si>
    <t>1301501461826801665</t>
  </si>
  <si>
    <t>Hayatımızın en mutlu anları olan nişan ve düğünlerimiz, taziyelerin sebebi olmasın. Anlayışınıza inanıyorum. https://t.co/aWaOQmr0rR</t>
  </si>
  <si>
    <t>1301460130995875840</t>
  </si>
  <si>
    <t>HES kodu ve filyasyon uygulamalarımız, virüsün bulaştığı yolları takip etmek ve yayılmasının önüne geçmek için kullandığımız en etkin yollar. Başarı, hepimizin özveri ve ortak çalışmasıyla gelecek. https://t.co/DjjiZMdoYc</t>
  </si>
  <si>
    <t>1301448524341665792</t>
  </si>
  <si>
    <t>Her bir sağlık personeli, hayatınızla ölüm arasındaki köprüde kollarını açmış duruyor. Onlara gerekli saygıyı gösterelim, teşekkürü bir borç bilelim... https://t.co/ROcvGPX0Aa</t>
  </si>
  <si>
    <t>1301278752324845568</t>
  </si>
  <si>
    <t>Bugün aktif vaka sayımız 649 daha arttı. Ağır hasta sayımız 1.000’in üzerinde. Can kayıplarımızı azaltmak ve sevdiklerimizi korumak zorundayız. Bu tedbirle mümkün. Güç tedbirde. https://t.co/RVlhe7786O</t>
  </si>
  <si>
    <t>1301208583758114822</t>
  </si>
  <si>
    <t>Toplum Bilimleri Kurulumuzun önerisi ile Salgın Yönetiminin doğru iletişimi açısından bundan sonra günlük ve haftalık daha detaylı bilgileri https://t.co/RVlhe7786O adresinden takip edebileceksiniz. Önemli gelişmeleri buradan sizlerle paylaşmaya devam edeceğim.</t>
  </si>
  <si>
    <t>1301207413371142144</t>
  </si>
  <si>
    <t>Bilim Kurulu Toplantımızın ardından Koronavirüs ile ilgili son gelişmeler ve aldığımız yeni tedbirlere ilişkin basın açıklamamız.
📍SAĞLIK BAKANLIĞI BİLKENT YERLEŞKESİ / ANKARA
https://t.co/TXRaERi7k0</t>
  </si>
  <si>
    <t>1301204686696054787</t>
  </si>
  <si>
    <t>Kayıplarımızın ve ağır hastalarımızın sayısını azaltacak olan da bitirecek olan da tedbirlere tam uyumdur. Aktif hasta sayımız artmaya devam ediyor. Tedbirlere uyarsak kazanan biz olacağız. Güç tedbirde. https://t.co/RVlhe7786O https://t.co/CvwUHE6pae</t>
  </si>
  <si>
    <t>1300825878860107781</t>
  </si>
  <si>
    <t>"BAZEN O NEFES GERİ GELMİYOR.” Alpaslan Ö.’nün hastalıkla mücadele tecrübesine kulak verin. https://t.co/Fk9nhG4sqI</t>
  </si>
  <si>
    <t>1300813140914040842</t>
  </si>
  <si>
    <t>Bugün en yüksek günlük test sayısına ulaştık. 110.000’den fazla test yapıldı. 1.587 yeni hasta tespit edildi. Can kayıplarımızın üzüntüsünü sözcükler de rakamlar da ifade edemez. Gücümüz tedbir almaya ve sevdiklerimizi korumaya yeter. Güç tedbirde. https://t.co/RVlhe7786O https://t.co/LqYvq5H2SB</t>
  </si>
  <si>
    <t>1300463394764599303</t>
  </si>
  <si>
    <t>Büşra kızımızla telefonda görüştüm. Sağlık çalışanlarımızın ve tüm kadınların haklarının sonuna kadar yanında olduğumuzu herkes bilsin. Aşure bizim birlik, paylaşma ve dayanışma sembolümüzdür. Bu geleneği yaşatan herkese sonsuz teşekkürler.</t>
  </si>
  <si>
    <t>1300425126400471042</t>
  </si>
  <si>
    <t>Düne göre daha az test talebi oldu. Ancak buna rağmen 1.482 yeni hastamız var. Ağır hasta sayımız artıyor. Bu durum kaybettiğimiz canların sayısını da artırıyor. Mücadeleyi ancak hep birlikte yürütürsek başarabiliriz. Güç tedbirde. https://t.co/RVlhe7786O https://t.co/PyX1UvPtdG</t>
  </si>
  <si>
    <t>1300102579691630592</t>
  </si>
  <si>
    <t>#30Ağustos Zafer Bayramı’nda, Gazi Mustafa Kemal Atatürk’ün manevi huzurundaydık. Vatan müdafaasında canını ortaya koyan tüm şehit ve gazilerimize minnettarız. https://t.co/QSmDaE2xdU</t>
  </si>
  <si>
    <t>1300033128854097920</t>
  </si>
  <si>
    <t>30 Ağustos; sadece silahla kazanılan bir başarının zaferi değildir. Bir milletin, en yüce insani değerleri insanüstü bir azimle, büyük kumandan Gazi Mustafa Kemal Atatürk önderliğinde tarih sahnesine resmedişinin sembolüdür. Tüm gazi ve şehitlerimizi rahmetle anıyorum. https://t.co/y74KdSXwiN</t>
  </si>
  <si>
    <t>1300011663769378817</t>
  </si>
  <si>
    <t>Toplamda 7 milyona yakın test yaptık. Bugün aktif hasta sayımıza 546 kişi daha eklendi. Kabyettiğimiz hasta sayımız toplamda 6.000’den fazla. Ağır hasta sayımızda artış devam ediyor. Tedbirlere uymada gevşek olamayız. Güç tedbirde. https://t.co/RVlhe7786O https://t.co/SaboLENtLV</t>
  </si>
  <si>
    <t>1299748734306320384</t>
  </si>
  <si>
    <t>İL DEĞERLENDİRME TOPLANTILARINDA; Rize, Van, Ordu, Kütahya, Eskişehir, Ağrı valileri, il sağlık müdürleri ile 6 ayrı video konferansta bugün bir araya geldik. Mevcut durum, vaka artışlarının sebeplerini ele aldık. Filyasyon ve tedavilere süratle başlanması talimatını verdik. https://t.co/AKlfGKROlO</t>
  </si>
  <si>
    <t>1299440812938362880</t>
  </si>
  <si>
    <t>COVID-19'u yenen bir sağlık çalışanı arkadaşımız: "Hem beden sağlığı hem de psikolojik olarak çok yıpratıcı bir süreç yaşadım. Aileme bulaştırma korkusu ve onlardan uzak kalma zorunluluğu zor yönlerinden birisi." dedi. Virüsle mücadelede sadece kendi hayatımızdan sorumlu değiliz. https://t.co/vSUVYQwLwh</t>
  </si>
  <si>
    <t>1299414737659334658</t>
  </si>
  <si>
    <t>Bugün 1.517 hastamız daha var. İyileşenlerin sayısı 1.000’den fazla. Aktif hasta sayımız da ağır hasta sayımız da artmaya devam ediyor. Bugün 36 CAN daha kaybettik. Hasta sayısını da can kayıplarını da azaltacak olan tedbirlere uyumdur. https://t.co/RVlhe7786O https://t.co/4EexrlRuEU</t>
  </si>
  <si>
    <t>1299378931167043585</t>
  </si>
  <si>
    <t>EVDEN DIŞARIYA ADIM ATMAYIN.
Test sonucu pozitif çıkan ve 14 gün boyunca evde kendisini izole etmesi gereken hastalarımız, dışarı çıkmayın. Virüsü başkalarına bulaştırarak ağır hastalık süreçlerine ve hatta ölümlere sebep olabileceğinizi unutmayın. https://t.co/emd2ytzWrA</t>
  </si>
  <si>
    <t>1299304170961489923</t>
  </si>
  <si>
    <t>BUGÜN, 18 İLİN SAĞLIK MÜDÜRÜYLE TOPLANTI YAPTIK. Sağlık müdürleriyle ayrı ayrı video konferansta bir araya geldik. Salgınla ilgili yeni gelişmeleri, vaka artışının sebepleri ve illerde alınacak tedbirleri ele aldık. Tanı ve tedavide yeni yaklaşımları paylaştık. https://t.co/aT889B8UvI</t>
  </si>
  <si>
    <t>1299085845731987457</t>
  </si>
  <si>
    <t>Son dönemde iyileşen hasta sayımız yeni hasta sayımızdan daha az. Aktif hasta sayımızı kontrollü sınırda tutmanın yolu yeni hasta sayısını azaltmak. Bugün için, aktif hastalarımızın sayısını azaltacak en geçerli yol tedbirdir. Sonunda yenilen virüs olacak. https://t.co/RVlhe7786O https://t.co/4qOqDUPPzm</t>
  </si>
  <si>
    <t>1299015763056099328</t>
  </si>
  <si>
    <t>COVID-19 test sonuçlarını belirleyen en önemli etken, tedbirlerdir. Maske, mesafe ve hijyen kurallarını eksiksiz uygulayarak virüsü yeneceğiz. https://t.co/ZgMNcfwvsc</t>
  </si>
  <si>
    <t>1298991052674617351</t>
  </si>
  <si>
    <t>Tokat'ta, COVID-19'u yenen bir doktor arkadaşımız, hastalık sürecini şu ifadelerle anlatıyor: "Kemikleriniz patlayacakmış gibi ağrıyor." İnsan sağlığını her koşulda alt etmeye odaklanmış  bu virüse fırsat vermeyelim. Kurallar en güçlü kalkanımız. https://t.co/cW39yCwzt5</t>
  </si>
  <si>
    <t>1298923862768443392</t>
  </si>
  <si>
    <t>26 AĞUSTOS İL DEĞERLENDİRME TOPLANTILARI. 6 ilimizin sağlık müdürleriyle ayrı ayrı toplantı yaptık. Yeni tedbirleri, sahadaki ihtiyaçları ele aldık. Hasta ve temaslı tespitinde hızlı hareket edilmesi, tedavilere süratle başlanması talimatını verdik. https://t.co/KUJ6caEv4o</t>
  </si>
  <si>
    <t>1298757859220619268</t>
  </si>
  <si>
    <t>Gençler! Üniversitede kazanacağınız bilgi, kültür ve eğitim ile sadece kendi kariyerinizi inşa etmeyecek, tüm insanlığın kaderine de yön vereceksiniz. Bu sınavda bekledikleri sonucu alamayan gençlerimiz! Ümitsizliğe kapılmayın, kendinize ve azminize güvenin. Sizler yarınımızsınız https://t.co/FjIvzMeXzK</t>
  </si>
  <si>
    <t>1298660617579094023</t>
  </si>
  <si>
    <t>Bugün 100 binden fazla test yaptık. Bu testler sonucunda 1.313 yeni hastamız var. Bazı illerimizde özel tedbirler almak zorunda kaldık. Tedbirlere birlikte uyarsak başarılı olabiliriz. Sonunda yenilen virüs olacak. https://t.co/RVlhe7786O https://t.co/O08g5t0swZ</t>
  </si>
  <si>
    <t>1298653316675665921</t>
  </si>
  <si>
    <t>Malazgirt Zaferi ile bize emanet edilen bu toprakların her köşesini ayrı güzelliklerle süsledik. Ne mutlu üzerinde yaşadığımız bu toprakların kıymetini bilene... https://t.co/G0Qw172dpo</t>
  </si>
  <si>
    <t>1298309939576832001</t>
  </si>
  <si>
    <t>Bugün toplamda 6.5 milyon test sayısını geçtik. Yeni tespit edilen 1.500’den fazla hastamız var. Yeni hasta sayısını düşürmek mücadelemizin en önemli hedefi. Bu hedefe katkı için tedbirlere uyum şart. Sonunda yenilen virüs olacak. https://t.co/RVlhe7786O https://t.co/8G59tKQgXN</t>
  </si>
  <si>
    <t>1298298437117640704</t>
  </si>
  <si>
    <t>Anadolu’yu Türklere ebediyen yurt kılan Malazgirt Zaferi’nin yıl dönümünde, Ahlat’ta ecdadın manevi huzurundayız. https://t.co/1OWFZLwErV</t>
  </si>
  <si>
    <t>1298253999229943810</t>
  </si>
  <si>
    <t>RT @fahrettinaltun: Bizim için #Kızılelma büyük ve güçlü Türkiye’dir. Malazgirt’ten 15 Temmuz’a destanlar yazan milletimizin kutlu yürüyüşü…</t>
  </si>
  <si>
    <t>1297997662415880192</t>
  </si>
  <si>
    <t>RT @RTErdogan: Kabine Toplantısı Sonrası Millete Sesleniş https://t.co/LuURnlN2Nw</t>
  </si>
  <si>
    <t>1297941462949285892</t>
  </si>
  <si>
    <t>Bugün yapılan yaklaşık 96 bin test sonucu 1.443 yeni hasta tespit edildi. Ağır hasta sayımız 800 civarında. Sağlık çalışanlarımız var gücüyle hastalarımızı iyileştirmeye çalışıyor. Hasta sayımızı düşürecek olan tedbirlerdir. Sonunda yenilen virüs olacak. https://t.co/RVlhe7786O https://t.co/Rz06OcXiKX</t>
  </si>
  <si>
    <t>1297934800574193664</t>
  </si>
  <si>
    <t>Giresun'da yaşanan sel felaketi sebebiyle hayatını kaybeden kardeşlerimize Allah'tan rahmet, yaralılarımıza acil şifalar diliyorum. 112 Acil ve UMKE ekiplerimiz, helikopter ambulansımız olay yerinde. Devletimiz tüm imkanları ile Milletimizin yanındadır.</t>
  </si>
  <si>
    <t>1297596604191563776</t>
  </si>
  <si>
    <t>Bugün 80.000’den fazla yeni test yapıldı. 1.217 yeni hasta tespit edildi. Ağır hasta sayımızda artış devam https://t.co/CzcaqNOSMHömoni oranı kontrol sınırında seyrediyor. Gücümüz tedbirlere uyumumuz kadar. Sonunda yenilen virüs olacak. https://t.co/RVlhe7786O https://t.co/cDt13mWMMQ</t>
  </si>
  <si>
    <t>1297590469803814912</t>
  </si>
  <si>
    <t>Röntgen teknisyenimiz Ufuk Saka, ateşi çıktığında gece nöbetindeydi. COVID-19 olduğu anlaşıldı. Eşi, hemşire arkadaşımız Tülay’ın testi de pozitif çıktı. Hastalıkla, hasta olarak da savaştılar. Ve görevlerine döndüler. Aynı şeyi yapan, yapabilecek sayısız sağlık çalışanınız var. https://t.co/lAYe3IF9Uz</t>
  </si>
  <si>
    <t>1297261034080698370</t>
  </si>
  <si>
    <t>Tanı konan hasta sayısı, uzun süredir, iyileşenlerden fazla. Kurallara uyulmaması; hastalığa yakalanma, hastalığı bulaştırma, birinin ağır hastalığına yol açma, sağlık hizmetlerinde yoğunluğa neden olma sebebi. Tedbir alalım. Yenilen virüs olacak. https://t.co/RVlhe7786O https://t.co/hFQinfNV3f</t>
  </si>
  <si>
    <t>1297219885068693505</t>
  </si>
  <si>
    <t>Bugün, şair Turgut Uyar’ın ölüm yıl dönümü. Duyuşumuza, dilimize güç veren şiirleri için onu saygıyla anıyoruz. Bir grup arkadaşıyla şiire köklü değişiklikler getiren usta şair, ustalığa karşı acemiliği savunmuştu. Her mümkünü denemek ve daima mücadele halinde kalmak için. https://t.co/3uVtyh8gV7</t>
  </si>
  <si>
    <t>1297195462144020480</t>
  </si>
  <si>
    <t>“Annemin virüsü gittiği düğünden kaptığını düşünüyorum. Çünkü düğüne gittiği yerde birçok evi karantina altına almışlar. Başa gelmeyince kimse dikkate almıyor. Halen düğüne, cenazeye, taziyeye gidiliyor. Ama bu yürek yandı mı, başka hiçbir şeye değişilmez.” 
İ. Çimen https://t.co/DercGY4WST</t>
  </si>
  <si>
    <t>1297120290602876928</t>
  </si>
  <si>
    <t>Virüs, aklı ve hastalığı yayma stratejisi olan bir canlı değil. Maske, mesafe, temizlik kurallarına uymayarak; virüsü birbirimize bulaştıran bizleriz. Günlük hayatımızı, virüsün yayılma fırsatlarına karşı kontrollü yaşayalım. Risklere çözüm arayalım. Yenilen Koronavirüs olacak. https://t.co/I9hFiJVn8x</t>
  </si>
  <si>
    <t>1296885616584654853</t>
  </si>
  <si>
    <t>Yeni hasta sayımız düne göre düşük. İyileşen hasta sayımız yeni hastalardan az. Ağır Hasta sayısında yükseliş devam ediyor. Hasta tedavi ederek başarılmış salgın mücadelesi yoktur. Büyük mücadele tedbirle verilir. Tedbir alalım. Yenilen Koronavirüs olacak. https://t.co/RVlhe7786O https://t.co/XWMBOAZavB</t>
  </si>
  <si>
    <t>1296861170184445953</t>
  </si>
  <si>
    <t>Özetini okuyacağınız olay, belirtileri olan bir kişinin, kurallara uyulmaması sonucu, 32 vaka sayısına ve karantinaya yol açmasının hikâyesidir. İyi haberle gündem olalım. Her yakınlık mutlu sonla bitmiyor. https://t.co/TVOidddOuG</t>
  </si>
  <si>
    <t>1296850431252008962</t>
  </si>
  <si>
    <t>Cumhurbaşkanımız, Millete Sesleniş konuşmasında, Karadeniz’de 320 Milyar metreküp doğal gaz bulunduğu müjdesini verdi. Dönüm noktası milli projede emeği olan kadroları kutluyoruz. Bu gelişme, verdiği heyecanla, halkımıza salgına karşı da motivasyon olacak. Her alanda başaracağız.</t>
  </si>
  <si>
    <t>1296811552226652160</t>
  </si>
  <si>
    <t>RT @RTErdogan: Millete Sesleniş #MüjdelerOlsun https://t.co/hfNVpPWO9c</t>
  </si>
  <si>
    <t>1296780834662383622</t>
  </si>
  <si>
    <t>Dün 92.301 yeni test yaptık. Sürecin başından bu yana yaptığımız toplam test sayısı 6.061.390. Genizden sürüntü örneği vermenin kolay olmadığını milyonlarca insan biliyor. Dilinizi çıkarıp, a demeniz gibi değil. Fakat test sonucu pozitifse asıl zorluk izole hayatla başlıyor. https://t.co/flQum3R5N1</t>
  </si>
  <si>
    <t>1296764213298438145</t>
  </si>
  <si>
    <t>SALGINLARLA NASIL MÜCADELE EDİLİR? Hasta tedavi ederek başarılmış bir salgın mücadelesi yoktur. Tanı, hasta izolasyonu, tedaviyi hızlandırmak hekimlik görevi; salgına karşı silahtır. Salgın, son hasta iyileşene kadar devam eder. Büyük mücadele asıl tedbirle verilir. Tedbir alın.</t>
  </si>
  <si>
    <t>1296745565473169408</t>
  </si>
  <si>
    <t>Salgının sonuçları açısından en önemli gösterge Ağır Hasta sayısıdır. Ağır Hastalar, bizim farkında bile olmaksızın alıp verdiğimiz nefeslerin biri için, her şeyden vazgeçecek aşamaya geliyorlar. Bu, çoğu hastanın COVID-19’u hafif yaşadığı gerçeğini unutturacak kadar sarsıcıdır. https://t.co/jT5FXz07ms</t>
  </si>
  <si>
    <t>1296690010960334851</t>
  </si>
  <si>
    <t>BU AKŞAM, 81 İLİN SAĞLIK MÜDÜRÜYLE TOPLANTI YAPTIK. 4 saat süren toplantıda, vaka artışının yoğun olduğu illerde alınacak tedbirleri; tanı ve tedavide yeni yaklaşımları ele aldık. Hasta ve temaslı tespitinde hızlı hareket edilmesi, tedavilere süratle başlanması talimatını verdik. https://t.co/Q2QWse3Bkm</t>
  </si>
  <si>
    <t>1296544540409634816</t>
  </si>
  <si>
    <t>Son 1 haftadaki ortalaması 1.245 olan yeni vaka sayımız, 1.400’ü geçti. Buna karşı, 3 Ağustos’ta 41 bin olan günlük test sayımız, 92 binin üzerinde. Filyasyon ekibi sayımız 9.344’a ulaştı. Temaslılara ulaşma oranımız %98,9. Hep birlikte vakaları düşürelim. https://t.co/RVlhe7786O https://t.co/APzsH4I7F1</t>
  </si>
  <si>
    <t>1296500549613912064</t>
  </si>
  <si>
    <t>1 Temmuz’da 7.507 olan filyasyon ekibi sayımızı 9.344’e çıkardık, 1.837 yeni filyasyon ekibi kurduk. Her ekibimizde bir hekim görevlendirdik. Temaslı zincirinde olduğu bilinen kişilere ulaşma oranımız, son 45 günde %98,9’dur. Filyasyon başarımız sürüyor. Yenilen virüs olacak. https://t.co/uGO8jCEHoZ</t>
  </si>
  <si>
    <t>1296487561200795649</t>
  </si>
  <si>
    <t>Sağlık çalışanlarından hizmet alırken onlara güvenimiz, saygımız tam olsun. Altına girdikleri yük, taşınması kolay bir yük değildir. Hastaları için mücadele ederken birçoğu hastalığa yakalanıyor. Başka bir meslekte bunu göremezsiniz. İnsanımız için eşsiz fedakârlık devam ediyor. https://t.co/5dIzbcoBGH</t>
  </si>
  <si>
    <t>1296187963446112257</t>
  </si>
  <si>
    <t>COVID-19 hastalarıyla; poliklinikte, serviste, yoğun bakımda (vb) ilgilenen hekimler ve tüm sağlık çalışanlarıyla aile hekimleri, 1 Ağustos’tan itibaren 3 aylık zaman diliminde bir ek ödeme alacak. Diğer hekim ve sağlık çalışanları için de Ocak esas alınarak ek ödeme planlanıyor. https://t.co/6vvR3mOyt1</t>
  </si>
  <si>
    <t>1296180329175285760</t>
  </si>
  <si>
    <t>Vaka sayımız, 1.300’ün üzerine çıktı. Düne kıyasla, pozitif tanı sayımız 40 fazla. Artışın kontrol altına alınması, hep birlikte bize bağlı. Maske, mesafe ve temizlik konusunda ödünsüz olun. Bu tabloyu, ihmallerin ve tedbirlerin belirlediğini unutmayın. 
https://t.co/RVlhe7786O https://t.co/kGeQRyem79</t>
  </si>
  <si>
    <t>1296138106320629762</t>
  </si>
  <si>
    <t>Bilim Kurulu Toplantımızın ardından Koronavirüs ile ilgili son gelişmeler ve aldığımız yeni tedbirlere ilişkin basın açıklamamız.
📍SAĞLIK BAKANLIĞI BİLKENT YERLEŞKESİ / ANKARA
https://t.co/tvdp1lh9A0</t>
  </si>
  <si>
    <t>1296134318390116354</t>
  </si>
  <si>
    <t>Koronavirüs, gücünü, salgınla mücadele kurallarına uymadığımız ortamlardan alıyor. Maske, mesafe ve temizlik kurallarına uyarsak, vaka sayılarını kolaylıkla kontrol altına alır; yarın hastalığı yenebiliriz. Bilime güvenelim, kurallara uyalım. Tarihte son bulmamış salgın yoktur. https://t.co/ygV0sCwQOV</t>
  </si>
  <si>
    <t>1296119543274889216</t>
  </si>
  <si>
    <t>Koronavirüs, gücünü, salgınla mücadele kurallarına uymadığımız ortamlardan alıyor. Maske, mesafe ve temizlik kurallarına uyarsak, vaka sayılarını kolaylıkla kontrol altına alır; yarın hastalığı yenebiliriz. Bilime güvenelim, kurallara uyalım. Tarihte son bulmamış salgın yoktur. https://t.co/vRZMb8HHFC</t>
  </si>
  <si>
    <t>1296119423753957386</t>
  </si>
  <si>
    <t>Koronavirüs, gücünü, salgınla mücadele kurallarına uymadığımız ortamlardan alıyor. Maske, mesafe ve temizlik kurallarına uyarsak, vaka sayılarını kolaylıkla kontrol altına alır; yarın hastalığı yenebiliriz. Bilime güvenelim, kurallara uyalım. Tarihte son bulmamış salgın yoktur. https://t.co/1NtF5ZnbKG</t>
  </si>
  <si>
    <t>1296117291952857088</t>
  </si>
  <si>
    <t>Koronavirüs, gücünü, salgınla mücadele kurallarına uymadığımız ortamlardan alıyor. Maske, mesafe ve temizlik kurallarına uyarsak, vaka sayılarını kolaylıkla kontrol altına alır; yarın hastalığı yenebiliriz. Bilime güvenelim, kurallara uyalım. Tarihte son bulmamış salgın yoktur. https://t.co/4qjywYWr9G</t>
  </si>
  <si>
    <t>1296117122523959296</t>
  </si>
  <si>
    <t>Çumra Belediye Başkanı Halit Oflaz, COVID-19 tedavisi gördüğü Konya Selçuk Üniversitesi Tıp Fakültesi Hastanesinde hayatını kaybetti. Genç fakat hastalığı ağır yaşayanlardandı. Kendisine Allah’tan rahmet, yakınlarına başsağlığı diliyorum. Kurallara uyarak acı haberleri azaltalım.</t>
  </si>
  <si>
    <t>1295911415140753410</t>
  </si>
  <si>
    <t>Salgının sıfır noktası Wuhan unutuldu. Tüm dünya, salgının merkeziymiş gibi mücadele etmek zorunda. Savaşta ağır yenilgi alan ülkeler var. Biz, en iyiler arasındayız. Bilimin ve tedbirlerin gücüne inanarak, sağlık ordumuzla dayanışma içinde, mücadele edelim. Yenilen virüs olacak. https://t.co/vfbzCwor57</t>
  </si>
  <si>
    <t>1295802434955206657</t>
  </si>
  <si>
    <t>Salgının sıfır noktası Wuhan unutuldu. Tüm dünya, salgının merkeziymiş gibi mücadele etmek zorunda. Savaşta ağır yenilgi alan ülkeler var. Biz, en iyiler arasındayız. Bilimin ve tedbirlerin gücüne inanarak, sağlık ordumuzla dayanışma içinde, mücadele edelim. Yenilen virüs olacak. https://t.co/mZZj5CDlz4</t>
  </si>
  <si>
    <t>1295801117608157184</t>
  </si>
  <si>
    <t>Salgının sıfır noktası Wuhan unutuldu. Tüm dünya, salgının merkeziymiş gibi mücadele etmek zorunda. Savaşta ağır yenilgi alan ülkeler var. Biz, en iyiler arasındayız. Bilimin ve tedbirlerin gücüne inanarak, sağlık ordumuzla dayanışma içinde, mücadele edelim. Yenilen virüs olacak. https://t.co/67wfCfNjj4</t>
  </si>
  <si>
    <t>1295799728538636290</t>
  </si>
  <si>
    <t>Bu tabloda her gün açıklanan Koronavirüs test sonuçları, ortalama 10 gün önceki bulaşmaları gösteriyor. Sonuçlara göre, ortalama 10 gün önce, virüs, tedbirlere uyulmayan ortamlarda 1.263 kişiye daha bulaştı. Kararlı olursak, virüse bu gücü tanımayabiliriz. https://t.co/RVlhe7786O https://t.co/mtYxXoZAhi</t>
  </si>
  <si>
    <t>1295761988409348097</t>
  </si>
  <si>
    <t>Çocuklar, gençler; okulları ve büyükleri için salgına karşı elinden geleni yapıyor. Kurallara uyulmazsa hayatın nasıl aksadığını biliyorlar. Yüz yüze eğitimin başlayacağı 21 Eylül için hazırlanalım: Tedbirlerle, virüse yayılım şansı tanımayalım. Çocuklara bunu ÇOK GÖREN VAR MI? https://t.co/uaJX2Rp9QA</t>
  </si>
  <si>
    <t>1295617056210067458</t>
  </si>
  <si>
    <t>11 Marttan bu yana, tanı konmuş toplam hasta sayımız 250 bini geçti. Hastalığı yayma potansiyeline sahip, izole edilmiş Aktif Hasta sayısı 12.575. Yeni hastaların büyük kısmı kolay iyileşebiliyor. Fakat yayılım, tedavisi zor Ağır Hasta sayısını artıyor. https://t.co/RVlhe7786O https://t.co/N7IpSjujtk</t>
  </si>
  <si>
    <t>1295419202803818497</t>
  </si>
  <si>
    <t>“Birleşmiş Milletler toplanıp, dünyada sokağa çıkma yasağı ilan etsin.” Bir uçtakiler, salgınla mücadeleyi bu zihniyette görüyor. Diğer uçtakiler; hastalık, ölüm, mühim değil diyor. Tedbirler hem salgınla yaşamayı hem mücadeleyi mümkün kılıyor.</t>
  </si>
  <si>
    <t>1295390851213004800</t>
  </si>
  <si>
    <t>Sağlıklı bir yetişkin dakikada ortalama 12 kez nefes alır. Farkında bile olmadan. COVID-19’un akciğerinde pnömoniye yol açtığı hastaysa, bütün enerjisini nefes almak için harcasa bile, bunu başaramaz. Hastaya, onu hayatta tutacak oksijen, zor bir yöntem olan Entübasyonla verilir. https://t.co/Imu3x5ZQSv</t>
  </si>
  <si>
    <t>1295299961995878400</t>
  </si>
  <si>
    <t>Maskemiz nerde? https://t.co/RcmxQwdiuD</t>
  </si>
  <si>
    <t>1295261931343839232</t>
  </si>
  <si>
    <t>Çocuklar ve gençler; okulları, büyükleri ve salgına karşı başarı için, elinden geleni yapıyor. Kurallara uyulmazsa hayatın nasıl aksadığının en büyük tanığı şu anda onlar. 83 Milyon yeniden birleşelim, savaşa kaldığımız yerden devam edelim. Büyük küçük riski azaltalım. VAR MIYIZ? https://t.co/dgUU0UDoZQ</t>
  </si>
  <si>
    <t>1295231901997965312</t>
  </si>
  <si>
    <t>Maskesini takmadığı için uyarıldığında, “Kendine güvenmiyorsan insan içine çıkmayacaksın.” diyen var. Kendileri, bugün yarın, tedavi altında, izolasyonda ya da hastalığı bir yakınına bulaştırmış, özlü sözlerini gözden geçiriyor olacaklar. Karşılıklı kural varken, ne gerek var! https://t.co/WMTRvc63ZK</t>
  </si>
  <si>
    <t>1295079788177170449</t>
  </si>
  <si>
    <t>Yeni tanı sayımız dünkünden daha az. Şu ana kadarki toplam vaka sayımızdan 12.366 KİŞİ halen aktif hasta: Yani, virüsü yayma potansiyeline sahip. Bunlar ve temaslıları İZOLASYONDA. Dikkat eder, kendimizi DIŞARIDAKİ RİSKTEN korursak, daha hızlı başarırız. https://t.co/RVlhe7786O https://t.co/WhfNAwtyMY</t>
  </si>
  <si>
    <t>1295050272985829377</t>
  </si>
  <si>
    <t>Kural. Umut. Özveri. Haydi. Mücadele normaline dönelim.</t>
  </si>
  <si>
    <t>1294983694151757826</t>
  </si>
  <si>
    <t>Çocuklar ve gençler; okulları, büyükleri ve salgına karşı başarı için, elinden geleni yapıyor. Kurallara uyulmazsa hayatın nasıl aksadığının en büyük tanığı şu anda onlar. 83 Milyon yeniden birleşelim, savaşa kaldığımız yerden devam edelim. Büyük küçük riski azaltalım. VAR MIYIZ? https://t.co/Wy55bWL6pK</t>
  </si>
  <si>
    <t>1294978868143697920</t>
  </si>
  <si>
    <t>Dün, son 45 günün en yüksek vaka sayısını açıkladık. Bu sonucu bekliyorduk. Her birimiz, güç birliği içinde, salgınla sağlık ordumuzun birer üyesi gibi savaştığımızda aldığımız sonucu unutmayın. Tedbirlere karşı eli kolu bağlı virüs bizi yıldıramaz. Bu savaşta YİNE BERABER MİYİZ?</t>
  </si>
  <si>
    <t>1294877115972820992</t>
  </si>
  <si>
    <t>“Koronavirüsü 1 ay süren tedaviden sonra yendim. Ruhen çok yıpratıcı. Hissettiğim en güçlü duygu yalnızlıktı. İnsan güçsüz hissettiği anda sarılmaya ihtiyaç duyuyor. Kimse Covid’in yapayalnız yaşanan bir hastalık olduğunu unutmasın. Bir odanın içinde mücadele vermek zorundasın.” https://t.co/PUGxYGyigZ</t>
  </si>
  <si>
    <t>1294725789716447233</t>
  </si>
  <si>
    <t>ENTÜBASYON çoğumuzun vaka tablosundan öğrendiği bir terim; COVID-19 tedavisi gören ağır hastalara uygulanan işlem. Hasta için kolay değil ama solunum yoluna yerleştirilen tüp olmasa kendisini hayatta tutmaya yetecek oksijeni alamaz. Nefes alamamak çok zor. Entübasyon meşakkatli. https://t.co/HATDvLoh8x</t>
  </si>
  <si>
    <t>1294699106305282048</t>
  </si>
  <si>
    <t>SON 45 GÜNÜN en yüksek pozitif tanı -yeni hasta- sayısına ulaştık. Kritik göstergemiz olan Ağır Hasta sayısı, genellikle risk grubunda olup hastalığa yakalananlar ile artıyor. Yeni hasta sayısını, ağır hasta sayısını, can kayıplarını birlikte azaltalım. https://t.co/RVlhe7786O https://t.co/g4r2arEtJU</t>
  </si>
  <si>
    <t>1294691106609922053</t>
  </si>
  <si>
    <t>Virüs, DURUP DURURKEN YAYILMIYOR. Bana bir şey olmaz diyenlerle, benden başkasına zarar gelmez diyenlerin desteğiyle yayılıyor. Aramızdan bazıları ağır hasta oluyor. Ve birçoğumuzun yakını hayatını kaybediyor.</t>
  </si>
  <si>
    <t>1294684590741901312</t>
  </si>
  <si>
    <t>DÜNYA YORULDU. Sadece siz değil. Hayata sarılmaktan vazgeçmeyin. BİR GÜN, MUTLAKA salgının son günü olacak. İnsanlığın yaşadığı tüm salgınlar gibi bu salgın da son bulacak. Sosyal hayatınızı kontrollü yaşayın. COVID-19’la mücadele, hayat mücadelemizin vazgeçilmez parçası olsun.</t>
  </si>
  <si>
    <t>1294620724423000064</t>
  </si>
  <si>
    <t>AĞUSTOSUN tam ortası. Hafta sonu. Sıcaktan kaçmış biraz dinleniyorsak, baştan kabul edelim: Koronavirüsün olmadığı yerde ve eski günlerde değiliz. Aynı evde yaşamadığınız herkesle mesafeli olun. Civarda hiç yabancı yoksa maske çok şart değil. Kalabalık tatil? Marttan beri riskli. https://t.co/hP9eRJjtMR</t>
  </si>
  <si>
    <t>1294575560853794816</t>
  </si>
  <si>
    <t>https://t.co/LiSZtqQikV</t>
  </si>
  <si>
    <t>1294559685597593600</t>
  </si>
  <si>
    <t>https://t.co/IKCNLnTGYZ</t>
  </si>
  <si>
    <t>1294544650607505408</t>
  </si>
  <si>
    <t>Dünkü Yeni Hasta Sayısı: 1.226 
Ağır Hasta Sayısı: 656 
Ağır hastalara virüs, genellikle, hastalığı hafif veya belirtisiz yaşayanlardan geçiyor. Ağır hastaların neler yaşadığını, yaşamadan bilemezsiniz. Sıcak da olsa maskenizi takın, zorlansanız da mesafe kuralına uymaya çalışın.</t>
  </si>
  <si>
    <t>1294513029577678850</t>
  </si>
  <si>
    <t>Bugünlerde bütün mümkünleri düşünelim. https://t.co/4vOC0ca0pw</t>
  </si>
  <si>
    <t>1294375527332052992</t>
  </si>
  <si>
    <t>14 AĞUSTOS İL DEĞERLENDİRME TOPLANTILARI. 15 ilimizin sağlık müdürleriyle ayrı ayrı toplantı yaptık. Nedenleriyle vaka artışlarını, yeni tedbirleri, sahadaki ihtiyaçları ele aldık. Görüşmelerde değişmeyen konu, sizce ne olmuştur? Hastalar, hastalığa basit sebeplerle yakalanıyor. https://t.co/MdNz0usHOc</t>
  </si>
  <si>
    <t>1294359135266447369</t>
  </si>
  <si>
    <t>Çorum’da görev yapan hemşire arkadaşımız Fatma İçuz, dördü çocuk, beş kişinin can verdiği yangında, 4 yaşındaki kızı Elif ile 8 yaşındaki oğlu Yusuf’u kaybetti. Bu acıyı hafifletecek kelimeleri hiçbirimiz bulamayız. Sağlık çalışanları olarak acısını yüreğimizde hissediyoruz.</t>
  </si>
  <si>
    <t>1294345496040022018</t>
  </si>
  <si>
    <t>https://t.co/AEeyXpiyA1</t>
  </si>
  <si>
    <t>1294333160608673794</t>
  </si>
  <si>
    <t>En yüksek test sayısına ulaştık. AĞIR HASTA sayımız 656’ya yükseldi. Veriler, yaşı veya hastalığı sebebiyle risk grubunda olup, COVID-19’a yakalananların sayısında artış olduğunu gösteriyor. Dışarda risk alıp, eve taşımayın. 1 hasta, hasta bir AİLE demek. https://t.co/RVlhe7786O https://t.co/kgUN3jT4JN</t>
  </si>
  <si>
    <t>1294321529673719808</t>
  </si>
  <si>
    <t>ZOR OLAN, başta tedbir almak yerine, virüsle, hastalığa yakalandıktan sonra mücadele etmektir. Şu an, bunun ne kadar zor olduğunu yakından bilen 647 ağır hastamız var.</t>
  </si>
  <si>
    <t>1294299358519791619</t>
  </si>
  <si>
    <t>Virüsten kendimizi korumamız, zor değildir. Kuralları belli olduğu için, kolaydır. ZOR OLAN NEDİR? Birlikte düşünelim. Benim yanıtım, YARIM SAAT SONRA.</t>
  </si>
  <si>
    <t>1294291115361873922</t>
  </si>
  <si>
    <t>Çocuklarımız, gençlerimiz hayatlarından fedakârlık yapıyor. Bunu karşılıksız bırakmayın. Tedbirlere harfiyen uyun. 21 Eylülde, okullarda yüz yüze eğitime geçildiğinde, vakalar azalmış olsun. Onlara daha güvenli şartlar sunalım. Biz anne babalar, evlatlarımız kadar duyarlı olsak.. https://t.co/GdzP1NU42y</t>
  </si>
  <si>
    <t>1294235126587588608</t>
  </si>
  <si>
    <t>Çocuklarımız, gençlerimiz hayatlarından fedakârlık yapıyor. Bunu karşılıksız bırakmayın. Tedbirlere harfiyen uyun. 21 Eylülde, okullarda yüz yüze eğitime geçildiğinde, vakalar azalmış olsun. Onlara daha güvenli şartlar sunalım. Biz anne babalar, evlatlarımız kadar duyarlı olsak.. https://t.co/1FG40s1i1u</t>
  </si>
  <si>
    <t>1294235078680338434</t>
  </si>
  <si>
    <t>Çocuklarımız, gençlerimiz hayatlarından fedakârlık yapıyor. Bunu karşılıksız bırakmayın. Tedbirlere harfiyen uyun. 21 Eylülde, okullarda yüz yüze eğitime geçildiğinde, vakalar azalmış olsun. Onlara daha güvenli şartlar sunalım. Biz anne babalar, evlatlarımız kadar duyarlı olsak.. https://t.co/5TndOpTlzF</t>
  </si>
  <si>
    <t>1294175270530932736</t>
  </si>
  <si>
    <t>Çocuklarımız, gençlerimiz hayatlarından fedakârlık yapıyor. Bunu karşılıksız bırakmayın. Tedbirlere harfiyen uyun. 21 Eylülde, okullarda yüz yüze eğitime geçildiğinde, vakalar azalmış olsun. Onlara daha güvenli şartlar sunalım. Biz anne babalar, evlatlarımız kadar duyarlı olsak.. https://t.co/ohKkmDHyva</t>
  </si>
  <si>
    <t>1294175226322997249</t>
  </si>
  <si>
    <t>COVID-19 testi pozitif çıkan arkadaşına, geçmiş olsun ziyaretine giden var. Gitmemiş olsa, bugünkü yeni hasta sayısı 1.243 yerine 1.241 olacaktı. 1 kişiye de kendisi bulaştırmış. COVID-19’la mücadele etmek çok zor değil. Yeter ki kurallara uyalım.</t>
  </si>
  <si>
    <t>1293974598279745538</t>
  </si>
  <si>
    <t>Hasta sayımızdaki yükseliş süreklilik kazanmaya başladı. Ağır Hasta sayımızdaysa 15 artış var. 5.807 filyasyon ekibimiz temaslı taraması yapıyor. 6-13 Ağustos arasında yapılan temaslı taraması sayısı 349.003. Sağlık ordumuza, kurallara uyarak destek olun. https://t.co/RVlhe7786O https://t.co/iiPeUUAgUk</t>
  </si>
  <si>
    <t>1293955641938268170</t>
  </si>
  <si>
    <t>RT @RTErdogan: AK Parti 19. Kuruluş Yıl Dönümü #AkSevda19Yaşında</t>
  </si>
  <si>
    <t>1293940387497889793</t>
  </si>
  <si>
    <t>https://t.co/Pa26HqmVMT</t>
  </si>
  <si>
    <t>1293911215094116358</t>
  </si>
  <si>
    <t>SEVGİLİ ÇOCUKLAR VE GENÇLER. Okullar, önce uzaktan eğitimle açılacak. Yüz yüze eğitim, 21 Eylülde. Sebebi, Koronavirüs salgını. Bu virüs size de bulaşabiliyor. Sizden bir büyüğünüze geçtiğinde onun sağlığını bozuyor. Kurallara uyun. Uymayanları, okulumdan oluyorum diyerek uyarın. https://t.co/L2YphYz8PO</t>
  </si>
  <si>
    <t>1293820360325038080</t>
  </si>
  <si>
    <t>COVID-19 salgını tüm dünyada, her alanda hayatı etkiliyor. Sağlık, salgının en dramatik tarafı. Yorulduk. Ama vazgeçersek, korktuğumuz şeylerin başımıza gelebileceğini bilmeliyiz. Tarihteki tüm salgınlarda olduğu gibi, insanlık bu savaşı da kazanacak. Kazananlar arasında olalım. https://t.co/Zyu5CmCOuq</t>
  </si>
  <si>
    <t>1293647159611535361</t>
  </si>
  <si>
    <t>https://t.co/TXbwfZ8voL</t>
  </si>
  <si>
    <t>1293635327266041858</t>
  </si>
  <si>
    <t>2 MARTTAN İTİBAREN EN YÜKSEK test sayısına son 24 saatte ulaştık. Ağır hasta sayımızda 15 artış var. Hastalığın yayılımı, sabit ortamlarda, örneğin AİLE İÇİNDE HIZLI. Bir hasta, hastalığa yakalanmış bir aile demek. Her birimiz, hepimiz için tedbir alalım. https://t.co/RVlhe7786O https://t.co/53ppsmqYgk</t>
  </si>
  <si>
    <t>1293620653313134595</t>
  </si>
  <si>
    <t>https://t.co/jZimdpn5os</t>
  </si>
  <si>
    <t>1293588195540639744</t>
  </si>
  <si>
    <t>https://t.co/WdCcXU71bC</t>
  </si>
  <si>
    <t>1293548369009430528</t>
  </si>
  <si>
    <t>https://t.co/AAB2kpShkG</t>
  </si>
  <si>
    <t>1293458434164170752</t>
  </si>
  <si>
    <t>Ağrı Doğubayazıt Devlet Hastanesi’nde görev yapan bir çalışma arkadaşımız dün saldırıya uğradı. Saldırı, COVID-19 şüphesiyle teste gönderilen hastayla yakınına SOSYAL MESAFEYE UYMALARI UYARISI üzerine gerçekleşti. Sağlık çalışanları her türlü fedakârlığa hazır. Ama buna değil. https://t.co/ZjL2gsT4O7</t>
  </si>
  <si>
    <t>1293248266868580354</t>
  </si>
  <si>
    <t>Son 3 gündür HASTANEYE YATIŞLARDA %32 AZALMA var. Fakat sürecin en önemli göstergelerinden biri olan AĞIR HASTA SAYISINDA ARTIŞ devam ediyor. Son 3 gün içinde en yüksek sayıda hasta görülen ilk 5 ilimiz: İstanbul, Ankara, Konya, Diyarbakır, Şanlıurfa. https://t.co/RVlhe7786O https://t.co/lnIahORCZz</t>
  </si>
  <si>
    <t>1293234034953326596</t>
  </si>
  <si>
    <t>https://t.co/v29BsHbmtr</t>
  </si>
  <si>
    <t>1293186292730089474</t>
  </si>
  <si>
    <t>https://t.co/RYJk9o2kSd</t>
  </si>
  <si>
    <t>1293140088407367682</t>
  </si>
  <si>
    <t>https://t.co/dbYdruJaaC</t>
  </si>
  <si>
    <t>1293072276712284161</t>
  </si>
  <si>
    <t>https://t.co/IDHckYOHwq</t>
  </si>
  <si>
    <t>1292940253309874178</t>
  </si>
  <si>
    <t>https://t.co/pfL3TH4s4L</t>
  </si>
  <si>
    <t>1292923663231209478</t>
  </si>
  <si>
    <t>https://t.co/fV08OkP27B</t>
  </si>
  <si>
    <t>1292923046110597125</t>
  </si>
  <si>
    <t>https://t.co/hYcFfznaHx</t>
  </si>
  <si>
    <t>1292894977832427520</t>
  </si>
  <si>
    <t>https://t.co/bTV4ZSrUoq</t>
  </si>
  <si>
    <t>1292891428507574274</t>
  </si>
  <si>
    <t>Test sayımız salgın boyunca en yüksek olduğu seviyeye yakın. 60 yaş ve üzeri aktif hastaların toplam hasta içindeki oranı, ülke geneline bakıldığında, %20-25 aralığında seyrediyor. Gümüşhane ve Uşak, %35 ile bu açıdan en yüksek orana sahip. https://t.co/RVlhe7786O https://t.co/Z1buA9TtaW</t>
  </si>
  <si>
    <t>1292882465267253248</t>
  </si>
  <si>
    <t>https://t.co/yQvwEcQ6pE</t>
  </si>
  <si>
    <t>1292735954407567361</t>
  </si>
  <si>
    <t>Kocaeli Üniversitesi Sağlık Tesisleri ve Araştırma Merkezleri açılışını gerçekleştirdik. https://t.co/vYYFlq2VR0</t>
  </si>
  <si>
    <t>1292575396173697027</t>
  </si>
  <si>
    <t>Test sayımız, salgın boyunca en yüksek olduğu dünkü seviyenin biraz altında. Yakın zamanlarda vaka sayılarının en çok arttığı illerimizden Gaziantep'te, son bir hafta içinde, ortalama vaka sayıları %10 düştü. 25 İLİMİZDE son 2 gündür entübe hastamız yok. https://t.co/RVlhe7786O https://t.co/oF37jg0CvH</t>
  </si>
  <si>
    <t>1292519069309120514</t>
  </si>
  <si>
    <t>TEMASLI KİŞİLERİN POZİTİF VAKAYA DÖNÜŞME ORANLARI Mayıs ayına kıyasla Türkiye genelinde 1,3 KAT ARTTI. İller bazında artış örnekleri: Şanlıurfa 1,7, Ankara 1,6, Diyarbakır 1,4, Gaziantep 1,3 kat. Bu verilerden çıkarmanız gereken sonuç; maske, mesafe, temizlik uyarısıdır.</t>
  </si>
  <si>
    <t>1292490832763858946</t>
  </si>
  <si>
    <t>Turkey reached the highest daily test numbers with 63.842 tests yesterday during the pandemic. The number of new cases are below 1200. Pneumonia rate dropped within the patients. Number of hospitalized and discharged patients are very close to each other. https://t.co/siAG8asfuB</t>
  </si>
  <si>
    <t>1292453413993750530</t>
  </si>
  <si>
    <t>COVİD-19, viral enfeksiyondur. AKCİĞERLERDE, zatürre dediğimiz şiddetli iltihaplanma olur. İltihaplanma kana yeteri kadar oksijen taşınmasını ve karbondioksitin atılmasını önler. Bu sebeple NEFES ALMAK çok güçleşir. Covid-19 zor bir hastalıktır. Riske karşı tedbir alın. https://t.co/uNX2JNoIsy</t>
  </si>
  <si>
    <t>1292441706412089345</t>
  </si>
  <si>
    <t>BUGÜN PROFİLİNİZDEN SİZ DE BİR TEDBİR MESAJI VERİN. Salgına karşı maske, mesafe, temizlik kurallarını hatırlatan bir mesaj hazırlayıp, takipçilerinizle paylaşın. Bilip de uymayanlar için elden geldiğince etkili olsun.</t>
  </si>
  <si>
    <t>1292419981922238465</t>
  </si>
  <si>
    <t>Zatürre oranı tüm Türkiye’de düştü. Günlük test sayısında 64 bine çıktık. En yüksek sayı yaklaşık 58 bindi. Hastane doluluk oranlarımızda, yeni yatan ve taburcu olan hastaların yakın sayılarda olması sebebiyle değişiklik yok. İyi sonuç sıkı tedbire bağlı. https://t.co/RVlhe7786O https://t.co/JVZWpIZgjY</t>
  </si>
  <si>
    <t>1292160668007829504</t>
  </si>
  <si>
    <t>Tedbirden verdiğiniz tavizi hemen geri alın.</t>
  </si>
  <si>
    <t>1292120895436333059</t>
  </si>
  <si>
    <t>https://t.co/EYw0cxHQs1</t>
  </si>
  <si>
    <t>1292076757538021376</t>
  </si>
  <si>
    <t>https://t.co/EHMoWGk6NJ</t>
  </si>
  <si>
    <t>1292059124373639168</t>
  </si>
  <si>
    <t>Kuralcı olun. Kuralsızlık, ilk fırsatta hasta ediyor.</t>
  </si>
  <si>
    <t>1292007917554675713</t>
  </si>
  <si>
    <t>Maske, mesafe, temizlik. Kuralsız kazanılmış savaş var mı?</t>
  </si>
  <si>
    <t>1291985073105928193</t>
  </si>
  <si>
    <t>Bugünkü hayat mücadelesine virüsle mücadele dâhil.</t>
  </si>
  <si>
    <t>1291970076120354816</t>
  </si>
  <si>
    <t>Değerli hemşireler. 38 sağlık branşından arkadaşlarım. Sky News kanalının salgınla mücadeledeki başarımızı anlatan haberinden söz ederken, “Hekimlerimizle, sağlık sistemimizle gurur duyalım.” şeklindeki cümlem sebebiyle, bugün hakkımda özür dile kampanyası başlattığınız doğru mu? https://t.co/HfdatOMrzB</t>
  </si>
  <si>
    <t>1291824519552917508</t>
  </si>
  <si>
    <t>Kazakistan Cumhuriyeti Başbakan Yardımcısı Sn. Yerali Tugzhanov, Sağlık Bakanı Sn. Alexy Tsoy ile bakanlığımızı ziyaret etti. Kazakistan’a yaptığımız yardımlardan dolayı ülkemize teşekkür edilen görüşmede, COVID-19’a karşı mücadele, sağlık alanında işbirliği konuları ele alındı. https://t.co/KXiz3P9jsX</t>
  </si>
  <si>
    <t>1291817437835464709</t>
  </si>
  <si>
    <t>SAMSUN, SAKARYA, SİVAS VE KOCAELİ valileriyle İl Değerlendirme Toplantılarımızı yaptık. Dikkat çeken vaka artışlarını, ihtiyaçları ve gerekli tedbirleri değerlendirdik. Toplantılarda, İl Hıfzıssıhha Kurulu Başkanı Valilerle İl Sağlık Müdürlüklerinin eş güdümlü çalışması sağlandı. https://t.co/FBuI7FjmYi</t>
  </si>
  <si>
    <t>1291814498366619648</t>
  </si>
  <si>
    <t>https://t.co/GrnD12YZTY</t>
  </si>
  <si>
    <t>1291803328582750211</t>
  </si>
  <si>
    <t>Yeni hasta sayımızda artış devam ediyor. İyileşen hasta sayımız, dün olduğu gibi, yeni hasta sayısından az. Test sayımızsa giderek artıyor. Vaka sayılarını düşürmeyi başarana kadar, TEDBİRDE TEYAKKUZ halinde olmalıyız. İyi haber, sıkı tedbire bağlı. https://t.co/RVlhe7786O https://t.co/xW2cPkHFUs</t>
  </si>
  <si>
    <t>1291788494105382912</t>
  </si>
  <si>
    <t>Thank you Mr Director-General @DrTedros for your message. I urge all countries to wear a mask, practice social distancing and follow hygiene rules. My dear friend @hans_kluge, I know you are with us #WearAMask https://t.co/B3309dPfG2</t>
  </si>
  <si>
    <t>1291747982849843201</t>
  </si>
  <si>
    <t>Tepkiler, nadiren teklif içerir. Dünyanın yeni şartlarında, ağır sorumluluk altında olanlara saygı duymalı. Zor günlerin atlatılmasında mücadele arkadaşım #BeratAlbayrakınYanındayız</t>
  </si>
  <si>
    <t>1291746426653900801</t>
  </si>
  <si>
    <t>Bugün maske takmayan, yarın Covid-19’un gerçek yüzünü görebilir.</t>
  </si>
  <si>
    <t>1291660377709846529</t>
  </si>
  <si>
    <t>Bu devirde, yakın mesafe cana yakınlık değil. Ne olduğunu, akciğeri su toplayanlar keşke anlatabilse!</t>
  </si>
  <si>
    <t>1291645259307462659</t>
  </si>
  <si>
    <t>Hayatımızın yönetimini salgına mı bırakacağız, yoksa tedbirlerle salgını biz mi kontrol altına alacağız? Başarabiliriz. Tedbirde teyakkuz istiyoruz.</t>
  </si>
  <si>
    <t>1291631186427686912</t>
  </si>
  <si>
    <t>İngiltere'nin önde gelen TV kanallarından SKY NEWS, Türkiye'nin salgınla başarılı mücadelesini, yaptığı özel haberle gündeme taşıdı. Haberde; filyasyon ekiplerimizin hastalığın takibinde dedektif gibi çalıştığı, erken ve yoğun müdahalenin tedavide başarı getirdiği vurgulanıyor. https://t.co/IWQ4CBRqHp</t>
  </si>
  <si>
    <t>1291452758386782217</t>
  </si>
  <si>
    <t>Salgın boyunca, ülke olarak bazı başarılarımız anlatıldığında, kimileri bu başarılara “Türkün Türk’e karşı Türk propagandası!” dedi. Birazdan İngiliz’in İngiliz’e Türkiye propagandasını izleyeceksiniz. Hekimlerimizle, sağlık sistemimizle gurur duyalım.</t>
  </si>
  <si>
    <t>1291452520485867520</t>
  </si>
  <si>
    <t>Yeni hasta, vefat ve ağır hasta sayılarımız, zatürreli hasta oranımız; bazı farklarla dünkünden daha az. Fakat bu verilerden hiçbiri yarınki ya da bir hafta sonraki sonuçlar konusunda garanti sunmuyor. İYİ HABERLERE SADECE SIKI TEDBİRLER DAYANAK OLABİLİR. https://t.co/RVlhe7786O https://t.co/kjJSAPbTij</t>
  </si>
  <si>
    <t>1291425693486788609</t>
  </si>
  <si>
    <t>Contrary to false allegations, not a single city is overflowing with patients or a hospital full to capacity due to COVID-19 in Turkey. Please give credence only to official statements by the Ministry of Health.</t>
  </si>
  <si>
    <t>1291411390029352960</t>
  </si>
  <si>
    <t>KONYA Province: Ward bed occupancy rate is 48%, ICU occupancy is 76% and mechanical ventilator use is 42%. Allegations of 100% occupancy/use are 100% ill-intentioned. Pay no attention to those who underrate the disease and those who portray hospitals as desperate.</t>
  </si>
  <si>
    <t>1291410694651379713</t>
  </si>
  <si>
    <t>Aramızda dağlar yok. Mesafeyi ayarlayın. Hastalık, sadece kurallara uyanı uymayandan ayırıyor.</t>
  </si>
  <si>
    <t>1291395201135714310</t>
  </si>
  <si>
    <t>64 YAŞ VE ALTI iki kat tedbirli olmalı. Bir büyükleri, bir kendileri için.</t>
  </si>
  <si>
    <t>1291367668218462215</t>
  </si>
  <si>
    <t>https://t.co/ts3CmRwYUN</t>
  </si>
  <si>
    <t>1291330612490645504</t>
  </si>
  <si>
    <t>SORUMLU DAVRANMAYA davet ediyorum: Maske, mesafe, temizlik kuralına, genci yaşlısı, köylüsü kentlisi herkes uymalı. SORUMLULUK ALMAYA davet ediyorum: Salgının seyrine rağmen, COVID-19 riski abartılıyor diyenler, amacı sağlık olmayan telkinlerinden vazgeçmeli.</t>
  </si>
  <si>
    <t>1291314094981644288</t>
  </si>
  <si>
    <t>Toplantılarda, vaka durumunu ve tedbirleri değerlendirdik, SALGINA KARŞI PLANLAMA yaptık. İl hıfzıssıhha kurullarının başkanı valilerimizle il sağlık müdürlüklerimizin çalışmalarında eşgüdümü sağladık. İçişleri bakanımıza, valilerimize, sağlık personelimize teşekkür ederiz.</t>
  </si>
  <si>
    <t>1291274845171388416</t>
  </si>
  <si>
    <t>İL DEĞERLENDİRME TOPLANTILARINDA, İstanbul, Ankara, İzmir, Adana, Konya, Gaziantep, Kayseri, Malatya, Diyarbakır, Bursa, Erzurum, Şanlıurfa, Mardin, Batman valileri, il sağlık müdürleri, halk sağlığı başkanlarıyla, il bazında, 14 ayrı videokonferansta dün bir araya geldik. https://t.co/M64dxSiJzk</t>
  </si>
  <si>
    <t>1291274669287452674</t>
  </si>
  <si>
    <t>COVID-19 nedeniyle hastaneleri dolu bir ilimiz, hatta kapasitesi tamamen dolu hastanemiz yoktur. İddialar asılsızdır. Bu asılsız iddiaların sahipleri, hastaneler doluymuş gibi tedbir alsın. İddiaların topluma belki bu şekilde yararı olur.</t>
  </si>
  <si>
    <t>1291270092068663298</t>
  </si>
  <si>
    <t>KONYA: Servis yatağı doluluk oranımız %48, yoğun bakım doluluk oranımız %76, ventilatör doluluk oranımız %42. Yüzde yüz doluluk iddiaları, yüzde yüze varan bir kasıt taşımaktadır. Hastalığı önemsiz gösterenlerle hastaneleri çaresiz gösterenlerin iddialarını dikkate almayın.</t>
  </si>
  <si>
    <t>1291072786786549760</t>
  </si>
  <si>
    <t>COVID-19’a karşı kenetlenin: Aranıza mesafe koyun!</t>
  </si>
  <si>
    <t>1291065459194896384</t>
  </si>
  <si>
    <t>Yeni hasta sayımız, dün önceki güne göre 88, bugünse düne göre 95 arttı. Son 24 saatteki test sayımız yaklaşık 54.000. Toplam test sayısı 5 Milyonu geçti. Bayram ve tatildeki riskin yeni sonuçlara yol açmasını önlemeliyiz. Tedbirde birliğe ihtiyacımız var. https://t.co/RVlhe7786O https://t.co/7k9FXbUvUC</t>
  </si>
  <si>
    <t>1291059427148288000</t>
  </si>
  <si>
    <t>Beyrut’taki patlama nedeniyle LÜBNAN SAĞLIK BAKANI Dr. Hamad Hasan’la telefon görüşmesi yaptık. AFAD koordinasyonunda Lübnan’a tıbbi ve insani yardım göndereceğimizi, yaralıların tedavisi içinse 20 kişilik uzman hekim ekibimizin bugün Lübnan’a hareket edeceğini belirttik.</t>
  </si>
  <si>
    <t>1291056575491252224</t>
  </si>
  <si>
    <t>Tatilde ve bayramda herkesle iç içe olanlar 1,5 m geri çekilsin.</t>
  </si>
  <si>
    <t>1291007820855496704</t>
  </si>
  <si>
    <t>KONYA ŞEHİR HASTANEMİZ HASTA KABULÜNE başladı. COVID-19 DIŞI hastalıkların tedavisiyle ilgilenecek, yatak ve hasta yoğunluğu açısından Konya’daki diğer hastanelerin yükünü azaltacak olan hastane 838 YATAKLI İLK ETABINDA tüm branşlarda hasta kabulüne tamamen ay sonunda başlayacak. https://t.co/QKhHdplwH4</t>
  </si>
  <si>
    <t>1291005237831049217</t>
  </si>
  <si>
    <t>COVID-19’la mücadeleyi hastalığa yakalanmış olanlara bırakmayın. Tedbir alın.</t>
  </si>
  <si>
    <t>1290982931670990849</t>
  </si>
  <si>
    <t>https://t.co/BnJ6lcrsnz</t>
  </si>
  <si>
    <t>1290877740724424704</t>
  </si>
  <si>
    <t>Her adımda risk mesafesini ayarlayın.</t>
  </si>
  <si>
    <t>1290875212389638145</t>
  </si>
  <si>
    <t>Kolaya kaçarsak, zoru birlikte yaşarız. Tedbir alın.</t>
  </si>
  <si>
    <t>1290722044443860993</t>
  </si>
  <si>
    <t>YENİ HASTA SAYISINDAKİ YÜKSELME CİDDİ. İki gün arasındaki fark, yakın zamanda ilk kez bu kadar belirgin. Bayram ve tatildeki temas ortamının ağır sonuçlara yol açmasını önlemeliyiz. Hepimiz birbirimize karşı sorumluyuz. Tedbirde birliğe ihtiyacımız var. https://t.co/RVlhe7786O https://t.co/dVaRRl90gd</t>
  </si>
  <si>
    <t>1290699635003133953</t>
  </si>
  <si>
    <t>Bayram kutlamalarında, tatil yerlerinde, salgın faktörü ne yazık ki yeterince dikkate alınmadı. Daha önce, bazı illerle sınırlı olan vaka artışlarının önümüzdeki günlerde ülke geneline yayılmasından ENDİŞE duyuyoruz. TEDBİRDE GÜÇ BİRLİĞİNE ihtiyacımız var. https://t.co/RVlhe7786O https://t.co/81cFF287AN</t>
  </si>
  <si>
    <t>1290323469788487681</t>
  </si>
  <si>
    <t>Son 3 günde yeni hasta sayılarımızın arttığı illerde zatürre oranı aynı kaldı. Ülke genelinde ağır hasta sayımız kontrol altında görünüyor. KURBAN BAYRAMI VE TATİLDE TEDBİR EKSİKLİĞİ ise önümüzdeki günlerde ortaya çıkacak sonuçları açısından kaygı verici. https://t.co/RVlhe7oIYm https://t.co/kosHdNAVdL</t>
  </si>
  <si>
    <t>1289961424077299715</t>
  </si>
  <si>
    <t>https://t.co/pQl3wYpLbM</t>
  </si>
  <si>
    <t>1289924785514991618</t>
  </si>
  <si>
    <t>https://t.co/QyyvwnvMmK</t>
  </si>
  <si>
    <t>1289916569145888769</t>
  </si>
  <si>
    <t>https://t.co/j1nfEgEdAw</t>
  </si>
  <si>
    <t>1289916521234358272</t>
  </si>
  <si>
    <t>https://t.co/5AiAAWtzPc</t>
  </si>
  <si>
    <t>1289916489290530819</t>
  </si>
  <si>
    <t>Birinci dalga sahillere indi. Tatilde dikkatli olalım.</t>
  </si>
  <si>
    <t>1289869195061198854</t>
  </si>
  <si>
    <t>Bayramın ikinci gününde tüm şehirlerimizin İL SAĞLIK MÜDÜRLERİYLE video konferansta bir araya geldik. Salgınla ilgili yeni gelişmeleri, yapılan çalışmaları, COVID-19’un seyrini ele aldık. İl Sağlık Müdürlerimizle bir önceki video konferansımızı 29 Temmuzda gerçekleştirmiştik. https://t.co/mtH1LyZ758</t>
  </si>
  <si>
    <t>1289632224048898049</t>
  </si>
  <si>
    <t>Başakşehir ÇAM VE SAKURA Şehir Hastanesinde hastalarımızı ve sağlık personelimizi ziyaret edip, bayramlaştık. Türkiye'de bir ilk olma özelliğine sahip 1.2 TESLA AÇIK MR CİHAZI ile klostrofobisi olan veya obezitesi nedeniyle çekim yapılamayan hastalarımıza burada hizmet veriyoruz. https://t.co/53pe5ShW44</t>
  </si>
  <si>
    <t>1289625081480540160</t>
  </si>
  <si>
    <t>Tedbire ihtiyaç var: Günlük yeni hasta sayımız 1.000 sınırında. Bu sayının altına inmek için 33 gün süren bir çabamız olmuştu. Yeni hasta sayılarının artış eğiliminde olduğu iller: Ankara, Mardin, Diyarbakır, Gaziantep, Konya. 36 ilimizde ise 3 gündür yeni ağır hastamız olmadı. https://t.co/ffG1CU6Zps</t>
  </si>
  <si>
    <t>1289618505483137029</t>
  </si>
  <si>
    <t>https://t.co/RhJyFStDd8</t>
  </si>
  <si>
    <t>1289586615438934016</t>
  </si>
  <si>
    <t>Son üç günde ağır hasta sayısı en çok artan şehirler: İstanbul, Ankara, Konya, Gaziantep, Diyarbakır. 27 şehirde ise son üç günde yeni ağır hastamız olmadı. Zatürreli hasta oranımızda düşüş, yeni tanı konan hasta sayımızda artış eğilimi var. https://t.co/RVlhe7oIYm https://t.co/80ViZxAtTF</t>
  </si>
  <si>
    <t>1289252342240436224</t>
  </si>
  <si>
    <t>El öptürmeyelim, el öpmeyelim. Büyük küçük, elimizden geleni yapalım.</t>
  </si>
  <si>
    <t>1289157273818783745</t>
  </si>
  <si>
    <t>https://t.co/B36iearZZu</t>
  </si>
  <si>
    <t>1289130838660206592</t>
  </si>
  <si>
    <t>Ülkemize ve insanlığa hayırlar getirmesini, kardeşlik duygularımızı güçlendirmesini dilediğimiz Kurban Bayramımız mübarek olsun. Önümüzdeki günlerin huzurlu ve sağlıklı olması için salgın hastalığa karşı alınması gereken tedbirleri alalım. Bayramı izleyen günlerimiz de iyi olsun.</t>
  </si>
  <si>
    <t>1289078132658577408</t>
  </si>
  <si>
    <t>Salgınla mücadele sırasında hizmete açtığımız, halen Pandemi hastanesi olarak hizmet veren PROF. DR. MURAT DİLMENER Acil Durum Hastanesi ile PROF. DR. FERİHA ÖZ Acil Durum Hastanesini ziyaret ettik. Hastalarımız hakkında bilgi aldık. Bu vesile ile iki hocamızı saygıyla anıyorum. https://t.co/HK0SSsRuu6</t>
  </si>
  <si>
    <t>1288898174766194688</t>
  </si>
  <si>
    <t>Dün 542 olan ağır hasta sayımız 561’E YÜKSELDİ. Son 24 saat içinde yapılan 43.000’i aşkın testte 967 kişide daha hastalığa rastlandı. Bir süre 900’e doğru inen yeni hastamız giderek artıyor. İyileşen hasta sayımızla yeni hasta sayımız birbirine yakın. https://t.co/RVlhe7786O https://t.co/5K9WiXiN6Z</t>
  </si>
  <si>
    <t>1288889992094375942</t>
  </si>
  <si>
    <t>Kurban Bayramına yönelik tedbir hazırlıklarını değerlendirmek üzere, 81 İLİN SAĞLIK MÜDÜRÜYLE VİDEO KONFERANS görüşmesi yaptık. Planlama ve ihtiyaçların tamamlanmasını ele aldık. İl Hıfzıssıhha Kurullarının gerekirse radikal tedbirler almaya yetkili olduğunu hatırlattık. https://t.co/lcm7Ugw3n3</t>
  </si>
  <si>
    <t>1288820914931609600</t>
  </si>
  <si>
    <t>Bu bayramın gösterdiği önemi unutmayalım. Maske, mesafe, temizlik kuralından ödün vermeyelim. Eski bayramlara dönebilmek için beraber özveride bulunalım. Bayramınızı şimdiden kutluyorum. Hatırlatmalarımız bayramda da devam edecek. BAYRAMDAN SONRA SİZDEN iyi haberler bekliyoruz. https://t.co/EEP2xwhLCg</t>
  </si>
  <si>
    <t>1288772430970916864</t>
  </si>
  <si>
    <t>TÜİK ile birlikte yaptığımız SAHA ARAŞTIRMASI bitti. Tesadüfi testlerde, COVID-19 pozitiflik oranı 10 binde 26’dır. Yani her 10 bin kişide 26 kişi, pozitif olarak aramızda dolaşıyor. Belirtisi yok. Olmuş olsa hastalık şikâyetiyle müracaat eder. Bağışıklık oranı ise binde 8’dir. https://t.co/BnK6pRdvh8</t>
  </si>
  <si>
    <t>1288767176057462785</t>
  </si>
  <si>
    <t>Halk Sağlığı’ndaki laboratuvarımız, uluslararası bir referans laboratuvarıdır. Avrupa’da ECDC EVC LAB ağına üye 70 laboratuvardan biridir. ECDC EVC LAB ağı, üyesi olan laboratuvarlarda denetim yapar. 15 Haziranda yapılan denetime göre KİTLERİN DOĞRU SONUÇ VERME ORANI %91,66’dır. https://t.co/twuHauFuqx</t>
  </si>
  <si>
    <t>1288585420008312832</t>
  </si>
  <si>
    <t>ALTINI ÇİZİYORUM: İlk günlerde Çin’den 8,75 Dolara aldığımız kit dışında, bugüne kadar 9,8 Liranın üzerinde fiyata kit alınmamıştır. 9,8 Lira ve altında kim veriyorsa Bakanlık almaya hazırdır. Küresel firmaların Türkiye uzantıları üzerinden neler yapılmak istendiği iyi biliniyor. https://t.co/LvXaZr3VHo</t>
  </si>
  <si>
    <t>1288576191729999881</t>
  </si>
  <si>
    <t>KURBAN BAYRAMINDA uymamız gerekenleri 3 grupta topluyoruz. İlk gruptaki tedbirler, kurbanlık alımı ve kurban kesimi, ikinci gruptakiler Bayram ve Cuma namazı, üçüncü gruptakiler bayramın nasıl geçirileceği ile ilgilidir. 5 DAKİKALIK VİDEODA HEPSİ MADDELER HALİNDE SIRALANMIŞTIR. https://t.co/YdnT0kCeP7</t>
  </si>
  <si>
    <t>1288566261736185856</t>
  </si>
  <si>
    <t>Ramazan Bayramı, tedbirlerin çok sıkı tutulduğu zamanda ve buruk geçmişti. Kısıtlamaların olduğu günlerden bu yana değişen şeyler var. Tedbirlerle sonuçlar arasındaki ilişkiyi günlük hayattan öğrendik. BU BAYRAMI mevcut şartlarda, ruhuna yakın şekilde yaşamanın yolunu biliyoruz. https://t.co/jp8bxB2eIY</t>
  </si>
  <si>
    <t>1288563695283515392</t>
  </si>
  <si>
    <t>Türkiye Günlük Koronavirüs Tablosunda, bundan sonra, salgın boyunca oluşan uluslararası standarda uygun olarak, Ağır Hasta sayısı da verilecek. Yeni ve toplam hasta sayısına ek olarak, seyir hakkında detaylı bilgi sunması için Zatürre Oranı gösterilecek. https://t.co/RVlhe7786O https://t.co/mmEx47AmNJ</t>
  </si>
  <si>
    <t>1288510181253545984</t>
  </si>
  <si>
    <t>Bilim Kurulu Toplantımızın ardından Koronavirüs ile ilgili son gelişmeler ve aldığımız yeni tedbirlere ilişkin basın açıklamamız.
📍SAĞLIK BAKANLIĞI BİLKENT YERLEŞKESİ / ANKARA
https://t.co/zUn00VmGT6</t>
  </si>
  <si>
    <t>1288476052717797376</t>
  </si>
  <si>
    <t>İçişleri Bakanımız Sn. Süleyman Soylu ile bugün yaptığımız kapsamlı görüşmede, salgında mevcut durumu, dünyada ve ülkemizdeki seyri değerlendirip, tedbirleri ele aldık. Bakanlıklarımız arası koordinasyonu, KURBAN BAYRAMINDA gerekli uygulamaları gözden geçirdik. https://t.co/VaxeqdaVpD</t>
  </si>
  <si>
    <t>1288171506925817858</t>
  </si>
  <si>
    <t>Test sayımız, temaslı taraması sonucu, iki gün içinde 47.500 seviyesine çıktı. Yeni vaka sayımızda düne kıyasla 64 artış var. Son 24 saat içindeki vefat sayımız, 30 GÜN SONRA İLK KEZ 15 olarak gerçekleşti. Yeni iyileşen hasta sayımızda düne göre artış var. https://t.co/RVlhe7786O https://t.co/1kxyWVejsQ</t>
  </si>
  <si>
    <t>1288166423085428737</t>
  </si>
  <si>
    <t>Mut-Karaman yolunda, 4 askerimizin şehit olduğu, 2 sivilin hayatını kaybettiği elim kazada 6’sı ağır, toplam 27 yaralımızın tedavileri Mersin Üniversitesi, Mersin Şehir Hastanesi, Silifke Devlet Hastanesi ve Mut Devlet Hastanesinde devam etmektedir. Milletimizin başı sağ olsun.</t>
  </si>
  <si>
    <t>1287824293884305410</t>
  </si>
  <si>
    <t>Test sayısı 45.000’in üstünde. Son 3 gün yoğun bakım sayısı oransal olarak en çok artan iller: İstanbul, Ankara, Konya, Gaziantep, Diyarbakır. En az artan iller: Sivas, Isparta, Muğla, Balıkesir, Bayburt. 21 ilimizde son 3 gün yoğun bakım hastamız olmadı. https://t.co/RVlhe7786O https://t.co/IirUsD1uqH</t>
  </si>
  <si>
    <t>1287799276194734080</t>
  </si>
  <si>
    <t>Yeni vaka sayımız, son günlerdeki ortalamasında. İyileşen hasta sayımızla yeni vaka sayımız arasındaki fark düne yakın. Yoğun bakım, entübe ve riskli gruptaki hasta sayımız yaklaşık aynı düzeyde seyrettiği için vefat sayıları birbirine yakın gerçekleşiyor. https://t.co/RVlhe7786O https://t.co/QNgqL6r82s</t>
  </si>
  <si>
    <t>1287439450465763330</t>
  </si>
  <si>
    <t>Yenilenen, kapasitesi büyütülen GÖZTEPE Eğitim ve Araştırma Hastanemizde SON HAZIRLIKLARI inceledik. Yapısı deprem izolatörleri ile dayanıklı hale getirilmiş, yüksek teknolojiye sahip hastanemizin birinci etabı, 758 yatağı, 27 ameliyathanesiyle YAKINDA hizmete girecek. https://t.co/N7lMDCXlEg</t>
  </si>
  <si>
    <t>1287075404973572097</t>
  </si>
  <si>
    <t>Son 1 haftada PNÖMONİLİ hasta sayısı ORANI en çok azalan illerimiz: Artvin, Muş, Denizli, Düzce, Erzurum. En çok artan illerimiz: Isparta, Kocaeli, Mardin, Karaman. Sebebi ne olursan olsun, başkalarının ihmali, tedbirlerin terkine gerekçe kabul edilmemeli. https://t.co/RVlhe7786O https://t.co/tc4p7wA4Nr</t>
  </si>
  <si>
    <t>1287070958029811712</t>
  </si>
  <si>
    <t>HAYDARPAŞA Numune Eğitim ve Araştırma Hastanesiyle DR. SİYAMİ ERSEK Göğüs Kalp ve Damar Cerrahisi Eğitim ve Araştırma Hastanesi’nin YENİLEME PROJELERİ konulu toplantımızı gerçekleştirdik. İki hastanenin bir araya getirileceği sağlık kompleksi hakkında değerlendirmelerde bulunduk. https://t.co/YX7OV5BwqI</t>
  </si>
  <si>
    <t>1287068877734776835</t>
  </si>
  <si>
    <t>Toplam test sayımız 4,5 Milyona yaklaştı. İyileşen hasta sayımızla yeni vaka sayımız arasındaki fark, DÜNE KIYASLA AZALDI. Yoğun bakım ve entübe hasta sayımız; erken tanı, yaş, kronik hastalık ve benzeri durumlara bağlı olarak düşüş ve yükseliş gösteriyor. https://t.co/RVlhe7786O https://t.co/ErSgZL9Xey</t>
  </si>
  <si>
    <t>1286693392974524418</t>
  </si>
  <si>
    <t>Önce tedbir, sonra tekbir. Hayırlı Cumalar.</t>
  </si>
  <si>
    <t>1286575870682030080</t>
  </si>
  <si>
    <t>VAKALARIN %46’sının tespit edildiği İstanbul'da bakanlığımızca yapılan tarama çalışmasında, rastgele test edilen her 1.000 kişiden 2,9’unda test sonucu pozitif çıkmıştır. Bu oran, Türkiye genelinden %13,8 yüksektir. Hepimizin iyiliği için dikkatli olalım. Hayat riske yenilmesin.</t>
  </si>
  <si>
    <t>1286569419838312449</t>
  </si>
  <si>
    <t>SALGIN BOYUNCA toplam vaka sayısı 223.315’tir. Vakaların %46'sı İstanbul'da tespit edilmiştir. COVID-19 kaynaklı vefatlarınsa %50,2’si yine İstanbul’da olmuştur. Hepimizin iyiliği için dikkatli olalım. Hayat riske yenilmesin.</t>
  </si>
  <si>
    <t>1286567361756233728</t>
  </si>
  <si>
    <t>TÜRKİYE GENELİNDE, bakanlığımız tarafından yaklaşık 150.000 kişiyle yapılan COVID-19 tarama çalışmasında, rastgele test edilen her 1.000 kişiden 2,5’inde test sonucu pozitif çıkmıştır. Hepimizin iyiliği için dikkatli olalım. Hayat riske yenilmesin.</t>
  </si>
  <si>
    <t>1286563923932610561</t>
  </si>
  <si>
    <t>Ayasofya’da kılınacak Cuma namazında, tarihi anı yaşama heyecanıyla, halkımızın tedbirleri terk etmeyeceğini umuyoruz. Şu ana kadar ulaşılan bilgiler salgın boyunca en büyük kalabalığın Ayasofya’nın ibadete açılışı sırasında oluşacağını gösteriyor. Tedbirli cumaları örnek alalım. https://t.co/NtuJmV07Mt</t>
  </si>
  <si>
    <t>1286398859229507584</t>
  </si>
  <si>
    <t>İyileşen sayımız vaka sayısından 238 fazla. 1 Hazirandan bugüne COVID-19 sebebiyle kaybettiğimiz 1.043 hasta içinde 65 yaşından küçük olanların sayısı 136. Son 3 gün vaka sayısı en çok artan iller: Ankara, Konya, Şanlıurfa, Batman, Adana, Kayseri, Erzurum. https://t.co/RVlhe7786O https://t.co/6Ho4gsUu2U</t>
  </si>
  <si>
    <t>1286345386387537920</t>
  </si>
  <si>
    <t>Yakın günlerde ilk kez, iyileşen hasta sayımız vaka sayısından 300 fazla. Yeni vaka sayısı, 44 gün sonra 900 sınırında. Pek çok kentimizde maske yaygınlaştı; hayat, umut verici bir düzene giriyor. Vaka sayılarında ağırlığı olan illerden de özen bekliyoruz. https://t.co/RVlhe7786O https://t.co/315lDYcSUk</t>
  </si>
  <si>
    <t>1285982240850292744</t>
  </si>
  <si>
    <t>https://t.co/08hsbXL9uv linkine günlük vaka tablosu mesajında düzenli olarak yer verdik. Salgının seyrini gösteren ayrıntılı grafiği; günlük ve haftalık durum raporlarını içeren sayfamız 270 MİLYON KEZ ziyaret edildi. Doğru bilgi için her zaman bekleriz: https://t.co/RVlhe7786O</t>
  </si>
  <si>
    <t>1285967279948267525</t>
  </si>
  <si>
    <t>Son üç gündür 71 ilimizde pnömonili vaka sayıları azaldı, 21 ilimizde yoğun bakım hastası yok. Hastalığın ülkemizdeki seyrinin gösterildiği detaylı grafik, günlük ve haftalık COVID-19 durum raporları ve diğer önemli bilgiler için linkimiz: https://t.co/RVlhe7786O https://t.co/Q4yg4zCxN8</t>
  </si>
  <si>
    <t>1285633067403694080</t>
  </si>
  <si>
    <t>RT @RTErdogan: Cumhurbaşkanlığı Hükümet Sistemi 🇹🇷 | SAĞLIK 🩺
#ReformİcraatDeğişim https://t.co/dBiAWZmJBZ</t>
  </si>
  <si>
    <t>1285552642979135488</t>
  </si>
  <si>
    <t>RT @RTErdogan: Cumhurbaşkanlığı Hükümet Kabinesi İki Yıllık Değerlendirme Toplantısı https://t.co/9OhwkWROE0</t>
  </si>
  <si>
    <t>1285537181772263424</t>
  </si>
  <si>
    <t>COVID-19’la mücadeleyi hastalığa yakalanmış olanlara bırakmayalım. Bu konuda, yanlış yere ısrar etmeyelim. Dünyanın şu ana kadarki tecrübesine göre, salgın; sosyal sınıf, sosyal statü, zengin yoksul, köşe yazarı, gazete okuru, amir, memur, halk, mevki sahibi ayrımı yapmıyor.</t>
  </si>
  <si>
    <t>1285499699529744387</t>
  </si>
  <si>
    <t>Kıbrıs Barış Harekatı’nın 46. yıl dönümünde aziz şehitlerimizi rahmet ve minnetle, gazilerimizi şükranla anıyoruz.</t>
  </si>
  <si>
    <t>1285324534711754755</t>
  </si>
  <si>
    <t>Vakaların en çok görüldüğü illerden DİYARBAKIR'DA iki gün önce yapılan düğünde, 70 kişinin kol kola ve maskesiz halay çektiği öğrenildi. TRABZON'DA ise gelin dâhil, bir kına gecesine katılan 35 kişi karantinaya alındı; düğün ertelendi. Düğünleri hastalık, yoğun bakım izlemesin.</t>
  </si>
  <si>
    <t>1285278874587332612</t>
  </si>
  <si>
    <t>SON ÜÇ GÜNDÜR ortalama günlük vaka sayısı EN YÜKSEK beş ilimiz: İstanbul, Ankara, Gaziantep, Şanlıurfa, Bursa. EN DÜŞÜK 5 ilimiz: Artvin, Bilecik, Tunceli, Edirne, Bayburt. Tunceli, Nevşehir, Kastamonu, Artvin ve Aksaray'daysa şu an pnömonili hastamız yok. https://t.co/RVlhe7786O https://t.co/4JfZKl9L8x</t>
  </si>
  <si>
    <t>1285263476311687171</t>
  </si>
  <si>
    <t>SÜPER LİG’DE kalma başarısını gösteren Konyaspor’u ve Süper Lig’de şampiyonluğu garantileyen Başakşehirspor’u kutluyoruz. İki kulübün de taraftarından KUTLAMALARIN toplum sağlığını gözetir tarzda olmasını bekliyoruz. COVID-19 şartlarında taraftarlık da biraz değişmeli.</t>
  </si>
  <si>
    <t>1284948389684183041</t>
  </si>
  <si>
    <t>İstanbul’da oynanan Başakşehirspor- Kayserispor, Trabzon’da oynanan Trabzonspor- Konyaspor maçlarında, taraftarı maç sonunda salgın tedbirlerine uymaya davet ediyoruz. COVID-19 günlerinde centilmenlik kurallarına maske, mesafe ve toplum sağlığı da eklendi. İyi seyirler.</t>
  </si>
  <si>
    <t>1284925790417805313</t>
  </si>
  <si>
    <t>Her gün 1000’e yakın hastamız şifa buluyor, 1000'e yakın yeni vakamız oluyor. Yeni vakaları durdurabilirsek aktif vaka sayısı hızla azalmış olacak. Hedefimiz; iyileşen sayısında artış, yeni vaka sayılarında düşüş. İyi haberler, alacağımız tedbirlere bağlı. https://t.co/RVlhe7786O https://t.co/VPrueGzsWC</t>
  </si>
  <si>
    <t>1284897407378104321</t>
  </si>
  <si>
    <t>Erzurumspor- Koronavirüs karşılaşması başladı. Taraftarı, kalabalık olay yerinden centilmence çekilmeye davet ediyorum. Şehirde vaka sayıları kontrol altında kalsın. https://t.co/FNZAxKxKmr</t>
  </si>
  <si>
    <t>1284549815695745024</t>
  </si>
  <si>
    <t>RT @RTErdogan: Bugün TOGG Mühendislik, Tasarım ve Üretim Merkezi'nin yapımına başlayarak 60 yıllık hayalimizi gerçeğe dönüştürme yolunda ta…</t>
  </si>
  <si>
    <t>1284548401376501771</t>
  </si>
  <si>
    <t>1.000’in üstünde gerçekleştiği en son güne kıyasla, yeni vaka sayımız, bugün 90 azaldı. SON 3 GÜNDE en çok vaka görülen beş ilimiz: İstanbul, Ankara, Gaziantep, Konya, Diyarbakır. En az vaka görülen beş ilimiz: Artvin, Tunceli, Bayburt, Kırklareli, Bartın. https://t.co/RVlhe7786O https://t.co/ReifcmNCkw</t>
  </si>
  <si>
    <t>1284535494349594625</t>
  </si>
  <si>
    <t>SÜPER LİGE ÇIKAN ERZURUMSPOR’U kutluyoruz. Erzurumspor camiasının bu başarıyı, SALGIN KOŞULLARINI DİKKATE ALARAK kutlayacağına inanıyoruz. Şehirde COVID-19 vaka sayıları kontrol altında. Tedbirsiz kutlamalarla bu başarıya gölge düşürmeyelim.</t>
  </si>
  <si>
    <t>1284528359414927360</t>
  </si>
  <si>
    <t>SURVIVOR 2020 FİNAL programında, COVID-19 tedbirlerine uyulmaması tepkilere yol açtı. Tepkiler haklı. Düğün yeri, pazar yeri, dolmuş yeri uyarılarına show amaçlı ortamlar çok daha fazla dâhil. Tedbirlere uymayan hayranlarla ünlüler, gözden biraz izole olmalı. https://t.co/ebTZlcsLSQ</t>
  </si>
  <si>
    <t>1284210826606456832</t>
  </si>
  <si>
    <t>Yoğun bakım ve entübe hasta sayımızda, devam eden tedavilere bağlı artış var. Son 35 gün içinde, en düşük vefat sayımız 13 Haziran’da, 14 olarak gerçekleşmişti. Temaslı taraması, erken tanı ve tedavi şansıyla vefat sayılarını daha da azaltmaya çalışıyoruz. https://t.co/RVlhe7786O https://t.co/9vqibmlH4v</t>
  </si>
  <si>
    <t>1284179201122336769</t>
  </si>
  <si>
    <t>HAVUZ VE PLAJLARDA DAMLACIK OLAYI: Koronavirüs, damlacıklarla bulaşır. Riskli damlacık sayısı, havuz ve plajlarda da tıpkı diğer ortamlardaki gibi, insan yoğunluğuna bağlı şekilde artar. Tedbirler, üçüncü şahıslı tüm yerlerde geçerlidir. Kurallara uyulursa tatilin kalitesi artar.</t>
  </si>
  <si>
    <t>1284113097901449216</t>
  </si>
  <si>
    <t>Van’da yaşanan keşif uçağı kazasında şehit olan Komiser Yardımcısı Samet Üstüner ve Polis Memuru Mustafa Keskin’i son yolculuğuna uğurladık. Aynı kazadaki diğer beş şehidimize de Allah’tan rahmet ve yakınlarına başsağlığı diliyorum. https://t.co/l8R1kvbwxe</t>
  </si>
  <si>
    <t>1284105537576226817</t>
  </si>
  <si>
    <t>Tatil planları sloganı: Kum gibi kalabalıktan uzakta!</t>
  </si>
  <si>
    <t>1284096987831435269</t>
  </si>
  <si>
    <t>RİSK ANALİSTLERİ ARANIYOR: Hangi saatte otobüs daha az kalabalık? Girip çıkanı en az kuaför hangisi? Az pahalı hediye göndermek mi yoksa düğüne gitmek mi riskli? Çalışma saatlerini yeniden düzenlesek sadece sağlığa mı yatırım olur? COVID-19’A KARŞI birer risk analisti olmalıyız.</t>
  </si>
  <si>
    <t>1284051000630943744</t>
  </si>
  <si>
    <t>YOĞUN BAKIMDAKİ 3 HASTAMIZLA KONUŞTUM. Tedavileri iyi sonuç veriyor. Tedbirlere uymanız konusunda ısrarcılar. Birbirimizi koruyarak başarılı bir gün geçirelim. İyi çalışmalar.</t>
  </si>
  <si>
    <t>1284032225634398208</t>
  </si>
  <si>
    <t>Daha çok test, daha çok vaka saptar. Test sayısıyla yeni vaka sayısı arasındaki ilişki ise bire bir değildir. 15 Haziranda 1.592 vaka sayısına ulaştığımız gün de test sayımız 42.000 idi. Test sayısı ihtiyaca göre değişmektedir. Sonucu belirleyen tedbirdir. https://t.co/RVlhe7786O https://t.co/Vp6rvd6RmK</t>
  </si>
  <si>
    <t>1283810646656770048</t>
  </si>
  <si>
    <t>Hazır bir araya gelmişken hemen dağılalım.</t>
  </si>
  <si>
    <t>1283760130329317381</t>
  </si>
  <si>
    <t>İŞ YERİNDE BİZ BİZEYİZ TEORİSİ. Bu teori, “bilimsel” olarak yanlıştır. İş yerinde biz bize değiliz. Sayısız insanla teması olan kişiler olarak birlikteyiz. Mesafeyi karşılıklı koruyalım. Maskeyi, tek başına kalmadıkça indirmeyelim.</t>
  </si>
  <si>
    <t>1283745525402079232</t>
  </si>
  <si>
    <t>EMNİYETİMİZE BAĞLI BİR KEŞİF UÇAĞI, dün gece, Van-Hakkari görev uçuşu sırasında Artos dağına çarparak düştü. 7 ŞEHİDİMİZ VAR. Olay yerine görevlendirilen 3 UMKE Ekibimizle 112 Acil Ambulanslarımızın sonuca müdahale etme şansı maalesef olmadı. Milletimize başsağlığı diliyorum.</t>
  </si>
  <si>
    <t>1283730881035882498</t>
  </si>
  <si>
    <t>Sabunun yapısında bulunan, su ve yağda kolay çözünen kısımlar, Koronavirüsteki iki tabakalı lipitleri parçalar. Yağ zarı çözülen virüs etkisiz hale gelir. Dokunduğumuz yüzeylerde virüs olabileceği için ellerimizi daha sık yıkayalım. Temizlik, COVID-19’a karşı güçlü bir tedbirdir. https://t.co/37V4Tm5Hlb</t>
  </si>
  <si>
    <t>1283502530371215366</t>
  </si>
  <si>
    <t>Külliyede düzenlenen 15 Temmuz Şehitleri Anma Programında Hiranur’la tanıştık. HİRANUR, şehit kardeşimiz Emrah Sağaz’ın üç buçuk yaşındaki kızı. Dünya tatlısı. Babasını fotoğraflarından tanıyor. Allah şehit ailelerine başka acı göstermesin. https://t.co/jhj2CtmXYe</t>
  </si>
  <si>
    <t>1283467488496431105</t>
  </si>
  <si>
    <t>1.000’in altındaki ikinci günümüz. Yeni iyileşen hasta sayımız, yeni vaka sayısından fazla. Malatya, Trabzon, Kilis, Yalova, Bayburt ve Ardahan’da 3 gündür pnömoniye hiç rastlanmadı. Yeni vaka verileri yakın günlerde ciddiyetimizin arttığını gösteriyor. https://t.co/RVlhe7786O https://t.co/MVjFYowWHF</t>
  </si>
  <si>
    <t>1283457635963015169</t>
  </si>
  <si>
    <t>ÇIKMAM LAZIM, İŞİM VAR. İşleri hangi saatlere planlarsak, kendimizi kalabalığa denk getirmeyiz? Hesap kitap yapın, riski zayıflatın.</t>
  </si>
  <si>
    <t>1283388125662846978</t>
  </si>
  <si>
    <t>15 TEMMUZ gibi bir zaferi, yaralı gittiği hastanede bile bayrağını elinde tutan bir halk kazanabilirdi. Şehitlerimizi rahmetle anıyor, gazilerimize minnetimizi sunuyoruz. Bayrağımızın altında, demokrasiye inançla hep bir ve güçlüyüz. https://t.co/j7oqvfSU7X</t>
  </si>
  <si>
    <t>1283188091222724608</t>
  </si>
  <si>
    <t>Büyüklerini seven, ana baba günü gibi ortamlara girmesin.</t>
  </si>
  <si>
    <t>1283113446633025541</t>
  </si>
  <si>
    <t>KAZAKİSTAN, ÖZBEKİSTAN, AZERBAYCAN Sağlık Bakanı dostlarımızla yaptığımız telefon görüşmelerinde salgına karşı iş birliğini, son durumu ele aldık. KIRGIZİSTAN’IN da dâhil olduğu 4 ülkeye tıbbi yardım için Türkiye’ye teşekkür ettiler. Bilim Kurulumuz da kendilerine destek verecek. https://t.co/ST29kSUYj2</t>
  </si>
  <si>
    <t>1283104817448136705</t>
  </si>
  <si>
    <t>TEKRAR 1.000’İN ALTINDAYIZ. 33 gün sonra ilk kez. 11 Haziranda 987 olan yeni vaka sayısı ertesi gün 1.195’e çıkmıştı. Şu an yarını bilmiyoruz. Şimdi alacağımız tedbirlerin sonucunu ortalama 7 gün sonra göreceğimizi biliyoruz. Bugünü tekrar aramayalım. https://t.co/RVlhe7786O https://t.co/SmeQuZYarl</t>
  </si>
  <si>
    <t>1283089713558159365</t>
  </si>
  <si>
    <t>EVE DÖNERKEN dikkatli olalım. Gün boyu sahip olduğumuz mücadele üstünlüğünü toplu taşımada sıfırlıyoruz. Kurallara uyan taşıtları tercih edelim. Maskemizi mümkünse yenisiyle değiştirelim. İyi akşamlar.</t>
  </si>
  <si>
    <t>1283067149095968768</t>
  </si>
  <si>
    <t>Romancımız Adalet Ağaoğlu hayata veda etti. Fikrimizin ince gülü soldu. Yazmak, onun, su içer gibi içinden geliyordu. 91 yaşına kadar yazdı. Edebiyatı el üstünde tutmamızı telkin eden bir yazardı. Bu söz onun: “Bir ülkenin insanları ancak edebiyat yoluyla anlatılabilir.” https://t.co/i2kt7E6lXA</t>
  </si>
  <si>
    <t>1282998376662020097</t>
  </si>
  <si>
    <t>“Yaz gelince virüs etkisini kaybetti.” Kulaktan kulağa yayılan bu söylenti yanlıştır. İtibar eden risk alır. Salgının küreselliği, virüsün etkisinin mevsimsel olmadığını kanıtlıyor. Vakalar, farklı mevsimlerde benzer seyrediyor. Virüsün etkisini kaybetmesi şu an tedbirlere bağlı. https://t.co/uivpAlfhFc</t>
  </si>
  <si>
    <t>1282963506145431552</t>
  </si>
  <si>
    <t>Covid-19’a karşı her günümüz bir sınav. Doğru olanı yapalım: Kurallara uyalım. Bu her zaman kolay olmasa da, uymaya çalışalım. Salgına karşı bugünkü çabanız için size teşekkür ediyorum, mutlu bir gün diliyorum.</t>
  </si>
  <si>
    <t>1282899024228515841</t>
  </si>
  <si>
    <t>!!!!!!!!!!!!!!!!!!!!!!!!!!!!!!!!!!!!!!!!!!!!!!!!!!! İğne atsan yere düşmez yerlerde iğneyi yere düşürelim. Daha düşük vaka sayıları; daha düşük yoğunluğa, daha az temasa bağlı. [İğneli Uyarı]</t>
  </si>
  <si>
    <t>1282744223960379393</t>
  </si>
  <si>
    <t>En çok vaka görülen 5 ilimiz: İstanbul, Ankara, Gaziantep, Şanlıurfa, Diyarbakır. 5 ilin yoğun bakım sayılarında da artış var. Ortalama 1 hafta önceki verilere göre, vaka sayısında 1.000’in altına inmekte kararlıyız. COVID-19’a karşı HER GÜNÜMÜZ BİR SINAV. https://t.co/RVlhe7786O https://t.co/wGSSKQcuNA</t>
  </si>
  <si>
    <t>1282721929401597954</t>
  </si>
  <si>
    <t>Hatayspor’u Süper Lige çıkaran maçta, seyircisiz maç kuralına tribünlerde uyuldu; açık havadaysa, dev ekranlar karşısında salgın unutuldu. Önümüzdeki maçlara bakmalıyız! COVID-19 solunum yoluyla, yakın temasta bulaşıyor. Bu kalabalıklar, bizi salgına karşı ağır yenilgiye uğratır. https://t.co/58nvXDo32H</t>
  </si>
  <si>
    <t>1282691903167791104</t>
  </si>
  <si>
    <t>Virüsün bugün yakaladığı fırsatlar, tabloya ortalama 1 hafta sonra yansıyor. Kaçınılmaz görünen birçok durum, tedbirlerden taviz vermemize yol açıyor; bunları azaltmaya çalışalım. Aksi mümkünken asla risk almayalım. YENİ VAKA SAYILARINI bugün uyguladığımız tedbirlerle düşürelim. https://t.co/oYIZd6Y8KM</t>
  </si>
  <si>
    <t>1282540431675469824</t>
  </si>
  <si>
    <t>Gelecek sezon Süper Lig’de mücadele edecek olan Hatayspor’u ve taraftarlarını kutluyorum. An itibariyle, Hatayspor camiasının, salgınla mücadelemizin sıkı taraftarı olmayı sürdüreceklerine inanıyorum. Bu zafer hasarsız, kutlama örnek olmalı.</t>
  </si>
  <si>
    <t>1282417991976615936</t>
  </si>
  <si>
    <t>Çılgın kalabalık, kuru kalabalık, başı kalabalık. Her türlü kalabalıktan uzak duralım.</t>
  </si>
  <si>
    <t>1282391743640604673</t>
  </si>
  <si>
    <t>Virüsün bugün yakaladığı fırsatlar, tabloya ortalama 1 hafta sonra yansıyor. Kaçınılmaz görünen birçok durum, tedbirlerden taviz vermemize yol açıyor; bunları azaltmaya çalışalım. Aksi mümkünken asla risk almayalım. YENİ VAKA SAYILARINI bugün uyguladığımız tedbirlerle düşürelim. https://t.co/WmWcUleOSF</t>
  </si>
  <si>
    <t>1282370801900171269</t>
  </si>
  <si>
    <t>Virüsün bugün yakaladığı fırsatlar, tabloya ortalama 1 hafta sonra yansıyor. Kaçınılmaz görünen birçok durum, tedbirlerden taviz vermemize yol açıyor; bunları azaltmaya çalışalım. Aksi mümkünken asla risk almayalım. YENİ VAKA SAYILARINI bugün uyguladığımız tedbirlerle düşürelim. https://t.co/QGExIfi8m5</t>
  </si>
  <si>
    <t>1282367577453404160</t>
  </si>
  <si>
    <t>SON 3 GÜNDE ortalama entübe hasta sayısı en yüksek 5 il: İstanbul, Ankara, Konya, Diyarbakır, Bursa. Ortalama yoğun bakım hasta sayısı en yüksek 5 il: İstanbul, Şanlıurfa, Ankara, Gaziantep ve Konya. Beklediğimiz sonuçlar için tedbirlere daha fazla uyalım. https://t.co/RVlhe7786O https://t.co/5PfpJkaceJ</t>
  </si>
  <si>
    <t>1282355804008579083</t>
  </si>
  <si>
    <t>Halkımızın hizmet taleplerini bize taşıyan siyasetçilere; bürokrat ve yöneticilere; Pandemi konusundaki istişareleri sebebiyle tüm konuklarımıza; Elazığ depremi günlerinde tanıdığımız, lütfedip bizi görmeye gelen depremzede Meriç Dişli’ye ZİYARETLERİ İÇİN TEŞEKKÜR EDİYORUM. https://t.co/9RrEraYIRe</t>
  </si>
  <si>
    <t>1282307383079899137</t>
  </si>
  <si>
    <t>İçişleri Bakanımız Süleyman Soylu’nun kayınpederi Metin Dinç Beyefendi, tedavi gördüğü kanser hastalığı ve kalp yetmezliği sebebiyle vefat etti. Mekânı cennet olsun. Ailesine sabır, Bakan arkadaşım Süleyman Soylu’ya ve kıymetli eşine başsağlığı diliyorum.</t>
  </si>
  <si>
    <t>1282285987633213443</t>
  </si>
  <si>
    <t>Bu karede, salgına karşı ÖN PLANDA 5 KİŞİYİZ. Üç arkadaş, Koronavirüse taviz vermiş. Oysa virüs, biriyle karşı karşıya dururken de geçebilir, yan yana yürürken de. Bir dahaki karşılaşmamızda sizi daha donanımlı görelim arkadaşlar. https://t.co/LRuvfVjaH2</t>
  </si>
  <si>
    <t>1282248712803229697</t>
  </si>
  <si>
    <t>11 Temmuz 1995’te, Bosna’da, Srebrenitsa’nın Sırplar tarafından ele geçirilmesinden sonra en az 8.372 sivil, kadın ve çocuk katledildi. Kurbanlar arasında bir günlük bir bebek de vardı. Soykırımın 25. yıl dönümünde Srebrenitsa şehitlerini rahmetle anıyoruz. https://t.co/xHggc133bH</t>
  </si>
  <si>
    <t>1282007973951426566</t>
  </si>
  <si>
    <t>Son üç günde vaka sayılarında en çok düşüş olan 7 ilimiz: Kars, Çanakkale, Bartın, Artvin, Ardahan, Kütahya ve Yalova. Türkiye genelinde vakaların pnömoniye dönme oranı azalıyor. Vaka sayılarındaki artış ve düşüşler, maske ve mesafe kuralına uyuma bağlı. https://t.co/RVlhe7786O https://t.co/7ZtF9EbfKS</t>
  </si>
  <si>
    <t>1281989066553208833</t>
  </si>
  <si>
    <t>https://t.co/MNRIw62u6z</t>
  </si>
  <si>
    <t>1281883882405625856</t>
  </si>
  <si>
    <t>Günlük Koronavirüs Vaka Tablosundaki iyileşmeye katkıda bulunun: Maske ve mesafe kuralıyla yeni vaka sayısını düşürün.</t>
  </si>
  <si>
    <t>1281870608452681729</t>
  </si>
  <si>
    <t>Son verilere göre, bugün en az 1.000 kişinin COVID-19’a yakalanması bekleniyor. Önceki günlerden tedbirli olmayı öğrenelim.</t>
  </si>
  <si>
    <t>1281855953621712897</t>
  </si>
  <si>
    <t>https://t.co/GJmiPmvaei</t>
  </si>
  <si>
    <t>1281716010849112065</t>
  </si>
  <si>
    <t>Kadınlara karşı, görece özellikler ve yaşam biçimleri üzerinden küçümseyici söylemler geliştirmek, ruhsal onarım konusudur. Konumum ve hasta hakları sebebiyle adını anamayacağım bu gibi kişileri Psikiyatri Acilden yardım almaya davet ediyorum.</t>
  </si>
  <si>
    <t>1281708749200035840</t>
  </si>
  <si>
    <t>Nurettin Topçu’nun ölümünün 45. yıl dönümü. Topçu kimdir? Bir düşünce ekolünün kurucusu. Sorbonne’da felsefe doktorası veren ilk Türk. Tezi, 1934’te Paris’te kitap olarak basılmış. Türkiye’de felsefe öğretmenliği yaptı. Kitaplar yazdı. Öğretmenliği, ölümünden sonra da devam etti. https://t.co/W29v8MH3mr</t>
  </si>
  <si>
    <t>1281689445088088064</t>
  </si>
  <si>
    <t>Ayasofya, 1453 ruhuna yeniden kavuştu. O, fetihten önceki asırların başlatıp, fetihler çağının tamamladığı bir simgedir. İsmi, İlahi Bilgelik anlamına gelen Ayasofya’nın cami statüsüne yeniden kavuşmasıyla, o ilahi bilgelik devam ediyor. https://t.co/mBGYC0tCSs</t>
  </si>
  <si>
    <t>1281657121772376067</t>
  </si>
  <si>
    <t>Yeni tanı konan hasta sayısında 25 Haziranda başlayan düşüş devam ediyor. 1.000’in altına çok yakınız. Fakat bu azalmaların yavaş, yükselişlerinse ani olduğunu unutmayalım. Artışlar ve düşüşler, maske ve mesafe kuralına uyumdaki artışa veya azalmaya bağlı. https://t.co/RVlhe7786O https://t.co/VvrRuMmx7b</t>
  </si>
  <si>
    <t>1281634136265031682</t>
  </si>
  <si>
    <t>RT @RTErdogan: Hayırlı olsun. https://t.co/MzP6nzn9Jc</t>
  </si>
  <si>
    <t>1281589912018485250</t>
  </si>
  <si>
    <t>İnsani ve Sağlık Acil Durumlarına Hazırlıklılık konusunda, İstanbul'da faaliyet gösterecek DSÖ ofisinin açılmasına ilişkin mali anlaşmayı, dün, DSÖ Avrupa Bölge Direktörü Dr. Hans Kluge ile imzaladık. Ben de kendisi gibi, bu anlaşmanın bir kilometre taşı olacağı inancındayım. https://t.co/hhX2ErUZsz</t>
  </si>
  <si>
    <t>1281349506924240898</t>
  </si>
  <si>
    <t>SÖZ İSTİYORUZ. Fazla yolcu taşıyan minibüs paylaşımından sonra bir mektup aldık. İlgili taşımacılık kooperatifi, kamuoyuna özürlerini ve hatanın sınırlı olduğunu bildiriyor. İstanbul’daki tüm dolmuş kooperatifleri ve duraklarından söz istiyoruz: DOLMUŞLAR, FAZLA YOLCU ALMAYACAK.</t>
  </si>
  <si>
    <t>1281332580378456065</t>
  </si>
  <si>
    <t>Dünya Sağlık Örgütü Avrupa Bölge Direktörü Dr. Hans Kluge ile Bilim Kurulu üyelerimizin de katıldığı bir görüşme ve ortak basın toplantısı gerçekleştirdik. Görüşmede, salgın konusunda bilgi paylaşımında bulunduk. Bu, kendisinin Pandemi boyunca yaptığı ilk yurt dışı ziyaretiydi. https://t.co/oWAZ0WMvQm</t>
  </si>
  <si>
    <t>1281284157122007040</t>
  </si>
  <si>
    <t>Yoğun bakım hasta sayımızdaki artış eğilimi yavaşladı. Entübe hasta sayımız 7 azaldı. İyileşen hasta sayımız, yeni tanı konanların iki katından fazla. Maske ve mesafe kuralına uyumdaki artışa bağlı olarak, vaka sayılarında küçük azalmalar devam ediyor. https://t.co/RVlhe7786O https://t.co/Bk5UZrcaG8</t>
  </si>
  <si>
    <t>1281272989372370944</t>
  </si>
  <si>
    <t>Dünya Sağlık Örgütü Avrupa Bölge Direktörü Sayın Dr. Hans Kluge’nin Bakanlığımızı ziyaretinin ardından ortak basın açıklamamız. https://t.co/IPhi0BSwWF</t>
  </si>
  <si>
    <t>1281233919342346246</t>
  </si>
  <si>
    <t>Sakarya'daki havai fişek fabrikasının taşınması sırasında elim bir olay yaşandı. Çıkan patlamada 3 askerimiz şehit oldu. Yaralılarımızın tedavisine başladık. Durumu ağır olan bir yaralımız ameliyata alındı. Şehitlerimize Allah'tan rahmet, yaralılarımıza acil şifa diliyorum.</t>
  </si>
  <si>
    <t>1281220581782929411</t>
  </si>
  <si>
    <t>https://t.co/fRF00sjzbz</t>
  </si>
  <si>
    <t>1281204711652278273</t>
  </si>
  <si>
    <t>Hastalığın şu an tırmanışta olduğu ülkeler, sonbahar için karamsar. Bunu bizim de hesaba katmamız kaçınılmazdır. Bugünlerde üzerimizde bir yorgunluk var. Yorgunluğu üstümüzden atalım. Mücadele gücünü, ancak iyimserler gösterebilir. SALGINA KARŞI YENİDEN 83 Milyon bir olalım. https://t.co/0P5Jw4etDI</t>
  </si>
  <si>
    <t>1280983283359154176</t>
  </si>
  <si>
    <t>Dün yeni vaka sayımız 1053’tü. İstatistiklere göre, aralarından bir bölümü yoğun bakıma gidecek. Bir kısmı solunum cihazına bağlanacak. Sizce, bu hastalar, COVID-19’a, KURALLARA KENDİLERİ UYMADIKLARI İÇİN Mİ yakalandı? Hastalığın bulaşmasını karşılıklı tedbirle önleyebiliyoruz. https://t.co/l39RuiEiMr</t>
  </si>
  <si>
    <t>1280980814772174854</t>
  </si>
  <si>
    <t>Bakanlığımız, yeni risklere karşı, başta İçişleri Bakanlığı; Aile, Çalışma ve Sosyal Hizmetler Bakanlığı, Milli Eğitim Bakanlığı, Milli Savunma Bakanlığı, Gençlik ve Spor Bakanlığı olmak üzere birçok bakanlığımızla İŞ BİRLİĞİ içindedir. Amaç, tedbirlere uyumun sağlanmasıdır. https://t.co/rZfvNP45uf</t>
  </si>
  <si>
    <t>1280978653833199619</t>
  </si>
  <si>
    <t>DÜNYA, COVID-19’UN YAYILMASINA KARŞI ne başarı gösteriyorsa, bilelim ki, bu başarıyı, maske ve mesafe kuralına uyabildiği ölçüde gösteriyor. Vakaların tırmandığı, salgının kontrolden çıktığı ülkeler, tedbirlerin ya terk edildiği veya zaten yetersiz olduğu ülkelerdir. https://t.co/wR3SM4DV24</t>
  </si>
  <si>
    <t>1280971060335312897</t>
  </si>
  <si>
    <t>Bazı büyük kentlerde en yüksek haftalık vaka sayıları salgının 5. haftasında görülmüştü. Tedbirlerle bunu düşüşler izledi. 13 ilimizde en yüksek haftalık vaka sayılarına son 1 ay içinde veya yeni ulaşılmaktadır. Yeni vakalar belli illerde yoğunlaşmaktadır. https://t.co/RVlhe7786O https://t.co/kfXdBmpiqY</t>
  </si>
  <si>
    <t>1280908669543219201</t>
  </si>
  <si>
    <t>Bilim Kurulu Toplantımızın ardından Koronavirüs ile ilgili son gelişmeler ve aldığımız yeni tedbirlere ilişkin basın açıklamamız.
📍SAĞLIK BAKANLIĞI BİLKENT YERLEŞKESİ / ANKARA
https://t.co/s7xsQXdTcj</t>
  </si>
  <si>
    <t>1280906455013560326</t>
  </si>
  <si>
    <t>https://t.co/FxBqugicnw</t>
  </si>
  <si>
    <t>1280898410397270017</t>
  </si>
  <si>
    <t>https://t.co/qS6u7kVIOl</t>
  </si>
  <si>
    <t>1280897795856220160</t>
  </si>
  <si>
    <t>Mesafenin korunamadığı kapalı alanlar, virüsün fırsat bulduğu alanlardır. Maskenizi muntazam şekilde takmış olsanız bile, fazla yolcu taşıyan toplu taşıma araçlarında risk altındasınız. Binmeyin; binmişseniz, fazladan yolcu alan sürücüleri salgınla mücadelemiz adına uyarın. https://t.co/MWRCfBGr0O</t>
  </si>
  <si>
    <t>1280601380659617795</t>
  </si>
  <si>
    <t>Sayın Mustafa Şentop, TBMM Genel Kurulundaki oylamada yeniden Türkiye Büyük Millet Meclisi Başkanı seçildi. Sonucun, milletimizin iradesinin tecelli ettiği yer olan yüce Meclisimiz ve milli irade adına yapılacak tüm çalışmalar için hayırlı olmasını diliyor, kendisini kutluyorum.</t>
  </si>
  <si>
    <t>1280551499614085125</t>
  </si>
  <si>
    <t>Yoğun bakım doluluk oranlarımız 1 aydır %59-%61 arasında. Taburcu ettiğimiz hasta kadar yeni hasta yatırıyoruz. Entübasyon için de durum benzer. Vaka artışlarıyla öne çıkan 5 ilde, son üç gündür ortalama %7 daha az yeni vaka var. SALGINA KARŞI KAÇ KİŞİYİZ? https://t.co/RVlhe7786O https://t.co/CBwd5J7FW0</t>
  </si>
  <si>
    <t>1280535364680273922</t>
  </si>
  <si>
    <t>“Yolcu fazlalığından kapılarını kapatamayan, 14 kişi kapasiteli minibüsten İstanbul Sivil Trafik Ekipler Amirliğinin denetimi sırasında 42 kişi çıktı.” SALGINA KARŞI KAÇ KİŞİYİZ?</t>
  </si>
  <si>
    <t>1280491074088325121</t>
  </si>
  <si>
    <t>Salgınla mücadelede, dün 1.086 yeni hastamız ve 16 can kaybımız vardı. Hastalığa bugün yakalanacak olanların sayısını ortalama bir hafta sonraki testlerde öğreneceğiz. SALGINA KARŞI KAÇ KİŞİYİZ?</t>
  </si>
  <si>
    <t>1280441808493989889</t>
  </si>
  <si>
    <t>Vaka sayılarımızda azalma sürüyor. Dikkatli olmalıyız: Azalmalar yavaş, artış hızlı gerçekleşiyor. 1.000’i aşan günlük yeni vakalarımızın sebebi, kurallara uyulmamasıdır. Bugünkü 16 can kaybına önlenebilir sebepler yol açtı. SALGINA KARŞI KAÇ KİŞİYİZ? https://t.co/RVlhe7786O https://t.co/reGI7JppvG</t>
  </si>
  <si>
    <t>1280190802006872066</t>
  </si>
  <si>
    <t>MESAJIMIZIN ULAŞTIĞI HERKES, bugün dışarıda maskesini takıyor, mesafe kuralına uymak için çaba gösteriyor mu? SALGINA KARŞI KAÇ KİŞİYİZ?</t>
  </si>
  <si>
    <t>1280030102802370560</t>
  </si>
  <si>
    <t>BUGÜNÜ, SALGIN HİÇ YOKMUŞ GİBİ YAŞARSAK, yarın, önlenebilir nedenlere rağmen; on dokuz can kaybımızın, bin yüz yirmi yedi yoğun bakım hastamızın olduğu dünü bile iyi günlerimizden biri kabul ederiz. Salgınlar tedbirsiz aşılmaz. Tedbirli bir gün diliyorum.</t>
  </si>
  <si>
    <t>1279996126670794752</t>
  </si>
  <si>
    <t>ERDEM BAYAZIT, bütün şiirlerini topladığı kitabın girişinde şu dokunaklı cümleye yer vermişti: “Bir ömür tüketerek yazdıklarım iki saatte okunuyor.” O ne söylediyse sözü hep “Sana, Bana, Vatanıma, Ülkemin İnsanına Dair” oldu. Vefat yıl dönümünde usta şairimizi RAHMETLE ANIYORUZ. https://t.co/6eqOmgoG8i</t>
  </si>
  <si>
    <t>1279847725341827073</t>
  </si>
  <si>
    <t>ÇANKIRI’DAN ÖRNEK GELDİ. “Biz de halay çekiyoruz, hem maske hem de mesafeli, halay çubukları ile. Çankırı Ilgaz Kuyupınar köyü ve sakinlerine hassasiyet için teşekkürler, sizin nezdinizde. Yeni normalde her şey bizim elimizde.” Hakan Erdoğan https://t.co/R4SKv3LrEa</t>
  </si>
  <si>
    <t>1279840664935677954</t>
  </si>
  <si>
    <t>Sosyal mesafe kuralını kat kat fazla uygularsanız tatilde kat kat iyi dinlenirsiniz.</t>
  </si>
  <si>
    <t>1279817387777327104</t>
  </si>
  <si>
    <t>Son 3 günde, ortalama vaka sayısının en çok arttığı iller: İstanbul, Ankara, Gaziantep, Mardin, Konya, Bursa, Diyarbakır. Yoğun bakım hasta sayımız, yeni vakaları takiben, artış eğiliminde. TEDBİR VARKEN, “Bugün vefat eden sayısı” kanıksanacak tablo değil. https://t.co/RVlhe7786O https://t.co/Ur9TokRl3Q</t>
  </si>
  <si>
    <t>1279813840562249729</t>
  </si>
  <si>
    <t>Hendek’teki patlamada hayatını kaybeden 6 kişinin kimlikleri belirlendi. Kayıp 1 kişiye henüz ulaşılamadı. Yaralanan 126 kişiden 121’i taburcu oldu. 5 kişinin tedavisi 1’i Sakarya’da yoğun bakımda, diğeri İstanbul Kartal Şehir Hastanesi Yanık Merkezi’nde olmak üzere devam ediyor.</t>
  </si>
  <si>
    <t>1279791583932661760</t>
  </si>
  <si>
    <t>Halkımızın hizmet taleplerini bizlere taşıyan milletvekillerimize, belediye başkanlarımıza, parti il başkanlarına, bürokrat ve yöneticilerimize, Pandemi konusundaki istişareleri sebebiyle tüm konuklarımıza ZİYARETLERİ İÇİN TEŞEKKÜR EDİYORUM. https://t.co/sKde2lxYKi</t>
  </si>
  <si>
    <t>1279747769427779585</t>
  </si>
  <si>
    <t>“Sağlık Bakanlığı’nın Koronavirüs vakalarının en çok artış gösterdiğini açıkladığı Bursa’da sokakta halay çeken düğüncüler, sosyal mesafe kuralına uymadı. Katılanların çoğunluğunun maskesiz olması dikkat çekti.” GAZETELER</t>
  </si>
  <si>
    <t>1279481957412462592</t>
  </si>
  <si>
    <t>Düğünlerden, sosyal mesafe kuralına uyulmadığı, maske kullanılmadığı, eğlencelerin kaygı verici yakınlıkta gerçekleştiği haberleri geliyor. Meydanı gelinle damada bırakın. Maske takmak zorunda kalmadan eğlensinler. Siz kuralları çiğnerseniz, bizim düğünümüzde oldu diye üzülürler. https://t.co/IigA68rSYx</t>
  </si>
  <si>
    <t>1279480372187799552</t>
  </si>
  <si>
    <t>İyileşen toplam hasta sayımız 180 bine yaklaştı. İyileşme sürecindeki hasta sayısı 20 bin civarında. Yoğun bakım hasta sayımızda, önceki günlerden devam eden bir artış var. Vakaların azalma seyri yavaş. Bugün iyileşenlerin sayısı yeni vakalardan 60 fazla. https://t.co/RVlhe7786O https://t.co/VZrDKuokmO</t>
  </si>
  <si>
    <t>1279473247013277697</t>
  </si>
  <si>
    <t>Kartal Dr. Lütfi Kırdar Şehir Hastanesi’nin açılış töreninin ardından, burada tedavi gören hastalarımızı ziyaret ettik. 4 yaşındaki Abdulkadir ve dünkü patlamada yanık tedavisi için helikopter ambulansla getirilen hastamızın durumu hakkında bilgi aldık, kendileriyle sohbet ettik. https://t.co/M69RkMU4at</t>
  </si>
  <si>
    <t>1279415708175171584</t>
  </si>
  <si>
    <t>Yeni binasını hizmete aldığımız Dr. Lütfi Kırdar Şehir Hastanesi, adıyla bize yakın tarihimizi de hatırlatmaktadır. Dr. Kırdar’ın hayatı Kerkük’ten İstanbul Tıp Fakültesine, eğitimi esnasında katıldığı Balkan Savaşı, ardından Birinci Dünya Savaşı ve sonrasıyla örnek bir hayattır. https://t.co/vQEJblKD3p</t>
  </si>
  <si>
    <t>1279412863040475136</t>
  </si>
  <si>
    <t>Bugün resmi açılış töreninde bulunduğumuz ve Şehir Hastanesi kimliği kazanan hastanemizi, süreçte acilen Pandemi hastanesi olarak hizmete almıştık. Buradaki sağlık personelimizin 166’sı hastalara hizmet verirken COVID-19’a yakalandı. Tesellimiz bu kurumda can kaybı olmamasıdır. https://t.co/rn2BOfcwUO</t>
  </si>
  <si>
    <t>1279409442036035586</t>
  </si>
  <si>
    <t>RT @RTErdogan: Kartal Dr. Lütfi Kırdar Şehir Hastanesi Açılış Töreni https://t.co/o8bZs5GxS0</t>
  </si>
  <si>
    <t>1279393208712269824</t>
  </si>
  <si>
    <t>Kartal Dr. Lütfi Kırdar Şehir Hastanemizi milletimizin hizmetine açıyoruz. https://t.co/09PvlWgBM8</t>
  </si>
  <si>
    <t>1279386225955110913</t>
  </si>
  <si>
    <t>Hazırlıkları tamamlanan İstanbul Kartal Dr. Lütfi Kırdar Şehir Hastanesi’nin resmi açılışı, COVID-19 sebebiyle ertelenmişti. Toplam yatak kapasitesi 1.105. Ayakta hasta poliklinik tedavi kapasitesi 3,5 milyon. Yılların Dr. Lütfi Kırdar Hastanesi yeni imkânlarıyla hayırlı olsun. https://t.co/tFqmcoX7TU</t>
  </si>
  <si>
    <t>1279376381768581120</t>
  </si>
  <si>
    <t>Sakarya Hendek’teki patlamada yaralanan ve tedavisi devam eden hastalarımızı Hendek Devlet Hastanemizde ziyaret ettik. Hastaneye kaldırılan 114 kişiden 92’si taburcu oldu, 22’sinin tedavisi sürüyor. Hayatını kaybeden 4 yurttaşımıza Allah’tan rahmet, yaralılarımıza şifa diliyorum. https://t.co/GQBewa299S</t>
  </si>
  <si>
    <t>1279138566241689602</t>
  </si>
  <si>
    <t>24 Haziranda 1.492 olan yeni vaka sayısı 1.172’ye indi. Virüsün yayılması hızlı; vakaların azalması zaman alıyor. Son 1 haftada hastanede tedavi görenlerin yaş ortalaması 46,7. Son 1 haftada tanı konanların %11,13'ü 65 yaş üstü. Vefat edenlerin %70'ten fazlası bu yaş grubundan. https://t.co/0WOGpJzYwZ</t>
  </si>
  <si>
    <t>1279096109638594562</t>
  </si>
  <si>
    <t>Acil Durum Merkezinde birlikte görev aldığımız bakan arkadaşlarımla, patlamanın yaşandığı havai fişek fabrikası çevresinde incelemelerde bulunduk. Yangın kontrol altına alınmış durumda. Patlama, çevreyi de etkileyen bir hasara yol açtı. https://t.co/iEEIKJvzeE</t>
  </si>
  <si>
    <t>1279082033696903169</t>
  </si>
  <si>
    <t>SAKARYA HENDEK’TE, havai fişek fabrikasındaki patlamaya yakın bölgelerde, havaya karışan ZEHİRLİ GAZLARA KARŞI tedbirli olmalıyız. En az 12 saat dolana kadar dışarı çıkılmamasını, kapı ve pencerelerin kapalı tutulmasını, klimaların çalıştırılmamasını öneriyoruz.</t>
  </si>
  <si>
    <t>1279067286389874688</t>
  </si>
  <si>
    <t>Havai fişek fabrikasındaki patlamada yaralanan hastalarımızdan birini, yanık tedavisi için, helikopter ambulansla, Sakarya Eğitim ve Araştırma Hastanemizden İstanbul Kartal Eğitim ve Araştırma Hastanemize sevk ettik. Tedavisini yakından takip edeceğiz.</t>
  </si>
  <si>
    <t>1279055312352411648</t>
  </si>
  <si>
    <t>Hendek’te, havai fişek fabrikasındaki patlamanın ardından, İçişleri Bakanımız Süleyman Soylu ve Aile, Çalışma ve Sosyal Hizmetler Bakanımız Zehra Zümrüt Selçuk’la birlikte süreci yönetmek üzere Acil Durum Merkezi kurduk. Patlama kontrol altında. Can kaybımız maalesef 4’e çıktı. https://t.co/AE3CuttkXT</t>
  </si>
  <si>
    <t>1279053205738000384</t>
  </si>
  <si>
    <t>Sakarya Hendek’teki havai fişek fabrikasında, patlamanın yaşandığı bölgede incelemelerde bulunuyoruz.
https://t.co/3FiReQBUWU</t>
  </si>
  <si>
    <t>1279032827892371461</t>
  </si>
  <si>
    <t>Sakarya Hendek’te, şehrin uzağındaki havai fişek fabrikasında bir patlama oldu. Sn. Cumhurbaşkanımızın talimatıyla süreci yakından takip etmek için birazdan olay yerinde olacağız. 85 ambulans, 2 helikopter ambulans, 11 UMKE ekibimiz olay yerinde. 2 can kaybımız, 73 yaralımız var.</t>
  </si>
  <si>
    <t>1279007701390036992</t>
  </si>
  <si>
    <t>Temizlik, COVID-19’a karşı alacağımız üç tedbirden biridir. Dokunduğumuz yüzeylerde, bulaşma kabiliyetini koruyan virüsler bulunabileceği için ellerimizi sabunla ve normalde olduğundan daha sık yıkayalım. Sabun, Koronavirüsleri etkisiz hale getirir. https://t.co/m8KlE1hk6z</t>
  </si>
  <si>
    <t>1278803247898165252</t>
  </si>
  <si>
    <t>DİLEK AKÇABELEN: Dilek Hemşire. 1990, İstanbul doğumlu. Sağlık Hizmetleri MYO mezunuydu. M. Akif Ersoy Kalp ve Damar Hastalıkları Hastanesi’nde çalıştı. COVID-19 sebebiyle uzun süre yoğun bakımda kaldı. Yeni doğan bebeğini kucağına alma şansı olmadı. Mücadelesi için #minnettarız https://t.co/c2Eh6IjGBH</t>
  </si>
  <si>
    <t>1278750512133931009</t>
  </si>
  <si>
    <t>Burdur ve Gümüşhane’de 2 gündür yeni vaka yok. En çok vaka olan 5 il: İstanbul, Ankara, Gaziantep, Konya, Bursa. Toplum sağlığı için risk yansıtan görüntüler artıyor: Bugün, medyada, yolcular arasında sosyal mesafenin sıfırlandığı taşıt haberleri yer aldı. https://t.co/RVlhe7786O https://t.co/I3vRZUdMtV</t>
  </si>
  <si>
    <t>1278729756905746434</t>
  </si>
  <si>
    <t>Taşıyıcılık oranı araştırmasında 132.000 kişinin testi sonuçlandı. Mevcut verilerle taşıyıcılık oranı %0,24; bu testle paralel şekilde ELISA yöntemiyle yapılan antikor taramasında koruyuculuk %0,81 olarak saptandı. Yaygın bağışıklık söz konusu değil. Çalışma haftaya tamamlanacak. https://t.co/OJ7NQGH3Md</t>
  </si>
  <si>
    <t>1278596313379213312</t>
  </si>
  <si>
    <t>Virüsün yayılma hızının azaldığı düşüncesi yanıltıcıdır. Virüsün hasta etme gücünün zayıfladığı düşüncesi de bilimsel dayanaktan yoksundur. Bunlara itibar edilmesi, birçoklarının hastalığa yakalanmasına ve hastalığı başkasına bulaştırmasına neden olmaktadır. https://t.co/s0zMlcUWbs</t>
  </si>
  <si>
    <t>1278434042040418306</t>
  </si>
  <si>
    <t>Büyüklerimizi evde izole ederek korumayı başarmıştık. Ancak bugün risk altındalar. Salgın boyunca vefat edenlerde, 60 yaş üzeri ve en az bir alt hastalığı olanların oranı %72’ydi. Şimdi bu oran ve yoğun bakım yaş ortalaması yükseliyor. Büyüklerimizi tedbirlere uyarak korumalıyız. https://t.co/DHXsXxYdG3</t>
  </si>
  <si>
    <t>1278430454132211713</t>
  </si>
  <si>
    <t>Tedavideki başarı, %2,57’ye kadar düşen ölüm oranı; büyüklerimizi, kronik hastalığı olanları riskten korumamız, tedbirlere uyum kabiliyeti COVID-19’la mücadelede dünyanın bizi takdir etme nedenlerinden bazılarıdır. Dünyaya örnek olan bu başarıyı kaldığımız yerden sürdürmeliyiz. https://t.co/qLMwb5BL9S</t>
  </si>
  <si>
    <t>1278426137065066496</t>
  </si>
  <si>
    <t>Giresun’un Bulancak ilçesinde, dün bir derede cansız bedeni bulunan yedi yaşındaki İkra Nur, toprağa verildi. Ailesinin acısını paylaşıyor, sabır diliyoruz. Her çocuk ölümünde acı hepimize aynı yakınlıktadır.</t>
  </si>
  <si>
    <t>1278411809649758209</t>
  </si>
  <si>
    <t>RT @RTErdogan: Onlar dizi izleyip film çeviredursun, biz hizmet edip tarih yazmaya devam edeceğiz. 
RTE</t>
  </si>
  <si>
    <t>1278408629578862593</t>
  </si>
  <si>
    <t>Toplam test sayımız 3,5 Milyona yaklaştı. Toplam vaka sayımız 200.000’i geçti. Yeni vaka sayılarında istikrarlı bir düşüş sağlayan, tedbirleri uygulamadaki başarısıyla örnek 5 ilimiz: Tekirdağ, Balıkesir, Samsun, Kırşehir, Düzce. Tüm illerde başarabiliriz. https://t.co/RVlhe7786O https://t.co/lSdREj3fcX</t>
  </si>
  <si>
    <t>1278372949280657413</t>
  </si>
  <si>
    <t>Bilim Kurulu Toplantımızın ardından Koronavirüs ile ilgili son gelişmeler ve aldığımız yeni tedbirlere ilişkin basın açıklamamız.
📍SAĞLIK BAKANLIĞI BİLKENT YERLEŞKESİ / ANKARA
https://t.co/Be4i6jOLz6</t>
  </si>
  <si>
    <t>1278369600233771009</t>
  </si>
  <si>
    <t>Esra ve Berat Albayrak çiftini, yeni doğan evlatları sebebiyle kutluyorum. Her doğan çocuk, daha iyi bir dünya için bir umut, yeni bir başlangıçtır. Hamza Salih’le anne babası için kullanılan ifadeler, umut duyulabilir yönü kalmamış kişilere ait olsa gerek. Allah ıslah etsin.</t>
  </si>
  <si>
    <t>1278032468688412673</t>
  </si>
  <si>
    <t>Düne kıyasla entübe hasta sayımızda 7 azalma, yoğun bakım sayımızda 8 artış var. Günlük test sayılarımız yakın. Yeni vaka sayımız dünden 81 az, yeni iyileşen hasta sayısıyla yakın. Vaka sayılarını azaltmada yeterince kararlı, tedbirlerde dikkatli değiliz. https://t.co/RVlhe7786O https://t.co/BF9nshPW0H</t>
  </si>
  <si>
    <t>1277997841244356613</t>
  </si>
  <si>
    <t>COVID-19 tedbirlerine uyulmadan yapılan ASKER UĞURLAMALARI haberlerine giderek daha fazla rastlıyoruz. Uğurlamaları bu şekilde yapanlar, kendilerine iyilik, arkadaşlarına arkadaşlık yapmıyor. Arkadaşının vatani görevine pozitif tanı konmuş olarak başlamasını, hangi arkadaş ister?</t>
  </si>
  <si>
    <t>1277943888934731776</t>
  </si>
  <si>
    <t>Vaka sayımız dünkünden 18, bugün iyileşenlerdense 160 fazla. Yatırılarak tedavi edilenlerle yeni taburcu edilen hastaların sayısı dengede. Yoğun bakımdaki artış olağan düzeyde. Vaka sayılarını azaltmada yeterince kararlı, tedbirlerde dikkatli değiliz. https://t.co/RVlhe7786O https://t.co/LI94EaaV3H</t>
  </si>
  <si>
    <t>1277648879975043072</t>
  </si>
  <si>
    <t>Koronavirüs tedbirlerinden bugün kaç netin var? İşi sıkı tutmaya devam edelim.</t>
  </si>
  <si>
    <t>1277563736195248128</t>
  </si>
  <si>
    <t>Pandemiye karşı çok yönlü mücadelede iş birliği içinde olduğumuz bakan arkadaşlarıma; halkımızın hizmet taleplerini bize taşıyan milletvekillerimize, değerli bürokrat ve yöneticilerimize, ricalarını birer vazife kabul ettiğimiz konuklarımıza ZİYARETLERİ İÇİN TEŞEKKÜR EDİYORUM. https://t.co/fAboW3NMSt</t>
  </si>
  <si>
    <t>1277350960071954434</t>
  </si>
  <si>
    <t>Yeni tanı konan kişi sayısında düne kıyasla 16, bir önceki güne kıyasla 40 azalma var. Bugün iyileşen toplam vaka sayımız, dünkünden 571 kişi düşük. Vaka sayılarını azaltmada yeterince hızlı, mücadelede tam tedbirli değiliz. Yaz, rehavete neden olmamalı. https://t.co/RVlhe7786O https://t.co/zulRDmCbSn</t>
  </si>
  <si>
    <t>1277310474003058688</t>
  </si>
  <si>
    <t>YÜKSEK ODAKLANMA GÜCÜ. Odaklanma, dikkati belli bir süre aynı konuya yoğunlaştırma ustalığıdır. Konu dışı uyaran, odaklanma zorluğuna yol açar. Onları zihnimizden uzaklaştıralım. Sorudan soruya yükselen elemanımız Adrenalin, dikkatimizi toplasın. EN ZOR SORULAR bile kolay gelsin.</t>
  </si>
  <si>
    <t>1277101873703591936</t>
  </si>
  <si>
    <t>İyileşenler, tanı konanlardan 612 fazla. Dünkü sayı 96’ydı. Son 14 günde tanı konanların %5,68’i 17 yaş ve altından. %63’ü 25-45 yaş grubundan. Bugünkü tanı sayımız dünkünden 24 az. Azalma sürekli olursa bu hızda bile 2 haftada 1.000’in altına inebiliriz. https://t.co/RVlhe7786O https://t.co/zWgFRuq0LH</t>
  </si>
  <si>
    <t>1276926226041581570</t>
  </si>
  <si>
    <t>Hayat bir sınav. Bu onun 165 dakikası. En zor sorular bile kolay gelsin.</t>
  </si>
  <si>
    <t>1276759808960585728</t>
  </si>
  <si>
    <t>Alaeddin Özdenören’i, daha ilk kitabının ilk şiiri Habersiz ile sevmiştik. “Yarın bambaşka bir insan olabilirim.” diye yazdığında yeri apayrıydı. Küçük yaşta ölen oğlu Kerem için ağıtlar yaktı. Gizli özne gibi yaşadı. Usta şairimizi 26 Haziran 2003’te, kanser sebebiyle kaybettik. https://t.co/lUpDAn1Myt</t>
  </si>
  <si>
    <t>1276636549736730632</t>
  </si>
  <si>
    <t>ABD Ticaret Odası, ABD-Türkiye İş Konseyi ve TOBB işbirliğiyle gerçekleştirilen video konferansta 60’tan fazla katılımcıyla bir araya geldik. Cumhurbaşkanımız Erdoğan liderliğinde kurulan sağlık altyapımız ve Türkiye’nin Koronavirüs salgınıyla mücadelesi hakkında bilgi paylaştık. https://t.co/gy3n9ioiTp</t>
  </si>
  <si>
    <t>1276569017935892485</t>
  </si>
  <si>
    <t>Çarşamba günü 1.492 olan yeni vaka sayısı bugün 1.396. COVID-19 sebebiyle tüm Türkiye’de bugün hastaneye yatırılan toplam hasta sayısı 113. Son 24 saatte yoğun bakım hasta sayısında 22, entübe sayısında 13 artış var. İyileşenler, tanı konanlardan 96 fazla. https://t.co/RVlhe7786O https://t.co/4BTmLfwuvO</t>
  </si>
  <si>
    <t>1276550274228924428</t>
  </si>
  <si>
    <t>Konya Yunak’ta, 7 kişinin hayatını kaybettiği, 11 kişinin yaralandığı trafik kazası hepimizi derinden üzdü. Tek tesellimiz; kara ve helikopter ambulanslarımızla yaralılarımızı hastaneye kavuşturup, tedavilerine başlamış olmak. Kayıplarımıza rahmet, yaralılarımıza şifa diliyorum.</t>
  </si>
  <si>
    <t>1276544686371614721</t>
  </si>
  <si>
    <t>Virüsün bulaşma yollarını kapatalım.</t>
  </si>
  <si>
    <t>1276530184729042947</t>
  </si>
  <si>
    <t>Koronavirüsle mücadelede katedeceğimiz bütün mesafe 1,5 metredir. (Maske takmak şartıyla.)</t>
  </si>
  <si>
    <t>1276501271885811714</t>
  </si>
  <si>
    <t>Hepimizin başına gelen, YKS’de sizin de başınıza gelecek. Sınav kaygısından kaynaklanan anlık unutmalar, beyninizin size şakasıdır. Bugün iyi dinlenin. Uykunuzu tam alın. Kahvaltıda aceleci olmayın. Sınavda, kapıdan içeri girerken geride kalanları unutun. Çok başarılar, sevgiler. https://t.co/eTew0qdyDm</t>
  </si>
  <si>
    <t>1276488482098216960</t>
  </si>
  <si>
    <t>VİRÜSÜN YAYILMA HIZI AZALDI. Kulaktan kulağa yayılan bu kanı yanlıştır. Bilim, bize yayılma hızının azalmadığını gösteriyor. Dünya Sağlık Örgütü, salgının başından bu yana küresel ölçekte en yüksek günlük vaka sayısını daha yeni açıkladı. Virüsün yayılma hızı şu anda bize bağlı. https://t.co/XtBpQPyrc0</t>
  </si>
  <si>
    <t>1276238745302437888</t>
  </si>
  <si>
    <t>Yoğun bakım hasta sayımızda bir artış oldu. Ancak hastalarımızın yoğun bakımda kalma ve toplam tedavi süreleri kısalmış durumda. Yeni vaka sayılarımızsa tedbirlerin azaldığını gösteriyor. Dünyada vaka sayıları tırmanışta. Türkiye’den iyi haberler verelim. https://t.co/RVlhe7786O https://t.co/SdtiJxgBka</t>
  </si>
  <si>
    <t>1276210392688189440</t>
  </si>
  <si>
    <t>Virüsün izolasyonu için çalışma yaptığımız sıralarda Ortadoğu’dan, Avrupa’dan, Amerika’dan gelen virüslerin farklılık gösterdiğini tespit etmiştik. Bu farklılıklar mutasyon şeklinde yorumlanmamalı. Öte yandan virülansın herhangi bir şekilde azaldığına dair bir kanıt halen yoktur. https://t.co/msssFND8Za</t>
  </si>
  <si>
    <t>1275899040882884610</t>
  </si>
  <si>
    <t>Toplumda bağışıklık gelişip gelişmediği konusunda 153.000 kişiyle araştırma yapıyoruz. 118.000 kişiden elde ettiğimiz sonuçlara göre, bağışıklık oranı binde 2,8. Bu, bağışıklık olmadığı anlamına geliyor. Antikor testlerinde de durum aynı. Sonuçlar tedbirleri vazgeçilmez kılıyor. https://t.co/Vb7T8glYAD</t>
  </si>
  <si>
    <t>1275895900393570309</t>
  </si>
  <si>
    <t>Çevremizde kimsenin bulunmadığı, virüsün bulaşma riskinin zaten söz konusu olamayacağı ortamlarda maske elbette gerekli değildir. Maskeyi bir arada olduğumuz yerlerde kullanmalıyız. Tedbirde de aşırılık olmamalı. Zamanla bıkkınlığa yol açmamalı ki bunu yaz boyu sürdürebilelim. https://t.co/5nDHZlDXFl</t>
  </si>
  <si>
    <t>1275892616241065985</t>
  </si>
  <si>
    <t>Dünyada iyilik, özgürlük, güzellik adına ne yapılmışsa bunların hepsi gençlik ruhunu koruyabilenler tarafından yapılmıştır. Gelecek bizi ileride beklemiyor. Geleceği bize gençler getiriyor. Önümüzde önemli bir sınav var. Size hayat boyu kutlanmaya değer bir başarı diliyorum. https://t.co/pn2UtCQHFs</t>
  </si>
  <si>
    <t>1275889530210582531</t>
  </si>
  <si>
    <t>Vaka sayımızda bir dalgalanma var. Önceki günlere kıyasla test sayımız 10.000 fazla olsa da, sonuç hepimizi riskin büyümesine karşı uyarıyor. Artışın sebebi, yazla birlikte, tedbirlerin esnetilmesi. Bu yaz tedbir dışında ikinci bir seçeneğimiz yok. https://t.co/RVlhe7786O https://t.co/C9PFsZ4CH7</t>
  </si>
  <si>
    <t>1275836301820952576</t>
  </si>
  <si>
    <t>Bilim Kurulu Toplantımızın ardından Koronavirüs ile ilgili son gelişmeler ve aldığımız yeni tedbirlere ilişkin basın açıklamamız.
📍SAĞLIK BAKANLIĞI BİLKENT YERLEŞKESİ / ANKARA
https://t.co/59npjR6oMK</t>
  </si>
  <si>
    <t>1275832696980340741</t>
  </si>
  <si>
    <t>81 ilimizin il sağlık müdürleriyle yaptığımız toplantıda vaka durumlarını, vaka artışlarının olduğu yerlerde artış sebeplerini, yoğun bakım kapasiteleri ve filyasyon oranlarını ele aldık. Koronavirüse karşı yapılması gereken yeni çalışmalar için değerlendirmelerimizi yaptık. https://t.co/bUS7bqdh7l</t>
  </si>
  <si>
    <t>1275508917620158467</t>
  </si>
  <si>
    <t>İstanbul Esenyurt’ta meydana gelen selde bir kişi hayatını kaybetti. Kendisine Allah’tan rahmet, yakınlarına başsağlığı diliyoruz. 112 Ambulans ekiplerimiz sağlık hizmetleri için kısa sürede olay yerine ulaştı. Halen 4 kişinin tedavisine devam edilmektedir.</t>
  </si>
  <si>
    <t>1275487449410650112</t>
  </si>
  <si>
    <t>OP. DR. UĞUR ERTUĞRUL. 1961, Niğde Bor doğumlu. Cerrahpaşa Tıp Fakültesi’nden 1986 yılında mezun oldu. 1998’de Genel Cerrahi Uzmanı oldu. Avcılar Murat Kölük Devlet Hastanesi’nde çalışmaktaydı. Evli ve iki çocuk babasıydı. Mücadelesi için #minnettarız. https://t.co/V5U11U9bng</t>
  </si>
  <si>
    <t>1275479250586435586</t>
  </si>
  <si>
    <t>Test sayımız 3 milyonu geçti. Vaka artışı görülen kentlerden Adana’da 14, Ankara'da 21, Kocaeli'de 16 hastamız yoğun bakımda. İyileşen hasta sayımız yeni vaka sayısından fazla. Daha normal bir hayat için tedbirlere uyarak yeni vaka sayılarını azaltmalıyız. https://t.co/RVlhe7786O https://t.co/xQqKtmwSFo</t>
  </si>
  <si>
    <t>1275470299719520259</t>
  </si>
  <si>
    <t>Bakan arkadaşlarım Sn. Mevlüt Çavuşoğlu ve Sn. Mehmet Nuri Ersoy’la yurt dışı uçuşları ve turizm konularını ele aldığımız bir toplantı yaptık. Pandemi sürecinde ülkece başarımız sağlık ve turizme dönük talepleri artırdı. Talepleri Koronavirüs tedbirleri kapsamında değerlendirdik. https://t.co/ZZylETOlTW</t>
  </si>
  <si>
    <t>1275434345566662660</t>
  </si>
  <si>
    <t>Toplum Bilimleri Kurulumuzla yeni toplantımızı yaptık. Koronavirüs salgınına karşı farklı bilim dallarından bilim insanlarımızın sürece katkılarından yararlandığımız toplantılarımızın bugünkünde gündemimiz YKS’ye girecek öğrencilerin psikolojisi ve alınabilecek ek tedbirler oldu. https://t.co/nz5RUlRACS</t>
  </si>
  <si>
    <t>1275134313412079616</t>
  </si>
  <si>
    <t>İzmir'de 28, Kocaeli'de 20, Sakarya'da 3 vakamız yoğun bakımda. Toplam test sayımız 3 milyona yaklaştı. Bugün iyileşen hasta sayımız yeni vaka sayımızın üstünde. Fakat mücadelemiz için aradaki fark yeterli değil. Vaka sayımızı tedbirlerle azaltmalıyız. https://t.co/RVlhe7786O https://t.co/ir6LJ7o1An</t>
  </si>
  <si>
    <t>1275116163991830533</t>
  </si>
  <si>
    <t>Bursa Kestel’de meydana gelen selde iki vatandaşımız hayatını kaybetti. Yedisi 112, 4’ü UMKE olmak üzere ekiplerimizle bölgedeyiz. Kayıp 4 vatandaşımız için arama çalışmaları devam ediyor. Hayatını kaybedenlere Allah’tan rahmet, yakınlarına başsağlığı dileriz.</t>
  </si>
  <si>
    <t>1274817000552964096</t>
  </si>
  <si>
    <t>Vaka tablosu açıklama metnindeki şu ifade hatalıdır: “İyileşen hasta sayımız bugün yeni vaka sayımızdan 320 fazla.” 320 şeklinde yazılan sayı, tablodan da anlaşılacağı üzere 220’dir. Doğru sayı bu, hepimizin gönlündeki sayı ise çok daha fazlası. https://t.co/mdkn7ot0mk</t>
  </si>
  <si>
    <t>1274803276526096389</t>
  </si>
  <si>
    <t>Bazı illerimizde, vaka artışına rağmen yoğun bakım hasta sayımız düşük: Ankara'da 84, Konya’da 46, Bursa’da 43, Batman’da 22, Siirt’te 8, Van’da 5. İyileşen hasta sayımız bugün yeni vaka sayımızdan 320 fazla. Tedbirlerle aradaki farkı giderek açmalıyız. https://t.co/RVlhe7786O https://t.co/POWWGWLxld</t>
  </si>
  <si>
    <t>1274753660380237825</t>
  </si>
  <si>
    <t>Hayat mücadeleleriyle bize ilham veren, varlıklarıyla güç katan babalarımızın Babalar Günü kutlu olsun. Başta COVID-19 salgınında kaybettiklerimiz olmak üzere, bugün aramızda olmayan babaları rahmetle anıyoruz.</t>
  </si>
  <si>
    <t>1274694728861265921</t>
  </si>
  <si>
    <t>Türkiye, sağlık sistemini güçlendirmeye kararlı bir şekilde devam ediyor. SAĞLIK BAKANLIĞI MARMARA ÜNİVERSİTESİ PROF. DR. ASAF ATASEVEN HASTANESİ Sn. Cumhurbaşkanımızın katıldıkları törenle bugün hizmete AÇILDI. Hastanemiz, yüksek kapasiteli COVID-19 tanı laboratuvarına da sahip. https://t.co/Rs3FRhvFat</t>
  </si>
  <si>
    <t>1274424480492896257</t>
  </si>
  <si>
    <t>Teknolojik donanımı yüksek hastaneleri art arda vatandaşımızın hizmetine sunmanın mutluluğunu yaşıyoruz. Bu güzide hastanemizde görev alacak tüm sağlık çalışanlarının, hayırla yâd ettiğimiz büyüklerimizin adına layık bir anlayışla hizmet bayrağını taşıyacağına eminim. https://t.co/4gw42fvqeE</t>
  </si>
  <si>
    <t>1274398537023991808</t>
  </si>
  <si>
    <t>Sn. Cumhurbaşkanım. Gösterdiğiniz hedef doğrultusunda sağlıkta ülkemizin çağ atladığı bir dönem yaşadık. Bütün dünyayı aynı gündemde birleştiren Kovid-19 salgını, sağlığa yapılan yatırımların ne kadar yerinde olduğunu ve neden kalkınmanın merkezinde olması gerektiğini gösterdi. https://t.co/4KD0032MQm</t>
  </si>
  <si>
    <t>1274395779634016258</t>
  </si>
  <si>
    <t>Son günlerde vaka sayılarımızın arttığı illerden bazılarında yoğun bakım hasta sayıları: Diyarbakır'da 30, Kayseri'de 41, Batman'da 22, Bursa'da 46. İyileşen hasta sayımız bugün de yeni vaka sayımızın üstünde. Tedbirlerle aradaki farkı giderek açmalıyız. https://t.co/RVlhe7786O https://t.co/VK162fvBue</t>
  </si>
  <si>
    <t>1274391664262610947</t>
  </si>
  <si>
    <t>RT @RTErdogan: Sağlık Bakanlığı Marmara Üniversitesi Hastanesi Açılış Töreni https://t.co/uzKZHrLwBY</t>
  </si>
  <si>
    <t>1274360610747285505</t>
  </si>
  <si>
    <t>Sayın Cumhurbaşkanımızın teşrifleriyle; Sağlık Bakanlığı Marmara Üniversitesi Hastanemizi, milletimizin hizmetine açıyoruz. https://t.co/HDrH5BID3d</t>
  </si>
  <si>
    <t>1274355920508555266</t>
  </si>
  <si>
    <t>Dün sosyal medyada yayımlanan, GEÇEN CUMARTESİ MSÜ SINAVINDA 400 ÖĞRENCİYE hastalık bulaştığını ve öğrencilerin karantinaya alındığını ileri süren haber gerçek dışıdır. Testi sınav sabahı sonuçlanan COVID-19 hastası BİR KİŞİ, sınav sırasında izole edilmiştir. Bulaşma olmamıştır.</t>
  </si>
  <si>
    <t>1274303876393549824</t>
  </si>
  <si>
    <t>Tüm yurtta sınav merkezlerine beyin göçü başladı. Saat 13.00 gibi, eve dönüşte güzel haberler bekliyoruz. En zor sorular kolay gelsin.</t>
  </si>
  <si>
    <t>1274209377684271112</t>
  </si>
  <si>
    <t>Gelecek yılın Lise 1’leri :) Şimdi saatlerin her saniyesi uzun. Sonra nasıl geçtiğini anlamayacaksınız. Size az stresli, çok başarılı bir sınav diliyorum. Yarın neler bildiğinizi herkes bilsin!</t>
  </si>
  <si>
    <t>1274088103813230598</t>
  </si>
  <si>
    <t>İSTANBUL ve ANKARA, son bir haftanın en düşük vaka sayısı başarısını gösterdi. Ülke genelinde yeni vaka sayısı azalmaya devam ediyor. İyileşen vaka sayımız dün olduğu gibi bugün de yeni vaka sayısının üstünde. Tedbir, karşılıklı olursa sonuç veriyor. https://t.co/RVlhe7786O https://t.co/s2DDshflFN</t>
  </si>
  <si>
    <t>1274020219447652352</t>
  </si>
  <si>
    <t>Günü, sınav gençlerine bırakıyoruz. Cumartesi biz evdeyiz. Bütün şehirlerimizde, belediye başkanlarımızdan gençler adına istirhamım, BELEDİYE OTOBÜSLERİNİN herkes dışarıdaymış gibi tam kadro hizmette olması. Otobüste az olmak, gençlere iyi gelir. Sınava daha iyi odaklanırız.</t>
  </si>
  <si>
    <t>1273919055284625408</t>
  </si>
  <si>
    <t>Malatya Doğanşehir Belediye Başkanı Vahap Küçük beyefendi, tedavi gördüğü kalp rahatsızlığı nedeniyle hayatını kaybetti. Desteği ve ağabeyliğiyle pek çok gencin öğrenim hayatını kolaylaştırmıştı. İyilikle yâd edilecek. Kendisine Allah’tan rahmet, yakınlarına başsağlığı diliyorum.</t>
  </si>
  <si>
    <t>1273696802215264260</t>
  </si>
  <si>
    <t>Vaka sayısında düne kıyasla 125 azalma oldu. İYİLEŞEN HASTA SAYIMIZ BUGÜN TEKRAR YENİ VAKA SAYISINI GEÇTİ. Birimizin ihmali, hepimizi ilgilendiriyor. Hayatımıza tedbirlerle devam edelim. https://t.co/RVlhe7786O https://t.co/bEybuInqAM</t>
  </si>
  <si>
    <t>1273671214142296064</t>
  </si>
  <si>
    <t>LGS ve YKS GÜNLERİNDE sağlanması gereken şartlar konusunda Bilim Kurulumuz tavsiye kararı aldı. Sınava gidiş ve dönüş saatlerinde dışarıda yoğunluk olmaması, GÜNÜN GENÇLERE AYRILMASI için Sn. Cumhurbaşkanımız sınırlı bir sokağa çıkma yasağı yönünde talimat verdiler. https://t.co/9gC5c0OIKV</t>
  </si>
  <si>
    <t>1273554545260576769</t>
  </si>
  <si>
    <t>Virüsü görüntüleyebilen elektron mikroskobuyla ele bakılamaz. Diyelim bakıldı. Bugünlerde pek tedbirli değilseniz çok sayıda sürprizle karşılaşabilirsiniz. El sıkışmaktan kaçının. Elinizi sık yıkayın. Koronavirüs solunum yoluyla bulaşır. Bunu kendi elimizle kolaylaştırmayalım. https://t.co/ka97nKLR6H</t>
  </si>
  <si>
    <t>1273540131941736448</t>
  </si>
  <si>
    <t>TBMM Dışişleri Komisyonu Başkanı Sayın Volkan Bozkır, Birleşmiş Milletler 75. Dönem Genel Kurul Başkanı seçildi. Kendisini yürekten kutluyorum. Sn. Bozkır, ülkemizden bu göreve getirilen ilk isim. Tüm uluslararası toplum ve sesine yankı arayan mazlumlar için hayırlı olsun.</t>
  </si>
  <si>
    <t>1273379753207238656</t>
  </si>
  <si>
    <t>Ankara, İstanbul, İzmir, Bursa, Kocaeli, Konya, Kayseri, Diyarbakır, Şanlıurfa ve Van’da son bir aydaki günlük ortalama vaka sayısını, son bir haftanın günlük ortalama vaka sayısını ve son üç günün ortalamasını bu videodan öğrenebilirsiniz. Bazılarında gelişmeler önem arz ediyor. https://t.co/1KortsbMcK</t>
  </si>
  <si>
    <t>1273358230329208833</t>
  </si>
  <si>
    <t>Salgının başlangıcında yoğun bakımdakilerin %53’ü vefat ediyordu. Oran şimdi %2’ye düştü. Büyüklerimizin hastalıktan korunmaları başarıyı artırdı. Onları koruyamazsak kitlesel iyileşmeden söz edemeyiz. Bunun bedelini üstlenmeye kim hazır olabilir? Tedbir almamak bedel almaktır. https://t.co/npAsokolmF</t>
  </si>
  <si>
    <t>1273352821128286209</t>
  </si>
  <si>
    <t>Bu mücadeleyi hayatın devamlılığı içinde vermeliyiz. İstikrarlı adımlarla, normalleşmeyi her yönüyle iyileşme sürecine çevirebiliriz. Bunun koşulu, sosyal hayatın bu dönemde belirli prensiplere sadık olmasıdır. Son günlerde vaka sayımızdaki artışlar sürece intibakla ilgilidir. https://t.co/C248dtSC5H</t>
  </si>
  <si>
    <t>1273347225935065088</t>
  </si>
  <si>
    <t>Günlük yeni vaka sayımızda, dün, bir önceki güne göre 125 azalma olmuştu. Bugün durum durağan. Yeni iyileşen hasta sayımız, şu an yeni vaka sayısından daha az. Tedbirlerle vaka sayısını ve riski azaltmalıyız.   https://t.co/RVlhe7786O https://t.co/yUPoAhPXfg</t>
  </si>
  <si>
    <t>1273298312028962816</t>
  </si>
  <si>
    <t>Bilim Kurulu Toplantımızın ardından Koronavirüs ile ilgili son gelişmeler ve aldığımız yeni tedbirlere ilişkin basın açıklamamız.
📍SAĞLIK BAKANLIĞI BİLKENT YERLEŞKESİ / ANKARA
https://t.co/jOHgpoh5gj</t>
  </si>
  <si>
    <t>1273295022461509634</t>
  </si>
  <si>
    <t>Tatlı dilli, ekşi dilli bütün uyarıları tek tek aldım. Teşekkür ederim. Kapak fotoğrafını birazdan değiştiriyorum. Kötü örneğe son bi kez bakın, çıkarım yapın:) Doğrusu, orada, fotoğrafçı benden on, on beş metre uzaktaydı. Ama kapakta mazeret değil.</t>
  </si>
  <si>
    <t>1272997545741074432</t>
  </si>
  <si>
    <t>Yeni vaka sayısı dünkünden 125 az. Hastaneye yatışı yapılan yeni hasta sayısı 210. Yoğun bakım hasta sayımızda 10 artış var. Pozitif tanı sayısının 1.000’in üstünde seyrettiği son tablolarda bazı bölgeler ve grup davranışları etkin. Tedbirlerle güçlüyüz. https://t.co/RVlhe7786O https://t.co/e4ZRXzcMR5</t>
  </si>
  <si>
    <t>1272940835320074241</t>
  </si>
  <si>
    <t>Virüse karşı yürüttüğümüz mücadelede, maske, sosyal sorumluluğumuz. Maske takarak, birbirimizi virüsten koruyalım. Maskesiz dolaşanları, maske takıyormuş gibi yapanları uygun dille uyaralım. Virüsle maskesiz mücadele edemeyiz. https://t.co/NM1JcRinXN</t>
  </si>
  <si>
    <t>1272801774441807873</t>
  </si>
  <si>
    <t>Maskesiz? Görenler ne der?</t>
  </si>
  <si>
    <t>1272763520380215298</t>
  </si>
  <si>
    <t>Vaka artışlarıyla dikkat çeken şehirlerimiz başta olmak üzere, artış eğilimi olan yerlerde il hıfzıssıhha kurullarımız, valilerimiz başkanlığında riske karşı kararlar almaya devam ediyor. 42 ilimizde maske, yaptırımı olan bir sosyal sorumluluk. Virüsle maskesiz mücadele edemeyiz. https://t.co/oqYtNhMOW6</t>
  </si>
  <si>
    <t>1272661798345478145</t>
  </si>
  <si>
    <t>Maske ve mesafe kuralına uymayanları virüsle mücadeleye çağıralım.</t>
  </si>
  <si>
    <t>1272618088937250816</t>
  </si>
  <si>
    <t>İstanbul’daki sağlık tesislerimiz için, 3.250 çalışma arkadaşına daha ihtiyacımız var. Duyuruları internet üzerinden takip edebilirsiniz. Şimdiden, görevinizde başarılar diliyorum. https://t.co/dKVWgJWiO8</t>
  </si>
  <si>
    <t>1272615298991079427</t>
  </si>
  <si>
    <t>Düne kıyasla vaka sayımız 30, yoğun bakım hasta sayımız 5, entübe hasta sayımız 1 artış gösterdi. ARTIŞLAR BELLİ BÖLGELERDE YOĞUNLAŞIYOR. Rehavet mi, mücadele mi? Maske + mesafe kuralına hep birlikte uyarsak, yayılımı kontrol altına alabiliriz. Güç bizde. https://t.co/RVlhe7786O https://t.co/unwWc4RRXE</t>
  </si>
  <si>
    <t>1272586526749229056</t>
  </si>
  <si>
    <t>Bingöl Karlıova, çevre illeri de etkileyen 5,7 büyüklüğünde bir deprem yaşadı. Bir can kaybımız var. Allah’tan rahmet diliyorum. Ambulanslarımız, UMKE araçlarımız, müdahale ünitelerimiz, personelimizle görev başındayız. Yaralılarımızı tedavi altına aldık. Geçmiş olsun Türkiye.</t>
  </si>
  <si>
    <t>1272261860860051464</t>
  </si>
  <si>
    <t>İyileşen hasta sayımız yeni vaka sayısının altına düştü. Yoğun bakıma ve solunum cihazına ihtiyaç artıyor: Hedeften uzaklaşıyoruz. En zayıf noktamız, TEDBİRSİZ iyimserlik. TEDBİRLİ İYİMSER olalım. Kontrollü Sosyal Hayat dönemine yarın tam olarak geçelim. https://t.co/RVlhe7786O https://t.co/540LYBatKN</t>
  </si>
  <si>
    <t>1272216571621113857</t>
  </si>
  <si>
    <t>https://t.co/IuGiNSG4Qz</t>
  </si>
  <si>
    <t>1272136773527916544</t>
  </si>
  <si>
    <t>Virüs, bazı dış yüzeylerde bir süre canlı kalıyor. Virüs bulunan bir yüzeye elinizle dokunduğunuzda, elin ağız ve burunla teması hastalığa yol açar. Mesafe kuralına uymayıp, bir de el sıkışırsak virüse fırsat tanımış oluruz. Tokalaşmayalım. Bugünlerde dostça olan tokalaşmamaktır. https://t.co/tNdFM32qY2</t>
  </si>
  <si>
    <t>1272122311697711104</t>
  </si>
  <si>
    <t>Dünkü vaka tablomuz, salgının ciddiyetini koruduğu gerçeğiyle hepimizi yüzleştirdi. Geri adım atmayacak kadar güçlü ve tedbirlerde deneyimliyiz. Başladığımız gün, yarın için güven verici bir gün olsun. https://t.co/2Q7UMXtlHP</t>
  </si>
  <si>
    <t>1272084171607937024</t>
  </si>
  <si>
    <t>13 Haziran, irfan hazinemize kazandırdıkları ve üslubuyla unutamayacağız üstat Cemil Meriç’in vefatının 33. yıl dönümüydü. Ömrü kitaplar arasında geçti. Kör olmayı göze alacak kadar. Görmemizi istediği her şey için ona minnettarız. Büyüklüğünü bugün daha iyi görebiliyoruz. https://t.co/z0XxtffTGJ</t>
  </si>
  <si>
    <t>1272044000485220353</t>
  </si>
  <si>
    <t>Ziyaretlerimizin üçüncüsünde hocamız Prof. Dr. Cemil Taşcıoğlu'nun adını verdiğimiz Okmeydanı Şehir Hastanesinin tamamlanan ilk etabını inceledik. Hasta kabulüne başlayan ilk etap, 81'i yoğun bakım olmak üzere 790 yataklı. 27 ameliyathanemiz faal durumda. Yeni haberlerimiz yakın. https://t.co/nIeFxVQgU2</t>
  </si>
  <si>
    <t>1271942718646779905</t>
  </si>
  <si>
    <t>İkinci ziyaret yerimiz, Göztepe kampüsünde inşası devam eden Şehir Hastanemizdi. İstanbul, deprem izolatörleri ile dayanıklı hale getirilmiş, yüksek teknolojiye sahip bir hastaneye kavuşuyor. 600 yatağı, 27 ameliyathanesiyle hastanenin birinci etabı yakında hizmete girecek. https://t.co/CC70ILc7Nr</t>
  </si>
  <si>
    <t>1271937022991745024</t>
  </si>
  <si>
    <t>PAYLAŞTIĞIM FOTOĞRAF, günceldir. Bugün ziyaret ettiğimiz ve sadece COVID-19 hastalarının kabul edildiği Prof. Dr. Feriha Öz Acil Durum Hastanesi’nde çekilmiştir. https://t.co/LcCvoU38dy</t>
  </si>
  <si>
    <t>1271903846642733056</t>
  </si>
  <si>
    <t>Vaka sayısındaki artış, tedbirlere uymayanları uyarıyor. Giderek, hepimizi. https://t.co/RVlhe7786O https://t.co/0sNQsJTIQJ</t>
  </si>
  <si>
    <t>1271856166495232000</t>
  </si>
  <si>
    <t>İstanbul’dayım. İki hafta önce açılan Prof. Feriha Öz Acil Durum Hastanemizi ve çalışma arkadaşlarımızı ziyaret ettik. Yatan 105 hastamız hakkında bilgi aldık. Hastanemiz şimdilik sadece Koronavirüs hastalarıyla şüphelileri kabul ediyor. Sırada yeni hastane ziyaretlerimiz var. https://t.co/ES1L7laqmR</t>
  </si>
  <si>
    <t>1271825730511548418</t>
  </si>
  <si>
    <t>Ligler ara verildiği yerden başladı. Maçlar seyircisiz oynanıyor. Takımına ekran başından destek verenlere, özellikle ortak mekânlardalarsa, “dikkatli” seyirler diliyorum. Maskeli, mesafeli… Oyunu kuralına göre izleyelim! https://t.co/TYI9V98O14</t>
  </si>
  <si>
    <t>1271515322156306432</t>
  </si>
  <si>
    <t>BUGÜNKÜ VAKA SAYISI 1.195. Henüz iyileşmemiş hastalarımızın sayısı yaklaşık 25 bin. Yoğun bakım ve entübe hasta sayısındaki artış, beklenen artışın sınırında. Virüsün yayılımı hatalı iyimserlikten kaynaklanıyor. Maske, mesafe ve temizlik kuralına uyalım. https://t.co/RVlhe7786O https://t.co/RteI0GjoDD</t>
  </si>
  <si>
    <t>1271488056751775746</t>
  </si>
  <si>
    <t>Genç yaşlı, büyük küçük hepimiz, kimi sınırlamalar hariç artık ne zaman istersek dışarıdayız. Fakat kısıt kalktı, yaz geldi diye evimiz gözden düşmesin. Kendimizi virüsten koruyabilmiş olmayı evimize de borçluyuz. Dışarıda yeterinden fazla kalmak yerine vakitlice evimize dönelim. https://t.co/ukHJfLjl0l</t>
  </si>
  <si>
    <t>1271404756037140482</t>
  </si>
  <si>
    <t>Galiba en zoru çocuk olmaktı. Korkuları bizi üzdü. Parkları özleseler de evde kalmayı başardılar. Çıktıklarında maskelerini taktılar. Çocuklarımıza ve anne babalarına teşekkür ederim. Dışarı çıktıklarında kurallara uymayanları uyarabilirler. Sloganları hazır:) “Bana yaklaşmayın!” https://t.co/vcjclq3dBP</t>
  </si>
  <si>
    <t>1271367336994508801</t>
  </si>
  <si>
    <t>İktisat bilimine katkılarıyla tanınan PROF. DR. SABRİ ORMAN hayatını kaybetti. Meslektaşları onu, öncü çalışmalarıyla olduğu kadar, yüksek insani vasıflarıyla anıyor. Hocamıza Allah’tan rahmet, ailesine ve bilim dünyasına başsağlığı diliyorum. https://t.co/2jI55ZT81w</t>
  </si>
  <si>
    <t>1271362505546313728</t>
  </si>
  <si>
    <t>Tehlikeli Sosyal Mesafeler: 149 cm, 148 cm, 147 cm, 146 cm, 145 cm, 144 cm, 143 cm, 142 cm, 141 cm, 140 cm, 139 cm, 138 cm, 137 cm, 136 cm, 135 cm, 134 cm, 133 cm, 132 cm, 131 cm, 130 cm, 129 cm, 128 cm, 127 cm, 126 cm, 125 cm, 124 cm, 123 cm, 122 cm. Mesafe azaldıkça risk artar.</t>
  </si>
  <si>
    <t>1271182992854130688</t>
  </si>
  <si>
    <t>TÜRK KIZILAY 152 YAŞINDA. 11 Haziran 1868’deki ilk kurucuları, dönemin idealist hekimleri arasından çıkmıştı. Hilal’i; nerede bir insan acısı, yardım çağrısı varsa orada yeniden doğan Türk Kızılayı, 152 yıldır iyilik için hep genç kaldı. Yeni yaşı kutlu olsun! https://t.co/Ox081PByMZ</t>
  </si>
  <si>
    <t>1271148381520433153</t>
  </si>
  <si>
    <t>Test sayısında 2,5 Milyona ulaştık. Şimdiye kadarki vakaların %85’i iyileşti. Yeni iyileşen vaka sayısıyla yeni tanı konan vaka sayısı birbirine yakın. Virüs gücünü hatalı iyimserlikten alıyor. “Virüsün etkisi azaldı” yanılgısı ile tedbirleri terk etmeyin. https://t.co/RVlhe7786O https://t.co/BCbGbRGpGP</t>
  </si>
  <si>
    <t>1271131136509521920</t>
  </si>
  <si>
    <t>Büyüklerimiz evde kalarak, dışarıda maske takıp, sosyal mesafeyi koruyarak tedbirlere uydu. Büyüklüklerini göstermeye devam ediyorlar. Teşekkür ederim. Onlara karşı özenli olalım. Salgını, kurallara uyarak yenebiliriz. Kurallara uymayanları nazikçe uyaranlara da teşekkür ederim. https://t.co/74bnvF2AIF</t>
  </si>
  <si>
    <t>1271083816405348352</t>
  </si>
  <si>
    <t>Değerli arkadaşım,
İki yeni şiddet olayı yaşadık. Sağlık hizmetlerinin insanlık için ne anlama geldiğinin iyi bilindiği günlerde! Yargının vereceği hak edilmiş ceza, vicdanlardaki rahatsızlığı telafi edemez. Birkaç istisna dışında, size tüm insanlık saygı duyuyor. Geçmiş olsun.</t>
  </si>
  <si>
    <t>1270855752626982913</t>
  </si>
  <si>
    <t>SEVGİLİ GENÇLER. Salgın döneminde genç olmak kabahat değildi. Virüsü bilmeden yayma ihtimali evde kalmanıza yol açtı. Şimdi büyüklerimize karşı koruyucu olmanız gerekiyor. Bugünün örnek genci, bence, maskesini takan, mesafesini koruyan gençtir. Bir ağabeyiniz olarak aklım sizde. https://t.co/N41a2MRKZt</t>
  </si>
  <si>
    <t>1270838380797087745</t>
  </si>
  <si>
    <t>KIYMETLİ BÜYÜKLERİM. Serbestlik gelmesi riskin ortadan kalktığı anlamına gelmiyor. Azalmakla birlikte risk devam ediyor. Serbest zaman hakkınızı ihtiyatlı şekilde kullanabilirsiniz. Sizden istirhamım, evde geçen günleri riske atmamanız. Lütfen büyüklüğünüzü göstermeye devam edin. https://t.co/Cfdh3gdKUw</t>
  </si>
  <si>
    <t>1270835244242022401</t>
  </si>
  <si>
    <t>KORONAVİRÜSLE PASİF MÜCADELE GÜNLERİNDEN, Kontrollü Sosyal Hayat ilkelerine uyarak, aktif mücadele günlerine geçiyoruz. Artık mücadeleyi, evlerimizden çıkıp, hayatın tüm alanlarındaki rollerimize dönerek vermeye başladık. Koruyucu silahlarımız maske, mesafe ve el hijyenidir. https://t.co/L2vOq9ekyT</t>
  </si>
  <si>
    <t>1270832113584091136</t>
  </si>
  <si>
    <t>SALGIN SEBEBİYLE UYGULANAN KISITLAR, bunların yerini, tedbirlere tam uyumun alacağı inancıyla, büyük oranda kaldırıldı. Cumhurbaşkanımızın belirttiği gibi, “Koronavirüsün kökü tamamen kazınana kadar hayatımızı Maske, Mesafe, Temizlik ilkeleri çerçevesinde düzenlememiz” şarttır. https://t.co/Rmnr5ZQi0F</t>
  </si>
  <si>
    <t>1270829449513140229</t>
  </si>
  <si>
    <t>DSÖ AVRUPA BÖLGE DİREKTÖRÜ Dr. Hans Kluge ile bugün yaptığımız görüşmede, Türkiye’nin salgına karşı yürüttüğü çalışmaları detaylı verilerle ele aldık. Ülkemizin başarısını kutlayan Kluge, seyahat kısıtlarının kaldırılmasının ardından ilk ziyaretini Türkiye’ye yapacağını açıkladı. https://t.co/wmt4R4jI5d</t>
  </si>
  <si>
    <t>1270773675122405377</t>
  </si>
  <si>
    <t>Yeni tanı konan hasta sayısı, yeni iyileşen hasta sayımızın %40’ı kadar. YAŞ ORTALAMASI yeni vakalarda 36, vefatlarda 71. Yeni hastalar sebebiyle artan yoğun bakım ihtiyacı düne yakın. Virüsün etkisinin azaldığı fikri riskli. “Normal” olan, tedbirdir. https://t.co/RVlhe7786O https://t.co/dHfVy9datB</t>
  </si>
  <si>
    <t>1270763564580638726</t>
  </si>
  <si>
    <t>Bilim Kurulu Toplantımızın ardından Koronavirüs ile ilgili son gelişmeler ve aldığımız yeni tedbirlere ilişkin basın açıklamamız.
📍SAĞLIK BAKANLIĞI BİLKENT YERLEŞKESİ / ANKARA
https://t.co/PUDt4pgy5c</t>
  </si>
  <si>
    <t>1270759317139066881</t>
  </si>
  <si>
    <t>COVID-19’a doğrudan etkili ilaç, koruyucu aşı henüz bulunamadı. Fakat salgının daha ilk döneminde, bilim, hastalığın bulaşma yolunu ve buna karşı alınacak tedbirleri bize gösterdi: Maske, mesafe, el hijyeni. İlacı olmayan hastalığa karşı elimizde sadece tedbir var. Lütfen uyalım. https://t.co/GTfzpVxn4Z</t>
  </si>
  <si>
    <t>1270757601962332163</t>
  </si>
  <si>
    <t>CUMHURBAŞKANIMIZ, önlem ve yeni durum değerlendirmesi sonucu alınan kararları kabine toplantısının ardından açıkladı. “Koronavirüs musibetinin kökü tamamen kazınana kadar hayatımızı MASKE-MESAFE-TEMİZLİK ilkeleri çerçevesinde düzenlememiz” şartıyla kısıtlar büyük oranda kalktı. https://t.co/lw0vuxkfsP</t>
  </si>
  <si>
    <t>1270443554817609728</t>
  </si>
  <si>
    <t>Son 24 saatte iyileşen hasta sayımızın üçte biri kadar yeni hastamız var. Tanı konup, yatırılan hastalarımız sebebiyle yoğun bakım ve solunum desteğine ihtiyaç arttı. Virüsün etkisinin zayıfladığını gösteren bilimsel bir veri yok. “Normal” olan, tedbirdir. https://t.co/RVlhe7786O https://t.co/KBs3McPCWl</t>
  </si>
  <si>
    <t>1270403405454942208</t>
  </si>
  <si>
    <t>Bakanlar Kurulundayım. Ne diyeceğim, dışarıdan alacağım duyumlara bağlı. Maske + sosyal mesafede an itibariyle artış var mı?</t>
  </si>
  <si>
    <t>1270377411419537408</t>
  </si>
  <si>
    <t>Van Çatak’ta PKK terör saldırısı sonucu 2 işçi şehit oldu. Yaralı 8 işçi SBÜ Van Eğitim ve Araştırma Hastanemizde tedavi altına alındı. İkisi yoğun bakımda. 6 işçimizin durumu iyi. Şehitlerimize Allah’tan rahmet, yaralılarımıza şifalar diliyorum. Ailelerinin acısı, ortak acımız. https://t.co/mwDK7OXjTR</t>
  </si>
  <si>
    <t>1270128809002631169</t>
  </si>
  <si>
    <t>TOPLUM BİLİMLERİ KURULU İLE İLK TOPLANTIMIZI YAPTIK. Salgınla mücadelenin ikinci aşamasında sosyoloji, psikiyatri, tarih, ekonomi, iletişim, halk sağlığı vd. alanlarda uzman bilim insanlarımızın katkılarından yararlanacağız. İlk toplantıda yeni koşulları ve ihtiyaçları ele aldık. https://t.co/Pw7dvAx9Eo</t>
  </si>
  <si>
    <t>1270115677328809986</t>
  </si>
  <si>
    <t>Yaz, geldi. Büyüklerimiz dâhil, birçoğumuz, köyümüze, kentimize ya da tatile gidiyoruz. Uzun yolun başı ve sonu çok dikkat istiyor. Biniş ve inişte kalabalığa karşı mesafeli, maskeli olmalıyız. İhmaller, kötü ihtimali büyütür. Şimdiye dek aldığımız tedbirleri elden bırakmayalım. https://t.co/8F1X85OiJT</t>
  </si>
  <si>
    <t>1270095045140664320</t>
  </si>
  <si>
    <t>Çoğunluğumuz tedbirlere uyuyor. Özellikle gençler! Geri dönüşsüz başarı için, eski kısıtlara kıyasla küçük bazı zorlukları, uyum içinde, hep birlikte benimseyelim. Salgını, maske ve sosyal mesafe kuralına uyarak yenebiliriz. Uymayanları nazikçe uyaranlara da teşekkür ederim. https://t.co/pdXveCy3qx</t>
  </si>
  <si>
    <t>1270084442921590784</t>
  </si>
  <si>
    <t>Vaka sayısında, maske ve mesafe kuralına uyulması şartıyla önü kesilmesi kolay bir hareketlilik var. İyileşen hasta sayımızda ciddi artış gerçekleşti. Solunum desteğine ihtiyaç azaldı. Yoğun bakım hasta sayısı yükselişte. TEDBİR AZALIRSA, TEHDİT ARTACAK. https://t.co/RVlhe7786O https://t.co/uiZYI4J6nr</t>
  </si>
  <si>
    <t>1270046515625680903</t>
  </si>
  <si>
    <t>M  e  s  a  f  e   k  u  r  a  l  ı  n  a   u y a l ı m
Kuralıuygulamasızorortamagirmeyelim</t>
  </si>
  <si>
    <t>1270022169792262152</t>
  </si>
  <si>
    <t>26 Nisanda İdlib’te teröristlerle çıkan çatışmada yaralanan TANKÇI SÖZLEŞMELİ ERİMİZ İSMAİL ANAYURT, tedavisini sürdürdüğümüz hastanede hayatını kaybetti. Elimizden geleni yaptık. Şehadeti başımız üstüne. Personelimiz ve bizler müteessiriz. Kendisine ALLAH’TAN RAHMET DİLİYORUM. https://t.co/oGwPkpqLd8</t>
  </si>
  <si>
    <t>1269740208720936960</t>
  </si>
  <si>
    <t>FİLYASYON ÇALIŞMALARINDA, “Geçmiş olsun” ziyareti sebebiyle bir ilimizde 190 kişiye virüs bulaştığı tespit edildi. Bir diğer ilimizde, asker uğurlamasında, 58 kişi virüsle enfekte oldu. Yeni iyileşen hasta sayımız, 2.647. Tedbir azaldıkça tehdit artıyor. https://t.co/RVlhe7786O https://t.co/OgMVeputAM</t>
  </si>
  <si>
    <t>1269671295534366722</t>
  </si>
  <si>
    <t>Bugün Cahit Zarifoğlu’nu özlemle andık. Kıymeti çok bilindi, kanımca az okundu. KALABALIKTAN UZAĞA ÇEKİLİP okusak mı? https://t.co/4OpFaqAjgG</t>
  </si>
  <si>
    <t>1269659561507663872</t>
  </si>
  <si>
    <t>65 yaş üstü büyükler, sağ olsunlar, biraz sıkılsalar da tedbirlere uyuyor. Şimdi izne bağlı olarak seyahat hakları var: Memlekete dönüş başladı. Rica ediyorum: Son derece dikkatli olmalı. Otobüse binerken, inerken kalabalığa karışmamalı. EVDE GEÇEN ONCA GÜNÜN NE KIYMETİ KALIR? https://t.co/CqfHexYsT3</t>
  </si>
  <si>
    <t>1269657723567816704</t>
  </si>
  <si>
    <t>Birçok şiiri halk müziğimize mal olan, en çok Mihriban’la sevilen Abdurrahim Karakoç aydın bir halk ozanımızdı. “Boşluğumu şiirle doldurmaya çalıştım” derken şiire gönül veren herkes adına söz almış olmalı. Ölüm yıl dönümünde rahmetle anıyoruz: “Ayrılıktan zor belleme ölümü”. https://t.co/gSMiKL8UX6</t>
  </si>
  <si>
    <t>1269650010561490944</t>
  </si>
  <si>
    <t>KULLANILMIŞ KORONAVİRÜS MASKESİ ve eldivenler, CANLI VİRÜS TAŞIYABİLECEĞİ için risklidir. Dışarıda, muhtemelen yenisini takmak için, çıkardığınız maske ve eldivenleri yere atmayın, çöpe atın. Salgın dünyayı bu denli etkilemişken çevreyi de kirletmesine lütfen izin vermeyin. https://t.co/ajDyUSUTYE</t>
  </si>
  <si>
    <t>1269637934556360705</t>
  </si>
  <si>
    <t>Tamamdır Sude Hanım. Bağlaçlar arasına virgül, konulmaz. Bizimki sosyal mesafe tutkusundan:) Mesafe kuralına uyulur + maske takılırsa soru(n) istediği yerden gelsin. https://t.co/2Yo1MzK0ob</t>
  </si>
  <si>
    <t>1269585648316489728</t>
  </si>
  <si>
    <t>Bugün Cahit ağabeyimizin vefatının 33. yıl dönümü. Şiiriyle, hayatıyla biz yeni kuşaklar için “işaret çocuğu”ydu. Yedi Güzel Adam’ı yazdı, onlardan biri oldu. Yaşamak şöyle başlar: “Ne çok acı var!” Pankreas kanseri sebebiyle 47 yaşında kaybettiğimiz ŞAİRİMİZİ RAHMETLE ANIYORUZ. https://t.co/MggrWZAI5h</t>
  </si>
  <si>
    <t>1269565589514784769</t>
  </si>
  <si>
    <t>“Son vakanın tedavi edildiği, salgınla mücadelenin geride risk kalmayacak şekilde başarıya ulaştığı haberini alan vatandaşlarımız kutlamalara başladı.” Bu habere daha var. Çok fazla normalleşmeyelim. MASKE + MESAFE KURALINA MODA OLARAK UYALIM. https://t.co/maOG7CRWmh</t>
  </si>
  <si>
    <t>1269429646950572032</t>
  </si>
  <si>
    <t>GALATA KÖPRÜSÜNDE bugün çekilen fotoğraftan anladığımıza göre, balıkçılar arasında 1,5 m mesafe kuralına uyulmamış. Kovalar dolmuş mu bilmiyoruz ama virüs köprüye uğramışsa eli boş dönmemiştir. Özellikle kronik hastalığı olanlar MASKESİZ, MESAFESİZ risk altındadır. RAST GELMESİN! https://t.co/OYV0Jazdrh</t>
  </si>
  <si>
    <t>1269355946146516995</t>
  </si>
  <si>
    <t>Salgın, beslenme alışkanlıklarımız, rutin egzersizlerimiz dâhil, düzenimizi değiştirdi. Yeniden kendi normallerimize dönüyoruz. Evde geçen günlerde birikmiş sorunları çözmeye başlıyoruz. Diyetisyenlerimize yardımları için şimdiden teşekkür. DÜNYA DİYETİSYENLER GÜNÜ kutlu olsun. https://t.co/rmN8WGgqaT</t>
  </si>
  <si>
    <t>1269340804188983297</t>
  </si>
  <si>
    <t>Toplam vakaların %80’i iyileşti. Yeni iyileşen hasta sayımız 2.000’e yakın. Pozitif tanı konan hastaların büyük kısmı hastalığı belirtisiz ve evde geçiriyor. 81 ilimizde COVD-19 sebebiyle DÜN YATAN HASTA SAYISI 41. Daha iyi tedbir, daha iyi sonuçtur. https://t.co/RVlhe7786O https://t.co/in14xdYFYP</t>
  </si>
  <si>
    <t>1269329017615851526</t>
  </si>
  <si>
    <t>Malatyamızın Pötürge ilçesinde 5 şiddetinde bir deprem yaşandı. Yedi mahallede 20 ev maalesef ağır hasar gördü. Deprem acısı henüz çok tazeyken, hissedilen kaygıyı anlayabiliyoruz. Geçmiş olsun. İnşallah depremin en hafifiyle bile karşılaşmayız.</t>
  </si>
  <si>
    <t>1269032979550081025</t>
  </si>
  <si>
    <t>MİLLİ SAVUNMA BAKANLIĞIMIZIN yaptığı açıklamadan İdlib’de, zırhlı ambulans aracına saldırıda bir askerimizin şehit düştüğünü, iki silah arkadaşının yaralandığını öğrendik. Şehidimizin ailesine, Silahlı Kuvvetler mensuplarına başsağlığı diliyoruz. Yaralılarımızın hizmetindeyiz. https://t.co/ZUYOiDGLOM</t>
  </si>
  <si>
    <t>1269031070252613632</t>
  </si>
  <si>
    <t>KORONAVİRÜS, SOLUNUM YOLUYLA BULAŞIR. Dışarı çıkarken, risk almamak için, maske takmalısınız. Maskeyi, kuralına uygun olarak, ağız ve burunu tamamen kapatacak şekilde kullanın. Ama tek başına maske yetmez. Virüse 1,5 metreden daha yakınsanız, maskeli de, maskesiz de hedefsiniz. https://t.co/OjIOS8zIJc</t>
  </si>
  <si>
    <t>1268963245160882177</t>
  </si>
  <si>
    <t>İyileşen hasta sayısında artış var. Artış hızlanacak. Toplam hasta sayısında yer alan vakaların önemli kısmı izleme sürecindeki belirtisiz vakalardır. Gelecek günler, el hijyenine özene; maske + mesafe kuralına bağlı. Daha iyi tedbir, daha iyi sonuçtur. https://t.co/RVlhe7786O https://t.co/DxWUZCz68Y</t>
  </si>
  <si>
    <t>1268941167464513539</t>
  </si>
  <si>
    <t>AB ÜYESİ 26 ÜLKENİN BÜYÜKELÇİLERİYLE ONLINE TOPLANTI YAPTIK. COVID-19’la mücadelemiz konusunda YARARLI BİR SUNUM gerçekleştirdik. Ayrıca AB’ye tam üyeliğin ülkemizin stratejik hedefi olduğuna da değinerek, Türkiye’nin sağlık alanında AB’ye güç katacağını sözlerimize ekledik. https://t.co/mPT5j2djJV</t>
  </si>
  <si>
    <t>1268918736670597121</t>
  </si>
  <si>
    <t>Kullanılmış maske ve eldivenler, virüsle temas etmiş olabileceği, CANLI VİRÜS TAŞIYABİLECEĞİ İÇİN risklidir. Maske ve eldiveni rastgele bir yere atmayın. Çöpe atın. Bugün 5 HAZİRAN DÜNYA ÇEVRE GÜNÜ. Salgın dünyayı bu denli etkilemişken bir de çevreyi kirletmesine izin vermeyelim. https://t.co/8nm018JkPl</t>
  </si>
  <si>
    <t>1268876279245352961</t>
  </si>
  <si>
    <t>Sevgili gençler. Bir ayağınız kapıda olsun, saat 14.00’a 5 var.</t>
  </si>
  <si>
    <t>1268858897244225536</t>
  </si>
  <si>
    <t>Sevgili çocuklar, amcalar ve teyzeler sabrınız için gözlerinizden öpüyor. Ama uzaktan! Harika bir gün, saat 14.00-20.00 arası harika vakit geçirin. Çok sevgiler. Annelerle babalara özverileri için teşekkür ediyorum.</t>
  </si>
  <si>
    <t>1268852913398480901</t>
  </si>
  <si>
    <t>RT @RTErdogan: Bunun için, Cumhurbaşkanı olarak, 15 ilimizi kapsayan hafta sonu sokağa çıkma sınırlaması uygulamasını iptal etme kararı ald…</t>
  </si>
  <si>
    <t>1268830997736501248</t>
  </si>
  <si>
    <t>RT @RTErdogan: Tek amacı hastalığın yayılmasını önlemek ve vatandaşımızı korumak olan bu kararın, farklı sosyal ve ekonomik sonuçlara yol a…</t>
  </si>
  <si>
    <t>1268830989347950593</t>
  </si>
  <si>
    <t>RT @RTErdogan: Sağlık Bakanlığımızın önerisi ve İçişleri Bakanlığımızın genelgesi ile bu hafta sonu da 15 ilimizde sokağa çıkma sınırlaması…</t>
  </si>
  <si>
    <t>1268830977356451841</t>
  </si>
  <si>
    <t>RT @RTErdogan: Esasen, en son sınırlamanın ardından bu yöntemi yeniden kullanmayı düşünmüyorduk. Ancak, bir ara 700 küsurlere kadar inen gü…</t>
  </si>
  <si>
    <t>1268830967340425217</t>
  </si>
  <si>
    <t>RT @RTErdogan: Bilindiği gibi salgın döneminde, milletimizi Koronavirüs'ten korumak için çok sayıda tedbiri hayata geçirdik. Bunlardan biri…</t>
  </si>
  <si>
    <t>1268830897224273925</t>
  </si>
  <si>
    <t>Sıfır yeni vaka hedefine ulaşmak için, riske karşı uyanık olalım: Virüs, ağız ve burun yoluyla bulaşıyor. Ağız veya burun açık kalırsa, maske takmış ama gözümüzü gerçeğe kapatmış oluruz. Risk bu kadar mesafesizken uyarıları dinleyelim. https://t.co/l6a5TQhtpV</t>
  </si>
  <si>
    <t>1268646283209834498</t>
  </si>
  <si>
    <t>GÜVENLİK GÖREVLİSİ MURAT ÇİDAM. 1974, İstanbul doğumlu. Bayrampaşa Ticaret Lisesini bitirdi. Şişli Etfal Eğitim ve Araştırma Hastanesinde hizmet veriyordu. 1 çocuk babasıydı. COVID-19 tanısı konduktan sonra 17 gün yaşadı. Sükûnetiyle tanınırdı. Mücadelesi için #minnettarız https://t.co/q3372A9DYv</t>
  </si>
  <si>
    <t>1268612890422116355</t>
  </si>
  <si>
    <t>Test sayımız, tarama amaçlılar dâhil, 54.000’in üzerinde. Yoğun bakıma ihtiyaç duyan hasta sayımız azalmaya devam ediyor. Gelecek günler, el hijyenine özene; maske + sosyal mesafe kuralının her ikisine uymamıza bağlı. Daha iyi tedbir, daha iyi sonuçtur. https://t.co/RVlhe7786O https://t.co/FCfAwU9Q0Y</t>
  </si>
  <si>
    <t>1268592902244110338</t>
  </si>
  <si>
    <t>COVID-19’a karşı kullandığımız SITMA İLACI hakkında AMERİKA’DA YAPILAN YAYIN GÜVENİLİR DEĞİL. Veriler bilim adamlarınca değil, bir şirket tarafından toplanmış. Çalışmayı enfeksiyon uzmanları yapmamış. Yan etki iddiası şaibeli. İlaçtan yarar gördük. https://t.co/RJOtehN9Z2</t>
  </si>
  <si>
    <t>1268567324426145793</t>
  </si>
  <si>
    <t>VAKA SAYILARININ YAKIN OLDUĞU MARTLA BUGÜN ARASINDAKİ FARK BÜYÜK. Martta vakaların %23’ünün hastaneye yatması gerekiyordu. Bugün vakaların %2,31’i hastaneye yatıyor. Servis, yoğun bakım ve entübasyon hasta yoğunluğumuz yok. Erken tanı ve tedavideki yenilikler iyi sonuç verdi. https://t.co/FrTMfsst0w</t>
  </si>
  <si>
    <t>1268473172271214593</t>
  </si>
  <si>
    <t>Küresel salgın, insanların eve kapanmasına yol açmakla kalmadı. Üretime, ticarete, ekonomiye, eğitime darbe vurdu. ŞİMDİ TEDBİRLERE UYMAK yalnız sağlığımızı korumak anlamına gelmiyor. ÜLKEMİZİN REFAHINI ARTIRACAK ÇALIŞMALARIN, işlerin, kurumların ÖNÜNÜ AÇMAK ANLAMINA DA GELİYOR. https://t.co/m2YTntJTpg</t>
  </si>
  <si>
    <t>1268289367291944961</t>
  </si>
  <si>
    <t>Tedbirlerin karşılıklı uygulanması esastır. MASKE VE MESAFE KURALINI İHLAL EDENLERE, sosyal mesafenin ötesinde, mesafeli davranın. Toplum sağlığına saygı gösteren iş yerlerini, toplum sağlığına saygı göstermeyenlerden lütfen ayırın. Tenkidinizi yapın, takdirinizi de gösterin. https://t.co/qpccgH16m6</t>
  </si>
  <si>
    <t>1268271145222123520</t>
  </si>
  <si>
    <t>Bugünlerin kendine özgü üç zorluğu var. Birinci zorluk, salgının sona erdiği yanılgısıdır. İkincisi, başarıya güvenerek hastalığın ciddiyetini unutmaktır. Üçüncüsü, risk grubundakilerin tedbirleri gevşetmesidir. NORMAL ŞARTLARA DÖNMEDİĞİMİZİ, DÖNMEYE ÇALIŞTIĞIMIZI unutmamalıyız. https://t.co/iBVifzUyjo</t>
  </si>
  <si>
    <t>1268261285780770816</t>
  </si>
  <si>
    <t>Halen sınırlı saatlerde sokağa çıkabilen büyüklerimize, gençlerimize ve çocuklarımıza karşı sorumluluğumuz var. Bu grup, NÜFUSUMUZUN 30 MİLYONUNU oluşturuyor. Özellikle yaşlılarımızın sokağa kısıtsız şekilde çıkabilecekleri şartları, uyacağımız tedbirlerle BİZLER sağlayacağız. https://t.co/vcywxr4HrT</t>
  </si>
  <si>
    <t>1268257009884975105</t>
  </si>
  <si>
    <t>1 ay önce bugün 1.424 olan yoğun bakım hasta sayımız %57 oranında, 766 olan entübe hasta sayımız %66, günlük vaka sayımızsa %48 oranında azaldı. 52 bini aşkın testin sonucuna göre, bugün yeni vaka sayımız 867. TEDBİRLERLE BU DÜŞÜŞÜ DAHA DA HIZLANDIRALIM. https://t.co/RVlhe7786O https://t.co/hqYpVSBBL2</t>
  </si>
  <si>
    <t>1268230012571967488</t>
  </si>
  <si>
    <t>Bilim Kurulu Toplantımızın ardından Koronavirüs ile ilgili son gelişmeler ve aldığımız yeni tedbirlere ilişkin basın açıklamamız.
📍SAĞLIK BAKANLIĞI BİLKENT YERLEŞKESİ / ANKARA
https://t.co/jnmqiIfRES</t>
  </si>
  <si>
    <t>1268226157272580097</t>
  </si>
  <si>
    <t>Milli Mücadele’ye katılan Anadolu kadınını, Hiroşima’da yanıp kül olan kız çocuğunu anlattı. Angina Pektoris terimini, şiirinde “kalp ağrısı” doğallığında kullanabilen bir dil ustasıydı. Türkçenin göğü altında bir çınar ağacı: NÂZIM HİKMET’İ saygıyla anıyoruz. https://t.co/3qP53aag59</t>
  </si>
  <si>
    <t>1268159792054444034</t>
  </si>
  <si>
    <t>Bakanlığımıza bağlı Türkiye İlaç ve Tıbbi Cihaz Kurumu, Beşeri İlaçlar Uluslararası Uyum Konseyi üyeliğine oy birliğiyle kabul edildi. Dünyadaki ilaç geliştirme ve üretim süreçlerinde Amerika (FDA) ve Avrupa Birliği’nin (EMA) ilgili kuruluşlarıyla birlikte aktif rol oynayacağız. https://t.co/cZdsrpw23i</t>
  </si>
  <si>
    <t>1267911815582883845</t>
  </si>
  <si>
    <t>Milli Görüş hareketinin önde gelen isimlerinden, darbe sonrası dönemde Refah Partisi'nin kurucu üyesi, ilk genel başkanı; Erbakan’ın yakın arkadaşı AHMET TEKDAL, tedavi gördüğü hastanede hayatını kaybetti. Uğruna mücadele verdiği davayı kazandığına inanıyoruz. ALLAH RAHMET ETSİN. https://t.co/2Nv2kwq2WD</t>
  </si>
  <si>
    <t>1267907758512312320</t>
  </si>
  <si>
    <t>Çin’de ortaya çıkan COVID-19’a karşı küresel gidişin aksine, sıkı tedbirlerle en zor günleri aştık. Bundan sonrası da bu kadar önemli. Riskin devam ettiğini unutmayalım. Günlük yeni vaka sayımız 1.000 civarında. Salgın sona ermedi. Türkçesi: Tedbirlere uymazsak başa dönebiliriz. https://t.co/OYZ7Z9gb9M</t>
  </si>
  <si>
    <t>1267901673596506112</t>
  </si>
  <si>
    <t>RUSYA SAĞLIK BAKANI mevkidaşımız Dr. Mikhail Murashko ile bir görüşme yaptık. Dr. Murashko, COVID-19’a karşı uyguladığımız TEDAVİNİN BAŞARISINI kendilerinin de gördüğünü belirtti. Görüşmede bakanlıklarımıza bağlı kurumların AŞI ve İLAÇ İÇİN BİRLİKTE çalışması kararını aldık. https://t.co/zkmOZImZMw</t>
  </si>
  <si>
    <t>1267882912986419200</t>
  </si>
  <si>
    <t>Toplam test sayımız 2,1 milyonu geçti. İyileşen hasta sayımız 130 bin. Yoğun bakıma ihtiyaç duyan hasta sayımız azalıyor. Gelecek günler, el hijyenine özene; maske + sosyal mesafe kuralının her ikisine uymamıza bağlı. DAHA İYİ TEDBİR, daha iyi sonuçtur. https://t.co/RVlhe7786O https://t.co/quXUvOxzvz</t>
  </si>
  <si>
    <t>1267863606093283329</t>
  </si>
  <si>
    <t>Sokağa çıkma kısıtlamasının kalkması, her şeyin normale döndüğü anlamına gelmesin. Eğer tedbirlerle kendinizi virüse karşı güvenceye almazsanız, karşılaşacağınız sonucu bilemezsiniz. Türkçesi: Bir Koronavirüs hastasının yoğun bakımda yaşadıkları size Çince kadar yabancıdır. https://t.co/3H5d8RpDBl</t>
  </si>
  <si>
    <t>1267778223322083330</t>
  </si>
  <si>
    <t>Bakanlığımız ve kamu çalışanı tüm hanımların hamilelik izni Cumhurbaşkanımızın talimatıyla 8 HAFTA uzatıldı. İdari izin 32. hafta yerine hamileliğin 24. haftasından itibaren başlayacak. Dünyaya bir bebek gelecekse akan sular süren işler durmalı. Veya başkası tarafından yapılmalı. https://t.co/t1Dyl4d03b</t>
  </si>
  <si>
    <t>1267758831855116289</t>
  </si>
  <si>
    <t>Maske takmak kime yakışır? Koronavirüsle mücadelede ister istemez sorumluluk sahibi hepimize. Yüzümüzü, gülüşümüzü kapatsa da maskesiz yapamayız. Hazır salgını geriletmişken bize yakışanı yapalım. Maskeli, sosyal mesafeli; riske karşı biraz daha sabredelim. https://t.co/jPQyEm38gF</t>
  </si>
  <si>
    <t>1267554193784651776</t>
  </si>
  <si>
    <t>Maske takmak kime yakışır? Koronavirüsle mücadelede ister istemez sorumluluk sahibi hepimize. Yüzümüzü, gülüşümüzü kapatsa da maskesiz yapamayız. Hazır salgını geriletmişken bize yakışanı yapalım. Maskeli, sosyal mesafeli; riske karşı biraz daha sabredelim. https://t.co/NQB94afrJ7</t>
  </si>
  <si>
    <t>1267551796488257538</t>
  </si>
  <si>
    <t>HEMŞİRE TUĞBA KUŞDEMİR. 1985 doğumlu. İki çocuk annesiydi. Manisa ve Bandırma Halk Sağlığı Merkezlerinde, Bandırma Devlet Hastanesinde görev yaptı. 2015’te yakalandığı kanseri yenmişti. Görevi sırasında yakalandığı COVID-19 sebebiyle vefat etti. Mücadelesi için #minnettarız https://t.co/LAxONa6EDR</t>
  </si>
  <si>
    <t>1267531586297303042</t>
  </si>
  <si>
    <t>İyileşen toplam hasta sayımız 130 bine yaklaştı. Yeni vaka sayımız öngörülen seviyede. Solunum desteğine ihtiyaç azalıyor. Gelecek günler, el hijyenine özene; maske + sosyal mesafe kuralının her ikisine uymamıza bağlı. DAHA SIKI TEDBİR, DAHA İYİ SONUÇTUR. https://t.co/RVlhe7786O https://t.co/vcVKGvHQyj</t>
  </si>
  <si>
    <t>1267500412384534532</t>
  </si>
  <si>
    <t>DİLEK HEMŞİRE ARAMIZDAN AYRILDI. Hastalığa, izinli olduğu günlerde yakalanmış, 11 Nisanda hastaneye kaldırılmıştı. Uzun bir mücadele verdi. Maalesef, COVID-19’a yenildi. Keşke yeni doğan oğlunu daha çok zamanlar görebilseydi. Allah rahmet etsin. Sevenlerine başsağlığı diliyorum. https://t.co/KDn8srXkbJ</t>
  </si>
  <si>
    <t>1267209425984671744</t>
  </si>
  <si>
    <t>PROF. DR. MURAT DİLMENER. 1941, Mardin doğumlu. İstanbul Tıp Fakültesinde hekim ve akademisyen olarak çalıştı. İç hastalıkları alanında duayendi. Binlerce öğrenci yetiştirdi. İdealistliği, güler yüzü ve yoksul hastalara yardımıyla tanındı. Mücadelesi için #minnettarız https://t.co/reNX6fOB54</t>
  </si>
  <si>
    <t>1267196009332998150</t>
  </si>
  <si>
    <t>II. Abdülhamid tarafından yaptırılan Hadımköy Askeri Hastanesi restore edilip, Cumhurbaşkanımızın katıldığı törenle, DR. İSMAİL NİYAZİ KURTULMUŞ HASTANESİ adı verilerek hizmete açıldı. Hastane salgında diğer hastanelerimizin normalleşme sürecini hızlandıracak. Hayırlı olsun. https://t.co/wKekqDGEYn</t>
  </si>
  <si>
    <t>1267172123400953858</t>
  </si>
  <si>
    <t>Bu güzide hastanemizde görev alacak doktor arkadaşlarımızın, sağlık çalışanlarının, hayırla yad ettiğimiz büyüklerimizin adına layık anlayışla hizmet edeceklerinden şüphe duymuyoruz. Dr. İsmail Niyazi Kurtulmuş Hastanesi, cismiyle bir tarih, yeniden dirilişiyle vefa bilincidir. https://t.co/Z8WNa3IvXU</t>
  </si>
  <si>
    <t>1267167446978494465</t>
  </si>
  <si>
    <t>Hadımköy Dr. İsmail Niyazi Kurtulmuş Hastanemizi milletimizin hizmetine açtık. Ülkemize ve insanlığa hayırlı olsun. https://t.co/8kSn1PpmfW</t>
  </si>
  <si>
    <t>1267157702444306432</t>
  </si>
  <si>
    <t>45 günde biten Prof. Dr. Murat Dilmener Acil Durum Hastanesinin yapım süreci TRT Belgesel tarafından hava ve aksiyon kameraları + aktüel kameralarla ANBEAN kayda alınmıştı. SİMGE PROJENİN BELGESELİ 21.00’DE TRT BELGESEL kanalında. Sağ ol TRT. Sanırım iki yapım da heyecan verici. https://t.co/LyX35cU8Jt</t>
  </si>
  <si>
    <t>1267150870736769025</t>
  </si>
  <si>
    <t>Vaka sayısı öngörülen seviyede seyrediyor. Solunum desteğine ihtiyaç duyan hasta sayısı azalmaya devam ediyor. Gelecek günler, el hijyenine özene; maske ve sosyal mesafe kuralının her ikisine birlikte uymamıza bağlı. DAHA SIKI TEDBİR, DAHA İYİ SONUÇTUR. https://t.co/RVlhe7786O https://t.co/0Wu75s4IjM</t>
  </si>
  <si>
    <t>1267147736777928710</t>
  </si>
  <si>
    <t>Prof. Dr. Murat Dilmener Acil Durum Hastanesi Cumhurbaşkanımızın katıldığı törenle saat 14.00’te açıldı. Yeşilköy’deki hastanemiz İstanbul’u salgına, her türlü deprem ve afete hazır hale getirecek. Hastanelerimizin normalleşme sürecini hızlandıracak. Milletimize hayırlı olsun. https://t.co/S740ZssyNM</t>
  </si>
  <si>
    <t>1267146199917871104</t>
  </si>
  <si>
    <t>Okmeydanı Şehir Hastanemize Koronadan yitirdiğimiz Cemil hocamızın adını verdik. Sancaktepe’deki Acil Durum hastanesinde Prof. Feriha Öz’ün hatırası yaşayacak. Açılışını yaptığımız hastane Cumhurbaşkanımızın tensipleri doğrultusunda Prof. Dr. Murat Dilmener’in adıyla anılacak. https://t.co/aALbWTfK4z</t>
  </si>
  <si>
    <t>1267143843981471746</t>
  </si>
  <si>
    <t>Acil Durum Hastanelerimiz bugünlerde öncelikli bir görev üstlenecek. Salgında diğer hastanelerimizin normalleşme sürecini bu hastaneler hızlandıracak. Diğer hastanelerimiz, tedavileri kısmen ertelenen hastalarımıza artık daha fazla hizmet verebilecek. https://t.co/UYkhDQaouM</t>
  </si>
  <si>
    <t>1267129964626874376</t>
  </si>
  <si>
    <t>Yeşilköy Prof. Dr. Murat Dilmener Acil Durum Hastanemizi milletimizin hizmetine açtık. Ülkemize ve insanlığa hayırlı olsun. https://t.co/77s62uCIAq</t>
  </si>
  <si>
    <t>1267121061772083200</t>
  </si>
  <si>
    <t>Eğer maske takarsanız daha az sigara içersiniz. Dünya Tütünsüz Günü, maskenin de yardımıyla, ya sigarayı bırakma ya da iyiden iyiye azaltma gününüz olsun.</t>
  </si>
  <si>
    <t>1267040718402588675</t>
  </si>
  <si>
    <t>DİLEK HEMŞİREMİZİN yakınlarının üzüntüsü dün biraz daha arttı. COVID-19’a karşı yaşam mücadelesini 11 Nisandan bu yana sürdüren Dilek Akçabelen hakkında maalesef, teyit edilmemiş, yanlış bir haber yayıldı. Durumu öncekinden ciddi, ama KALBİ HAYATLA BAĞINI HER ŞEYE RAĞMEN KORUYOR. https://t.co/eLYHbenSlx</t>
  </si>
  <si>
    <t>1267024806702190596</t>
  </si>
  <si>
    <t>II. Abdülhamid’in yaptırdığı Hadımköy Askeri Hastanesi restore edilerek hizmete hazır hale getirildi. DR. İSMAİL NİYAZİ KURTULMUŞ HASTANESİ adıyla, yarın saat 16.00’da, Cumhurbaşkanımızın katılacağı törenle açılıyor. Salgında diğer hastanelerimizin normalleşme süreci hızlanacak. https://t.co/PPc2xj4zVJ</t>
  </si>
  <si>
    <t>1266824158958301196</t>
  </si>
  <si>
    <t>PROF. DR. MURAT DİLMENER ACİL DURUM HASTANESİ Cumhurbaşkanımızın katılacağı törenle yarın saat 14.00’te açılıyor. Yeşilköy’deki hastanemiz İstanbul’u salgına, her türlü deprem ve afete karşı hazır hale getirecek. Salgında diğer hastanelerimizin normalleşme sürecini hızlandıracak. https://t.co/s9VDPGtvrI</t>
  </si>
  <si>
    <t>1266812832181555200</t>
  </si>
  <si>
    <t>Toplam test sayımız 2 milyonu geçti. Düne göre günlük test sayımız 3.000 arttı. Yeni vaka sayımız 1.000’in altında. Gelecek günler, el hijyenine özene; maske ve sosyal mesafe kuralının ikisine birlikte uymamıza bağlı. DAHA SIKI TEDBİR, DAHA İYİ SONUÇTUR. https://t.co/RVlhe7786O https://t.co/XSDhaFnh7o</t>
  </si>
  <si>
    <t>1266786573414252544</t>
  </si>
  <si>
    <t>İki acı haber de Hakkari’den geldi. Teröre karşı mücadelemizde Uzman Çavuş Uğur Bora ve Piyade Er Mehmet Günay şehit düştü. Şehitlerimize Allah’tan rahmet, ailelerine, kahraman arkadaşlarına, milletimize başsağlığı diliyorum. Cennet vatanın uğruna ölenlerin mekânı cennet olsun. https://t.co/VtyYQ3SrPZ</t>
  </si>
  <si>
    <t>1266785280100577281</t>
  </si>
  <si>
    <t>Diyarbakır’ın Bağlar ilçesinde polisimiz Atakan Arslan görevi sırasında uğradığı silahlı saldırıyla hayatını kaybetti. 1 çocuk babası olduğunu öğrendik. Acımız büyük. Şehidimize Allah’tan rahmet, ailesine, meslektaşlarına ve milletimize başsağlığı diliyorum. https://t.co/rB6TCLHja8</t>
  </si>
  <si>
    <t>1266776581109886976</t>
  </si>
  <si>
    <t>Salgına karşı, tedbirlere uyarak kazandığımız başarıdan sonra, nihayet ÖĞLE ve İKİNDİ namazları için, camilerimiz ibadete açıldı. Maske + mesafe kuralı, bir araya geldiğimiz her alanda ve cemaatle ibadet için geçerli. Boşluk bırakarak saf tutalım. Allah ibadetinizi kabul etsin. https://t.co/Dkgw37Mz2c</t>
  </si>
  <si>
    <t>1266721030346870784</t>
  </si>
  <si>
    <t>65 yaş üstü büyüklerimiz için yarın büyük gün. 14.00-20.00 arası dışarıdalar. Evde kalmak, riskten korunmak için ne kadar önemliyse, dışarıda MASKE KULLANMAK VE SOSYAL MESAFEYİ KORUMAK da o kadar önemli. Kırk yıllık dostlar arasında bile! Biraz daha sabredelim. Geçecek bugünler. https://t.co/sUH1YCwjJf</t>
  </si>
  <si>
    <t>1266687256582131713</t>
  </si>
  <si>
    <t>Maske + Sosyal Mesafe: İki tedbir birlikteyken tam tedbirdir. Dışarı çıkarken maskenizi kuralına uygun şekilde takın. Sosyal mesafeyi 1,5 m’de tutmak için her ortamda dikkatli olun. El hijyenine daha fazla önem verin. Çoğumuzun sokağa çıkabildiği günlerde tedbirlerin önemi arttı. https://t.co/zSZ41QdqzI</t>
  </si>
  <si>
    <t>1266648544104022016</t>
  </si>
  <si>
    <t>PROF. DR. FERİHA ÖZ. 1957’de İstanbul Tıp Fakültesinden mezun oldu. Patoloji alanında ün sahibi bir bilim insanı, insan sevgisi ile tanınan, öğrencilerine kol kanat geren büyük bir hocaydı. 2 Nisan’da COVID-19 hastalığı nedeniyle aramızdan ayrıldı. Mücadelesi için #minnettarız https://t.co/ezeF6gVg70</t>
  </si>
  <si>
    <t>1266474244910841861</t>
  </si>
  <si>
    <t>Bugün İstanbul’un Fethinin 567. yıl dönümü. Bu fetih, surların toplarla yıkıldığı fetih olmaktan öte gönüller fethiydi. İstanbul, yaşama çeşitliliği, kültürüyle bizim oldu, fetih ruhuyla yoğruldu. İstanbul’un, vaat edilmiş geleceğine kavuştuğu gün kutlu olsun. https://t.co/k8Be7UUQOB</t>
  </si>
  <si>
    <t>1266454096837517312</t>
  </si>
  <si>
    <t>Uzun aradan sonra ilk kez bugün ülkemizde Cuma namazı kılındı. Namaza duranlar Yaradan’la yine aynı yakınlıktaydı. Safa girenler arasındaysa geçici bir mesafe vardı. İbadetini salgın tedbirlerine uygun şekilde yapanlara teşekkür ediyoruz. Allah bugün yapılan duaları kabul etsin. https://t.co/yOGCabSsBb</t>
  </si>
  <si>
    <t>1266441961180930050</t>
  </si>
  <si>
    <t>Art arda açılışlarını yaptığımız Acil Durum Hastanelerimize Prof. Dr. Feriha Öz ve Prof. Dr. Murat Dilmener’in adlarını veriyoruz. Söz konusu hastaneler, değil bundan sonraki işlevleri, sadece iki bilim insanımızın adını yaşatmak için yapılmış olsa, bu bile yeterli bir sebeptir. https://t.co/ZnhBTosFou</t>
  </si>
  <si>
    <t>1266419897065750528</t>
  </si>
  <si>
    <t>ACİL DURUM HASTANELERİ deprem, afet, salgın durumlarında kapısı açılıp sonra devre dışı kalacak hastaneler olarak tasarlanmadı. Normal zamanlarda bize önemli bir kapasite kazandırıyorlar. Yurt dışı ve şehir dışından gelen hastalar açısından havalimanına yakınlık stratejik önemde. https://t.co/JLOoNvbff3</t>
  </si>
  <si>
    <t>1266415722298818561</t>
  </si>
  <si>
    <t>Test sayısı arttı, yeni vaka sayısı azaldı. Yoğun bakım ve entübe hasta sayısında düşüş devam ediyor. Gelecek günler, el hijyenine dikkate, MASKE VE SOSYAL MESAFE KURALININ HER İKİSİNE BİRLİKTE uymamıza bağlı. Kontrollü Sosyal Hayatla riskten kaçınalım. https://t.co/RVlhe7786O https://t.co/bdoY1qMx02</t>
  </si>
  <si>
    <t>1266404000515207175</t>
  </si>
  <si>
    <t>Sn. Cumhurbaşkanımızın teşrifleriyle, Prof. Dr. Feriha Öz Acil Durum Hastanesinin açılışını gerçekleştirdik. Depremde zarar görmeyecek şekilde, ileri teknolojiyle yapılan hastanemiz donanımıyla deprem, salgın gibi acil durumlarda büyük görev üstlenecek. Milletimize hayırlı olsun. https://t.co/sZVdFgapYs</t>
  </si>
  <si>
    <t>1266389568355479559</t>
  </si>
  <si>
    <t>Prof. Dr. Feriha Öz Acil Durum Hastanemizi milletimizin hizmetine açıyoruz.
https://t.co/dN4HPPmwOV</t>
  </si>
  <si>
    <t>1266348157639757825</t>
  </si>
  <si>
    <t>Hayat tümden durmasın diye, bazılarımız salgın şartlarında da çalıştı. Dışarıda olmanın tek iyi yanı boş yollardı. Olanların en önemlisi şu: Vaka sayısını, birlikte 1.000 civarına düşürdük. Sağ ol, genç arkadaşım. Evde kalmakta ısrar etmesek işimiz zordu. Biraz daha dayanalım. https://t.co/e9GRpQQ9aX</t>
  </si>
  <si>
    <t>1266141916686671872</t>
  </si>
  <si>
    <t>Hayat tümden durmasın diye, bazılarımız salgın şartlarında da çalıştı. Dışarıda olmanın tek iyi yanı boş yollardı. Olanların en önemlisi şu: Vaka sayısını, birlikte 1.000 civarına düşürdük. Sağ ol, genç arkadaşım. Evde kalmakta ısrar etmesek işimiz zordu. Biraz daha dayanalım. https://t.co/RcMAxIcvHb</t>
  </si>
  <si>
    <t>1266136696430702596</t>
  </si>
  <si>
    <t>Sadece 45 günde tamamlanan Prof. Dr. Feriha Öz Acil Durum Hastanesi Cumhurbaşkanımızın katılacağı törenle yarın saat 14.00’te açılıyor. Depremde zarar görmeyecek şekilde yapılan, tek katlı yeni hastanemizle İstanbul, salgına ve her türlü deprem ve afete karşı hazır hale gelecek. https://t.co/CkbaDtGhRz</t>
  </si>
  <si>
    <t>1266108765721542657</t>
  </si>
  <si>
    <t>Test sayısı düne göre 1,6 oranında arttı. Yeni vaka sayısı öngörülebilir seviyede. İyileşen hasta sayımızsa dünden 290 fazla. Gelecek günler, MASKE VE SOSYAL MESAFE KURALININ HER İKİSİNE BİRLİKTE uymamıza bağlı. Kontrollü Sosyal Hayatla riskten kaçınalım. https://t.co/RVlhe7786O https://t.co/0dDAqOFQQu</t>
  </si>
  <si>
    <t>1266058062286204928</t>
  </si>
  <si>
    <t>Ölüm oranları da Ankara'nın başarısını ortaya koyuyor. Johns Hopkins Üniversitesi verilerine göre 26 Mayıs itibarıyla Türkiye'de ölüm oranı yüzde 2,8. Bu oran İngiltere'de 14,1. İtalya'da 14,3. Fransa'da 15,5. ABD'de ise 5,9.
ABD DIŞİŞLERİ ESKİ BAKAN YARDIMCISI MATTHEW BRYZA</t>
  </si>
  <si>
    <t>1265955486588964871</t>
  </si>
  <si>
    <t>BUGÜNLERDE ADIMLARIMIZI ÖLÇEREK ATALIM. Risk, devam ediyor. Sosyal Mesafeyi 1,5 m’de tutmak için dikkatli olalım, maskeyi kuralına uygun şekilde takalım. Maske ve Sosyal Mesafe, iki tedbir birlikteyken tam tedbirdir. Riskin nereden geleceği hiç belli olmaz. Maskeyle yetinmeyelim.</t>
  </si>
  <si>
    <t>1265934764437057538</t>
  </si>
  <si>
    <t>“Yaslı ada”, 27 Mayıs darbesinin 60. yıl dönümünde DEMOKRASİ VE ÖZGÜRLÜKLER ADASI oldu. Darbenin, arkadaşlarıyla birlikte idama gönderdiği Menderes, savunmasında, “Hiçbir şey için müteessir değilim.” demişti. Milletimizin üzüntüsü, Yassıada’nın yeni adıyla umarız biraz hafifler. https://t.co/WrOhhZoBLL</t>
  </si>
  <si>
    <t>1265719663822061581</t>
  </si>
  <si>
    <t>ECZACI İSMAİL DURMUŞ. 1985, Kayseri doğumlu. Ege Üniversitesi Eczacılık Fakültesi’nden 2007’de mezun oldu. En büyük tutkusu mesleğiydi. Birkaç yıl önce İstanbul Sancaktepe’de kendi eczanesini açmıştı. Bir çocuk babasıydı. Virüsü bir hastadan aldı. Mücadelesi için #minnettarız. https://t.co/CBvQvelvSL</t>
  </si>
  <si>
    <t>1265711472165994497</t>
  </si>
  <si>
    <t>Veriler, riski küçültmede istikrar sağladığımızı gösteriyor. 83 milyonun başarısı devam etmeli. DAHA FAZLA ÖZGÜRLÜK, tedbirlere eksiksiz uyuma bağlı. Özgürlüğün istediği özveriyi gösterelim. Yeni hayat tarzımız: Kontrollü Sosyal Hayat, HEP BİRLİKTE TEDBİR. https://t.co/RVlhe7786O https://t.co/N5Enejkz8h</t>
  </si>
  <si>
    <t>1265695574755618823</t>
  </si>
  <si>
    <t>RT @RTErdogan: Demokrasi ve Özgürlükler Adası Açılış Töreni https://t.co/rPFD1B8RAX</t>
  </si>
  <si>
    <t>1265680804870488066</t>
  </si>
  <si>
    <t>GENÇ ARKADAŞLARIM, sokağa çıkma kısıtı bu gece kalktı. Maalesef bu uygulama siz 15-20 yaş grubunu, 65 yaş üstü büyüklerimizi, 14 yaş ve altı çocuklarımızı şimdilik içeremiyor. Sabırlı olmanızı, bize biraz daha zaman tanımanızı rica ediyorum. ÇOK SEVGİLER.</t>
  </si>
  <si>
    <t>1265414380495286278</t>
  </si>
  <si>
    <t>Bu bayram, yalnız evlerimize geldi. Gelecek bayramlar şehirleri doldursun. Daha mutlu bayramlarda buluşmak üzere. https://t.co/Oze5A4D68v</t>
  </si>
  <si>
    <t>1265400018153996290</t>
  </si>
  <si>
    <t>SAAT 24.00’TE sokağa çıkma kısıtı tüm ülkede kalktı. Uzun zamandır uzak kaldığımız hayata özlemle dönüyoruz. Dünyada ilk Koronavirüs vakasının görüldüğü günlerden öncesine dönmek? Bu henüz mümkün görünmüyor. Tedbirli olmalıyız. Evimizin kıymetini bilmeye yine devam etmeliyiz. https://t.co/RoT6Ocy072</t>
  </si>
  <si>
    <t>1265391424977219584</t>
  </si>
  <si>
    <t>SAAT 24.00’TE sokağa çıkma kısıtı tüm ülkede kalkıyor. Uzun zamandır uzak kaldığımız hayata özlemle dönüyoruz. Dünyada ilk Koronavirüs vakasının görüldüğü günlerden öncesine dönmek? Bu henüz mümkün görünmüyor. Tedbirli olmalıyız. Evimizin kıymetini bilmeye yine devam etmeliyiz. https://t.co/MFEIdvOoLH</t>
  </si>
  <si>
    <t>1265374812375068673</t>
  </si>
  <si>
    <t>DR. SİNAN KAKI. 1960, Bitlis doğumlu. Cerrahpaşa Tıp Fakültesini bitirdi. Radyoloji uzmanıydı. Haseki Hastanesi’nde görev yapıyordu. Yaşasaydı, pek çok dostunu ve yakınını bayramda yine ilk arayan kişi olacaktı. COVID-19 nedeniyle hayatını kaybetti. Mücadelesi için #minnettarız. https://t.co/oQLNTIGSWX</t>
  </si>
  <si>
    <t>1265348794746654728</t>
  </si>
  <si>
    <t>İYİLEŞEN HASTA SAYISINDA, bugün önemli bir artış var. Yoğun bakım ve Entübe hasta sayısında ise azalma devam ediyor. Elde edilen başarı, 83 milyonun gösterdiği uyumun sonucu. Yeni hayat tarzımız: KONTROLLÜ SOSYAL HAYAT, hep birlikte tedbir. https://t.co/RVlhe7786O https://t.co/5GCJZY9NcM</t>
  </si>
  <si>
    <t>1265328373347344385</t>
  </si>
  <si>
    <t>NECİP FAZIL, fikir ve sanatta çığır açıcı, nesillerin hazırlayıcısıydı. Büyük Doğu dediği, Yeniden Doğuştu. Kendi içinde, cemiyet gibi çalkantılı birey fikrini o getirdi. Konularından biri de fanilikti. Kim göçmemiş, kimin geçen dakikaları geri dönebilmiştir? RAHMETLE ANIYORUZ. https://t.co/DYdIVWYMsV</t>
  </si>
  <si>
    <t>1265015124756238336</t>
  </si>
  <si>
    <t>İyileşen toplam hasta sayısı 120 bini geçti. Yoğun bakım desteğine ihtiyaç azalmaya devam ediyor. ELDE EDİLEN BAŞARI, 83 MİLYONUN GÖSTERDİĞİ UYUMUN SONUCU. Yeni dönemde yeni ve güçlü tedbir, sosyal hayatta hep birlikte alınacak tedbirdir. https://t.co/RVlhe7786O https://t.co/WGIUc45HIH</t>
  </si>
  <si>
    <t>1264967096313745409</t>
  </si>
  <si>
    <t>BANGLADEŞ’TE YAŞAYAN, COVID-19 hastası vatandaşımız Tuba Ahsan’la, Bangladeşli eşi Mossaddoue Ahsan ve üç yaşındaki ikizlerini, hava ambulans uçağımızla İstanbul’a getirdik. Bangladeş’te yapılamayan tedavilerine başlandı. Mutluyuz. Bir Türk vatandaşına karşı görevimizi yaptık. https://t.co/1FIpE2GOsE</t>
  </si>
  <si>
    <t>1264654710444888065</t>
  </si>
  <si>
    <t>İYİLEŞEN TOPLAM HASTA SAYISI 120 BİNE YAKLAŞTI. Yeni vaka sayısında değişkenlik öngörülen düzeyde. Yoğun bakım desteğine ihtiyaç giderek azalıyor. Riskin daha da düşmesi, güçlü tedbirle mümkün. GÜÇLÜ TEDBİR, sosyal hayatta hep birlikte alınacak tedbirdir. https://t.co/RVlhe7786O https://t.co/WotgSuqwSi</t>
  </si>
  <si>
    <t>1264603700024270855</t>
  </si>
  <si>
    <t>RT @drfahrettinkoca: Bu bayram, evde ailelerimizle birlikte ve birbirimize her zamankinden yakınız. Büyüklerimiz ve sevdiklerimizle bir ara…</t>
  </si>
  <si>
    <t>1264539024741535744</t>
  </si>
  <si>
    <t>Bu bayram, evde ailelerimizle birlikte ve birbirimize her zamankinden yakınız. Büyüklerimiz ve sevdiklerimizle bir araya gelmeyi ise biraz erteledik. En içten dileğimiz şimdi yaşayamadığımız güzellikleri çok yakında yaşamak. BAYRAMIMIZ MÜBAREK OLSUN. https://t.co/PHaCBnC4uY</t>
  </si>
  <si>
    <t>1264342588913602561</t>
  </si>
  <si>
    <t>Destek tedavisine ihtiyaç duyan, durumu ağır hasta sayımız bugün de azalmaya devam etti. Test sayısına göre öngörülebilir düzeyde yeni vakamız var. Yeni hayat tarzımız: KONTROLLÜ SOSYAL HAYAT, hep birlikte tedbir. Koşulu: Maske + 1,5 metre Sosyal Mesafe. https://t.co/RVlhe7786O https://t.co/tBOtbAY3CD</t>
  </si>
  <si>
    <t>1264235573893570563</t>
  </si>
  <si>
    <t>Başakşehir Çam ve Sakura Şehir Hastanesi Kadın Hastalıkları ve Doğum Hastanesi’nde dün İLK BEBEK DÜNYAYA GELDİ. Bebeğe biricik ablası tarafından Defne, annesi tarafından Sakura adı verildi. Hoş geldin, dünyaya umut getirdin DEFNE SAKURA. Tuğba ve Ömer Sönmez çiftini kutluyoruz. https://t.co/XIOduANFUU</t>
  </si>
  <si>
    <t>1264217940586639360</t>
  </si>
  <si>
    <t>GELECEK YIL TEKRAR KAVUŞMAK ÜZERE, on bir ayın sultanı Ramazan’ı uğurluyoruz. Son sahurunuz, son iftarınız mübarek olsun. Bu yıl ailelerimizle birlikteydik. Gönüller bir olsa da, dostlardan maalesef yoksunduk. Yakında hayatı daha fazla paylaşacağız. https://t.co/bT0VMmh4OV</t>
  </si>
  <si>
    <t>1264008453523193856</t>
  </si>
  <si>
    <t>81 İlimizin Sağlık Müdürüyle bayram öncesi online bir toplantı yaptık. İl il güncel gelişmeleri ve Koronavirüsle mücadelemizin ikinci dönemini istişare ettik. Ülkenin her noktasında yeni hayat tarzımız: KONTROLLÜ SOSYAL HAYAT, hep birlikte tedbir. https://t.co/tinswvVPqv</t>
  </si>
  <si>
    <t>1263922200656130048</t>
  </si>
  <si>
    <t>Dostumuz Pakistan’da, ülke halkını ve bizleri derinden üzen bir kaza oldu. 107 yolcu taşıyan bir uçak, Karaçi kentinde, bir yerleşim alanına düştü. İlk bilgilere göre, mürettebat dâhil kazadan sağ kurtulan yok. İyi haberler geleceğini umuyor, dost Pakistan’a başsağlığı diliyoruz.</t>
  </si>
  <si>
    <t>1263904549921787910</t>
  </si>
  <si>
    <t>Artan test sayısına rağmen YENİ VAKA SAYISI 1.000'İN ALTINDA. Destek tedavisine ihtiyaç duyanların sayısı azalıyor. Yeni hayat tarzımız: KONTROLLÜ SOSYAL HAYAT, hep birlikte tedbir. Koşulu: Maske + 1,5 metre Sosyal Mesafe. https://t.co/RVlhe7786O https://t.co/unMkjEug23</t>
  </si>
  <si>
    <t>1263875738534588416</t>
  </si>
  <si>
    <t>Gönüller bir. Mesafe makaslar arasında Bakanım. Yakında kurdeleleri daha kısa keseceğiz. https://t.co/bWSzQZTqXg</t>
  </si>
  <si>
    <t>1263663793571274752</t>
  </si>
  <si>
    <t>ŞEHİR HASTANELERİMİZ, teknoloji ve konfor yönünden hastanecilik alanında ulaşılan son merhaledir. Ancak cihazları, binaları anlamlı kılan daima insandır. Başakşehir Çam ve Sakura Şehir Hastanesine de ruhunu, mesai sınırı tanımadan hizmet veren SAĞLIK PERSONELİMİZ kazandıracaktır. https://t.co/HFJFRQ8PAx</t>
  </si>
  <si>
    <t>1263598236280991745</t>
  </si>
  <si>
    <t>BİR YENİSİNİ AÇTIĞIMIZ ŞEHİR HASTANELERİ, tehlikelere adeta çok önceden set çeken birer tedbir olmuştur. SALGINLA MÜCADELEDE yükü ağırlıklı olarak Şehir Hastanelerimiz omuzlamıştır. Bu yatırımların ne kadar isabetli yatırımlar olduğunu, süreçte hep birlikte yaşayarak gördük. https://t.co/un827GPCN3</t>
  </si>
  <si>
    <t>1263582620501204992</t>
  </si>
  <si>
    <t>RT @RTErdogan: “Kaderimiz ve kederimiz ortaktır” inancıyla elimizdeki imkânları salgına karşı tüm insanlık için seferber etmeyi sürdüreceği…</t>
  </si>
  <si>
    <t>1263564342617874441</t>
  </si>
  <si>
    <t>BAŞAKŞEHİR ÇAM VE SAKURA ŞEHİR HASTANESİ, Cumhurbaşkanımız Sn. Erdoğan tarafından, Japonya Başbakanı Bay Abe’nin online katıldığı törenle bugün hizmete açıldı. Yeni şehir hastanemiz, bünyesinde çok sayıda hastaneyi barındırıyor. GÜNDE 35.000 HASTA kabul edebilecek. Hayırlı olsun. https://t.co/UO1maUFHqi</t>
  </si>
  <si>
    <t>1263549160072110082</t>
  </si>
  <si>
    <t>RT @RTErdogan: Başakşehir Çam ve Sakura Şehir Hastanesi, kaliteli ve kapsayıcı sağlık hizmetinin değerinin çok daha iyi anlaşıldığı bir dön…</t>
  </si>
  <si>
    <t>1263514001268408320</t>
  </si>
  <si>
    <t>Artan test sayısına rağmen pozitif çıkan vaka sayısı öngörüldüğü seviyede seyrediyor. Destek tedavisine ihtiyaç duyan hasta sayısı azalıyor. Yeni hayat tarzımız: Kontrollü Sosyal Hayat, hep birlikte tedbir. Koşulu: Maske + 1,5 metre Sosyal Mesafe. https://t.co/RVlhe7786O https://t.co/A0OKZYOMsG</t>
  </si>
  <si>
    <t>1263505441805479938</t>
  </si>
  <si>
    <t>RT @RTErdogan: Başakşehir Çam ve Sakura Şehir Hastanesi Açılış Töreni https://t.co/aCINFXVHTP</t>
  </si>
  <si>
    <t>1263416351307243521</t>
  </si>
  <si>
    <t>RT @drfahrettinkoca: Başakşehir Çam ve Sakura Şehir Hastanesi, Cumhurbaşkanımız Sn. Erdoğan tarafından, Japonya Başbakanı Bay Abe’nin onlin…</t>
  </si>
  <si>
    <t>1263380671864725504</t>
  </si>
  <si>
    <t>Pandemi döneminde yeni yapılan bir Acil Durum Hastanemize PROF. MURAT DİLMENER, diğerine PROF. FERİHA ÖZ hocamızın adını verdik. Söz konusu İKİ HASTANE değil bundan sonraki işlevleri, sadece bu iki bilim insanımızın adını yaşatmak için yapılmış olsa, bu bile yeterli bir sebeptir. https://t.co/3Sebvp7jz1</t>
  </si>
  <si>
    <t>1263216409519235072</t>
  </si>
  <si>
    <t>Başakşehir Çam ve Sakura Şehir Hastanesi, Cumhurbaşkanımız Sn. Erdoğan tarafından, Japonya Başbakanı Bay Abe’nin online katılacağı törenle tüm etaplarında hizmet vermek üzere yarın saat 13.00’te açılıyor. Bu şehir hastanemiz, adeta bir hastaneler şehri. Milletimize hayırlı olsun. https://t.co/81IO47xlGP</t>
  </si>
  <si>
    <t>1263192203712659456</t>
  </si>
  <si>
    <t>MAZHAR FUAT ÖZKAN, Türk popunun ustaları, bir aradan sonra ilk ortak şarkılarında, tedbirlerin müziğini yaptı. Aralarına virgül bile giremese de maskeli, mesafeliler. Bizim söylemek istediklerimizi, sağ olsunlar, çok güzel söylüyorlar. Söz; maskeli, mesafeli, sürprizli müziğin. https://t.co/Y1bPbcrVHe</t>
  </si>
  <si>
    <t>1263178718656303105</t>
  </si>
  <si>
    <t>Süreçte, dünya bir gerçeği idrak etti. Her işin başı sağlık cümlesi, hayatın, salgın karşısında gerileyen her alanıyla ilgilidir. Ülkemizde sağlığa yapılan yatırımlar büyük bir isabettir. Bireylerin sağlık güvenliği yüksek bir haktır. Sağlık yatırımları sosyal refahın şartıdır. https://t.co/vjmX5WHuoK</t>
  </si>
  <si>
    <t>1263168106341502981</t>
  </si>
  <si>
    <t>Bayramda evimizde kalalım. Bayram kutlamalarını ziyarete giderek yapmayalım. Anne babalarımıza, büyüklerimize düşkünlüğümüz tehlikeli bir yakınlık olmasın. ONLAR İÇİN EN GÜZEL SÖZLERİ DÜŞÜNÜP, ARAYALIM. Kalbin kurduğu cümle, bir annenin elini öpmekten daha büyük yakınlık kurar. https://t.co/5ZgGxekGs2</t>
  </si>
  <si>
    <t>1263164120414765056</t>
  </si>
  <si>
    <t>Beklediğimiz yaşama hürriyetini, tedbirler getirecek. Bayramda tedbirlere uyarsak, sonrasında daha özgür olacağız. Bayramda evde kalmalıyız. Bayram günleri virüsün yeniden yayılma günleri olmamalı. BAYRAMI ESKİSİ GİBİ KUTLARSAK, hastalığın tırmanışa geçtiği günlere dönebiliriz. https://t.co/JsBZn33XrC</t>
  </si>
  <si>
    <t>1263158720441257984</t>
  </si>
  <si>
    <t>Koronavirüse karşı verdiğimiz mücadelenin karnesi her akşam ekranlardadır. Biz sağlık profesyonelleri, Bilim Kurulu ve salgınla mücadelenin strateji ekipleri olarak umutsuz tek gün yaşamadık. Gelinen noktada bu umut, TEDBİRLERİN EN AZ MEŞAKKATİ İÇERECEĞİ GÜNLERE odaklanmıştır. https://t.co/1mAPJa2h9k</t>
  </si>
  <si>
    <t>1263144650233327616</t>
  </si>
  <si>
    <t>VAKA SAYIMIZ, 1.000’İN ALTINA DÜŞTÜ. Kaybettiğimiz hasta sayısı bugün de azaldı. Virüsle artık şartları değiştirerek, daha özgür mücadele edeceğiz. Yeni hayat tarzımız: Kontrollü Sosyal Hayat, hep birlikte tedbir. Koşulu: Maske + 1,5 metre Sosyal Mesafe. https://t.co/RVlhe7786O https://t.co/axLmtRaKVE</t>
  </si>
  <si>
    <t>1263140018408783878</t>
  </si>
  <si>
    <t>Bilim Kurulu Toplantımızın ardından Koronavirüs ile ilgili son gelişmeler ve aldığımız yeni tedbirlere ilişkin basın açıklamamız.
📍SAĞLIK BAKANLIĞI BİLKENT YERLEŞKESİ / ANKARA
https://t.co/LlUwdEDgyz</t>
  </si>
  <si>
    <t>1263109845181399041</t>
  </si>
  <si>
    <t>Küçük bir etkenin, kestirilemez büyüklükte sonuçlar doğurmasına Kelebek Etkisi denir. Vuhan’da ortaya çıkan Koronavirüs’ün tüm dünyada hayatı alt üst etmesi gibi. Şimdi de küçük bir ihmal, bir uçtan bir uca tüm Türkiye’yi etkileyebilir. Risk devam ediyor. Tedbirlere uyalım. https://t.co/W6W3b8LC1a</t>
  </si>
  <si>
    <t>1262881320281276418</t>
  </si>
  <si>
    <t>Kadir Gecesi: Yüceliş gecesi. Esenlik çağrısının gecesi. Her insanın bir “acz” taşıdığını bilme gecesi. Arama sevinci bütün aya yayılsın diye, günü bir parça perdelenmiş gece. Hataları tekrarlamamaya söz verme, dünyaya gönüller yapmaya geldiğini bilme gecesi. GECENİZ KUTLU OLSUN. https://t.co/ngXMpM5cVu</t>
  </si>
  <si>
    <t>1262819336961568770</t>
  </si>
  <si>
    <t>19.19’DA, 1919 RUHUYLA, Bakanlık binamızda İstiklal Marşımızı okuduk. Tek ses olduğumuz bu anlar, yarınlarımızın ilham alacağı anlar olacak. Hayat dolu Milli Mücadele ruhu, her mücadelede bize güç versin. 19 Mayıs Atatürk’ü Anma, Gençlik ve Spor Bayramı bir kez daha kutlu olsun. https://t.co/iTP5RFAx5p</t>
  </si>
  <si>
    <t>1262815399260848128</t>
  </si>
  <si>
    <t>KÜLTÜR VE TURİZM BAKANIMIZ SN. MEHMET NURİ ERSOY’LA, bakanlığımızda bir görüşme yaptık. Şartların normale dönüşme sürecini, Türkiye'ye gelecek olan turistlerin sağlık durumları konusundaki önlemleri ele aldık. Sağlık turizmi gibi konular üzerinde de önemli istişarelerde bulunduk. https://t.co/iv2MawEYiD</t>
  </si>
  <si>
    <t>1262789912400723968</t>
  </si>
  <si>
    <t>Gençlik ve Spor Bakanımız Sn. Kasapoğlu’nun elinden BİR MEKTUP aldım. Bu mektup Koronavirüsle mücadelemizin ön saflarındaki kahramanlara yazıldı. Ve yarışmada birinci oldu. Bakanımız, 7.562 mektup daha var dedi. Biz de size minnettarız GENÇLER, TÜMÜ ADINA, MEKTUP YERİNE ULAŞACAK. https://t.co/Vm8V5bmXOE</t>
  </si>
  <si>
    <t>1262788281105887237</t>
  </si>
  <si>
    <t>Yeni vaka sayısında beklenen düzeyde bir azalma var. Yoğun bakıma ihtiyaç duyan hastalarımızın sayısı düşüyor. İyileşen hasta sayımız öngörülen seviyede. Hayat tarzımız Kontrollü Sosyal Hayat, hep birlikte tedbir. Koşulu: Maske + 1,5 metre Sosyal Mesafe. https://t.co/RVlhe7786O https://t.co/41C5V1VBKn</t>
  </si>
  <si>
    <t>1262775042347282432</t>
  </si>
  <si>
    <t>19.19’DA, 1919 RUHUYLA tüm sesler birleşiyoruz. Tek yürek, İstiklal Marşımızı okuyoruz. Yaşama enerjisiyle dolu 83 milyon, Milli Mücadelenin başladığı 19 Mayıs 1919’un yeniden diriliş ruhunu günümüze taşıyoruz. Bu ruh, salgına karşı mücadele ve yeni hayat için de bize güç versin. https://t.co/KlLnkOJg2o</t>
  </si>
  <si>
    <t>1262734329521868807</t>
  </si>
  <si>
    <t>Gençlik, toplum için yeni olan gerçeği görebilme, şartları aşma kabiliyetidir. Bandırma Vapurunun Samsun’a vardığı 19 Mayıs 1919’da bu ruha sarıldık. Milli Mücadelenin fiili başlangıcı, büyük umut gününden ilham alan 19 Mayıs Atatürk’ü Anma, Gençlik ve Spor Bayramı kutlu olsun. https://t.co/nvYGSPh6sJ</t>
  </si>
  <si>
    <t>1262612879943106561</t>
  </si>
  <si>
    <t>Kars’ın Çemçe bölgesi ve Hakkari Çukurca'da, kahraman askerimizin teröristlere düzenlediği başarılı operasyonda maalesef iki şehidimiz var. Büyük milletimizin başı sağ olsun. Yaralılarımızın tedavisi devam ediyor. Askerimize sağlık hizmeti, bizim için hizmetlerin en kutsalıdır. https://t.co/cPreDKXfdg</t>
  </si>
  <si>
    <t>1262487833199153159</t>
  </si>
  <si>
    <t>DR. NİHAT DAYANIKLI. 1949 Akhisar doğumlu. Ege Üniversitesi Tıp Fakültesi’nden mezun oldu. Uzmanlık eğitimini burada aldı. Ödemiş Devlet Hastanesinde 28 yıl görev yaptı. Mesleğini hayatı boyunca sürdürdü. Son olarak bir tıp merkezinde hasta bakıyordu. Mücadelesi için #minnettarız https://t.co/bYemVFiNSg</t>
  </si>
  <si>
    <t>1262452479704342530</t>
  </si>
  <si>
    <t>Yoğun bakıma ve solunum desteğine ihtiyaç duyan hastalarımızın sayısı azalmaya devam ediyor. Vaka sayısı öngörülebilir düzeyde seyrediyor. Koronavirüsün yayılmasına karşı verdiğimiz mücadelede evde kaldığımız günlerin rolü çok büyük. Yarın evde kalalım. https://t.co/RVlhe7786O https://t.co/miIv9n6RP1</t>
  </si>
  <si>
    <t>1262427881038327808</t>
  </si>
  <si>
    <t>RT @RTErdogan: Kabine Toplantısı Sonrası Millete Sesleniş https://t.co/5x9sSy71eb</t>
  </si>
  <si>
    <t>1262416549694111744</t>
  </si>
  <si>
    <t>Yatak kapasitesi ve teknolojileriyle sağlık alt yapımıza güç katacak olan Yeşilköy Acil Durum Hastanesi, Hadımköy Hastanesi ve Başakşehir Şehir Hastanesi’nde incelemelerde bulunduk. Bunlardan Başakşehir Şehir Hastanemizin açılışı önümüzdeki Perşembe günü. Şimdiden hayırlı olsun. https://t.co/7TF4aDm3yg</t>
  </si>
  <si>
    <t>1262157199515815943</t>
  </si>
  <si>
    <t>DR. YAVUZ KALAYCI. 1964, İstanbul doğumlu. Cerrahpaşa Tıp Fakültesi 1989 mezunu. İlk hizmet yeri Mardin’di. Hastalığa, sonradan kendi adı verilen Nişanca Aile Sağlığı Merkezi’nde yakalandı. Hayatta en çok hastalarına ve iki küçük kızına yakındı. Mücadelesi için #minnettarız https://t.co/yKDa68acla</t>
  </si>
  <si>
    <t>1262076631386112000</t>
  </si>
  <si>
    <t>Yeni vaka sayımızda beklenen düzeyde bir düşüş gerçekleşti. Bazı verilerse, genel seyir içinde olağan değişkenlikler gösterdi. Koronavirüsün yayılmasına karşı verdiğimiz mücadelede evde kaldığımız günlerin rolü çok büyük. Yarın ve ertesi gün evde kalalım. https://t.co/RVlhe7786O https://t.co/cqmx1RNuRl</t>
  </si>
  <si>
    <t>1262056775341215745</t>
  </si>
  <si>
    <t>Koronavirüse karşı başarımızda, 65 YAŞ ÜSTÜ OLARAK, evde kaldığınız günlerin rolü büyük. Çıkıp, biraz soluklanmak hakkınız. Bugün saat 12.00-18.00 arası sokaklar sizin. Kendinizi korumak için MASKE takmayı sakın ihmal etmeyin. Ve 1,5 m SOSYAL MESAFE kuralına mutlaka uyun. https://t.co/ecSJ2A4mpv</t>
  </si>
  <si>
    <t>1261923008605818881</t>
  </si>
  <si>
    <t>PROF. DR. CEMİL TAŞCIOĞLU. 1952, Rize doğumlu. Okuduğu İstanbul Tıp Fakültesi’nde 1998’de profesör oldu. İç hastalıkları alanında bir ekoldü. Onun için hekimlik insan sevgisinin tezahürüydü. Hayatını salgınla mücadele ederken aldığı virüsle kaybetti. Mücadelesi için #minnettarız https://t.co/jvKNbQqFqr</t>
  </si>
  <si>
    <t>1261710936550883329</t>
  </si>
  <si>
    <t>Yoğun bakım hasta sayımızla yoğun bakıma giren hastalarımızdan vefat edenlerin oranı azalıyor. İyileşme hızındaysa öngörülebilir bir yavaşlama var. Koronavirüsün yayılmasına karşı verdiğimiz mücadelede evde kaldığımız günlerin rolü çok büyük. Evde kalalım. https://t.co/RVlhe7786O https://t.co/uqHd3kvAqI</t>
  </si>
  <si>
    <t>1261702286818062336</t>
  </si>
  <si>
    <t>Engelsiz insan var mı ki “engelli” diyoruz? Hepimiz, belki de hiç bilmediğimiz engellere sahibiz. Daha iyi bir insan olabilmemizin önündeki her özelliğimiz aslında bir “engel”. Engelleri aşanlarsa, tıpkı Âşık Veysel gibi içindeki insana ulaşanlar. ENGELLİLER HAFTASI KUTLU OLSUN. https://t.co/DIHvJwErDD</t>
  </si>
  <si>
    <t>1261674346801741824</t>
  </si>
  <si>
    <t>Koronavirüsün yayılmasına karşı verdiğimiz başarılı mücadelede, evde kaldığımız günlerin rolü çok büyük. Riskin yeniden artmasını önlemek için 16-19 Mayıs arası yine evdeyiz. Birlikte alacağımız en güçlü tedbir bu. Lütfen uygulamanın dışına çıkmayalım. https://t.co/LKfyOzMnd0</t>
  </si>
  <si>
    <t>1261644884777340930</t>
  </si>
  <si>
    <t>Saatler sayılı da olsa, gün güzeldi. Umarım tadını çıkardınız. Bugüne kadarki desteğiniz için size teşekkür ediyorum. Sokaklar bugün genç gördü. Tedbirlere uyarsak, yakında her gün görecek.</t>
  </si>
  <si>
    <t>1261361992159203329</t>
  </si>
  <si>
    <t>Yoğun bakım ve entübe hasta sayımız azalmaya devam ediyor. Test sayımız düne göre fazla. Vaka sayımızda kısmi artış var. Yeni hayat tarzımız Kontrollü Sosyal Hayat, yani hep birlikte tedbir. Koşulu:
Maske + 1, 5 metre Sosyal Mesafe. https://t.co/RVlhe7786O https://t.co/HfEphDs3WD</t>
  </si>
  <si>
    <t>1261325487151943681</t>
  </si>
  <si>
    <t>Hekimle başlayan şifa süreci eczacıyla devam eder. Onlarca soru vardır ki, eczacıya sorulur. Muayene odasıyla eczane arasındaki mesafe çok kısadır. Hasta ve hekim bilir ki, tanı “ecza” ile şifaya döner. Eczacılarımıza sevgilerimi sunuyorum. 14 MAYIS ECZACILAR GÜNÜNÜZ KUTLU OLSUN https://t.co/4q2vgVeuyC</t>
  </si>
  <si>
    <t>1261015120513241092</t>
  </si>
  <si>
    <t>Toplam test sayısında 1,5 milyonu geçtik. Yoğun bakım ve entübe hasta sayımız azalmaya devam ediyor. Toplam vaka sayımızda iyileşme oranı %71,8. Yeni hayat tarzımız Kontrollü Sosyal Hayat, yani hep birlikte tedbir. Koşulu: Maske + 1, 5 metre Sosyal Mesafe. https://t.co/RVlhe7786O https://t.co/9SgI6QMyoR</t>
  </si>
  <si>
    <t>1260970705941934080</t>
  </si>
  <si>
    <t>Ölüm haberlerine en duyarlı olduğumuz salgın döneminde bugün şehit haberi aldık. PKK, Van’da Vefa Sosyal Destek Grubu görevlilerini taşıyan araca saldırdı. Evde kalan yaşlılarımıza yardım götüren iki kişi hayatını kaybetti. Terör, “insanlık” vasfına saldırdı. Başımız sağ olsun. https://t.co/3RRytkmPPE</t>
  </si>
  <si>
    <t>1260934227568148480</t>
  </si>
  <si>
    <t>Türkçe gibi bir gönül dili daha var mı? Varsa, onu konuşanlara ne mutlu! Çağlar boyu dilimizi geliştiren yazarların, sanatçıların, dilimizle yazıp konuşanların TÜRK DİL BAYRAMI kutlu olsun.</t>
  </si>
  <si>
    <t>1260735483434409987</t>
  </si>
  <si>
    <t>Finallerin nasıl yapılacağı üniversitelere bırakılmıştı. Hazirandaki LGS ve YKS hareketliliğe sebep olacağı için, bizde, finallerin yüz yüze yapılması hareketliliği artırır kaygısı oluştu. Bilim Kurulumuzda bunu değerlendirdik. YÖK kararı aldı. FİNALLER ONLINE OLARAK YAPILACAK. https://t.co/Q75ByLvbDl</t>
  </si>
  <si>
    <t>1260693579753828362</t>
  </si>
  <si>
    <t>MESAFE KURALININ DEVRE DIŞI kaldığını, yer yer maske takılmadığını görüyoruz. Bunların hiç olmaması gerekiyor. 83 milyonun sağlığı söz konusu. Birbirimizi uyarabiliriz. Bir salgında istediğimiz gibi hareket edemeyiz. Maske takmalıyız, asgari bir buçuk metre mesafeli durmalıyız https://t.co/gBpLfN7iJ7</t>
  </si>
  <si>
    <t>1260690732362485760</t>
  </si>
  <si>
    <t>Tedbir kabiliyeti yüksek bir toplum olarak, yeni hayatımızı hızla kurmalıyız. Yeni hayatımızda kalabalıklar, kuyruklar olmamalıdır. Tedbire dayalı yeni hayat tarzı Kontrollü Sosyal Hayattır. Bu, salgını yenecek stratejidir. KONTROLLÜ SOSYAL HAYAT HEPİMİZİN ÇABASIYLA YERLEŞECEK. https://t.co/dIP10au0e3</t>
  </si>
  <si>
    <t>1260687819632246790</t>
  </si>
  <si>
    <t>Koronavirüsle mücadelemizin ikinci dönemindeyiz. Sanayi bölgelerinde bulaşmayı önlemek için test laboratuvarları açıyoruz. İş yerlerine, pandemi risk yönetimi için tedbirler geliştiriyoruz. Ama biliyoruz ki, eski günler tam olarak geri dönmüyor. SALGIN, YENİ BİR HAYAT GETİRDİ. https://t.co/PJPr12j0SX</t>
  </si>
  <si>
    <t>1260684886391881730</t>
  </si>
  <si>
    <t>Bu salgında tek tek sizlerin sağlığından sorumluyum. İşin ciddiyetini söylemekle de yükümlüyüm. Koronavirüs küresel dünyanın küresel salgınıdır. Salgın bizi, hareketi sınırlamaya, biraz izole olmaya, aramıza fiziki mesafe koymaya zorluyor. SALGIN BİZİ KONTROLLÜ YAŞAMAYA ZORLUYOR. https://t.co/uW8BEMCUEM</t>
  </si>
  <si>
    <t>1260682044964823041</t>
  </si>
  <si>
    <t>KONTROLLÜ SOSYAL HAYAT, salgına karşı yeni hayat tarzıdır. Özü, hep birlikte tedbirdir. Pazar yerinden toplu taşımaya, AVM’den iş yerine, sınıftan sokağa, amacı, birlikte olduğumuz tüm alanlarda Koronavirüs riskini hepimiz için azalmaktır. Bir koşulu var: Maske + Sosyal Mesafe. https://t.co/h2cxyImkHX</t>
  </si>
  <si>
    <t>1260648260860956672</t>
  </si>
  <si>
    <t>DSÖ Avrupa Bölge Direktörü Dr. Kluge ile bugün bir görüşme yaptık. İyileşme oranımız, tedavi algoritmamız ve normalleşme adımları üzerinde durduk. Dr. Kluge dünyanın yararlanabilmesi için Türkiye’nin başarısının akademik yayına dönüşmesi gerektiğini vurguladı ve işbirliği önerdi. https://t.co/SummwKHNS8</t>
  </si>
  <si>
    <t>1260614243369603073</t>
  </si>
  <si>
    <t>YOĞUN BAKIMDAKİ HASTA SAYIMIZ İLK KEZ 1.000’in altına düştü. İyileşen hasta sayımız 100.000’i aştı. Toplam test sayımız yaklaşık 1,5 milyon. Virüse karşı asıl gücümüz: 
Maske + 1,5 Metre Sosyal Mesafe. Risk, en çok kalabalık ortamlarda. Uzak duralım. https://t.co/RVlhe7786O https://t.co/8Ywihrmq5V</t>
  </si>
  <si>
    <t>1260600726092480516</t>
  </si>
  <si>
    <t>Bilim Kurulu Toplantımızın ardından Koronavirüs ile ilgili son gelişmeler ve aldığımız yeni tedbirlere ilişkin basın açıklamamız.
📍SAĞLIK BAKANLIĞI BİLKENT YERLEŞKESİ / ANKARA
https://t.co/L0XwTmAn0y</t>
  </si>
  <si>
    <t>1260584438813077508</t>
  </si>
  <si>
    <t>Saat 11.00-15.00 arası, çocuklarımız ve gençlerimiz özledikleri parklara, sokaklara kavuşuyor. Yakın arkadaşlar, mesafeli şekilde buluşuyor. Eve dönmesi biraz zor. Ama önümüzde çok daha güzel günler, upuzun beraberlikler var. Sağlığımız için birazcık daha fedakârlık yapacağız. https://t.co/EEX19URi53</t>
  </si>
  <si>
    <t>1260458457729302530</t>
  </si>
  <si>
    <t>Bu salgın döneminde, şükran duygularının ifadesi zordur. Size ünlü bir sözü hatırlatacağım: “Hemşireleri ne kadar çok överseniz, gerçeği o kadar çok söylemiş olursunuz.” Bu söz, ilk kez bugünlerde, Türkiye’de söylenmeliydi. 12 MAYIS HEMŞİRELER GÜNÜNÜZ TEKRAR KUTLU OLSUN. https://t.co/svEQOsQgwX</t>
  </si>
  <si>
    <t>1260298703581167617</t>
  </si>
  <si>
    <t>RT @RTErdogan: Biz laf üstüne laf koymanın değil, taş üstüne taş koymanın çabasındayız.
18 yılda verdiğimiz her sözü tuttuğumuz gibi, Koro…</t>
  </si>
  <si>
    <t>1260292658641190912</t>
  </si>
  <si>
    <t>Yakın mesafedeki iki kişiden ikisi de maske takmış olsa, virüs maskeye rağmen birinden diğerine bulaşabilir. Ya hareketli, kalabalık yerlerde? Evden çıkarken mutlaka maske takın. Ama maske SOSYAL MESAFE olmadan Koronavirüs riskinden sizi uzak tutmaya yetmeyebilir.
Risk almayın. https://t.co/wRhP5XmB5E</t>
  </si>
  <si>
    <t>1260280982365786112</t>
  </si>
  <si>
    <t>Yeni vaka sayısındaki artış öngörülebilir sınırlarda. TOPLAM VAKALARIN %70’İ İYİLEŞMİŞ DURUMDA. Yoğun bakım hasta sayımız azalmaya devam ediyor. Maske + sosyal mesafe: Virüse karşı gücümüz bu! Risk kalabalık ortamlarda. Uzak duralım. https://t.co/RVlhe7786O https://t.co/0naqY0mszC</t>
  </si>
  <si>
    <t>1260252197260066820</t>
  </si>
  <si>
    <t>Hemşirelerimiz, kusursuz oldukları görevlerinde şimdi birer kahraman. Koronavirüse karşı mücadelede hem sağlık profesyoneli hem de adeta hasta yakını konumunda ve hastayla iletişimde daima ustalar. Duyarlı olmakta ise dünyada örnekleri yok. 12 MAYIS HEMŞİRELER GÜNÜ KUTLU OLSUN. https://t.co/TrseBtFTRu</t>
  </si>
  <si>
    <t>1260110568209383424</t>
  </si>
  <si>
    <t>Bugün, AVM önlerinde uzun kuyruklar, AVM kapılarında yığılmalar oluştu. Sosyal mesafe kuralına çoğunlukla uyulmadı. Maske takmayanlara bile rastlandı. Ne maske, ne sosyal mesafe, tek başına koruyucu değil. Tedbirler tam olmalı. Risk devam ediyor. Mecbur değilsek evde kalalım. https://t.co/I9JvtJwECa</t>
  </si>
  <si>
    <t>1259949701283172352</t>
  </si>
  <si>
    <t>RT @RTErdogan: Küresel Koronavirüs salgınına karşı 83 milyon hep birlikte verdiğimiz mücadeleyi başarıyla devam ettiriyoruz.
Sağlıkla ilgi…</t>
  </si>
  <si>
    <t>1259948307264266240</t>
  </si>
  <si>
    <t>Tedbirlere uyarsak, yeni vaka sayımız, yakında günde 1.000’den daha az olacak. Yoğun bakım ve solunum desteğine ihtiyaç duyan hastalarımızın sayısı azalmaya devam ediyor. Bugünkü vefat sayımız 55. Tedbirsizliğin bedelinin ağır olduğunu unutmayalım. https://t.co/RVlhe7786O https://t.co/hJzLXCLqoO</t>
  </si>
  <si>
    <t>1259898579470168068</t>
  </si>
  <si>
    <t>RT @RTErdogan: Kabine Toplantısı Sonrası Millete Sesleniş https://t.co/cl970OhqoG</t>
  </si>
  <si>
    <t>1259879364893736965</t>
  </si>
  <si>
    <t>Büyüğümüz hanımefendiler, beyefendiler, bugün, günlerdir özlem duydukları parklarda, sokaklardaydı. Bugün, dışarıda son günlerin en mutlu anları yaşandı. Kendilerine sabırları için teşekkür ediyorum. Hanımefendilerin Anneler Gününü kutluyorum. Sizi hep böyle iyi görmek istiyoruz. https://t.co/yc2ya1YtIR</t>
  </si>
  <si>
    <t>1259563100682031106</t>
  </si>
  <si>
    <t>Bu tabloyu 83 milyon birlikte değiştirdik. Tedbirlere ısrarla uyarak! Mücadelemizi ciddiyetle, hiç gevşetmeden sürdürelim. İyileşen hasta sayımız yakında 100 bin kişiyi bulacak. Vefat sayımız, vaka sayımız gittikçe azalacak. Biraz daha özveriye değmez mi? https://t.co/RVlhe7786O https://t.co/8dUAvwxYcL</t>
  </si>
  <si>
    <t>1259513601511096327</t>
  </si>
  <si>
    <t>Koronavirüsle mücadelemize evde kalarak büyük destek verdiniz. Beklenen gün geldi: Şehir, siz hanımefendiler ve beyefendilerle adeta yeniden tanışacak. Bu güzel günde maske takmayı ihmal etmeyin. Maske artık kıyafetimizin bir parçası olmalı. Her dakikanız güzel geçsin! https://t.co/6Lxd72PWpv</t>
  </si>
  <si>
    <t>1259372619838652416</t>
  </si>
  <si>
    <t>Koronavirüsle mücadelemize evde kalarak büyük destek verdiniz. Beklenen gün geldi: Şehir, siz hanımefendiler ve beyefendilerle adeta yeniden tanışacak. Bu güzel günde maske takmayı ihmal etmeyin. Maske artık kıyafetimizin bir parçası olmalı. Her dakikanız güzel geçsin! https://t.co/FmUgqfHPnC</t>
  </si>
  <si>
    <t>1259372592353419264</t>
  </si>
  <si>
    <t>Yurt, anayurt olurken orada “anne” var. Dil, anadil olurken... Bizi hayata ve birbirimize bağlayan annelerimize, kelimelerin tarif edemeyeceği bağlarla bağlıyız. Araya girecek küçük engeller, bağların en güçlüsünü kuran duygulardan güçlü değildir. Anneler Gününüz kutlu olsun. https://t.co/Gr2zguMCoi</t>
  </si>
  <si>
    <t>1259272949640638464</t>
  </si>
  <si>
    <t>Türkiye’nin pratik zekâsı, salgın şartlarında, sosyal hayata ilginç görüntüler kazandırmaya başladı. Göze sürpriz yapanından bir soruna çözüm olanına dek, her fikir güzel. https://t.co/Owazv5HG4q</t>
  </si>
  <si>
    <t>1259241936449343488</t>
  </si>
  <si>
    <t>Türkiye’nin pratik zekâsı, salgın şartlarında, sosyal hayata ilginç görüntüler kazandırmaya başladı. Göze sürpriz yapanından bir soruna çözüm olanına dek, her fikir güzel. (Mühim not: Fotoğraf çarşamba günü çekilmiştir.) https://t.co/i5PiknHBJP</t>
  </si>
  <si>
    <t>1259215320469790720</t>
  </si>
  <si>
    <t>Toplam iyileşen sayısı 90 bine yaklaştı. Yoğun bakım desteğine ihtiyaç duyanların sayısındaki azalma devam ediyor. Yapılan test sayısına göre, yeni tanı konan vaka sayısında düşüş devam ediyor. Tedbiri elden bırakmayalım. https://t.co/RVlhe7786O https://t.co/4PfFahNftn</t>
  </si>
  <si>
    <t>1259158008325693442</t>
  </si>
  <si>
    <t>Virüsten uzak durmanın yolu, maske ve sosyal mesafedir. Ev dışında mutlaka maske takın ve sosyal mesafeyi koruyun. Kimin virüs taşıdığını bilemezsiniz. Tedbiri elden bırakmayın. #riskigörün https://t.co/Ch4CzqTlai</t>
  </si>
  <si>
    <t>1259065780320309250</t>
  </si>
  <si>
    <t>Virüsten uzak durmanın yolu, maske ve sosyal mesafedir. Ev dışında mutlaka maske takın ve sosyal mesafeyi koruyun. Kimin virüs taşıdığını bilemezsiniz. Tedbiri elden bırakmayın. #riskigörün https://t.co/xos8qkGwAh</t>
  </si>
  <si>
    <t>1259056916090814466</t>
  </si>
  <si>
    <t>Maske ve sosyal mesafe uyarılarımız, halkımızın pratik zekâsı, hazırcevap konuşmasıyla mevzu olup yayılıyor. Pazar yerinde dikkatli olalım. Biri, para ile birlikte bir miktar Koronavirüs uzatabilir. https://t.co/KrMNYeMByb</t>
  </si>
  <si>
    <t>1258828133316296704</t>
  </si>
  <si>
    <t>Virüsten uzak durmanın yolu, maske ve sosyal mesafedir. Ev dışında mutlaka maske takın ve sosyal mesafeyi koruyun. Kimin virüs taşıdığını bilemezsiniz. Tedbiri elden bırakmayın. #riskigörün https://t.co/8C0Hehfaay</t>
  </si>
  <si>
    <t>1258803557454798848</t>
  </si>
  <si>
    <t>Toplam iyileşen hasta sayısı 85 bini aştı. Son 24 saatteki vaka, vefat, yoğun bakım, entübe hasta sayısında yine düşüş var. Tablo, virüsle mücadelemizde lehimize veriler ortaya koyuyor. Ama bunlar kesin sonuçlar değil, ciddi bir fırsat. Fırsatı kullanalım. https://t.co/RVlhe7786O https://t.co/6IKy8JoeBm</t>
  </si>
  <si>
    <t>1258797632064978944</t>
  </si>
  <si>
    <t>Örneklerini daha önce paylaştığımız şarkılardan bir yenisi daha yapıldı. “Kahraman Sağlık Ordumuza” şeklinde, gurur verici ithafla başlayan şarkı, tek tek hekimlerimize “Canlar önce Allah’a, sonra sana emanet” diyor. Emeği geçenler sağ olsun. https://t.co/cUCoS9dG9O</t>
  </si>
  <si>
    <t>1258775681619689472</t>
  </si>
  <si>
    <t>Eminönü, salgın öncesi günlerin hareketliliğine dönmüş görüntüsü verdi. Trafik sıkışıklığına kadar! Salgınla mücadelede her şey daha iyiye giderken, aceleci olmayalım. Otomobil güvenli olabilir. Ama kapıyı açıp, dışarı çıkana kadar. https://t.co/BpD93q0O84</t>
  </si>
  <si>
    <t>1258552658186530819</t>
  </si>
  <si>
    <t>“Sağlık Bakanlığımız gece demiyor, gündüz demiyor. Sağlık çalışanlarımız fedakarca, adanmış ve anıtlaşmış şekilde salgınına engel olmaya gayret ediyor.” Sn. Bahçeli, bugün salgına karşı uyarıcı bir dizi paylaşımda bulundu. Kendisine, sağlık çalışanlarımız adına teşekkür ediyorum.</t>
  </si>
  <si>
    <t>1258518653936365568</t>
  </si>
  <si>
    <t>Virüsten uzak durmanın yolu, maske ve sosyal mesafedir. Ev dışında mutlaka maske takın ve sosyal mesafeyi koruyun. Kimin virüs taşıdığını bilemezsiniz. Tedbiri elden bırakmayın. #riskigörün https://t.co/8ZgelFWhYo</t>
  </si>
  <si>
    <t>1258504029078016004</t>
  </si>
  <si>
    <t>Virüsten uzak durmanın yolu, maske ve sosyal mesafedir. Ev dışında mutlaka maske takın ve sosyal mesafeyi koruyun. Kimin virüs taşıdığını bilemezsiniz. Tedbiri elden bırakmayın. #riskigörün https://t.co/6YPzQzYKok</t>
  </si>
  <si>
    <t>1258501054863495168</t>
  </si>
  <si>
    <t>Virüsten uzak durmanın yolu, maske ve sosyal mesafedir. Ev dışında mutlaka maske takın ve sosyal mesafeyi koruyun. Kimin virüs taşıdığını bilemezsiniz. Tedbiri elden bırakmayın. #riskigörün https://t.co/j1J7uYGbXF</t>
  </si>
  <si>
    <t>1258491823422681088</t>
  </si>
  <si>
    <t>Test sayısı, yakında 1,5 milyona ulaşacak. Vaka sayısında dün göze çarpan kısmi artış, geriledi. Vefatta, yoğun bakım sayısında düne göre yine düşüş var. Virüsü, kararlı bir şekilde geriletmeli, tedbirlerle yenmeliyiz. Kanıtladık: Sonuç almak zor değil. https://t.co/RVlhe7786O https://t.co/1yBZCUK3hT</t>
  </si>
  <si>
    <t>1258432095057252353</t>
  </si>
  <si>
    <t>Bilim Kurulunun, Bakanlığımızın veya Hükümetimizin AVM’lerin kapatılmasıyla ilgili bir kararı olmamıştı.  Faaliyetlerine ara vermişlerdi. Açılan; giyimevi, dükkân vb.dir. Restoranlar, kafelerse açılmıyor. Böyle bir karar yok. https://t.co/bprOtijnyE</t>
  </si>
  <si>
    <t>1258125252405665795</t>
  </si>
  <si>
    <t>TFF, maçların devamına kendisi karar verdi. Bakanlık veya Bilim Kurulu olarak, öneride bulunmak istemediğimizi başkana ifade etmiştim. Federasyonun Sağlık Kurulunun, süreci nasıl yönetmeleri gerektiğiyle ilgili çalışma yaptığını da biliyoruz. Karar ve sorumluluk federasyonundur. https://t.co/fA2SNpmDug</t>
  </si>
  <si>
    <t>1258098355202404352</t>
  </si>
  <si>
    <t>Bakanlığımız bir mobil uygulama geliştirdi. Uygulamayı, KONTROLLÜ SOSYAL HAYAT döneminin önemli ihtiyaçlarından biri olarak görüyoruz. Uygulama ücretsizdir. Amacı, günlük hayatta karşılaşabileceğiniz riskleri azaltmaktır. Örneğin, gideceğiniz yerdeki riski görebileceksiniz. https://t.co/qLZB615Hn9</t>
  </si>
  <si>
    <t>1258077394382053383</t>
  </si>
  <si>
    <t>Yeni dönem, tipik bir normalleşme dönemi değildir. Hayatımızın, sağlığımızı garanti edecek şekilde kısmen özgürleşmesidir. Yeni dönem, tedbirlerle özlemlerin sentezidir. Başlayan günler, 11 Mart’tan bu yana gösterdiğimiz çabanın şimdiki ödülüdür. Ama bu ödül, büyük ödül değildir. https://t.co/QaP6mN2yZ0</t>
  </si>
  <si>
    <t>1258074436974120960</t>
  </si>
  <si>
    <t>Koronavirüsle mücadelemizin ikinci döneminde, yeni dönemin ilk günlerindeyiz. Bu dönemde de başarı bazı koşullara bağlıdır. Başarının garantisi tedbirlere uymaktır. Tedbirsiz davranmak, tehdidin ortadan kalktığını varsaymaktır. Tedbir zorunludur, çünkü tehdit devam etmektedir https://t.co/SJ7IN4jlbl</t>
  </si>
  <si>
    <t>1258070526641287168</t>
  </si>
  <si>
    <t>Yoğun bakıma ve solunum cihazına ihtiyaç duyan hasta sayısı azaldı. Yeni vaka sayısında, sokağa çıkma kısıtına ara verilen günlerden kaynaklanan, beklenen sınırlar içinde bir artış oldu. Virüs bulduğu her fırsatı kullanıyor. Tedbirlere mutlaka uymalıyız. https://t.co/RVlhe7786O https://t.co/bn3Wn0nAUB</t>
  </si>
  <si>
    <t>1258063992288878595</t>
  </si>
  <si>
    <t>Salgın sürecinde, 83 milyonun desteğiyle çok büyük bir mesafe alan sağlık ordumuz adına size şunu söylemekten gurur duyuyorum: Türkiye, Koronavirüse karşı mücadelesinde ilk dönemi tamamlamıştır. https://t.co/l5rWhZo7P0</t>
  </si>
  <si>
    <t>1258058834217701376</t>
  </si>
  <si>
    <t>Bilim Kurulu Toplantımızın ardından Koronavirüs ile ilgili son gelişmeler ve aldığımız yeni tedbirlere ilişkin basın açıklamamız.
📍SAĞLIK BAKANLIĞI BİLKENT YERLEŞKESİ / ANKARA
https://t.co/9BC0wbP8fk</t>
  </si>
  <si>
    <t>1258044571914829832</t>
  </si>
  <si>
    <t>Sudan'ın başkenti Hartum'da, Koronavirüs tanısı konan, solunum güçlüğüne rağmen hastanede tedavi edilmeyip, evine gönderilen 55 yaşındaki vatandaşımız Mehmet Hanefi Aydın’ı Türkiye’ye getirdik. Şu anda yoğun bakımda. Salgına karşı, dünyanın her yerinde vatandaşımızın yanındayız. https://t.co/RbGBuvXvbH</t>
  </si>
  <si>
    <t>1257943463829659648</t>
  </si>
  <si>
    <t>İSTİKLAL CADDESİ, bugün iyi bir görüntü vermedi. Bir kareye bu kadar insan girmesi için çok erken. Günlük hayattan her fotoğraf, Türkiye Günlük Koronavirüs Tablosuna destek vermeli. Evde kalmaya çalışalım. Çıkarsak maske kullanalım, sosyal mesafe kuralına uyalım. https://t.co/jAPwgT5Pk5</t>
  </si>
  <si>
    <t>1257810036556025857</t>
  </si>
  <si>
    <t>CNN International televizyonu, 3 Mayıs'taki yayınıyla, tüm dünyadaki izleyicisine Covid-19’la mücadelemizdeki başarıyı anlattı. İstanbul’da filyasyon ekiplerinin yaptığı çalışmanın adım adım izlenmesiyle hazırlanan yayında, başarımızın temelinde bu yöntemin olduğu vurgulandı. https://t.co/IxFJPx68M5</t>
  </si>
  <si>
    <t>1257793290654679045</t>
  </si>
  <si>
    <t>Sosyal mesafe uygulamasında titiz olalım. https://t.co/BNAO1jQtE2</t>
  </si>
  <si>
    <t>1257787935719636993</t>
  </si>
  <si>
    <t>TFF Başkanı Sn. Nihat Özdemir’le bugün bir görüşme yaptık. Liglerin devamının federasyonun kendi iradesiyle alacağı bir karar olduğunu belirttik. Salgında futbol coşkusunu erteleyen ve hayatta artık oyunun bazı kurallarının değiştiğini gören futbolseverlere sevgilerimi sunuyorum. https://t.co/IujZibANEY</t>
  </si>
  <si>
    <t>1257709347204993025</t>
  </si>
  <si>
    <t>Yoğun bakım hasta sayısı, entübe hasta sayısı ve vefat sayısında düşüş devam ediyor. Yeni iyileşen hasta sayısı, başarının diğer göstergesi. Vaka sayısında, seyirde görülebilecek kısmi bir artış var. Yeni bir dönemdeyiz. Salgına fırsat tanımamalıyız. https://t.co/RVlhe7786O https://t.co/0mMKkUoncL</t>
  </si>
  <si>
    <t>1257702428541140994</t>
  </si>
  <si>
    <t>Önümüzdeki Pazar saat 11:00 ile 15:00 arası parklar, sokaklar 65 yaş ve üstü büyüklerimizin. Kalabalık arkadaş grupları, parkta bile olsa, hâlâ sakıncalı. Sabrınız için teşekkür ederim. https://t.co/UO7kNkisws</t>
  </si>
  <si>
    <t>1257423100343435265</t>
  </si>
  <si>
    <t>Son 24 saatte iyileşen hasta sayısıyla yeni vaka sayısı arasındaki fark, artmaya devam etti. Test sayısında, düne göre yaklaşık 11.000 artışa rağmen, yeni tanı sayısı azaldı. Hastalığa yeni bir fırsat tanımazsak kontrol bizim elimizde. https://t.co/RVlhe7786O https://t.co/ZM4gkNPCep</t>
  </si>
  <si>
    <t>1257359346310266880</t>
  </si>
  <si>
    <t>Eskisi kadar yakın olamayız. Evde kalmaya çalışalım. https://t.co/3unWIg8dUy</t>
  </si>
  <si>
    <t>1257203125984866304</t>
  </si>
  <si>
    <t>Eskisi kadar yakın olamayız. Araya mesafe koymalıyız. https://t.co/mOdPvbnNOi</t>
  </si>
  <si>
    <t>1257072625811062786</t>
  </si>
  <si>
    <t>RT @RTErdogan: Yeşilköy ve Sancaktepe'de toplam 2 bin yatak kapasiteli iki hastanemizin yapımı hızla devam ediyor.
Projeleri inşallah en k…</t>
  </si>
  <si>
    <t>1257038278160678914</t>
  </si>
  <si>
    <t>TARIM VE ORMAN BAKANI, arkadaşım Dr. Bekir Pakdemirli’ye, başlattığı anlamlı kampanya için teşekkür ediyorum. 1.061.635 sağlık çalışanımız için birer fidan dikme kampanyasına katılalım. Ben bağışımı, bugün vefat eden hocam Prof. Dr. Murat Dilmener için yaptım. https://t.co/nSRhUJspVO</t>
  </si>
  <si>
    <t>1257019989732835328</t>
  </si>
  <si>
    <t>11 MART’TAN BU YANA, İLK KEZ BUGÜN, iyileşen hasta sayımız, mevcut Koronavirüs hasta sayımızı geçti. Tedbirlere uyuldukça, sonuç, çok daha iyi olacak. 
https://t.co/RVlhe7786O https://t.co/VrwmnqiguO</t>
  </si>
  <si>
    <t>1256978103034875909</t>
  </si>
  <si>
    <t>Prof. Dr. Murat Dilmener, birçok kuşaktan hekim ve bilim insanının hocası, gençlerimiz içinse Enfeksiyon alanında hocaların hocasıydı. Dersleri ve hastalara yaklaşımıyla ünlü hocamızı Koronavirüs sebebiyle kaybettik. Kendisine Allah’tan rahmet, sevenlerine başsağlığı diliyorum.</t>
  </si>
  <si>
    <t>1256959127085109251</t>
  </si>
  <si>
    <t>Halkımızın ekrandan tanıyıp, sevdiği, değerli İlahiyatçı ve Yazar Ömer Döngeloğlu Beyefendi’yi tedavi olduğu Koronavirüs sebebiyle maalesef kaybettik. Kendisine Allah’tan rahmet, ailesine ve sevenlerine başsağlığı diliyorum. Mekânı cennet olsun.</t>
  </si>
  <si>
    <t>1256949918473818112</t>
  </si>
  <si>
    <t>Milletimiz, PKK terör örgütüyle mücadelesinde iki şehit verdi. Bitlis’in Sehi bölgesi yakınlarında çıkan çatışmada hayatını kaybeden iki Jandarma Uzman Çavuşumuza Allah’tan rahmet, yakınlarına sabır diliyorum. Hafif yaralı dört askerimizin hizmetindeyiz. https://t.co/p7tjpU9Qtt</t>
  </si>
  <si>
    <t>1256704516180885507</t>
  </si>
  <si>
    <t>“Yeniden sarılırız zamanı gelince
Isınır yer gök bizi görünce”
Bu şarkıdan önce, bu ses, hastane koridorlarında, servislerde duyar gibi olduğumuz sesti. Şimdi 83 milyon duyacak. Sağlık çalışanlarımızın ve toplumun özlemlerini dile getiren Murat Çorak’a teşekkür ederim. https://t.co/njNBIghXIS</t>
  </si>
  <si>
    <t>1256673109618327553</t>
  </si>
  <si>
    <t>NORMALLEŞME SÜRECİNDE SANAYİ ÜRETİMİNİN, COVID-19 tedbirlerine uygun, güvenle devamı için çalışmalarımızı başlattık. Sanayi ve Teknoloji Bakanlığımız ve Kocaeli Sanayi Odası’nın organizasyon desteğiyle GEBZE’DE, günlük 5.000 test kapasiteli bir laboratuvar kurduk. Devamı gelecek. https://t.co/jIkB5XQAiW</t>
  </si>
  <si>
    <t>1256663861362593793</t>
  </si>
  <si>
    <t>30 Mart’tan bu yana ilk kez, günlük vaka sayısı 2.000’in altına düştü. Yeni iyileşen hasta sayımız, bunun iki buçuk katına yakın. 
https://t.co/RVlhe7786O https://t.co/mIfkoJANto</t>
  </si>
  <si>
    <t>1256620750045351940</t>
  </si>
  <si>
    <t>Son 24 saatte iyileşenler, yeni tanı konan hastaların 2,25 katı. Toplam iyileşen sayısı 53 bin. Bu sayı bugüne kadarki toplam vaka sayısının %45’ine yakın. Yoğun bakım hasta sayısı azalıyor. Tedbirde dikkatli olalım. Dışarıdaki hava tabloyu değiştirebilir.
https://t.co/RVlhe7786O https://t.co/Id5p85tJSe</t>
  </si>
  <si>
    <t>1256255828459487233</t>
  </si>
  <si>
    <t>Türk-İş Sendikası, bu yıl, 1 Mayıs Emek ve Dayanışma Günü’nü, yayımladığı bildiri ile sağlık çalışanlarımıza ithaf etti. Bütün çalışma arkadaşlarım adına kendilerine teşekkür ediyorum. Bu çok zarif, kıymet bilir davranışla bugün yorgunluklar biraz azalacak. Sağ olsunlar.</t>
  </si>
  <si>
    <t>1256191681998831619</t>
  </si>
  <si>
    <t>1 Mayıs Emek ve Dayanışma Günü Kutlu Olsun. https://t.co/vCJ0MOEfp5</t>
  </si>
  <si>
    <t>1256123688501592069</t>
  </si>
  <si>
    <t>İstanbul, dünyada salgının görüldüğü kentlerden çok farklı özelliklere sahip. 20 Milyon. Yoğun bir yerleşim yapısı var. Birkaç kuşak iç içe yaşıyor. Buna rağmen, 5. haftada, vakaların %60’ının görüldüğü İstanbul’u kontrol altına aldık. Bu, 83 milyon için büyük önem taşıyor. https://t.co/9Oj31dTldB</t>
  </si>
  <si>
    <t>1256008757865308162</t>
  </si>
  <si>
    <t>Türkiye’deki yatak oranı 10 binde 28. Adana’da 32. Türkiye ortalamasının üzerinde. Yoğun bakım yatağında oran ne? Türkiye’de 100 bin kişiye düşen yoğun bakım yatak sayısı 49 iken, Adana’da 63. Adana, avantajlı. Konu gündeme taşınırken bu açık bilgiler maalesef ihmal edilmiştir. https://t.co/ZGwOT3fNwT</t>
  </si>
  <si>
    <t>1255990542577610754</t>
  </si>
  <si>
    <t>Hava ambulans hizmetinde ne bir eksiklik yaşadık, ne bir eksiklik yaşattık.</t>
  </si>
  <si>
    <t>1255969065744715779</t>
  </si>
  <si>
    <t>İsviçre’de yaşayan, 7 Nisan’da COVID-19 tanısı konan hanımefendi ve ailesinin durumu, talimatımızla, konsolosluğumuzca takip edilmiştir. Görevlendirilen Türk hekimi, hastalığın pek çok örnekte olduğu gibi, tıbben hafif seyrettiğini tespit etmiş ve evde tedaviyi uygun görmüştür. https://t.co/UCptJBAED4</t>
  </si>
  <si>
    <t>1255968967329488896</t>
  </si>
  <si>
    <t>ABD Sağlık ve Sosyal Hizmetler Bakanı Sn. Alex Azar ile bugün bir telefon görüşmesi yaptık. Cumhurbaşkanımızın talimatıyla ABD'ye yapılan tıbbi malzeme yardımı için teşekkürlerini iletti. Türkiye’nin aldığı tedbirlerle tedavide geliştirdiğimiz yöntemleri detaylı olarak anlattık. https://t.co/d9FA0yPVts</t>
  </si>
  <si>
    <t>1255949684071374848</t>
  </si>
  <si>
    <t>DSÖ Genel Direktörü Sn. @DrTedros Başkanlığında yapılan haftalık bilgilendirme toplantısında, COVID-19’la mücadelemizin sonuçlarını sunduk. Salgına yaklaşım stratejimizi, elde ettiğimiz başarıları ve tecrübelerimizi katılımcı ülkelerle paylaştık. Türkiye’nin sunumu ilgi gördü. https://t.co/JPJMtzNUFz</t>
  </si>
  <si>
    <t>1255943901027983360</t>
  </si>
  <si>
    <t>Eskisi kadar yakın olamayız. Araya mesafe koymalıyız. https://t.co/8Abf6IpSNV</t>
  </si>
  <si>
    <t>1255922394402828288</t>
  </si>
  <si>
    <t>Eskisi kadar yakın olamayız. Araya mesafe koymalıyız. https://t.co/Y0HHDnbGCX</t>
  </si>
  <si>
    <t>1255922149770039297</t>
  </si>
  <si>
    <t>Test sayısında 1 milyonu geçtik. Vaka sayısında artış öngörülebilir seyirde. Solunum desteğine ve yoğun bakıma ihtiyaç duyan hasta sayısında düşüş, iyileşen hasta sayısında ise artış devam ediyor. Bu noktaya gelmek kolay olmadı. Tedbirde ısrarcı olalım. 
https://t.co/RVlhe7786O https://t.co/rgs7DcWSF1</t>
  </si>
  <si>
    <t>1255889662478032899</t>
  </si>
  <si>
    <t>Hasta vatandaşına, dünyanın neresinde olursa olsun, ücreti devlet tarafından karşılanarak hava ambulansı hizmeti veren tek ülkeyiz. Nokta. https://t.co/Ar8YeTO78g</t>
  </si>
  <si>
    <t>1255645757497106439</t>
  </si>
  <si>
    <t>Salgınla mücadele siyaset üstüdür. Basit bir sağlık sorunu bile ayrıma izin vermez. 83 milyon aynı tarafta yer almalıyız. Kimsenin mücadelenin dışında kalmaya hakkı da yoktur. Sorumluluğumuzu yerine getirme çabası içinde olmalıyız. Siyasete malzeme edilirse, sağlık, kaybeder. https://t.co/rXLnfgmq3i</t>
  </si>
  <si>
    <t>1255628086911160329</t>
  </si>
  <si>
    <t>Ölüm üzerinden siyaset yapılıyor. Her rakamın bir cana karşılık geldiğini unutmayalım. Bu mücadelede bilgi gizlenemez. Bilgi gizleyip tedbir isteyemezsiniz. Ölüm raporlarını hazırlayanlar, gurur kaynağımız hekimlerimizdir. Hekimlerimize güvenmiyor muyuz? Vefat sayıları şeffaftır. https://t.co/OMKJKKVr8L</t>
  </si>
  <si>
    <t>1255618508249018369</t>
  </si>
  <si>
    <t>11 Mart’tan bugüne, geldiğimiz nokta, kesin başarı noktası değildir. Başarı, tedbirlere sarılmamızı gerektiren bir başarıdır. Aramızda halen virüsü taşıyanlar var. Hastalık bitmedi. O halde, bu mücadele, devam etmelidir. İnanıyoruz ki, her gün, bir önceki günden iyi olacak. https://t.co/z2D0MrIvUx</t>
  </si>
  <si>
    <t>1255615742252388355</t>
  </si>
  <si>
    <t>Hastane ihtiyacımızı sürecin başında planladık. Olası yatak, yoğun bakım ihtiyacını göz önünde tutarak, altyapısı yeterli tüm hastanelerimizi birer Pandemi hastanesi olarak görevlendirdik. Sağlık altyapısındaki bu hazırlık, bize bugüne dek kontrolü elimizde tutma gücünü verdi. https://t.co/8bpFqqdUZn</t>
  </si>
  <si>
    <t>1255613849539162117</t>
  </si>
  <si>
    <t>Ramazanı alışık olmadığımız bir şekilde yaşıyoruz. Eskiden olduğu gibi aileler, dostlar bir araya gelemiyor. Sakin iftar sofraları kuruluyor. Fakat bu Ramazanın da benzersiz bir yanı var. Hastalığa karşı birbirinden iyi haberler alıyorsunuz. Bu duygularla Ramazanınızı kutluyorum. https://t.co/aBUgFl2s2m</t>
  </si>
  <si>
    <t>1255609788119093252</t>
  </si>
  <si>
    <t>Çin’de başlayan süreçte, muhtemel bir riske karşı, OPERASYON MERKEZİNİ 10 Ocak’ta kurduk. Bilim Kurulumuzu da aynı gün, 10 Ocak 2020’de kurduk. DSÖ, hastalığı Pandemi olarak ilan etmeden tam 31 gün önce. Başarımızı üç maddeyle sıralayabilirim: Tedbir, tespit, hızlı tedavi. https://t.co/8zZv458m1V</t>
  </si>
  <si>
    <t>1255595601196089350</t>
  </si>
  <si>
    <t>İyi haberler bekleyen ülkem! Koronavirüs’le mücadelende beklediğin haberleri almaya başladın. Tehdit, giderek zayıflıyor. Başarı, 83 milyonun. Hepimiz çok iyi biliyoruz: Mücadelemiz henüz bitmedi. Mücadele, muntazam devam etmelidir. TAVİZ VERMEZSEK, sonucu kısa sürede alabiliriz. https://t.co/nzar5DILrU</t>
  </si>
  <si>
    <t>1255593147146608641</t>
  </si>
  <si>
    <t>Test sayısındaki artışa kıyasla vaka sayısındaki artış öngörülebilir düzeyde. İyileşen hastalarımızın sayısı 44.000'i, toplam vaka sayımızın da üçte birini geçti. Yoğun bakıma ihtiyaç duyan hasta sayımız azalmaya devam ediyor. Tedbirde ısrarcı olalım. 
https://t.co/RVlhe7786O https://t.co/0iwtIFX5iN</t>
  </si>
  <si>
    <t>1255527284653600768</t>
  </si>
  <si>
    <t>Bilim Kurulu Toplantımızın ardından Koronavirüs ile ilgili son gelişmeler ve aldığımız yeni tedbirlere ilişkin basın açıklamamız.
📍SAĞLIK BAKANLIĞI BİLKENT YERLEŞKESİ / ANKARA https://t.co/VuPORdBc2e</t>
  </si>
  <si>
    <t>1255501394284613633</t>
  </si>
  <si>
    <t>Türkiye, hava ambulans hizmetini 2008’den beri veriyor. Ve bu hizmeti kendi kaynakları ile ücretsiz sunan tek devlettir. Sadece bu yıl 453 hasta hava, 211 hasta uçak ambulansla taşınmıştır. Benzer sağlık operasyonlarının ancak filmlerde olabileceğini düşünenler ülkemize inanmalı.</t>
  </si>
  <si>
    <t>1255219185082392584</t>
  </si>
  <si>
    <t>TÜRK KONSEYİ SAĞLIK BAKANLARI TOPLANTILARININ ilkini yaptık. Altı ülkenin bakanıyla, DSÖ Avrupa Direktörü ve Türk Konseyi Genel Sekreterinin katıldığı toplantı video konferansla gerçekleşti. Toplantıda salgına karşı alınacak küresel ve bölgesel tedbirlerin önemi üzerinde durduk. https://t.co/vCWh8PgwqH</t>
  </si>
  <si>
    <t>1255196977672916997</t>
  </si>
  <si>
    <t>Eskisi kadar yakın olamayız. Araya mesafe koymalıyız. https://t.co/DLuUNQi5NX</t>
  </si>
  <si>
    <t>1255173173819199489</t>
  </si>
  <si>
    <t>Son 24 saatte 5.000’den fazla hastamız iyileşti. İyileşen toplam hasta sayımız 40.000’e yaklaştı. Yoğun bakım ve entübe sayısında düşüş sürüyor. Yeni vaka sayısı öngörülen seyirde. Çok yakında 1 milyon testi aşmış olacağız. Bu başarıyı riske atmayalım. 
https://t.co/RVlhe7786O https://t.co/J33oSpzuH1</t>
  </si>
  <si>
    <t>1255164902060240903</t>
  </si>
  <si>
    <t>Rusya’da tıp öğrencisi olan akciğer hastası Haluk Hasan Seyithanoğlu’nu ambulans uçakla ülkesine getirdik. Koronavirüs salgını sebebiyle Rusya’da ameliyatı yapılamayan kardeşimiz, Cumhurbaşkanımızın talimatıyla tedavi altına alındı. Kendisine geçmiş olsun diyorum. https://t.co/Tn67tZW7ep</t>
  </si>
  <si>
    <t>1255107602159144960</t>
  </si>
  <si>
    <t>Eskisi kadar yakın olamayız. Araya mesafe koyalım. https://t.co/ZD28tYr0Te</t>
  </si>
  <si>
    <t>1254918589544632328</t>
  </si>
  <si>
    <t>Bir gün içinde iyileşen en yüksek hasta sayısına ulaştık. Temaslı sayısı ve temas ortamı azaldığı için, ihtiyaç duyulan test sayısında azalma bugün de devam etti. Yoğun bakım ve entübe hasta sayısında düşüş sürüyor. Bu başarıyı riske atmayalım. 
https://t.co/RVlhe7786O https://t.co/ZwBVeHSHoG</t>
  </si>
  <si>
    <t>1254819120807325699</t>
  </si>
  <si>
    <t>Kalabalık iftar sofralarından uzak duralım. Hayırlı iftarlar. https://t.co/IcskCulXwd</t>
  </si>
  <si>
    <t>1254816434846302213</t>
  </si>
  <si>
    <t>RT @RTErdogan: Kabine Toplantısı Sonrası Millete Sesleniş https://t.co/qgSvd1QlSd</t>
  </si>
  <si>
    <t>1254798209374961664</t>
  </si>
  <si>
    <t>COVID-19 hastası vatandaşımız Emrullah Bey’in durumundan Türkiye sabah 04’te haberdar oldu. Ambulans uçağımız, Cumhurbaşkanımızın talimatıyla 09.10’da İsveç’in Malmö kentindeydi. Hastamız, iki çocuğuyla, öğlen saatlerinde Ankara’da tedavi altına alındı. Gücünü bil ülkem! https://t.co/l4wVKwlsXu</t>
  </si>
  <si>
    <t>1254515130433486850</t>
  </si>
  <si>
    <t>Biri tuz yerine Koronavirüs uzatabilir. Kalabalık iftarları gelecek yıl yapalım. Hayırlı iftarlar. https://t.co/JxQVhFfIkG</t>
  </si>
  <si>
    <t>1254449161430319105</t>
  </si>
  <si>
    <t>Temaslı sayısı ve temas ortamı azaldığı için 50.000’e varan günlük test kapasitemizin 30.000’i kullanıldı. Son 20 gün içinde yeni vaka sayısının en düşük olduğu gün, bugün oldu. Yoğun bakım desteği alan hastalarımızın sayısındaki azalma devam etti. https://t.co/RVlhe7786O https://t.co/OwvvlGYiLm</t>
  </si>
  <si>
    <t>1254446418145808384</t>
  </si>
  <si>
    <t>RT @RTErdogan: Bugün İsveç'ten uçak ambulans ile ülkemize getirdiğimiz Emrullah Bey'in kızı Leyla kardeşimle telefonda görüştüm. Yaşadığı m…</t>
  </si>
  <si>
    <t>1254439305176547328</t>
  </si>
  <si>
    <t>Bir kız evlat, COVID-19 hastası babası için hiçbirimizin unutamayacağı bir şey yaptı. Ülkemiz harekete geçti. Ambulans uçağımız sabah İsveç’ten hastamızı aldı. Birazdan Ankara’da olacak. (Sevgili Leyla, biz 25 bin hastamızı iyileştirdik. İnşallah Emrullah Bey de iyileşecek.) https://t.co/J5xvaOFZHg</t>
  </si>
  <si>
    <t>1254349419509579776</t>
  </si>
  <si>
    <t>Sevgili Leyla, sesini duyduk. Ambulans uçağımız saat 06'da havalanıyor, İsveç’e geliyoruz. Tüm Türkiye, böyle bir dönemde, uzakta olmanıza üzüldük. Baban için hastanemiz, hekimlerimiz hazır. Cumhurbaşkanımızın, bütün halkımızın geçmiş olsun dileklerini iletiyorum. Çok sevgiler. https://t.co/y4vUOQMGNl</t>
  </si>
  <si>
    <t>1254244292312420354</t>
  </si>
  <si>
    <t>Eskisi kadar yakın olamayız. https://t.co/oAqDg5qzRu</t>
  </si>
  <si>
    <t>1254139437665136642</t>
  </si>
  <si>
    <t>Eskisi kadar yakın olamayız. https://t.co/sLJKX51aUS</t>
  </si>
  <si>
    <t>1254138227029676033</t>
  </si>
  <si>
    <t>Yakın yıllarda hiçbir ülke sağlığa bu kadar dikkat etmedi. Ülkemle gurur duyuyorum. #ÜlkemleGururDuyuyorum https://t.co/ZKPmjoE631</t>
  </si>
  <si>
    <t>1254135306883944450</t>
  </si>
  <si>
    <t>Gelecek yıl dostluklar daha yakın olacak. İftar davetlerini gelecek yıla erteleyelim. Hayırlı iftarlar. https://t.co/XM9Q6sJcCn</t>
  </si>
  <si>
    <t>1254087109629169666</t>
  </si>
  <si>
    <t>Son 24 saatte 3.845 hasta taburcu edildi, 2.861 yeni tanı kondu. Taburcu olanların sayısı yeni hastaların sayısından 984 fazla. Şifa bulanların toplam sayısı ise 25.000'i geçti. Testlerin pozitif çıkma oranı azalıyor. Bu tabloya tedbirle destek şart. 
https://t.co/RVlhe7786O https://t.co/3rRBHfP0HN</t>
  </si>
  <si>
    <t>1254080782794178561</t>
  </si>
  <si>
    <t>Sağ olun gençler. Sabrınızla Korona’ya karşı çok yol aldık. https://t.co/WGW0rLRt2T</t>
  </si>
  <si>
    <t>1253805482780897290</t>
  </si>
  <si>
    <t>Tarım ve Orman Bakanımız, arkadaşım Bekir Pakdemirli ile bugün bir toplantı yaptık. Görüşmemizde, tedbirler, salgının tarım ve hayvancılık üzerindeki etkileri, normalleşme sürecinin koordinasyonu, önümüzdeki süreçte tarım üretiminin seyri ve gıda arz güvenliği ele alındı. https://t.co/X3gdRoTkVV</t>
  </si>
  <si>
    <t>1253755080102338560</t>
  </si>
  <si>
    <t>Son 24 saat içinde taburcu olan hasta sayısı, bugüne kadar iyileşen toplam hasta sayısının yaklaşık %15’ini oluşturuyor. Taramada, erken tanı ve tedavide başarılıyız. BU NOKTADAN GERİ DÖNÜŞ OLMAMALI. Alınan sonuçlara tedbirle destek şart. Bize güç verin. 
https://t.co/RVlhe7786O https://t.co/98GfL0iq2u</t>
  </si>
  <si>
    <t>1253717449746374657</t>
  </si>
  <si>
    <t>Umut göründü. Hilal göründü. Güzel günler yaklaşıyor. Ramazanınız kutlu olsun. https://t.co/FuInkIsFcu</t>
  </si>
  <si>
    <t>1253409625820422146</t>
  </si>
  <si>
    <t>Saat 21:00’da, başta Sayın Cumhurbaşkanımız olmak üzere tek ses olduk. İstiklal Marşımızı 83 milyon birlikte okuduk. O an görevinin başında olan sağlık çalışanlarımız adına, bu görkemli koroya bizler Bakanlık Binamızın önüne çıkarak katıldık. Meclisimizin 100. yılı kutlu olsun. https://t.co/wZ1HLWFKEH</t>
  </si>
  <si>
    <t>1253407438688202755</t>
  </si>
  <si>
    <t>İSTİKLAL MARŞIMIZ İÇİN DÜNYANIN EN BÜYÜK KOROSU KURULUYOR. Meclisimizin açılışının 100. yılında, bu akşam 21:00’da, 83 milyon pencerelerde, balkonlardayız. İstiklal Marşımızı, görev başındaki sağlık çalışanlarımız adına da okuyalım. Coşkumuz büyük, sesimiz gür olsun. https://t.co/NH3pfbNUEy</t>
  </si>
  <si>
    <t>1253375578201358337</t>
  </si>
  <si>
    <t>RT @RTErdogan: Türkiye Büyük Millet Meclisi’mizin açılışının 100. yılında bir kez daha tüm dünyaya haykırıyoruz ki;
Hâkimiyet Bilakayduşar…</t>
  </si>
  <si>
    <t>1253374965258346496</t>
  </si>
  <si>
    <t>Bugün, dünden daha iyi durumdayız. Bu noktaya, biri bile tesadüfen yapılmamış toplam 791.906 testle geldik. Tanı konanların her birinin temaslı taraması ya yapıldı ya da devam ediyor. Alınan sonuca tedbirle destek şart. Bize güç verin. 
https://t.co/RVlhe7786O https://t.co/8PhcNL9jAb</t>
  </si>
  <si>
    <t>1253368061157138432</t>
  </si>
  <si>
    <t>Sevincin sesi bugün hepimize ulaştı. 23 Nisan kutlu olsun. #23NisanKutluOlsun 🇹🇷 https://t.co/QoJNnSzHLe</t>
  </si>
  <si>
    <t>1253323324479819778</t>
  </si>
  <si>
    <t>100 bine yakın hastamıza rağmen vefat sayımız az. Çünkü hekimlerimiz tedavide başarılı. Yoğun bakım hasta sayımız az. Yatak doluluk oranı %30. Türkiye, salgında imkânlarının hepsine ihtiyaç duymuyor. Ölüm oranının düşüklüğü beklenen sonuç. Aksi için neden yok. GERÇEK BİZDEN YANA. https://t.co/izOX3lNfHe</t>
  </si>
  <si>
    <t>1253310024014794758</t>
  </si>
  <si>
    <t>Tedbirlerin önemi azalmıyor, artıyor. Başa dönüş riski, ikinci bir dalga göze alınamaz. Temastan kaçınmalıyız. Sosyal mesafe kuralını bir an bile ihlal etmemeliyiz. İzolasyondan ödün vermemeliyiz. Her adımı dikkatli atarsak, önümüzdeki takvim netleşir. Ertelediğimiz hayat başlar. https://t.co/9y16Fa75oM</t>
  </si>
  <si>
    <t>1253308309538570241</t>
  </si>
  <si>
    <t>Amerikan basınında, amacı bu şeffaf mücadeleyi karalamak gibi görünen bir haber yapıldı. Habere göre, Türkiye’de başka birçok ölümün sebebi virüs olabilirmiş. Dünya Sağlık Örgütü’yle bilgi paylaşırken kriterimiz açık. PCR yapan bir ülkeyiz. Tahmini değil tanıyı baz alıyoruz! https://t.co/y2nJGoe3ml</t>
  </si>
  <si>
    <t>1253299367177584640</t>
  </si>
  <si>
    <t>İstanbul’da, mezarlıklarda kalabalıklar oluştuğu söylendi. Bu doğrudur. Hıfzıssıhha Kurulu ve İller İdaresi, her ne sebeple olursa olsun, İstanbul’da vefat eden herkesin İstanbul’da defnedilmesi kararı aldı. Tedbir, salgının yayılımına karşı alınmıştır. https://t.co/ApPYo7J0nb</t>
  </si>
  <si>
    <t>1253292850596511745</t>
  </si>
  <si>
    <t>Sn. Cumhurbaşkanımızın belirttiği gibi, hayatın kademeli şekilde normalleşmesi, kuralların uygulanmasıyla mümkündür. Hastalık, öngördüğümüz şekilde seyrediyor. Bilinçli olursak, normalleşme gecikmeyecektir. Umut, en doğru kelime. Fakat bu umut tedbirsizlikle tehdide dönüşmemeli. https://t.co/PMcaHUdGDw</t>
  </si>
  <si>
    <t>1253209688507854850</t>
  </si>
  <si>
    <t>Ramazanın özelliği, insana alışkanlıklarının dışına çıkma gücü vermesidir. Oruç, bir karara uyma veya onu bozma sınavıdır. Ramazan, tedbirleri esnetmenin bahanesi olmamalı. Kalabalık iftarları, sohbetleri gelecek yıla erteleyelim. Rahmet ayı, hastalıklarla sonuçlanmasın. https://t.co/zvL7KivDDf</t>
  </si>
  <si>
    <t>1253203230181543936</t>
  </si>
  <si>
    <t>Erken tanı ve tedavideki başarımızla vefat oranlarımız her geçen gün düşüyor. Yoğun bakım hasta sayımız azalıyor. Hazırlıklı olmasaydık, tablo, ABD ve Avrupa’dakine benzeyecekti. Bulunduğumuz nokta toplumun ortak başarısıdır. Daha iyi bir sonucun mümkün olduğunun kanıtıdır. https://t.co/bZDJtXxMYp</t>
  </si>
  <si>
    <t>1253105855039442947</t>
  </si>
  <si>
    <t>Güven olmadan böylesine bir salgının üstesinden kimse gelemez. Mücadelenin şeffaf bilgiyle yürütüldüğünü bilen sizlere müteşekkiriz. Bugünkü imkânlar yine olsa, fakat toplumda güven eksik kalsaydı, bu noktaya varamazdık. Mücadeleye güven duyanlar, umudu hep diri tutanlardır. https://t.co/ItSXDYHh6e</t>
  </si>
  <si>
    <t>1253099021369053184</t>
  </si>
  <si>
    <t>İstersek başarırız! Tarihimiz buna şahittir. Yeter ki düşünceli ve bilinçli hareket etmekten taviz vermeyelim. Ulaşacağımız güzel yarınlar bugün alınan tedbirler sayesinde olacaktır. Sorumluluklarımızı unutmayalım: Temas, Mesafe, İzolasyon. 
https://t.co/RVlhe7786O https://t.co/nT4YDALpId</t>
  </si>
  <si>
    <t>1253003717986656257</t>
  </si>
  <si>
    <t>Bilim Kurulu Toplantımızın ardından Koronavirüs ile ilgili son gelişmeler ve aldığımız yeni tedbirlere ilişkin basın açıklamamız.
📍SAĞLIK BAKANLIĞI BİLKENT YERLEŞKESİ / ANKARA
https://t.co/5B3opfpurX</t>
  </si>
  <si>
    <t>1253003333549330439</t>
  </si>
  <si>
    <t>Birkaç gün öncesine dek, bu tabelada, İstanbul Eyüpsultan Nişanca Aile Sağlığı Merkezi yazıyordu. Hastalarına son olarak burada hizmet eden doktor arkadaşımız Yavuz Kalaycı’yı COVID-19 sebebiyle kaybedene dek. İnsana sevgisi çok olan, çok sevilir. Tıpkı Dr. Yavuz gibi. https://t.co/iepcIN2626</t>
  </si>
  <si>
    <t>1252944054565908480</t>
  </si>
  <si>
    <t>Anneler ve çocukları için hayat boyu biricik kalan ebelerimizin Ebeler Haftasını, mensubu oldukları sağlık camiamız ve anne babalar adına kutlarım. https://t.co/9voAkRZu6b</t>
  </si>
  <si>
    <t>1252844796021837824</t>
  </si>
  <si>
    <t>Veriler bize şunu söylüyor: Ümitsiz olma, rehavete kapılma. Unutmayalım ki bu ikisi virüsten daha tehlikeli. Tedbirlere ısrarla uymaya devam edelim. Temas, mesafe, izolasyon. https://t.co/RVlhe7786O https://t.co/TZt5DyV2mX</t>
  </si>
  <si>
    <t>1252628973831495680</t>
  </si>
  <si>
    <t>Yeni açılan İstanbul Başakşehir Şehir Hastanesi Avrupa’nın en çok yoğun bakım kapasitesine sahip hastanesidir. Sekiz ayrı hastaneyi bünyesinde barındıran yapı, ileri seviye imkanlarıyla sağlık sistemimize güç katacaktır. Şehir Hastaneleri hayata hayat katan bir sağlık devrimidir. https://t.co/zgulLqHCdE</t>
  </si>
  <si>
    <t>1252331298657615874</t>
  </si>
  <si>
    <t>RT @RTErdogan: Sağlık alanında yaptığımız reformlarla hem altyapıyı hem sistemi güçlendirdik. Bununla kalmadık, hayalimiz olan şehir hastan…</t>
  </si>
  <si>
    <t>1252328582229131266</t>
  </si>
  <si>
    <t>Bugün 1454 hastamız daha şifa buldu. En az virüs kadar ısrarcı olmalıyız. Bu savaşı; sağlık ordumuzun özverisi ve tedbirlere bağlılıktaki ısrarımızla kazanacağız.
https://t.co/RVlhe7786O https://t.co/9THb7A70D9</t>
  </si>
  <si>
    <t>1252287311368380416</t>
  </si>
  <si>
    <t>Henüz hastalık sınırlarımızdan girmeden ihtiyacı görüp yerli ve milli imkanlara güvenerek başlattığımız solunum cihazı projemiz bugün seri üretimden çıktı. Emeği geçen herkese teşekkürler.
@varank @Baykar_Savunma @arcelik @aselsan @Biyovent</t>
  </si>
  <si>
    <t>1252286496805093376</t>
  </si>
  <si>
    <t>Bugün, büyük bir hayali daha gerçekleştirdik. Bu hayalimize öncülük eden, bu ufku milletimize gösteren, Sayın Cumhurbaşkanımız @RTErdogan’a aziz milletimiz adına teşekkür ediyorum. #BaşakşehirŞehirHastanesi https://t.co/tIZiEhfr0D</t>
  </si>
  <si>
    <t>1252279001864900608</t>
  </si>
  <si>
    <t>RT @RTErdogan: Kabine Toplantısı Sonrası Millete Sesleniş https://t.co/DjKLZnjmMu</t>
  </si>
  <si>
    <t>1252269615389999106</t>
  </si>
  <si>
    <t>Sayın Cumhurbaşkanımız @RTErdogan’ın (video konferans)
teşrifleriyle gerçekleştirilen Başakşehir Şehir Hastanemizi hizmete açıyoruz.
📍BAŞAKŞEHİR / İSTANBUL https://t.co/1db29dndQW</t>
  </si>
  <si>
    <t>1252166103251529729</t>
  </si>
  <si>
    <t>Tedbirlere gösterdiğimiz özen meyvelerini veriyor. Biz günlük test imkanlarını artırırken, sorumlu davranışlarınız da yeni vaka sayılarını azaltacak. Sağlık ordumuza ve sağlık sistemimizin gücüne güvenin. Tedbiri elden bırakmayın.
https://t.co/RVlhe7786O https://t.co/3pg0WRQuey</t>
  </si>
  <si>
    <t>1251903394429763589</t>
  </si>
  <si>
    <t>Nisan ayındayız. Güneşin, sokakların çekiciliğine direnmek zorundayız. Şu ana kadar elde ettiğimiz kazanımı kaybetmemeliyiz. Biz daha büyük bir baharı bekliyoruz. Sabırlı olalım. Evde kalalım. https://t.co/83Iu65lYrZ</t>
  </si>
  <si>
    <t>1251873984154664962</t>
  </si>
  <si>
    <t>Türkiye büyük sağlık yatırımlarına devam ediyor. Avrupa’nın en büyük yoğun bakım kapasitesine sahip hastanelerinden İstanbul Başakşehir Şehir Hastanesi’nin ilk etabı 20 Nisan’da açılıyor. Sekiz ayrı hastaneden oluşan dev sağlık kompleksi sağlık sistemimizin gücüne güç katacak. https://t.co/dyS36EDFfV</t>
  </si>
  <si>
    <t>1251604595656318976</t>
  </si>
  <si>
    <t>Şifa bulan hasta sayımız 10.000'in üzerine çıktı. Tedavide önemli üstünlüklerimiz var. Artan test sayımıza rağmen yeni eklenen vaka sayısında düşüş var. İki gücümüz var: Tedbir, tedavi. Gücümüzü kullanalım.
https://t.co/RVlhe7786O https://t.co/JlmrSmkUyf</t>
  </si>
  <si>
    <t>1251554140163112960</t>
  </si>
  <si>
    <t>İstanbul’u her iki yakasıyla afetlere hazır hale getireceğiz. Yeşilköy’de inşa ettiğimiz çok amaçlı hastane; salgın, deprem ve her türlü afette güçlü bir sağlık alt yapısı oluşturacak. Her odası yoğun bakıma dönüştürülebilen hastanemiz toplamda 1008 yataklı. https://t.co/rm45iXUer1</t>
  </si>
  <si>
    <t>1251505549050556423</t>
  </si>
  <si>
    <t>Sancaktepe’deyiz. Salgın, deprem ve afet hastanemiz hızla inşa ediliyor. 432’si yoğun bakım olmak üzere toplam 1008 yataktan oluşan çok amaçlı hastanemiz her türlü ihtiyaç halinde tam kapasite hizmet verecek. Türkiye, sağlık sistemiyle dünyada fark yaratmaya devam edecek. https://t.co/znmzTzJ9fw</t>
  </si>
  <si>
    <t>1251502927723868167</t>
  </si>
  <si>
    <t>Sağlık kuruluşlarımızın hasta yükü artık belli bir kapasitenin üstüne çıkmıyor. %60’ları aşan bir doluluk yok. Avrupa, Amerika hasta seçerken, Türkiye 5. haftaya girdiği dönemde, yoğun bakımda doluluk %60’larda. Servis doluluk oranı %50’yi geçmedi. Bu Türkiye’nin başarısıdır. https://t.co/vEpAEqp5Na</t>
  </si>
  <si>
    <t>1251302588240334849</t>
  </si>
  <si>
    <t>#GeceninErdoğanFotoğrafı https://t.co/wb4K3TZhax</t>
  </si>
  <si>
    <t>1251298504955228160</t>
  </si>
  <si>
    <t>Mücadelede çok önemli üç unsur var. 1: Vakayı tespit edip, filyasyonu yapmak. 2: Tedavide güçlü olmak. Bu iki konuda sorunumuz yok. Çok ilerideyiz. 3: İzolasyon, teması önlemek, sosyal mesafeyi korumak. Bu sağlanırsa, yeni bir dalganın oluşumu önlenir, hayat erken normale döner. https://t.co/6CiRSD18xN</t>
  </si>
  <si>
    <t>1251286950658662403</t>
  </si>
  <si>
    <t>Ülkemize güvenelim. Hekimlerimize, sağlık ordumuza güvenelim. Ölüm oranlarımızdaki düşüş, sağlık çalışanlarımızın tedaviye farklı yaklaşımından, yoğun bakımdaki uygulamalardan, ilaç kullanımından, sistemden kaynaklanıyor. Bunu yayınlarla dünyaya da göstermek istiyoruz. https://t.co/8ZRfpnWJiI</t>
  </si>
  <si>
    <t>1251284472428986369</t>
  </si>
  <si>
    <t>“Devlet millet içindir, millet devlet için değildir!”
İlk sivil Cumhurbaşkanımızı rahmetle anıyoruz. https://t.co/LfZMq222Uz</t>
  </si>
  <si>
    <t>1251267733599260675</t>
  </si>
  <si>
    <t>İyileşen hasta sayımız yakında 10.000'in üzerine çıkacak. Yatan hasta sayısı ile taburcu edilen hasta sayısı arasında denge oluşmuş durumda. Vaka sayısı artış hızı beklediğimiz şekilde azalıyor. İki gücümüz var: Tedbir, tedavi. Gücümüzü kullanalım.
https://t.co/RVlhe7oIYm https://t.co/JqPKqkeZL6</t>
  </si>
  <si>
    <t>1251158202915287048</t>
  </si>
  <si>
    <t>Bilim Kurulu Toplantımızın ardından Koronavirüs ile ilgili son gelişmeler ve aldığımız yeni tedbirlere ilişkin basın açıklamamız.
📍SAĞLIK BAKANLIĞI BİLKENT YERLEŞKESİ / ANKARA
 https://t.co/cCTee2VbV9</t>
  </si>
  <si>
    <t>1251157711938400256</t>
  </si>
  <si>
    <t>Günde 40.000 test hedefini aştık. Vaka sayısında artış öngörülebilir düzeyde kaldı. Yoğun bakım desteğine ihtiyaç duyan hastalarda seyir kontrol altında. Yeni iyileşen hasta sayımız 1.000'in üzerinde. İki gücümüz var: Tedbir, tedavi. Gücümüzü kullanalım.
https://t.co/RVlhe7786O https://t.co/if79hgmejb</t>
  </si>
  <si>
    <t>1250823838478356481</t>
  </si>
  <si>
    <t>Sağlıkta Şiddetin Önlenmesi Yasası Teklifi, Yüce Meclisimizde grubu olan tüm partilerin mutabakatı ile gündeme alınıp, yasalaştı. Sağlık çalışanlarını şiddetten korumaya yönelik, bugüne dek en kapsamlı yasanın çıkmasında katkısı olan tüm vekillerimize teşekkür ediyorum.</t>
  </si>
  <si>
    <t>1250533859831185409</t>
  </si>
  <si>
    <t>Vaka sayısındaki artış hızı, yoğun bakım ve solunum desteği ihtiyacı olan hastaların sayısındaki artış hızı sabit kalma eğiliminde. 875’i son 24 saatte olmak üzere 5.674 hastamız taburcu edildi. İki gücümüz var: Tedbir, tedavi. Gücümüzü kullanalım.
https://t.co/RVlhe7786O https://t.co/IVrPbk8n2f</t>
  </si>
  <si>
    <t>1250468989316280323</t>
  </si>
  <si>
    <t>Vaka tespitinde başarılıyız. Hasta tedavisinde, yoğun bakımda başarılıyız. Yüksek bir motivasyona sahibiz. Mücadelede üstün güç biziz. Bizi sonuca götürecek kural açık: HAREKETİ AZALT, İZOLASYONU ARTIR! Bu kuralı ısrarla uygularsak özlediğimiz hayata kısa zamanda kavuşacağız! https://t.co/1mA9RgfD1a</t>
  </si>
  <si>
    <t>1250333107099553792</t>
  </si>
  <si>
    <t>TÜRKİYE TEDAVİDE FARKLI BİR YAKLAŞIMA SAHİP. Hiçbir ülke pozitif, şüpheli tüm vakalarda Hidroksiklorokin ilacını erken dönemde kullanmadı. Biz bu ilaçtan daha vaka görülmeden 1 milyon kutu alıp depoladık. Çin’den getirilen Favipiravir’ini de bizdeki yaklaşımla kullanan ülke yok. https://t.co/AlCO3hrQ0T</t>
  </si>
  <si>
    <t>1250318172957208576</t>
  </si>
  <si>
    <t>FİLYASYON, BU SİSTEMLİ MÜCADELE gözle görülür sonuçlar veriyor. Tablolar, bize, üstesinden geleceksiniz, direnin diyor. Vaka tespitinde, hasta tedavisinde, yoğun bakımda başarılıyız. Mücadelede üstün güç biziz. Bizi sonuca götürecek kural açık: Hareketi azalt, izolasyonu artır! https://t.co/g9VifL0lQs</t>
  </si>
  <si>
    <t>1250188780293836802</t>
  </si>
  <si>
    <t>SALGININ ÖNÜNÜ KESMENİN YOLU FİLYASYONDUR! Hasta kaybı artış oranı hızında da, vaka artış hızındaki düşüşe benzer bir veriye sahibiz: Türkiye’de ölüm artış hızındaki yavaşlama 5. haftada gerçekleşmiştir. Türkiye, ölüm artış hızındaki yavaşlamayı en erken yakalayan ülkedir. https://t.co/MPPxPn5nTM</t>
  </si>
  <si>
    <t>1250185832591491080</t>
  </si>
  <si>
    <t>Hastalık bir haftada görülen maksimum vaka sayısına Amerika’da 11, Çin’de 7. haftada ulaştı. Bizde ise en çok vaka sayısına 4. haftada ulaştı. 4. haftada Türkiye’de vaka artış hızı düşüşe geçti! ŞU ANKİ VERİLERLE, YAYILMA HIZINI KONTROL ALTINA ALMAYA BAŞLAMIŞ DURUMDAYIZ. https://t.co/xMvRq5g9RP</t>
  </si>
  <si>
    <t>1250177079443890176</t>
  </si>
  <si>
    <t>Vaka sayısı artış hızı, test sayısındaki artışa rağmen sabit kalma eğiliminde. Şifa bulan hasta sayısı giderek büyüme gösteriyor. Solunum desteği ve yoğun bakım ihtiyacında artış hızı düşük seyrediyor. İki gücümüz var: Tedbir, tedavi. Gücümüzü kullanalım.
https://t.co/RVlhe7786O https://t.co/yEVglrQTcZ</t>
  </si>
  <si>
    <t>1250107876296871937</t>
  </si>
  <si>
    <t>Bilim Kurulu Toplantımızın ardından Koronavirüs ile ilgili son gelişmeler ve aldığımız yeni tedbirlere ilişkin basın açıklamamız.
📍SAĞLIK BAKANLIĞI BİLKENT YERLEŞKESİ / ANKARA https://t.co/DED3O8iy5h</t>
  </si>
  <si>
    <t>1250104216556896256</t>
  </si>
  <si>
    <t>Solunum yolu, kalp, tansiyon, diyabet gibi kronik rahatsızlığınız varsa, Koronavirüs karşısında zayıf olduğunuzu unutmamalısınız. Siz tedbirli olacaksınız, biz destek vereceğiz. Koronavirüs'ü işte böyle yeneceğiz. #BirlikteYeneceğiz https://t.co/A3y60wELWV</t>
  </si>
  <si>
    <t>1250046990425227266</t>
  </si>
  <si>
    <t>Biz, hastanelerde risk altındayız, maske kullanmak zorundayız. Ama risk artık yaygın. Dışarı çıkarken siz de maske kullanmalısınız. Koronavirüs'ü işte böyle yeneceğiz. #BirlikteYeneceğiz https://t.co/nHVSVX30tL</t>
  </si>
  <si>
    <t>1250016333007335430</t>
  </si>
  <si>
    <t>Biz, hastanelerde görevimizin başındayız. Siz, evde kalmalısınız. Biz hastaları tedavi ederek, siz evde kalarak, birlikte aynı amaca hizmet ediyoruz. Koronavirüs'ü işte böyle yeneceğiz. #BirlikteYeneceğiz https://t.co/I0NoaW4aIU</t>
  </si>
  <si>
    <t>1249985879587856389</t>
  </si>
  <si>
    <t>Sosyal mesafe, Koronavirüs’le aranıza koyduğunuz mesafedir. Sosyal mesafe kuralına uyarak, mücadelede yanımızda yer alacaksınız. Koronavirüs'ü işte böyle yeneceğiz. #BirlikteYeneceğiz https://t.co/jADXsbEg24</t>
  </si>
  <si>
    <t>1249955715588001794</t>
  </si>
  <si>
    <t>Biz, hastalarımızı tedavi edeceğiz. Siz, sosyal ortamlardan uzak durup, evde kalarak hastalığa yakalanmayacaksınız. Koronavirüs'ü işte böyle yeneceğiz. #BirlikteYeneceğiz https://t.co/bC6hmiLvA1</t>
  </si>
  <si>
    <t>1249833613904031748</t>
  </si>
  <si>
    <t>Çocuklar, sizden büyüğü yok! Bugün bile dışarı çıkmadınız. Çıkmazsınız da. Sabrınız için gözlerinizden öpüyorum. https://t.co/zpZlFLNyzc</t>
  </si>
  <si>
    <t>1249744193825771521</t>
  </si>
  <si>
    <t>Test sayımız yakında 500 bine ulaşacak. Artan test sayısına kıyasla beklenen vaka sayısındaki artış, hız olarak azalmaktadır. Erken tanı ve tedavi, iyileşen hasta sayımızı artırıyor.
https://t.co/RVlhe7786O https://t.co/tLkps8LFWK</t>
  </si>
  <si>
    <t>1249733620656373760</t>
  </si>
  <si>
    <t>RT @RTErdogan: Kabine Toplantısı Sonrası Millete Sesleniş 
https://t.co/XE0hX0xNvS</t>
  </si>
  <si>
    <t>1249724495696453637</t>
  </si>
  <si>
    <t>Yoğun bakıma geçişte azalma eğilimi sürüyor. Entübe edilen hasta sayısında düşüş var. Daha çok test yaptıkça, öngörülebilir şekilde daha çok vaka tespit ve izole ediliyor. Tedavide güçlüyüz. Fakat bu mücadele hastanelerde değil, evde kalarak kazanılır!
https://t.co/RVlhe7786O https://t.co/ndEo8NAufH</t>
  </si>
  <si>
    <t>1249375511148666880</t>
  </si>
  <si>
    <t>81 ilimizin İl Sağlık Müdürleriyle, Bakan Yardımcılarımız ve Genel Müdürlerimizin de katıldığı bir telekonferans görüşmesi yaptık. Mevcut ve ortaya çıkabilecek ihtiyaçları ele aldık. Bilim Kurulumuzun, Üniversite Rektörlerimizin tedavideki tecrübe ve tavsiyelerini paylaştık. https://t.co/adfSXhecRt</t>
  </si>
  <si>
    <t>1249114228834930689</t>
  </si>
  <si>
    <t>Koronavirüs hastalarının tedavi tablosunda bugün yeni bir gelişme var. Türkiye ölçeğinde yoğun bakım toplam hasta sayımız İLK KEZ azaldı. 6 üniversitemizden bilim insanlarımız aynı kanıda: Bu izlenen tedaviyle, tedbirlerin sonucudur. Tedbirlerle alacağımız sonuç nettir. https://t.co/SHEZg1JL4M</t>
  </si>
  <si>
    <t>1249102427116032005</t>
  </si>
  <si>
    <t>Vaka sayımız, test sayısındaki artışla birlikte, öngörülebilir düzeyde artıyor. Bu artış, yoğun bakım sayısında gerçekleşmiyor. Tanıda daha hızlıyız, tedavi erken başlıyor. Türkiye tedavide ciddi başarı gösteriyor. Asıl başarı virüsten korunabilmekte.
https://t.co/RVlhe7786O https://t.co/bE3UbFG1xY</t>
  </si>
  <si>
    <t>1249017437443502080</t>
  </si>
  <si>
    <t>Hikmetli bir söz, hepimiz birbirimizin eli, ayağı, gözü, kalbiyiz der. Kendimizi korumanın yolu, başkasına dikkat ve özenden geçer. Toplumumuz bu dikkate sahip. Toplumumuzda yüksek bir duyarlılık var. Hepimiz emin olalım: Millet-Devlet el birliğiyle, Koronayı mutlaka yeneceğiz. https://t.co/NMR6xFPrxh</t>
  </si>
  <si>
    <t>1249015918463799297</t>
  </si>
  <si>
    <t>Genç arkadaşlardan isteğim şu: Belirti olmaması sizi yanıltmasın. Virüsü yenemeyecek kişilere virüs bulaştırma ihtimaliniz olduğunu unutmayın. Hareketli günlere mola verin, bu molada kararlı olun. Mücadelede siz hangi tarafta yer alırsanız, şans o tarafta olacak, bunu unutmayın. https://t.co/JucBPibgpl</t>
  </si>
  <si>
    <t>1249014623187189764</t>
  </si>
  <si>
    <t>Yüce Meclisimiz, Sağlıkta Şiddetin Önlenmesi Yasa Teklifi ile beklediğimiz adımı attı. Sağlık çalışanlarımızın salgınla mücadele ettiği günlerde bu zamanlama çok anlamlıdır. DEĞERLİ VEKİLLERİMİZ sizlerden istirhamımız, tasarının Meclis’in tümünün Evet oyuyla hemen yasalaşmasıdır. https://t.co/WGuDMvS0HS</t>
  </si>
  <si>
    <t>1249013568542068737</t>
  </si>
  <si>
    <t>Ülkemiz, virüsün dünya kamuoyuna duyurulduğu 31 Aralık 2019’dan itibaren, bu tehdidi, sözün bilime ve bilim insanlarına bırakılacağı bir sağlık sorunu olarak ele almıştır. Bir halk sağlığı tehdidini diğer tüm konulardan ayıran stratejiye güvenin. https://t.co/idoxK8x53Z</t>
  </si>
  <si>
    <t>1249012169003470850</t>
  </si>
  <si>
    <t>31 Aralık’tan bu yana sürdürdüğümüz mücadeleden ödün vermemekte kararlıyız. Uyarılarımızın istisnasız her koşulda geçerli olduğunu unutmayın. Süreci birlikte, sağduyu içinde, başarıyla tamamlayacağız. Bu inançtan taviz vermeyelim. Mücadelemizin sonucuna odaklanalım.</t>
  </si>
  <si>
    <t>1248996969701429248</t>
  </si>
  <si>
    <t>Günlük test sayısında 30.000’i aştık. Laboratuvar sayımız 106’ya çıktı. Yoğun bakıma giren hasta oranımız düşmeye devam ediyor. İyileşme hızında başarı grafiğimizi koruyoruz. Veriler, önümüzdeki günlerde iyileşme hızında artış olacağını gösteriyor.
https://t.co/RVlhe7786O https://t.co/ss1gmYVOXY</t>
  </si>
  <si>
    <t>1248653319775584258</t>
  </si>
  <si>
    <t>Bilim Kurulu Toplantımızın ardından Koronavirüs ile ilgili son gelişmeler ve aldığımız yeni tedbirlere ilişkin basın açıklamamız.
📍SAĞLIK BAKANLIĞI BİLKENT YERLEŞKESİ / ANKARA https://t.co/3eaQXRk8dd</t>
  </si>
  <si>
    <t>1248650398761697280</t>
  </si>
  <si>
    <t>Evde olduğunuz için teşekkür ederiz. https://t.co/sRmu6dYlmd</t>
  </si>
  <si>
    <t>1248632090779889667</t>
  </si>
  <si>
    <t>Bu filmin kahramanları günü evde geçirenlerdir. https://t.co/GLuytiR4Zq</t>
  </si>
  <si>
    <t>1248352552879603715</t>
  </si>
  <si>
    <t>Hastalarımızdan 296’sı daha şifa buldu. Taburcu olan toplam hasta sayımız 2.142’ye ulaştı. Günlük 30.000 test hedefimize ulaşmak üzereyiz. Artan test sayımıza rağmen vaka artış hızı düşme eğiliminde. Virüs, gücünü temas ortamından alıyor. Evde kalalım.
https://t.co/RVlhe7786O https://t.co/5BNqcJGzAp</t>
  </si>
  <si>
    <t>1248284493250789378</t>
  </si>
  <si>
    <t>829 sismik izolatörle güçlendirilen MARMARA ÜNİVERSİTESİ PENDİK BAŞIBÜYÜK EĞİTİM VE ARAŞTIRMA HASTANESİ yenilenen özellikleriyle hizmete açıldı. 60 odası yoğun bakıma ayrılan hastanemiz, toplamda 535 yatak kapasitesine sahip. Milletimize hayırlı olsun. https://t.co/05Q5TmYhbY</t>
  </si>
  <si>
    <t>1247996954614865921</t>
  </si>
  <si>
    <t>Hastalarımızdan 264’ü daha iyileşti. Yoğun bakım ve entübe hasta sayımızdaki artış hızı düşme eğiliminde. Başarımız izolasyona bağlı. Virüs, gücünü temas ortamından alıyor. Virüse bu fırsatı tanımayalım. Evde kalalım.
https://t.co/RVlhe7786O https://t.co/JukrzwanOm</t>
  </si>
  <si>
    <t>1247932933056462849</t>
  </si>
  <si>
    <t>RT @fahrettinaltun: Koronavirüsle mücadelemize yeni tedbirler eklemeye devam ediyoruz. 
En yeni adımımız, Sağlık Bakanlığımız tarafından g…</t>
  </si>
  <si>
    <t>1247917541747539969</t>
  </si>
  <si>
    <t>Değerli vekillerim,
Sağlıkta Şiddetin Önlenmesi Yasa Teklifi ile 1 milyon 100 bini aşkın sağlık personelimize güvence sunma hazırlığında olan Yüce Meclisimize şükran borçluyuz. Teklifin istisnasız her vekilimizin desteği ile en kısa sürede yasalaşacağına inanıyoruz.</t>
  </si>
  <si>
    <t>1247890548737724416</t>
  </si>
  <si>
    <t>Terör, acılı günlerimizi fırsat bildi. Diyarbakır’ımızın Kulp ilçesinde orman işçisi beş vatandaşımız, sabah erken saatte işe giderken PKK tarafından şehit edildi. Kendilerine Allah’tan rahmet diliyorum. Milletimizin başı sağ olsun. HAYAT DAİMA GALİP GELİR, HAYATA KIYAN YENİLİR.</t>
  </si>
  <si>
    <t>1247889072812511235</t>
  </si>
  <si>
    <t>AŞI ÇALIŞMALARI İÇİN öncelikle başarılması gereken, virüsün izole edilmesiydi. İki bilim adamımız bunu başarmış durumdalar. Erciyes Üniversitesi’nden Prof. Dr. AYKUT ÖZDARENDELİ Hocamızı, Ankara Üniversitesi’nden Prof. Dr. AYKUT ÖZKUL Hocamızı halkımız adına kutluyorum. https://t.co/PGYCsVosxw</t>
  </si>
  <si>
    <t>1247796413192265729</t>
  </si>
  <si>
    <t>Vakaları, vaka teması olanları, şüpheli vakaları takip etmek için kullanımı zorunlu bir APLİKASYON geliştirdik. Evde izolasyon kuralına uyulup uyulmadığını tespit edeceğiz. İzolasyon ihlalinin yaptırımı olacak. Sistem bir iki gün içinde devreye girecek. https://t.co/nljlSSL4O6</t>
  </si>
  <si>
    <t>1247788890271789060</t>
  </si>
  <si>
    <t>ŞEHİR HASTANELERİMİZ, izolasyonun zorunlu, yoğun bakım ihtiyacının yüksek olduğu bu hastalıkta bize büyük olanaklar sunuyor. Bu hastanelerimiz, HER ODANIN BİR YOĞUN BAKIM ODASINA DÖNÜŞEBİLECEĞİ teknik altyapıya sahip. Sistem, dünyada nadirdir. https://t.co/Cju2vfNXWH</t>
  </si>
  <si>
    <t>1247647489248956416</t>
  </si>
  <si>
    <t>AÇILACAK İKİ YENİ HASTANE var. Her odada birer yatak olmak üzere biner odalı hastaneler şeklinde planlandılar. Biri Atatürk Havalimanı’nda, diğeri Sancaktepe’de kuruluyor. Ameliyathaneleri de olacak. Her oda gerektiğinde yoğun bakım odasına çevrilecek. Hastaneler kalıcı olacak. https://t.co/lkp0nISjth</t>
  </si>
  <si>
    <t>1247634896950112256</t>
  </si>
  <si>
    <t>Hastalarımızda akciğer enfeksiyonuna geçiş oranında azalma sağladık. İLAÇ TEDAVİSİNE ERKEN BAŞLAMAMIZIN bunda büyük rolü olduğunu düşünüyoruz. Biz, ilk bulgularımıza dayanarak, ilacı erkenden temin edip, kullanmaya başladık. Şimdi birçok ülke aynı ilacı temin etme uğraşı veriyor. https://t.co/NwSXyUvnzc</t>
  </si>
  <si>
    <t>1247623970758721538</t>
  </si>
  <si>
    <t>Hastalığa karşı daha iyi organize olabilmek için bazı ihtiyaçlar ortaya çıktı. Toplumsal konularda alınacak tavsiye kararlarına, yapılacak yönlendirmelere gerek duyuyoruz. Bu amaçla TOPLUM BİLİMLERİ KURULU adını verdiğimiz yeni bir kurul oluşturduk. Uygulama dünyada bir ilktir. https://t.co/RqadcKbxrS</t>
  </si>
  <si>
    <t>1247614142745399296</t>
  </si>
  <si>
    <t>7 Nisan, Dünya Sağlık Günü. Birleşmiş Milletler’in 1945’te aldığı bir kararla başlayan bu kutlama, ilk kez bu yaygınlıkta bir sağlık sorununa denk geldi. İnsanlığın bu zorluğu aşacağına inanıyoruz. Sağlığınıza dikkat edin. Gelecek yıl bugün, her şey şimdikinden çok farklı olsun.</t>
  </si>
  <si>
    <t>1247604651987546114</t>
  </si>
  <si>
    <t>Berat Kandilinizi kutluyor, bu mübarek gecenin aramızdaki dayanışmanın artmasına, umutların tazelenmesine, yarınlara inancımızın güçlenmesine vesile olmasını temenni ediyorum.</t>
  </si>
  <si>
    <t>1247577961441701888</t>
  </si>
  <si>
    <t>Şifa bulan hastalarımızın sayısı artıyor. Test sayısı ve pozitif vakalara bağlı taramalar arttıkça tanı sayısında da artış oluyor. Virüs, gücünü temas ortamından alıyor. Virüse bu fırsatı tanımayalım. Evde kalalım.
https://t.co/RVlhe7786O https://t.co/IO8q3nstOK</t>
  </si>
  <si>
    <t>1247565540417245196</t>
  </si>
  <si>
    <t>Bilim Kurulu Toplantımızın ardından Koronavirüs ile ilgili son gelişmeler ve aldığımız yeni tedbirlere ilişkin basın açıklamamız.
📍SAĞLIK BAKANLIĞI BİLKENT YERLEŞKESİ / ANKARA https://t.co/LtRTnXuvLm</t>
  </si>
  <si>
    <t>1247562608766525444</t>
  </si>
  <si>
    <t>Video, Koronavirüse karşı alınan tedbirleri, Avrupa bazında gün gün gösteriyor. Avrupa ülkeleri içinde tedbirleri en erken alan biziz. İzolasyonda başarılı olursak, erken tedbir avantajından tam olarak yararlanabiliriz. https://t.co/l9LefWqJGT</t>
  </si>
  <si>
    <t>1247280431386570752</t>
  </si>
  <si>
    <t>ANADOLU AJANSI, 100 YIL ÖNCE BUGÜN Milli Mücadele’nin ön saflarında yer alan iki aydınımızın önerisiyle Mustafa Kemal Paşa tarafından kuruldu, Milli Mücadele’nin haber kaynağı oldu. Kuruluşunun 100. yılında benzer bir görev üstleniyor. Yürekten kutluyoruz. https://t.co/J7ledYJcxa</t>
  </si>
  <si>
    <t>1247210013267025921</t>
  </si>
  <si>
    <t>Günlük test sayımız yakında 30.000’i bulacak. İyileşen hasta sayımızdaki artış hızı devam ediyor. Artan test sayısına göre vaka sayısındaki artış düşük seyrediyor. Virüs, gücünü temas ortamından alıyor. Virüse bu fırsatı tanımayalım. Evde kalalım.
https://t.co/RVlhe7786O https://t.co/WQtAifsNF2</t>
  </si>
  <si>
    <t>1247203884076072961</t>
  </si>
  <si>
    <t>RT @RTErdogan: Kabine Toplantısı Sonrası Millete Sesleniş https://t.co/g6kzRgTaDy</t>
  </si>
  <si>
    <t>1247199745371709442</t>
  </si>
  <si>
    <t>COVID-19 vakalarının en çok görüldüğü İstanbul için İl Sağlık Müdürlüğü yetkilileri, kamu ve üniversite hastaneleri başhekimleri ile video konferans gerçekleştirdik. Hastaların durumuyla, yoğun bakım ve servislerin doluluk oranını, tedavi protokolleri ve ihtiyaçları ele aldık. https://t.co/bLZkyXxOpS</t>
  </si>
  <si>
    <t>1246939476804472835</t>
  </si>
  <si>
    <t>RT @fahrettinaltun: Cumhurbaşkanımız @RTErdogan’ın talimatıyla, Sağlık ve Ulaştırma Altyapı Bakanlığı’nın koordinasyonunda 20-65 yaş arası…</t>
  </si>
  <si>
    <t>1246860509456072704</t>
  </si>
  <si>
    <t>Test sayısında 20.000’i aştık. İyileşen toplam hasta sayımız 1.000’i geçti. Virüs, gücünü temas ortamından alıyor. Virüse bu fırsatı tanımayalım. Evde kalalım. Yeni uygulamada davranışlarıyla herkese örnek olan gençlere teşekkür ediyorum.
https://t.co/RVlhe7786O https://t.co/Anu01vZPU8</t>
  </si>
  <si>
    <t>1246845032436510726</t>
  </si>
  <si>
    <t>Sokağa çıkma konusunda 20 yaş ve altı için getirilen uygulamada davranışlarıyla örnek olan gençlerimize, çocuklarımıza teşekkür ediyorum. Sabırlı olursak, hareketli günlerimize erken döneriz.</t>
  </si>
  <si>
    <t>1246508638954496000</t>
  </si>
  <si>
    <t>Bugüne kadar yapılan 161.380 testin %12,18’i son 24 saat içinde gerçekleşti. İyileşen hasta sayımızda önemli artış oldu. Dün toplam 484 olan iyileşen hasta sayımız bugün 786’ya ulaştı. Virüs gücünü temas ortamından alıyor. Virüse bu fırsatı tanımayalım.
https://t.co/RVlhe7786O https://t.co/HHC6gg5NRn</t>
  </si>
  <si>
    <t>1246487664154509313</t>
  </si>
  <si>
    <t>Çin’den gelen ilacı, yoğun bakım öncesi dönem dahil olmak üzere, tedavinin önceki aşamalarında kullanmanın daha büyük fayda sağlayacağı yönünde bir kanaatimiz var. Uygulama da bu şekilde belirlendi. https://t.co/ESmRsDQjnj</t>
  </si>
  <si>
    <t>1246190725731139584</t>
  </si>
  <si>
    <t>Sosyal izolasyon konusunda çok çağrı yapmamıza rağmen, yeterince başarılı olduğumuzu düşünmüyorum. Şehirler arası hareketliliği daha fazla kısıtlayıcı tedbirlere ihtiyaç var. Başta İstanbul olmak üzere, büyük şehirlerimizde sokak hareketliliği maalesef beklenen düzeye inmedi. https://t.co/kTOeu8eEVP</t>
  </si>
  <si>
    <t>1246186788017836032</t>
  </si>
  <si>
    <t>Önümüzdeki günlerde salgını ve tedbirleri çok farklı yönlerden ele alacağımız, Bilim Kurulu’na benzer, niteliği ayrı ikinci bir Bilim Kurulu kurmuş olacağız. Bu kurulda, olayın psikolojik, sosyolojik, istatistiksel… boyutları değerlendirilecek. Yeni yaklaşımlar arayacağız. https://t.co/vOzsrGWeC6</t>
  </si>
  <si>
    <t>1246182834290769922</t>
  </si>
  <si>
    <t>Temas ve sosyal hareketlilik azalmazsa başarıya ulaşamayız. Gençlerimizin bizi anlayacağından emin olmak istiyorum: Bilim Kurulumuz, salgının riskle seyrettiği yerlerde hareketliliği kısıtlayıcı, daha sıkı tedbirler alınması yönünde tavsiye kararı aldı. https://t.co/LMO4khaNvR</t>
  </si>
  <si>
    <t>1246179073983995906</t>
  </si>
  <si>
    <t>Cemil Hocamızı Perşembe günü ebediyete uğurladık. Yolunu izleyecek öğrencileri ve bilimsel çalışmalarıyla yaşayacak. İsmi, Okmeydanı Eğitim ve Araştırma Hastanemize verildi. Hastanemizin ismi artık Prof. Dr. CEMİL TAŞÇIOĞLU ŞEHİR HASTANESİ. Hep iyilikle anılsın.</t>
  </si>
  <si>
    <t>1246174959594016769</t>
  </si>
  <si>
    <t>RT @RTErdogan: Basın Açıklaması https://t.co/gWvBLs3DWE</t>
  </si>
  <si>
    <t>1246127123569487874</t>
  </si>
  <si>
    <t>İyileşen 69 hastamız daha var. Kayıp sayımız düne kıyasla az. Tablonun bütünü ise bize şunu söylüyor: Temas içinde olmamalıyız, araya mesafe koymalıyız, kendimizi izole etmeliyiz. Virüsün yayılmasını tedbirleri uygulayarak durdurabiliriz
🔍 https://t.co/RVlhe7786O https://t.co/I2PH5la906</t>
  </si>
  <si>
    <t>1246112826311225348</t>
  </si>
  <si>
    <t>Bilim Kurulu Toplantımızın ardından Koronavirüs ile ilgili son gelişmeler ve aldığımız yeni tedbirlere ilişkin basın açıklamamız.
📍SAĞLIK BAKANLIĞI BİLKENT YERLEŞKESİ / ANKARA https://t.co/wNgMII0ZsB</t>
  </si>
  <si>
    <t>1246112351436365826</t>
  </si>
  <si>
    <t>DÜNYA SAĞLIK ÖRGÜTÜ Avrupa Bölge Direktörü Sn. Hans Kluge ile telekonferans görüşmesi yaptık. Avrupa’da pandemi politikalarının gözden geçirilmesi gerektiğini belirttik. Sn. Kluge, veri paylaşımına değindi, DSÖ’nün Türkiye’nin uygulamasını emsalsiz bulduğunu söyledi. https://t.co/ZIcljLGIyV</t>
  </si>
  <si>
    <t>1245792246756184071</t>
  </si>
  <si>
    <t>Test sayımız düne göre 4.000’in üstünde artış gösterdi. Test sayısına oranla pozitif vaka sayımız ise azaldı. İyileşen 82 yeni hastamız var. Son 24 saat içinde kaybettiğimiz hastaların %82’sinin 60 yaşını aşmış kişiler olması yine dikkat çekici.
🔍 https://t.co/RVlhe7786O https://t.co/hQ1wSitTIQ</t>
  </si>
  <si>
    <t>1245749975730065412</t>
  </si>
  <si>
    <t>COVID-19, çok sayıda hekim yetiştirmiş bir hocamızı bizden aldı. Cerrahpaşa Tıp Fakültesi emekli öğretim üyelerinden Prof. Dr. Feriha Öz’ü kaybettik. Kendisine Allah’tan rahmet diliyorum. Ailesinin, Tıp Camiamızın başı sağ olsun.</t>
  </si>
  <si>
    <t>1245737756619345920</t>
  </si>
  <si>
    <t>VAKALARIMIZDAKİ ÖLÜM ORANI şu an %1,58. Bu oran birçok ülkedeki orandan düşük. Almanya, Güney Kore gibi ülkelerde de düşük olan oran, son günlerde artış gösterdi. Yeni hayatlar kaybedebiliriz, fakat biz bu ORANI %1,58’İN ALTINA ÇEKMEK İÇİN ısrarla çalışacağız. https://t.co/WbAjfhgS4o</t>
  </si>
  <si>
    <t>1245632705527599106</t>
  </si>
  <si>
    <t>VİRÜS ARTIK 81 İLİMİZDE. Düne kadar vakaya rastlanmayan ilimiz vardı. Şimdi ise virüsün görülmediği şehir yok. İki yeni tanı tabloyu değiştirdi. Tüm şehirlerimizde hareketliliği azaltmak zorundayız. Evde kalmak istisnasız her yerde önemli. https://t.co/l4RKsESya3</t>
  </si>
  <si>
    <t>1245628844456869889</t>
  </si>
  <si>
    <t>HAYATINI KAYBEDENLERİN %80’i 60 yaş üstünde. %75’inin kronik rahatsızlığı vardı. Örneğin %68’i tansiyon hastasıydı. Halen yoğun bakımda olanların %75’i de 60 yaş üstünde, %63’ü tansiyon hastası. 60 yaş ve üstünün evden çıkmamalarını istiyoruz. Bunun apaçık nedenleri var. https://t.co/SD1wC8dvdl</t>
  </si>
  <si>
    <t>1245624414017732613</t>
  </si>
  <si>
    <t>TARAMA çalışmaları hastalığın çok kolay ve hızlı yayıldığını kanıtlıyor. Örnek vereyim: BİR KİŞİ VİRÜSÜ EN AZ 30 KİŞİYE BULAŞTIRDI. Bunları tespit ettik. Bu kişi virüsten etkilenmedi ama pek çok acıya yol açtı. Birinin sağlıklı görünmesi virüsü taşımadığı anlamına gelmiyor. https://t.co/M07fmh0nBI</t>
  </si>
  <si>
    <t>1245620132178587649</t>
  </si>
  <si>
    <t>GÜNLÜK TEST SAYIMIZ 15.000’i buldu. ÖNÜMÜZDEKİ HAFTA 25.000’i bulacak. ON GÜN SONRA ise sayı 30.000’e ulaşacak. Şu an itibariyle test 71 MERKEZDE yapılıyor. BİRKAÇ GÜN İÇİNDE test merkezi sayımız 89’a ulaşacak. Sayıyı artırırken testi yapabilecek tüm merkezlere de izin veriyoruz. https://t.co/tA2SSvOgUj</t>
  </si>
  <si>
    <t>1245494454909362176</t>
  </si>
  <si>
    <t>VİRÜSÜN BÜTÜN GÜCÜ, YAYILMA FIRSATIDIR. Bu savaşta virüse bu gücü tanımayalım. Bunu hayatınızı koruyarak, kendinizi izole ederek yapacaksınız. Eğer bunu başaramazsak kayıplarımız artacak. Akşam, günün tablosu karşımıza çıktığında daha fazla üzüleceğiz. https://t.co/LoM5QkaFcp</t>
  </si>
  <si>
    <t>1245490652047126528</t>
  </si>
  <si>
    <t>TEMAS içinde olmayacağız, araya MESAFE koyacağız, kendimizi İZOLE edeceğiz. Birimizin tavizi, hepimizi ilgilendirecek ciddi sonuçlar demektir. Stratejimiz sabit hayat olmalıdır. YUVAMIZ, GÜCÜMÜZDÜR. Şehirlerde hareketlilik ne kadar azalırsa o kadar hızlı galip geliriz. https://t.co/KrAK4ukqI5</t>
  </si>
  <si>
    <t>1245473621251895297</t>
  </si>
  <si>
    <t>Cemil Taşçıoğlu Hocamızı kaybettik. Sağlık camiamız, onu hastalığı sırasında tanıyan halkımız üzgün. Dostu olmaktan gurur duyduğum bir hekimdi. Ailesinin, bilim dünyamızın başı sağ olsun. Allah rahmet etsin. Türkiye, bu değerli insanı elinden alan hastalığı yenecek. https://t.co/V35aaAz30O</t>
  </si>
  <si>
    <t>1245469796126384133</t>
  </si>
  <si>
    <t>Bilim Kurulu Toplantımızın sonunda açıkladığım günlük Koronavirüs tablosunu burada ve aşağıda paylaştığım linkte bulabilirsiniz.
🔍 https://t.co/RVlhe7786O https://t.co/3YCeDUhpcD</t>
  </si>
  <si>
    <t>1245393439241404419</t>
  </si>
  <si>
    <t>Bilim Kurulu Toplantımızın ardından Koronavirüs ile ilgili son gelişmeler ve aldığımız yeni tedbirlere ilişkin basın açıklamamız.
📍SAĞLIK BAKANLIĞI BİLKENT YERLEŞKESİ / ANKARA https://t.co/ZtUpgFcfe4</t>
  </si>
  <si>
    <t>1245392252115079169</t>
  </si>
  <si>
    <t>TEST sayımız düne oranla %25,2 arttı. TEST MERKEZİ sayımız 75’e ulaştı. Pozitif vakaların tespitinde daha hızlı ve avantajlıyız. Sosyal izolasyondan taviz vermeyelim. Temas=Risk. Lütfen unutmayalım.
🔍 https://t.co/RVlhe7786O https://t.co/QvrMR5FKsl</t>
  </si>
  <si>
    <t>1245030998762500096</t>
  </si>
  <si>
    <t>KORONAVİRÜSE KARŞI HEPİMİZ EŞİT ŞARTLARDA DEĞİLİZ. 
Maddi desteğe ihtiyaç duyanları lütfen destekleyin.
#BizBizeYeterizTürkiyem https://t.co/nVj5z04Qhl</t>
  </si>
  <si>
    <t>1244903762856161280</t>
  </si>
  <si>
    <t>Dün, İSTANBUL Okmeydanı Şehir Hastanemizin ilk etabını hizmete açtık. Kartal Şehir Hastanemiz daha önce hizmete açılmıştı. Mayısta İkitelli, eylülde ise Göztepe Şehir Hastanelerimiz açılıyor. YENİ ŞEHİR HASTANELERİMİZLE İSTANBUL’DA YATAK KAPASİTEMİZ TOPLAMDA 5.452 ARTIYOR. https://t.co/KkN0Z9j0B2</t>
  </si>
  <si>
    <t>1244890048757194752</t>
  </si>
  <si>
    <t>RT @RTErdogan: Kabine Toplantısı Sonrası Millete Sesleniş https://t.co/WbHJBcM8b4</t>
  </si>
  <si>
    <t>1244686265456492546</t>
  </si>
  <si>
    <t>Ülkemizin mevcut Koronavirüs tablosunu burada ve aşağıda paylaştığım linkte bulabilirsiniz.
🔍 https://t.co/RVlhe7786O https://t.co/dJX0NPTFI1</t>
  </si>
  <si>
    <t>1244656165482528769</t>
  </si>
  <si>
    <t>Sağlık alanında önemli bir sınav verdiğimiz bu günlerde hizmet kapasitemizi bir adım daha ileri taşıdık. Koronavirüs hastalarımıza da hizmet sunacak olan Okmeydanı Eğitim ve Araştırma Hastanemizin 600 yataklı ilk etabını bugün itibariyle hizmete açtık. Milletimize hayırlı olsun. https://t.co/q4vsZCx48E</t>
  </si>
  <si>
    <t>1244635928603365377</t>
  </si>
  <si>
    <t>Sosyal medyada yer alan, açıkladığımız verilerde tutarsızlık olduğu yönündeki iddialar tamamen asılsızdır. Açıklanan sayısal veriler, kanıta dayalıdır. Doğrudan COVİD-19 tanısını esas almıştır. Veriler, anlık gerçek verilerdir. Gerçekleri çarpıtmanın kimseye faydası yoktur.</t>
  </si>
  <si>
    <t>1244399174487019525</t>
  </si>
  <si>
    <t>Sağ ol Türkiye.
Yarını tedbirlere daha sıkı uyarak geçirelim. https://t.co/pdD4CC0IPB</t>
  </si>
  <si>
    <t>1244371480021995527</t>
  </si>
  <si>
    <t>Türkiye'nin Günlük Koronavirüs Tablosu’nu, her akşam yenilenen verilerle AŞAĞIDA PAYLAŞTIĞIM LİNKTEN ve buradan görebilirsiniz
🔍 https://t.co/RVlhe7786O https://t.co/R4gxYPD6Kj</t>
  </si>
  <si>
    <t>1244295237981396992</t>
  </si>
  <si>
    <t>Tedbirlere uyarak evinde kalan HALKIMIZA TEŞEKKÜR EDERİM. ÇOK İYİ BAŞLADIK. Aynı ciddiyetle devam edelim. https://t.co/tsQAyrsoGD</t>
  </si>
  <si>
    <t>1243995089606713344</t>
  </si>
  <si>
    <t>HERKES, KENDİSİ VİRÜSÜ TAŞIYORMUŞ GİBİ DAVRANMALI. Başkalarıyla temasını bu varsayıma göre sınırlandırmalı. Bu dönemde, mümkün mertebe kendimizi evde izole etmeliyiz. https://t.co/TbZ4wYqWe5</t>
  </si>
  <si>
    <t>1243950213208948737</t>
  </si>
  <si>
    <t>ARTIK YENİ BİR MÜCADELE YÖNTEMİ HAYATA GEÇİYOR. Hastalığın önünü keseceğimize inanıyorum. Halkımızın, alınan tedbirlere uyması, işin üstesinden gelmemizi kolaylaştıracaktır. https://t.co/PxPqFKc5pv</t>
  </si>
  <si>
    <t>1243948938597629952</t>
  </si>
  <si>
    <t>BİLİM KURULUMUZLA SÜRECİN BELKİ DE EN ÖNEMLİ TOPLANTISINI YAPTIK. Geliştirdiğimiz yaklaşım şu olmuştur: Hastalık, bulunduğu sınırlar içinde tecrit edilmeli, sosyal hareketlilik en alt düzeye inmelidir. 83 Milyon için önerdiğimiz tedbir, sınırlar konmuş bir hayat tarzıdır. https://t.co/uOE9QfJM9X</t>
  </si>
  <si>
    <t>1243947396503162881</t>
  </si>
  <si>
    <t>Türkiye'nin Günlük Koronavirüs Tablosu’nu, HER AKŞAM YENİLENEN VERİLERLE burada ve aşağıda paylaştığım linkte görebilirsiniz. Doğru ve detaylı bilgi bu iki kaynakta.
🔍 https://t.co/RVlhe7786O https://t.co/dgCxPkSNMs</t>
  </si>
  <si>
    <t>1243942377913495552</t>
  </si>
  <si>
    <t>Türkiye'nin Günlük Koronavirüs Tablosu’nu, her gün yenilenen detaylı verilerle, aşağıda paylaştığım linkten takip edebilirsiniz. 
🔍 https://t.co/RVlhe7786O https://t.co/AB5mSAW8tT</t>
  </si>
  <si>
    <t>1243636810745511937</t>
  </si>
  <si>
    <t>Koronavirüsle mücadelemizde toplumun güç kazandığı bir döneme girdik. SN. CUMHURBAŞKANIMIZ, Bilim Kurulumuzun önerdiği yaklaşımı da değerlendirerek yeni kararlar açıkladı. Kendilerine şükranlarımı arz ediyorum.</t>
  </si>
  <si>
    <t>1243628562218917895</t>
  </si>
  <si>
    <t>RT @RTErdogan: Basın Açıklaması https://t.co/c6ZREPkW1I</t>
  </si>
  <si>
    <t>1243626936234135552</t>
  </si>
  <si>
    <t>Bilim Kurulu Toplantımızın ardından Koronavirüs ile ilgili son gelişmeler ve aldığımız yeni tedbirlere ilişkin basın açıklamamız.
📍SAĞLIK BAKANLIĞI BİLKENT YERLEŞKESİ / ANKARA https://t.co/jC0zmUM5O1</t>
  </si>
  <si>
    <t>1243578270714679301</t>
  </si>
  <si>
    <t>ÜLKEMİZİN 81 İLİNİN İL SAĞLIK MÜDÜRÜYLE dün telekonferans üzerinden bir toplantı yaptık. Riskleri, mücadele yöntemini değerlendirdik. Koronavirüs tehdidine karşı tüm illerimizde teyakkuz halindeyiz. https://t.co/MShkQITa0T</t>
  </si>
  <si>
    <t>1243425098905694208</t>
  </si>
  <si>
    <t>Test sayımız dün 5.035’ti. BUGÜN 7.286 olarak gerçekleşti. 1.196 yeni tanı kondu. Hastalar ve temas çevreleri izole edildi. 16 hastamızı kaybettik. Bu sonuçlarla can kaybımız 75’e, hasta sayımız 3.629’a ulaştı. Sizi ısrarla tedbirleri uygulamaya davet ediyorum.</t>
  </si>
  <si>
    <t>1243260712899825664</t>
  </si>
  <si>
    <t>N95 MASKESİ VE TULUM dâhil olmak üzere hastanelerimizin malzeme ihtiyacını karşılıyoruz. Maske konusunda ülkemiz yeterli ÜRETİM kapasitesine sahip. Vatandaşımızı, sağlık çalışanımızı malzemesiz bırakmamız söz konusu bile değil. SORUN ÇIKARAN karşısında devletimizi bulacaktır. https://t.co/pu4fwMNWFp</t>
  </si>
  <si>
    <t>1243190180812673024</t>
  </si>
  <si>
    <t>KİMLERE TEST YAPILMALI? “Testin gerekliliğine, şikayetlere bakarak, hekim karar verir. Siz, yaptırdığınız testin sonucuna güvenerek bilmeden risk oluşturabilirsiniz. Test yaptırmak yerine ne yapmalı? Herkes kendini virüs taşıyıcısı kabul ederek davranmalı.” DETAYLI CEVAP VİDEODA. https://t.co/gK5bfO7Jd8</t>
  </si>
  <si>
    <t>1243187699319701512</t>
  </si>
  <si>
    <t>Anneler, babalar, çocuklar, gençler, büyükler… SİZİ, İMKANSIZ OLANI YAPMAYA DAVET ETMİYORUM. Sizi çok basit tedbirleri uygulamaya davet ediyorum. Unutmayın: Aldığımız tedbir kadar güçlüyüz. https://t.co/0Btw72hzkz</t>
  </si>
  <si>
    <t>1243169168779862016</t>
  </si>
  <si>
    <t>Kuralları biliyoruz. İRADEMİZİ ORTAYA KOYMALIYIZ. Virüsün başkasından bize bulaşmasını, bizden yayılmasını önlemek kendi davranışımıza bağlıdır. HİÇBİR SAĞLIK KURUMU, HİÇBİR HEKİM virüsün size bulaşmasını önleyemez. Bunu siz önleyebilirsiniz. Lütfen mesajı RETWEET EDELİM. https://t.co/tYxceJxXFi</t>
  </si>
  <si>
    <t>1243152031495467009</t>
  </si>
  <si>
    <t>SON 24 SAATTE 5.035 test sonuçlandı. 561 tanı kondu. 15 hastamız hayata veda etti. Bugüne dek kaybettiğimiz hasta sayısı 59. Toplam hasta sayımız 2.433. SAYILAR, KAYIP ACISINI, ENDİŞEYİ İFADE EDEMEZ. Sıfır riskle yaşamaya çalışalım. Bizi hayata tedbir bağlar.</t>
  </si>
  <si>
    <t>1242914433325817859</t>
  </si>
  <si>
    <t>Dünya çapındaki bestecimiz Fazıl Say, Hayat Eve Sığar diyor. Kampanyamıza katıldığı için kendisine teşekkür ediyorum. Müziğin olduğu her yerde hayat güzeldir.</t>
  </si>
  <si>
    <t>1242895816286707713</t>
  </si>
  <si>
    <t>Hayat Eve Sığar  #HayatEveSığar https://t.co/v2hRUV3SUJ</t>
  </si>
  <si>
    <t>1242889527137570817</t>
  </si>
  <si>
    <t>Burak Özçivit ve Fahriye Evcen, Hayat Eve Sığar diyor. Kampanyamıza verdikleri destek için kendilerine teşekkür ediyorum.</t>
  </si>
  <si>
    <t>1242888176366227456</t>
  </si>
  <si>
    <t>Bilim Kurulu Toplantımızın ardından Koronavirüs ile ilgili son gelişmeleri ve aldığımız ortak tedbirleri Sayın Bakanımız Ziya Selçuk ile değerlendiriyoruz. 
📍SAĞLIK BAKANLIĞI BİLKENT YERLEŞKESİ / ANKARA https://t.co/aRKJBMpj17</t>
  </si>
  <si>
    <t>1242847914872975362</t>
  </si>
  <si>
    <t>Hayat Eve Sığar  #HayatEveSığar https://t.co/GthtrBsdnD</t>
  </si>
  <si>
    <t>1242824581066473472</t>
  </si>
  <si>
    <t>Bayrağına ve milletine olan sevdasıyla Türk siyaseti adına önemli bir değerdi. Acı kaybımızın yıl dönümünde Merhum Muhsin Yazıcıoğlu'nu saygı ve rahmetle anıyorum. https://t.co/uab9mARsFI</t>
  </si>
  <si>
    <t>1242808707341340678</t>
  </si>
  <si>
    <t>Kaç kişi? 195 ülkede her gün bu soruluyor. Kayıplar versek de Türkiye için geç değil. Tedbir, artışın önünü kesebilir. SON 24 SAATTE toplam 3.952 test yapıldı. 343 yeni tanı var. 7 hastamızı kaybettik. Biri KOAH hastasıydı. Altısı ileri yaştaydı. Aldığımız tedbir kadar güçlüyüz.</t>
  </si>
  <si>
    <t>1242528779148328960</t>
  </si>
  <si>
    <t>Mazhar Alanson, Hayat Eve Sığar dedi ve kampanyamıza katıldı. Desteği için kendisine teşekkür ediyorum. #HayatEveSığar</t>
  </si>
  <si>
    <t>1242518658880069635</t>
  </si>
  <si>
    <t>Hayat Eve Sığar  #HayatEveSığar https://t.co/r4C4N888hY</t>
  </si>
  <si>
    <t>1242495883381440513</t>
  </si>
  <si>
    <t>Saygıdeğer Binali Yıldırım’la eşi saygıdeğer Semiha Yıldırım Hanımefendi’nin üzüntülerini paylaşıyorum. Vefat eden kayınvalide ve anne Havva Hanım’a Allah’tan rahmet, geride kalanlara sağlıklı, uzun ömürler diliyorum.</t>
  </si>
  <si>
    <t>1242478751838916610</t>
  </si>
  <si>
    <t>Japonya’nın Ankara Büyükelçisi Bay Akio Miyajima ile Bakanlığımızda bir araya geldik. Koronavirüs tehdidine karşı yapılacak çalışmalar başta olmak üzere, insanlığın ortak yararı ilkesiyle geliştirebileceğimiz çalışmaları ele aldık. Bilgide, tecrübede birliktelik içinde olacağız. https://t.co/xcmKgpJDFU</t>
  </si>
  <si>
    <t>1242476948489560064</t>
  </si>
  <si>
    <t>BAKANLIĞIMIZIN AŞI ENSTİTÜSÜ, bilim dünyamızın COVID-19’a karşı AŞI GELİŞTİRMESİ İÇİN harekete geçti. Umut verici her bilimsel çabayı destekleyeceğiz. Maliye Bakanlığımız FON oluşturmaya hazır. https://t.co/LMWeKJsgZD</t>
  </si>
  <si>
    <t>1242447547479797762</t>
  </si>
  <si>
    <t>SOLUNUM CİHAZI, dünyanın bu salgında en çok ihtiyaç duyduğu tıbbi malzemelerden biri oldu. TÜRKİYE, olası bir durumda eksikliğini yaşamayalım diye yerli cihaz için seri ÜRETİME BAŞLIYOR. https://t.co/R79VoxEAQh</t>
  </si>
  <si>
    <t>1242444991995273216</t>
  </si>
  <si>
    <t>SAĞLIK ÇALIŞANLARIMIZIN MADDİ KOŞULLARINI daha iyi hale getirmek için harekete geçtik. Cumhurbaşkanımıza ve Maliye Bakanımıza bu konudaki hassasiyetleri için teşekkür ediyorum. BİR ÖNEMLİ GELİŞME DAHA: 32.000 sağlık profesyonelini işe alıyoruz. https://t.co/DJGflUhdMF</t>
  </si>
  <si>
    <t>1242386312285622272</t>
  </si>
  <si>
    <t>Mücadele şeklimizin parolası şu: TEK TEK, HEP BİRLİKTE! Tedbirleri her birimiz TEK TEK uyguluyoruz. Şahıs şahıs yaptıklarımızı bütün bir Türkiye, 83 Milyon HEP BİRLİKTE yapıyoruz. Yalnız değiliz. Bir araya gelmeden birlikteyiz. https://t.co/BMCxDYCk4P</t>
  </si>
  <si>
    <t>1242213572199043077</t>
  </si>
  <si>
    <t>“BÜYÜKLERİMİZE SESLENMEK İSTİYORUM: Bu toplumun sizin hayat tecrübenize ihtiyacı var. Evlatlarınızın vereceğiniz tavsiyelere ihtiyacı var. Torunlarınızın sevgi ve ilginize ihtiyacı var. Bunları hastayken yapamazsınız. Hayatınızı riske atmayın. Tedbirlere uyun.” HAYAT EVE SIĞAR. https://t.co/BXIBkrNx93</t>
  </si>
  <si>
    <t>1242201913774542848</t>
  </si>
  <si>
    <t>Hayat Eve Sığar. #HayatEveSığar https://t.co/TaLWe1Uhwl</t>
  </si>
  <si>
    <t>1242198043644121092</t>
  </si>
  <si>
    <t>Hayat Eve Sığar. #HayatEveSığar https://t.co/4vkafzU1KK</t>
  </si>
  <si>
    <t>1242196502275076097</t>
  </si>
  <si>
    <t>ŞİMDİKİ GENÇLER… Söze böyle başlayanların eline bugünlerde koz veriyorsunuz :) Koronavirüs konusunda fazlasıyla dikkatli olmanızı bekliyorum. Hayat demek, hareket demek. Eyvallah. Fakat bir süreliğine başka bir moda geçiyoruz. Özgürlük evimizde. HAYAT EVE SIĞAR.</t>
  </si>
  <si>
    <t>1242193842339790850</t>
  </si>
  <si>
    <t>SON 24 SAATTE 3.672 test sonuçlandı. 293 yeni tanı kondu. Çabalarımıza rağmen, hastalığa yenik düşen 7 insanımız daha oldu. GENÇLERE UYARIMIZ VAR: Salgının dışında değilsiniz. Hayatınızı yavaşlatın. Risk ortamına girmeyin. Riski evinize taşımayın. Evde kalın. Hayat eve sığar.</t>
  </si>
  <si>
    <t>1242185496715018241</t>
  </si>
  <si>
    <t>BUGÜN, ÇİN HALK CUMHURİYETİ’NİN ANKARA BÜYÜKELÇİSİ Sn. Deng Li ile bir araya geldik. Dünyayı tehdit eden Koronavirüs salgınına karşı iş birliğimizi artırma, dayanışmayı geliştirme konusunu ele aldık. İnsanlık bu sorunu bilgiyi ve deneyimi paylaşarak yenecek. https://t.co/EoapEe4nda</t>
  </si>
  <si>
    <t>1242163677463224321</t>
  </si>
  <si>
    <t>Bilim Kurulu Toplantımızın ardından Koronavirüs ile ilgili son gelişmeler ve aldığımız yeni tedbirlere ilişkin basın açıklamamız.
📍SAĞLIK BAKANLIĞI BİLKENT YERLEŞKESİ / ANKARA https://t.co/f9Uh92qyoD</t>
  </si>
  <si>
    <t>1242124881908678667</t>
  </si>
  <si>
    <t>BUGÜNE KADAR toplam 20.345 test yapıldı, 1.236 tanı kondu, hepsi yaşlı 30 hastamızı kaybettik. Hastalık ülkemizde yokken, “yok” dedik. Şimdi gün gün durumu açıklıyoruz. Şeffaflığımızla sizi tedbire de davet ediyoruz. Tedbirli olalım. Bu ülke, bu tehdide yenik düşmeyecek.</t>
  </si>
  <si>
    <t>1241806899215061009</t>
  </si>
  <si>
    <t>Yeni hayatlar kaybediyoruz. Vaka sayıları artıyor. Fakat mümkün olduğunca çok sayıda test yaptığımız unutulmamalı. Tedavi altına alınmış her hastayla, salgının önünü kesmiş oluyoruz. BUGÜN 9 YENİ VEFAT, 289 YENİ TANI VAR. Evimizde kalalım. Risk almayalım. Hayat eve sığar.</t>
  </si>
  <si>
    <t>1241803045907894272</t>
  </si>
  <si>
    <t>Hayat Eve Sığar. #HayatEveSığar https://t.co/o98SjNF6kC</t>
  </si>
  <si>
    <t>1241794721959329793</t>
  </si>
  <si>
    <t>Hayat Eve Sığar. #HayatEveSığar https://t.co/4F4Yt6jDVl</t>
  </si>
  <si>
    <t>1241790841879961600</t>
  </si>
  <si>
    <t>Hayat Eve Sığar. #HayatEveSığar https://t.co/kLVWPqvcjD</t>
  </si>
  <si>
    <t>1241787183859732486</t>
  </si>
  <si>
    <t>Bu mesaj Samsun’dan geldi. Mesajı herkes alsın istedik. https://t.co/LHKSX9rdfa</t>
  </si>
  <si>
    <t>1241729818615590912</t>
  </si>
  <si>
    <t>RT @fahrettinaltun: Söylentiler, kehanetler, komplo teorileri, kaynaksız ses kayıtları, duyumlar...
Koronavirüs ile ilgili medya mecraları…</t>
  </si>
  <si>
    <t>1241689661120163842</t>
  </si>
  <si>
    <t>RT @RTErdogan: Aziz vatandaşlarım, 
Müsterih olunuz. Devletimiz tüm kurumlarıyla görevinin başında, zaman mefhumu gözetmeksizin Milletinin…</t>
  </si>
  <si>
    <t>1241483390227972097</t>
  </si>
  <si>
    <t>Son 24 saatte 2.953 ŞÜPHELİYE TEST yapıldı. 277’si POZİTİF ÇIKTI. Hasta sayımız 947’ye ulaştı. Yaşlı hastalarımızdan 12’sini KAYBETTİK. Bugüne dek toplam 21 can kaybımız var. Yaşlılarımızı uyaralım. Sokağa çıkma sınırlandırmasına uysunlar. Ölüm riski, yaş yükseldikçe çok artıyor.</t>
  </si>
  <si>
    <t>1241454374284677121</t>
  </si>
  <si>
    <t>3. ALKIŞ İÇİN SAĞ OL TÜRKİYE! Sağlık çalışanlarımıza desteğimizi her fırsatta gösterelim. https://t.co/mdvXZDZU7i</t>
  </si>
  <si>
    <t>1241435864120594438</t>
  </si>
  <si>
    <t>SAAT 21.00 ALKIŞI İÇİN BALKONLARDAYIZ!
Sağlık çalışanlarımıza minnettarlığımızı hep birlikte gösterelim. Verdiğin destek için sağ ol Türkiye!</t>
  </si>
  <si>
    <t>1241423745836875776</t>
  </si>
  <si>
    <t>Koronavirüs salgınında ölüm riski, yaş yükseldikçe çok artıyor. https://t.co/CYhylO4qXK</t>
  </si>
  <si>
    <t>1241423492668698626</t>
  </si>
  <si>
    <t>Koronavirüs salgınında ölüm riski, yaş yükseldikçe çok artıyor. https://t.co/cORQzua4RF</t>
  </si>
  <si>
    <t>1241423158676271104</t>
  </si>
  <si>
    <t>Koronavirüs salgınında ölüm riski, yaş yükseldikçe çok artıyor. https://t.co/sUUs9uILzB</t>
  </si>
  <si>
    <t>1241422801690640387</t>
  </si>
  <si>
    <t>Bu kutlu gecede insanlığın önderi peygamberimiz Hz. Muhammed’i (SAV) saygı ve bağlılıkla anıyoruz. O, Miraçla, bizlere ruhen yücelme kapılarını sonuna kadar açmıştı. Kandiliniz kutlu, dualarınız kabul olsun.</t>
  </si>
  <si>
    <t>1241421278684291073</t>
  </si>
  <si>
    <t>Kız kardeşi Fikriye Dalgıç Hanımefendi’yi kaybeden CHP Genel Başkanı Sn. Kemal Kılıçdaroğlu'na başsağlığı diliyor, acısını paylaşıyorum. Bu kutlu gecede Allah tüm ölülerimize rahmet etsin.</t>
  </si>
  <si>
    <t>1241414261076832257</t>
  </si>
  <si>
    <t>Siyami Ersek Hastanesi’nde Koordinasyon Toplantımızı gerçekleştirdik. Bizler sahada ülkemiz için önlemler alırken, vatandaşlarımızın da aynı hassasiyetle evlerinde kalarak önlemlerini almalarını önemle rica ediyorum. https://t.co/EbbKIiEIVY</t>
  </si>
  <si>
    <t>1241389189188521984</t>
  </si>
  <si>
    <t>Son 24 saatte 3656 ŞÜPHELİYE TEST yapıldı. 311’i POZİTİF ÇIKTI. Hasta sayımız 670’e ulaştı. Yaşlı ve direnci zayıf 5 HASTAMIZI KAYBETTİK. Bugüne dek toplam 9 can kaybımız var. Tamamı yaşlılarımızdan. Yaşlılarımızı koruyalım. MÜCADELEMİZDE BİR AN BİLE ESNEKLİK GÖSTERMEYELİM.</t>
  </si>
  <si>
    <t>1241095676529958912</t>
  </si>
  <si>
    <t>ALKIŞLARIN EN BÜYÜĞÜ SN. CUMHURBAŞKANIMIZDAN GELDİ. Tüm sağlık çalışanlarımız adına kendisine şükranlarımızı sunuyorum.</t>
  </si>
  <si>
    <t>1241088218629537794</t>
  </si>
  <si>
    <t>RT @RTErdogan: Koronavirüs ile mücadelemizin özverili ve fedakar kahramanlarına, her türlü zorluğa ve sıkıntıya göğüs geren tüm sağlık çalı…</t>
  </si>
  <si>
    <t>1241084507182301185</t>
  </si>
  <si>
    <t>EN GÜÇLÜ ALKIŞ AYNI SAATTE YARIN! https://t.co/foibwMbVey</t>
  </si>
  <si>
    <t>1241082635985850375</t>
  </si>
  <si>
    <t>SAAT 21.00 ALKIŞI İÇİN SAĞ OL TÜRKİYE! Özverili sağlık çalışanlarımıza güç verdin. En güçlü alkış aynı saatte yarın!</t>
  </si>
  <si>
    <t>1241070207008980995</t>
  </si>
  <si>
    <t>SAAT 21.00 ALKIŞINDA BULUŞALIM
Sağlık çalışanlarımızın mesaisi gece gündüz devam ediyor. Saat 21.00’da, haydi bir alkış daha! Minnettarlığımızın sesini bu akşam ve yarın bir kez daha duyuralım.</t>
  </si>
  <si>
    <t>1241060211206557696</t>
  </si>
  <si>
    <t>Son 24 saatte yapılan 1.981 TESTTEN 168’İ POZİTİF ÇIKTI. 191 olan hasta sayımız 359’a ulaştı. Hastalarımızdan 85 yaşındaki bir hanımefendiyi kaybettik. Daha önce vefat eden bir hasta COVID-19 olarak değerlendirildi. Toplam kaybımız maalesef 4 oldu. Acımız arttı ama başaracağız.</t>
  </si>
  <si>
    <t>1240743510476640256</t>
  </si>
  <si>
    <t>SAAT 21.00 ALKIŞI İÇİN SAĞ OL TÜRKİYE!
Sağlık çalışanlarımıza minnettarlığımızın sesi yarın, ertesi gün aynı saatte tekrar duyulsun! (İstanbul) https://t.co/W4ywBeErDA</t>
  </si>
  <si>
    <t>1240741075611942914</t>
  </si>
  <si>
    <t>SAAT 21.00 ALKIŞI İÇİN SAĞ OL TÜRKİYE!
Sağlık çalışanlarımıza minnettarlığımızın sesi yarın, ertesi gün aynı saatte tekrar duyulsun! (Van) https://t.co/yPFRmnLuzg</t>
  </si>
  <si>
    <t>1240739747057807365</t>
  </si>
  <si>
    <t>SAAT 21.00 ALKIŞI İÇİN SAĞ OL TÜRKİYE!
Sağlık çalışanlarımıza minnettarlığımızın sesi yarın, ertesi gün aynı saatte tekrar duyulsun! (Konya) https://t.co/JrMmN41Xrl</t>
  </si>
  <si>
    <t>1240737313778536453</t>
  </si>
  <si>
    <t>SAAT 21.00 ALKIŞI İÇİN SAĞ OL TÜRKİYE! Şehir şehir, ev ev çağrımıza uydun. Özverili sağlık çalışanlarımıza alkışınla güç verdin. Yarın, ertesi gün aynı saatte minnettarlığımızın sesi tekrar duyulsun! ÜST ÜSTE ÜÇ GÜN ALKIŞLAYALIM!</t>
  </si>
  <si>
    <t>1240717932239470600</t>
  </si>
  <si>
    <t>ALKIŞLAYALIM! NE KADAR ALKIŞLASAK AZDIR! Bugün saat 14’te Meclis’teki konuşmamda milletimin temsilcilerini özverili Sağlık Çalışanlarımızı alkışlamaya davet ettim. Şimdi tam 21.00’da milletimizi, bu alkış sesini Türkiye çapında, balkonlardan yükseltmeye davet ediyorum. https://t.co/Q0XBlxaJwF</t>
  </si>
  <si>
    <t>1240699520691757056</t>
  </si>
  <si>
    <t>Türkiye Büyük Millet Meclisi Genel Kurulu'nda Koronavirüs vakası ile ilgili konuşmamızın ardından milletvekillerimizin sorularını yanıtlıyoruz. 
📍TBMM https://t.co/E7HdV6pg3h</t>
  </si>
  <si>
    <t>1240634966092009479</t>
  </si>
  <si>
    <t>Türkiye Büyük Millet Meclisi Genel Kurulu'nda Koronavirüs vakası ile ilgili milletvekillerimizi ve kamuoyunu bilgilendiriyoruz.
📍TBMM https://t.co/RDjRtWZihb</t>
  </si>
  <si>
    <t>1240595930023411712</t>
  </si>
  <si>
    <t>61 YAŞINDA erkek bir hastamızı kaybettik. Kendisine Allah’tan rahmet diliyorum. Bugün sonuçlanan testler, tedbirlerin çok zorunlu olduğunu gösteriyor. Tanı konup tedavilerine başlanan 93 YENİ VAKAMIZ var. Hasta sayımız 191’e ulaştı. Riskin önünü birlikte keselim.</t>
  </si>
  <si>
    <t>1240369082916057089</t>
  </si>
  <si>
    <t>Bugüne kadar mücadelesini verip de başaramadığımız bir şey olmadı.
Çanakkale Zaferi’nin 105. Yılı kutlu olsun. https://t.co/zpd1nG8GtB</t>
  </si>
  <si>
    <t>1240325092418215936</t>
  </si>
  <si>
    <t>RT @RTErdogan: Koronavirüsle Mücadele Eşgüdüm Toplantısı https://t.co/SUrASNpPbW</t>
  </si>
  <si>
    <t>1240296356998242304</t>
  </si>
  <si>
    <t>“Bu cümleyi bu toplumun Sağlık Bakanı olmak yanında bir hekim olarak da kuruyorum: Koronavirüsle mücadelemizde bugün ilk kez bir hastamı kaybettim. Kendisi 89 yaşındaydı. Virüsü, Çin temaslı bir çalışanından aldı. İLK KAYBIMIZ OLAN beyefendiye Allah’tan rahmet diliyorum.” https://t.co/Y0zkghFbaI</t>
  </si>
  <si>
    <t>1240075816798769160</t>
  </si>
  <si>
    <t>“BUGÜN yapılan testlerde POZİTİF SONUÇ 51’dir. TOPLAM HASTA SAYIMIZ 98 olmuştur. Hastalığın ağır seyrettiği kişiler, direnci düşük ve başka hastalığı olan kişilerdir. Yaşlılar yüksek risk grubundandır. Herkesi tedbirlere harfiyen uymaya davet ediyorum.” (17 Mart 2020) https://t.co/hC2GoVGHP2</t>
  </si>
  <si>
    <t>1240072588933705730</t>
  </si>
  <si>
    <t>Koronavirüs vakası ile ilgili son gelişmeleri paylaşıyoruz. 
📍SAĞLIK BAKANLIĞI BİLKENT YERLEŞKESİ / ANKARA  https://t.co/RAb8agQ6FB</t>
  </si>
  <si>
    <t>1240019772651311105</t>
  </si>
  <si>
    <t>6 ülkeyle daha aramıza UÇUŞ YASAĞI kondu: İNGİLTERE, İRLANDA, İSVİÇRE, SUUDİ ARABİSTAN, MISIR, BİRLEŞİK ARAP EMİRLİKLERİ. Aramıza uçuş yasağı konan ülke sayısı bu sabah sekiz itibariyle 14’ten 20’YE ÇIKTI. Siz de tedbirleri sıkı tutun! https://t.co/zNwzLiuIk6</t>
  </si>
  <si>
    <t>1239929127261650945</t>
  </si>
  <si>
    <t>Salgın vakalarında olayların KONTROLDEN ÇIKMASININ BELLİ BAŞLI FAKTÖRLERİNDEN BİRİ PANİKTİR. Tedbir ve panik, birbirinin zıddıdır. Tedbirlere uyarsak HASTALIĞIN YAYILIMINI KONTROL ALTINA ALABİLİRİZ. Virüsle temas ihtimallerini sıfırlamak zorundayız. https://t.co/ou0MRlFNij</t>
  </si>
  <si>
    <t>1239925900537446401</t>
  </si>
  <si>
    <t>TESPİT EDİLEN HER VAKA TOPLUM İÇİN RİSK OLMAKTAN ÇIKMIŞTIR. Her yeni tanı üzücü fakat sizin için bir güvencedir. Salgınlarda olaylar panikle kontrolden çıkar. Tedbir ve panik, birbirinin zıttıdır. Tedbirleri SIKI tutalım. Virüsle temas ihtimalini SIFIRLAYALIM.</t>
  </si>
  <si>
    <t>1239673869960708109</t>
  </si>
  <si>
    <t>Bugün 29 yeni tanı kondu. Yeni tanı konanlarla birlikte toplam hasta sayımız 47 oldu. Son 29 vakanın tamamı doğrudan veya dolaylı olarak ABD, Ortadoğu ve Avrupa temaslıdır, 3’ü Umreden döndü. Yurt dışı teması risk olmaya devam edecek. Tedbirleri sıkı uygulayalım.</t>
  </si>
  <si>
    <t>1239654954475884550</t>
  </si>
  <si>
    <t>RT @fahrettinaltun: Sayın Cumhurbaşkanımız @RTErdogan Çarşamba günü yeni tip Koronavirüs ile mücadele çerçevesinde kapsamlı bir eşgüdüm top…</t>
  </si>
  <si>
    <t>1239651274943070215</t>
  </si>
  <si>
    <t>TANER ÖLMEZ de bizim söylediklerimizi söylüyor.
Koronavirüs Riskinden Korunmak İçin 14 Kural
RETWEET’LEYİN, Koronavirüsün yayılmasını önleyin. https://t.co/t8tQ7dywqt</t>
  </si>
  <si>
    <t>1239619552662761474</t>
  </si>
  <si>
    <t>TİMUÇİN ESEN de bizim söylediklerimizi söylüyor:
Yurt Dışından Dönüşlerde 14 Gün Kuralı
RETWEET’LEYİN, Koronavirüsün yayılmasını önleyin. https://t.co/HcVVIsnj80</t>
  </si>
  <si>
    <t>1239616934741762048</t>
  </si>
  <si>
    <t>Bilim Kurulu toplantımızın ardından Koronavirüs ile ilgili aldığımız yeni tedbirler ve gelişmeler hakkında basın açıklamamız. 
📍SAĞLIK BAKANLIĞI BİLKENT YERLEŞKESİ / ANKARA https://t.co/1SVt17wwbR</t>
  </si>
  <si>
    <t>1239598018959204353</t>
  </si>
  <si>
    <t>Sosyal medya ve Whatsapp’tan yayılan “GİZLİ” belge GERÇEK DIŞIDIR. Panik yaratacağı bilinerek UYDURULMUŞTUR. Güven kaybına yol açarak, 82 milyonun zaafa düşmesini amaçlayanlar var. Hassasiyetinizle oynayanlar var. Şans tanımayın. DOĞRU HABER, RESMEN YAPILAN AÇIKLAMADIR. https://t.co/JX14WEFz6f</t>
  </si>
  <si>
    <t>1239477968403120129</t>
  </si>
  <si>
    <t>Az önce açıklanan ve yeni olan vaka sayısı, toplam 12’dir. Bunlardan 2’si ilk vakamızın temas çevresindendir. Şu ana kadar toplam vaka sayımızsa 18’dir. Vaka sayısı bilgisi açık, tam olarak bu şekildedir.</t>
  </si>
  <si>
    <t>1239302574030958593</t>
  </si>
  <si>
    <t>Açıkladığımız ilk vakanın gözlem altında tutulan çevresindeki iki kişiye tanı konmuştur. Avrupa ülkelerinden gelmiş yedi, Amerika’dan gelmiş üç vakamız var. Durum üzücü ama… Tespit edilmiş her vaka, her izolasyon hepimiz için emniyettir.</t>
  </si>
  <si>
    <t>1239293717611151360</t>
  </si>
  <si>
    <t>UMREDEN DAHA ÖNCE DÖNENLER tıpkı şimdi dönenler gibi sağlık taramasından geçirildi. Şüphelilerin testleri yapıldı. Umre ziyaretçileri virüse karşı tedbirlerini ise seyahatlerinde SAĞLIK EKİPLERİMİZİN VERDİĞİ EĞİTİMLE aldı. Ülkede İlk 14 Günü henüz doldurmayanları TAKİP EDİYORUZ.</t>
  </si>
  <si>
    <t>1239155473082986496</t>
  </si>
  <si>
    <t>UMREDEN dün geceden itibaren dönen tüm yolcular, Ankara ve Konya’daki ÖĞRENCİ YURTLARINDA KARANTİNA MANTIĞIYLA ayrı odalara yerleştirilmektedir. Şüpheli bulunanlar gelir gelmez hastaneye kaldırılıp, testleri yapılmaktadır. Tedbirlerde hep birlikte tavizsiz olalım!</t>
  </si>
  <si>
    <t>1239119161718169600</t>
  </si>
  <si>
    <t>UMREDEN YENİ DÖNDÜYSENİZ 14 Gün Kuralına uymanızı ısrarla istiyoruz. Son bir hafta içinde dönen bir yurttaşımızın testi MAALESEF POZİTİF çıktı. Yeni vakalardan endişeliyiz. Lütfen ziyaretçi kabul etmeyin. Sağlık taramasından geçmiş olmak sıfır risk anlamına gelmez.</t>
  </si>
  <si>
    <t>1238931031442575366</t>
  </si>
  <si>
    <t>Sağlık Bakanlığı, Koronavirüs risk taramasını çat kapı değil, planlayarak yapmaktadır. Sizi 184’ten arayıp bilgilendiriyor, ondan sonra geliyoruz. SABİM-184’ten size TELEFON GELMEMİŞSE, test amacıyla geldiğini söyleyenleri içeri almayın. KÖTÜ NİYETLİLERE KARŞI DA TEDBİRLİ OLALIM!</t>
  </si>
  <si>
    <t>1238882285199523841</t>
  </si>
  <si>
    <t>Size benzemek istemeyen biri var mı?
14 Mart Tıp Bayramınız kutlu olsun. https://t.co/XPG39BUF9Q</t>
  </si>
  <si>
    <t>1238774258588954624</t>
  </si>
  <si>
    <t>Sizi ve Türkiye'yi Koronavirüs riskinden koruyacak 14 Kural. İZLEYİN, RETWEET’LEYİN. https://t.co/dq18Nk5ti3</t>
  </si>
  <si>
    <t>1238732243796983808</t>
  </si>
  <si>
    <t>Koronavirüs riskine karşı yurt dışından dönüşlerde 14 Gün Kuralı. İZLEYİN, RETWEET’LEYİN. https://t.co/oFGsM1eCcr</t>
  </si>
  <si>
    <t>1238729184836489217</t>
  </si>
  <si>
    <t>YURT DIŞINA GİDİŞ DÖNÜŞ UYARIMIZDA KESİNLİKLE ISRARCIYIZ. 1 seyahat, 1 kişi ve 1 tek risk değildir. Sonucu 82 milyonu etkileyebilecek bir risktir. Mümkünse hiçbir ülkeye gitmeyelim. Yurt dışındaysak orada tedbir alalım. TEDBİRLERİ NE KADAR SIKI TUTARSAK, TEHDİT O KADAR ZAYIFLAR. https://t.co/WjZh0wcAtB</t>
  </si>
  <si>
    <t>1238698887449362432</t>
  </si>
  <si>
    <t>ÖNÜMÜZDEKİ 4-5 HAFTA son derece önemli. Bu dönemde virüsten korunma kurallarını çok sıkı bir şekilde uygulamak zorundayız. Bunu yaparsak tablo değişecektir. TEDBİRLERİ NE KADAR SIKI TUTARSAK, TEHDİT O KADAR ZAYIFLAR. https://t.co/7XkWPHQCWZ</t>
  </si>
  <si>
    <t>1238581182142521346</t>
  </si>
  <si>
    <t>ABD, 54 ÜLKEYE SEYAHAT KISITLAMASI koyarken, Türkiye konusunda kaygısı yok. Riskli ülke listesinde yer almıyoruz. Tabi, bu süreçte, eskisi kadar konuksever olmayabiliriz. Kapımız, dünyadan her gelene açık değil. TEDBİRLERİ NE KADAR SIKI TUTARSAK, TEHDİT O KADAR ZAYIFLAR. https://t.co/wwcJbWnxkD</t>
  </si>
  <si>
    <t>1238578682702237696</t>
  </si>
  <si>
    <t>SON 24 SAAT İÇİNDE AVRUPA’DA yeni vakalar: İspanya: 825, Hollanda: 111, Danimarka: 232, İtalya: 2.651, Belçika: 47, Norveç: 85, Avusturya: 179, Fransa: 591, Almanya: 802… Gidiş-dönüş yasak kapsamını genişletiyoruz. TEDBİRLERİ NE KADAR SIKI TUTARSAK, TEHDİT O KADAR ZAYIFLAR. https://t.co/TKWHVctB4s</t>
  </si>
  <si>
    <t>1238576054010249229</t>
  </si>
  <si>
    <t>Bilim Kurulu Toplantımızın ardından Koronavirüs ile ilgili son gelişmeleri ve aldığımız ortak tedbirleri Sayın Bakanlarımızla değerlendiriyoruz. 
📍SAĞLIK BAKANLIĞI BİLKENT YERLEŞKESİ / ANKARA https://t.co/sOfOCbu3cS</t>
  </si>
  <si>
    <t>1238484199079804931</t>
  </si>
  <si>
    <t>RETWEET edin, Koronavirüsten korunmanın 14 Kuralı yayılsın. https://t.co/Dl8kT6jQJJ</t>
  </si>
  <si>
    <t>1238444754674876416</t>
  </si>
  <si>
    <t>RETWEET edin, yurt dışından dönüşlerde 14 Gün Kuralı yayılsın. https://t.co/YnNsFcyNe7</t>
  </si>
  <si>
    <t>1238443247472705541</t>
  </si>
  <si>
    <t>DÜN AKŞAM sonuçlanan test, üzücü bir öngörüyü doğruladı. Bir hastamız daha var. İlk hastamızın, tanı konur konmaz takibe alınan çevresindendir. Virüsün olası yayılımını bu sınırlar içinde tutabilmek için gerekli tedbirlere başvurduk. Sorunun üstesinden birlikte geleceğiz.</t>
  </si>
  <si>
    <t>1238336845131534336</t>
  </si>
  <si>
    <t>SAYIN CUMHURBAŞKANIMIZIN BAŞKANLIĞINDA, gün içinde bir zirve gerçekleştirdik. Küresel Koronavirüs salgınına karşı yeni ulusal tedbirleri karara bağladık. Türkiye’nin risklere karşı güven düzeyi daha da artacak. Tedbirleri sıkı tutalım. Sorun kontrolümüz altında kalsın. https://t.co/5v3Sv5zJ0s</t>
  </si>
  <si>
    <t>1238224165011951618</t>
  </si>
  <si>
    <t>2 AY DİRENELİM. YAZIN VİRÜSÜN ETKİSİ AZALIYOR. Bilim Kurulumuzun öngörüsü bu yöndedir. Bu hastalık daha çok bir kış enfeksiyonu. Tedbir alırsak, yayılmayı önlersek, büyük olasılıkla, 2 ayda hayat normale döner. https://t.co/6ewRJ9arpd</t>
  </si>
  <si>
    <t>1238042198714847233</t>
  </si>
  <si>
    <t>MEDYA, BU ULUSAL MÜCADELENİN ANA AKTÖRLERİNDEN BİRİDİR. Biz süreci bugüne dek birlikte yürüttük. Şeffaf davrandık, destek kazandık. İş birliğimiz aynı ilkelerle devam edecek. Güvenilir bilginin aracı saygın medyadır. Medyanın saygın mensuplarıdır. Sizlersiniz. https://t.co/ETQXYO56Rr</t>
  </si>
  <si>
    <t>1237997706037145600</t>
  </si>
  <si>
    <t>Süreci, Bilim Kurulumuzda aldığımız kararlarla yönetiyoruz. Konu siyaset üstüdür. Çözüm, dayanışmadır. Mücadelenin koşulu tedbirdir. Stratejimiz şeffaflıktır. SAĞLIK SİSTEMİMİZE, BİLİM İNSANLARIMIZA GÜVENELİM. https://t.co/S7Ry2jlZws</t>
  </si>
  <si>
    <t>1237834132157345793</t>
  </si>
  <si>
    <t>Herhangi bir virüse karşı etkili olabilen antibiyotik veya ilaç yok. Karşı karşıya olduğumuz olayda, virüse karşı öncelikli, etkili ilaç; hastalığın bulaşmasını, yayılmasını önleyecek güvenilir bilgidir. DOĞRU BİLGİ, İLAÇ DEĞERİNDEDİR. https://t.co/dzx9cqaehj</t>
  </si>
  <si>
    <t>1237831227203375104</t>
  </si>
  <si>
    <t>Dün, ilk kez bir basın toplantısını gece saatlerinde yaptık. Geçen 90 gün boyunca tereddütsüz gösterdiğimiz şeffaflığın gereğini yerine getirdik. Devletimiz, pozitif tanı bilgisini kamuoyuna vermekte tereddüt etmedi. BU MÜCADELEDE ŞEFFAFLIK ŞARTTIR. https://t.co/oyS3SIyHYW</t>
  </si>
  <si>
    <t>1237828438553178114</t>
  </si>
  <si>
    <t>Bilim Kurulu Toplantımızın ardından Koronavirüs ile ilgili son gelişmeleri ve aldığımız ortak tedbirleri Sayın Bakanlarımızla değerlendiriyoruz. 
📍SAĞLIK BAKANLIĞI BİLKENT YERLEŞKESİ / ANKARA https://t.co/MA5L3ADeRa</t>
  </si>
  <si>
    <t>1237744018697658368</t>
  </si>
  <si>
    <t>Hızlı yayılan bulaşıcı hastalıklara karşı başarıyı 4 şey tesis eder. Güçlü tedbir, süratli müdahale, yaygın sağlık altyapısı, güven verici bilgilendirme. Bu 4'üne de sahibiz. Tedbirde birlikteyiz. Mücadeleyi birlikte vereceğiz. HER ÖNEMLİ OLAYI SİZE TİTİZLİKTE BİLDİRECEĞİZ.</t>
  </si>
  <si>
    <t>1237723990858305536</t>
  </si>
  <si>
    <t>Cumhurbaşkanımız Sayın @RTErdogan, bugünkü AK Parti Grup Toplantısı’nda yaptığı konuşmaya, ülkemizdeki Koronavirüs gündemini ele alarak başladı. Yarın, ilgili bakanlar ve kurumlarımızla, kendilerinin başkanlığında bir toplantı yapacağız. https://t.co/hkTbiG5FkD</t>
  </si>
  <si>
    <t>1237702176899825664</t>
  </si>
  <si>
    <t>Bir veya birkaç vaka, salgın değildir. Durum sadece virüsün ülkemiz sınırlarına girdiği anlamına gelir. İzole edilmiş vakada tek anlam budur. Yapmamız gereken, hayatımızı tedbirler doğrultusunda düzene sokmaktır. KORONAVİRÜS, ALACAĞIMIZ TEDBİRLERDEN DAHA GÜÇLÜ DEĞİLDİR. https://t.co/iJEeMTd3NW</t>
  </si>
  <si>
    <t>1237669168738193408</t>
  </si>
  <si>
    <t>Ülkemiz, olası vaka için tedbirlerini önceden almıştı. Hastalığın herhangi bir yerde görülmesi durumuna karşı sağlık personeli eğitilmiştir. Hastane, karantina hazırlıkları tamamlanmıştır. Bir veya birkaç vaka, salgın değildir. KARANTİNAYA ALINMIŞ HASTA, TOPLUMU TEHDİT EDEMEZ. https://t.co/uJbdTitu12</t>
  </si>
  <si>
    <t>1237653291649183745</t>
  </si>
  <si>
    <t>Dün, bir vatandaşımızın test sonucu pozitif çıktı. Virüsü, Avrupa teması üzerinden aldığı bilinmektedir. Dış dünyadan izole edilmiştir. Ailesi gözetim altındadır. Karantinaya alınmış hasta, toplumu tehdit edemez. HABER ÜZÜCÜDÜR, KORKUTUCU DEĞİLDİR. https://t.co/NsmG8hqIfw</t>
  </si>
  <si>
    <t>1237637571410309120</t>
  </si>
  <si>
    <t>@drfahrettinkoca Sayin bakanimiz, ilk basta 2 sinovac, yazin 2 biontech olan bazi 65 yas üstünün asilarinin üstünde… https://t.co/T0wcDODFNu</t>
  </si>
  <si>
    <t>1473330896849747975</t>
  </si>
  <si>
    <t>@drfahrettinkoca Ben bir vatandaşım ve vatandaslık gorevimi yerine getirmek icin yazıyorum 184 ü arayıp bilgilendir… https://t.co/32epaFk1on</t>
  </si>
  <si>
    <t>1473322741201874954</t>
  </si>
  <si>
    <t>@drfahrettinkoca Yalan söylüyor aşıların kulanma tarihi geçiyor.Ayrıca Uğur Şahin bile senden müslüman. https://t.co/eN3CVmOAaA</t>
  </si>
  <si>
    <t>1473321798133555201</t>
  </si>
  <si>
    <t>@drfahrettinkoca @saglikbakanligi Günlerdir 182 ye ulaşamıyorum nasıl randevü alacağım Mhrs şansım da yok lütfen bir yol gösterirmisiniz ?</t>
  </si>
  <si>
    <t>1473318177362923527</t>
  </si>
  <si>
    <t>@drfahrettinkoca Ulan pust doğru verileri ver lan kahpe</t>
  </si>
  <si>
    <t>1473316160854761472</t>
  </si>
  <si>
    <t>@drfahrettinkoca Omicron aşısızları da etkiliyor ve öğrenciler olarak yurtlarda hastalık içinde boğulmak istemiyoru… https://t.co/hodbrL8BP6</t>
  </si>
  <si>
    <t>1473309828592414722</t>
  </si>
  <si>
    <t>@drfahrettinkoca SAYIN BAKANIM @drfahrettinkoca , omicron varyanti sebebiyle önlemler alınsın, havalar soğudu hasta… https://t.co/dTxZN1UGBZ</t>
  </si>
  <si>
    <t>1473309009750941704</t>
  </si>
  <si>
    <t>@drfahrettinkoca SAYİN BAKANİM BU SÖYLEDİKLERİNİZ KÜLLİYEN YALAN SİZ KENDİNİZ BUNA İNANİYORMUSUNUZ GERÇEKTEN</t>
  </si>
  <si>
    <t>1473303462746198034</t>
  </si>
  <si>
    <t>@drfahrettinkoca Dünde komsumuz kalp krizinden öldü</t>
  </si>
  <si>
    <t>1473300963209486341</t>
  </si>
  <si>
    <t>@drfahrettinkoca Dsö’ye farklı bize farklı rakamlar insan değilsiniz şerefsizler</t>
  </si>
  <si>
    <t>1473300239293501443</t>
  </si>
  <si>
    <t>@drfahrettinkoca İki Sinovac'tan sonra iki Biontech olduk... sonuncusu 25 Ağustos'ta... ancak 3. Biontech'e randevu alamıyoruz...</t>
  </si>
  <si>
    <t>1473297942362603527</t>
  </si>
  <si>
    <t>@drfahrettinkoca Telefon gelmedigi gibi, e- devletten de randevu alamiyorum....Ustunden 4- 5 ay geçmesine ragmen....</t>
  </si>
  <si>
    <t>1473296253794623489</t>
  </si>
  <si>
    <t>@drfahrettinkoca Hergün bir sağlık personeli  şiddet görüyor Burda ciddi bir sorun var Bu toplumun cehaletiyle de i… https://t.co/Ip1wO14102</t>
  </si>
  <si>
    <t>1473295520391127042</t>
  </si>
  <si>
    <t>@drfahrettinkoca https://t.co/YI9whhZLdY</t>
  </si>
  <si>
    <t>1473288939037470739</t>
  </si>
  <si>
    <t>@drfahrettinkoca yaptıramıyoruz 2 sinovac olan 65 yaş üstüne aşı hakkı vermiyorsun!!!!!</t>
  </si>
  <si>
    <t>1473285305130418184</t>
  </si>
  <si>
    <t>@drfahrettinkoca Her 3 kişiden biri hasta covidi gribi birbirine karışmış kol geziyor artık gereken önlemleri alma… https://t.co/5K52vE0Lvb</t>
  </si>
  <si>
    <t>1473260405925556229</t>
  </si>
  <si>
    <t>@drfahrettinkoca Her 3 kişiden biri hasta kovidi gribi birbirine karışmış kol geziyor artık gereken önlemleri alma… https://t.co/KvMf7cSkRC</t>
  </si>
  <si>
    <t>1473259923811278850</t>
  </si>
  <si>
    <t>@drfahrettinkoca https://t.co/KlsqDTFXgE</t>
  </si>
  <si>
    <t>1473256839894777857</t>
  </si>
  <si>
    <t>@drfahrettinkoca Sayın bakanım, yeni varyant sebebi ile, dünyadaki gelişmiş ülkelerde aşının korumadığı gerekçesiyl… https://t.co/f7zQWbDwj1</t>
  </si>
  <si>
    <t>1473254094475304964</t>
  </si>
  <si>
    <t>@drfahrettinkoca Lütfen ilkokul çocukları için aşılama başlatılsın.Yaşlılar emekliler evinde oturabilir ama çocukla… https://t.co/ZzFeTQ5TSO</t>
  </si>
  <si>
    <t>1473251781991927808</t>
  </si>
  <si>
    <t>@drfahrettinkoca Milleti kandırdınız tek doz ile bitecekti aşı bağımlısı yaptınız milleti . Ekonomiğe büyük drbe vurdunuz</t>
  </si>
  <si>
    <t>1473240890051342340</t>
  </si>
  <si>
    <t>@drfahrettinkoca Neyi hatırlatmak istiyordunuz pardon?</t>
  </si>
  <si>
    <t>1473235957478567938</t>
  </si>
  <si>
    <t>@drfahrettinkoca Koruyorsa niye hatırlatma dozuna ihtiyaç var bu kadar kaç doz olacak insanlar bu aşıyı</t>
  </si>
  <si>
    <t>1473234966569967616</t>
  </si>
  <si>
    <t>@drfahrettinkoca @RTErdogan @mehmedmus @ersinyazici1 @fahrettinaltun Antalya manavgatta eczanelerde aylardir mama y… https://t.co/4EudLHal06</t>
  </si>
  <si>
    <t>1473234809765957637</t>
  </si>
  <si>
    <t>@drfahrettinkoca Geçen pazar yaptigim test pozitifti  şuan gayet iyiyim 14 gün evde yatmak istemiyorum hastaneye gi… https://t.co/WZfxdV9mFB</t>
  </si>
  <si>
    <t>1473233620076843009</t>
  </si>
  <si>
    <t>@drfahrettinkoca 5. doz ne zaman açılacak...!</t>
  </si>
  <si>
    <t>1473225323726741506</t>
  </si>
  <si>
    <t>@drfahrettinkoca vaktinde yapılan aşının tarihi çok geçmemiş olur...!</t>
  </si>
  <si>
    <t>1473225094164099074</t>
  </si>
  <si>
    <t>@drfahrettinkoca https://t.co/6mOB6NH3q2</t>
  </si>
  <si>
    <t>1473221898628743168</t>
  </si>
  <si>
    <t>@drfahrettinkoca Sayın bakanım görün artık smalı bebekleri görün #drfahrettinkoca hani gelişiyoruz ya… https://t.co/Nik3al3I3E</t>
  </si>
  <si>
    <t>1473219338068967424</t>
  </si>
  <si>
    <t>@drfahrettinkoca https://t.co/LgTUAhuEd1</t>
  </si>
  <si>
    <t>1473219270490439680</t>
  </si>
  <si>
    <t>@drfahrettinkoca Çipler Türkiye mi sayın bakan insanlara ne zaman tıkıyacaksınız çipleri hayvan mıki bu millet çip… https://t.co/TQ1rQmwsI6</t>
  </si>
  <si>
    <t>1473213129450524675</t>
  </si>
  <si>
    <t>@drfahrettinkoca Madem okullar açık  o zmn her  hafta test zorunluluğu gelsin</t>
  </si>
  <si>
    <t>1473208431104430081</t>
  </si>
  <si>
    <t>@drfahrettinkoca Yaptırmayacağım</t>
  </si>
  <si>
    <t>1473206847561768965</t>
  </si>
  <si>
    <t>@drfahrettinkoca Kamyon duvara çarpmış,mülteciler inip kaçışıyor... Maske var mı? Yok Mesafe var mı? Kankalar Hijye… https://t.co/EkzK9ILdJ2</t>
  </si>
  <si>
    <t>1473202543073320968</t>
  </si>
  <si>
    <t>@drfahrettinkoca Hastane de kan tahlili veriyorsun başkasınınkiyle karıştırıyorlar bu nasıl bir sorumsuzluk!!</t>
  </si>
  <si>
    <t>1473200640063156233</t>
  </si>
  <si>
    <t>@drfahrettinkoca https://t.co/FgN6D4Y8hN  Artık bizi rahat bırak,sorumluluk yok takip yok istatistik yok,maske,mesa… https://t.co/N9O0eO6PxV</t>
  </si>
  <si>
    <t>1473198306331344897</t>
  </si>
  <si>
    <t>@drfahrettinkoca 6 aydan 3 aya indiniz, şimdi de hes uygulamasında 2 ay gözüküyor. Hangi çalışma sonucuna göre?</t>
  </si>
  <si>
    <t>1473198133849083904</t>
  </si>
  <si>
    <t>@drfahrettinkoca @drfahrettinkoca https://t.co/B3IBW4bkUL</t>
  </si>
  <si>
    <t>1473198056812294145</t>
  </si>
  <si>
    <t>@drfahrettinkoca Oğlum için günlerdir aşı hakkı yoktur yazısı alıyorum sayın @drfahrettinkoca aşı hakkı tanımlaması… https://t.co/O7getN6rnL</t>
  </si>
  <si>
    <t>1473195770480410627</t>
  </si>
  <si>
    <t>@drfahrettinkoca Sayın bakan amicron varyantı tehlikesi ortada iken açık öğretim fakültesi (AÖF) öğrencilerinin ses… https://t.co/sK5Om1j15I</t>
  </si>
  <si>
    <t>1473192780994433026</t>
  </si>
  <si>
    <t>@drfahrettinkoca Dün öğlen saat 3 de kızıma yaptırdığım test sonucu bu saat olmuş hala çıkmadı birde mesaj geliyor… https://t.co/Sfit6hu0Mi</t>
  </si>
  <si>
    <t>1473191737866731521</t>
  </si>
  <si>
    <t>@drfahrettinkoca Yakinda çaya çorba yaaa koycaz farooo sen merak etme emiii.. ama avcunu yalarsın o sivi sen kendine bol bol yaptir</t>
  </si>
  <si>
    <t>1473189733517991939</t>
  </si>
  <si>
    <t>@drfahrettinkoca Aşının derdine normal muayene sırası alamıyoruz.</t>
  </si>
  <si>
    <t>1473188655619530756</t>
  </si>
  <si>
    <t>@drfahrettinkoca Sayın bakanım,  3 doz sinovac olduk. 4. hatırlatma dozu için Turkovac'ı tercih etmek istiyoruz.</t>
  </si>
  <si>
    <t>1473187080289329156</t>
  </si>
  <si>
    <t>@drfahrettinkoca Uğur şahin sizin bilim sayesinde para basıyor ona kalsa ayda bir aşı olun der uğur şahin tüm dünya… https://t.co/EtOCP4ermk</t>
  </si>
  <si>
    <t>1473185590480982017</t>
  </si>
  <si>
    <t>@drfahrettinkoca PFIZER-BIONTECH AŞILARI, ÖLÜMLER VE YANETKILERDEN DOLAYI VİETNAMLI ÇOCUKLARDA DURDURULDU! bilime b… https://t.co/DKy5KkxQ95</t>
  </si>
  <si>
    <t>1473184741205622785</t>
  </si>
  <si>
    <t>@drfahrettinkoca Zamanında yapılan 1.2. doz korumadı üçüncü doz mu koruyacak  garantisi varmı sayın bakan yoksa laf… https://t.co/Nx0t1bcKoY</t>
  </si>
  <si>
    <t>1473184630983610374</t>
  </si>
  <si>
    <t>@drfahrettinkoca Bu hatırlatma dozu ne zamana kadar sürecek kaç tane daha hatırlatla dozu olacak sayın bakan aşıkar… https://t.co/2Rps1M494H</t>
  </si>
  <si>
    <t>1473171664921841666</t>
  </si>
  <si>
    <t>@drfahrettinkoca Hong Kong Üniversitesi tarafından yapılan yeni bir çalışma, yüksek oranda mutasyona uğramış Omikro… https://t.co/Ak69FtYcae</t>
  </si>
  <si>
    <t>1473170374267490307</t>
  </si>
  <si>
    <t>@drfahrettinkoca Yalan söylemekten bıkmadınız. Unutmayın ki, gerçek mümin asla yalan söylemez.</t>
  </si>
  <si>
    <t>1473169473498722304</t>
  </si>
  <si>
    <t>@drfahrettinkoca Aşı zorbalığını bırakın. Artık yürütemiyorsunuz saçmalıyorsunuz. Bırakın ya siz şu koviti kendi ha… https://t.co/P9gSXksSea</t>
  </si>
  <si>
    <t>1473162539676676096</t>
  </si>
  <si>
    <t>@drfahrettinkoca Piyon musunuz siz. Kimler getirdi sizi bu hale. Allah onların da dizin de cezalarınızi versin… https://t.co/MHoVyljakk</t>
  </si>
  <si>
    <t>1473162395786911745</t>
  </si>
  <si>
    <t>@drfahrettinkoca https://t.co/ehIwb63WIj</t>
  </si>
  <si>
    <t>1473162291797532674</t>
  </si>
  <si>
    <t>@drfahrettinkoca Sahne sizi bekliyor sayın @drfahrettinkoca bunu açıklamanız için tabi siz işi aşıya getirmeden açı… https://t.co/GCNdQJlsBR</t>
  </si>
  <si>
    <t>1473162040944570371</t>
  </si>
  <si>
    <t>@drfahrettinkoca Bu ne https://t.co/gRnVMnuHHy</t>
  </si>
  <si>
    <t>1473147511867154439</t>
  </si>
  <si>
    <t>@drfahrettinkoca Biz açlıktan ölürüz ancak covidden değil</t>
  </si>
  <si>
    <t>1473146579473383427</t>
  </si>
  <si>
    <t>@drfahrettinkoca alış veriş yapmaya gelen bulgarlarada aşı pcr soruluyormu #DanıstayEziyetiDurdur #ParamızıPulEttiniz</t>
  </si>
  <si>
    <t>1473139860257001482</t>
  </si>
  <si>
    <t>@drfahrettinkoca 3. aşı olacak kadar tehlike var ama okullarda tedbir alacak kadar tehlike yok. Bu nasıl iş sayın b… https://t.co/qSDr1BDxvK</t>
  </si>
  <si>
    <t>1473127806062243843</t>
  </si>
  <si>
    <t>@drfahrettinkoca Sen bu milletle dalga geçiyorsun ya biz de seninle zamanı geldiğinde çok güzel dalga geçeceğiz say… https://t.co/OCXEOp371j</t>
  </si>
  <si>
    <t>1473123660294672386</t>
  </si>
  <si>
    <t>@drfahrettinkoca Aklı olan olmasın dün 16 da 3.doz oldum yatak döşek yatıyorum her yerim ağrıyor ateş yürümeye taka… https://t.co/IKSwLdTyOg</t>
  </si>
  <si>
    <t>1473120952804425728</t>
  </si>
  <si>
    <t>@drfahrettinkoca Aşı yapalm da durduk yere sağlığımızi bozalm.asilarin yan etkisi olan yüksek tansiyon,kalp çarpınt… https://t.co/JOkLWJ013d</t>
  </si>
  <si>
    <t>1473110040257212419</t>
  </si>
  <si>
    <t>@drfahrettinkoca Hiç aşı yaptırmamış olanların hatırlatma dozu gibi bir sorunu yok hamdolsun ...</t>
  </si>
  <si>
    <t>1473106174983774208</t>
  </si>
  <si>
    <t>@drfahrettinkoca Bana boşuna Mesaj atmayın ne olduğu belli olmayan sıvıları asla olmam</t>
  </si>
  <si>
    <t>1473103681906225161</t>
  </si>
  <si>
    <t>@drfahrettinkoca İstifa edin #KılıcdaroğlundanOnlineEğitim</t>
  </si>
  <si>
    <t>1473103419707740164</t>
  </si>
  <si>
    <t>@drfahrettinkoca Randevu alıp hatırlatma dozunu yaptıracağız,hatta virus şekil değiştirirse 2022 4. Ve 5.dozlarıda</t>
  </si>
  <si>
    <t>1473089088546906114</t>
  </si>
  <si>
    <t>@drfahrettinkoca Aşı dan kaynaklı ölümlerin, ve ağır seyreden yan etkilerin rakamlarını istiyoruz! Ört bas ediyorsu… https://t.co/P6HfLXqV5W</t>
  </si>
  <si>
    <t>1473082996622299142</t>
  </si>
  <si>
    <t>@drfahrettinkoca Benimde burnum kırıldı mahkeme 5 bin tl verdi erteledi gözaltında bi gece kaldı yasa çıkacakya yıl… https://t.co/k9amnCd8Kh</t>
  </si>
  <si>
    <t>1473320692686987269</t>
  </si>
  <si>
    <t>@drfahrettinkoca Benim oğlum sma tıp bir  sizden tek birşey istiyorum Allah aşkına kitap aşkına bir bebeğin canı ok… https://t.co/uwEMNeDXb2</t>
  </si>
  <si>
    <t>1473317113003749381</t>
  </si>
  <si>
    <t>@drfahrettinkoca Fırından bakın yeni çıktı,göstere göstere öldürülüyoruz https://t.co/cYQVuYidN2</t>
  </si>
  <si>
    <t>1473312321443352579</t>
  </si>
  <si>
    <t>@drfahrettinkoca Sesimizi duyun huseyinveziyaicinadalet istiyoruz.adam yaralamadan 10yil 2ay hapis verilmez.raporun… https://t.co/FL0OFmGY2C</t>
  </si>
  <si>
    <t>1473293150924034062</t>
  </si>
  <si>
    <t>@drfahrettinkoca Her 3 kişiden biri hasta covidi gribi birbirine karışmış kol geziyor artık gereken önlemleri alma… https://t.co/6wfxAi9XOf</t>
  </si>
  <si>
    <t>1473260747841064962</t>
  </si>
  <si>
    <t>@drfahrettinkoca Her 3 kişiden biri hasta covidi gribi birbirine karışmış kol geziyor artık gereken önlemleri alma… https://t.co/FHN0GcrVKI</t>
  </si>
  <si>
    <t>1473260723899973636</t>
  </si>
  <si>
    <t>@drfahrettinkoca Her 3 kişiden biri hasta covidi gribi birbirine karışmış kol geziyor artık gereken önlemleri alma… https://t.co/1FfVXdBJKk</t>
  </si>
  <si>
    <t>1473260529384923146</t>
  </si>
  <si>
    <t>@drfahrettinkoca Adam zaten içkili . Hadi onu da geçtim insanlar katledilerek öldürülüyor içerde yatmıyor bile doğr… https://t.co/ffs1adchtA</t>
  </si>
  <si>
    <t>1473196010784661511</t>
  </si>
  <si>
    <t>@drfahrettinkoca Twitter dan gelen adalet.</t>
  </si>
  <si>
    <t>1473195742844096517</t>
  </si>
  <si>
    <t>@drfahrettinkoca Sn.Bakan,sağlık çalışanlarına karşı işlenen fiziki saldırı suçlarında ceza alt sınırı sabit/ertele… https://t.co/5mMJKzbG5Z</t>
  </si>
  <si>
    <t>1473174828798599169</t>
  </si>
  <si>
    <t>@drfahrettinkoca Geçmişte bir tanıdığım demişti ki; "Türkiye de yaşıyorsan işinin görülmesini için devletin bir kad… https://t.co/t8qzIgumMG</t>
  </si>
  <si>
    <t>1473173321059606533</t>
  </si>
  <si>
    <t>@drfahrettinkoca Özet : Bakanlığımda çalışanlar yanlış yapmazlar, yapamazlar, yapsalar da dokunulmazlıkları vardır.… https://t.co/HfsTP2XuhX</t>
  </si>
  <si>
    <t>1473173064238211080</t>
  </si>
  <si>
    <t>@drfahrettinkoca https://t.co/ZSjlMhZxXX</t>
  </si>
  <si>
    <t>1473162310466342913</t>
  </si>
  <si>
    <t>@drfahrettinkoca Her 3 kişiden biri hasta covidi gribi birbirine karışmış kol geziyor artık gereken önlemleri alma… https://t.co/b8vNZM6LgW</t>
  </si>
  <si>
    <t>1473260557365096449</t>
  </si>
  <si>
    <t>1473257003799793668</t>
  </si>
  <si>
    <t>@drfahrettinkoca https://t.co/l6tG7cErhi</t>
  </si>
  <si>
    <t>1473219328447332354</t>
  </si>
  <si>
    <t>@drfahrettinkoca https://t.co/gsyR0zu9m2</t>
  </si>
  <si>
    <t>1473162336466878467</t>
  </si>
  <si>
    <t>@drfahrettinkoca Bir kereden bir şey olmaz sayın bakan :p</t>
  </si>
  <si>
    <t>1473308231736999947</t>
  </si>
  <si>
    <t>@drfahrettinkoca Needense hiiç şaşirmaadik diimi.pirasaa giibi kadiin doğranan bii coğrafyada dikişli yada sakat ka… https://t.co/zlxUQgdzCo</t>
  </si>
  <si>
    <t>1473263962561069062</t>
  </si>
  <si>
    <t>@drfahrettinkoca Her 3 kişiden biri hasta covidi gribi birbirine karışmış kol geziyor artık gereken önlemleri alma… https://t.co/x0gPa4XebV</t>
  </si>
  <si>
    <t>1473260580316360711</t>
  </si>
  <si>
    <t>@drfahrettinkoca Sokakta ebelek gübelek haber peşinde koşan haberciler, gidin o serbest bırakan zat'a bir sorun ned… https://t.co/gMxHHSlYlc</t>
  </si>
  <si>
    <t>1473174139015995394</t>
  </si>
  <si>
    <t>@drfahrettinkoca Sağlık çalışanlarına bunu yapan birinin serbest bırakılması utanç verici. Yargı Erdoğan'ın elinde… https://t.co/xSSooR61OR</t>
  </si>
  <si>
    <t>1473166294958718979</t>
  </si>
  <si>
    <t>@drfahrettinkoca Sayın Bakanım; grev yapan sağlık çalışanlarının da takipçisi olacak mısınız?</t>
  </si>
  <si>
    <t>1473158694812758017</t>
  </si>
  <si>
    <t>@drfahrettinkoca Her 3 kişiden biri hasta covidi gribi birbirine karışmış kol geziyor artık gereken önlemleri alma… https://t.co/ivbaQ59Zjh</t>
  </si>
  <si>
    <t>1473260650319298569</t>
  </si>
  <si>
    <t>@drfahrettinkoca Her 3 kişiden biri hasta covidi gribi birbirine karışmış kol geziyor artık gereken önlemleri alma… https://t.co/RYUmAl6TES</t>
  </si>
  <si>
    <t>1473260618539048962</t>
  </si>
  <si>
    <t>@drfahrettinkoca @saglikbakanligi Sayın bakanım antalya ahatlı diş hastanesinde neden yerli implant takılmıyor  par… https://t.co/EgKyUtqyNF</t>
  </si>
  <si>
    <t>1473109231326969864</t>
  </si>
  <si>
    <t>@drfahrettinkoca Her 3 kişiden biri hasta covidi gribi birbirine karışmış kol geziyor artık gereken önlemleri alma… https://t.co/7m9VGW2MxM</t>
  </si>
  <si>
    <t>1473260870432141313</t>
  </si>
  <si>
    <t>@drfahrettinkoca Her 3 kişiden biri hasta covidi gribi birbirine karışmış kol geziyor artık gereken önlemleri alma… https://t.co/MGUHAUOFfp</t>
  </si>
  <si>
    <t>1473260792908849153</t>
  </si>
  <si>
    <t>@drfahrettinkoca Her 3 kişiden biri hasta covidi gribi birbirine karışmış kol geziyor artık gereken önlemleri alma… https://t.co/2gF58Sr3Qm</t>
  </si>
  <si>
    <t>1473260821153202178</t>
  </si>
  <si>
    <t>@drfahrettinkoca Her 3 kişiden biri hasta covidi gribi birbirine karışmış kol geziyor artık gereken önlemleri alma… https://t.co/orz0iyPsBn</t>
  </si>
  <si>
    <t>1473260921824989189</t>
  </si>
  <si>
    <t>@drfahrettinkoca Her 3 kişiden biri hasta covidi gribi birbirine karışmış kol geziyor artık gereken önlemleri alma… https://t.co/hr8kFb1YL1</t>
  </si>
  <si>
    <t>1473260949213753345</t>
  </si>
  <si>
    <t>@drfahrettinkoca Her 3 kişiden biri hasta covidi gribi birbirine karışmış kol geziyor artık gereken önlemleri alma… https://t.co/uRpeRg0URn</t>
  </si>
  <si>
    <t>1473261003588743168</t>
  </si>
  <si>
    <t>@drfahrettinkoca HAKKIM HELAL DEĞİL İKİ CİHANDA DA DAVACIYIM. ALLAH BİLDİĞİ GİBİ YAPSIN!!!😡</t>
  </si>
  <si>
    <t>1470543385068978178</t>
  </si>
  <si>
    <t>@drfahrettinkoca KAÇ HATA!! KAÇ NOKSAN? OTURDUĞUNUZ MAKAMLARDA BU SİZİN DEDİKLERİNİZİ YAPAN ONURLUCA İSTİFA EDER VE… https://t.co/vr7QPyqklu</t>
  </si>
  <si>
    <t>1470542884969582592</t>
  </si>
  <si>
    <t>@drfahrettinkoca Yok öyle sıyrılmak sn:Bakan  SORUMLU SİZSİNİZ....   İnsanlara önerdiğiniz (zorla, baskı ve mobing… https://t.co/PUpDN21BCa</t>
  </si>
  <si>
    <t>1470540716791287812</t>
  </si>
  <si>
    <t>@drfahrettinkoca Burasi senin deneme tahtan degil. Senin ozel hastanen degil. Ulkenin canina ot tikadiniz. Artik is… https://t.co/GziFIJtSAL</t>
  </si>
  <si>
    <t>1470539600879927307</t>
  </si>
  <si>
    <t>@drfahrettinkoca Koskoca Türk milletini kobay yaptın bebeklerimizi,gençlerimizi, Yaşlı büyüklerimizi,çalışmak zorun… https://t.co/fDutjddtAO</t>
  </si>
  <si>
    <t>1470537945711095808</t>
  </si>
  <si>
    <t>@drfahrettinkoca Neeeeeeeeeeeeeeeee</t>
  </si>
  <si>
    <t>1470536857310142464</t>
  </si>
  <si>
    <t>@drfahrettinkoca BEN SIZE INANIYORUM .. SUC KIMIN HERKES BILIYOR !</t>
  </si>
  <si>
    <t>1470536169498763264</t>
  </si>
  <si>
    <t>@drfahrettinkoca Iblis e tapanların a$$ı larını,  İlaçlarını size güvenen masum vatandaşlarımıza içirdiniz sizin yü… https://t.co/Z9thAVXkls</t>
  </si>
  <si>
    <t>1470535227298746368</t>
  </si>
  <si>
    <t>@drfahrettinkoca Daha dur yargılanacaksın Allah ın izniyle🤲🏻</t>
  </si>
  <si>
    <t>1470535088035311622</t>
  </si>
  <si>
    <t>@drfahrettinkoca Psikolog ve diyetisyen gibi sağlıkçılara ayırdığınız kadro sayısı ile cidden bize bir haksızlık et… https://t.co/nXFhVlVBxH</t>
  </si>
  <si>
    <t>1470534989892706307</t>
  </si>
  <si>
    <t>@drfahrettinkoca Seni şeytan seni!...</t>
  </si>
  <si>
    <t>1470533822949253129</t>
  </si>
  <si>
    <t>@drfahrettinkoca Keşke Türk milletine bunu yapanlar yaşatantalara da idam kararı verilebilse!</t>
  </si>
  <si>
    <t>1470533495898492929</t>
  </si>
  <si>
    <t>@drfahrettinkoca Bütün beddualar sana gelsin Allah seni iki cihanda rezil rüsva eylesin hakkımız haram olsun elbet hesap vereceksin birgün</t>
  </si>
  <si>
    <t>1470532781755281412</t>
  </si>
  <si>
    <t>@drfahrettinkoca O kadar da basit değil; plandemi, toplum sağlığı yalanı, zorbalıklar, aslı esası olmayan tanı, ted… https://t.co/TjuTUOioZa</t>
  </si>
  <si>
    <t>1470532398572056581</t>
  </si>
  <si>
    <t>@drfahrettinkoca 😪😪😪hep uyardık hep anlattık Allah senden büyük dedik …</t>
  </si>
  <si>
    <t>1470531407806091267</t>
  </si>
  <si>
    <t>@drfahrettinkoca 20 ay boyunca altı üstü bir grip tedavisi için yanlış ilaç kullanan, ekonomiyi yerle bir eden Sağl… https://t.co/Ba7PJKImEG</t>
  </si>
  <si>
    <t>1470531385479761923</t>
  </si>
  <si>
    <t>@drfahrettinkoca Şahsım adına Affınızı kabul etmiyorum.Hatalarınızı falanlı filanlı söylemlerinizi de kabul etmiyor… https://t.co/KzpUhaAZig</t>
  </si>
  <si>
    <t>1470531286473351169</t>
  </si>
  <si>
    <t>@drfahrettinkoca Hata sonucu bir bebeğe vurulan kovid aşısı, hata sonucu bir şahısa 1 günde 10 kez vurulan kovid aş… https://t.co/iIOLGCWyQC</t>
  </si>
  <si>
    <t>1470530988413538307</t>
  </si>
  <si>
    <t>@drfahrettinkoca Biz razıyız</t>
  </si>
  <si>
    <t>1470530906511265808</t>
  </si>
  <si>
    <t>@drfahrettinkoca Tarım bakanı olmak ister misiniz lütfen 😊</t>
  </si>
  <si>
    <t>1470530187926413315</t>
  </si>
  <si>
    <t>@drfahrettinkoca Sizler dünyanın en değerli halkına zülm üzerine zülm ettiniz. Sizler Mesafe diyerek tüm akraba bağ… https://t.co/jplcC8j7iZ</t>
  </si>
  <si>
    <t>1470529662635978755</t>
  </si>
  <si>
    <t>@drfahrettinkoca @saglikbakanligi @drfahrettinkoca cevap bekliyoruz  #hesaplaşacağız  #sahteplandemi https://t.co/1zhFMVZTqp</t>
  </si>
  <si>
    <t>1470528918390288384</t>
  </si>
  <si>
    <t>@drfahrettinkoca Doğru olan hiç yapılmadıki bizi şuan bir yanlisla ölümle burun buruna bıraktınız neresi doğru bir… https://t.co/yx6v34MnBR</t>
  </si>
  <si>
    <t>1470528674151780358</t>
  </si>
  <si>
    <t>@drfahrettinkoca Hakkımı helal etmiyorum ne olacak şimdi.</t>
  </si>
  <si>
    <t>1470528510368399361</t>
  </si>
  <si>
    <t>@drfahrettinkoca Insanlarin bir aylık maaşlarını kısıtlama ihlali 3te 1 maaşlarını maske cezası yazdınız yetmedi is… https://t.co/eLBb1uwZb9</t>
  </si>
  <si>
    <t>1470528480873963520</t>
  </si>
  <si>
    <t>@drfahrettinkoca Bu insanlarin hakkı burnundan fitil fitil çıkacak yalaka kaypak https://t.co/PVS47Xphlx</t>
  </si>
  <si>
    <t>1470528418110394380</t>
  </si>
  <si>
    <t>@drfahrettinkoca Atama için birazda olsa burukta olsa eksik olsada teşekkür ederim. Birde şu pandemiyle ilgili tuta… https://t.co/VE18HjRONQ</t>
  </si>
  <si>
    <t>1470526825323446275</t>
  </si>
  <si>
    <t>@drfahrettinkoca Siz bilerek ve isteyerek insanlara işkence ettiniz birde masum rolü yapmayın yaptığınız her şeyin… https://t.co/mv1NLhQRbv</t>
  </si>
  <si>
    <t>1470525957077446656</t>
  </si>
  <si>
    <t>@drfahrettinkoca Ağa bitti, takipten çıkıyorum.</t>
  </si>
  <si>
    <t>1470525848075841544</t>
  </si>
  <si>
    <t>@drfahrettinkoca Bu ülkeye bikerek ve isteyerek yaptıgın m Kötülüklerden #Yargılanacaksın ! #YazıklarOlsun… https://t.co/xFEcfuyJdW</t>
  </si>
  <si>
    <t>1470524500504678407</t>
  </si>
  <si>
    <t>@drfahrettinkoca Beceremiyorsan defol git bir hata iki hata nereye kadar pandemi sürecini katlettiniz bırakın yapabilen gelir elbet.</t>
  </si>
  <si>
    <t>1470524073390260230</t>
  </si>
  <si>
    <t>@drfahrettinkoca Yorumlara bakınca buraya da Aşı karşıtları doldurmuş. Aşı olmasaydı kaç kişi daha ölecekti düşünen yok.</t>
  </si>
  <si>
    <t>1470523415249539086</t>
  </si>
  <si>
    <t>@drfahrettinkoca Görevinin sonuna geldin tabi. Seni Yaradandan af dile. Türk milletinin ahını aldın sen. O masum, g… https://t.co/1aZnuSNcGI</t>
  </si>
  <si>
    <t>1470522870971486209</t>
  </si>
  <si>
    <t>@drfahrettinkoca İstifa etmek sana yakışan en güzel hareket olacaktır. Fahrettin Koca istifa ederek işi ehline tesl… https://t.co/OPmoxEpEnI</t>
  </si>
  <si>
    <t>1470522169243357185</t>
  </si>
  <si>
    <t>@drfahrettinkoca Dayattığınız HES, pcr, aşı, maske ve kapanmalar  kasıt değil de ne?  Günah mı çıkarıyorsunuz?  Çok… https://t.co/KAMsMxaaYL</t>
  </si>
  <si>
    <t>1470521013473619973</t>
  </si>
  <si>
    <t>@drfahrettinkoca Yalan makinası gibi bir bakanlık,teşekkür ederiz…</t>
  </si>
  <si>
    <t>1470519172060925952</t>
  </si>
  <si>
    <t>@drfahrettinkoca nasıl kasıt yokmuş katilsiniz ALLAH c.c yardımı ile yargılanacaksınız dünyada yargılanmazsanız ahi… https://t.co/mw2F0z9DGr</t>
  </si>
  <si>
    <t>1470519002082512907</t>
  </si>
  <si>
    <t>@drfahrettinkoca Helalleşilecek aşamayı çoktan geçtiniz.. Hiç birinize hakkımı helal etmiyorum.. Hiç birinize..!</t>
  </si>
  <si>
    <t>1470518811740807168</t>
  </si>
  <si>
    <t>@drfahrettinkoca Yeni dünya düzeninin sahiplerine boyun eğdiniz, güvenirliği kanıtlanmamış sıvılarla insanımızın ca… https://t.co/DEY30ZBBJr</t>
  </si>
  <si>
    <t>1470518798683942914</t>
  </si>
  <si>
    <t>@drfahrettinkoca Dilerim Allah'tan hesabın mahşere kalmasın!!!😠🤲</t>
  </si>
  <si>
    <t>1470518055621038084</t>
  </si>
  <si>
    <t>@drfahrettinkoca Yatacak yerin yok. Allah bize yaşatırdığını yaşatmadan bu dünyadan almasın seni.. Allah senden raz… https://t.co/eAZ9sou4nM</t>
  </si>
  <si>
    <t>1470518023496900611</t>
  </si>
  <si>
    <t>@drfahrettinkoca Onun için mi milleti dinliyorsun? Aylardır yüzlerce vatandaş maskelerin/Aşıların yan etkilerinden… https://t.co/r2b34xO3E7</t>
  </si>
  <si>
    <t>1470517843968020496</t>
  </si>
  <si>
    <t>@drfahrettinkoca Günah çıkarma yeri TBMM değil!</t>
  </si>
  <si>
    <t>1470517699247849475</t>
  </si>
  <si>
    <t>@drfahrettinkoca Bakanım bütce görüşmelerinde tek sizin bakanlığın görüşmesinde olay çıkmadı. Hiç eleştirilmediniz.… https://t.co/Xor8pcQ8KV</t>
  </si>
  <si>
    <t>1470517347379200003</t>
  </si>
  <si>
    <t>@drfahrettinkoca "Ne dedi o ne dedi? Parayı söylemedi mi?" Kasıt mı??? Bile bile boyun eğdiniz herşeye be!! Batırdı… https://t.co/vzOXMPe9gb</t>
  </si>
  <si>
    <t>1470516987197546497</t>
  </si>
  <si>
    <t>@drfahrettinkoca Hakkımız haram olsun !</t>
  </si>
  <si>
    <t>1470516943979491338</t>
  </si>
  <si>
    <t>@drfahrettinkoca Senin avuç  avuç  dağıttığın ilaçlar  yüzünden  ölen  onbinlerce  kişi  ne olacak?</t>
  </si>
  <si>
    <t>1470516177311051779</t>
  </si>
  <si>
    <t>@drfahrettinkoca Haram zikkim olsun ..ahirette iki elim yakanda olacak....fitil fitil gelsin burnundan...yasattikla… https://t.co/WwUfz5v6as</t>
  </si>
  <si>
    <t>1470515142626623492</t>
  </si>
  <si>
    <t>@drfahrettinkoca AF YOK!  GİDECEKSEN BİTİR DE GİT...  İhanet pandemisi! Korku pandemisi! Yalan pandemisi! Tecrit pa… https://t.co/WUVS2LDGLb</t>
  </si>
  <si>
    <t>1470514665990017028</t>
  </si>
  <si>
    <t>@drfahrettinkoca Ne zaman doğru olani yapip online geçeceksiniz acaba kaç arkadaşım Corona oldu yurtlar zaten berba… https://t.co/ow2DfcRWOs</t>
  </si>
  <si>
    <t>1470513815292985357</t>
  </si>
  <si>
    <t>@drfahrettinkoca Sizin orda, hata yapma lüksünüz olamaz! Çocuk oyunu mu bu? Yapamıyorsanız gidin, başkası gelsin! Y… https://t.co/IjyXq5jVvs</t>
  </si>
  <si>
    <t>1470513283224457217</t>
  </si>
  <si>
    <t>@drfahrettinkoca Sn Bakan 3 Sinovac yaptırmış kişilere Biontec aşı imkanı vermiyor sistem, lütfen acilen buna bir ç… https://t.co/1kSkmzwMB0</t>
  </si>
  <si>
    <t>1470512898422231040</t>
  </si>
  <si>
    <t>@drfahrettinkoca Hatasız kul olmaz derler doğru ancak bu, siz ve sizin verdiğiniz hatalı kararların insan yaşamını… https://t.co/8mxKKgzJu9</t>
  </si>
  <si>
    <t>1470512822421536769</t>
  </si>
  <si>
    <t>@drfahrettinkoca Süpersiniz sayın bakan kesinlikle katılıyorum söylediklerinize inşaallah telafi edecek yolda bulun… https://t.co/NJjhGFkLr3</t>
  </si>
  <si>
    <t>1470512671988539395</t>
  </si>
  <si>
    <t>@drfahrettinkoca https://t.co/IoMdutKyXO</t>
  </si>
  <si>
    <t>1470512484045967372</t>
  </si>
  <si>
    <t>@drfahrettinkoca Hakkımı helal etmiyorum sana Fahrettin koca</t>
  </si>
  <si>
    <t>1470512134329090060</t>
  </si>
  <si>
    <t>@drfahrettinkoca Bile bile yaptiklariniz ne zamandan beri hata yanlis oluyor bile bile yaptiniz mahvettin beyy bu vebal yakanizi birakmasin</t>
  </si>
  <si>
    <t>1470512054553489416</t>
  </si>
  <si>
    <t>@drfahrettinkoca Ben hakkımı haram ediyorum. Mahkeme-i Kübra'da görüşmek üzere</t>
  </si>
  <si>
    <t>1470512027802165256</t>
  </si>
  <si>
    <t>@drfahrettinkoca Haksızlık ve adaletsizlik örneğini verdiniz SAĞLIK YÖNETİMİ ne kadro açmayarak, HAKKIM HARAM OLSUN</t>
  </si>
  <si>
    <t>1470511060981583880</t>
  </si>
  <si>
    <t>@drfahrettinkoca 🤣🤣🤣🤣🤣🤣🤣🤣😎😎</t>
  </si>
  <si>
    <t>1470510906387927048</t>
  </si>
  <si>
    <t>@drfahrettinkoca Milyonlarca insanin ahi var üzerinizde.. rabbim iyi sabirli 😞🤲🏻</t>
  </si>
  <si>
    <t>1470510613092868101</t>
  </si>
  <si>
    <t>@drfahrettinkoca https://t.co/VyQ0B1oouz</t>
  </si>
  <si>
    <t>1470510302202585091</t>
  </si>
  <si>
    <t>@drfahrettinkoca O kadar insanın bedduasını aldınız işiniz çok zor sayın bakan sizin adınıza gerçekten üzülüyorum Allah yardımcınız olsun</t>
  </si>
  <si>
    <t>1470510155951452160</t>
  </si>
  <si>
    <t>@drfahrettinkoca Haram olsun hakkımız. Aşı dayattınız. İnsanları korkuya esiri ettiniz. Bak Avusturya ya. Oynanan g… https://t.co/8WizxOOpQn</t>
  </si>
  <si>
    <t>1470510127266603018</t>
  </si>
  <si>
    <t>@drfahrettinkoca Göz göre göre zulüm ettin, halen ediyorsun, önce zulüm etmekten vazgeç sonra af dile.</t>
  </si>
  <si>
    <t>1470510108908175372</t>
  </si>
  <si>
    <t>@drfahrettinkoca https://t.co/h1j9sY0s2T</t>
  </si>
  <si>
    <t>1470509882126352390</t>
  </si>
  <si>
    <t>@drfahrettinkoca KIRK YALAN FARETTİN DSÖ ŞEYTANIN ELÇİSİ</t>
  </si>
  <si>
    <t>1470509662369992706</t>
  </si>
  <si>
    <t>@drfahrettinkoca Kasıt olup olmadığını bu millet çok iyi biliyor, bunu da sandıkta cevaplayacaklardır.</t>
  </si>
  <si>
    <t>1470509466172993546</t>
  </si>
  <si>
    <t>@drfahrettinkoca İdari Birimler liyakatsiz bir şekilde doldurulurken Sağlık idaresi mezunları bakanlık tarafından g… https://t.co/QVPgIwGbe9</t>
  </si>
  <si>
    <t>1470509318273445890</t>
  </si>
  <si>
    <t>@drfahrettinkoca Saymakla bitmez sizin bilimsel çıkışlarınız. Çay bardağında mikrop arayıp içeceğiniz bardağı aseto… https://t.co/Vyr0O89Fkv</t>
  </si>
  <si>
    <t>1470509070734053377</t>
  </si>
  <si>
    <t>@drfahrettinkoca KIRK YALAN FARETTİN NEYİN DOĞRU.. VİCDANMI SENDE OLMAYAN.. ÜLKEYİ DSÖ ŞEYTANIN KURALLARINI UYGULAYARAK ÜLKEYİ MAHVETTİN..</t>
  </si>
  <si>
    <t>1470508552343232527</t>
  </si>
  <si>
    <t>@drfahrettinkoca 666 fahrettin Sen soykırıma hata mı diyosun https://t.co/r3eAriO96p</t>
  </si>
  <si>
    <t>1470508307957825538</t>
  </si>
  <si>
    <t>@drfahrettinkoca @drfahrettinkoca istifa edin! Hakkımız helal değildir! Boşuna gidip başkalarından istemeyin çünkü… https://t.co/FxDcmaTzFB</t>
  </si>
  <si>
    <t>1470508083285794825</t>
  </si>
  <si>
    <t>@drfahrettinkoca Esas olan sağlıktır. Gerisi bahane.</t>
  </si>
  <si>
    <t>1470508020828356608</t>
  </si>
  <si>
    <t>@drfahrettinkoca https://t.co/xtNXYojf7w</t>
  </si>
  <si>
    <t>1470507491058458637</t>
  </si>
  <si>
    <t>@drfahrettinkoca Gün aşırı yeni yalanlar üretip, insanların anayasal ve yasal haklarını saçmalığını kendinizin de t… https://t.co/R0CxKC7sm4</t>
  </si>
  <si>
    <t>1470507414218756099</t>
  </si>
  <si>
    <t>@drfahrettinkoca Yaptıklarınızin hesabi sorulacak @drfahrettinkoca</t>
  </si>
  <si>
    <t>1470507294496628736</t>
  </si>
  <si>
    <t>@drfahrettinkoca https://t.co/lskbyssuyd</t>
  </si>
  <si>
    <t>1470507231313543170</t>
  </si>
  <si>
    <t>@drfahrettinkoca https://t.co/jYf1cxLGn0</t>
  </si>
  <si>
    <t>1470506973993000965</t>
  </si>
  <si>
    <t>@drfahrettinkoca Yaptığınız hiç bir şeyde en küçük hata yok hepsini kasıtlı bilerek hile ve tuzakla yaptınız gün ge… https://t.co/iNJFnq1XyV</t>
  </si>
  <si>
    <t>1470506874399248390</t>
  </si>
  <si>
    <t>@drfahrettinkoca Az kaldı, sen de gün sayıyorsun. Kurbanı aldık.  Yüreğiniz varsa, bu yorumlarımızı okuyan yaramaz,… https://t.co/gP8Oa64iwE</t>
  </si>
  <si>
    <t>1470506799111581701</t>
  </si>
  <si>
    <t>@drfahrettinkoca 3 ay süresi dolanlara 3. doz aşılarına onay verilmeli. 2 doz snovac+ 1 doz biontect olanlara vede… https://t.co/8Ww7vOwsSV</t>
  </si>
  <si>
    <t>1470506777246638084</t>
  </si>
  <si>
    <t>@drfahrettinkoca Yok öyle vicdana oynayıp kaytarmak. Herkes hesabını verecek zamanı geldiğinde.</t>
  </si>
  <si>
    <t>1470506610938286080</t>
  </si>
  <si>
    <t>@drfahrettinkoca Derhal istifa et @RTErdogan</t>
  </si>
  <si>
    <t>1470506506508505094</t>
  </si>
  <si>
    <t>@drfahrettinkoca 20 aydır olanlara hata demek yanlış ! Küresel medya ve medikâl tröstlerce tezgahlanan 'pandemi aba… https://t.co/eHNbsAEbKQ</t>
  </si>
  <si>
    <t>1470506437419884557</t>
  </si>
  <si>
    <t>@drfahrettinkoca HATALI TANI, YANLIŞ TEDAVİLERLE VE AŞILARLA İNSANLARI CANINDAN, İŞİNDEN, EKMEĞİNDEN ETTİNİZ ! ŞİMD… https://t.co/pe1Cf9gQ7n</t>
  </si>
  <si>
    <t>1470506203373580302</t>
  </si>
  <si>
    <t>@drfahrettinkoca Sistem olan yerde, isin ehli kisiler doğru liderle birlikte çalışırlarsa hata olmaz. Hata varsa ya… https://t.co/9ZjzJNEbiG</t>
  </si>
  <si>
    <t>1470506059991236617</t>
  </si>
  <si>
    <t>@drfahrettinkoca Yalan söylüyorsunuz. Samimi olsanız Sabim 184 ü şikayetlere açarsınız. Yalandan kim ölmüş Bakan.… https://t.co/GklXnziu1I</t>
  </si>
  <si>
    <t>1470505867653140488</t>
  </si>
  <si>
    <t>@drfahrettinkoca Bu aşı ve pcr dayatması ile çok zulüm ettiniz</t>
  </si>
  <si>
    <t>1470505839450542085</t>
  </si>
  <si>
    <t>@drfahrettinkoca Cek git yeterrrr</t>
  </si>
  <si>
    <t>1470505023545262084</t>
  </si>
  <si>
    <t>@drfahrettinkoca Bilimin degil Bill'in gosterdigi yolda yuruyerek  bir ulkede Eğitimi, Sağlığı, Ekonomiyi   berbart… https://t.co/kX3GvagbeT</t>
  </si>
  <si>
    <t>1470504938014973952</t>
  </si>
  <si>
    <t>@drfahrettinkoca Hata değil bile isteye kasten yaptınız RABBİM ahirete koymasın hesabını onca insanın ahını aldınız</t>
  </si>
  <si>
    <t>1470504923943079937</t>
  </si>
  <si>
    <t>@drfahrettinkoca Günah  mı çıkariyo bu.  müslümanlıkta varmıydı. Ben tövbe biliyordum. Ama ölenler ve yakınları sak… https://t.co/xcIYrH6KQD</t>
  </si>
  <si>
    <t>1470504848894443520</t>
  </si>
  <si>
    <t>@drfahrettinkoca El kadar bebeklerin ailelerine bildirmeden izin almadan gizlice aşı programına katılması, insanlar… https://t.co/tqfRaaY8Tm</t>
  </si>
  <si>
    <t>1470504579993423873</t>
  </si>
  <si>
    <t>@drfahrettinkoca Af dilemeyin artık komik bile değil gülmeyi unuttuk yeter  kabul etmiyorum ben affinizi güle güle insallah</t>
  </si>
  <si>
    <t>1470504545906302978</t>
  </si>
  <si>
    <t>@drfahrettinkoca Ne milleti ,erdoğana karşı boynun ince</t>
  </si>
  <si>
    <t>1470504530722836489</t>
  </si>
  <si>
    <t>@drfahrettinkoca ŞAKA GİBİ ONCA İNSANI KATLET SONRA GEL ÖZÜR DİLE SİNEK Mİ BE BU KADAR ÖLEN MİLLET</t>
  </si>
  <si>
    <t>1470504330449018884</t>
  </si>
  <si>
    <t>@drfahrettinkoca Sana güvenen garibanların toprağa düşürdüğün boyunları neyden inceydi?   Sana ve ekibin olacak aşı… https://t.co/lNndfJaoj9</t>
  </si>
  <si>
    <t>1470504124726886402</t>
  </si>
  <si>
    <t>@drfahrettinkoca Haram zehir zıkkım olsun. Çoçuğunuzdan çoluğunuzdan çıksın   @drfahrettinkoca  @saglikbakanligi  Bilim kurulu</t>
  </si>
  <si>
    <t>1470503657913339905</t>
  </si>
  <si>
    <t>@drfahrettinkoca Hataları itiraf etmenin kibarcası niyetimiz kötü değil.</t>
  </si>
  <si>
    <t>1470503517412638723</t>
  </si>
  <si>
    <t>@drfahrettinkoca Sana ve iktidardaki her şahısa hatta sizi  oy verip başimiza musallat  edenlere de hakkım haram olsun</t>
  </si>
  <si>
    <t>1470503419454574608</t>
  </si>
  <si>
    <t>@drfahrettinkoca Valla  Allaha hesap vereceksin. Bilimde bilim dediniz Allahu tealanın kuranda yazan şifalarından u… https://t.co/53Vk3n0FrZ</t>
  </si>
  <si>
    <t>1470503183629889556</t>
  </si>
  <si>
    <t>@drfahrettinkoca Eksikleriniz oldu ama ders almadık sayın bakanım @drfahrettinkoca hala tedbirlerimiz eksik aşı aşı… https://t.co/ctYBfHkxji</t>
  </si>
  <si>
    <t>1470502970928283654</t>
  </si>
  <si>
    <t>@drfahrettinkoca Hakkımız helal değil Allah sorsun hesabını bu dünyada tez vakitte</t>
  </si>
  <si>
    <t>1470502157912887297</t>
  </si>
  <si>
    <t>@drfahrettinkoca BİZ SENDEN RAZIYIZ ALLAH DA SENDEN RAZI OLSUN BAKANIM</t>
  </si>
  <si>
    <t>1470501951490170882</t>
  </si>
  <si>
    <t>@drfahrettinkoca Bu çok alınmış baksanıza ağladı ağlayacak</t>
  </si>
  <si>
    <t>1470501532202373141</t>
  </si>
  <si>
    <t>@drfahrettinkoca Sayın bakanım sizin hata yapma lüksünüz olamaz siz normal bir insan değilsiniz 84 milyonun vekilis… https://t.co/CmYlkYragy</t>
  </si>
  <si>
    <t>1470501452149841927</t>
  </si>
  <si>
    <t>@drfahrettinkoca Ahiret gününe inanmasan da orada insanların hakkı senden sorulacaktır https://t.co/LBZOTpsJkS</t>
  </si>
  <si>
    <t>1470501213405958156</t>
  </si>
  <si>
    <t>@drfahrettinkoca Hayat insan hayatı bahsettiğiniz galiba inşaatta şantiye şefi değilsiniz hatırlatırım</t>
  </si>
  <si>
    <t>1470501129742082058</t>
  </si>
  <si>
    <t>@drfahrettinkoca Eğer söz milletin ise ve bende bu milletin bir ferdiysem yarın derhal istifa etmenizi istiyorum. S… https://t.co/xluayalAEp</t>
  </si>
  <si>
    <t>1470501040260890631</t>
  </si>
  <si>
    <t>@drfahrettinkoca İyi oku #fahrettinkoca  yargılanacaksın. https://t.co/qhNQKKPJJW</t>
  </si>
  <si>
    <t>1470500842872709134</t>
  </si>
  <si>
    <t>@drfahrettinkoca https://t.co/Kxi3jhD8KW</t>
  </si>
  <si>
    <t>1470500272564838400</t>
  </si>
  <si>
    <t>@drfahrettinkoca Dalga mı geçiyorsun hoca</t>
  </si>
  <si>
    <t>1470499850009600014</t>
  </si>
  <si>
    <t>@drfahrettinkoca https://t.co/LAzz1YMiIJ</t>
  </si>
  <si>
    <t>1470499765515390991</t>
  </si>
  <si>
    <t>@drfahrettinkoca Sayın bakan senin hataların can alıyor malisef 8+8 bilmem anlatabildimmi ..</t>
  </si>
  <si>
    <t>1470499644522254343</t>
  </si>
  <si>
    <t>@drfahrettinkoca https://t.co/AGcmxVKzHq</t>
  </si>
  <si>
    <t>1470499594723381252</t>
  </si>
  <si>
    <t>@drfahrettinkoca Senin Ekibin toplu yemek organizasyonlarında kolkola maskesiz fotoğraf çektirirken bilimin ışığınd… https://t.co/z6yeNUUgEh</t>
  </si>
  <si>
    <t>1470499444550520834</t>
  </si>
  <si>
    <t>@drfahrettinkoca Canın hatası noksanı olmaz sma lı çocuklar için ne yaptınız? Hepsinin vebali üzerinizde.</t>
  </si>
  <si>
    <t>1470499363852070918</t>
  </si>
  <si>
    <t>@drfahrettinkoca El kadar çocuklarım ilkokul sıralarında senin ve ekibinin baskıları yüzünden günde 6 , 7 saat mask… https://t.co/ihjRVjXWw8</t>
  </si>
  <si>
    <t>1470499298324402177</t>
  </si>
  <si>
    <t>@drfahrettinkoca Yavaş yavaş af dilemeler , yaptığı işleri halkın takdirine falan sunmalar Ne oldu hayırdır salgın bitti mi?</t>
  </si>
  <si>
    <t>1470499032418160649</t>
  </si>
  <si>
    <t>@drfahrettinkoca Sen ve senin gibilere hak helal etmek mümkün değil, çünkü mesele kişisel değil.</t>
  </si>
  <si>
    <t>1470498113693663247</t>
  </si>
  <si>
    <t>@drfahrettinkoca Hakkimiz helal değil..herkes ne zulümler yasadi ve hala yaşiyor hes miş pcr miş maskeymiş aşiymiş… https://t.co/5bKEFfGJ0E</t>
  </si>
  <si>
    <t>1470498062753804297</t>
  </si>
  <si>
    <t>@drfahrettinkoca https://t.co/D4zJp4XWA0</t>
  </si>
  <si>
    <t>1470497480664141842</t>
  </si>
  <si>
    <t>@drfahrettinkoca Allah cc soyunu kurutsun İnşaEllah munafik yezid</t>
  </si>
  <si>
    <t>1470497253500628995</t>
  </si>
  <si>
    <t>@drfahrettinkoca Sağlık yönetimi bölümüne neden atama verilmiyor bir kasıt mı var sayın bakan?</t>
  </si>
  <si>
    <t>1470497068322070528</t>
  </si>
  <si>
    <t>@drfahrettinkoca Sağlık yönetimi görmezden gelemeseniz sayın bakan</t>
  </si>
  <si>
    <t>1470497011262705664</t>
  </si>
  <si>
    <t>@drfahrettinkoca Hakkımız haram olsun ateşiniz bol Olsun</t>
  </si>
  <si>
    <t>1470496899614523399</t>
  </si>
  <si>
    <t>@drfahrettinkoca Senin ve bilim kurulunun bu ülkeyi verdiği zararı hiç bir düşman veremezdi.</t>
  </si>
  <si>
    <t>1470496861274390533</t>
  </si>
  <si>
    <t>@drfahrettinkoca Affetmiyoruz !</t>
  </si>
  <si>
    <t>1470496571494121474</t>
  </si>
  <si>
    <t>@drfahrettinkoca O hata noksan dediğiniz ne canlara maal oldu peki..kaç ev yikildi sizin o yanliş ilaçlarinizdan..A… https://t.co/9TYVMD6CwZ</t>
  </si>
  <si>
    <t>1470496415428366351</t>
  </si>
  <si>
    <t>@drfahrettinkoca Sayfadaki yorumlardan sanırım Milletin senin hakkında ne düşündüğünü öğrendin #fahrettinkoca  düny… https://t.co/yQBNf6rMAO</t>
  </si>
  <si>
    <t>1470496408327397376</t>
  </si>
  <si>
    <t>@drfahrettinkoca Sıkıldım seni görmekten , banned</t>
  </si>
  <si>
    <t>1470496304971362312</t>
  </si>
  <si>
    <t>@drfahrettinkoca Bir tane olumlu yorum yok. Affını iste artık, düş yakamızdan.</t>
  </si>
  <si>
    <t>1470495851428683779</t>
  </si>
  <si>
    <t>@drfahrettinkoca Biz artık sizin iyi niyetli olduğunuzdan şüphe ediyoruz  Hastalığı geçirenlere  -aşı yok dediniz… https://t.co/Thrw6FDmuT</t>
  </si>
  <si>
    <t>1470495824325009412</t>
  </si>
  <si>
    <t>@drfahrettinkoca Pcr saçmalığına ne zaman son verilecek</t>
  </si>
  <si>
    <t>1470495820554326018</t>
  </si>
  <si>
    <t>@drfahrettinkoca Lan kapnma gelsin kapanmaaaaa öleceğiz anlasana malmisin ne adam</t>
  </si>
  <si>
    <t>1470495740715843596</t>
  </si>
  <si>
    <t>@drfahrettinkoca Sesimizi duyun zorunluluktan dolayı online eğitim istiyoruz keyfimizden değil  @RTErdogan @tcmeb… https://t.co/yn2wt3Qo5U</t>
  </si>
  <si>
    <t>1470495619995287556</t>
  </si>
  <si>
    <t>@drfahrettinkoca Hata etmiş ,kusur etmiş senin hata kusur dediklerin sebebiyle bu ülkede 70 bin insan öldü bu kadar… https://t.co/LGZ7iA5Cgc</t>
  </si>
  <si>
    <t>1470495309256081409</t>
  </si>
  <si>
    <t>@drfahrettinkoca Hataymış bu ülkenin insanını DSÖ ne ve aşı firmalarına teslim ettin kobay yaptırdın üzerinde aşı v… https://t.co/Ygzwkembir</t>
  </si>
  <si>
    <t>1470494462598070278</t>
  </si>
  <si>
    <t>@drfahrettinkoca İyi salliyon aa şeyi ulan iddia oynuyorum 16 yaşındayım söylüyorum inanmıyorlar çıkıyor sonra sen… https://t.co/ijfJdM3yku</t>
  </si>
  <si>
    <t>1470494381924917251</t>
  </si>
  <si>
    <t>@drfahrettinkoca Bunlar soykırım yapınca suç olmuyo ama biz yazınca suçlu oluyoruz Twitter bile anında hesabı kapat… https://t.co/B8C2nm6FWf</t>
  </si>
  <si>
    <t>1470494205424381954</t>
  </si>
  <si>
    <t>@drfahrettinkoca Kaldırın artık zorunlu PCR testlerini hem milletinizden özür diliyorsunuz hem de baskı devam ediyor sayın bakan</t>
  </si>
  <si>
    <t>1470493646759907335</t>
  </si>
  <si>
    <t>@drfahrettinkoca Kendi adıma hakkımı haram ediyorum...ve mahşeri bekliyorum</t>
  </si>
  <si>
    <t>1470493585816621058</t>
  </si>
  <si>
    <t>@drfahrettinkoca Siz kasti bir şekilde sağlık bahanesi ile ülkeyi krizi soktunuz. Bu başarı sizin övünün</t>
  </si>
  <si>
    <t>1470493417188868108</t>
  </si>
  <si>
    <t>@drfahrettinkoca Önce hatanızdan dönseniz de sonra helallik isteseniz. Okullar hala yüzyüze. Gerekçeniz düşen vaka… https://t.co/QyHjKI1r0d</t>
  </si>
  <si>
    <t>1470493346581950468</t>
  </si>
  <si>
    <t>@drfahrettinkoca Sayın bakanım Tamam kasıt yok diyelim de.. Binlerce farklı görüşe, yoruma, tweete gözlerinizi, kul… https://t.co/xRTPbDik8y</t>
  </si>
  <si>
    <t>1470492085002326016</t>
  </si>
  <si>
    <t>@drfahrettinkoca Emir kipiyle biten cümlelerden kısa süre sonra bu aşamaya gelinmiş. Ne yalan söyleyeyim ilerlerme muazzam.</t>
  </si>
  <si>
    <t>1470491953955545100</t>
  </si>
  <si>
    <t>@drfahrettinkoca Eksiklerinizi,kusurlarınızı biz yazdık buraya ama muhatap bulamadık.Aşı ve Pcr dayatması ile özgür… https://t.co/phdOUhty8N</t>
  </si>
  <si>
    <t>1470491734429872132</t>
  </si>
  <si>
    <t>@drfahrettinkoca Hata mı  seni defalarca uyardık aşilar, ilaçlar öldürüyor,yeni varyantlara sebep oluyor aşıdan öle… https://t.co/nCVBcj5do2</t>
  </si>
  <si>
    <t>1470491206077587464</t>
  </si>
  <si>
    <t>@drfahrettinkoca Hata veya kusur yapmaya hakkınız yok; ölen insanlara saygınız yok mudur?</t>
  </si>
  <si>
    <t>1470490562629353476</t>
  </si>
  <si>
    <t>@drfahrettinkoca İnsan hayatının üzerine kumar oynanmaz.</t>
  </si>
  <si>
    <t>1470489968812470273</t>
  </si>
  <si>
    <t>@drfahrettinkoca Hemşire, eczacı, diyetisyen düz belediye memurundan düşük maaş alıyor buna cevap ver önce @haluklevent</t>
  </si>
  <si>
    <t>1470489739325280267</t>
  </si>
  <si>
    <t>@drfahrettinkoca Yanlış tedavi den kaç bin kişi öldü açıkla bilelim o zaman bu gerçeği bu konuşmalarla aklayamazsin sn bakan</t>
  </si>
  <si>
    <t>1470489607083016195</t>
  </si>
  <si>
    <t>@drfahrettinkoca Hakkımızı verirseniz çok seviniriz bakanım ... Söz verip tutmamak hata değildir... Bunu da böyle hatırlayın</t>
  </si>
  <si>
    <t>1470489565366566919</t>
  </si>
  <si>
    <t>@drfahrettinkoca Çocuklar geçen sene nefes alarak hijyenik ortamda onlıne eğitim yaptılar çok da güzel ilerlediler… https://t.co/qMWWBWshS3</t>
  </si>
  <si>
    <t>1470489484244439042</t>
  </si>
  <si>
    <t>@drfahrettinkoca https://t.co/Se7IVV5RBv</t>
  </si>
  <si>
    <t>1470489120703139841</t>
  </si>
  <si>
    <t>@drfahrettinkoca Vicdanen rahatmısınız rahat uyuyormusunuz? Çocuklar gençler eğitimciler Corona oluyor tek tek hast… https://t.co/oTlDPglU5r</t>
  </si>
  <si>
    <t>1470488808558841856</t>
  </si>
  <si>
    <t>@drfahrettinkoca https://t.co/G4HSj6tbCp</t>
  </si>
  <si>
    <t>1470488363719348247</t>
  </si>
  <si>
    <t>@drfahrettinkoca Sana hakkimi helal etmiyorum.Zikkim olsun.Öbür dunyada iki yakam elinde.Neler çektigimi bir ben bi… https://t.co/KV1gWJHv5n</t>
  </si>
  <si>
    <t>1470488342517227527</t>
  </si>
  <si>
    <t>@drfahrettinkoca https://t.co/Ch9bgWXxeP</t>
  </si>
  <si>
    <t>1470488241870708736</t>
  </si>
  <si>
    <t>@drfahrettinkoca Hakkımı helal etmiyorum size ve tüm siyasilere</t>
  </si>
  <si>
    <t>1470488117178212355</t>
  </si>
  <si>
    <t>@drfahrettinkoca Bir saglik bakani,birde milli egitim bakani ikisini de hiç sevemedim..Ikisi de itici geliyor bana..</t>
  </si>
  <si>
    <t>1470487903751053315</t>
  </si>
  <si>
    <t>@drfahrettinkoca İnsanız herkesin hatası olur mühim olan telafi etmek değil mi bakanım . @drfahrettinkoca</t>
  </si>
  <si>
    <t>1470487900039036940</t>
  </si>
  <si>
    <t>@drfahrettinkoca Helal etmiyorum kesinlikle</t>
  </si>
  <si>
    <t>1470487814496206849</t>
  </si>
  <si>
    <t>@drfahrettinkoca İnanın bıktık yıldık tükendik. Ebeveynler olarak çocuklarımızın sağlığını canlarını koruyamıyoruz… https://t.co/TfGO3aajSp</t>
  </si>
  <si>
    <t>1470487745097306117</t>
  </si>
  <si>
    <t>@drfahrettinkoca Fahrettin bey akpnin övündüğü yere göğe sığdıramadığım sağlıkta son durum.1 aydır randevu alamıyor… https://t.co/U36kYNazC2</t>
  </si>
  <si>
    <t>1470487737375543299</t>
  </si>
  <si>
    <t>@drfahrettinkoca Bu videoda kim eksik? Asrın firavunlarından bill gates, aşı yatırımı için 1'e 20 kazanç oldu demiş  https://t.co/YJi1DSno5w</t>
  </si>
  <si>
    <t>1470487483427266565</t>
  </si>
  <si>
    <t>@drfahrettinkoca İki senenin en umut verici konuşması. Gitti gidiyor düşünmesi bile güzel.</t>
  </si>
  <si>
    <t>1470487401634189319</t>
  </si>
  <si>
    <t>@drfahrettinkoca Okuyorsundur umarım, ölen gelmiyor. Helallik falan yokk</t>
  </si>
  <si>
    <t>1470487301688070150</t>
  </si>
  <si>
    <t>@drfahrettinkoca Haklarımız haram olsun....🇹🇷🇹🇷🇹🇷</t>
  </si>
  <si>
    <t>1470487243303309323</t>
  </si>
  <si>
    <t>@drfahrettinkoca @saglikbakanligi Bakan iş yapılırken hata, kusur olabilir, esas olan kasıtlı olmaması diyor. Devle… https://t.co/eh6vGVglDg</t>
  </si>
  <si>
    <t>1470486995482861577</t>
  </si>
  <si>
    <t>@drfahrettinkoca Bu Devleti Âli bellediniz, bu milleti Aziz eylediniz. Allah Azze ve celle iki cihanınızı Âli eylesin...</t>
  </si>
  <si>
    <t>1470486817644367887</t>
  </si>
  <si>
    <t>@drfahrettinkoca Hata yok, yanlışlık yok kasıt var. Aylardır favipiravir var, uyardık, entübe gereksiz dedik, vitam… https://t.co/4x4v37Bm9n</t>
  </si>
  <si>
    <t>1470486703278276615</t>
  </si>
  <si>
    <t>@drfahrettinkoca Allah belanı versin. Yaptıklarını çekmeden ölmezsin insallah.</t>
  </si>
  <si>
    <t>1470486463695536130</t>
  </si>
  <si>
    <t>@drfahrettinkoca Allah iki yakanı bir araya getirmesin. Ettiğini bulasın. Hakkım haram zıkkım olsun. Yalan bir salg… https://t.co/ysmqkRNXbS</t>
  </si>
  <si>
    <t>1470486353913778190</t>
  </si>
  <si>
    <t>@drfahrettinkoca #fahrettinkocaTUTUKLANSIN  #fahrettinkocaTUTUKLANSIN  #fahrettinkocaTUTUKLANSIN  #Nürnberg2  #Nurembergkodex</t>
  </si>
  <si>
    <t>1470486339967758347</t>
  </si>
  <si>
    <t>@drfahrettinkoca Günah çıkarma seansı bu, papazda gelsin mi</t>
  </si>
  <si>
    <t>1470486077643399175</t>
  </si>
  <si>
    <t>@drfahrettinkoca Hakkımız haram olsun iyi kazandın özel hastanelerinle. Aşı kobaylığı kaçıncı dozda bitecek.</t>
  </si>
  <si>
    <t>1470485936798584832</t>
  </si>
  <si>
    <t>@drfahrettinkoca Dsöyü ve tedavi dedikleri pisliği millete dayattın, test olmadan işe almadıklarınız kovuldu, ekmeğ… https://t.co/kQYV0BEkor</t>
  </si>
  <si>
    <t>1470485713158291466</t>
  </si>
  <si>
    <t>@drfahrettinkoca Sen de yargılanacaksın! Bu millete hesap vereceksiniz tek tek!</t>
  </si>
  <si>
    <t>1470485615120629769</t>
  </si>
  <si>
    <t>@drfahrettinkoca Sana hakkımız haram!Sen çok büyük bir vebale girdin.Hata değil kasıt var, hata değil ortada binler… https://t.co/8UixnBsLoR</t>
  </si>
  <si>
    <t>1470485116862537735</t>
  </si>
  <si>
    <t>@drfahrettinkoca Hocam sağlıkçılar eylem yapıyor. Onlarada iki kelamınız yokmu. Ne olacak bu işin sonu</t>
  </si>
  <si>
    <t>1470484416866701324</t>
  </si>
  <si>
    <t>@drfahrettinkoca İstifa ettt…BİZİM ÇOCUKLARIMIZ OYUNCAĞINIZ DEĞİL …#okullarıonlineyapın</t>
  </si>
  <si>
    <t>1470484218513965060</t>
  </si>
  <si>
    <t>@drfahrettinkoca Herseyi geçtim Çocukların gizlice aşı olmasına bile soruşturmayı bırak 1 kelam etmediniz belki bu… https://t.co/KAs5zzCnw8</t>
  </si>
  <si>
    <t>1470484180480016389</t>
  </si>
  <si>
    <t>@drfahrettinkoca Günah çıkarmak istiyorsan kiliseye git  Faho  Sana hakkımı helal etmiyorum</t>
  </si>
  <si>
    <t>1470484137651974155</t>
  </si>
  <si>
    <t>@drfahrettinkoca Şahsım adına hakkımı helal etmiyorum.</t>
  </si>
  <si>
    <t>1470483905732091911</t>
  </si>
  <si>
    <t>@drfahrettinkoca Hiiiç götünü başını sallama faho  Bu aziz türk milletini küçümsedin işbirlikçilerinle birlikte ekm… https://t.co/AsGEQ2fSoD</t>
  </si>
  <si>
    <t>1470483734168223746</t>
  </si>
  <si>
    <t>@drfahrettinkoca Bilim kurulunun herşeyi yanlış çıktı Helalleşme havasına girdiniz.Fakat inatla yanlışlarınızda dev… https://t.co/9g3viiycIt</t>
  </si>
  <si>
    <t>1470483519591833604</t>
  </si>
  <si>
    <t>@drfahrettinkoca https://t.co/Axwpvs5xUt</t>
  </si>
  <si>
    <t>1470483366483046415</t>
  </si>
  <si>
    <t>@drfahrettinkoca Sizin dayatmalarınız yüzünden 6 eylülde işimden oldum unuturmuyum hiç ekonomimi alt üst ettin ödem… https://t.co/q5zzICXzp4</t>
  </si>
  <si>
    <t>1470483224459677721</t>
  </si>
  <si>
    <t>@drfahrettinkoca Babam 85 yasinda covid hastasi 3 gundur ilac bekliyoruz oluncemi yollayacaklar ilaci acaba?!</t>
  </si>
  <si>
    <t>1470483216746303494</t>
  </si>
  <si>
    <t>@drfahrettinkoca Biz hakkımızı helal etmiyoruz.Bilin istedim</t>
  </si>
  <si>
    <t>1470483071141040142</t>
  </si>
  <si>
    <t>@drfahrettinkoca Ne zaman artın olduki ?</t>
  </si>
  <si>
    <t>1470483019525931019</t>
  </si>
  <si>
    <t>@drfahrettinkoca Asla helal etmiyorum küçücük çocuklar ımıza maske taktırıyorsunuz ve yanlış tedavi ölen insanlarım… https://t.co/UAcIfBSkk5</t>
  </si>
  <si>
    <t>1470482920607559685</t>
  </si>
  <si>
    <t>@drfahrettinkoca SAyın Fahrettin Koca, 2 yıldır yatağa bağlı yaşayan son bir yılda iki kere entübe olan ve oksijen… https://t.co/kyQsxhJBgk</t>
  </si>
  <si>
    <t>1470482389163991051</t>
  </si>
  <si>
    <t>@drfahrettinkoca Oooo böyle üstü kapalı helalliklerle olur mu zannediyorsunuz?  'KUL HAKKI İLE GELME' dedi☝🏻</t>
  </si>
  <si>
    <t>1470481704477466628</t>
  </si>
  <si>
    <t>@drfahrettinkoca Herkes hata yapar ama sen yanlış yaptın bakan</t>
  </si>
  <si>
    <t>1470481295792877568</t>
  </si>
  <si>
    <t>@drfahrettinkoca Hata nasıl oluyor arkadaş tek başınamı karar veriyorsun 😂 bi bitmediniz anggna</t>
  </si>
  <si>
    <t>1470481188078899200</t>
  </si>
  <si>
    <t>@drfahrettinkoca Bizde doktorlar olarak hakim karşısına çıktığımızda bunu söylediğimizde bizimde bir hatamız olursa… https://t.co/pX4l7UaG1y</t>
  </si>
  <si>
    <t>1470480984567132167</t>
  </si>
  <si>
    <t>@drfahrettinkoca Hata 1 kere olur Hatalar zinciri oldu çekilebilirsiniz…</t>
  </si>
  <si>
    <t>1470480947304931328</t>
  </si>
  <si>
    <t>@drfahrettinkoca Sayın Bakanım sağlık bakanlığında hastanelerinizde taşeron bırakılan sadece HBYS Bilgi işlem çalış… https://t.co/pgdBwxLNTk</t>
  </si>
  <si>
    <t>1470480873728401414</t>
  </si>
  <si>
    <t>@drfahrettinkoca HATA VE NOKSAN ATAMASİ YAPİLMAYAN BOLUMLERE ONCELİK VERMEMENİZ .ADİL DAGİLİM YAPMAMANİZ...DİYETİSY… https://t.co/fMdvR3EHET</t>
  </si>
  <si>
    <t>1470480853247610884</t>
  </si>
  <si>
    <t>@drfahrettinkoca Ben hakkımı helal etmiyorum. Hem sandıkta hem diğer dünyada hesabını isteyeceğim. Her pcr için ayr… https://t.co/VuhQThAs5l</t>
  </si>
  <si>
    <t>1470480715355725825</t>
  </si>
  <si>
    <t>@drfahrettinkoca Sayın Bakanım HBYS - Hastane Bilgi İşlem Personelleri nin kadro sözünü siz yerine getirip eksikliğ… https://t.co/z0NCAmbaWY</t>
  </si>
  <si>
    <t>1470480624028901384</t>
  </si>
  <si>
    <t>@drfahrettinkoca Taksirle adam öldürmek suçdur.</t>
  </si>
  <si>
    <t>1470480503232876545</t>
  </si>
  <si>
    <t>@drfahrettinkoca Bak FDAin, Pfizer mRNA aşısının kullanıldığı ilk ayda;  160.000 yan etki, 1223 ölüm. 270 çocuk düş… https://t.co/GHFTEWtaj5</t>
  </si>
  <si>
    <t>1470480428880601091</t>
  </si>
  <si>
    <t>@drfahrettinkoca Kusurun çok sayın bakan</t>
  </si>
  <si>
    <t>1470479994371682314</t>
  </si>
  <si>
    <t>@drfahrettinkoca Sayın bakanım. Size çok önemli bir doğru yapma teklifinde bulunacağım. Şu an sadece istanbulda bul… https://t.co/DP6VIIWuy1</t>
  </si>
  <si>
    <t>1470479928185528330</t>
  </si>
  <si>
    <t>@drfahrettinkoca Yazar burada ne demek istemiş. Mesela nerede hata yapmış olabilir???</t>
  </si>
  <si>
    <t>1470479842474926086</t>
  </si>
  <si>
    <t>@drfahrettinkoca HBYS Bilgi işlem personellerinize kadro verilmedi. Sayın Bakanım özellikli birimimiz olan kalifiye… https://t.co/ETF4ngWkrX</t>
  </si>
  <si>
    <t>1470479762351136773</t>
  </si>
  <si>
    <t>@drfahrettinkoca Dünyaya  gelme amacımız  belli Herkes kendi tekamülünden sorumlu umarım  vicdaniniz rahattır.</t>
  </si>
  <si>
    <t>1470479710169743370</t>
  </si>
  <si>
    <t>@drfahrettinkoca Hocam hakkını helel et pandemide cok iyi calıştın millet şimdi göt atıyorsa rahatlıktan</t>
  </si>
  <si>
    <t>1470479681904427020</t>
  </si>
  <si>
    <t>@drfahrettinkoca Bu milletin üstünde koca bir yüksünüz.</t>
  </si>
  <si>
    <t>1470478986337734664</t>
  </si>
  <si>
    <t>@drfahrettinkoca 2 yılda 300-400 diyetisyen anca atanabilirken bu 2 yılda binlerce mezun veriliyor binlerce kişi iş… https://t.co/ylUB3Sd8MB</t>
  </si>
  <si>
    <t>1470478915860897803</t>
  </si>
  <si>
    <t>@drfahrettinkoca Biri kandırılır diğeri kasıtsız kasıtsız favripaviri dayar millete...</t>
  </si>
  <si>
    <t>1470478750949294085</t>
  </si>
  <si>
    <t>@drfahrettinkoca Evet sizin bir sürü eksikliğiniz oldu ve bir tanesini bile çözmeye ugrasmadiniz</t>
  </si>
  <si>
    <t>1470478707630485511</t>
  </si>
  <si>
    <t>@drfahrettinkoca Çocuklarımızı https://t.co/WTYa2mCwFI eğitim hakkımızı istıyoruz.</t>
  </si>
  <si>
    <t>1470478591288913930</t>
  </si>
  <si>
    <t>@drfahrettinkoca Sayın bakanım hatasız kul yoktur, neticede hepimiz insanız ancak 2018 yılında bakanlık devir tesli… https://t.co/93mTLcbdtY</t>
  </si>
  <si>
    <t>1470478443208921091</t>
  </si>
  <si>
    <t>@drfahrettinkoca Yargıdan kaçış yok.</t>
  </si>
  <si>
    <t>1470478265294987278</t>
  </si>
  <si>
    <t>@drfahrettinkoca Ama virüs için yaptığınız ve zararlı olan her şeyden bu kadar basit sıyrılmayacaksınız. Halkın önü… https://t.co/CXwTLnHJZV</t>
  </si>
  <si>
    <t>1470478084835057669</t>
  </si>
  <si>
    <t>@drfahrettinkoca KAZLAR HAKKINDA BİLGİ │ KAZLARIMIZA YEM HAZIRLADIK !!! │ VE YENİ GO PRO İLE İLK ÇEKİM DENEYİMİMİZ. https://t.co/dBK4nu3T8v</t>
  </si>
  <si>
    <t>1470477964903071745</t>
  </si>
  <si>
    <t>@drfahrettinkoca Sayın bakan Sonuç olarak hekimler hakettikleri, alamadıkları, ihmal edilen haklarını alabilecek mi… https://t.co/nFSlPcuWOt</t>
  </si>
  <si>
    <t>1470477735575314435</t>
  </si>
  <si>
    <t>@drfahrettinkoca Bile bile yapılan şeylere yanlış denir mi? Neyse gün gelir devran döner arkanızdaki güce ne oldu?… https://t.co/z9MnmTLpBq</t>
  </si>
  <si>
    <t>1470477354191532047</t>
  </si>
  <si>
    <t>@drfahrettinkoca Sayın bakanım Allah'ina kurban senin. @drfahrettinkoca</t>
  </si>
  <si>
    <t>1470477310969143300</t>
  </si>
  <si>
    <t>@drfahrettinkoca Hata olur affedilir ama hatada ısrar edip onun hata olduğunu bile bile mevkisini kullanıp herkesi… https://t.co/lJ2sC2TOUh</t>
  </si>
  <si>
    <t>1470477310088335362</t>
  </si>
  <si>
    <t>@drfahrettinkoca Yalanlarla geçen koca 2 yıl ve sonuç; 1: ekonomik buhran 2: psikolojik çöküntü  3: toplumsal öfke… https://t.co/iFjjVsUfqJ</t>
  </si>
  <si>
    <t>1470477285606273036</t>
  </si>
  <si>
    <t>@drfahrettinkoca Tebrik ederim güzel konuşma. 👏👏👏</t>
  </si>
  <si>
    <t>1470477277829943296</t>
  </si>
  <si>
    <t>@drfahrettinkoca https://t.co/BQr8L019WA</t>
  </si>
  <si>
    <t>1470477272540983296</t>
  </si>
  <si>
    <t>@drfahrettinkoca Yüksek puanlarla diyetisyenleri ve daha pek çok meslek grubuna haksızlık ettiğinizi düşünmüyor mus… https://t.co/TsJDBvnBGV</t>
  </si>
  <si>
    <t>1470477185534377989</t>
  </si>
  <si>
    <t>@drfahrettinkoca Sayın Bakanım Hastane Bilgi işlemcileri hala kadro bekliyor.</t>
  </si>
  <si>
    <t>1470477164780863489</t>
  </si>
  <si>
    <t>@drfahrettinkoca Sen boş konuşuyorsun  Sen yaptıklarınla  Milleti dinledigine inanmiyorum   Sana defalarca yazdim b… https://t.co/4A2Q0AffRX</t>
  </si>
  <si>
    <t>1470477125610311697</t>
  </si>
  <si>
    <t>@drfahrettinkoca Git artık.</t>
  </si>
  <si>
    <t>1470477033310507011</t>
  </si>
  <si>
    <t>@drfahrettinkoca Bu twit te yazdıklarınızdan şunu mu anlamalıyız defalarca okudum, sanki yapılanların hepsini gönül… https://t.co/hvqBVUT4Nl</t>
  </si>
  <si>
    <t>1470476884454559754</t>
  </si>
  <si>
    <t>@drfahrettinkoca Millet uyanmaya başlıyor sayın bakan , bakalım neler olucak :)</t>
  </si>
  <si>
    <t>1470476606082793486</t>
  </si>
  <si>
    <t>@drfahrettinkoca Hatalar can alıyorsa affetmek kolay olmuyor ki</t>
  </si>
  <si>
    <t>1470476454899372033</t>
  </si>
  <si>
    <t>@drfahrettinkoca En baştan beri söylediklerinizi sırayla yeniden kontrol etmenizi öneririz, hep bir öncekini yalanl… https://t.co/an7bBRkfNP</t>
  </si>
  <si>
    <t>1470476411530092558</t>
  </si>
  <si>
    <t>@drfahrettinkoca #hbys ihalesiyle çalışan 696khkda dışlanan bilgiişlem personelleri4d sürekliişçi kadrosunun açıkla… https://t.co/WIgZWQME9H</t>
  </si>
  <si>
    <t>1470476407730053123</t>
  </si>
  <si>
    <t>@drfahrettinkoca Bi sözler o kadar dogruki. Bence gelmiş geçmiş en dogru Saglik Bakanımız. Bem çok samimi buluyorum… https://t.co/8QkqqtkrwK</t>
  </si>
  <si>
    <t>1470476369712881669</t>
  </si>
  <si>
    <t>@drfahrettinkoca Hata bizim bütün iş hayatımıza mal oldu düzenimizin bozulmasına sebep oldu herkes avukatlarla boğu… https://t.co/fLABlvMjyS</t>
  </si>
  <si>
    <t>1470476105924624389</t>
  </si>
  <si>
    <t>@drfahrettinkoca Eksiğiniz yok, bilakis fazlanız var. Millete bu kadar ihanet fazla.</t>
  </si>
  <si>
    <t>1470475801732780037</t>
  </si>
  <si>
    <t>@drfahrettinkoca İnsanlarin yanlışı olur tamam da dogrusu da olmalı be</t>
  </si>
  <si>
    <t>1470475633834741766</t>
  </si>
  <si>
    <t>@drfahrettinkoca Hakkımız haram olsun!! Allah maske taktırdığınız her çocuğun hakkını size sorsun! İstifa edin ve hesab verin millete.</t>
  </si>
  <si>
    <t>1470475443425980423</t>
  </si>
  <si>
    <t>@drfahrettinkoca şanı sağlık bakanımız sen var oldukça bizde varız her zaman seninleyiz sonsuz saygılarımı iletiyor… https://t.co/3zUUspc3uw</t>
  </si>
  <si>
    <t>1470475217298411525</t>
  </si>
  <si>
    <t>@drfahrettinkoca Yarin hekimlwr is birakiyoe</t>
  </si>
  <si>
    <t>1470475143919116292</t>
  </si>
  <si>
    <t>@drfahrettinkoca https://t.co/mnsi3XNmC0</t>
  </si>
  <si>
    <t>1470474751722377222</t>
  </si>
  <si>
    <t>@drfahrettinkoca Hata dediğin 1 veya 2 sefer yapılır. 2 senedir anamızı ağlattınız, dedemizi-ninelerimizi kırdınız.… https://t.co/jNaROxGC6t</t>
  </si>
  <si>
    <t>1470474562735419402</t>
  </si>
  <si>
    <t>@drfahrettinkoca Bakanım sizin de istifanız yakın görünüyor veda konuşması da gelir birkac aya kadar .</t>
  </si>
  <si>
    <t>1470474422947569664</t>
  </si>
  <si>
    <t>@drfahrettinkoca Hala diyorsunuz iş olsn yerde vs vs arkadaşım sen çok geç bile kaldın tedbir almakla şimdiden okul… https://t.co/F1moBVC5gg</t>
  </si>
  <si>
    <t>1470474320870838282</t>
  </si>
  <si>
    <t>@drfahrettinkoca Bir git artık yahu.</t>
  </si>
  <si>
    <t>1470473275172130817</t>
  </si>
  <si>
    <t>@drfahrettinkoca Sayın Koca. Hastanelerde çalışan beyin takımı HBYS Bilgi işlem/Yazılım Uzmanlarına sözler verdiniz… https://t.co/5wLdmGXIBe</t>
  </si>
  <si>
    <t>1470473071593144326</t>
  </si>
  <si>
    <t>@drfahrettinkoca Ulan çok duygulandım be gidip aşı olucam 😂</t>
  </si>
  <si>
    <t>1470472997400203265</t>
  </si>
  <si>
    <t>@drfahrettinkoca İnsanlar ölüyor dedik kör oldunuz https://t.co/nZxBBGh3jq</t>
  </si>
  <si>
    <t>1470472771155247111</t>
  </si>
  <si>
    <t>@drfahrettinkoca Her hafta istemediği halde PCR testi olan ya da istemediği halde  işyeri istediği için ashı olan i… https://t.co/aD4GvjoJtV</t>
  </si>
  <si>
    <t>1470472693380227075</t>
  </si>
  <si>
    <t>@drfahrettinkoca Sayın Bakanımız Hbys Sağlık Çalışanları Hastanelerde gece gündüz 7/24 esasına göre çalışan kadrosu… https://t.co/2if5yZNVPb</t>
  </si>
  <si>
    <t>1470472570436784131</t>
  </si>
  <si>
    <t>@drfahrettinkoca Hbys personeline söz verip de vermediğiniz kadro eksikliğimiz Sayın Bakanım.Verin kadroyu sevinelim artık ne bekliyorsunuz?</t>
  </si>
  <si>
    <t>1470472544293638144</t>
  </si>
  <si>
    <t>@drfahrettinkoca Sayın bakan verdiği emeği halkımızın taktirine vicdanı na bırakıyorum diyor buradaki yorumcular da… https://t.co/aQBj1PWuTu</t>
  </si>
  <si>
    <t>1470471969686667265</t>
  </si>
  <si>
    <t>@drfahrettinkoca Bizim takdirimiz senin ve film kurulunun derhal istifa etmesidir.</t>
  </si>
  <si>
    <t>1470471914120531977</t>
  </si>
  <si>
    <t>@drfahrettinkoca Bu kadar fazla hata olmaz olamaz</t>
  </si>
  <si>
    <t>1470471881492996102</t>
  </si>
  <si>
    <t>@drfahrettinkoca Aşı hata idi özür diliyorum diye anladım  ben</t>
  </si>
  <si>
    <t>1470471847380717578</t>
  </si>
  <si>
    <t>@drfahrettinkoca Gercekler ortaya ciktiginda umarim hepsi intikamini alir senden.</t>
  </si>
  <si>
    <t>1470471822646861830</t>
  </si>
  <si>
    <t>@drfahrettinkoca Peki yanlış tedaviden ölenlerden nasıl helâllik alacaksınız?</t>
  </si>
  <si>
    <t>1470471382224060421</t>
  </si>
  <si>
    <t>@drfahrettinkoca Yaw olur olur da hiç doğrunuzu görmedik ki #TBMMsağlıkicinonlineeğitim</t>
  </si>
  <si>
    <t>1470471304792924164</t>
  </si>
  <si>
    <t>@drfahrettinkoca Hatanın taa kendiside kasıtlısıda sizsiniz başka söze hacet yok bu milleti saçma sapan sahte salgı… https://t.co/ocJMoNLrPt</t>
  </si>
  <si>
    <t>1470471220005064711</t>
  </si>
  <si>
    <t>@drfahrettinkoca İnsancıl bir açıklama.Sizden başka hangi partili bunu söyleyebiliyor.Yanlışlar var, büyük yanlışla… https://t.co/xW2RG0Scbd</t>
  </si>
  <si>
    <t>1470471147145809925</t>
  </si>
  <si>
    <t>@drfahrettinkoca Hekimler için hayalkirikligi oldun bakanım.</t>
  </si>
  <si>
    <t>1470470988773138441</t>
  </si>
  <si>
    <t>@drfahrettinkoca Yıllardır Hbys bilgi işlem personelleri eksik sayın bakanım. @vedatbilgn https://t.co/pyQKo0PLjO</t>
  </si>
  <si>
    <t>1470470637781143559</t>
  </si>
  <si>
    <t>@drfahrettinkoca İş yapıyormuş... Milleti aşılamak mı iş?</t>
  </si>
  <si>
    <t>1470470524849602567</t>
  </si>
  <si>
    <t>@drfahrettinkoca Evet insan olan yerde hata olur. Önemli olan niyettir. Ama , Hiç bir güç , "hiç bir sebeple" , hiç… https://t.co/0JkU8mF9GI</t>
  </si>
  <si>
    <t>1470470329697026052</t>
  </si>
  <si>
    <t>@drfahrettinkoca Sağlık ekipmanlarıyla ve ilaçlarla ilgili aksaklık ya da yoksunluk kabul edilebilir bir şey değil.… https://t.co/Mt9R0cF5Ji</t>
  </si>
  <si>
    <t>1470470132044607491</t>
  </si>
  <si>
    <t>@drfahrettinkoca Bak hala kasiniyorsun. Yemezler Fahrettin bey yemezler. Hata değil noksan değil. Alenen bilerek ön… https://t.co/9OQ0xI5NtI</t>
  </si>
  <si>
    <t>1470469807896240132</t>
  </si>
  <si>
    <t>@drfahrettinkoca Her gün 200 e yakın can gidiyor oda ne kadar doğru çünkü halk ile paylaşılan hiç bir veri yok hafi… https://t.co/FW6fIsBFOW</t>
  </si>
  <si>
    <t>1470536603441541122</t>
  </si>
  <si>
    <t>@drfahrettinkoca hastalığı hafif gecirsin diye aşı oluyorsalar isteyenler buyursunlar olsunlar... peki is güvenliği… https://t.co/ud3hYvrGHP</t>
  </si>
  <si>
    <t>1470535270625951753</t>
  </si>
  <si>
    <t>@drfahrettinkoca abi artik yeter ya gercekten biktik asisini da covidinide Allahim sahit 90 yasindaki dedemle 88 ya… https://t.co/o0m4JSdepe</t>
  </si>
  <si>
    <t>1470534816999383040</t>
  </si>
  <si>
    <t>@drfahrettinkoca saglikli insanlari bu zikkima zorlamakta artik yettiniz!! insanlar calisamiyor okuyamiyor..bu veba… https://t.co/Mn08OrmXCG</t>
  </si>
  <si>
    <t>1470533599720005632</t>
  </si>
  <si>
    <t>@drfahrettinkoca 1.dozları; insanları KORKUTARAK yaptırdınız, (56milyon) 2.dozları; insanları işleriyle, emekleriyl… https://t.co/FiO0guFxT5</t>
  </si>
  <si>
    <t>1470531171104788486</t>
  </si>
  <si>
    <t>@drfahrettinkoca Tamam</t>
  </si>
  <si>
    <t>1470527507510222848</t>
  </si>
  <si>
    <t>@drfahrettinkoca Hahaha...Diye güleceğim komik değil, ciddiye alıp kafa yoracağım ciddiye alınacak gibi hiç degil.</t>
  </si>
  <si>
    <t>1470527011659599878</t>
  </si>
  <si>
    <t>@drfahrettinkoca Geçen yıl Covid ölümleri sayısı 15000, bu yılsonuna kadar 80000 üzeri. Fark nedir? Fark haritada ...</t>
  </si>
  <si>
    <t>1470526860798971905</t>
  </si>
  <si>
    <t>@drfahrettinkoca Yorumları okudukça Allahim diyorum şükürler olsun insanlar uyanmış artık.</t>
  </si>
  <si>
    <t>1470524899890540550</t>
  </si>
  <si>
    <t>@drfahrettinkoca Yalandan kim ölmüş. Fahrettin efendi dikkat et burnum uzayacak.</t>
  </si>
  <si>
    <t>1470524533782331394</t>
  </si>
  <si>
    <t>@drfahrettinkoca Bu cüce güvendik ondan</t>
  </si>
  <si>
    <t>1470522855456751621</t>
  </si>
  <si>
    <t>@drfahrettinkoca Omicronada asi yapmış uğur tamamlamaya vakit bulamıyor ki millet 3 doz daha lazım diyor. Paranın a… https://t.co/xpzvskEENN</t>
  </si>
  <si>
    <t>1470520761991446535</t>
  </si>
  <si>
    <t>@drfahrettinkoca Ölüm sayıları geçen yılla aynı https://t.co/N4KEiSskw7çen yıllarda bu ölüm sayısına kıyameti kopar… https://t.co/ruSaj5oei4</t>
  </si>
  <si>
    <t>1470520614519726081</t>
  </si>
  <si>
    <t>@drfahrettinkoca Eksikten kasıt , ne olursa olsun mutlaka bir doz biontech yaptırın mi ??</t>
  </si>
  <si>
    <t>1470520576968208396</t>
  </si>
  <si>
    <t>@drfahrettinkoca Bir dediğin bir dediğine uymuyor,hâlâ ısrarla aşı diye maval okuyor, azcık Allah'tan korkunuz,onur… https://t.co/j66OS373Dd</t>
  </si>
  <si>
    <t>1470520518403141632</t>
  </si>
  <si>
    <t>@drfahrettinkoca @saglikbakanligi Covit19 korktugumuz kadar kötü degildir.Eyer öyle olmus olsaydi. Ceza evinde insa… https://t.co/QI74F7Rywi</t>
  </si>
  <si>
    <t>1470519353317769216</t>
  </si>
  <si>
    <t>@drfahrettinkoca Allah yaşattıklarınızın mislini yaşamadan canınızı almasın ! Tek duam ve dileğim Allah'tan budur..</t>
  </si>
  <si>
    <t>1470519312301670402</t>
  </si>
  <si>
    <t>@drfahrettinkoca Neden hep aşı olanlar hastalanıyor bugün görümcem aradı kayınpeder kayınvalde görümcem ve kızı hep… https://t.co/gW0QGLh6jf</t>
  </si>
  <si>
    <t>1470518720447528961</t>
  </si>
  <si>
    <t>@drfahrettinkoca Aşı yoktu  ölümde  yoktu   Oysa ülkemizde  hergün sigara yüzünden 300 kisi hayatını  kaybederken b… https://t.co/8VDvaQATyv</t>
  </si>
  <si>
    <t>1470517608692785158</t>
  </si>
  <si>
    <t>@drfahrettinkoca Enjeksiyonlama azaldıkça ölüm ve vaka sayıları da düşüyor maşallah. Neden?</t>
  </si>
  <si>
    <t>1470516489178558466</t>
  </si>
  <si>
    <t>@drfahrettinkoca Omicon dan ilk ölüm gerçekleşti sanırım Türkiye ye gelsin ölüm çoğalsın öyle önlem alırsınız coron… https://t.co/9kZVwWFCwm</t>
  </si>
  <si>
    <t>1470514407700639749</t>
  </si>
  <si>
    <t>@drfahrettinkoca Hala cebiniz yeteri kadar doymadimi ! Yeter yeter! Bu kadar ciddiyetsiz tvitler yonetim ! Ahh ahh!… https://t.co/1YtYGoqUv6</t>
  </si>
  <si>
    <t>1470514404043235328</t>
  </si>
  <si>
    <t>@drfahrettinkoca https://t.co/UYmHx5rhI4</t>
  </si>
  <si>
    <t>1470512497321029641</t>
  </si>
  <si>
    <t>@drfahrettinkoca İnsanlar Önlem almazlarsa Aşının Faydası Nereye kadar olurla</t>
  </si>
  <si>
    <t>1470511334534041605</t>
  </si>
  <si>
    <t>@drfahrettinkoca https://t.co/rwzxnef1wu</t>
  </si>
  <si>
    <t>1470510318262665220</t>
  </si>
  <si>
    <t>@drfahrettinkoca Siz aşı yapan sağlık çalışanlarını görmezden geldiniz, hakkımızı yediniz emek hırsızlığı yaptınız</t>
  </si>
  <si>
    <t>1470510315565686792</t>
  </si>
  <si>
    <t>@drfahrettinkoca Milleti bu kadar çok düşünüyorsanız,  önce mahkum ettiğiniz yoksulluğa çare bulun. Aşıyla sözde ko… https://t.co/DgpTmvFSB2</t>
  </si>
  <si>
    <t>1470510230547091462</t>
  </si>
  <si>
    <t>@drfahrettinkoca https://t.co/BEAqk9Jwo7</t>
  </si>
  <si>
    <t>1470509899297738760</t>
  </si>
  <si>
    <t>@drfahrettinkoca Ben aşı olmadım covit oldum ilaç kullanmadan hafif atlattım bunda da aşının bir etkisi var mıdır?</t>
  </si>
  <si>
    <t>1470508358914478087</t>
  </si>
  <si>
    <t>@drfahrettinkoca https://t.co/ITARo5Y3rm</t>
  </si>
  <si>
    <t>1470507508427075590</t>
  </si>
  <si>
    <t>@drfahrettinkoca KIRK YALAN FARETTİN İRLANDA SAĞLIK BAKANLIĞI YAYINLIYOR SENDE YAYINLA GÖRELİM. https://t.co/8sFaiaUbbC</t>
  </si>
  <si>
    <t>1470507324171243526</t>
  </si>
  <si>
    <t>@drfahrettinkoca https://t.co/ctxa1oCvvn</t>
  </si>
  <si>
    <t>1470507245561593863</t>
  </si>
  <si>
    <t>@drfahrettinkoca Konusma tarzina dikkwt et. Fahrettin</t>
  </si>
  <si>
    <t>1470507111641751570</t>
  </si>
  <si>
    <t>@drfahrettinkoca https://t.co/RxAd4ZGZ8k</t>
  </si>
  <si>
    <t>1470506990904434691</t>
  </si>
  <si>
    <t>@drfahrettinkoca Senin yüzünden pisikolojim bozuldu bı istifa et sana zahmet yoksa Erdoğan'a oy yok 😂</t>
  </si>
  <si>
    <t>1470506686532235275</t>
  </si>
  <si>
    <t>@drfahrettinkoca Bakanim asi olmayan iller olanlardan daha saglikli</t>
  </si>
  <si>
    <t>1470505857607741447</t>
  </si>
  <si>
    <t>@drfahrettinkoca Sayın Bakan, istirham ediyorum, yalvarıyorum; insanların açık havada, arabasında, yağmur altında,… https://t.co/eBqB3Y5WaJ</t>
  </si>
  <si>
    <t>1470505492082536453</t>
  </si>
  <si>
    <t>@drfahrettinkoca KIRK YALAN FARETTİN HANGİ AŞI. BABABIM GÖZLERİNE 2AYDIR KAN OTUYOR SOL GÖZÜ İYİCE KÖTÜ OLMAYA BAŞL… https://t.co/T7BKEkzkM7</t>
  </si>
  <si>
    <t>1470503972024860680</t>
  </si>
  <si>
    <t>@drfahrettinkoca Neden. Yoktu zaten siz uydurdunuz https://t.co/wkoo5lfzDr</t>
  </si>
  <si>
    <t>1470503455043342339</t>
  </si>
  <si>
    <t>@drfahrettinkoca içeriğinde grafen bulunan ve şeytana hizmet edenlerin maşaların bütün gün yalan ölümlerden bahsett… https://t.co/H6pR2hoyjx</t>
  </si>
  <si>
    <t>1470503367495536652</t>
  </si>
  <si>
    <t>@drfahrettinkoca Bu çocuklar daki salgın nedir ?</t>
  </si>
  <si>
    <t>1470503235043708934</t>
  </si>
  <si>
    <t>@drfahrettinkoca Fark nedir senin katmerli aldatıcı oldugunu biz zaten biliyorduk nihayet insanların çoğuda görmeye… https://t.co/U2O9wqfE5R</t>
  </si>
  <si>
    <t>1470502804779380742</t>
  </si>
  <si>
    <t>@drfahrettinkoca ölü sayısı (oranı) neden artmış o zaman sayın a...q...</t>
  </si>
  <si>
    <t>1470502290096369683</t>
  </si>
  <si>
    <t>@drfahrettinkoca 2- Fark nedir ? Geçen hafta 6,5 lira olan Bim Altın süt bu hafta 9,5 lira … insanları ya covit ya… https://t.co/JloCw9XaK4</t>
  </si>
  <si>
    <t>1470502009556058113</t>
  </si>
  <si>
    <t>@drfahrettinkoca Zaten çoğunluk en başından beri hafif atlatmıyordu muydu ? Hatta çoğu kişi belirti bile göstermiyo… https://t.co/xQZKd7Rori</t>
  </si>
  <si>
    <t>1470500449522434059</t>
  </si>
  <si>
    <t>@drfahrettinkoca https://t.co/p9KZD8wtNB</t>
  </si>
  <si>
    <t>1470500289027395589</t>
  </si>
  <si>
    <t>@drfahrettinkoca https://t.co/lazaBS09F9</t>
  </si>
  <si>
    <t>1470499776349315081</t>
  </si>
  <si>
    <t>@drfahrettinkoca "Yaptım ama neden yaptım sor bi" Şener Şen. bu replik geldi aklıma😂</t>
  </si>
  <si>
    <t>1470498424139231243</t>
  </si>
  <si>
    <t>@drfahrettinkoca https://t.co/C4lQWqE0I6</t>
  </si>
  <si>
    <t>1470498333764558848</t>
  </si>
  <si>
    <t>@drfahrettinkoca Hastane gisesinde sira beklemekle evde pc basinda hastane randevusu almayi beklemek arasinda bir f… https://t.co/vST9kFHPeN</t>
  </si>
  <si>
    <t>1470497877998936067</t>
  </si>
  <si>
    <t>@drfahrettinkoca Çünkü verdiğin hapları kimse kullanmıyor artık.</t>
  </si>
  <si>
    <t>1470497623832506374</t>
  </si>
  <si>
    <t>@drfahrettinkoca 3.dozlari acarmisin ?</t>
  </si>
  <si>
    <t>1470497001108291593</t>
  </si>
  <si>
    <t>@drfahrettinkoca Salla zaten millet geçmişi unutuyor tabii. Tam 1 yıl önce bu tarihlerdeki vaka ve vefat oranları n… https://t.co/y9K3gfVJm6</t>
  </si>
  <si>
    <t>1470496426920759308</t>
  </si>
  <si>
    <t>@drfahrettinkoca Paikolojimizi alt üst ettin, 2 güne bir PCR zulmü beddua almaktan başka ne kazandıracak sana, soru… https://t.co/kMgTYTKgI4</t>
  </si>
  <si>
    <t>1470495893174554629</t>
  </si>
  <si>
    <t>@drfahrettinkoca Anlatmak ister misiniz her gün 150’nin üzerinde insanı ne yaparak öldürüyorsunuz?</t>
  </si>
  <si>
    <t>1470495740078268418</t>
  </si>
  <si>
    <t>@drfahrettinkoca Sağlıklı iken sırf işe girmek için haftada 3 kere Pcr nedir bunu ni izah eder misin,müslimana gavu… https://t.co/Xe4gWpuUX0</t>
  </si>
  <si>
    <t>1470495288720863240</t>
  </si>
  <si>
    <t>@drfahrettinkoca 666 fahri Köpek gibi aşılarınız tam mı diye niye soruyorsun O sıvılarınız hiç bi zaman tam olmayac… https://t.co/6Z2oERY5pF</t>
  </si>
  <si>
    <t>1470494804408733712</t>
  </si>
  <si>
    <t>@drfahrettinkoca Microsoftun sahibi yazılımcı aynı zamanda enfeksiyon hastalıkları uzmanı Prof Dr Bill Gates de diy… https://t.co/Q0xrzsbDd4</t>
  </si>
  <si>
    <t>1470493823788855307</t>
  </si>
  <si>
    <t>@drfahrettinkoca Neden aşıdan ölenleri saklıyorsunuz hep ölenler asisiz diyorsunuz ası olmazlarda ondan digmi Fahrettin bey</t>
  </si>
  <si>
    <t>1470493368564260871</t>
  </si>
  <si>
    <t>@drfahrettinkoca Yazık deli galiba</t>
  </si>
  <si>
    <t>1470493347450175491</t>
  </si>
  <si>
    <t>@drfahrettinkoca Neden sebep sonuç ilişkisi</t>
  </si>
  <si>
    <t>1470490959070773258</t>
  </si>
  <si>
    <t>@drfahrettinkoca Ölümcül bir durum var ve buna karşı aşı var.Aşılar işe yarıyor ve zararı yok.Peki hala neye karşıs… https://t.co/GJ5eQHvTaW</t>
  </si>
  <si>
    <t>1470490225222819844</t>
  </si>
  <si>
    <t>@drfahrettinkoca Tam aşılının formülünü yazıyorum. N+1=tam aşılı (N vurulduğunuz aşı sayısı) Hesaplayamayan olursa yardımcı olurum.😁😁😁😁😁</t>
  </si>
  <si>
    <t>1470489762834399237</t>
  </si>
  <si>
    <t>@drfahrettinkoca Kendin sorup kendin cevap vermeyeceksin öyle! Neden mi, cevap; Korku pandeminiz bitti! İnsanlar uy… https://t.co/fhDhiJRH1J</t>
  </si>
  <si>
    <t>1470489680986660866</t>
  </si>
  <si>
    <t>1470489154073018369</t>
  </si>
  <si>
    <t>@drfahrettinkoca Eminim  bu söylediklerinize siz bile inanmıyorsunuzdur</t>
  </si>
  <si>
    <t>1470488761624637451</t>
  </si>
  <si>
    <t>@drfahrettinkoca TAMAMLAMIYORUM!! AŞILANMIYORUM VAR MI? İTİRAZIN!! bozuk plak gibi aynı şeyi tekrarlıyorsun!!</t>
  </si>
  <si>
    <t>1470488391661801481</t>
  </si>
  <si>
    <t>@drfahrettinkoca İstanbul sarimi ? 😯😲😳</t>
  </si>
  <si>
    <t>1470488118671327242</t>
  </si>
  <si>
    <t>@drfahrettinkoca Fahrettin 6 ay önce Toplum bağışıklığı için % 70 yeterli diyordun  Sizdeki tablo % 82 gösteriyor… https://t.co/d5PiuZZvwB</t>
  </si>
  <si>
    <t>1470487789699575811</t>
  </si>
  <si>
    <t>@drfahrettinkoca 4. doz ne zaman sayın Koca</t>
  </si>
  <si>
    <t>1470487607645769730</t>
  </si>
  <si>
    <t>@drfahrettinkoca Kim inandı bu vaka sayısına yazın okul açılmadan 30 40binlerdeydi  şimdi kışın  ortasındayız okull… https://t.co/v0wCeaJefH</t>
  </si>
  <si>
    <t>1470487561445466118</t>
  </si>
  <si>
    <t>@drfahrettinkoca Oradaki farkı görmek istiyorsan çıktığın yere bak</t>
  </si>
  <si>
    <t>1470487275549167620</t>
  </si>
  <si>
    <t>@drfahrettinkoca Ulan daha aşımı diyorsun sen gebereceksin  Bunca insanın ahı yanına kalmaz Allah var Allah</t>
  </si>
  <si>
    <t>1470486256463265800</t>
  </si>
  <si>
    <t>@drfahrettinkoca Keşke yalan söyleyenlerin Pinokyo gibi burnu uzasaydı. Acaba sayın bakan burnunu nereye yetleştirirdi!</t>
  </si>
  <si>
    <t>1470486256190640133</t>
  </si>
  <si>
    <t>@drfahrettinkoca Millet aç susuz askari ücret ne kadar olur derdin de  bakanımız halen aşı da aşı derdinde kimin um… https://t.co/b1jSx3hNSP</t>
  </si>
  <si>
    <t>1470486162154442759</t>
  </si>
  <si>
    <t>@drfahrettinkoca Sayın bakanım, iş arkadaşım tüm ısrarlarıma rağmen 3.doz mrna aşısını oldu. Tam bir ay oldu kendin… https://t.co/A744uWRXoZ</t>
  </si>
  <si>
    <t>1470485536255188995</t>
  </si>
  <si>
    <t>@drfahrettinkoca Çünkü millet yalan dolanları görmeye başladı felaket tellahı bakan ve yaverlerine inanmıyor</t>
  </si>
  <si>
    <t>1470485437047320589</t>
  </si>
  <si>
    <t>@drfahrettinkoca FARK NEDİR? Covid-19 salgını ortaya çıktığı aylarda ve bu yılın başlarından FARKI YOK BUGÜNÜN Nede… https://t.co/Fu0oyZzfH9</t>
  </si>
  <si>
    <t>1470485406009511950</t>
  </si>
  <si>
    <t>@drfahrettinkoca Hasta olmayacaklari aşiladiniz. Bir de hafif atlatiyorar yalanini uydurdünuz. %90"i aşiladiniz. Ve… https://t.co/ujyHKes6cA</t>
  </si>
  <si>
    <t>1470484431932739585</t>
  </si>
  <si>
    <t>@drfahrettinkoca Hiç kovid olmadım. Neden ?  Çünkü maske takmadım Çünkü insanlarla mesafeli olmadım  Çünkü hayatıma… https://t.co/c9Yd7dPrqB</t>
  </si>
  <si>
    <t>1470483801658826771</t>
  </si>
  <si>
    <t>@drfahrettinkoca Belkide umursamadığımız için bu kadar yormuyor artık ( neden olacak )</t>
  </si>
  <si>
    <t>1470483666832928772</t>
  </si>
  <si>
    <t>@drfahrettinkoca Hatırım için kendine iyi bak Fahrettin  İlaçlarını ihmal etme ,cereyan da durma ,trafiğe dikkat et… https://t.co/CSDvgKNXwy</t>
  </si>
  <si>
    <t>1470483557751664646</t>
  </si>
  <si>
    <t>@drfahrettinkoca Neden siz yalan tablo paylaşıyorsunuz</t>
  </si>
  <si>
    <t>1470483500298088453</t>
  </si>
  <si>
    <t>@drfahrettinkoca https://t.co/F4PWQ4W8tv</t>
  </si>
  <si>
    <t>1470483391061577731</t>
  </si>
  <si>
    <t>@drfahrettinkoca Sayın bakan size güvenen kalmadı. Diğer bakanlar gibi görevden affınızı isteyin artık.</t>
  </si>
  <si>
    <t>1470483311151788044</t>
  </si>
  <si>
    <t>@drfahrettinkoca Sayın koca. Aşıya madem bu kadar çok güveniyorsunuz. O halde korona olanların hastaneye yatanların… https://t.co/Zj3QPWp3Cr</t>
  </si>
  <si>
    <t>1470483111809015812</t>
  </si>
  <si>
    <t>@drfahrettinkoca Çünkü pandemi yok ve çünkü ruhsatı olmayan ve faz aşaması tamamlanmayan bir şey aşı olamaz.Bilim b… https://t.co/T0vhaP3psw</t>
  </si>
  <si>
    <t>1470482976853176324</t>
  </si>
  <si>
    <t>@drfahrettinkoca Okulları kontrolsüz açtığınız halde, 12 yaş altı çocuklarımıza aşı hakkı tanımlamıyorsunuz, NEDEN?!!</t>
  </si>
  <si>
    <t>1470482772586385416</t>
  </si>
  <si>
    <t>@drfahrettinkoca Aşı şirketlerini bırakta azıcık ülkeni düşün. Onlar aşıyı satacak biryer bulur. Ölüm oranı aşı önc… https://t.co/DPME8PwJLx</t>
  </si>
  <si>
    <t>1470482477261205505</t>
  </si>
  <si>
    <t>@drfahrettinkoca İnsanlar ölüyor neden?ölümler tavan yapıyor neden?:))</t>
  </si>
  <si>
    <t>1470482279533137921</t>
  </si>
  <si>
    <t>@drfahrettinkoca Okulları kontrolsüzce açtığınız halde, 12 yaş altı çocukla aşı hakkı tanımlamıyorsunuz, neden?</t>
  </si>
  <si>
    <t>1470482236650708992</t>
  </si>
  <si>
    <t>@drfahrettinkoca Ozaman omicronda korkutucu degil bu bir rüyaydı uyandık geçti gitti bitti diyecekler yakında</t>
  </si>
  <si>
    <t>1470482010456170502</t>
  </si>
  <si>
    <t>@drfahrettinkoca Sosyal hayatı tahrif eden sizin şu saçma sapan yasaklarınızdı. Hatırlatmak isterimki yasaklar geld… https://t.co/JIZQ6B5jWO</t>
  </si>
  <si>
    <t>1470481880403304449</t>
  </si>
  <si>
    <t>@drfahrettinkoca Fark artık gerçekleri insanların görmesi, aşının doz sayısının bitmemesi yani işe yaramaması...</t>
  </si>
  <si>
    <t>1470480931794341888</t>
  </si>
  <si>
    <t>@drfahrettinkoca Covid dininin mensupları genelde geri zekalılardan oluşuyor. https://t.co/GDVOonbzUp</t>
  </si>
  <si>
    <t>1470480360240734208</t>
  </si>
  <si>
    <t>@drfahrettinkoca boş yapma aşı tüccarı İSTİFA et</t>
  </si>
  <si>
    <t>1470480240841576454</t>
  </si>
  <si>
    <t>@drfahrettinkoca Aşı yok bende ayrıca maske mesafe hakketire. Hiç hasta olmadım turp gibiyim maşallah. Allah elinize düşürmesin</t>
  </si>
  <si>
    <t>1470480180158382084</t>
  </si>
  <si>
    <t>@drfahrettinkoca Bize tanrıcılık oynayanların piyonları ile uğraşıyoruz https://t.co/jN3Uih6Y7C</t>
  </si>
  <si>
    <t>1470479886183813135</t>
  </si>
  <si>
    <t>@drfahrettinkoca Neden . Çünkü bu bir sacmalik Neden  Çünkü insanlar artık takmıyor  Neden  Çünkü sıvılarda bir işe… https://t.co/SCSpg3UDL8</t>
  </si>
  <si>
    <t>1470479607195394056</t>
  </si>
  <si>
    <t>@drfahrettinkoca Sağlık Bakanlığı'nın önüne gidip bir kutu maskeyi kapısına atmak vardı, ama şimdi durduk yere neza… https://t.co/QeD8jpahz4</t>
  </si>
  <si>
    <t>1470479209206272000</t>
  </si>
  <si>
    <t>@drfahrettinkoca DNA sını bozmak isteyenler, beynine pıhtı atmasını isteyenler ve kalp krizi geçirmek isteyenler AC… https://t.co/Txz7svyotm</t>
  </si>
  <si>
    <t>1470478678681432072</t>
  </si>
  <si>
    <t>@drfahrettinkoca Halen aşı diyor ya #TBMMsağlıkicinonlineeğitim</t>
  </si>
  <si>
    <t>1470478583164547079</t>
  </si>
  <si>
    <t>@drfahrettinkoca Sayın bakanım 12 yaş altina aşı hala yok ama yüzyüze eğitim zorunlu aşı gelene kadar online eğitim istiyoruz</t>
  </si>
  <si>
    <t>1470478481876258816</t>
  </si>
  <si>
    <t>1470478220772401158</t>
  </si>
  <si>
    <t>@drfahrettinkoca Çocuklarımızı koruyamıyorsunuz</t>
  </si>
  <si>
    <t>1470478052517986306</t>
  </si>
  <si>
    <t>@drfahrettinkoca Hafif geçirmek mi,sonrasında olan ve olacak olan yan hastalıkları hiçe sayıyorsunuz.Durduk yerde n… https://t.co/VCAQSw7z2q</t>
  </si>
  <si>
    <t>1470477933449994242</t>
  </si>
  <si>
    <t>@drfahrettinkoca Toplumda ne sizin nede bilim kurulunuzun hiç bir itibarı kalmamıştır..artık insanları tehtit etmek… https://t.co/ulrMew5aBh</t>
  </si>
  <si>
    <t>1470477545023983618</t>
  </si>
  <si>
    <t>@drfahrettinkoca Hemen koşup oluyorum</t>
  </si>
  <si>
    <t>1470476794545557524</t>
  </si>
  <si>
    <t>@drfahrettinkoca Aşı yokken 23 kişi ölüyordu,aşı varken 170 nasıl aşı faydalı oluyor</t>
  </si>
  <si>
    <t>1470476575648976900</t>
  </si>
  <si>
    <t>@drfahrettinkoca Neden?? Herkes Aşı oyununu anlamaya başladı,Aşı yoksa ölümde yok!</t>
  </si>
  <si>
    <t>1470476341522964482</t>
  </si>
  <si>
    <t>@drfahrettinkoca Sayın asi bakanı DSÖ den dokunulmazliginiz varmı ?</t>
  </si>
  <si>
    <t>1470476098916040712</t>
  </si>
  <si>
    <t>@drfahrettinkoca 3. doz süresini azaltmayacak mısınız?</t>
  </si>
  <si>
    <t>1470476023502454794</t>
  </si>
  <si>
    <t>@drfahrettinkoca Aşı demediğin bir gün olurmu ki ?</t>
  </si>
  <si>
    <t>1470476015612973063</t>
  </si>
  <si>
    <t>@drfahrettinkoca KOCA bir yalandan ibaretsin kovitliyiz aşısızız nede ilaçlarını kullanıyoruz gayet grip gibi geçiriyoruz</t>
  </si>
  <si>
    <t>1470474732176871425</t>
  </si>
  <si>
    <t>@drfahrettinkoca Covid belirtileri gösteren kişilerin testleri hep negatif gelmeye başladı. Neden? Kimse maske takm… https://t.co/wYSh4cNlHD</t>
  </si>
  <si>
    <t>1470474724903989256</t>
  </si>
  <si>
    <t>@drfahrettinkoca Çocuklar da salgın arttı test yapılmıyor vaka sayısı güvenilir değil önlem alın lütfen</t>
  </si>
  <si>
    <t>1470474309047103497</t>
  </si>
  <si>
    <t>@drfahrettinkoca Sayin bakan bu vakalara kimse inanmıyor tum dunyada pandemi ve kapatmalar var sizin universtenizde… https://t.co/8dO8Gm1w2m</t>
  </si>
  <si>
    <t>1470473652990844935</t>
  </si>
  <si>
    <t>@drfahrettinkoca Ben hic olmadim ve hic korkmadim sebebi bu olabilir mi acaba?Insanlara sürekli  korku pompalarsani… https://t.co/GH2UEz2kM3</t>
  </si>
  <si>
    <t>1470473534510092294</t>
  </si>
  <si>
    <t>@drfahrettinkoca Sayın bakanım bir günde 171 can gidiyor bu korkutucu bir rakam değilmi virüsün yoğun olduğu illerd… https://t.co/dw8jpw9oIi</t>
  </si>
  <si>
    <t>1470473397868150786</t>
  </si>
  <si>
    <t>@drfahrettinkoca Simdi sen bir bakan olarak bizim bu cevabi yememizi bekliyorsun oylemi bu cevap oldumu yani eyer s… https://t.co/3A2QYvfojD</t>
  </si>
  <si>
    <t>1470473232037855232</t>
  </si>
  <si>
    <t>@drfahrettinkoca Yatacak yeriniz yok millette psikoloji sosyoloji ekonomi sabır bırakmadınız aşı diye diye</t>
  </si>
  <si>
    <t>1470472869792686081</t>
  </si>
  <si>
    <t>@drfahrettinkoca Sen geçecen onu.  Bunlara güvenip kimse aşı olmasın. https://t.co/GbtW1NfynS</t>
  </si>
  <si>
    <t>1470472762619842564</t>
  </si>
  <si>
    <t>@drfahrettinkoca Bizi göz göre öldürmenize izin vermiycez #AŞI BİYOLOJİK  SİLAHTIR.Dış güçlerin… https://t.co/An3BOPTGZr</t>
  </si>
  <si>
    <t>1470472605996130311</t>
  </si>
  <si>
    <t>@drfahrettinkoca https://t.co/0yd9jeX29E</t>
  </si>
  <si>
    <t>1470472257046814726</t>
  </si>
  <si>
    <t>@drfahrettinkoca Hala yaa hala??? Sen kafayı yemişlerdensin sen şeytana köle olmuşsun biz ne desek boş Allah ıslah… https://t.co/Nj6H8og6F1</t>
  </si>
  <si>
    <t>1470470239070691335</t>
  </si>
  <si>
    <t>@drfahrettinkoca Eksik aşı sanki köpek aşılıyorlar.</t>
  </si>
  <si>
    <t>1470469982827995144</t>
  </si>
  <si>
    <t>@drfahrettinkoca Tüm Avrupa’da vakalar artarken bizde birden bire düşmeye başladı; kimi kandırıyorsunuz?</t>
  </si>
  <si>
    <t>1470469627822186503</t>
  </si>
  <si>
    <t>@drfahrettinkoca Mülakatla alacağınız o işçiler önce o meşhur t. a denen yere gidip üye olsalar yetişirlermi temsil… https://t.co/QrCxpdajvB</t>
  </si>
  <si>
    <t>1470530175230259200</t>
  </si>
  <si>
    <t>@drfahrettinkoca Hbys taşeron işçilerine kadro sözü verilmisti hanı nerde nerde nerde nerde nerde?</t>
  </si>
  <si>
    <t>1470514750626971650</t>
  </si>
  <si>
    <t>@drfahrettinkoca İşçide kpss şartı var mı</t>
  </si>
  <si>
    <t>1470495731706441728</t>
  </si>
  <si>
    <t>@drfahrettinkoca Bakanım ne olursunuz yaş sorun olmasın en son yas 40 olsun</t>
  </si>
  <si>
    <t>1470495349898887172</t>
  </si>
  <si>
    <t>@drfahrettinkoca Kpss'siz Klinik destek ve hasta yaşlı bakım elemanı da bu alımda mı olacak</t>
  </si>
  <si>
    <t>1470470656433270786</t>
  </si>
  <si>
    <t>@drfahrettinkoca Siz kılavuz yayınladınizda bizim adımız yok atamamız yok #saglikyonetimi gorev tanımı ve atama</t>
  </si>
  <si>
    <t>1470517381575450624</t>
  </si>
  <si>
    <t>@drfahrettinkoca Yas siniri 40 olsun bakanım ne olursunuz</t>
  </si>
  <si>
    <t>1470495679751639046</t>
  </si>
  <si>
    <t>@drfahrettinkoca @apolatduzgun HAYALERİMİZ CALİNMASİN BİZ BİRLİKTE GÜÇLÜ ON MİLYON MAHKUM AİLESİ OLARAK AF İSTİYORU… https://t.co/wYDXRx2bN0</t>
  </si>
  <si>
    <t>1470528491737202688</t>
  </si>
  <si>
    <t>@drfahrettinkoca Kimse kusura bakmasın ama en büyük yazık diyetisyen, fizyoterapist, ve psikologlara yapılıyor yıll… https://t.co/Pr0k0ai2Be</t>
  </si>
  <si>
    <t>1470520924168499206</t>
  </si>
  <si>
    <t>@drfahrettinkoca Sayın cumhurbaşkanım @RTErdogan  yapsa yapsa bunu siz yaparsınız bizi görün mağduriyetimizi gideri… https://t.co/tBX2um0zIQ</t>
  </si>
  <si>
    <t>1470516904657891341</t>
  </si>
  <si>
    <t>@drfahrettinkoca Kontenjan açılan lisans bölümlerinde niye bizimde adımız yok onlarda 4 yılını verdi bizlerde onlar… https://t.co/4DLsvQQ3jY</t>
  </si>
  <si>
    <t>1470516165067915274</t>
  </si>
  <si>
    <t>@drfahrettinkoca Biz oturup sabaha kadar yazsakta boş siz bizi görmezden geldikçe #saglikyonetimi bölümü var bunu görün artık</t>
  </si>
  <si>
    <t>1470515638368096259</t>
  </si>
  <si>
    <t>@drfahrettinkoca @RTErdogan siz kadro verin derseniz ve bizi görürseniz ancak o zaman atamamız olur lütfen artik o… https://t.co/9m3hMx9tZW</t>
  </si>
  <si>
    <t>1470515163757428738</t>
  </si>
  <si>
    <t>@drfahrettinkoca #saglikyonetimi bölümünü görün artik çünkü bizi görmediğiniz müddetçe o kadar insan kaybettiniz de… https://t.co/wByJG0sjFa</t>
  </si>
  <si>
    <t>1470514437786419203</t>
  </si>
  <si>
    <t>@drfahrettinkoca 10k hemşire nedir ya mesleğe laf atmak değil demek istediğim ama diğer branşlar neden bu kadar az.… https://t.co/tFOwmcxQLK</t>
  </si>
  <si>
    <t>1470513620173959170</t>
  </si>
  <si>
    <t>@drfahrettinkoca Niye #saglikyonetimi bölümü yok okuduğumuz bölümden alım yapın</t>
  </si>
  <si>
    <t>1470513435154821126</t>
  </si>
  <si>
    <t>@drfahrettinkoca EĞER BİR DİYETİSYEN OLARAK 30 BİNLERDE GİRDİĞİM YILLARCA YÜKSEK OLSUN KPSS OLSUN EMEK VERDİĞİM BÖL… https://t.co/OZHEszcEWj</t>
  </si>
  <si>
    <t>1470513360928129031</t>
  </si>
  <si>
    <t>@drfahrettinkoca Aşırı adil olmuş cidden yine harikasınız 👏🏼👏🏼👏🏼</t>
  </si>
  <si>
    <t>1470498889899913219</t>
  </si>
  <si>
    <t>@drfahrettinkoca İnsanın umudu nasıl kırılır nasıl tüketilir ; bknz</t>
  </si>
  <si>
    <t>1470498347513491459</t>
  </si>
  <si>
    <t>@drfahrettinkoca Adil dağılım dediniz 40 bin dediniz Her mesleğe gereken önemi veriyoruz dediniz Dediniz de dediniz ...</t>
  </si>
  <si>
    <t>1470485184864825344</t>
  </si>
  <si>
    <t>@drfahrettinkoca Çokmu mutlusun hepimizi kandirdiniz. Ahiret var ahiret</t>
  </si>
  <si>
    <t>1470501048771092483</t>
  </si>
  <si>
    <t>@drfahrettinkoca Bugüne kadar neredeydiniz bay bakan sağlıkçıların kanını emen bir iktidar, refahı yaşayan bir diya… https://t.co/Q7rTyqsl6d</t>
  </si>
  <si>
    <t>1470530232566308865</t>
  </si>
  <si>
    <t>@drfahrettinkoca Hocam. Tanıdık eş dost varsa gelin alalım, sonra kimi alalım demişsiniz hep olduğu gibi. Dunya sır… https://t.co/Sf4CgKweF3</t>
  </si>
  <si>
    <t>1470524607488835590</t>
  </si>
  <si>
    <t>@drfahrettinkoca Ağzıyla kuş tutsalar yine yaranamazlar bizim millete yeminle haketmiyonuz ya bide yapılan hizmetlere görün</t>
  </si>
  <si>
    <t>1470522996687347716</t>
  </si>
  <si>
    <t>@drfahrettinkoca Bu kadar kadro ilçe il başkanlıklarından gelecek listeye göre dolmayacak... sözünü verebiliyorsunu… https://t.co/JX1lJpADen</t>
  </si>
  <si>
    <t>1470517239069687808</t>
  </si>
  <si>
    <t>@drfahrettinkoca Sayın bakanım. Yardımcı sağlık personelinize 3000-4000 arası maaş ve çalıştığı kuruma ve birime gö… https://t.co/oBgFjAE7ca</t>
  </si>
  <si>
    <t>1470516695613808644</t>
  </si>
  <si>
    <t>@drfahrettinkoca @siberMNT</t>
  </si>
  <si>
    <t>1470516126568300546</t>
  </si>
  <si>
    <t>@drfahrettinkoca sayın bakanım allahınızı seviyosanız bi kadroda bizede yer verin bıktım artik nereye baş vuruyorsa… https://t.co/Bm6geWRLWc</t>
  </si>
  <si>
    <t>1470515221332733964</t>
  </si>
  <si>
    <t>@drfahrettinkoca Ağız ve diş sağlığı teknikerlerine 24 adet değilde 3000 5000 kontejan açın. 30.000 mezun var</t>
  </si>
  <si>
    <t>1470508968485208065</t>
  </si>
  <si>
    <t>@drfahrettinkoca 1600 ebe nedir ya ben elimdeki nimeti bırakmışım neme gerek istifa</t>
  </si>
  <si>
    <t>1470508232552681479</t>
  </si>
  <si>
    <t>@drfahrettinkoca Defol git şerefsiz</t>
  </si>
  <si>
    <t>1470507594452111362</t>
  </si>
  <si>
    <t>@drfahrettinkoca Sayın bakanım, 10 bin işçi kadrosunun içinde illerin nüfus sayılarına oranla engelli personel alımıda bekliyoruz inşallah.</t>
  </si>
  <si>
    <t>1470507376113553409</t>
  </si>
  <si>
    <t>@drfahrettinkoca Sayın bakanım,”10 bin sözleşmeli sağlık personeli ataması yapılacak". Bu nasıl iş? Bir yandan sayı… https://t.co/CUjsxs9NEr</t>
  </si>
  <si>
    <t>1470504337478762496</t>
  </si>
  <si>
    <t>@drfahrettinkoca Sayın bakan sürekli bilgi gülcellemisi yapmak  lazım 30 yılllık atanamayan hemşireler var  ve genç… https://t.co/drwckZPwsV</t>
  </si>
  <si>
    <t>1470502902837956611</t>
  </si>
  <si>
    <t>@drfahrettinkoca Kusura bakmayında şimdi hastanelerde saglık çalışanları töwbe haşa allah olmuşlar ne soru sormaya… https://t.co/09shtK5xn0</t>
  </si>
  <si>
    <t>@drfahrettinkoca TATLI SU SOLCULARINA duyurulurrr somrada derler kendi adamlarını işe aldı bizi almadı hep aynı TERANEEE</t>
  </si>
  <si>
    <t>1470499293916184589</t>
  </si>
  <si>
    <t>@drfahrettinkoca Istifa edenlerin yerini ancak doldurursunuz.</t>
  </si>
  <si>
    <t>1470498977082748928</t>
  </si>
  <si>
    <t>@drfahrettinkoca Süresiz 4bliler kadro bekliyor senelerdir aile bütünlüğümüz yok</t>
  </si>
  <si>
    <t>1470496912436514817</t>
  </si>
  <si>
    <t>@drfahrettinkoca Diyosunuz biraz da ÖSYM oyalasın sizi ??</t>
  </si>
  <si>
    <t>1470496676305588236</t>
  </si>
  <si>
    <t>@drfahrettinkoca Sana inanmıyoruz.</t>
  </si>
  <si>
    <t>1470488344375218193</t>
  </si>
  <si>
    <t>@drfahrettinkoca Suriyelilerden alırsınız artık, Türk hekimleri yavaş yavaş bırakıyor sayenizde mobing,  darp hersey var ülkede.</t>
  </si>
  <si>
    <t>1470487318050086914</t>
  </si>
  <si>
    <t>@drfahrettinkoca tm kimseye vermiyonuz da bari doktorlara verin parayı böyle nankörlük mü olur fıkra mısınız siz ahsjdjjf</t>
  </si>
  <si>
    <t>1470478391971360777</t>
  </si>
  <si>
    <t>@drfahrettinkoca Sayın bakanım @drfahrettinkoca  şimdi bu kadro dağılımı adil mi binlerce insanın atanmak için bekl… https://t.co/J5LrKGB5pO</t>
  </si>
  <si>
    <t>1470473438607388672</t>
  </si>
  <si>
    <t>@drfahrettinkoca @saglikbakanligi Hocam kartal lütfü kırdar hastane anestesi servisinde neler oluyor dikkat dikkat… https://t.co/5PPXnqdXP5</t>
  </si>
  <si>
    <t>1470471676916023296</t>
  </si>
  <si>
    <t>@drfahrettinkoca Hazine de para kalmayınca her katroya asgari Ücret li sözeşmeli memurlar alınıyor bunca atama bekl… https://t.co/Tqzo2DGvqS</t>
  </si>
  <si>
    <t>1470471337361747979</t>
  </si>
  <si>
    <t>@drfahrettinkoca Bunları görev süreniz sona erdikten sonra yargıya anlatırsınız Fahrettin bey 😤</t>
  </si>
  <si>
    <t>1470542819056140291</t>
  </si>
  <si>
    <t>@drfahrettinkoca Öldürdünüz</t>
  </si>
  <si>
    <t>1470528682951389185</t>
  </si>
  <si>
    <t>@drfahrettinkoca İnsan olan yerde hata olur işte bu yüzden 0 insan (!) = 0 hata ✔️</t>
  </si>
  <si>
    <t>1470528178578161664</t>
  </si>
  <si>
    <t>@drfahrettinkoca Allah belanizi versin</t>
  </si>
  <si>
    <t>1470527539848396806</t>
  </si>
  <si>
    <t>@drfahrettinkoca Sağlıkta hata kusur olmaz. Hani sonuçlarını bilmediğiniz aşıları-ilaçları kullanmayacak kadar aciz… https://t.co/JNwGOTj94N</t>
  </si>
  <si>
    <t>1470524743237488652</t>
  </si>
  <si>
    <t>@drfahrettinkoca Tıp adına bu saatten sonra iyi birşey olacaksa köklü bir anlayış değişikliği şart. Zira modern tıb… https://t.co/az5yLIlZvz</t>
  </si>
  <si>
    <t>1470521669924044808</t>
  </si>
  <si>
    <t>@drfahrettinkoca Siz bilimi takip etmediniz, rocker.feller tıbbı size ne dayattı ise sorgulamadan itaat ettiniz. Be… https://t.co/9B0KEzQ96X</t>
  </si>
  <si>
    <t>1470521041558679559</t>
  </si>
  <si>
    <t>@drfahrettinkoca Kasdin millete başka  maddeye eğilmeye gerek yok</t>
  </si>
  <si>
    <t>1470520944942886914</t>
  </si>
  <si>
    <t>@drfahrettinkoca Bunu diyebilmeniz hem üzücü hem güzel. Ancak insan olan yerde hata olur eyvallah da başından beri… https://t.co/PCJxxlqPBB</t>
  </si>
  <si>
    <t>1470520545154416653</t>
  </si>
  <si>
    <t>@drfahrettinkoca Allah rizasi icin ; bosver 85 milyondan helallik almayi. Yataga yattiginda vicdaninla basbasa kald… https://t.co/UjzcKPujfO</t>
  </si>
  <si>
    <t>1470512425166376960</t>
  </si>
  <si>
    <t>@drfahrettinkoca Bir de pardon deyip çıkıp helallik isteyin bence. Bakalım kaç kişi helal olsun diyecek..</t>
  </si>
  <si>
    <t>1470507034844045316</t>
  </si>
  <si>
    <t>@drfahrettinkoca Asi konusunda hic birseyi eksik etmediniz en guzel yaptiginiz is, Yeter artik su cavidi bitirin yo… https://t.co/BFCA6kl9jz</t>
  </si>
  <si>
    <t>1470506984965353487</t>
  </si>
  <si>
    <t>@drfahrettinkoca Yaşattıklarını yaşamadan ölme  İnsanlar kimsesiz gömüldü ya sen gömülecek toprak bile bulma kimsesiz çürü Aminnn🤲🏻</t>
  </si>
  <si>
    <t>1470506569355993094</t>
  </si>
  <si>
    <t>@drfahrettinkoca Allah şahit, en başından sonuna kadar kasıt var ve hesap gününde iki elim  yakanda olacak.</t>
  </si>
  <si>
    <t>1470505003530035205</t>
  </si>
  <si>
    <t>@drfahrettinkoca @drfahrettinkoca Sana hakkımı helal etmiyorum ve ahirette seni yakandan tutacam. Ve inşallah bu dü… https://t.co/1j5eGj2o0q</t>
  </si>
  <si>
    <t>1470500042695974914</t>
  </si>
  <si>
    <t>@drfahrettinkoca KASIT YOKTU DSÖ İLE DAHA SALGIN BAŞLAMADAN NİYE YÖNETİM OFİSI KONUSUNDA İMZA ATTINIZ ? DSÖ NÜN SAL… https://t.co/hasg4CIJ1z</t>
  </si>
  <si>
    <t>1470495935776104452</t>
  </si>
  <si>
    <t>@drfahrettinkoca Zzztt Erenköy...</t>
  </si>
  <si>
    <t>1470494579807989780</t>
  </si>
  <si>
    <t>@drfahrettinkoca Biraz geç kaldınız sanırım.</t>
  </si>
  <si>
    <t>1470494073932984331</t>
  </si>
  <si>
    <t>@drfahrettinkoca Cennet mekan Sultan 4. Murad Han'ın sözüdür. Yabancılardan Para alan emirde alır bu çok net ve dai… https://t.co/LUtpUyFHAw</t>
  </si>
  <si>
    <t>1470493868856590339</t>
  </si>
  <si>
    <t>@drfahrettinkoca YARGILANACAKSIN</t>
  </si>
  <si>
    <t>1470493137999179792</t>
  </si>
  <si>
    <t>@drfahrettinkoca Falan filanla olmuyor sayın bakan. Yukarıdan verdiğiniz kararlari halkın içinde yaşayarak sorgulad… https://t.co/nbcAhvp5q7</t>
  </si>
  <si>
    <t>1470492233614958595</t>
  </si>
  <si>
    <t>@drfahrettinkoca Ben hata yaptığınızı düşünmüyorum gayet kendinizden emin ve bilinçli yaptınız .</t>
  </si>
  <si>
    <t>1470492154095185925</t>
  </si>
  <si>
    <t>@drfahrettinkoca Evet Sayın Bakan.. Günah çıkarmaya, Af dilemeye başlamışsınız! Yaptığınız hataları ufak ufak anlat… https://t.co/3zpJz1kUqW</t>
  </si>
  <si>
    <t>1470491289217118208</t>
  </si>
  <si>
    <t>1470489068463177737</t>
  </si>
  <si>
    <t>@drfahrettinkoca Gün gelir hesap döner. Kamu vicdanı.</t>
  </si>
  <si>
    <t>1470488771078590468</t>
  </si>
  <si>
    <t>@drfahrettinkoca Şahsen benim hakkım haram olsun sizin yüzünüzden çektiğimiz sıkıntıları bu dünyada sürünüşünüzü gö… https://t.co/OAtwFhzecu</t>
  </si>
  <si>
    <t>1470488715072053257</t>
  </si>
  <si>
    <t>@drfahrettinkoca https://t.co/xQKGu9UGmP Vanity Fair dergisinin açıklaması</t>
  </si>
  <si>
    <t>1470488338914324487</t>
  </si>
  <si>
    <t>@drfahrettinkoca Ooohhh ne guzel bilimin uzerine yikmak</t>
  </si>
  <si>
    <t>1470488280579854348</t>
  </si>
  <si>
    <t>@drfahrettinkoca Hocam sen istifa et artik zamani geldi hadi abi</t>
  </si>
  <si>
    <t>1470485746997993484</t>
  </si>
  <si>
    <t>@drfahrettinkoca Yanlış, bilmeden yapılan şeye denir; sizinki bilerek ve isteyerek yapılmış kötülüklerdir, yaptığın… https://t.co/IERvnD3MGN</t>
  </si>
  <si>
    <t>1470485648284999680</t>
  </si>
  <si>
    <t>@drfahrettinkoca Eksikleriniz olma dı görevinizi eksiksiz yaptınız artık nereden emir aldıysanız hakkını verdiniz a… https://t.co/VBpavfnYIi</t>
  </si>
  <si>
    <t>1470485622775238667</t>
  </si>
  <si>
    <t>@drfahrettinkoca O hata benim canıma kast ediyorsa affı var mı sence😡. Bir insana kurşun sıkıp afedersin beşer şaşa… https://t.co/xbK3F7GW6U</t>
  </si>
  <si>
    <t>1470482128802623499</t>
  </si>
  <si>
    <t>@drfahrettinkoca İstemeyerek oldu mu diyorsun yani?</t>
  </si>
  <si>
    <t>1470479364643082241</t>
  </si>
  <si>
    <t>@drfahrettinkoca Hakkimi helal etmiyorum babami aldiniz benden sevdiklerimizi aldiniz bizden Rabbim bunun hesabini… https://t.co/CrrOBQduI4</t>
  </si>
  <si>
    <t>1470478058561978381</t>
  </si>
  <si>
    <t>@drfahrettinkoca Kasten değilse gafilsiniz ve toplum sağlığı gafillere bırakılmayacak kadar önemlidir. Pandemi yala… https://t.co/wSNV1W1Scj</t>
  </si>
  <si>
    <t>1470474804323041280</t>
  </si>
  <si>
    <t>@drfahrettinkoca Sizin o "hata" diye nitelendirdiğiniz ama gayet açık açık,bile isteye kabul ettiğiniz DSÖ'nün teda… https://t.co/LX8YoVphlb</t>
  </si>
  <si>
    <t>1470474675440570377</t>
  </si>
  <si>
    <t>@drfahrettinkoca Affetmiyoruz Hakkımız haram zıkkım olsun</t>
  </si>
  <si>
    <t>1470474190901940224</t>
  </si>
  <si>
    <t>@drfahrettinkoca İlk başta sağlık bakanı bize Allah’ın lütfu demiştim .Sonra daha dikkatli takip ettim .sadece otur… https://t.co/NqhJnerJlZ</t>
  </si>
  <si>
    <t>1470473868670291976</t>
  </si>
  <si>
    <t>@drfahrettinkoca Bize içirdiğiniz ilaçların yaptırdığınız sıvıların hesabını Allah sorsun sizden!!!</t>
  </si>
  <si>
    <t>1470473755084443658</t>
  </si>
  <si>
    <t>@drfahrettinkoca https://t.co/64jrlwfQUG</t>
  </si>
  <si>
    <t>1470471733526380545</t>
  </si>
  <si>
    <t>@drfahrettinkoca Seni Allaha havale ettik bu kadar insanın günahı üzerinizde,rabbim sizi ne bu dünyada ne de ahiret… https://t.co/0f9AYq1nP8</t>
  </si>
  <si>
    <t>1470470323472683016</t>
  </si>
  <si>
    <t>@drfahrettinkoca Benim nenem sizin bu dayatmalarınız yüzünden oldu yürüyerek gittiği hastaneden o ölümcül ilaçtan s… https://t.co/N0eVef42YF</t>
  </si>
  <si>
    <t>1470181148580098054</t>
  </si>
  <si>
    <t>@drfahrettinkoca Bakanım lütfen boş yapma. Farkındayız üretim gerekli tedbirler eşliğinde devam etmeli ama öğrencil… https://t.co/11XxbDPF5E</t>
  </si>
  <si>
    <t>1470175460923523083</t>
  </si>
  <si>
    <t>@drfahrettinkoca Anlamaya çalışıyorum bu ne rahatlıktır, FALAN ne FİLAN ne.. Nasıl bir ağız ve nasıl bir su yüzüne… https://t.co/w4wJnJA3MX</t>
  </si>
  <si>
    <t>1470175095184404481</t>
  </si>
  <si>
    <t>@drfahrettinkoca Kast derken ? Aklima direk tarihi geçmiş sabah sekiz aksam sekiz verilen pavripiravirler geldi. Ha… https://t.co/pybaLLnDxj</t>
  </si>
  <si>
    <t>1470174549568274437</t>
  </si>
  <si>
    <t>@drfahrettinkoca kasıt yoksa istifa edin artık,hele o sağlıkçıları da başımıza bela ettikten sonra hemen istifa etmelisiniz</t>
  </si>
  <si>
    <t>1470172136568500224</t>
  </si>
  <si>
    <t>@drfahrettinkoca Üzgüm sayın Bakan bu kadar kolay sıyrılamazsınız, yargılanacaksınız...</t>
  </si>
  <si>
    <t>1470171958469873669</t>
  </si>
  <si>
    <t>@drfahrettinkoca gene mi kandirildik  diyecek !!!</t>
  </si>
  <si>
    <t>1470171921354563587</t>
  </si>
  <si>
    <t>@drfahrettinkoca 23 Nisan çocukları geliyor aklıma, bakansınız ama hiç bir hakkınız yok</t>
  </si>
  <si>
    <t>1470170799118159873</t>
  </si>
  <si>
    <t>@drfahrettinkoca Ne hatası?Senin yaptıkların bizzat kasıttı!İç işleri bakanı ile milli eğitim bakanı ile el ele ver… https://t.co/21QrTWffVy</t>
  </si>
  <si>
    <t>1470170587767132162</t>
  </si>
  <si>
    <t>@drfahrettinkoca Taktiri milletemi birakiyorsunuz? Hakkim helal degil, bizi bitirdiniz, yok maske, yok hes kodu, bi… https://t.co/WimkJvHH7h</t>
  </si>
  <si>
    <t>1470169167131205635</t>
  </si>
  <si>
    <t>@drfahrettinkoca Bakan bey sermayeyi 3 e belki de şu an itibariyle 4 e katladın. Cavit 19 amcayı bu kadar sevmen normal.</t>
  </si>
  <si>
    <t>1470167096126578692</t>
  </si>
  <si>
    <t>@drfahrettinkoca 13 ay atama bekleyen biri olarak hayatımı caldiginiz için bende sizi hiç unutmayacam sayın bakan</t>
  </si>
  <si>
    <t>1470166080345841665</t>
  </si>
  <si>
    <t>@drfahrettinkoca Elinizi vicdanınıza koyun artık lütfen okullar online eğitime geçilmeli yurtlarda her gün vakalar.… https://t.co/jPerQTlsda</t>
  </si>
  <si>
    <t>1470164597466349573</t>
  </si>
  <si>
    <t>@drfahrettinkoca Kasıtlı olarak zorunlu  aşılama ve maske zorunluluğu için yeterince bilimsel çalışma olmadan, sözd… https://t.co/zCPt0hOV5l</t>
  </si>
  <si>
    <t>1470164328582107140</t>
  </si>
  <si>
    <t>@drfahrettinkoca Hem Allah'a hemde yüce Türk milletine Hesap vereceksiniz. Verilen ilaçlarla hayatını kaybeden insa… https://t.co/n0kSNtFAzr</t>
  </si>
  <si>
    <t>1470163957658918916</t>
  </si>
  <si>
    <t>@drfahrettinkoca Ilk zamanlar olsa hatalar kabul edilebilir ama üzerinden bu kadar zaman geçmiş olmasına karşın hat… https://t.co/HMIifemO6d</t>
  </si>
  <si>
    <t>1470163535179231233</t>
  </si>
  <si>
    <t>@drfahrettinkoca Bi sus bi sus bi sus ,Allah belanı versin</t>
  </si>
  <si>
    <t>1470162379757469708</t>
  </si>
  <si>
    <t>@drfahrettinkoca Corona virüsü başladığından buyana hastalanmayan çocuğum okullar açıldı açılalı hastaneden çıkmaz oldu ?Neden acaba?</t>
  </si>
  <si>
    <t>1470161769956093952</t>
  </si>
  <si>
    <t>@drfahrettinkoca Daha bugün bizim sınıf öğretmeni mesaj attı sınıfta virüs bulaşan bir öğrenci olduğuna dair.Bir ki… https://t.co/R3OPiQvHUB</t>
  </si>
  <si>
    <t>1470161112024981516</t>
  </si>
  <si>
    <t>@drfahrettinkoca İnsan olan yerde hata olur,eksik olur ne güzel demişşiniz bakanım keşke malpraktisler için de böyl… https://t.co/FansGUXylc</t>
  </si>
  <si>
    <t>1470159955550482436</t>
  </si>
  <si>
    <t>@drfahrettinkoca Fahrettin gülüm istifa et paçayı kurtar gemi batıyor . Ve halkının arasına dön</t>
  </si>
  <si>
    <t>1470159785177796616</t>
  </si>
  <si>
    <t>@drfahrettinkoca İşini en iyi yapan kurum olarak.sizi kutluyorum. https://t.co/bpQse6z7oL</t>
  </si>
  <si>
    <t>1470159783353323526</t>
  </si>
  <si>
    <t>@drfahrettinkoca yav hee he</t>
  </si>
  <si>
    <t>1470158942420492292</t>
  </si>
  <si>
    <t>@drfahrettinkoca ‘Bırak artık şu ezikliği’ diyeceğim sayın @drfahrettinkoca bakanım ama boş demiş olacağım çünkü kı… https://t.co/jQ2zwxRKJO</t>
  </si>
  <si>
    <t>1470158382694899718</t>
  </si>
  <si>
    <t>@drfahrettinkoca Sağlık söz konusu olunca buna malpraktis deniyor, hukukta da yeri var sayın bakan</t>
  </si>
  <si>
    <t>1470157924609757188</t>
  </si>
  <si>
    <t>@drfahrettinkoca Insanları ekmek parası ve deney sıvısı arasında seçime zorladınız. Vay efendim hatalarimiz oldu de… https://t.co/uLSu0G673C</t>
  </si>
  <si>
    <t>1470157878514311170</t>
  </si>
  <si>
    <t>@drfahrettinkoca Zerre hakkım varsa haram olsun hepinize. Bill Gates'in sıvısını olmuyorlar diye işinden, ekmeğinde… https://t.co/dhzdvMEPq8</t>
  </si>
  <si>
    <t>1470157422253809667</t>
  </si>
  <si>
    <t>@drfahrettinkoca Kasıt zaten ihanet olur!</t>
  </si>
  <si>
    <t>1470156760992387073</t>
  </si>
  <si>
    <t>@drfahrettinkoca İş olan yerde insan olan yerde hata olur da konu “SAĞLIK “olunca kusurada bakmayın bu hataları nok… https://t.co/H3n2Z79Nqg</t>
  </si>
  <si>
    <t>1470156612270800899</t>
  </si>
  <si>
    <t>@drfahrettinkoca Aşılılarda hasta oluyor dediniz aşılılarda hastalığı yayıyor dediniz..  Peki neden sadece aşı olma… https://t.co/9RwokjbHzJ</t>
  </si>
  <si>
    <t>1470155998572785666</t>
  </si>
  <si>
    <t>@drfahrettinkoca Hocam Halkini Korumak icin vardir ,halkini öldürmek icin degil sikiysa siz üstelenin Saglik Bakani… https://t.co/WmmN1rZ5KM</t>
  </si>
  <si>
    <t>1470154885983264772</t>
  </si>
  <si>
    <t>@drfahrettinkoca Ey gidi ey.. https://t.co/r6QEuZbmbb</t>
  </si>
  <si>
    <t>1470154396067635209</t>
  </si>
  <si>
    <t>@drfahrettinkoca #MahmutÖzerOkullarOnline yeter artık canımıza tak etti. Kapatın şu lanet okulları. Sizin için 1 in… https://t.co/gkNiPd640A</t>
  </si>
  <si>
    <t>1470154009789018123</t>
  </si>
  <si>
    <t>@drfahrettinkoca Vicdanımda suçlusunuz. Ülkemin insanını ilaca ve aşıya boğdunuz  ve biz zehirlendik...</t>
  </si>
  <si>
    <t>1470152811610611712</t>
  </si>
  <si>
    <t>@drfahrettinkoca Mahkeme-i kübra var...Elleriniz, ayaklarınız, gözleriniz ve kulaklarınız aleyhinize şahitlik edece… https://t.co/5rynYrmbzd</t>
  </si>
  <si>
    <t>1470152183031152646</t>
  </si>
  <si>
    <t>@drfahrettinkoca Biz kasıt olduğuna eminiz ama!.</t>
  </si>
  <si>
    <t>1470152058263293955</t>
  </si>
  <si>
    <t>@drfahrettinkoca Bebekleri kobay faresi yaptınız. zafer kurugölü görevden bile uzaklaştırmadınız.hesap soruştürma a… https://t.co/MOLh6rr3D8</t>
  </si>
  <si>
    <t>1470152007101124613</t>
  </si>
  <si>
    <t>@drfahrettinkoca Her seyi kasıtlı yaptiniz cocuklarimiz okullarda kobay</t>
  </si>
  <si>
    <t>1470151680704536578</t>
  </si>
  <si>
    <t>@drfahrettinkoca Uzun zamandır doğru birşey göremiyorum.Kasıt konusu Allah'la sizin aranızda.Aylardır buradan okull… https://t.co/F7wpE85F6c</t>
  </si>
  <si>
    <t>1470151582687936513</t>
  </si>
  <si>
    <t>@drfahrettinkoca Tedbir alma onlem alma cocuklari okullarda 9 saat maske ile zehirle ama bunda kasıt yok de piskinligin bu kadarida olmaz</t>
  </si>
  <si>
    <t>1470151357462192131</t>
  </si>
  <si>
    <t>@drfahrettinkoca Hakkımızı helal etmiyoruz…</t>
  </si>
  <si>
    <t>1470151022421188610</t>
  </si>
  <si>
    <t>@drfahrettinkoca kasıt hata af olamaz, ucunda maalesef ki ölüm var, ilkokulda çocuğa sorsanız o bile bilir ki ne ka… https://t.co/kQCUJpcMLC</t>
  </si>
  <si>
    <t>1470150366708875266</t>
  </si>
  <si>
    <t>@drfahrettinkoca Çocuklar 8 saat maske takıyorlar. Nefeslerini kestiniz.siz herşeyi bilerek isteyerek yaptınız. Rabbime havale ediyorum...</t>
  </si>
  <si>
    <t>1470150251558363137</t>
  </si>
  <si>
    <t>@drfahrettinkoca Kasıt olmadığını nerden bilelim ey bakan</t>
  </si>
  <si>
    <t>1470149383811436559</t>
  </si>
  <si>
    <t>@drfahrettinkoca Onu bunu bırak @drfahrettinkoca aşıyı bulan @ercumentovali yı neden susturdunuz ne vaad ettiler si… https://t.co/C0pMxHBZjs</t>
  </si>
  <si>
    <t>1470149132228694018</t>
  </si>
  <si>
    <t>@drfahrettinkoca A$I olanda, olmayan kadar bulaştırıyor. Ve pcr testi sadece olmayandan isteniyorsa, burada konu in… https://t.co/zrihOVivib</t>
  </si>
  <si>
    <t>1470149101698240512</t>
  </si>
  <si>
    <t>@drfahrettinkoca Bebekler üzerinde deney yapan adama ne oldu</t>
  </si>
  <si>
    <t>1470148985310564360</t>
  </si>
  <si>
    <t>@drfahrettinkoca Yaz boyunca belediyeler bir biriyle yarışırsana konserler verdiler tatil yerleri hiç bir yasak önl… https://t.co/27Ew8IloXJ</t>
  </si>
  <si>
    <t>1470148874237091840</t>
  </si>
  <si>
    <t>@drfahrettinkoca Küreselcilerin dediklerini harfiyen yaptınız hiç eksiğiniz yok</t>
  </si>
  <si>
    <t>1470148142414893061</t>
  </si>
  <si>
    <t>@drfahrettinkoca Şurada dursun, seyreden kararını versin.. https://t.co/zm37AEk4a5</t>
  </si>
  <si>
    <t>1470148121628131329</t>
  </si>
  <si>
    <t>@drfahrettinkoca Şuanda bana dünyada kimin yerinde olmak istemezdin diye sorsalar inanın sizi derdim.Göz göre göre… https://t.co/R3AMIquRx8</t>
  </si>
  <si>
    <t>1470147861920862210</t>
  </si>
  <si>
    <t>@drfahrettinkoca İstifa et artık yapamıyorsun</t>
  </si>
  <si>
    <t>1470147751577104393</t>
  </si>
  <si>
    <t>@drfahrettinkoca Pardon da siz kendi aklınızla mı hareket ettiniz ki? Düşünme işini DSÖ’ye devredip, siz de emir ku… https://t.co/xVVnx9dprd</t>
  </si>
  <si>
    <t>1470147723009708036</t>
  </si>
  <si>
    <t>@drfahrettinkoca Türkiyede 6 tane Omicron vakası görülmüş...  Neyle anladınız termometreyle mi ? Virüsün üstünde Om… https://t.co/cqLrdlAToC</t>
  </si>
  <si>
    <t>1470147531401224197</t>
  </si>
  <si>
    <t>@drfahrettinkoca ..   https://t.co/UHAEO9vwfX</t>
  </si>
  <si>
    <t>1470147408919244802</t>
  </si>
  <si>
    <t>@drfahrettinkoca Faho ahirette hesap var</t>
  </si>
  <si>
    <t>1470147276718936066</t>
  </si>
  <si>
    <t>@drfahrettinkoca Sayın bakan bu kişi eğer doktor ise ve bu paylaşımdan sonra hala görev soruşturması açılmaz ise ya… https://t.co/Cf5RP1IIQA</t>
  </si>
  <si>
    <t>1470147261669720070</t>
  </si>
  <si>
    <t>@drfahrettinkoca Bunları yazıyorum ama umrunuzda deģil tabi evlat benim evladım.sizin evladınıza yapmadılar.yürüyer… https://t.co/VkOWI5ckTA</t>
  </si>
  <si>
    <t>1470146081447161856</t>
  </si>
  <si>
    <t>@drfahrettinkoca insanlar ölüyor</t>
  </si>
  <si>
    <t>1470145926639591429</t>
  </si>
  <si>
    <t>@drfahrettinkoca Bakana biri insanlarin öldüğünü soylesin... O statudeki birinin hata yapma lüksü yoktur</t>
  </si>
  <si>
    <t>1470145571050729479</t>
  </si>
  <si>
    <t>@drfahrettinkoca Planlayarak ve tasarlayarak salgın oluşturmaktan hesap vermelisiniz.</t>
  </si>
  <si>
    <t>1470145446953865221</t>
  </si>
  <si>
    <t>@drfahrettinkoca https://t.co/iI2SrexXEi</t>
  </si>
  <si>
    <t>1470145308265005065</t>
  </si>
  <si>
    <t>@drfahrettinkoca Senin pcr testin yüzünden çocuğumu hastaneye yatış yapmıyorlardı.yaptırıncada 10 saat öksürdü hast… https://t.co/O1agSQdCli</t>
  </si>
  <si>
    <t>1470144996871491596</t>
  </si>
  <si>
    <t>@drfahrettinkoca Konunun muhatabı biz değiliz❗ Bitirdiğiniz BİLİMİN ve sizden güç alarak halka zulüm yapan doktorla… https://t.co/4W3NzdNO8n</t>
  </si>
  <si>
    <t>1470144930748186627</t>
  </si>
  <si>
    <t>@drfahrettinkoca Bakan bey zor bir  süreçde  elinizden geleni  yapiyorsunuz  hep birlikte daha iyisinide  yapabilir… https://t.co/yKJi2XH9QV</t>
  </si>
  <si>
    <t>1470143962312806404</t>
  </si>
  <si>
    <t>@drfahrettinkoca Sayın Fahrettin Koca Bırakın BU masalları bize cavit aşısı en son olarak kaçıncı doza çıkabilir 10… https://t.co/VrIOFVzFW8</t>
  </si>
  <si>
    <t>1470143914208382982</t>
  </si>
  <si>
    <t>@drfahrettinkoca Af maf yok https://t.co/BQnIdX43Rrıcıkta olsa hakkımızda geçtiyse haram olsun.ALLAH CC  bu dünyada… https://t.co/DON7uDVFJV</t>
  </si>
  <si>
    <t>1470143200300052486</t>
  </si>
  <si>
    <t>@drfahrettinkoca Sana ve senin teşkilatına hakkımı helal etmiyorum</t>
  </si>
  <si>
    <t>1470142960033538052</t>
  </si>
  <si>
    <t>@drfahrettinkoca KAPATMAYIN AMA YENİ ÖNLEMLER ALIN BİZİM ÇOCUKLARIMIZ DENEK DEĞIL ÇOCUKALRIMİZİ DÜSÜNÜN ARTIK!… https://t.co/SJJO79NgEd</t>
  </si>
  <si>
    <t>1470142593765937156</t>
  </si>
  <si>
    <t>@drfahrettinkoca KAPATMAYIN AMA YENİ ÖNLEMLER ALIN BİZİM ÇOCUKLARIMIZ DENEK DEĞIL ÇOCUKALRIMİZİ DÜSÜNÜN ARTIK!… https://t.co/eX6vg0HFEI</t>
  </si>
  <si>
    <t>1470142547519733761</t>
  </si>
  <si>
    <t>@drfahrettinkoca bilgisayar internet çağında ortaçağa mahkum edildik, ölümcül küresel bir salgın ortasında bilgisay… https://t.co/8mS5CJKeBh</t>
  </si>
  <si>
    <t>1470142530184482825</t>
  </si>
  <si>
    <t>@drfahrettinkoca Milli Eğitim Bakanlığı KAPATMAYIN AMA YENİ ÖNLEMLER ALIN BİZİM ÇOCUKLARIMIZ DENEK DEĞIL ÇOCUKALRIM… https://t.co/Dw2ueu6OUZ</t>
  </si>
  <si>
    <t>1470142514451599360</t>
  </si>
  <si>
    <t>@drfahrettinkoca Milli Eğitim Bakanlığı KAPATMAYIN AMA YENİ ÖNLEMLER ALIN BİZİM ÇOCUKLARIMIZ DENEK DEĞIL ÇOCUKALRIM… https://t.co/T2NTx66e6W</t>
  </si>
  <si>
    <t>1470142491559145478</t>
  </si>
  <si>
    <t>@drfahrettinkoca "ayyyyy pardon gunde 16 tane hap ve bilimum ilaçlarla yakınlarınızı tahtali köye gönderdik. aşı ya… https://t.co/eqUtU9UWUO</t>
  </si>
  <si>
    <t>1470142398042972173</t>
  </si>
  <si>
    <t>@drfahrettinkoca Hakkım helal degil size de bilim insanlarına da TEŞKİLATINIZA da!!</t>
  </si>
  <si>
    <t>1470142110397616128</t>
  </si>
  <si>
    <t>@drfahrettinkoca İstifa etmelisiniz. O salgın kurulunu da alıp gidin lütfen.</t>
  </si>
  <si>
    <t>1470141841697914882</t>
  </si>
  <si>
    <t>@drfahrettinkoca Siz bile isteye yaptınız herşeyi. Hala korona hastalarına etkisi bile olmadığı ispat edilen favirapir verildiği gibi..</t>
  </si>
  <si>
    <t>1470141218969595904</t>
  </si>
  <si>
    <t>@drfahrettinkoca Türkiye de bilimin https://t.co/UF5IdTd3FU yok hala bilim bilim diyorlar komik olmayın bu kadar. A… https://t.co/3Fwuj0F4Kn</t>
  </si>
  <si>
    <t>1470141054489874439</t>
  </si>
  <si>
    <t>@drfahrettinkoca ilkokul çocuğa sorsanız o bile bilir ki ne kadar çok bulaş olursa o kadar çok varyant çıkar, sn BA… https://t.co/VXcz2Wl3dH</t>
  </si>
  <si>
    <t>1470141032264351745</t>
  </si>
  <si>
    <t>@drfahrettinkoca Sıvılardan ölenleri, zarar görenleri şeffaf bir şekilde hala açıklamadınız. Bu hata mıdır?Noksanlık mıdır? kasıt mıdır?</t>
  </si>
  <si>
    <t>1470140706635268103</t>
  </si>
  <si>
    <t>@drfahrettinkoca Bu günler elbet geçer yediğimiz ayazda kim kapıyı ardına kadar açtı kim kapatmaya çalıştı belli. H… https://t.co/MtW98QB1rb</t>
  </si>
  <si>
    <t>1470140657029242883</t>
  </si>
  <si>
    <t>@drfahrettinkoca Hiç inandırıcı gelmiyor artık sözleriniz....</t>
  </si>
  <si>
    <t>1470140504906031108</t>
  </si>
  <si>
    <t>@drfahrettinkoca af dilemeyin ben hakkımı helal etmiyorum</t>
  </si>
  <si>
    <t>1470140205927735297</t>
  </si>
  <si>
    <t>@drfahrettinkoca Yahu siz nasıl doktorsunuz acaba?  ne kadar çok bulaş olursa o kadar çok varyant çıkar denmedi mi… https://t.co/IZzlpAXo4X</t>
  </si>
  <si>
    <t>1470140010020192256</t>
  </si>
  <si>
    <t>@drfahrettinkoca İlk virüs çıktığında termal kamerayla kontrol ediyoruz dediniz ama termal kamera virüsü tarayamadı bunu kasten mı yaptınız</t>
  </si>
  <si>
    <t>1470139754289184777</t>
  </si>
  <si>
    <t>@drfahrettinkoca https://t.co/lkXTANEI1O</t>
  </si>
  <si>
    <t>1470139660236115978</t>
  </si>
  <si>
    <t>@drfahrettinkoca Valla onca yazilani soyleneni ciddiye almadiniz siz hata yapmıyorsunuz bile bile lades diyorsunuz… https://t.co/CtX7h2oxzV</t>
  </si>
  <si>
    <t>1470139142617116672</t>
  </si>
  <si>
    <t>@drfahrettinkoca İnsanlara aşı ve pcr zulmü yaptınız, 16 doz ilaçla öldürdünüz, bebeklere aşı yapıldı gıkınız çıkma… https://t.co/HvCOjJDPOI</t>
  </si>
  <si>
    <t>1470139136992555008</t>
  </si>
  <si>
    <t>@drfahrettinkoca 3 doz Sinovac yaptıranlara son aşıyı  yaptıralı 6 geçmesine rağmen neden 4.doz aşı yaptırabilme im… https://t.co/iaC4fwi0wn</t>
  </si>
  <si>
    <t>1470138953995112460</t>
  </si>
  <si>
    <t>@drfahrettinkoca @drfahrettinkoca aşıdan sonra göğüs ağrıları artan ve kalp krizinden ölen akrabalarımın vebali boy… https://t.co/h0qmFoIWNj</t>
  </si>
  <si>
    <t>1470138825620041731</t>
  </si>
  <si>
    <t>@drfahrettinkoca Favicoviri önünüze gelene kasıtlı vermediniz yani 😣</t>
  </si>
  <si>
    <t>1470138675652612107</t>
  </si>
  <si>
    <t>@drfahrettinkoca Hata yapmadın hata istemeden yapılana denir sen yanlış yaptın bu halka hemde bile isteye şimdi de… https://t.co/ikn2jXqKei</t>
  </si>
  <si>
    <t>1470138508706787332</t>
  </si>
  <si>
    <t>@drfahrettinkoca Nasıl kasıt yok insanları öldürmeye kastetmişsiniz bir gün yargılanacaksınız ,yönetemiyorsunuz kab… https://t.co/r5r6SE60h5</t>
  </si>
  <si>
    <t>1470138482760822797</t>
  </si>
  <si>
    <t>@drfahrettinkoca dozu dumana katalım herkeşi aşılayalım</t>
  </si>
  <si>
    <t>1470138292712751107</t>
  </si>
  <si>
    <t>@drfahrettinkoca Bildiklerimizi gördüklerimizi we görmediklerimizi Allah a hawale ettik ...</t>
  </si>
  <si>
    <t>1470137894367109124</t>
  </si>
  <si>
    <t>@drfahrettinkoca Aşılama %80 lere ulaşınca salgın bitecek ...       Fahrettin koca  !!!! Neden bitmedi ? Bitmesini… https://t.co/Svw1Sdza9P</t>
  </si>
  <si>
    <t>1470137870761529348</t>
  </si>
  <si>
    <t>@drfahrettinkoca Ne yâni, aşı adı altında verdiğiniz zararları hataylami açıklayacaksınız.</t>
  </si>
  <si>
    <t>1470137712527253504</t>
  </si>
  <si>
    <t>@drfahrettinkoca Bunda bir kasıt yok mu? Sırf size yazılan cevapları biraz olsun ciddiye alıp önceden haber vermede… https://t.co/JLCecXxRGz</t>
  </si>
  <si>
    <t>1470137498240266240</t>
  </si>
  <si>
    <t>@drfahrettinkoca DSÖ denen küresel azmanların uzantılarını ülke dışına atmakla ,bilim kurulunu lağvetmekle , doğrud… https://t.co/1Ry4fQxyLK</t>
  </si>
  <si>
    <t>1470136972052205582</t>
  </si>
  <si>
    <t>@drfahrettinkoca Bu naif tavırların bir anlamı yok sayın bakan. Bu tavrın kasti olduğunu fark edebilecek insanlarız… https://t.co/EC2cqUtv0r</t>
  </si>
  <si>
    <t>1470136684180299786</t>
  </si>
  <si>
    <t>@drfahrettinkoca Kasıt yok öyle mi? 🙂</t>
  </si>
  <si>
    <t>1470136533269286914</t>
  </si>
  <si>
    <t>@drfahrettinkoca Bakanım aşı diyorsunuz da, Türkovac hala çıkmadı. Milyonlarca insan bekliyor ne zaman başlayacak aşılamalar?</t>
  </si>
  <si>
    <t>1470136413916180483</t>
  </si>
  <si>
    <t>@drfahrettinkoca Bu konuşmanın sonunda keşke istifa etseydiniz</t>
  </si>
  <si>
    <t>1470136146743201797</t>
  </si>
  <si>
    <t>@drfahrettinkoca DİYETİSYENLERE COK SAYİDA ATAMA BEKLİYORUZ SAYİN BAKANİM 90 üstü puanla hala ACİKTALAR</t>
  </si>
  <si>
    <t>1470135284847230980</t>
  </si>
  <si>
    <t>@drfahrettinkoca DİYETİSYENLERE COK SAYİDA ATAMA BEKLİYORUZ</t>
  </si>
  <si>
    <t>1470135229016952838</t>
  </si>
  <si>
    <t>@drfahrettinkoca DİYETİSYENLERE COK SAYİDA ATAMA BEKLİYORUZ SAYİN BAKANİM 91 PUANLA KARDESİM HALA ACİKTA</t>
  </si>
  <si>
    <t>1470135176135069699</t>
  </si>
  <si>
    <t>@drfahrettinkoca Özür dilenmeyede başladı hadi bakalım 🤔</t>
  </si>
  <si>
    <t>1470135054609362952</t>
  </si>
  <si>
    <t>@drfahrettinkoca Gün sayıyoruz gün hesap vakti gelecek</t>
  </si>
  <si>
    <t>1470134955783204869</t>
  </si>
  <si>
    <t>@drfahrettinkoca Eğer böylesine kritik bir görevi yerine getirirken hatanız ve noksanınız varsa o görevden ayrılır… https://t.co/p1diwlgRxl</t>
  </si>
  <si>
    <t>1470134524663279622</t>
  </si>
  <si>
    <t>@drfahrettinkoca 👏👍🇹🇷</t>
  </si>
  <si>
    <t>1470134487644311555</t>
  </si>
  <si>
    <t>@drfahrettinkoca Katılırım. Aşı oranlarını toplam nüfüs üzerinden yayınlayın.İnsanları korkutun. Çok rahatlar,cahilce...</t>
  </si>
  <si>
    <t>1470133788332146690</t>
  </si>
  <si>
    <t>@drfahrettinkoca Ozaman istifa et her onurlu insanın yapması gerektiği gibi,insanların canı bukadar ucuz değil</t>
  </si>
  <si>
    <t>1470133478784217100</t>
  </si>
  <si>
    <t>@drfahrettinkoca Sayın bakan öğretmenler 3. doz aşıyı ne zaman olacak? 2. doz aşıyı temmuz ayında olduk. Bekleme sü… https://t.co/MTaFNRW5dc</t>
  </si>
  <si>
    <t>1470133326220566530</t>
  </si>
  <si>
    <t>@drfahrettinkoca Ben tüm eylemlerinizi kasıtlı yaptığınızı düşünmüştüm,Kasıt yoksa o zaman çok cahilsiniz demek ki 🤔 https://t.co/Zt9LksDChY</t>
  </si>
  <si>
    <t>1470132487913357315</t>
  </si>
  <si>
    <t>@drfahrettinkoca Sayın koca taktirlerimiz demişsiniz lütfen tez vakitte istifa ediniz öyleyse...</t>
  </si>
  <si>
    <t>1470132324524253185</t>
  </si>
  <si>
    <t>@drfahrettinkoca Size gerçekten yazıklar olsun bir sürü insanın canı tehlikede heleki öğrenciler sefalet çekiyor he… https://t.co/1eoxXkpKKq</t>
  </si>
  <si>
    <t>1470131616022515722</t>
  </si>
  <si>
    <t>@drfahrettinkoca kasıt var bile bile hayatımızı .iktiniz</t>
  </si>
  <si>
    <t>1470131343120031751</t>
  </si>
  <si>
    <t>@drfahrettinkoca Sevgili bakanım haklısınız işin içinde kasıt yoksa suçta yoktur lakin eksik kalmakta bir gorevi ic… https://t.co/spEGW0pmzD</t>
  </si>
  <si>
    <t>1470131173171019778</t>
  </si>
  <si>
    <t>@drfahrettinkoca Sayın bakanım annem öldü benim saydığınız herşey geçiyor aklımdan bazı hataların telafisi olmaz.olmayacak...</t>
  </si>
  <si>
    <t>1470130678159355919</t>
  </si>
  <si>
    <t>@drfahrettinkoca Bırakın bu isleriii hastaneler tam bi rezillikkkk doçentler profler insanlarn yüzųne bakmıyooo asi… https://t.co/ovtL0KSHFy</t>
  </si>
  <si>
    <t>1470130304081965060</t>
  </si>
  <si>
    <t>@drfahrettinkoca Yeter ölüyoruz Syn. Fahrettin Koca sesimizi duy artik ve acilen online eğitim! #MahmutOEzerOkullarOnline</t>
  </si>
  <si>
    <t>1470130003593633798</t>
  </si>
  <si>
    <t>@drfahrettinkoca Ehliyet ve liyakata dikkat edildiğinde 21’inci yüzyıl Türk yüzyılı, uyulmadığında ise bir felaket… https://t.co/5R3AuRjHXX</t>
  </si>
  <si>
    <t>1470129714526367751</t>
  </si>
  <si>
    <t>@drfahrettinkoca Keşke çığlıklar yükselince bir dönüp baksaydınız...Gideceğimiz yer belli !değer mi bakanım geç kalmadınız mı?</t>
  </si>
  <si>
    <t>1470129018431320064</t>
  </si>
  <si>
    <t>@drfahrettinkoca ...diye uydurdular.  #FatihErbakan https://t.co/F87DzMfphp</t>
  </si>
  <si>
    <t>1470128949606891524</t>
  </si>
  <si>
    <t>@drfahrettinkoca https://t.co/Y8637Ogynw</t>
  </si>
  <si>
    <t>1470128408646537219</t>
  </si>
  <si>
    <t>@drfahrettinkoca Sayın Bakanım bu konuşmaniz veda konuşması gibi olmuş . Eğer öyle bir şey olursa Siz görevinizi la… https://t.co/Xioy2F6ZLC</t>
  </si>
  <si>
    <t>1470128287829700610</t>
  </si>
  <si>
    <t>@drfahrettinkoca Masken nerde fahrettin</t>
  </si>
  <si>
    <t>1470128018714681350</t>
  </si>
  <si>
    <t>@drfahrettinkoca Bakanım neden hala resmi duyuru gelmedi ne kadar daha bekleyeceğiz? @drfahrettinkoca @gozdekirisciogl @halis_aygun</t>
  </si>
  <si>
    <t>1470127938653732864</t>
  </si>
  <si>
    <t>@drfahrettinkoca Aldığın nefes bile zarar fahrettin</t>
  </si>
  <si>
    <t>1470127640493371397</t>
  </si>
  <si>
    <t>@drfahrettinkoca Medipol hastanelerinin ödemediği - ödediği halediş ve faturalara ne zaman bakacaksınız. Fatura içi… https://t.co/Oe2rYwh8ur</t>
  </si>
  <si>
    <t>1470127633442746368</t>
  </si>
  <si>
    <t>@drfahrettinkoca Yoo hicaklimiza ole seyler gelmiyor direk. Yalan dolan geliyor inancimizi kaybettik artik asiya vi… https://t.co/8s9k3thFzo</t>
  </si>
  <si>
    <t>1470127474604490755</t>
  </si>
  <si>
    <t>@drfahrettinkoca İstediğin ölü sayisina ulasamadiniz değil mi yazık oldu aşıların</t>
  </si>
  <si>
    <t>1470126650494959632</t>
  </si>
  <si>
    <t>@drfahrettinkoca Çok beklersin Fahrettin .</t>
  </si>
  <si>
    <t>1470126510052986889</t>
  </si>
  <si>
    <t>@drfahrettinkoca @drfahrettinkoca Sayın bakanım Dr fatih kırar beni kandırıp 10 Bin TL mı aldı lutfen yardım edin p… https://t.co/7xjmRmXSwd</t>
  </si>
  <si>
    <t>1470126465903702017</t>
  </si>
  <si>
    <t>@drfahrettinkoca Allah sizden çok bizden razı olsun sayın bakanım. Sizin gibilerin sayesinde artık hastanede doğuyo… https://t.co/6zTTkI36J1</t>
  </si>
  <si>
    <t>1470126322601050115</t>
  </si>
  <si>
    <t>@drfahrettinkoca Bu ne demek oluyor şimdi yavaş yavaş günah çıkarma faslına geçiyoruz galiba.</t>
  </si>
  <si>
    <t>1470126291206774792</t>
  </si>
  <si>
    <t>@drfahrettinkoca Allah seni ve küreselcilerin paganların dediğini yapan herkesi sonsuz cehennem ehli eylesin! Amîn 🇹🇷 🇹🇷 🇹🇷</t>
  </si>
  <si>
    <t>1470126148818452481</t>
  </si>
  <si>
    <t>@drfahrettinkoca Baştan sona kasıt baştan sona bilerek zulmettiniz!!  Sıyrılmaya çalışmayın sakın  Binlerce bilgi b… https://t.co/0fGGyZhUxf</t>
  </si>
  <si>
    <t>1470125614321516558</t>
  </si>
  <si>
    <t>@drfahrettinkoca En büyük eksikliginiz üniversite hastanelerinde ki hemşireler, hiç bir özlük hakkımız yok @drfahrettinkoca</t>
  </si>
  <si>
    <t>1470125508901933062</t>
  </si>
  <si>
    <t>@drfahrettinkoca Teşkilatım diyor ya 😂 İyice sahibi gibi konuşmaya başladı.</t>
  </si>
  <si>
    <t>1470125094731231233</t>
  </si>
  <si>
    <t>@drfahrettinkoca Ne bilimi ne affı? Hangi bakansın sen? Yer bakan mı?</t>
  </si>
  <si>
    <t>1470125023054675973</t>
  </si>
  <si>
    <t>@drfahrettinkoca Meslek tanımları eksik ve noksan yapıldı bakanlık olarak bunu düzeltmek ve hakları verilmeyen sağl… https://t.co/8yLIcoLSea</t>
  </si>
  <si>
    <t>1470124813272457217</t>
  </si>
  <si>
    <t>@drfahrettinkoca Resmen böğürdük... Takmadınız günlük ölen kişi sayısı ortalama 200. Bu ölümler savaş esnasında ols… https://t.co/IifZZQ7rMn</t>
  </si>
  <si>
    <t>1470124784398876672</t>
  </si>
  <si>
    <t>@drfahrettinkoca Siz beni bu kritik dönemde yüz yüze sınava soktunuz kaç gündür yatakta yatmaktayim sizin yüzünüze… https://t.co/a2iUy4LLU3</t>
  </si>
  <si>
    <t>1470124330109796352</t>
  </si>
  <si>
    <t>@drfahrettinkoca EY İNSANLIK DAHA HÂLÂ KÜRESEL ŞEYTANLARIN VE ONLARA HİZMET EDEN BİATÇILARIN PLANDEMİSİNE İNANARAK… https://t.co/vrdoeeuEak</t>
  </si>
  <si>
    <t>1470124240749928456</t>
  </si>
  <si>
    <t>@drfahrettinkoca senı cıkaran kahpenın amına cakayım kodumun yahudısı</t>
  </si>
  <si>
    <t>1470123194371690502</t>
  </si>
  <si>
    <t>@drfahrettinkoca 11 ler ifşa oldu, geri vites hazırlığı mı yapıyosun sayın bakan? Ama bu ülkede konu insan canı ike… https://t.co/z3Zmvf7Z8n</t>
  </si>
  <si>
    <t>1470122976578347009</t>
  </si>
  <si>
    <t>@drfahrettinkoca Hocam sorun farklı kasıtlı olan bir şeyler varsa diyerek veryansın olabilir şahsınıza değil işini… https://t.co/QzVTvMIVGJ</t>
  </si>
  <si>
    <t>1470122959998263305</t>
  </si>
  <si>
    <t>@drfahrettinkoca İnsanlar öldü,  aileler perişan oldu pardon mu diyeceksiniz bu saatten sonra. İnsaf birazcık.</t>
  </si>
  <si>
    <t>1470122671212044298</t>
  </si>
  <si>
    <t>@drfahrettinkoca Sizden Af dileriz diyosunuz🤔🤔🤔🤔 Yani hakkınızı helal edinmi ………………………………… Allah kulunu özgür yarat… https://t.co/mHIeJ94kGs</t>
  </si>
  <si>
    <t>1470122484737396737</t>
  </si>
  <si>
    <t>@drfahrettinkoca O zaman altta yazan yorumlara bakıp istifa etmen gerekiyor @drfahrettinkoca Ama nerde ….</t>
  </si>
  <si>
    <t>1470122094323240961</t>
  </si>
  <si>
    <t>@drfahrettinkoca Bu arada 6 aylık bebeklere sözde yanlışlıkla yapılan covid sıvılarını yapanlardan hesap ne zaman sorulacak.</t>
  </si>
  <si>
    <t>1470121911028006918</t>
  </si>
  <si>
    <t>@drfahrettinkoca Utanmaz ahlaksız adı @drfahrettinkoca</t>
  </si>
  <si>
    <t>1470121904774201347</t>
  </si>
  <si>
    <t>@drfahrettinkoca ahaaaa geliyor TANRI da halkimizda bizi affetsin</t>
  </si>
  <si>
    <t>1470121825749422086</t>
  </si>
  <si>
    <t>@drfahrettinkoca Gerçeği ve niyetleri yüce Rabbim biliyor.hayatta ki düsturum,ben ona teslim ettim.gerisi de beni ilgilendirmiyor</t>
  </si>
  <si>
    <t>1470121765418455043</t>
  </si>
  <si>
    <t>@drfahrettinkoca Hatalarınız arşı aştı. Dünyayı cehenneme çevirdiniz. Doyumsuzluğunuz 85 milyonun hayatına mal oldu… https://t.co/JtZ5uO4wOC</t>
  </si>
  <si>
    <t>1470121595981254666</t>
  </si>
  <si>
    <t>@drfahrettinkoca Bağışıklık sistemi güçlü olana korana birşey yapamıyor dediniz milletin bağışıklık sistemini neler… https://t.co/leyjCikR45</t>
  </si>
  <si>
    <t>1470121369455271943</t>
  </si>
  <si>
    <t>@drfahrettinkoca Sayın @RTErdogan ne diyor, Kılavuzu karga olanın burnu boktan kurtulmaz.   Sen ilaç firmaları tara… https://t.co/JFVxvW5rIY</t>
  </si>
  <si>
    <t>1470121180287975438</t>
  </si>
  <si>
    <t>@drfahrettinkoca AFFETMİYORUM !</t>
  </si>
  <si>
    <t>1470120468766154768</t>
  </si>
  <si>
    <t>@drfahrettinkoca Mantık şu. Deney deneydir🤔</t>
  </si>
  <si>
    <t>1470120434855288834</t>
  </si>
  <si>
    <t>@drfahrettinkoca DSÖ yü ülkeden atın. Tüm anlaşmaları iptal edin. Şu bilin kurulunu fesh  edin. Onlar sizin karşını… https://t.co/n0U5nPEVPN</t>
  </si>
  <si>
    <t>1470120383751901188</t>
  </si>
  <si>
    <t>@drfahrettinkoca Hergün 200 kişiyi virüs adı altında ilaçlarla öldürüyorsunuz ve şimdide hatalar olabilir affedin d… https://t.co/RG7rBYJ8M0</t>
  </si>
  <si>
    <t>1470120262481895424</t>
  </si>
  <si>
    <t>@drfahrettinkoca İstifa eder gibi açıklama olmuş</t>
  </si>
  <si>
    <t>1470120257935364105</t>
  </si>
  <si>
    <t>@drfahrettinkoca Azar yemeyin de kameralar önünde gerçekten onur kırıcı işmiş bakan olmak nerdeyse doktor olmak gib… https://t.co/u36nwC2SPk</t>
  </si>
  <si>
    <t>1470120175747932177</t>
  </si>
  <si>
    <t>@drfahrettinkoca Milleti deneysel sıvıları yaptınız şimdide kasıt yok öylemi benim zihnimde sizin hiçte iyi niyetli… https://t.co/C8o6EiY9q2</t>
  </si>
  <si>
    <t>1470119977718009860</t>
  </si>
  <si>
    <t>@drfahrettinkoca Söz konusu insan canı ise hata olamaz sayın bakan.yüzlerce insanın hayatı söz konusuydu.verilen ta… https://t.co/f422BcUpMc</t>
  </si>
  <si>
    <t>1470119970025652238</t>
  </si>
  <si>
    <t>@drfahrettinkoca BİLİMİ DEĞİLDE ALLAHI İLAH EDİNSEYDİNİZ,,, BİLİMİN DEĞİLDE ALLAH'IN GÖSTERMİŞ OLDUĞU YOLDAN  AYRIL… https://t.co/OfvDrBrKGj</t>
  </si>
  <si>
    <t>1470119941626023947</t>
  </si>
  <si>
    <t>@drfahrettinkoca YEMİN EDERİM DİYECEK TEK SÖZ BULAMADIM !!!!!</t>
  </si>
  <si>
    <t>1470119833106886658</t>
  </si>
  <si>
    <t>@drfahrettinkoca Milletimizin vicdanına emanet ettik diyor.🤔Bizde sagligimizi bu ülkenin hastanelerine ,doktorların… https://t.co/AVvf9Mb9NI</t>
  </si>
  <si>
    <t>1470119441107144715</t>
  </si>
  <si>
    <t>@drfahrettinkoca Ensar günden güne gözlerimizin önünde eriyip gidiyor, lütfen paylaşarak sesimizi duyurmamıza yardı… https://t.co/i8uIczTJql</t>
  </si>
  <si>
    <t>1470119290644934658</t>
  </si>
  <si>
    <t>@drfahrettinkoca Her gün yaklaşık 200 İnsanımızı kaybediyoruz Sn. Bakanım, hatırlatmak istedim... Gerisi teferruat.</t>
  </si>
  <si>
    <t>1470119128585363462</t>
  </si>
  <si>
    <t>@drfahrettinkoca Bakanım kaç gündür 200 kişi ölüyor kaç öğretmen öğrenci öldü kaçı kronik hasta oldu onların hesabı… https://t.co/ovrdhlzcN5</t>
  </si>
  <si>
    <t>1470119068808142854</t>
  </si>
  <si>
    <t>@drfahrettinkoca Hata yapma lüksün yok senin sağlık ta hata ne demek ?</t>
  </si>
  <si>
    <t>1470118893037535235</t>
  </si>
  <si>
    <t>@drfahrettinkoca Zamanında turist gelsindiye YALVARMAYI bırakıp giriş çıkışı sıkı tutsaydınız böyle ölümler artmazd… https://t.co/Kw9YJKnkrN</t>
  </si>
  <si>
    <t>1470118788980948998</t>
  </si>
  <si>
    <t>@drfahrettinkoca Verilen sözlerin mağduruyuz biz bransimiz 87 86 ile kapatıyor alım az adil dağılım istiyoruz https://t.co/1BDVP2RKga</t>
  </si>
  <si>
    <t>1470118715631063042</t>
  </si>
  <si>
    <t>@drfahrettinkoca Bu ne demek şimdi sayın bakan? Yanlış tedavi uygulayarak öldürdüklerimizden ya da bağışıklık siste… https://t.co/8mRdzEMvV6</t>
  </si>
  <si>
    <t>1470118663575515149</t>
  </si>
  <si>
    <t>@drfahrettinkoca Kasıt yoksa eğer, doktorlar bas bas bağırdı aşılar varyantı artırıyor diye niye dinlemediniz?</t>
  </si>
  <si>
    <t>1470118651294621701</t>
  </si>
  <si>
    <t>@drfahrettinkoca https://t.co/UUqP1AJ4n8</t>
  </si>
  <si>
    <t>1470118379985977345</t>
  </si>
  <si>
    <t>@drfahrettinkoca https://t.co/Zj49eDK2sk</t>
  </si>
  <si>
    <t>1470118332858781702</t>
  </si>
  <si>
    <t>@drfahrettinkoca https://t.co/LI3OmKjKy5</t>
  </si>
  <si>
    <t>1470118263652851723</t>
  </si>
  <si>
    <t>@drfahrettinkoca https://t.co/u74NLWB2hl</t>
  </si>
  <si>
    <t>1470118212549414915</t>
  </si>
  <si>
    <t>@drfahrettinkoca https://t.co/lBAtMcPyqJ</t>
  </si>
  <si>
    <t>1470118161035014149</t>
  </si>
  <si>
    <t>@drfahrettinkoca https://t.co/TPliLhJbol</t>
  </si>
  <si>
    <t>1470118146233221127</t>
  </si>
  <si>
    <t>@drfahrettinkoca https://t.co/XjT8p3ldv9</t>
  </si>
  <si>
    <t>1470118126125830146</t>
  </si>
  <si>
    <t>@drfahrettinkoca Cok ilginç bir twit, cok ilginç bir konuşma. Benden buraya kadar der gibi ⁉️🤔</t>
  </si>
  <si>
    <t>1470117884303228929</t>
  </si>
  <si>
    <t>@drfahrettinkoca Istifan bize buyuk iyilik olur sende kurtul bizde</t>
  </si>
  <si>
    <t>1470117804628234248</t>
  </si>
  <si>
    <t>@drfahrettinkoca Sayın bakanım #tıbbicihaz  firmaları zor durumda ödeme bekliyor sizin için basit bizim için hayati durumu düzeltin lütfen..</t>
  </si>
  <si>
    <t>1470117523920203779</t>
  </si>
  <si>
    <t>@drfahrettinkoca Aşılar elde kaldı sanırım</t>
  </si>
  <si>
    <t>1470117061208723461</t>
  </si>
  <si>
    <t>@drfahrettinkoca Artık karar verme vakti önlemler acil alınmalı  ölenlerin yakınlarından ah alıyorsunuz .heryeri aç… https://t.co/ncS9femnIJ</t>
  </si>
  <si>
    <t>1470117055387115525</t>
  </si>
  <si>
    <t>@drfahrettinkoca İstifa erdemdir !</t>
  </si>
  <si>
    <t>1470116443769475079</t>
  </si>
  <si>
    <t>@drfahrettinkoca @saglikbakanligi Covid bakanım..SSK hastane randevu ilaç alınan ücretler bunlarla ilgilenin...SSK… https://t.co/7zviR63PrA</t>
  </si>
  <si>
    <t>1470116392028585987</t>
  </si>
  <si>
    <t>@drfahrettinkoca Avrupa'da Amerikada favipiravir yasaklanmisken,siz ilaci kullanmaya devam ettiniz.8+8 günü geçmiş… https://t.co/WO5FDcuvOB</t>
  </si>
  <si>
    <t>1470116390157930499</t>
  </si>
  <si>
    <t>@drfahrettinkoca Sizin affola dediğiniz kusur canlar aldı..</t>
  </si>
  <si>
    <t>1470116302153035786</t>
  </si>
  <si>
    <t>@drfahrettinkoca Yalan konuşuyorsunuz halk sana hiç inanmıyor tarihe kötü bir not olarak düşeceksiniz.</t>
  </si>
  <si>
    <t>1470116237556559875</t>
  </si>
  <si>
    <t>@drfahrettinkoca Çok geç kaldın Özer in uygalamasından bir Adım önde olamadın .Bu kadar ölümlerin sebepini es geçti… https://t.co/oGmFHvZ2vZ</t>
  </si>
  <si>
    <t>1470116007759036419</t>
  </si>
  <si>
    <t>@drfahrettinkoca Biz kasıt görüyoruz. Devleti size emanet ettik. Siz küreselci baronlardan maşası dsö'den talimat a… https://t.co/kCtAGiLJDK</t>
  </si>
  <si>
    <t>1470115515553177600</t>
  </si>
  <si>
    <t>@drfahrettinkoca Geç kaldınız.. Eksik yaptınız.. Konuyu hiç dikkate almadınız.. Hata fazlasıyla yaptınız.. Esas ola… https://t.co/E6vmOxev8a</t>
  </si>
  <si>
    <t>1470115497647775745</t>
  </si>
  <si>
    <t>@drfahrettinkoca Doğru yaptığınız hiç bir şey yok , istifa edin gidin torun sevin para sayın</t>
  </si>
  <si>
    <t>1470114867503935496</t>
  </si>
  <si>
    <t>@drfahrettinkoca Oturduğunuz koltuk bile sizden ahirette davacı olacak..</t>
  </si>
  <si>
    <t>1470113971197906945</t>
  </si>
  <si>
    <t>@drfahrettinkoca Kasıt yok öylemi? O zaman Niye göz göre göre ekonomi uğuruna ögrenciler okullara otobüslere tıkılı… https://t.co/b4KZaLpn5T</t>
  </si>
  <si>
    <t>1470113801785782286</t>
  </si>
  <si>
    <t>@drfahrettinkoca Biz sana hata yada yanlış yaptın demedik ki. Biz sana bile isteye Küresel Güçlere hizmet ettin. Mi… https://t.co/XVsvgmAfSr</t>
  </si>
  <si>
    <t>1470113688258547716</t>
  </si>
  <si>
    <t>@drfahrettinkoca Diplomalı diplomasıza biat ederse hatalar kaçınılmazdır.</t>
  </si>
  <si>
    <t>1470113364340789249</t>
  </si>
  <si>
    <t>@drfahrettinkoca Mazlumuz kork,PCR firmasına sağlıklı insana PCR yaptırarak kazandırdığın kadar minimum, işe girmek… https://t.co/qGyrUdWNWW</t>
  </si>
  <si>
    <t>1470113354899415055</t>
  </si>
  <si>
    <t>@drfahrettinkoca Omicron gelmiş ya ülkeyi ne zaman kapatacaksınız kış geldi malum sabahları işe gitmek zor geliyor  😀😃</t>
  </si>
  <si>
    <t>1470113282296066048</t>
  </si>
  <si>
    <t>@drfahrettinkoca Kasıtsız olarak minnacık bebekleri aşıladınız değil mi. Deveye sormuşlar boynun neden eğri diye, b… https://t.co/hZx0gIZJE8</t>
  </si>
  <si>
    <t>1470113220883013636</t>
  </si>
  <si>
    <t>@drfahrettinkoca Aşı dedin başka bişi demedin. Salgın bakanı mısın sağlık mı?</t>
  </si>
  <si>
    <t>1470112374044741635</t>
  </si>
  <si>
    <t>@drfahrettinkoca Omicron için kapanmalar mı planlanıyor.</t>
  </si>
  <si>
    <t>1470112315517329422</t>
  </si>
  <si>
    <t>@drfahrettinkoca Göz göre göre yapıyorsanız peki? Bilim kurulu sizden bağımsız açıklama yapsaydı  o halde.</t>
  </si>
  <si>
    <t>1470112309666275338</t>
  </si>
  <si>
    <t>@drfahrettinkoca Pcr ile dar ettiğin hayatımın ki bunu haftada 3 kereye çıkardın ahirette söke söke alacağım bundan… https://t.co/2eXNvncV8W</t>
  </si>
  <si>
    <t>1470112283716116484</t>
  </si>
  <si>
    <t>@drfahrettinkoca Ohoo 2 sene saymakla bitmez yaptıklarınız bakanlığınızı DSÖ ye verdiniz milletinizi kobay yaptınız… https://t.co/7HfgnK7BEK</t>
  </si>
  <si>
    <t>1470112235641085954</t>
  </si>
  <si>
    <t>@drfahrettinkoca MHRS ile alakalı genelge yolluyorsun sana bağlı mhrs birimi seni sallamıyor, genelgeyi uygulamıyor… https://t.co/m5MqkrgH82</t>
  </si>
  <si>
    <t>1470112038617853956</t>
  </si>
  <si>
    <t>@drfahrettinkoca 3 ayı geçenlere 3. Doz açılmalı bir an önce Omicron başımızı ağrıtabilir</t>
  </si>
  <si>
    <t>1470111711885770752</t>
  </si>
  <si>
    <t>@drfahrettinkoca Göreve geldiğiniz den bu güne tama hiçbir işinize rastlamadım son iki yıl bir salgın ile oyaladını… https://t.co/AncqWu8c1D</t>
  </si>
  <si>
    <t>1470111678423515136</t>
  </si>
  <si>
    <t>@drfahrettinkoca BU BİR ACİL YARDIM TWİTİDİR. @EslemFatmaSMA1 HESABINDAN ULAŞABİLİRSİNİZ https://t.co/wd0MsQHXwL</t>
  </si>
  <si>
    <t>1470111385552052227</t>
  </si>
  <si>
    <t>@drfahrettinkoca Hiç bir yerde yanlış yapmadınız müsterih olunuz. Emir komuta merkeziniz ne dediyse uyguladınız. Si… https://t.co/6a6lMYFDW5</t>
  </si>
  <si>
    <t>1470111334696116235</t>
  </si>
  <si>
    <t>@drfahrettinkoca Okullar kapat  benim oglum 9 gündür  grip1 hasta aq</t>
  </si>
  <si>
    <t>1470111231897915395</t>
  </si>
  <si>
    <t>@drfahrettinkoca Bakanim sizin herhangi bir konuda konuşmabhakkiniz yoktur.Siz milleti kandirdiniz.Talimatla hareket ettiniz</t>
  </si>
  <si>
    <t>1470111160007548932</t>
  </si>
  <si>
    <t>@drfahrettinkoca Kasıtlı yapıyorsun fahrettin .  Kasıtlı tedavi protokolünü degistirmiyorsun</t>
  </si>
  <si>
    <t>1470111100406542345</t>
  </si>
  <si>
    <t>@drfahrettinkoca Insanlara dsö nün emrettiği tedavi protokolünü uyguluyorsunuz. Insanlar ölüyor . Gercekler meydana çıkar yakında</t>
  </si>
  <si>
    <t>1470110981359652868</t>
  </si>
  <si>
    <t>@drfahrettinkoca Ben atama konusunda kasıt olduğuna dair altına imzamı atarım, yazıklar olsun.</t>
  </si>
  <si>
    <t>1470110901382656000</t>
  </si>
  <si>
    <t>@drfahrettinkoca Yok eksik geç dikkatsizlik falan değil sonda dediğiniz gibi bence kasıt var</t>
  </si>
  <si>
    <t>1470110809552568326</t>
  </si>
  <si>
    <t>@drfahrettinkoca Telafi çalışma planınızı;3.dozlar için verilecek sipariş miktarını; okullar açıldıktan sonra hasta… https://t.co/KtwLiIsJ0p</t>
  </si>
  <si>
    <t>1470110704149700615</t>
  </si>
  <si>
    <t>@drfahrettinkoca Bu omicron olan hastalar aşılı mı, aşısız mı? Aşısız olsa şimdi dünyayı yıkmıştınız siz. Aşısız ol… https://t.co/eBYUilQJr4</t>
  </si>
  <si>
    <t>1470110646285000706</t>
  </si>
  <si>
    <t>@drfahrettinkoca Ölüm oldu ölüm aferdesiniz olmaz bebek DENEK oldu afedersinizle olmaz milleti mahfettiniz  aferder… https://t.co/KoQG1Uf2pl</t>
  </si>
  <si>
    <t>1470110572515676161</t>
  </si>
  <si>
    <t>@drfahrettinkoca Olmadı sayın bakan olmadı, doktorları meslektaşlarınızı şamaroğlanına çevirdiniz.. Olmayan zammı i… https://t.co/gUN1DKoSgS</t>
  </si>
  <si>
    <t>1470110400645582853</t>
  </si>
  <si>
    <t>@drfahrettinkoca Hakkim haram zikkim olsun size</t>
  </si>
  <si>
    <t>1470110252922191878</t>
  </si>
  <si>
    <t>@drfahrettinkoca Okullari online yap</t>
  </si>
  <si>
    <t>1470110206919122948</t>
  </si>
  <si>
    <t>@drfahrettinkoca 84 85 puanla atanamiyoruz 13 aydır alim yapmıyorsunuz yapacaginizida 2 ye boluyosunuz birsürü insa… https://t.co/i8n7UGHyLc</t>
  </si>
  <si>
    <t>1470109246465490950</t>
  </si>
  <si>
    <t>@drfahrettinkoca Bismillahirahmanirahim  Eûzu billahi mine’ş-şeytani’r-racim Şışttt sakin olun Salgın  Alanya'ya uğ… https://t.co/kgbnbWFYGr</t>
  </si>
  <si>
    <t>1470109077535694849</t>
  </si>
  <si>
    <t>@drfahrettinkoca YA BİR KERE DE BİZİ TEDİRGİN ETMEDEN BİR İŞ YAPIN YA DA HIZLI  SORULARI CEVAPLANDIRIN BU BİONTEC Ç… https://t.co/uw5WXhQAJA</t>
  </si>
  <si>
    <t>1470108935407517701</t>
  </si>
  <si>
    <t>@drfahrettinkoca Eğer kasıt yoksa bu salgın  ortamında acilen okulları online  yaparsınız  helede yeni varyant çıkm… https://t.co/sMisMfbcAu</t>
  </si>
  <si>
    <t>1470108715323990021</t>
  </si>
  <si>
    <t>@drfahrettinkoca En önemli etkende erdoğandır</t>
  </si>
  <si>
    <t>1470108444539727872</t>
  </si>
  <si>
    <t>@drfahrettinkoca Sağlık bakanı olsam atmış olduğum tewetlerin altına kılavuz da kılavuz diyenleri sağlık kuruşların… https://t.co/kJQbJCS5ab</t>
  </si>
  <si>
    <t>1470107983426293767</t>
  </si>
  <si>
    <t>@drfahrettinkoca Bebeklere ailesinin bilgisi ve rızası olmadan  “yanlışlıkla” ve yüksek dozda yapılan covid aşıları… https://t.co/4CLKnQkrT3</t>
  </si>
  <si>
    <t>1470107907576549381</t>
  </si>
  <si>
    <t>@drfahrettinkoca Sayın bakan: MHRS sistemi aylardır çökmüş durumda. HİÇ BİR HASTANEDEN RANDEVU ALINAMIYOR! Ya bu se… https://t.co/IzGT8i1bE1</t>
  </si>
  <si>
    <t>1470107798948261896</t>
  </si>
  <si>
    <t>@drfahrettinkoca FAVİRAPİR ile öle onca insanları vebali nolacak sayın bakan.</t>
  </si>
  <si>
    <t>1470107520354201633</t>
  </si>
  <si>
    <t>@drfahrettinkoca Külliyen KOCA bir yalan</t>
  </si>
  <si>
    <t>1470107216841744385</t>
  </si>
  <si>
    <t>@drfahrettinkoca Sadece eksikleriniz oldu ve hepsi kasten. #VakalarArtmadanEğitimUzaktan</t>
  </si>
  <si>
    <t>1470106860380471296</t>
  </si>
  <si>
    <t>@drfahrettinkoca baba 20 tl harclik verirmisin ne etcen 20 tl yi 10 tl neyine yetmiyo al su 5 lirayi</t>
  </si>
  <si>
    <t>1470106497782882309</t>
  </si>
  <si>
    <t>@drfahrettinkoca İstifa edecek galiba 😆</t>
  </si>
  <si>
    <t>1470106364882165764</t>
  </si>
  <si>
    <t>@drfahrettinkoca Sağlıkta hataya yer yoktur sayın bakan. Sağlıkta pardon deyip telafi etme şansınızda yoktur</t>
  </si>
  <si>
    <t>1470105705164288001</t>
  </si>
  <si>
    <t>@drfahrettinkoca En güzeli istifa.</t>
  </si>
  <si>
    <t>1470105523097845773</t>
  </si>
  <si>
    <t>@drfahrettinkoca Eğer kasıt yoksa bu salgın  ortamında acilen okulları online  yaparsınız  helede yeni varyant çıkm… https://t.co/Ke811vgweV</t>
  </si>
  <si>
    <t>1470105088589017089</t>
  </si>
  <si>
    <t>@drfahrettinkoca Favipiravir ilacıda kasıtlı olarak insanlara içirdiniz mesela aradan 1.5 sene geçti anca anladınız… https://t.co/ZdbZx1aLG3</t>
  </si>
  <si>
    <t>1470104912684011521</t>
  </si>
  <si>
    <t>@drfahrettinkoca Bazı şeyler eksik olmaktan ziyade hiç olmadı Bakanım. Mesela 13 aydır atama yapılmadı. Sürekli bir… https://t.co/6xPoe8WAOb</t>
  </si>
  <si>
    <t>1470104789707104261</t>
  </si>
  <si>
    <t>@drfahrettinkoca Kuralların uygulanması için yeterince denetim , işbirliği yapılmaması, sürekliliği olmayan sözde d… https://t.co/pa5f2KBVms</t>
  </si>
  <si>
    <t>1470104427440881672</t>
  </si>
  <si>
    <t>@drfahrettinkoca Bakanım, peki okulların hala online eğitime geçmemesi doğru birşeymi ?</t>
  </si>
  <si>
    <t>1470104031372664845</t>
  </si>
  <si>
    <t>@drfahrettinkoca 13 ay atama yapmamak gibi bir eksik mesela? Yüzbinlerce insanın hayalleri duyguları birer birer yı… https://t.co/0k1LGqpXC5</t>
  </si>
  <si>
    <t>1470103980080517120</t>
  </si>
  <si>
    <t>@drfahrettinkoca Kasıt olmamasi evet..Ya kasıt varsa,tedavi protokolleri kasıtlı olarak yanlış yapıldıysa......Akli… https://t.co/q8ZGpg2XrH</t>
  </si>
  <si>
    <t>1470103933003698177</t>
  </si>
  <si>
    <t>@drfahrettinkoca Kast olmaması mı ? Bu kadar uyarıya rağmen sen, bilim kurulun ve yardakçılarınızın aşı baskıları y… https://t.co/cpc0wC342r</t>
  </si>
  <si>
    <t>1470103083816562689</t>
  </si>
  <si>
    <t>@drfahrettinkoca Takdirimiz..gitmeniz</t>
  </si>
  <si>
    <t>1470103038040109056</t>
  </si>
  <si>
    <t>@drfahrettinkoca Aynen bakanım  önemli olan eksikleri bilmek  telafi etmek</t>
  </si>
  <si>
    <t>1470102050738483208</t>
  </si>
  <si>
    <t>@drfahrettinkoca Hayırdır, pişmanlık mı sardı ruhunu, yolun sonunu mu gördün yoksa? Kasıt yok diyerek sıyrılmak kol… https://t.co/AXJsyYBTP4</t>
  </si>
  <si>
    <t>1470102047706030083</t>
  </si>
  <si>
    <t>@drfahrettinkoca https://t.co/utZJ2uNIBP</t>
  </si>
  <si>
    <t>1470101893410172931</t>
  </si>
  <si>
    <t>@drfahrettinkoca Bakanım okullar kapansın yasaklar gelsin artık, canımızın kıymeti kaybedilince anlaşılmasın</t>
  </si>
  <si>
    <t>1470101376218845188</t>
  </si>
  <si>
    <t>@drfahrettinkoca Bismillahirahmanirahim  Eûzu billahi mine’ş-şeytani’r-racim Şışttt sakin olun Salgın  Alanya'ya uğ… https://t.co/dk8BAj6UBa</t>
  </si>
  <si>
    <t>1470101281402408966</t>
  </si>
  <si>
    <t>@drfahrettinkoca Bir insanın kasten öldürmenin,kazara öldürmenin cezası farklıdır.Ama ölen ölmüştür…</t>
  </si>
  <si>
    <t>1470101218651484168</t>
  </si>
  <si>
    <t>@drfahrettinkoca Madem kıstas olmalıdır hatanızdan dönün ve derhal ilgili tedbirleri uygulayın hergün kaybettiğimiz… https://t.co/XIKYblr2Ze</t>
  </si>
  <si>
    <t>1470101053022642187</t>
  </si>
  <si>
    <t>@drfahrettinkoca Zihnimizi ne güzel de okuyorsunuz sayın bakan. Bu da küreselcilerin projesi 😂😂</t>
  </si>
  <si>
    <t>1470100669365432325</t>
  </si>
  <si>
    <t>@drfahrettinkoca Palavra bakani</t>
  </si>
  <si>
    <t>1470100423197573127</t>
  </si>
  <si>
    <t>@drfahrettinkoca Canımızla ödedik neyinizi affedeceğiz ya nasıl böyle arsızca konuşursunuz… canımzdan olduk kafanız… https://t.co/fleLarGzzZ</t>
  </si>
  <si>
    <t>1470099687160045578</t>
  </si>
  <si>
    <t>@drfahrettinkoca https://t.co/pmAFvnmsAe</t>
  </si>
  <si>
    <t>1470099580666757122</t>
  </si>
  <si>
    <t>@drfahrettinkoca Aylardır randevu alınamayan hastanelerden randevu bulduk diye sevinirken bu ne demek şimdi ne olac… https://t.co/NFcyqJWuZl</t>
  </si>
  <si>
    <t>1470099343470379016</t>
  </si>
  <si>
    <t>@drfahrettinkoca İşte sayın bakan bu kabul edilemez! Nicin? Örn;Sehpa üreten bir marangoz sehpanın bir tarafını eğr… https://t.co/ppzlefsx0A</t>
  </si>
  <si>
    <t>1470098860785688589</t>
  </si>
  <si>
    <t>@drfahrettinkoca 40 bin dediniz 30 sağlıkçı dediniz sonra böldünüz bizler kırgınız bakanım hemde çok kırgın @drfahrettinkoca</t>
  </si>
  <si>
    <t>1470097998617137163</t>
  </si>
  <si>
    <t>@drfahrettinkoca Bakan efendi..Meclis huzurunda Masumum dediginiz gibi Mahşer gúnú ALLAH huzurunda'da bunu ıspatlam… https://t.co/HRATUXpgK8</t>
  </si>
  <si>
    <t>1470097954212044804</t>
  </si>
  <si>
    <t>@drfahrettinkoca Ah masum..</t>
  </si>
  <si>
    <t>1470097779829747724</t>
  </si>
  <si>
    <t>@drfahrettinkoca Hesabım Ahirette. Rabbim in huzurunda.</t>
  </si>
  <si>
    <t>1470097773957681152</t>
  </si>
  <si>
    <t>@drfahrettinkoca Hangi yüzle af istiyorum diyorsun sen isteyerek bilerek asıl Türk milletini hasta ettiniz enbuyuk suçlu sizlersiniz</t>
  </si>
  <si>
    <t>1470097765057417217</t>
  </si>
  <si>
    <t>@drfahrettinkoca Sayın bakanım bari kılavuzu yayınlayın yıldık vallaha @drfahrettinkoca</t>
  </si>
  <si>
    <t>1470097751765626885</t>
  </si>
  <si>
    <t>@drfahrettinkoca 🌍🇹🇷🤲👍👏</t>
  </si>
  <si>
    <t>1470097564049543168</t>
  </si>
  <si>
    <t>@drfahrettinkoca sayın bakanım sizde özel sektörden geliyorsunuz. Sağlık Bakanlığına bağlı bütün sağlık kuruluşları… https://t.co/nwjTXjBZwK</t>
  </si>
  <si>
    <t>1470097481308463107</t>
  </si>
  <si>
    <t>@drfahrettinkoca Ne kastınız olsun bakanım yeni dünya düzenine hizmet ediyorsunuz ya tarihe adınızı da yazdırdınız.… https://t.co/gWBSQlgReO</t>
  </si>
  <si>
    <t>1470097283379347461</t>
  </si>
  <si>
    <t>@drfahrettinkoca Okullarda kullandırılan Çamaşır sularının KANSER yapıcı akciğer hastalıkları sebebi olduğunu bile… https://t.co/p1u5VNUMtL</t>
  </si>
  <si>
    <t>1470096929006706692</t>
  </si>
  <si>
    <t>@drfahrettinkoca Sayın bakanım aylardır söylüyoruz  lütfen online hakkı tanıyın cocuklarimiz için endişeliyiz bırak… https://t.co/i6KeB8ngde</t>
  </si>
  <si>
    <t>1470096253153386498</t>
  </si>
  <si>
    <t>@drfahrettinkoca İnsan hayatı söz konusu olduğunda hata da, noksan da kabul edilemez</t>
  </si>
  <si>
    <t>1470096233662406656</t>
  </si>
  <si>
    <t>@drfahrettinkoca Sayın bakanım eksik bıraktığınız bir nokta da hbys bilgi işlem personelinin vermemiş olduğunuz kad… https://t.co/C8eFOrUczU</t>
  </si>
  <si>
    <t>1470096184492675081</t>
  </si>
  <si>
    <t>@drfahrettinkoca @saglikbakanligi Oldu valla sayın bakanım deprem göz göre göre geliyor siz çürük binanın icabına b… https://t.co/LmaYDMVGGk</t>
  </si>
  <si>
    <t>1470096140607574022</t>
  </si>
  <si>
    <t>@drfahrettinkoca Artık istifanı verip , verdiğin yanlış kararların , uyguladığın yanlış politikaların bedelini ödem… https://t.co/yXHnlsiBe5</t>
  </si>
  <si>
    <t>1470095812315295752</t>
  </si>
  <si>
    <t>@drfahrettinkoca Sen de mi affını isteyecen yaradanın tayyeep'den....</t>
  </si>
  <si>
    <t>1470095781327745030</t>
  </si>
  <si>
    <t>@drfahrettinkoca Hocası sağlam. Kandırıldık diyip helallik isticek!</t>
  </si>
  <si>
    <t>1470095479593738249</t>
  </si>
  <si>
    <t>@drfahrettinkoca @FtmKmlgl @Osmanunsal58  @ProfSFindik  ???</t>
  </si>
  <si>
    <t>1470095443849842692</t>
  </si>
  <si>
    <t>@drfahrettinkoca Bir tek doğru şey yapmıyorsunuz. Milletin vicdanı sizi unutmayacak. Bize gençliğe hitabe ve istikl… https://t.co/8whPuZSRnR</t>
  </si>
  <si>
    <t>1470095309229416455</t>
  </si>
  <si>
    <t>@drfahrettinkoca Ben diyorum ki kırk yalan farettin Allah cezasını versin.. Kim aşı,pcr DAYATMASI yapıyorsa vatana,… https://t.co/pN9ImxUVC0</t>
  </si>
  <si>
    <t>1470095099606487043</t>
  </si>
  <si>
    <t>@drfahrettinkoca Helalleşme aşamasına geldiniz demek minicik bebeklerin güya yanlışlıkla aşılandığında sustunuz. Ge… https://t.co/aLnOa9FRSh</t>
  </si>
  <si>
    <t>1470095069025820679</t>
  </si>
  <si>
    <t>@drfahrettinkoca Esas olan bir daha tekrarlanmamasıdır?</t>
  </si>
  <si>
    <t>1470094893519360015</t>
  </si>
  <si>
    <t>@drfahrettinkoca Size meslektaşlarınız bile güvenmiyor artık.</t>
  </si>
  <si>
    <t>1470094730021249029</t>
  </si>
  <si>
    <t>@drfahrettinkoca Hatanızı telafi mi etmek istiyorsunuz. Bütün yasakları kaldırın. Zorunlu aşı uygulamasını kaldırın… https://t.co/xflD9cCegP</t>
  </si>
  <si>
    <t>1470094498734784518</t>
  </si>
  <si>
    <t>@drfahrettinkoca Tip 1 diyabetli vatandaşların sensör ve pompa haklarından da bahseder misiniz, bunlar lüks mü   ch… https://t.co/B8D5YlpwCT</t>
  </si>
  <si>
    <t>1470094453402583042</t>
  </si>
  <si>
    <t>@drfahrettinkoca https://t.co/IhcgDtPa6l</t>
  </si>
  <si>
    <t>1470094397501026311</t>
  </si>
  <si>
    <t>@drfahrettinkoca Tedavi protokolünü oluşturanları  8 er hap yutturanları yargıya sevk edin</t>
  </si>
  <si>
    <t>1470094372477755397</t>
  </si>
  <si>
    <t>@drfahrettinkoca Pandemide her konuda eksik ve geç kaldınız. Halktan doğrulari sakladıniz. Hala da eksik kalıyorsun… https://t.co/yW6EsmZK9s</t>
  </si>
  <si>
    <t>1470094276797382670</t>
  </si>
  <si>
    <t>@drfahrettinkoca https://t.co/IOG57pbn1T</t>
  </si>
  <si>
    <t>1470094094533898242</t>
  </si>
  <si>
    <t>@drfahrettinkoca https://t.co/DZiNop4K29</t>
  </si>
  <si>
    <t>1470093949612212225</t>
  </si>
  <si>
    <t>@drfahrettinkoca https://t.co/YrP5SlMM9V</t>
  </si>
  <si>
    <t>1470093832859660289</t>
  </si>
  <si>
    <t>@drfahrettinkoca https://t.co/vMkmP6WZcn</t>
  </si>
  <si>
    <t>1470093764471447559</t>
  </si>
  <si>
    <t>@drfahrettinkoca Okullar kalabalık sınıflar 40-45 kişi havalandırma yok mesafe yok sıralar dip dibe maskeyi doğru d… https://t.co/oIh2u8sp5W</t>
  </si>
  <si>
    <t>1470093508207947785</t>
  </si>
  <si>
    <t>@drfahrettinkoca https://t.co/nyfZUAwiBz</t>
  </si>
  <si>
    <t>1470093220747137024</t>
  </si>
  <si>
    <t>@drfahrettinkoca Bir de bu bütçede yetimin öksüzün hakkı var dediniz bu nasıl hak bu nasıl hukuk sorguluyorum :)</t>
  </si>
  <si>
    <t>1470093151994056708</t>
  </si>
  <si>
    <t>@drfahrettinkoca Ne yaptınız biliyor musunuz :) 2020 yılında 2021 bütçesiyle 12 bincik bir alım yaptınız 2020 ye mi… https://t.co/Yi5KvoPFgu</t>
  </si>
  <si>
    <t>1470092931793137670</t>
  </si>
  <si>
    <t>@drfahrettinkoca Kusura bakma kasıtlı yaptınız.Bunları söyleyeceğinizi taa önceden https://t.co/6GOqEnCShq sizin ci… https://t.co/B7TMq461Hw</t>
  </si>
  <si>
    <t>1470092532059099136</t>
  </si>
  <si>
    <t>@drfahrettinkoca Eksiklik dediğiniz şeyler yüzünden  insanlar hayatını kaybetti.</t>
  </si>
  <si>
    <t>1470092354182918145</t>
  </si>
  <si>
    <t>@drfahrettinkoca Yavv milyonlarca insanı kandırıp kobay yapıp yanlış tedaviye ile insanların ölmesine sebep oldunuz… https://t.co/2jkcI2scmK</t>
  </si>
  <si>
    <t>1470092346419261445</t>
  </si>
  <si>
    <t>@drfahrettinkoca Sancaktepe feriha öz hastanesindeyiz şu anda Allah sizden razı olsun hasta bakıcıları bile güzel i… https://t.co/vWTrUynkKw</t>
  </si>
  <si>
    <t>1470092169373523975</t>
  </si>
  <si>
    <t>@drfahrettinkoca Acil önlem alınmalı sağlığın söz konusu olduğu bir durumda eksiklik olmamalı bunu telafi etmelisiniz</t>
  </si>
  <si>
    <t>1470092123513004044</t>
  </si>
  <si>
    <t>@drfahrettinkoca Omicron varyantı yoktu yok deniliyor Du.. Ne oldu da giriş yaptı ülkeye bütün ülkeler bunun için ö… https://t.co/stSZ0Atcvu</t>
  </si>
  <si>
    <t>1470092006470868994</t>
  </si>
  <si>
    <t>@drfahrettinkoca Bizimle dalga gecer gibi oynadınız 40k dediniz sonra 30k oldu yetmedi aylarca oyaladiniz sinra cik… https://t.co/dl9qWqT0SN</t>
  </si>
  <si>
    <t>1470091756331053063</t>
  </si>
  <si>
    <t>@drfahrettinkoca Bunda kasıt var.</t>
  </si>
  <si>
    <t>1470091486939295754</t>
  </si>
  <si>
    <t>@drfahrettinkoca Kasıt mı?Sağlıkçı yılında 20 bin komik bir alımla.Kılavuz yetişir mi yetişmez mi bilinmiyor.Öğretm… https://t.co/d6ClU9vTyc</t>
  </si>
  <si>
    <t>1470091456115265543</t>
  </si>
  <si>
    <t>@drfahrettinkoca Bu haklı direnişe katılan doktorlarımızı da , göz altına alınan youtuber'lar gibi göz altına alaca… https://t.co/kFRCfpxzBH</t>
  </si>
  <si>
    <t>1470091020696231949</t>
  </si>
  <si>
    <t>@drfahrettinkoca Siz iktidar olarak 20 yıldır her şeyi yanlış yapıyorsunuz sayın bakan. Bu işin içinde insan olmakl… https://t.co/HgR2kJuakh</t>
  </si>
  <si>
    <t>1470091003046637568</t>
  </si>
  <si>
    <t>@drfahrettinkoca Tedbir nerde tedbir</t>
  </si>
  <si>
    <t>1470090909886959622</t>
  </si>
  <si>
    <t>@drfahrettinkoca Ben size inanmıyorum hiç bir hakkımıda helal etmiyorum siz halkınıza yanlış yaptınız Allah’da sizi affetmeyecek.</t>
  </si>
  <si>
    <t>1470090610405261314</t>
  </si>
  <si>
    <t>@drfahrettinkoca eksiklerimiz var kasıt yok savunmasını bir hasta hayatı için diyebilir misiniz ? Hasta ölüyor.!!!… https://t.co/oEzU5pGRjv</t>
  </si>
  <si>
    <t>1470090571599552522</t>
  </si>
  <si>
    <t>@drfahrettinkoca Çok net bir söz Kapat okulu</t>
  </si>
  <si>
    <t>1470090531871076352</t>
  </si>
  <si>
    <t>@drfahrettinkoca Tezim ilk olarak elinize ulaştığında ne cevap vermiştiniz sayın bakanım? Hatırladınız mı?</t>
  </si>
  <si>
    <t>1470090121928187906</t>
  </si>
  <si>
    <t>@drfahrettinkoca Önlem almadan açtığınız okullar yüzünden virüs eve taşınıyor her ay 7000 kişi ölüyor size göre bu bir hata mi?</t>
  </si>
  <si>
    <t>1470089853853388801</t>
  </si>
  <si>
    <t>@drfahrettinkoca SMA ilacini Üklemize getirin artik yavrularimiz acı cekmesin🙏</t>
  </si>
  <si>
    <t>1470089792251736072</t>
  </si>
  <si>
    <t>@drfahrettinkoca Sn bakanım kizima doktor dış telini uygun gördüğü halde taktiramiyoruz   aylardır bekliyoruz  sıra… https://t.co/TF1dInmxm0</t>
  </si>
  <si>
    <t>1470089782189510657</t>
  </si>
  <si>
    <t>@drfahrettinkoca Sayın bakanım TL nin değer kaybından sonra komşu ülkelerden  Sürekli alışveriş için ülkemize girip… https://t.co/IKVNa9TOyi</t>
  </si>
  <si>
    <t>1470089689889714188</t>
  </si>
  <si>
    <t>@drfahrettinkoca Favipiravir ve hastanede uyguladiginiz bilmedigimiz ilaclar ve aşı sonrası ani ölumler kasıtsız ölüm oluyor ozaman...</t>
  </si>
  <si>
    <t>1470089336477601793</t>
  </si>
  <si>
    <t>@drfahrettinkoca Biz size baba dedik ama siz gerçekleri hbys çalışanlarını reise anlatamadiniz.kadroyu asıl bunlar… https://t.co/n4zMwOgGse</t>
  </si>
  <si>
    <t>1470089264331472908</t>
  </si>
  <si>
    <t>@drfahrettinkoca Tıpta devrim yaptınız sayın bakanım 15 gün sonraya bile randevu alamıyoruz geberelim biz😡</t>
  </si>
  <si>
    <t>1470089199252656139</t>
  </si>
  <si>
    <t>@drfahrettinkoca Sayın bakan covid kaynaklı ölüm sayılarının X3 olduğunu itiraf ettiniz. Daha önce söyleyenleri lin… https://t.co/kv6Lb3j69c</t>
  </si>
  <si>
    <t>1470088810352500747</t>
  </si>
  <si>
    <t>@drfahrettinkoca Bakanım hatırlatma dozunun suresini üç aya düşürün!! İki doz Omikron’a karşı korumuyor.</t>
  </si>
  <si>
    <t>1470088543703900165</t>
  </si>
  <si>
    <t>@drfahrettinkoca Valla allaf affetsin ne diyelim</t>
  </si>
  <si>
    <t>1470088433985064960</t>
  </si>
  <si>
    <t>@drfahrettinkoca siz kasıtlı yapıyorsunuz siyonizme hizmet ediyorsunuz ama bunun hesabı ahirette çetin olacak İNŞAALLAH</t>
  </si>
  <si>
    <t>1470088350937853952</t>
  </si>
  <si>
    <t>@drfahrettinkoca insan canı söz konusu olduğunda eksik olamaz,  noksan olamaz, hata kabul edilemez! çocuklar bu ülk… https://t.co/4b9zEabbn1</t>
  </si>
  <si>
    <t>1470088218880188443</t>
  </si>
  <si>
    <t>@drfahrettinkoca https://t.co/FDAd8UH1l4</t>
  </si>
  <si>
    <t>1470088213742206984</t>
  </si>
  <si>
    <t>@drfahrettinkoca Hbys bilgi işlem personelleri olarak mağduriyetimizi giderin lütfen https://t.co/fZaSPUekt0</t>
  </si>
  <si>
    <t>1470087878097215494</t>
  </si>
  <si>
    <t>@drfahrettinkoca @saglikbakanligi Siz ve bilim kurulu adı altında toplanan tüm kişilerin kararlarında her zaman bir… https://t.co/tMqnlZa7bW</t>
  </si>
  <si>
    <t>1470087293214015489</t>
  </si>
  <si>
    <t>@drfahrettinkoca Neyi bekliyoruz hala ,neden hala  net bir şey yok , nasıl 90 üstü puanlarla atanamayız ya neden um… https://t.co/lwBEThFNx4</t>
  </si>
  <si>
    <t>1470086947787976704</t>
  </si>
  <si>
    <t>@drfahrettinkoca Senin dediğin hiçbir şeyi dikkate almadım ve hayatımda her şey yolunda...</t>
  </si>
  <si>
    <t>1470086476193054735</t>
  </si>
  <si>
    <t>@drfahrettinkoca VV. VV. Vvvvvvvvvvvv?VV. Cvv VV.   Vvvvvvvvvv. vVv cccccvv</t>
  </si>
  <si>
    <t>1470086441866829827</t>
  </si>
  <si>
    <t>@drfahrettinkoca siz bakansanız işi noksansız hatasız ve kayıpsız yapmak zorundasınız, hata yapan sağlık personelin… https://t.co/uf9oy0WKzL</t>
  </si>
  <si>
    <t>1470086268059066369</t>
  </si>
  <si>
    <t>@drfahrettinkoca Nerde adaletli ,geniş çaplı alım nerde ya nerde  cevap verin artık  @drfahrettinkoca  @RTErdogan</t>
  </si>
  <si>
    <t>1470086163083976708</t>
  </si>
  <si>
    <t>@drfahrettinkoca Eksik olması için bir şeyler yapmanız lazım. Hiç bir şey yapmadınız ki eksik olsun.</t>
  </si>
  <si>
    <t>1470086073053323278</t>
  </si>
  <si>
    <t>@drfahrettinkoca bizi yıktınız umutlarımız dün gece yerle bir oldu belirsizlik kalkarmı derken önümüz iyice kapandı… https://t.co/ept7tzwPPS</t>
  </si>
  <si>
    <t>1470085899199434762</t>
  </si>
  <si>
    <t>@drfahrettinkoca Dalga mi geçiyorsunuz sağlıkçılarla ya , oyun mu oynuyorsunuz emeklerimizle, 90 üstü puanlarla bir… https://t.co/5AMlDqBa5E</t>
  </si>
  <si>
    <t>1470085853275996164</t>
  </si>
  <si>
    <t>@drfahrettinkoca @saglikbakanligi Hatalarınızı kabul ediyosunuz.. peki neden hala AŞI konusunda ısrarcı oluyosunuz.… https://t.co/dbYe596GiU</t>
  </si>
  <si>
    <t>1470085744643481607</t>
  </si>
  <si>
    <t>@drfahrettinkoca Sayın bakanim Turcovak ne zamana cikacak. Bekleyen insanlar can veriyor Hızlandırmak nasıl olur. Cok gecikti coook</t>
  </si>
  <si>
    <t>1470085727727804418</t>
  </si>
  <si>
    <t>@drfahrettinkoca Senin varlığın kabahat be bakan . Bırak git de küresel odak azıcık üzülsun de biz sevinelim</t>
  </si>
  <si>
    <t>1470085660904235011</t>
  </si>
  <si>
    <t>@drfahrettinkoca Atama bekleyen sağlıkçıların her gün burda size seslenmelerine bile kısacık bir açıklama yapsaydin… https://t.co/Pfx4cr5OtR</t>
  </si>
  <si>
    <t>1470085469417390081</t>
  </si>
  <si>
    <t>@drfahrettinkoca Bu ilginç bir konuşma istifa göstergesimi yoksa pandemi yi bitirme konuşmasımı anlamadım yada yapı… https://t.co/zRk06uGGef</t>
  </si>
  <si>
    <t>1470085397187334152</t>
  </si>
  <si>
    <t>@drfahrettinkoca Veda konuşması gibi olmuş🤔</t>
  </si>
  <si>
    <t>1470085278614306817</t>
  </si>
  <si>
    <t>@drfahrettinkoca 1 yıldan fazla oldu devam hastasinde muayene olmiyorum. Bir kaç defa özle gittim artık gücüm yetmi… https://t.co/sdbEzy61yi</t>
  </si>
  <si>
    <t>1470085247584907267</t>
  </si>
  <si>
    <t>@drfahrettinkoca Kasıt olmayan yerde haksızlığa dur mu dediniz ? Hakkı olana bizlere kadroya mı alınız talimatı ver… https://t.co/B7AcRQW8hl</t>
  </si>
  <si>
    <t>1470085246926344194</t>
  </si>
  <si>
    <t>@drfahrettinkoca Kasıt olduğunu biliyoruz! Bill'in kuruluna da bakanlığa da güvenmiyoruz! Ve hiçbirinizi asla ama asla #affetmiyoruz</t>
  </si>
  <si>
    <t>1470085028633878531</t>
  </si>
  <si>
    <t>@drfahrettinkoca Peki binlerce mezun odyolog varken onlara istihdam alanı yaratmamak nasıl bir vizyonsuzluktur sayı… https://t.co/dH5Zz3dMCT</t>
  </si>
  <si>
    <t>1470084626387456006</t>
  </si>
  <si>
    <t>@drfahrettinkoca Yok sizin her hareketiniz kasıtlı. Artık foyanız ortaya çıktı. inanan da kalmadı.</t>
  </si>
  <si>
    <t>1470084547446550533</t>
  </si>
  <si>
    <t>@drfahrettinkoca Evet bakanım verilen sözler tutulmadı sayı verildi 40k dendi 30 k oldu 30 k da 20k oldu 3 parçaya… https://t.co/o2ngGtVeai</t>
  </si>
  <si>
    <t>1470084521878069252</t>
  </si>
  <si>
    <t>@drfahrettinkoca Lan Fahrettin seni insan olmaya dawet ediyorum yalan dolan ile iş olmaz sahtekar herif</t>
  </si>
  <si>
    <t>1470084166255583245</t>
  </si>
  <si>
    <t>@drfahrettinkoca Niye böyle kisa videolar yayınlıyorsunuz? Eskiden ekran karşısına çıkıp, basın mensuplarının sorul… https://t.co/chB1bqoFbT</t>
  </si>
  <si>
    <t>1470083969387532288</t>
  </si>
  <si>
    <t>@drfahrettinkoca @saglikbakanligi Bir Türk ve müslüman düşmanlarının çıkardığı iğnelerden şüphe etmeli insan,ben et… https://t.co/NRZiy0L5ei</t>
  </si>
  <si>
    <t>1470083960227123205</t>
  </si>
  <si>
    <t>@drfahrettinkoca Sosyal yardım başvurularım sürekli reddedildiğinden dolayı maddi olarak çok zor durumdayım . A+ ka… https://t.co/dq3hF5duLn</t>
  </si>
  <si>
    <t>1470083941319294984</t>
  </si>
  <si>
    <t>@drfahrettinkoca Atanamamış bir sağlıkçı olarak size hakkım gram helal degildir. Hem bu dünyada hem öbür dünyada za… https://t.co/QllUdfO7cC</t>
  </si>
  <si>
    <t>1470083885501460483</t>
  </si>
  <si>
    <t>@drfahrettinkoca #hbys ihalesiyle çalışan bilgiişlem personelleri dışlandı 4d sürekli işçi dahi sayılmadı.Khkya işk… https://t.co/W52OaMI6Nq</t>
  </si>
  <si>
    <t>1470083727376199683</t>
  </si>
  <si>
    <t>@drfahrettinkoca Şu anda hâlâ hata yapıyor olamazsınız herhalde. Az da olsa ders çıkartabildiyseniz okullara bir gö… https://t.co/cCJU8LdTQE</t>
  </si>
  <si>
    <t>1470083349624590348</t>
  </si>
  <si>
    <t>@drfahrettinkoca https://t.co/mjvFxB7xN8</t>
  </si>
  <si>
    <t>1470083296851857410</t>
  </si>
  <si>
    <t>@drfahrettinkoca Yapmış olduğunuz tek hata sayın bakanım, covid kahramanlarını ek zamda görmezden geldiniz.</t>
  </si>
  <si>
    <t>1470083157865209861</t>
  </si>
  <si>
    <t>@drfahrettinkoca Mehmetak7773 https://t.co/QJpDU1tJCZ</t>
  </si>
  <si>
    <t>1470083106992447493</t>
  </si>
  <si>
    <t>@drfahrettinkoca Kastınız var yoksa hergün 200 kişi niye ölüyor neden tedbir almıyorsunuz #Omicron #MahmutOEzerOkullarOnline</t>
  </si>
  <si>
    <t>1470082990919368706</t>
  </si>
  <si>
    <t>@drfahrettinkoca evet çok eksik yaptınız salgın öncesi şartlara göre okulları açtınız VİRÜSÜN YAYILMASINI TETİKLEDİ… https://t.co/n3X9yX8DLQ</t>
  </si>
  <si>
    <t>1470082635468836865</t>
  </si>
  <si>
    <t>@drfahrettinkoca Aşı yaptırmayanlara  kısıtlama gelsin ,maske takmayanlara  cezai yaptırım uygulayın ki biz de sizi takdir edelim</t>
  </si>
  <si>
    <t>1470082571291738112</t>
  </si>
  <si>
    <t>@drfahrettinkoca Bence iyi yönetemediniz bu süreci defolup gider misiniz</t>
  </si>
  <si>
    <t>1470082458318213123</t>
  </si>
  <si>
    <t>@drfahrettinkoca Yanlışlar haddinden fazla ve de üstüste yaşandı haliyle vatandaş da işin içinde bir kasıt olduğunu… https://t.co/EjiaszKcx8</t>
  </si>
  <si>
    <t>1470082445827616773</t>
  </si>
  <si>
    <t>@drfahrettinkoca Filan diye bir şey yok</t>
  </si>
  <si>
    <t>1470082419705491461</t>
  </si>
  <si>
    <t>@drfahrettinkoca Ama çocuk olan yerde eksiğe hataya yer yoktur. Okul konusunda hergun yazıyoruz. Bugün toplantıda ö… https://t.co/0tuMamTE7r</t>
  </si>
  <si>
    <t>1470082252092719106</t>
  </si>
  <si>
    <t>@drfahrettinkoca ✨Falan filan ✨</t>
  </si>
  <si>
    <t>1470082189647925248</t>
  </si>
  <si>
    <t>@drfahrettinkoca İlk yapılan yanlışa kaza, ikincisine hata, üçüncüsüne ise tercih denir sayın bakanım. Siz üçüncüyü geçeli çok oldu…</t>
  </si>
  <si>
    <t>1470082121708539917</t>
  </si>
  <si>
    <t>@drfahrettinkoca Yok canım estağfurullah. Dsö nün reçetesi mükemmele yakın uygulandı. Kah kapanmalara maruz kaldık,… https://t.co/rZ1LR7H1X1</t>
  </si>
  <si>
    <t>1470081964468277253</t>
  </si>
  <si>
    <t>@drfahrettinkoca He oldu o zaman</t>
  </si>
  <si>
    <t>1470081715565645828</t>
  </si>
  <si>
    <t>@drfahrettinkoca En iyi tedbir evimizdir dediler,öğrencileri okullara yolladılar. İsraf haramdır dediler,saraylarda… https://t.co/rgTG8rfi5l</t>
  </si>
  <si>
    <t>1470081539727843345</t>
  </si>
  <si>
    <t>@drfahrettinkoca Yaptıgınız herşey kasıtlı sizin küreselcilerin kastı ne ise sizinde kastınız o</t>
  </si>
  <si>
    <t>1470081352733184004</t>
  </si>
  <si>
    <t>@drfahrettinkoca @saglikbakanligi Söylemişlerdi sonunda özür dileriz hata yapmışız diyerek işin içinden sıyrılırlar diye.?!.?!</t>
  </si>
  <si>
    <t>1470081282793250824</t>
  </si>
  <si>
    <t>@drfahrettinkoca Günlük 16 hap kasıt değilmiydi? Allahın dna’sını değiştirmek kasıt değil miydi? Vatan haini konuş!… https://t.co/fzqA0aOiCV</t>
  </si>
  <si>
    <t>1470081239227027464</t>
  </si>
  <si>
    <t>@drfahrettinkoca Ama siz kasıtlı yapıyorsunuz sorun orada. Hiç bir şey içinde gayret etmediniz emeğiniz de yok her… https://t.co/vNfCKq1mx6</t>
  </si>
  <si>
    <t>1470081077364600833</t>
  </si>
  <si>
    <t>@drfahrettinkoca ONLİNE EĞİTİM İSTİYORUZ :) https://t.co/H9bMFzJtDw</t>
  </si>
  <si>
    <t>1470081014810689542</t>
  </si>
  <si>
    <t>@drfahrettinkoca https://t.co/vgxh5CuMaW</t>
  </si>
  <si>
    <t>1470080923337216004</t>
  </si>
  <si>
    <t>@drfahrettinkoca ONLİNE GETİR! https://t.co/e1V4eokmUA</t>
  </si>
  <si>
    <t>1470080838704549897</t>
  </si>
  <si>
    <t>@drfahrettinkoca Gençler dinleyin o zaman uzaktan eğitim getiren</t>
  </si>
  <si>
    <t>1470080607464140808</t>
  </si>
  <si>
    <t>@drfahrettinkoca Yeniden kapanma kararı verilsin önlem alınsın yoksa bu illet hastalık bırakmayacak kimseyi diğer ü… https://t.co/tsu8OcPMud</t>
  </si>
  <si>
    <t>1470080584361955328</t>
  </si>
  <si>
    <t>@drfahrettinkoca Kasıt 😂</t>
  </si>
  <si>
    <t>1470080423518773248</t>
  </si>
  <si>
    <t>@drfahrettinkoca Hiç bir şeyi ne tam yaptınız ne de doğru.</t>
  </si>
  <si>
    <t>1470080237522272267</t>
  </si>
  <si>
    <t>@drfahrettinkoca bakın yine yağmur yağıyor, Okulda bahçeye çıkamıyoruz sınıflarda 40-50 kişi risk altındayız ağızla… https://t.co/RKIGk6Ov7p</t>
  </si>
  <si>
    <t>1470080094551093256</t>
  </si>
  <si>
    <t>@drfahrettinkoca Bi istifa edin artık</t>
  </si>
  <si>
    <t>1470080004029624325</t>
  </si>
  <si>
    <t>@drfahrettinkoca Kasıt olsa ne olur olmasa ne olur olanlar ortada</t>
  </si>
  <si>
    <t>1470079920374263811</t>
  </si>
  <si>
    <t>@drfahrettinkoca Bunu söylüyoruz sayın Fahrettin bey aylardır yol yakın iken önlem almanız daha fazla çocukları gen… https://t.co/RQcOAn2XIf</t>
  </si>
  <si>
    <t>1470079917782151180</t>
  </si>
  <si>
    <t>@drfahrettinkoca Hakkım haram olsun! Gözüne dizine dursun iyi mi? 666 Kahrettin! https://t.co/Mjm4BG33gs</t>
  </si>
  <si>
    <t>1470079814740631555</t>
  </si>
  <si>
    <t>@drfahrettinkoca #UzaktanEğitim</t>
  </si>
  <si>
    <t>1470079780016033797</t>
  </si>
  <si>
    <t>@drfahrettinkoca eksiği noksanı tamamlayabilirsiniz OKULLAR İÇİN ONLİNE KARARI ALINIZ #MahmutÖzerOkullarOnline</t>
  </si>
  <si>
    <t>1470079641603956742</t>
  </si>
  <si>
    <t>@drfahrettinkoca Ooo başlamış inceden yanlamaya bu iş çözülür yakında @Orhan34441 @ProfSFindik</t>
  </si>
  <si>
    <t>1470079618141114373</t>
  </si>
  <si>
    <t>@drfahrettinkoca Şirin Payzın'a sorun beğendiyse size oy veren milyonlarín önemi yok. Şahan Gökbakar'a falan sorun.… https://t.co/SRmuNv1xZJ</t>
  </si>
  <si>
    <t>1470079549832671239</t>
  </si>
  <si>
    <t>@drfahrettinkoca https://t.co/j4VmTfmnZZ</t>
  </si>
  <si>
    <t>1470079430089396230</t>
  </si>
  <si>
    <t>@drfahrettinkoca Helal olsun, şu dediğinizi keşke başkaları da dese. Kibirden gözü kimseyi görmeyen ülke yöneticilerine örnek olsa.</t>
  </si>
  <si>
    <t>1470079302326751239</t>
  </si>
  <si>
    <t>@drfahrettinkoca Tek derdin asi.</t>
  </si>
  <si>
    <t>1470508173211676681</t>
  </si>
  <si>
    <t>@drfahrettinkoca https://t.co/KUibLJiAXm</t>
  </si>
  <si>
    <t>1470500539318378499</t>
  </si>
  <si>
    <t>@drfahrettinkoca https://t.co/OnZvqAq9pN</t>
  </si>
  <si>
    <t>1470500317112451073</t>
  </si>
  <si>
    <t>@drfahrettinkoca Ne halt olduğunuzu artık biliyoruz. https://t.co/HIz9qSjfOn</t>
  </si>
  <si>
    <t>1470499708216950789</t>
  </si>
  <si>
    <t>@drfahrettinkoca https://t.co/qcbu5OMZ8d</t>
  </si>
  <si>
    <t>1470499454889435145</t>
  </si>
  <si>
    <t>@drfahrettinkoca Eee afrika ülkeleriyle olan yasakları kaldıracak misiniz? Neden yasak uyguladıniz gelmemesj için.… https://t.co/noCX3f5eFU</t>
  </si>
  <si>
    <t>1470497895711449096</t>
  </si>
  <si>
    <t>@drfahrettinkoca Tedbirler mi? Hangi ülkede yaşıyorsunuz Türkiyede tedbir yok.</t>
  </si>
  <si>
    <t>1470475933316521985</t>
  </si>
  <si>
    <t>@drfahrettinkoca Nerden anladınız adamların omicron olduğunu. Elinizde test kitimi var gene. Bırakın bu yalanları haydeee</t>
  </si>
  <si>
    <t>1470472095683518468</t>
  </si>
  <si>
    <t>@drfahrettinkoca hafif atlatilan hastalık için 3 doz aşımı olunur</t>
  </si>
  <si>
    <t>1470179276100145153</t>
  </si>
  <si>
    <t>@drfahrettinkoca Her yere de atacağım bunu ! Kim görür aa olabilir mi acaba deyip sorgulamaya bile başlasa bir fayd… https://t.co/PpnwFE6wHl</t>
  </si>
  <si>
    <t>1470174671769382915</t>
  </si>
  <si>
    <t>@drfahrettinkoca Bu varyant nasıl gelmiş ülkeye bilimsel bir açıklamanız varmı.pcr testi negatif olan geldi diyelim… https://t.co/ve6z2gDaTe</t>
  </si>
  <si>
    <t>1470172064027979782</t>
  </si>
  <si>
    <t>@drfahrettinkoca Doktor bu ne? https://t.co/qtlw5fsKQW</t>
  </si>
  <si>
    <t>1470169210848481286</t>
  </si>
  <si>
    <t>@drfahrettinkoca Beklenen müjde, beklenen kişiden geldi .!! 😂😂</t>
  </si>
  <si>
    <t>1470168903821185025</t>
  </si>
  <si>
    <t>@drfahrettinkoca Hep bu aşılanmışlar yuzunden sayin bakanim...Vizir vizir https://t.co/jyr4RereuE ne guzel asimizi… https://t.co/S5373OKUmK</t>
  </si>
  <si>
    <t>1470168768299077634</t>
  </si>
  <si>
    <t>@drfahrettinkoca Bakan, her paylaşımında daha da batıyorsun. Bence Twitter hesabını kapat git buralardan. Burada ha… https://t.co/Ii7Swj1hHI</t>
  </si>
  <si>
    <t>1470167022969495553</t>
  </si>
  <si>
    <t>@drfahrettinkoca Eksik aşı diye bir şey olmaz. Adam gibi aşı yapsaydınız 1 kere yapardınız olay biterdi.. Bu ne.. H… https://t.co/A65WzRsLUn</t>
  </si>
  <si>
    <t>1470166568382476288</t>
  </si>
  <si>
    <t>@drfahrettinkoca Kaygılanmadık zaten.. Siz niye kaygı yaptınız bu kadar 😏</t>
  </si>
  <si>
    <t>1470165844651134978</t>
  </si>
  <si>
    <t>@drfahrettinkoca Allah aşkına tek bir soruya cevap versen ne olur sayın bakan? İnvilerin mi dökülür? Üzülme dökülürse aşılar toplar seni</t>
  </si>
  <si>
    <t>1470165579013238789</t>
  </si>
  <si>
    <t>@drfahrettinkoca 😄😄😄😄😄 testi yokken omicronu bulmak. Valla güldürdün sayın bakan. Sen varya sennn ❗❗❗👏👏👏 hemende aş… https://t.co/oqPqPhdEBX</t>
  </si>
  <si>
    <t>1470159452791873536</t>
  </si>
  <si>
    <t>@drfahrettinkoca Olur mu ? Efendim siz izin vermeden bir şey dermiyim</t>
  </si>
  <si>
    <t>1470159438489301004</t>
  </si>
  <si>
    <t>@drfahrettinkoca Sayın bakanım covid belirtisi olanlar karantinadan dolayi test yaptırmıyor. Eczanelerden ilaç alma… https://t.co/fHrjPdC9LU</t>
  </si>
  <si>
    <t>1470155674277535750</t>
  </si>
  <si>
    <t>@drfahrettinkoca Senın yerinde olsam istifa ederdim cünkü ülkenin %80 ni aşılı ve vakada düşüş yok yalanlarınızın sonuna geldinizzz</t>
  </si>
  <si>
    <t>1470155208252604416</t>
  </si>
  <si>
    <t>@drfahrettinkoca Türkiye de tek bir varyant var oda KOCA bir varyant.</t>
  </si>
  <si>
    <t>1470154890454441984</t>
  </si>
  <si>
    <t>@drfahrettinkoca okulları online eğitime geçirmeyi ne zaman düşünüyorsunuz? gençleri nası bir tehlikeye attığınızın… https://t.co/C27lYII5n2</t>
  </si>
  <si>
    <t>1470152053888593933</t>
  </si>
  <si>
    <t>@drfahrettinkoca Tedbirlere uyalım, maskemizi takalım bakan bey... https://t.co/RgGcSAUSMM</t>
  </si>
  <si>
    <t>1470151742008578053</t>
  </si>
  <si>
    <t>@drfahrettinkoca Çok merak ediyoruz şu omicron varyantı ile delta vs varyantlarını tespit etme yönteminiz nedir ?… https://t.co/73OmNOedzB</t>
  </si>
  <si>
    <t>1470150245787045891</t>
  </si>
  <si>
    <t>@drfahrettinkoca Omicron virüsü delta virüsüne bulaşırsa sıkıntı daha bulaşıcı daha güçlü olur ve insanlıgın yarısı… https://t.co/ILCjsKSd7o</t>
  </si>
  <si>
    <t>1470149931876950021</t>
  </si>
  <si>
    <t>@drfahrettinkoca Sistem çöktüüüü eheyy farkında değilsiniz ölümün zerre kadar önemi yok vsrsa yoksa ekonomi zadelenmesin</t>
  </si>
  <si>
    <t>1470149036523012100</t>
  </si>
  <si>
    <t>@drfahrettinkoca Bu varyantı hangi cihazla neye göre hangi belirtilerle tespit ettiniz çok merak ediyorum açıklarmısınız</t>
  </si>
  <si>
    <t>1470148831589318661</t>
  </si>
  <si>
    <t>@drfahrettinkoca Kureselcilere hizmet eden bir sağlık PaGanı.</t>
  </si>
  <si>
    <t>1470148457369411585</t>
  </si>
  <si>
    <t>@drfahrettinkoca Türkiyede 6 tane Omicron vakası görülmüş...  Neyle anladınız termometreyle mi ? Virüsün üstünde Om… https://t.co/0m9XfsNcOF</t>
  </si>
  <si>
    <t>1470147761823756297</t>
  </si>
  <si>
    <t>@drfahrettinkoca https://t.co/UHAEO9vwfX https://t.co/QvAPywfvDC</t>
  </si>
  <si>
    <t>1470147668542427140</t>
  </si>
  <si>
    <t>@drfahrettinkoca Kaygılanmayın aşınızı olun..! Pardon kaygı yoksa aşı neden var?</t>
  </si>
  <si>
    <t>1470147212873195527</t>
  </si>
  <si>
    <t>@drfahrettinkoca Varyanta güvenip atladım otobüse hemen</t>
  </si>
  <si>
    <t>1470146479625060359</t>
  </si>
  <si>
    <t>@drfahrettinkoca Büyük doktorsun vesselam. Nasıl tespit ettiniz. 6 sayısının arkasına ekleyeceğin rakamları merakla bekliyor millet.</t>
  </si>
  <si>
    <t>1470145861120364554</t>
  </si>
  <si>
    <t>@drfahrettinkoca KIRK YALAN FARETTİN TARİH NASIL TUTTURULMUŞ  11 ARALIK 23:11  AŞI DEĞİL ÖLÜMCÜL DENEY SIVISI KİM A… https://t.co/ycPL76fVcC</t>
  </si>
  <si>
    <t>1470145800852455432</t>
  </si>
  <si>
    <t>@drfahrettinkoca Avm ler kalabalık maskeler takılmıyor mesafe yokk hersey para için sağlığımızı düşünmüyoruz  ve sa… https://t.co/NPensdgOAl</t>
  </si>
  <si>
    <t>1470145255773282308</t>
  </si>
  <si>
    <t>@drfahrettinkoca Umarım bunun bir başlangıç olduğunun farkındasın fahri.</t>
  </si>
  <si>
    <t>1470144885298810885</t>
  </si>
  <si>
    <t>@drfahrettinkoca milli piyango ikramiyesi gibi mi hareket ediyor?</t>
  </si>
  <si>
    <t>1470144683791851521</t>
  </si>
  <si>
    <t>@drfahrettinkoca Bıktık artık düşün ınsanların yakasından. Aşi olup ölenlerin sayısını acıklasın</t>
  </si>
  <si>
    <t>1470143634653986818</t>
  </si>
  <si>
    <t>@drfahrettinkoca KAPATMAYIN AMA YENİ ÖNLEMLER ALIN BİZİM ÇOCUKLARIMIZ DENEK DEĞIL ÇOCUKALRIMİZİ DÜSÜNÜN ARTIK!… https://t.co/ZecFtosIfw</t>
  </si>
  <si>
    <t>1470143488532561921</t>
  </si>
  <si>
    <t>@drfahrettinkoca Milli Eğitim Bakanlığı KAPATMAYIN AMA YENİ ÖNLEMLER ALIN BİZİM ÇOCUKLARIMIZ DENEK DEĞIL ÇOCUKALRIM… https://t.co/Xi3w5FRdrI</t>
  </si>
  <si>
    <t>1470143424041000969</t>
  </si>
  <si>
    <t>@drfahrettinkoca KAPATMAYIN AMA YENİ ÖNLEMLER ALIN BİZİM ÇOCUKLARIMIZ DENEK DEĞIL ÇOCUKALRIMİZİ DÜSÜNÜN ARTIK!… https://t.co/uMJmcRsnnr</t>
  </si>
  <si>
    <t>1470143281275285522</t>
  </si>
  <si>
    <t>@drfahrettinkoca Milli Eğitim Bakanlığı KAPATMAYIN AMA YENİ ÖNLEMLER ALIN BİZİM ÇOCUKLARIMIZ DENEK DEĞIL ÇOCUKALRIM… https://t.co/dOez6J9TPH</t>
  </si>
  <si>
    <t>1470143242125684741</t>
  </si>
  <si>
    <t>@drfahrettinkoca KAPATMAYIN AMA YENİ ÖNLEMLER ALIN BİZİM ÇOCUKLARIMIZ DENEK DEĞIL ÇOCUKALRIMİZİ DÜSÜNÜN ARTIK!… https://t.co/MNNoeMG5ve</t>
  </si>
  <si>
    <t>1470143224127885317</t>
  </si>
  <si>
    <t>@drfahrettinkoca valla kimsenin kaygılandığı falan yok..o senin hüsnü kuruntun</t>
  </si>
  <si>
    <t>1470143162526183425</t>
  </si>
  <si>
    <t>@drfahrettinkoca ÖĞRENCİLER NE OLACAK?   #VakalarArtmadanEğitimUzaktan  #OnlineEğitimCanKurtarır</t>
  </si>
  <si>
    <t>1470143089251598341</t>
  </si>
  <si>
    <t>@drfahrettinkoca Bu salgında kış günü camlar mecburen kapalıyken sınıflarda öğrenci sayısı kesinlikle 20 yi geçmemeli</t>
  </si>
  <si>
    <t>1470142320444063749</t>
  </si>
  <si>
    <t>@drfahrettinkoca Avrupa bas bas bagiriyor 5-12 yas araliginda yayilim hizli diyor duymuyormusun duymak mi istemiyorsun biran once onlem alin</t>
  </si>
  <si>
    <t>1470142181272956929</t>
  </si>
  <si>
    <t>@drfahrettinkoca Sayın bakanım artık toplumda sıkı tedbirler alınmalı ve okullar ikili sisteme geçerek derslerde öğ… https://t.co/MjuGfe3IrP</t>
  </si>
  <si>
    <t>1470141936291962885</t>
  </si>
  <si>
    <t>@drfahrettinkoca Bizim cocuklarimiz can tasiyor her gun 9 saat maske ile virusle mucadele ediyorlar sorumluluk alin… https://t.co/7n02CPUFEg</t>
  </si>
  <si>
    <t>1470141781606023171</t>
  </si>
  <si>
    <t>@drfahrettinkoca Masallar masallar masallarr size kimse inanmiyor artik</t>
  </si>
  <si>
    <t>1470141323567153153</t>
  </si>
  <si>
    <t>@drfahrettinkoca Bana var dediler...:)</t>
  </si>
  <si>
    <t>1470140814022135812</t>
  </si>
  <si>
    <t>@drfahrettinkoca Aşılılardan pcr testi alınmazsa her çıkan varyant gelir aşısız lar zaten yurt dışına çıkamıyor yur… https://t.co/KwfCWnjfcc</t>
  </si>
  <si>
    <t>1470139683887800330</t>
  </si>
  <si>
    <t>@drfahrettinkoca Hocam pankreas iltihaplanması yaşafım 2. Sefen doktorum kasap insan tedavisi için uğraşıyor ama be… https://t.co/MmKh6sxYfB</t>
  </si>
  <si>
    <t>1470138631033659403</t>
  </si>
  <si>
    <t>@drfahrettinkoca TEDBİR OLMADAN VAKA SAYISI NASIL DÜŞÜYOR? :D</t>
  </si>
  <si>
    <t>1470138593154899970</t>
  </si>
  <si>
    <t>@drfahrettinkoca Bakana bak işi gücü bırakmış tivit atıp duruyor marketlere her girdiğimde millet Allah yardımcımız… https://t.co/KJk03w5Ipv</t>
  </si>
  <si>
    <t>1470138362669510657</t>
  </si>
  <si>
    <t>@drfahrettinkoca Tedbirleri en çok kamu personeli bozuyor müdüründen şöförüne kadar umursamazlığa  saplanmış yöneti… https://t.co/KnjyRYyRMP</t>
  </si>
  <si>
    <t>1470136363127394308</t>
  </si>
  <si>
    <t>@drfahrettinkoca DİYETİSYENLERE COK SAYİDA ATAMA BEKLİYORUZ SAYİN BAKANİM</t>
  </si>
  <si>
    <t>1470135468448694277</t>
  </si>
  <si>
    <t>@drfahrettinkoca DİYETİSYENLERE COK SAYİDA ATAMA BEKLİYORUZ SAYİN BAKANİM 90 üstü puanla ACİKTALAR</t>
  </si>
  <si>
    <t>1470135430947479554</t>
  </si>
  <si>
    <t>1470135382129979395</t>
  </si>
  <si>
    <t>@drfahrettinkoca Omicron 😂😂😂😂😂 omicron</t>
  </si>
  <si>
    <t>1470134874115915792</t>
  </si>
  <si>
    <t>@drfahrettinkoca Needen 6 iluminatinin sadık üyesi</t>
  </si>
  <si>
    <t>1470134152582381574</t>
  </si>
  <si>
    <t>@drfahrettinkoca Yahu rezil kepaze oldu omicronunun mikronuna senin bi sus git artık allah belanı versin haysiyetsi… https://t.co/Ds27LeFsBt</t>
  </si>
  <si>
    <t>1470133060209451024</t>
  </si>
  <si>
    <t>@drfahrettinkoca Sayın Bakanım bitirin artık bu plandemi tiyatrosunu.Herkes bu oyunun farkına vardı</t>
  </si>
  <si>
    <t>1470131496438620172</t>
  </si>
  <si>
    <t>@drfahrettinkoca ciddi ciddi inananlar var 😂 2 senedir aynı teraneler orada bilmem ne varyantı çıktı 1 ay sonra bur… https://t.co/UswSMYWC2b</t>
  </si>
  <si>
    <t>1470131324044382218</t>
  </si>
  <si>
    <t>@drfahrettinkoca Sende bizi yiyon #MahmutÖzerOkullarOnline</t>
  </si>
  <si>
    <t>1470130326190047242</t>
  </si>
  <si>
    <t>@drfahrettinkoca Beslensin mama takviyesi alsın diye ellerimle hastaneye yatırdığım anneannemi o boktan test ile co… https://t.co/yplbCQ5076</t>
  </si>
  <si>
    <t>1470130280421806084</t>
  </si>
  <si>
    <t>@drfahrettinkoca Sn. Bakanım; siz Omicron'un tehlikeli olmadığını söylüyorsunuz ama yerli-yabancı bilim insanları p… https://t.co/fRmJ97u9CG</t>
  </si>
  <si>
    <t>1470129887944097796</t>
  </si>
  <si>
    <t>@drfahrettinkoca Sayın Bakanım artık lütfen yalvarıyorum size 5-11 yaş arası için de pfizer-biontech aşılamayı başl… https://t.co/0S1o1YgM8J</t>
  </si>
  <si>
    <t>1470129453728686087</t>
  </si>
  <si>
    <t>@drfahrettinkoca Koskoca İstanbul'da bir kişi İzmir'de 5 kişide ortaya çıktığına göre demekki okadar hızlı vulasmiyor</t>
  </si>
  <si>
    <t>1470128379886284809</t>
  </si>
  <si>
    <t>@drfahrettinkoca Omicron =  akp</t>
  </si>
  <si>
    <t>1470128207244500995</t>
  </si>
  <si>
    <t>@drfahrettinkoca Sayin AŞI bakani parayi vurdun gene hasta basi 666 dolar guzel para bizde diyoruz pandemi nasil bitecek bitermi hic</t>
  </si>
  <si>
    <t>1470127964805386248</t>
  </si>
  <si>
    <t>@drfahrettinkoca Sayın Bakanım, sanırım covid-19 bizi bekliyor eninde sonunda  aşıyı olursak  yani aşı iyi satarsa… https://t.co/xeZr26MKwv</t>
  </si>
  <si>
    <t>1470127579160059905</t>
  </si>
  <si>
    <t>@drfahrettinkoca biz bu aşıyı kaç doz alırsak salgın biter?? ya da biz 555 doz aşı olursak yoksa biz mi bitirmiş ol… https://t.co/4A1vLXGt9y</t>
  </si>
  <si>
    <t>1470126972177199108</t>
  </si>
  <si>
    <t>@drfahrettinkoca Aşı dediğiniz mucizevi sıvı maşallah İngiliz anahtarı gibi her derde deva!!! Varyant falan hakgeti… https://t.co/4RCiUgbfRR</t>
  </si>
  <si>
    <t>1470126563886874624</t>
  </si>
  <si>
    <t>@drfahrettinkoca sayın Bakanım,  ne zaman bitecek bu pandemi  yani covid-19   hiç bir salgın 2 yıldan uzun sürmemiş… https://t.co/HH9SaJDK5E</t>
  </si>
  <si>
    <t>1470126443841695746</t>
  </si>
  <si>
    <t>@drfahrettinkoca Tüm uzmanlar 3. Dozları erkene çekin diye bas bas bağırıyorken hiçbir hareket yok sizlerden. Kroni… https://t.co/1P3fJz71WI</t>
  </si>
  <si>
    <t>1470126147514028037</t>
  </si>
  <si>
    <t>@drfahrettinkoca O omicron değildir o zaman...</t>
  </si>
  <si>
    <t>1470125693547782155</t>
  </si>
  <si>
    <t>@drfahrettinkoca 🤪😅😂</t>
  </si>
  <si>
    <t>1470125384901476353</t>
  </si>
  <si>
    <t>@drfahrettinkoca Aşı dediğin nasıl bir şey, yenirmi içilir mi, kafa yapıyormu? Sana inanan insanlar ne içiyor nasıl… https://t.co/1YdYiqIXDP</t>
  </si>
  <si>
    <t>1470125210670178318</t>
  </si>
  <si>
    <t>@drfahrettinkoca Herkesi aşılayana kadar siz bu zırvalar bitmeyecek dimi</t>
  </si>
  <si>
    <t>1470125139463446531</t>
  </si>
  <si>
    <t>@drfahrettinkoca Hocam bunca tedbire rağmen nasıl olurda 6 kişide tespit edilir HES kodları kit yahu bu insandan in… https://t.co/Wfr5gI9OLT</t>
  </si>
  <si>
    <t>1470124308282458123</t>
  </si>
  <si>
    <t>@drfahrettinkoca Bu varyant nasıl geldi, yoksa aşı olanlardan mı geldi ülkeye. Ne de olsa aşı olmayanların seyahat… https://t.co/bTuqC1Fk98</t>
  </si>
  <si>
    <t>1470124219849756679</t>
  </si>
  <si>
    <t>@drfahrettinkoca Sayın Koca, Hastaneye Biontech MRNA olmaya geliyoruz, aşı çin MRNA yapılıyor, Sorunca çin için üre… https://t.co/9HEm2Msl2g</t>
  </si>
  <si>
    <t>1470124098596573192</t>
  </si>
  <si>
    <t>@drfahrettinkoca Ayda bir tür ürüyor ne hikmetse artık 😂</t>
  </si>
  <si>
    <t>1470123963200249861</t>
  </si>
  <si>
    <t>@drfahrettinkoca Dünya geneli vaka sayılar 50 k 100 k Türkiye 17 k 😂</t>
  </si>
  <si>
    <t>1470123886243155979</t>
  </si>
  <si>
    <t>@drfahrettinkoca Kaygılanan sizlersiniz, seyahat özgürlüğümüzü geri verin, aşı olmayandan niye seyahat için pcr tes… https://t.co/0jVliwTQgs</t>
  </si>
  <si>
    <t>1470123356703895557</t>
  </si>
  <si>
    <t>@drfahrettinkoca Küresel  Şeytani Üst Aklın Fonlama Beslemeleri Faşistlikte Adeta  Birbirleriyle Yarış Halindeler!… https://t.co/u9J3Csh5h6</t>
  </si>
  <si>
    <t>1470122582707945473</t>
  </si>
  <si>
    <t>@drfahrettinkoca https://t.co/uxjfMdmFN1</t>
  </si>
  <si>
    <t>1470122553255637017</t>
  </si>
  <si>
    <t>@drfahrettinkoca Herkes gerizekalı bir biz akıllıyız öylemi? O kadar ulke boşuna önlem alıyor ,tedbirleri sıkılaştı… https://t.co/bDFxVFh2Ib</t>
  </si>
  <si>
    <t>1470122205589684234</t>
  </si>
  <si>
    <t>@drfahrettinkoca https://t.co/ACyombo8sl</t>
  </si>
  <si>
    <t>1470122089621426179</t>
  </si>
  <si>
    <t>@drfahrettinkoca https://t.co/fcLwcFMDZm</t>
  </si>
  <si>
    <t>1470122055341387783</t>
  </si>
  <si>
    <t>@drfahrettinkoca https://t.co/w6TFMihw8H</t>
  </si>
  <si>
    <t>1470122035552661504</t>
  </si>
  <si>
    <t>@drfahrettinkoca https://t.co/z8R0pgKhhe</t>
  </si>
  <si>
    <t>1470121684476772352</t>
  </si>
  <si>
    <t>@drfahrettinkoca 11 inde 6 vaka bu 666 diye gider Şaşırdıkmı</t>
  </si>
  <si>
    <t>1470121469753667587</t>
  </si>
  <si>
    <t>@drfahrettinkoca Biz şuanda bir varyant düşünecek halde deyiliz.omicron varyantıda sizden tehlikeli deyildir.yediniz türk milletini..</t>
  </si>
  <si>
    <t>1470121377319596036</t>
  </si>
  <si>
    <t>@drfahrettinkoca Kırk yıllık nezle oldu size omikron  Beni de ekleyin listeye</t>
  </si>
  <si>
    <t>1470120709150150660</t>
  </si>
  <si>
    <t>@drfahrettinkoca 6 kişi kesmez 6 Bin filan deki sayın aşı bakanı korkudan herkez aşıya gitsin aşı ticarettir sağlık değil</t>
  </si>
  <si>
    <t>1470120344090460165</t>
  </si>
  <si>
    <t>@drfahrettinkoca #Omikron hafif geciyor diye, hasta olmak zorunda değiliz.. 3. Doz aşı açılmalı ve 5 yaş üstü çocuk… https://t.co/4aRapuX8HT</t>
  </si>
  <si>
    <t>1470120060010307586</t>
  </si>
  <si>
    <t>@drfahrettinkoca Yurtdışından geldiğine göre bu varyant,hani denetim nerede,neden dikkatli takibini yapmadınız ya d… https://t.co/aEaIpDkQZz</t>
  </si>
  <si>
    <t>1470119922663579653</t>
  </si>
  <si>
    <t>@drfahrettinkoca ulaşımda test ve aşı zorunlu olduğu halde bu varyant ülkeye nasıl geldi? bunun da açıklamasını söy… https://t.co/iW6NlxqohZ</t>
  </si>
  <si>
    <t>1470119327072460803</t>
  </si>
  <si>
    <t>@drfahrettinkoca https://t.co/pe2G9r5wk7</t>
  </si>
  <si>
    <t>1470119017255952392</t>
  </si>
  <si>
    <t>@drfahrettinkoca hangi varyantta çip takılacak sayın fahrettin bey</t>
  </si>
  <si>
    <t>1470118973723353088</t>
  </si>
  <si>
    <t>@drfahrettinkoca Yeni Dünya düzenine geçilmesi ülkelerin halk üzerinde sağlık ekonomi baskı dayatma kısıtlama fabri… https://t.co/oUBvN16Kxz</t>
  </si>
  <si>
    <t>1470118833780318210</t>
  </si>
  <si>
    <t>@drfahrettinkoca Avcunu yalarsın sen aşiymiş pcr siz aşisiz ülkemize giren yokken nasıl geldi bu bize varyant nasil… https://t.co/PCJEIxcAuN</t>
  </si>
  <si>
    <t>1470116957869510669</t>
  </si>
  <si>
    <t>@drfahrettinkoca ❗Dr. Carrie Madej:   ❗Eğer aşı olursanız, genetiğiniz bozulur ve GDO olursunuz.  ❗Ve bu yüksek mah… https://t.co/oXOaUoqpeo</t>
  </si>
  <si>
    <t>1470116917289664516</t>
  </si>
  <si>
    <t>@drfahrettinkoca Tüm dünya Omicron'dan dolayı kırılmaya başladı sen çıkmış adamları hastaneye yatırmaya gerek yok d… https://t.co/DMCcm7Aw9F</t>
  </si>
  <si>
    <t>1470116846460358656</t>
  </si>
  <si>
    <t>@drfahrettinkoca İsteyen veliler için 5-11 yaş aşı hakkı ve acilen 3.doz aşılarımızı istiyoruz…🙏</t>
  </si>
  <si>
    <t>1470116634912342029</t>
  </si>
  <si>
    <t>@drfahrettinkoca Bu sıvı her derde deva galiba. Yav siz ne yalancısınız be.</t>
  </si>
  <si>
    <t>1470116600451850245</t>
  </si>
  <si>
    <t>@drfahrettinkoca Peki bu kişiler sıvılımı sıvısızmı? Hani hafif geçiriyorlarmışmışya sıvılılar.</t>
  </si>
  <si>
    <t>1470116362160943110</t>
  </si>
  <si>
    <t>@drfahrettinkoca Bakın bu twiti unutmayın bu c19 ilk geldigindede söylenen bir sözdü</t>
  </si>
  <si>
    <t>1470116077392826369</t>
  </si>
  <si>
    <t>@drfahrettinkoca Yani diyorsun ki nur topu gibi omicronumuz oldu.</t>
  </si>
  <si>
    <t>1470115929983967235</t>
  </si>
  <si>
    <t>@drfahrettinkoca Yav he he. Başım ağrıyor desemde sıvı ol diyeceksiniz galiba.</t>
  </si>
  <si>
    <t>1470115791693565957</t>
  </si>
  <si>
    <t>@drfahrettinkoca 😃😃😃😃</t>
  </si>
  <si>
    <t>1470114539874226183</t>
  </si>
  <si>
    <t>@drfahrettinkoca Ebru eren vardi buralarda goremiyorum ben simdi..Hep en onde çıkardı twitleri..Astronot elbisesi m… https://t.co/MYxzxCEUtF</t>
  </si>
  <si>
    <t>1470114068979716108</t>
  </si>
  <si>
    <t>@drfahrettinkoca Biri şunu  açıklasın  aşısız ve pcr olmayan arkadaşlar  yolculuk yapamiyor uluslararasi dimi. Ozam… https://t.co/1UzZVUFN3Y</t>
  </si>
  <si>
    <t>1470113623477563392</t>
  </si>
  <si>
    <t>@drfahrettinkoca https://t.co/zkDeECgGkn</t>
  </si>
  <si>
    <t>1470112285725237248</t>
  </si>
  <si>
    <t>@drfahrettinkoca Eksik aşı bitmiyor ki</t>
  </si>
  <si>
    <t>1470111248075350017</t>
  </si>
  <si>
    <t>@drfahrettinkoca Yeni varyant göz önünde bulundurularak bir çok  ülkenin  ve Biontech kurucularının 3. doz  uygulam… https://t.co/M5YOEQkE88</t>
  </si>
  <si>
    <t>1470111135047331841</t>
  </si>
  <si>
    <t>@drfahrettinkoca Bu asilar ne mubarekmiş her varyanta etkili..ayrica bu varyanti nasil test ettiniz..pcr la mi😂İNANMIYORUZ</t>
  </si>
  <si>
    <t>1470111007754309635</t>
  </si>
  <si>
    <t>@drfahrettinkoca #HerYerİstiklalHerYerDirenis uyanın artık 2 yıldır dsö kafirlerinin güdümündeki değişen bir şey yok</t>
  </si>
  <si>
    <t>1470110746784768001</t>
  </si>
  <si>
    <t>@drfahrettinkoca Acilen uzaktan eğitim gelmeli  böyle eğitim hiç görülmüyor gitmesem okula devamsızlık oluyor, ders… https://t.co/aVdTSFmtcm</t>
  </si>
  <si>
    <t>1470110630636146689</t>
  </si>
  <si>
    <t>@drfahrettinkoca Varyantlar bitmez uyanmadıkça</t>
  </si>
  <si>
    <t>1470110500847595520</t>
  </si>
  <si>
    <t>@drfahrettinkoca Plan sorunsuz işliyor</t>
  </si>
  <si>
    <t>1470110427388555272</t>
  </si>
  <si>
    <t>@drfahrettinkoca Insanlar geçim derdindeyken daha fazla uzatma bu plandemi günlerini sayın bakan.</t>
  </si>
  <si>
    <t>1470110065713680398</t>
  </si>
  <si>
    <t>@drfahrettinkoca 4 aydır okula gidiyorum 2 yıldır tedbirimi almıştım olmadım  Allaha şükür, okul açıldı 2 kere koro… https://t.co/bPOSuMJLVa</t>
  </si>
  <si>
    <t>1470108927375327243</t>
  </si>
  <si>
    <t>@drfahrettinkoca BUGÜN 6. KİŞİDE GÖRÜLEN OMİCRON. BİR KAÇ GÜN SONRA 66.  BİR HAFTA SONRA 666. DİYEREK KUTSAL SAYILA… https://t.co/UzfsqN8s5Q</t>
  </si>
  <si>
    <t>1470108624651526148</t>
  </si>
  <si>
    <t>@drfahrettinkoca Kaygı mı?Hiçbir kaygı ve endişe özellikle de korku YOK!!!MASKE MESAFE YOK YASAKLAR ÇİĞNENMEK İÇİND… https://t.co/tpT9XOPbdn</t>
  </si>
  <si>
    <t>1470108410150592513</t>
  </si>
  <si>
    <t>@drfahrettinkoca Hangisini tavsiye edersiniz bakanım?</t>
  </si>
  <si>
    <t>1470107828996222977</t>
  </si>
  <si>
    <t>@drfahrettinkoca Omicrona mı yakalansam, covid 19 a mı?</t>
  </si>
  <si>
    <t>1470107741364658191</t>
  </si>
  <si>
    <t>@drfahrettinkoca Omicron varyantı geldi diğer ülkeler tedbir aldı biz hala aynıyız ama insanların sağlığı sizin içi… https://t.co/nDw1mYtt6e</t>
  </si>
  <si>
    <t>1470107589123973123</t>
  </si>
  <si>
    <t>@drfahrettinkoca Bu varyant hangi yaş grubunda, kaç aşı yaptırmışlarda görüldü? Açıklayabilir misiniz?</t>
  </si>
  <si>
    <t>1470107528398782466</t>
  </si>
  <si>
    <t>@drfahrettinkoca Bu Bir Pandemi değil, IQ testi.</t>
  </si>
  <si>
    <t>1470107375394775040</t>
  </si>
  <si>
    <t>@drfahrettinkoca Yalandan bıkmadınız mı sayın bakan. Aşılı ve pcrsiz kimse bir yere gidemezken nasıl geldi</t>
  </si>
  <si>
    <t>1470107119441559559</t>
  </si>
  <si>
    <t>@drfahrettinkoca https://t.co/D8hs4tUyxT</t>
  </si>
  <si>
    <t>1470107078626791434</t>
  </si>
  <si>
    <t>@drfahrettinkoca Müge Anlı ve ekibinin Türk milletinin önünde Serkan Kıyak adlı mağdurun aile sırlarını açığa çıkar… https://t.co/SJ84oGHpIk</t>
  </si>
  <si>
    <t>1470107055138779140</t>
  </si>
  <si>
    <t>@drfahrettinkoca Herşey şaka gibi resmen çocuk kandırıyor gibi bizleri kandırıyorlar vaka sayılarıyla oynuyorlar si… https://t.co/1jztGxJm4s</t>
  </si>
  <si>
    <t>1470106799101599746</t>
  </si>
  <si>
    <t>@drfahrettinkoca https://t.co/DQHftjgOdN</t>
  </si>
  <si>
    <t>1470106676745412619</t>
  </si>
  <si>
    <t>@drfahrettinkoca Geç bakalım dalganı gün sizin gününüz.</t>
  </si>
  <si>
    <t>1470106530976514048</t>
  </si>
  <si>
    <t>@drfahrettinkoca “Vatandaşlarımız kaygılanmamalı”yani diyorki;alışveriş yapın oraya buraya gidin gezin ki esnaf kap… https://t.co/m9wyWjsHnM</t>
  </si>
  <si>
    <t>1470106345517027332</t>
  </si>
  <si>
    <t>@drfahrettinkoca Tedbirlere uyulduğunu düşünüyor musunuz gerçekten?  Ne maske, ne mesafe.. Kimse umursamıyor 🤦‍♀️</t>
  </si>
  <si>
    <t>1470106317759168525</t>
  </si>
  <si>
    <t>@drfahrettinkoca Aşısız ve PCR siz seyahat eden yok nasıl oluyorda varyantn buluyorsunuz demmeki aşılılar varyant yayıyor demek oluyor bu</t>
  </si>
  <si>
    <t>1470106118076739590</t>
  </si>
  <si>
    <t>@drfahrettinkoca Aşı yokken çok daha sağlıklıydık... Ve bu kadar insanımız ölmüyordu... Hem bu nasıl bir aşı ki her… https://t.co/VSSKWULtVa</t>
  </si>
  <si>
    <t>1470106109763633155</t>
  </si>
  <si>
    <t>@drfahrettinkoca Yakında virüs bitti açıklaması yaparlar #VakalarArtmadanEğitimUzaktan</t>
  </si>
  <si>
    <t>1470105759786668038</t>
  </si>
  <si>
    <t>@drfahrettinkoca Varyantları nasıl tespit ediyorsunuz? Bilimsel veriler nerede? Dedikodu yapmak bilim mi? 😁 Yeter a… https://t.co/AIfIbvYmXM</t>
  </si>
  <si>
    <t>1470105482467721226</t>
  </si>
  <si>
    <t>@drfahrettinkoca Kaygılanan yok ki.. varsa da tek sebebi sizsiniz.</t>
  </si>
  <si>
    <t>1470105095249580040</t>
  </si>
  <si>
    <t>@drfahrettinkoca Corona bitti varyantı ortaya çıkıyor ha bire herkes ölecek</t>
  </si>
  <si>
    <t>1470105079902617609</t>
  </si>
  <si>
    <t>@drfahrettinkoca Sizin en büyük özelliğiniz ne biliyor musun herkesi kendiniz gibi kukla sanmanız bizde kaygı yok s… https://t.co/eLqLq5PX8q</t>
  </si>
  <si>
    <t>1470104210092052488</t>
  </si>
  <si>
    <t>@drfahrettinkoca Yeterrr bıktık yalanlarınızdan</t>
  </si>
  <si>
    <t>1470103729391165440</t>
  </si>
  <si>
    <t>@drfahrettinkoca Bakanım covittir varyattur şudur budur hergun birşey çıkıyor ama okullar açık çocuklar kapan evdek… https://t.co/P18gWKomVE</t>
  </si>
  <si>
    <t>1470103703046836225</t>
  </si>
  <si>
    <t>@drfahrettinkoca Yalancısın inanamam gayrı sana güvenemem yalancisin yalancisin sen :)) gülüyoruz ağlanacak halimiz… https://t.co/DEm5zlSwNi</t>
  </si>
  <si>
    <t>1470103210555752455</t>
  </si>
  <si>
    <t>@drfahrettinkoca Başlıcam senin aşına olsak da etkisi yok omicron da diğer ülkelerin etkisini gördük yeter da. artı… https://t.co/fgUKal9Ihe</t>
  </si>
  <si>
    <t>1470102957517676550</t>
  </si>
  <si>
    <t>@drfahrettinkoca Biri neden sayıyla değil de 5i sayiyla</t>
  </si>
  <si>
    <t>1470102672162263043</t>
  </si>
  <si>
    <t>@drfahrettinkoca Sayın koca  Gerçekten hiç samimi olmayı düşündünüzmü</t>
  </si>
  <si>
    <t>1470102414971871241</t>
  </si>
  <si>
    <t>@drfahrettinkoca https://t.co/fNXj6130Ih</t>
  </si>
  <si>
    <t>1470101914213928964</t>
  </si>
  <si>
    <t>@drfahrettinkoca Hafif geçiren vatandaşlar aşılimiydi acaba ondan mi hafif geçiriyorlar..</t>
  </si>
  <si>
    <t>1470101568414523393</t>
  </si>
  <si>
    <t>@drfahrettinkoca Sayın bakanım , test yaptırdık ama pozitif sonuçlu oğlumda ve eşimin pdf belgesinde  nedense bu va… https://t.co/ZxlHwu6ZEf</t>
  </si>
  <si>
    <t>1470101528644145170</t>
  </si>
  <si>
    <t>@drfahrettinkoca 12 ARALIK 2020 AŞI YOK! TEST SAYISI:189.065 VAKA SAYISI:29.136 HASTA SAYISI:5.203 ÖLÜM:222  12 ARA… https://t.co/lZR0EmLR3R</t>
  </si>
  <si>
    <t>1470101518279921664</t>
  </si>
  <si>
    <t>@drfahrettinkoca Hoca asi olunca bitecek diyordun?  1 yil eve kapattin. Kimse uretemedi. Enflasyon patladi. Yag yok… https://t.co/IioHXyTgCQ</t>
  </si>
  <si>
    <t>1470101338503663620</t>
  </si>
  <si>
    <t>@drfahrettinkoca Bakanım kapanma yapmada neyarsan yap istersen alfabeyi harfleri çovit 19 aşiret ilan et</t>
  </si>
  <si>
    <t>1470101218034921478</t>
  </si>
  <si>
    <t>@drfahrettinkoca Bu garip varyantlarla ekonomimizin daha fazla yipranmasina ve çökmesine izin verilmemeli ne oyunla… https://t.co/UKiiknVTMw</t>
  </si>
  <si>
    <t>1470101052997394443</t>
  </si>
  <si>
    <t>@drfahrettinkoca Tedbir yok yok daha neyi zorluyorsunuz ya en iyi tedbir evinizdir diyen sizdiniz nolduda değiştini… https://t.co/GNgtMnXIKu</t>
  </si>
  <si>
    <t>1470100868963966983</t>
  </si>
  <si>
    <t>@drfahrettinkoca Hangi yöntemle omicronu tespit ettiniz? Tespit ettiğiniz şeyin omicron olduğuna nasıl karar verdin… https://t.co/T5TUBR0OBL</t>
  </si>
  <si>
    <t>1470100544614248450</t>
  </si>
  <si>
    <t>@drfahrettinkoca Çok ilginç..bu 6 kişinin ailesi sevgilisi bilmem nesi yok mu?? Nasıl sadece 6 kişi???offf offf 😠</t>
  </si>
  <si>
    <t>1470100212664442880</t>
  </si>
  <si>
    <t>@drfahrettinkoca Çok yakında bizede gelir hiç kaygım yok açıkcası</t>
  </si>
  <si>
    <t>1470099868127567879</t>
  </si>
  <si>
    <t>@drfahrettinkoca O kadar tatlısınız ki bakanım</t>
  </si>
  <si>
    <t>1470098837276663809</t>
  </si>
  <si>
    <t>@drfahrettinkoca Aşınında senindeeeee.......</t>
  </si>
  <si>
    <t>1470098712051556352</t>
  </si>
  <si>
    <t>@drfahrettinkoca Yalan tablosu</t>
  </si>
  <si>
    <t>1470098561853530112</t>
  </si>
  <si>
    <t>@drfahrettinkoca 2.doz sinovac,1 doz biontech olan kişilere 4.aşı ne zaman açılacak.</t>
  </si>
  <si>
    <t>1470097958125424642</t>
  </si>
  <si>
    <t>@drfahrettinkoca Nasıl anladınız termometreylemı</t>
  </si>
  <si>
    <t>1470097951871709198</t>
  </si>
  <si>
    <t>@drfahrettinkoca sayın bakanım Temmuz  8 de. iki doz biontek aşımız olduk 3 dozu  lütfen bir an önce  sisteme tanıt… https://t.co/skmIZ7mJXd</t>
  </si>
  <si>
    <t>1470097609402560512</t>
  </si>
  <si>
    <t>@drfahrettinkoca 🌍🇹🇷👍💪🤲</t>
  </si>
  <si>
    <t>1470097381593128961</t>
  </si>
  <si>
    <t>@drfahrettinkoca Düşmüş</t>
  </si>
  <si>
    <t>1470097297082044421</t>
  </si>
  <si>
    <t>@drfahrettinkoca Sayın bakanım size bunu birkaç kez sordum ama görmediniz. Lütfen 2 sinovac ve 1 biontek olanlar ka… https://t.co/qfSkvRm0oQ</t>
  </si>
  <si>
    <t>1470096991615074314</t>
  </si>
  <si>
    <t>@drfahrettinkoca Artık çok geç olmadan çocukların ve velilerin sesini duyun.Çocuklarımızı covid korkusuyla okula gö… https://t.co/1a7lCinpTd</t>
  </si>
  <si>
    <t>1470096874082349059</t>
  </si>
  <si>
    <t>@drfahrettinkoca Dünya endişeli ama biz olmayalım #MahmutOEzerOkullarOnline</t>
  </si>
  <si>
    <t>1470096836652322816</t>
  </si>
  <si>
    <t>@drfahrettinkoca Vay arkadaş. İnsanlarda bu dümenlere sorgusuz sualsiz inanıyo yaa</t>
  </si>
  <si>
    <t>1470096341602910215</t>
  </si>
  <si>
    <t>@drfahrettinkoca Bunca pandeminin sebebi 1 kişiyle başlamıştı bu 6 kişiyi hafife almamız mı gerekiyor insanlar artı… https://t.co/RiLuo0GGpC</t>
  </si>
  <si>
    <t>1470096304542003201</t>
  </si>
  <si>
    <t>@drfahrettinkoca Düşündürücü 🤔 https://t.co/2m79KSnXne</t>
  </si>
  <si>
    <t>1470095941621493768</t>
  </si>
  <si>
    <t>@drfahrettinkoca Sayın Koca omicron varyantının ülkemize gelmesiyle birlikte lütfen rakam açıklamak dışında önlem k… https://t.co/iCzSk6SzfZ</t>
  </si>
  <si>
    <t>1470095849912999939</t>
  </si>
  <si>
    <t>@drfahrettinkoca Verdiğiniz tablo hangi kriterlere göre yapılıyor acaba çünkü rakam olarak verilen her bir can bir… https://t.co/KJbUYUSF0J</t>
  </si>
  <si>
    <t>1470095003443732487</t>
  </si>
  <si>
    <t>@drfahrettinkoca Sayın Fahrettin bey Neye gore omicron varyantı tespit edıldı Pcr testi poz veya neg dıyor ki o bil… https://t.co/P8UfQVHVpr</t>
  </si>
  <si>
    <t>1470094925521895430</t>
  </si>
  <si>
    <t>@drfahrettinkoca Aşılama düştükçe vakalarda düşüyor. Kaldırın şu yasakları. Aşıları durdurun bak vakalar nasıl düşüyor.</t>
  </si>
  <si>
    <t>1470094867892219909</t>
  </si>
  <si>
    <t>@drfahrettinkoca 4. Aşiya yer yapiyolar....ahada buraya yaziyorum 4. Aşi diye yirtinacaklar bu sefer!!!</t>
  </si>
  <si>
    <t>1470094554929979394</t>
  </si>
  <si>
    <t>@drfahrettinkoca Fahrettin bu 6 rakamını niye bu kadar çok seviyor acaba 🤔 https://t.co/cNbEvZczKz</t>
  </si>
  <si>
    <t>1470094546390421508</t>
  </si>
  <si>
    <t>@drfahrettinkoca evettt sona yaklaşılıyormu yoksa bu fahrettin   hesap günü yaklaştımı? heyecan varmı panik varmı?</t>
  </si>
  <si>
    <t>1470094545060831236</t>
  </si>
  <si>
    <t>@drfahrettinkoca Bildiğim kadarıyla Omicron Afrika'da  ortaya çıktı. Siz, şimdi bazı aşısızların uluslararası dolaş… https://t.co/sedFM8CVEA</t>
  </si>
  <si>
    <t>1470094466497363968</t>
  </si>
  <si>
    <t>@drfahrettinkoca Çok iyi tedbir alınıyor ulaşım araçları tıklım tıklım genelge çıkarıyorsunuz60yaş üstü vs diye uyg… https://t.co/RIQWEzpBm0</t>
  </si>
  <si>
    <t>1470094366102405124</t>
  </si>
  <si>
    <t>@drfahrettinkoca Bu hastalık bariz insan nüfusunu azaltmak için olduğu belli.birakinda bari rahat rahat ölelim 😏</t>
  </si>
  <si>
    <t>1470094062095110144</t>
  </si>
  <si>
    <t>@drfahrettinkoca Biz sadede gelecek olursak; Bu omicron virüsü ile insanları korkutup aşıya yönlendirmek için Patro… https://t.co/C5BSsGVIkg</t>
  </si>
  <si>
    <t>1470093997096022029</t>
  </si>
  <si>
    <t>@drfahrettinkoca Omiko bu ülkeye nasıl geldi? Herkesin yeniden üçer a. olması gerekmiyor mu? Böyle olunca.</t>
  </si>
  <si>
    <t>1470093808046067713</t>
  </si>
  <si>
    <t>@drfahrettinkoca Asenat sma tip 1 ölümcül kas hastası.  Şuan 19 aylık ve 9 kilo yaşama tutunabilmek için destekleri… https://t.co/WD8QhuxJ3j</t>
  </si>
  <si>
    <t>1470093582270963719</t>
  </si>
  <si>
    <t>@drfahrettinkoca Sanırsın ki ortalıkta %90 ölümcül ebola virüsü var. Öyle olsa senin aşı olun demene gerek kalmaz k… https://t.co/sQGKEM4wDz</t>
  </si>
  <si>
    <t>1470093488838619139</t>
  </si>
  <si>
    <t>@drfahrettinkoca YETER ARTIK DUYUN SESİMİZİ #MahmutOEzerOkullarOnline</t>
  </si>
  <si>
    <t>1470093423399129093</t>
  </si>
  <si>
    <t>@drfahrettinkoca Yaw he he</t>
  </si>
  <si>
    <t>1470093339466809348</t>
  </si>
  <si>
    <t>@drfahrettinkoca Uzaktan eğitim istiyoruz</t>
  </si>
  <si>
    <t>1470093202178949124</t>
  </si>
  <si>
    <t>@drfahrettinkoca 17 K vaka olduğu söyleniyor ama yurtta her 10 kişiden 8i ambulansla hastaneye götürülüyor anlamıyorum 🤷🏼‍♀️</t>
  </si>
  <si>
    <t>1470093100936843270</t>
  </si>
  <si>
    <t>@drfahrettinkoca Yıl olmuş 2043 Fahrettin koca açıklama yapıyor; Yeni ultra delta Corona virüsü atlatabilmemiz için… https://t.co/q1qlC34iia</t>
  </si>
  <si>
    <t>1470093003553480706</t>
  </si>
  <si>
    <t>@drfahrettinkoca Avrupa ülkeleri önlemlerini aldılar bizde alınan bir önlem yok omicron varyantınında 6kişiden daha… https://t.co/guKvz9SubS</t>
  </si>
  <si>
    <t>1470092986923069445</t>
  </si>
  <si>
    <t>@drfahrettinkoca Aman çok korktum! hemen Deney sıvılarını olayım bari😜</t>
  </si>
  <si>
    <t>1470092978924437515</t>
  </si>
  <si>
    <t>@drfahrettinkoca Ya madem öyle niye tüm ülkeler ayaklandı siz neyin kafasını yaşıyorsunuz ya kapatın artık şu okulları</t>
  </si>
  <si>
    <t>1470092896447737866</t>
  </si>
  <si>
    <t>@drfahrettinkoca 5+1=6 kişi 5 izmir şeytanın baphomet simgesi  ritüellere devam hayra çalışılmıyor yine izmirde ne… https://t.co/Hp3cSfXcOz</t>
  </si>
  <si>
    <t>1470092643887632387</t>
  </si>
  <si>
    <t>@drfahrettinkoca ya öldürün bizide siz de kurtulun bizde kurtulalım bu işkenceden vallahi huzurumuz kalmadı ya</t>
  </si>
  <si>
    <t>1470092451180339201</t>
  </si>
  <si>
    <t>@drfahrettinkoca https://t.co/G4vMeJhl9e</t>
  </si>
  <si>
    <t>1470091987080683522</t>
  </si>
  <si>
    <t>@drfahrettinkoca Bizi Corona değil, Fahrettin öldürmek istiyor 😅 https://t.co/bJI1ikfXg5</t>
  </si>
  <si>
    <t>1470091968688668682</t>
  </si>
  <si>
    <t>@drfahrettinkoca Demek en az 1 ay önce bize geldi</t>
  </si>
  <si>
    <t>1470091544753586178</t>
  </si>
  <si>
    <t>@drfahrettinkoca Kimsenin kaygılandığı falan yok. Yeter ki sen twit atmayı kes de bi kalk git o oturduğun koltuktan… https://t.co/tVWfBBFmWR</t>
  </si>
  <si>
    <t>1470091403049209857</t>
  </si>
  <si>
    <t>@drfahrettinkoca Bu  belge doğru mudur? https://t.co/qczQ9idWgg</t>
  </si>
  <si>
    <t>1470090700113190912</t>
  </si>
  <si>
    <t>@drfahrettinkoca Neden uzaktan eğitim yapmamak için direniyorsynuz</t>
  </si>
  <si>
    <t>1470090624254812173</t>
  </si>
  <si>
    <t>@drfahrettinkoca Nerden bulaştı bu kişiler? Pcr test ve aşı olmadan Şehirler arası tüm ulaşımlar/Yurtdışı Uçak seya… https://t.co/zXLxVbMVUi</t>
  </si>
  <si>
    <t>1470090617107669003</t>
  </si>
  <si>
    <t>@drfahrettinkoca Testleri durusup vakalarida dusuyor izlenimi veriliyor ama artan vakalar can yakacak ve yine aşı d… https://t.co/8PC3h7KMwo</t>
  </si>
  <si>
    <t>1470090589907660800</t>
  </si>
  <si>
    <t>@drfahrettinkoca Bakan yalan tablo ata ata varya insan yüzüne çıkmaya utanırdı bi insan lan ne kadar yalancısınız siz ya</t>
  </si>
  <si>
    <t>1470090142669017103</t>
  </si>
  <si>
    <t>@drfahrettinkoca Bakan koca aşılılar gezer aşılılar korana getirir Türkiye ye</t>
  </si>
  <si>
    <t>1470089934065307648</t>
  </si>
  <si>
    <t>@drfahrettinkoca Söyle bakalım Fahrettin soru bir bu altı kişi asılı mi soru iki  aynı testlerle bu değişik varyant nasıl tespit edildi</t>
  </si>
  <si>
    <t>1470089784781590536</t>
  </si>
  <si>
    <t>@drfahrettinkoca https://t.co/24aZOPriu3</t>
  </si>
  <si>
    <t>1470089735502802946</t>
  </si>
  <si>
    <t>@drfahrettinkoca Sayın bakanım TL nin değer kaybından sonra komşu ülkelerden  Sürekli alışveriş için ülkemize girip… https://t.co/ITcavp1Yan</t>
  </si>
  <si>
    <t>1470089496297410566</t>
  </si>
  <si>
    <t>@drfahrettinkoca 17 bin az bir sayı değil</t>
  </si>
  <si>
    <t>1470089258652286979</t>
  </si>
  <si>
    <t>@drfahrettinkoca okulları online yap</t>
  </si>
  <si>
    <t>1470089073339650050</t>
  </si>
  <si>
    <t>@drfahrettinkoca Ayrıca bu aşı şişesinde neden çince yazıyor bu hangi aşkıdır, hergün aşı ile yeni bir skandal çıkm… https://t.co/m96tjbRgnW</t>
  </si>
  <si>
    <t>1470089029970505732</t>
  </si>
  <si>
    <t>@drfahrettinkoca Seni canı gönülden tebrik ediyor saygılarımla selamlıyorum güzel insan</t>
  </si>
  <si>
    <t>1470088894498672640</t>
  </si>
  <si>
    <t>@drfahrettinkoca Bu işin pirisin 💪. O microbuda yenecez inşallah</t>
  </si>
  <si>
    <t>1470088849028169739</t>
  </si>
  <si>
    <t>@drfahrettinkoca BAKANLIK SEKRETERİ:Bugünkü toplantı konumuz yeni varyant tedbirleri BAKANLAR VE BİLİM KURULU:Tedbi… https://t.co/myLp1dviNs</t>
  </si>
  <si>
    <t>1470088791847313416</t>
  </si>
  <si>
    <t>@drfahrettinkoca Bitmiş bence korona falan hsjsj</t>
  </si>
  <si>
    <t>1470088719323611138</t>
  </si>
  <si>
    <t>@drfahrettinkoca Tespit edilenlerin kaç dozu var onuda söyleyin bari yalancı salgın bakani</t>
  </si>
  <si>
    <t>1470088580630552582</t>
  </si>
  <si>
    <t>@drfahrettinkoca Bu önemsiz sağlık sorununu her gün flaş vererek böbrek taşı düşürenlere haksızlık ediyorsunuz  sayın bakan!</t>
  </si>
  <si>
    <t>1470088397427548161</t>
  </si>
  <si>
    <t>@drfahrettinkoca Çok komikti OMİCRON geldi vakalar düştü...🤣😂🤭👌</t>
  </si>
  <si>
    <t>1470088049359003649</t>
  </si>
  <si>
    <t>@drfahrettinkoca Sırf okulları kapatmamak için yalan söylüyorlar hakkımız size haram olsun</t>
  </si>
  <si>
    <t>1470087823051137038</t>
  </si>
  <si>
    <t>@drfahrettinkoca Agam neden hep 6, 66,666 sayıları üzerinden gidiyorsunuz. Bize vermek istediğiniz bir mesaj falan mı var acaba 🤔</t>
  </si>
  <si>
    <t>1470087711302238217</t>
  </si>
  <si>
    <t>@drfahrettinkoca Omicron tam yayılmadan önce düşürün böyle bi kaç hafta sonra görürüm sizi</t>
  </si>
  <si>
    <t>1470087667685679106</t>
  </si>
  <si>
    <t>@drfahrettinkoca 5-12 yaş grubuna aşı hakkını verin bir an önce. Ayrıca 3. Doz aşıları da tanımlayın .</t>
  </si>
  <si>
    <t>1470087665525698560</t>
  </si>
  <si>
    <t>@drfahrettinkoca İyi salgın bitti de de sen de kurtul biz de kurtulalım yeter artık kendi aşısının bile hayrını gör… https://t.co/wtLf3Vob1r</t>
  </si>
  <si>
    <t>1470087527755399176</t>
  </si>
  <si>
    <t>@drfahrettinkoca Test verip pozitif çıkana sen şu virüsü kapmissin mi deniyor .günlük pozitif sayısı kadar analiz e… https://t.co/BNm3zqGl3u</t>
  </si>
  <si>
    <t>1470087474831675398</t>
  </si>
  <si>
    <t>@drfahrettinkoca Yaz kızım 6 omicron , 66 delta , 666 nu varyantı</t>
  </si>
  <si>
    <t>1470087157763170312</t>
  </si>
  <si>
    <t>@drfahrettinkoca Hint varyantı vardı İngiliz varyantı vardı Delta varyantı vardı  Bunlar Çok tehlikeliydi Ölüyorduk… https://t.co/nyT8AWMVUI</t>
  </si>
  <si>
    <t>1470086902065909761</t>
  </si>
  <si>
    <t>@drfahrettinkoca Bakanım birşeyi merak ediyorum. Bu varyantları PCR testi ile mi tespit ediyorsunuz? Test pozitifse… https://t.co/frLWJKoN2o</t>
  </si>
  <si>
    <t>1470086793395589133</t>
  </si>
  <si>
    <t>@drfahrettinkoca Avrupa keyfinden kapanmıyor arkadaşlar kendinize gelin artık olağanüstü halden online eğitime geci… https://t.co/5bjvR1zG5M</t>
  </si>
  <si>
    <t>1470086652227985411</t>
  </si>
  <si>
    <t>@drfahrettinkoca Hacı, sen bu verdiğin yalan bilgilere kendin inanıyormusun? Yoksa ordan bakınca biz enayi mi gözüküyoruz😡</t>
  </si>
  <si>
    <t>1470086338523373568</t>
  </si>
  <si>
    <t>@drfahrettinkoca Corona bize bulaşmaz çünkü maskemiz var tağam mı aşımız var ve üstesinden gelicek sevgimiz de var bizim</t>
  </si>
  <si>
    <t>1470086250543603712</t>
  </si>
  <si>
    <t>@drfahrettinkoca Hadi itiraf edin, grip kadar bile değil. Bu ülkede 2018-2019 da 42, 43 bin insan grip ve zatürrede… https://t.co/biQhT8nOy6</t>
  </si>
  <si>
    <t>1470085870657191952</t>
  </si>
  <si>
    <t>@drfahrettinkoca 6 vaka ile hastalığın seyri hakkında genelleme yapılamaz. Okullarda hiçbir tedbir yok. Çocuklarımı… https://t.co/sVqntnQE5E</t>
  </si>
  <si>
    <t>1470085258267738116</t>
  </si>
  <si>
    <t>@drfahrettinkoca Önünüzdeki hafta AUZEF sınavları olacak. Okullar açık. Halkın bir arada olacağı yerler açık. Yayılmaması mucize olacak...</t>
  </si>
  <si>
    <t>1470085248918732801</t>
  </si>
  <si>
    <t>@drfahrettinkoca Bir hafta gibi bir sürede 50 ülkeye yayılan varyant bizim bakanların umrunda değil diğer ülkeler t… https://t.co/TJ3hHwttc0</t>
  </si>
  <si>
    <t>1470084598898040834</t>
  </si>
  <si>
    <t>@drfahrettinkoca Ben bu Omicron u anlayamadım Türkiye ye yüzerek girdi heralde sınırlardan aşı veya pcr sız girilmiyor ya hani 🤷‍♀️</t>
  </si>
  <si>
    <t>1470084524918943748</t>
  </si>
  <si>
    <t>@drfahrettinkoca Omicron varyantı Mayıs 2022 çıkması gerekiyordu DSÖ planlamada güncellemeye gitmiş demek ki hımm😃</t>
  </si>
  <si>
    <t>1470084414000533516</t>
  </si>
  <si>
    <t>@drfahrettinkoca Ah shit, here we go again</t>
  </si>
  <si>
    <t>1470084194281959432</t>
  </si>
  <si>
    <t>@drfahrettinkoca 👇😆👇👇 https://t.co/Buoa9PvrSJ</t>
  </si>
  <si>
    <t>1470084002128277507</t>
  </si>
  <si>
    <t>@drfahrettinkoca Lan okuz Fahrettin nasıl oluyor da her yerde vakalar yükselirken burda düşüyor lan</t>
  </si>
  <si>
    <t>1470083964144660482</t>
  </si>
  <si>
    <t>@drfahrettinkoca Ayın 11'inde 6 kişide. Vay anasını sayın seyirciler.</t>
  </si>
  <si>
    <t>1470083493560528900</t>
  </si>
  <si>
    <t>@drfahrettinkoca Mehmetak7773 https://t.co/N51xeQmaGY</t>
  </si>
  <si>
    <t>1470083417685602308</t>
  </si>
  <si>
    <t>@drfahrettinkoca Yalancı</t>
  </si>
  <si>
    <t>1470082518208630784</t>
  </si>
  <si>
    <t>@drfahrettinkoca Öncelikle virüslü varyantlar diyarı Türkiye den tüm dünyaya selamlar #Omicron… https://t.co/fev6cfNNkT</t>
  </si>
  <si>
    <t>1470082356090392581</t>
  </si>
  <si>
    <t>@drfahrettinkoca Biran önce 5 yaş üstüne de aşı hakkı verilmeli. Isteyen/bekleyen pek çok aile var.</t>
  </si>
  <si>
    <t>1470082289585508357</t>
  </si>
  <si>
    <t>@drfahrettinkoca Şu yorumlarda, koskoca devlet bakanina racon kesenler, acaba karşinıza çıksa, kendi içinize dogru… https://t.co/QrVOAu3wh5</t>
  </si>
  <si>
    <t>1470082078255591426</t>
  </si>
  <si>
    <t>@drfahrettinkoca Sn. Bakanım maalesef hafif belirteler cümlesini doğru bulmuyorum. Korku da verilmemeli ama hafife… https://t.co/aN3niPQSxU</t>
  </si>
  <si>
    <t>1470082070273826818</t>
  </si>
  <si>
    <t>@drfahrettinkoca Sayın Bakanım,Ocak, Şubat aylarında okulları kapatın.Şu kış dönemini önlem alarak geçirelim.Havala… https://t.co/bxHsNMlV2F</t>
  </si>
  <si>
    <t>1470081935699587081</t>
  </si>
  <si>
    <t>@drfahrettinkoca Bir vaka var diye ülkenin şartellerini indirdiniz ilk òlen 88 yaşında bir hasta için ekranda göz y… https://t.co/vdUGV4IZok</t>
  </si>
  <si>
    <t>1470081742983905290</t>
  </si>
  <si>
    <t>@drfahrettinkoca Nagıt gelmiş bu sebelek varyant. Hemide uçaklara sıvısız adam alinmazken ... Kaçak gelmiş ellame.</t>
  </si>
  <si>
    <t>1470081555456532482</t>
  </si>
  <si>
    <t>@drfahrettinkoca Ülkemden milletimden halkimdan uzak dur yeter artik😡</t>
  </si>
  <si>
    <t>1470081536598892554</t>
  </si>
  <si>
    <t>@drfahrettinkoca Kaygılanmayın diyorsunuz ama olmayan önlemlere uyun diyor ve aşı olun diyorsunuz .Enfekte olmaktan… https://t.co/8WondYeGMz</t>
  </si>
  <si>
    <t>1470081219337625600</t>
  </si>
  <si>
    <t>@drfahrettinkoca Hatırlatma dozu için neden hala 6 ay bekliyoruz , 3 aya çekilmesi öneriliyor . Ne bekliyorsunuz .… https://t.co/xl9AiGGIgi</t>
  </si>
  <si>
    <t>1470081146809630722</t>
  </si>
  <si>
    <t>@drfahrettinkoca En iyi tedbir evimizdir dediler,öğrencileri okullara yolladılar.  İsraf haramdır dediler,saraylard… https://t.co/QPYa7wLoid</t>
  </si>
  <si>
    <t>1470080927606968321</t>
  </si>
  <si>
    <t>@drfahrettinkoca Sayın sağlık bakanı; Sizin evlatlarınız yok mu ? Merhametiniz yok mu? Aşı sevdanız yüzünden insanl… https://t.co/7EjNZ6Ywdl</t>
  </si>
  <si>
    <t>1470080904420855811</t>
  </si>
  <si>
    <t>@drfahrettinkoca İngiltere omicron virüsü icin 25-75bin arasi insan olebılır diye sıkı tedbirler aldı dahada sıklas… https://t.co/uFGk1hDw5i</t>
  </si>
  <si>
    <t>1470080708580462598</t>
  </si>
  <si>
    <t>@drfahrettinkoca Omicron varyantı daha masumsa İngiltere niye panik, Avustralya 3 hafta niye kapandı asısızlar niye… https://t.co/UlI0ywS9fF</t>
  </si>
  <si>
    <t>1470080683389423620</t>
  </si>
  <si>
    <t>@drfahrettinkoca İşe alınırken bile aşı ve pcr testi mecburiyeti varken   Seyahat ederken yine aynı uygulanmalar va… https://t.co/mQ6WMyCui1</t>
  </si>
  <si>
    <t>1470080661868400650</t>
  </si>
  <si>
    <t>@drfahrettinkoca Öğrenciler can verir bakanların cebi için #OmicronVirus #Omicron  #MahmutOEzerOkullarOnline https://t.co/TWsitAY13x</t>
  </si>
  <si>
    <t>1470080571200225282</t>
  </si>
  <si>
    <t>@drfahrettinkoca Varyantı nasıl tespit ettiniz. Allah aşkına açıklayınız.</t>
  </si>
  <si>
    <t>1470080515051069446</t>
  </si>
  <si>
    <t>@drfahrettinkoca Sayın bakan.Bakan olduğunuz günden beri ALS hastalığı icin ne gibi bir çalışma yaptınız? Tek bir A… https://t.co/6aHldPSuVu</t>
  </si>
  <si>
    <t>1470080488308105220</t>
  </si>
  <si>
    <t>@drfahrettinkoca Umrumda degil nerede olduğu</t>
  </si>
  <si>
    <t>1470080449368182792</t>
  </si>
  <si>
    <t>@drfahrettinkoca aşı nerede efendim? NEREDE BİZİM 3. DOZLAR???</t>
  </si>
  <si>
    <t>1470080274637676547</t>
  </si>
  <si>
    <t>@drfahrettinkoca griptir o😉</t>
  </si>
  <si>
    <t>1470080270888013830</t>
  </si>
  <si>
    <t>@drfahrettinkoca Bu 6 vaka aşı olmamışmı hani aşı omicron a karsı direnç sağlıyordu #OmicronVirus… https://t.co/U9Sf3Am64w</t>
  </si>
  <si>
    <t>1470080183424200723</t>
  </si>
  <si>
    <t>@drfahrettinkoca Sayın bakanım o test yapıyorsunuz,3 doz sıvıyı söylemiyorum eee bide has kodunuz var.allah aşkına… https://t.co/2TXrIrH2VR</t>
  </si>
  <si>
    <t>1470080091807961092</t>
  </si>
  <si>
    <t>@drfahrettinkoca Tespit ettiklerinizi izole edecek imkanınız varken, salıvermek nasıl bir aymazlıktır? Yayılsın, so… https://t.co/5rLt88vIM3</t>
  </si>
  <si>
    <t>1470080070274494465</t>
  </si>
  <si>
    <t>@drfahrettinkoca Biz yazmaktan yorulduk,siz hala aynı şeyleri söylüyorsunuz. Kimlere test yapılıyor da bu sayılar b… https://t.co/IbNcF9xc92</t>
  </si>
  <si>
    <t>1470080022073458692</t>
  </si>
  <si>
    <t>@drfahrettinkoca Acilen online eğitim</t>
  </si>
  <si>
    <t>1470079853487656970</t>
  </si>
  <si>
    <t>@drfahrettinkoca Mesele sadece nasıl atlattıkları değil kimlere bulaştırdıkları</t>
  </si>
  <si>
    <t>1470079824706351107</t>
  </si>
  <si>
    <t>@drfahrettinkoca 3. Doz Biontech aşısı 6 ay bekletilmeden açılmalıdır!!!</t>
  </si>
  <si>
    <t>1470079761523384325</t>
  </si>
  <si>
    <t>@drfahrettinkoca Merak etmeyin bizdede omicron varyantı var. Dünyada olacak bizde olmayacak. 😮</t>
  </si>
  <si>
    <t>1470079757178052611</t>
  </si>
  <si>
    <t>@drfahrettinkoca -Düzelicez be + ne zaman? mezara girince mi ?</t>
  </si>
  <si>
    <t>1470079751331196929</t>
  </si>
  <si>
    <t>@drfahrettinkoca Yalanini ...</t>
  </si>
  <si>
    <t>1470079577846390790</t>
  </si>
  <si>
    <t>@drfahrettinkoca Omicron varyantı geldiği halde hala okulları açık tutup öğrencileri tehlikeye mi atacaksınız!?</t>
  </si>
  <si>
    <t>1470079445243416577</t>
  </si>
  <si>
    <t>@drfahrettinkoca Bu verilere göre benim anladığım teste giden yok🤷‍♀️, çünkü pozitif çıkana hala “etkinliği yok” de… https://t.co/zYMhynREwB</t>
  </si>
  <si>
    <t>1470079365320949760</t>
  </si>
  <si>
    <t>@drfahrettinkoca PCR testi ve iki doz aşı olmadan seyrhat yapılamaz iken bu omircan varyantı nasıl bu ülkeye geldi… https://t.co/9zSelBk7VI</t>
  </si>
  <si>
    <t>1470079219732467722</t>
  </si>
  <si>
    <t>@drfahrettinkoca Metaverseyi anlayan covid yalaninida çözer bu kadar basir</t>
  </si>
  <si>
    <t>1470161466384961543</t>
  </si>
  <si>
    <t>@drfahrettinkoca Hayat eve sığar ne peki??? Hala bize kullanmayı dayattiginiz HES (hayat eve sığar) kodu uygulaması… https://t.co/1QMusdkFhn</t>
  </si>
  <si>
    <t>1470158633732354058</t>
  </si>
  <si>
    <t>@drfahrettinkoca KAPATMAYIN AMA YENİ ÖNLEMLER ALIN BİZİM ÇOCUKLARIMIZ DENEK DEĞIL ÇOCUKALRIMİZİ DÜSÜNÜN ARTIK!… https://t.co/RSfLwk69s2</t>
  </si>
  <si>
    <t>1470142782920605701</t>
  </si>
  <si>
    <t>@drfahrettinkoca KAPATMAYIN AMA YENİ ÖNLEMLER ALIN BİZİM ÇOCUKLARIMIZ DENEK DEĞIL ÇOCUKALRIMİZİ DÜSÜNÜN ARTIK!… https://t.co/9PotRwDR4p</t>
  </si>
  <si>
    <t>1470142748078575617</t>
  </si>
  <si>
    <t>@drfahrettinkoca KAPATMAYIN AMA YENİ ÖNLEMLER ALIN BİZİM ÇOCUKLARIMIZ DENEK DEĞIL ÇOCUKALRIMİZİ DÜSÜNÜN ARTIK!… https://t.co/BsOtZCq7HK</t>
  </si>
  <si>
    <t>1470142706857000969</t>
  </si>
  <si>
    <t>@drfahrettinkoca "Salgın" bireyle toplumu ayırmadı, "devlet zoru ve genelgeler ile" bireysel hayatla toplumsal hayat ayrıldı.</t>
  </si>
  <si>
    <t>1470140793243455500</t>
  </si>
  <si>
    <t>@drfahrettinkoca Reyisden izin aldınız mı?</t>
  </si>
  <si>
    <t>1470135396579385344</t>
  </si>
  <si>
    <t>@drfahrettinkoca Gösteri yapanların bir kısmına serbestiyet, kalanına yasak; nasıl olacak bu işler sayın bakan. Yasak var mı, yok mu?</t>
  </si>
  <si>
    <t>1470133954816753683</t>
  </si>
  <si>
    <t>@drfahrettinkoca Allahsız herif Aşı nedir, tarihini araştırdın mı hiç? Kaç para aldın aşı reklamından? Kaça sattın milleti Kitapsız herif?</t>
  </si>
  <si>
    <t>1470131007324139524</t>
  </si>
  <si>
    <t>@drfahrettinkoca herşeye yorumun cevabın var bakanım.sana yürekten kırgınız</t>
  </si>
  <si>
    <t>1470130880526131209</t>
  </si>
  <si>
    <t>@drfahrettinkoca Hocam ne saçmalıyorsun ?</t>
  </si>
  <si>
    <t>1470128401918967815</t>
  </si>
  <si>
    <t>@drfahrettinkoca https://t.co/vaFOsnhQUW</t>
  </si>
  <si>
    <t>1470121877557420032</t>
  </si>
  <si>
    <t>@drfahrettinkoca Onun için mi hes koduyla tek tek hepimizi fişledin onun için mi yalan salgın yüzünden ölülerimizi… https://t.co/oCnbKagXGQ</t>
  </si>
  <si>
    <t>1470110859133390848</t>
  </si>
  <si>
    <t>@drfahrettinkoca aynen eyle</t>
  </si>
  <si>
    <t>1470101237223858186</t>
  </si>
  <si>
    <t>@drfahrettinkoca Sağlık ordun silahları bırakıp greve başlamış  😂🤣 ne günlere kaldık  https://t.co/xSJ9bQyTFe</t>
  </si>
  <si>
    <t>1470100162664148998</t>
  </si>
  <si>
    <t>@drfahrettinkoca Kaldırın artık yasakları. Seyahat özgürlüğü anayasal hakkımız. Geri istiyoruz. PCR dayatması bitsi… https://t.co/QJx6NEmovN</t>
  </si>
  <si>
    <t>1470086914808102913</t>
  </si>
  <si>
    <t>@drfahrettinkoca Kagit yaz oku</t>
  </si>
  <si>
    <t>1470086401567961097</t>
  </si>
  <si>
    <t>@drfahrettinkoca Bunlara ne kadar para verip aşı aldırdın cvp ver 666 Kahrettin! https://t.co/35QyfC7fiX</t>
  </si>
  <si>
    <t>1470085125945888775</t>
  </si>
  <si>
    <t>@drfahrettinkoca Kaça sattın milletini sütü bozuk cvp ver! Allahsız kitapsız cvp ver! Dinsiz imansız cvp ver!!!! 66… https://t.co/zgdDYI6tzr</t>
  </si>
  <si>
    <t>1470084715231252489</t>
  </si>
  <si>
    <t>@drfahrettinkoca https://t.co/MFqHMPC39P</t>
  </si>
  <si>
    <t>1470083516939616264</t>
  </si>
  <si>
    <t>@drfahrettinkoca KÜRESEL BİR SALGININ TAM ORTASINDAYIZ FARKINDA MISINIZ? 8 DERS MASKE İLE BOĞULUYORUZ DEDİK, BİR DÜ… https://t.co/v0xFJp9MVJ</t>
  </si>
  <si>
    <t>1470081677124907013</t>
  </si>
  <si>
    <t>@drfahrettinkoca @RTErdogan @c_ahmethoca Sayın bakanım lütfen, Turkovac aşısını bekliyoruz. İkinci aşımızı haziran… https://t.co/XaM2VcbOMt</t>
  </si>
  <si>
    <t>1470474836547981317</t>
  </si>
  <si>
    <t>@drfahrettinkoca Sahtekâr ve düzenbaz iyileştirme aşısı için de çağrıya çıkılmalı.Ülkemiz her konuda olduğu !gibi b… https://t.co/5gH3WGSUpB</t>
  </si>
  <si>
    <t>1470165497417277445</t>
  </si>
  <si>
    <t>@drfahrettinkoca https://t.co/BHX07eGqMg</t>
  </si>
  <si>
    <t>1470148380278112263</t>
  </si>
  <si>
    <t>@drfahrettinkoca 50 yilin, %40'i size ait. Farkinda misiniz?</t>
  </si>
  <si>
    <t>1470147265398460421</t>
  </si>
  <si>
    <t>@drfahrettinkoca Nasıl birden türkiye bu kadar geliştide 5 6 yıllık faz süreci olan aşıyı  10 dkda buldu 🤔</t>
  </si>
  <si>
    <t>1470145408416555014</t>
  </si>
  <si>
    <t>@drfahrettinkoca Kuduz aşısı geliştireceğine kuduza neden olan başıboş köpekleri toplayın @KopekSorunu</t>
  </si>
  <si>
    <t>1470129556665384966</t>
  </si>
  <si>
    <t>@drfahrettinkoca Toplumun büyük bir kısmını kafirin sıvısıyla aşıladıktan sonra. Şaka gibi!</t>
  </si>
  <si>
    <t>1470126727003357189</t>
  </si>
  <si>
    <t>@drfahrettinkoca yaptıklarım yapamadıklarının modunda değil bu ülke yapamadın  yönetemedin baştan  iyidin sonradan saldın çayıra</t>
  </si>
  <si>
    <t>1470122880902086659</t>
  </si>
  <si>
    <t>@drfahrettinkoca Su çiçeği ve kuduz hımmmmm birileri eceline susadı iyice Fahrettin ! istifa et</t>
  </si>
  <si>
    <t>1470120744155762689</t>
  </si>
  <si>
    <t>@drfahrettinkoca İŞKUR üzerinden Kura ve Mülakatla #TYP kapsamında Sağlık Bakanlığı bünyesine alınan Pandeminin en… https://t.co/gCH9nN5ZSO</t>
  </si>
  <si>
    <t>1470119601077985284</t>
  </si>
  <si>
    <t>@drfahrettinkoca Bomonti ilaç fabrikasını 2005 de kapattınız. Heybeliada sanatoryumu 2005 de kapattınız. Hıfzıssıhh… https://t.co/EaW4T1gWok</t>
  </si>
  <si>
    <t>1470106505433255942</t>
  </si>
  <si>
    <t>@drfahrettinkoca Uzuncovid hastalarını arkada bırakarak bir yol kat edemezsiniz  arkada binlerce hasta ve hergeçen… https://t.co/g8Q2Dp6sZ1</t>
  </si>
  <si>
    <t>1470104736925949960</t>
  </si>
  <si>
    <t>@drfahrettinkoca Hahaha. Yerli aşının ithal aşıdan ne farkı varsa. O da diğerlerinin aynısı. Aynı maddeler onda da… https://t.co/1Eq9XoG3Mj</t>
  </si>
  <si>
    <t>1470088763044990982</t>
  </si>
  <si>
    <t>@drfahrettinkoca Güven bitti malesef</t>
  </si>
  <si>
    <t>1470087271382757378</t>
  </si>
  <si>
    <t>@drfahrettinkoca TÜRK MİLLETİNE HAKARET.  ŞEYTANİ ÜST AKLIN PLANDEMİSİ İÇİN DİNİ İSLAMI İSTİSMAR ETMEK.  TÜRKİYE CU… https://t.co/Y9Ypo8H5iz</t>
  </si>
  <si>
    <t>1470085855180210178</t>
  </si>
  <si>
    <t>@drfahrettinkoca Unutmayınız ki Mazlumun öç alacağı gün zalimin zulm ettiği günden daha çetin olacaktır. Hz.Ali. O… https://t.co/u0tJL3L7Al</t>
  </si>
  <si>
    <t>1470082681992093697</t>
  </si>
  <si>
    <t>@drfahrettinkoca Görevini üstlendiğiniz kurum sağlık....  Ama siz Anonim şirketin başında sanıyorsunuz kendinizi. B… https://t.co/pnA58tTGyn</t>
  </si>
  <si>
    <t>1470080199022858249</t>
  </si>
  <si>
    <t>@drfahrettinkoca Organik Bahçemiz https://t.co/b8WCqwOLEc</t>
  </si>
  <si>
    <t>1470079214393217024</t>
  </si>
  <si>
    <t>@drfahrettinkoca Utanın da artık susun!</t>
  </si>
  <si>
    <t>1470497241848860678</t>
  </si>
  <si>
    <t>@drfahrettinkoca Zorla denek yaptınız https://t.co/1wEHS6dx0P</t>
  </si>
  <si>
    <t>1470488153790234631</t>
  </si>
  <si>
    <t>@drfahrettinkoca Sayın bakan bu millet sizi unutmayacak özellikle yaptıklarınızı kapanan kepenkleri intihar eden in… https://t.co/ekD50yLUz4</t>
  </si>
  <si>
    <t>1470480770586316800</t>
  </si>
  <si>
    <t>@drfahrettinkoca ALMANLAR UREYINCE BIZ DE MI URETMIS SAYILDIK... 🤣🤣🤣</t>
  </si>
  <si>
    <t>1470479499833888780</t>
  </si>
  <si>
    <t>@drfahrettinkoca Vallha mi</t>
  </si>
  <si>
    <t>1470477512128012292</t>
  </si>
  <si>
    <t>@drfahrettinkoca @RTErdogan @c_ahmethoca Sayın bakanım lütfen, Turkovac aşısını bekliyoruz. İkinci aşımızı haziran… https://t.co/RLaWPECNve</t>
  </si>
  <si>
    <t>1470475109957881870</t>
  </si>
  <si>
    <t>@drfahrettinkoca Almanlar bulunca bizde mi bulmuş oluyoruz ahahahhaha</t>
  </si>
  <si>
    <t>1470472054642200588</t>
  </si>
  <si>
    <t>@drfahrettinkoca Amma boş yaptın aşı sanki fda dan onay aldı tarikatçı seni</t>
  </si>
  <si>
    <t>1470178158200639497</t>
  </si>
  <si>
    <t>@drfahrettinkoca bu 6 sonra 666  ve sonra 11 meselesi nedir fahrettin bey.</t>
  </si>
  <si>
    <t>1470178118090510339</t>
  </si>
  <si>
    <t>@drfahrettinkoca MUTASYON GEÇİREN VİRÜSÜN AŞISI OLMAZ!    Bunu çok iyi biliyorsunuz! BİLİMİ BİTİRDİNİZ❗ GÜVEN TEK KULLANIMLIKTIR❗</t>
  </si>
  <si>
    <t>1470173492943409152</t>
  </si>
  <si>
    <t>@drfahrettinkoca Yeşilçam filmlerinde sonradan gelen polis gibi aşı da pandemiden sonra geldi. Memlekette covid gir… https://t.co/6mt89NtKaG</t>
  </si>
  <si>
    <t>1470172697632161804</t>
  </si>
  <si>
    <t>@drfahrettinkoca Bakanım sen işin ölçüsünü biraz kaçırdın</t>
  </si>
  <si>
    <t>1470171250706235396</t>
  </si>
  <si>
    <t>@drfahrettinkoca Tahammül edilemez oldunuz. Yat kalk Cvt19. Milletin başka derdi yok mu yahu.</t>
  </si>
  <si>
    <t>1470170360238817288</t>
  </si>
  <si>
    <t>@drfahrettinkoca Nerde o asi sn bakan ben asi vurulmak icin yerli ve milli asimizi bekliyorum surun piyasaya artik</t>
  </si>
  <si>
    <t>1470164081407672323</t>
  </si>
  <si>
    <t>@drfahrettinkoca Sayın Bakan bu MRNA aşılarının ruhsatı lisansını sertifikalarını recetelerini 3.fazlarını geçtiğin… https://t.co/xEKHjuDof8</t>
  </si>
  <si>
    <t>1470162226720002052</t>
  </si>
  <si>
    <t>@drfahrettinkoca Pek de gerek yokmuş sanırım...</t>
  </si>
  <si>
    <t>1470162111301099521</t>
  </si>
  <si>
    <t>@drfahrettinkoca Gaz bulduk yerli araba yaptık palavrasından daha güşünç bir palavra</t>
  </si>
  <si>
    <t>1470160869577404417</t>
  </si>
  <si>
    <t>@drfahrettinkoca He he</t>
  </si>
  <si>
    <t>1470156203695222789</t>
  </si>
  <si>
    <t>@drfahrettinkoca Aşı nerede Koca başkan? 1 yıl hep aynı film.</t>
  </si>
  <si>
    <t>1470154041846112257</t>
  </si>
  <si>
    <t>@drfahrettinkoca Ne 6'si? 11 ulke asisi AKO ile uygulaniyor. Her ulkeye 1 ornek yazdim. Bizimki henuz uygulanmiyor… https://t.co/LeIc6C3Nn1</t>
  </si>
  <si>
    <t>1470151783720890379</t>
  </si>
  <si>
    <t>@drfahrettinkoca Aşının bundan haberi var mı?</t>
  </si>
  <si>
    <t>1470151152973094918</t>
  </si>
  <si>
    <t>@drfahrettinkoca Kovid-19 Yalan Aşı da Yalan</t>
  </si>
  <si>
    <t>1470148134529650688</t>
  </si>
  <si>
    <t>@drfahrettinkoca Türkiyede 6 tane Omicron vakası görülmüş...  Neyle anladınız termometreyle mi ? Virüsün üstünde Om… https://t.co/KfEWFLa5my</t>
  </si>
  <si>
    <t>1470147948180824065</t>
  </si>
  <si>
    <t>@drfahrettinkoca Daha yeni üretebildiniz. Hani sinovac %100 önlüyordu ya. Bu aşılara 2 sene sonra da ihtiyaç olacağ… https://t.co/eeRUWN4XMR</t>
  </si>
  <si>
    <t>1470143963407556608</t>
  </si>
  <si>
    <t>@drfahrettinkoca Covid 19 ile baskı altına alamadığınız insanı haarp psikolojisi ile kontrol altına almaya çalışıyo… https://t.co/pXYyvEger2</t>
  </si>
  <si>
    <t>1470139452316082188</t>
  </si>
  <si>
    <t>@drfahrettinkoca Çin aşısını türk aşısı diye yutturmuyorlarsa bende birşey bilmiyorum yalan inanmayın ülkede kalite… https://t.co/kuIiMMzESF</t>
  </si>
  <si>
    <t>1470138845819805702</t>
  </si>
  <si>
    <t>@drfahrettinkoca KAPATMAYIN AMA YENİ ÖNLEMLER ALIN BİZİM ÇOCUKLARIMIZ DENEK DEĞIL ÇOCUKALRIMİZİ DÜSÜNÜN ARTIK!… https://t.co/YfqX3grhDh</t>
  </si>
  <si>
    <t>1470138118259068935</t>
  </si>
  <si>
    <t>@drfahrettinkoca SENDE NE SABIR VARMIŞ GEÇEN TAYYİBİN HABERCİYE NE DEDİ NE DEDİ SORGUSUNDAN SONRA SİZİNDE EFENDİM S… https://t.co/ssi2Nx3AsV</t>
  </si>
  <si>
    <t>1470137380699054082</t>
  </si>
  <si>
    <t>@drfahrettinkoca Aşı değil deney sıvısı</t>
  </si>
  <si>
    <t>1470133105067442182</t>
  </si>
  <si>
    <t>@drfahrettinkoca Ulan bophometçiler iyice tiksindik imalarınızdan!!!</t>
  </si>
  <si>
    <t>1470131862429446149</t>
  </si>
  <si>
    <t>@drfahrettinkoca Çoğu doktor maaşı yoksulluk sınırının, çoğu sağlık çalışanı maaşı açlık sınırının altında aloooo</t>
  </si>
  <si>
    <t>1470130284356120576</t>
  </si>
  <si>
    <t>@drfahrettinkoca Bu yalana inanan kaç zekası şüpheli inaniyor</t>
  </si>
  <si>
    <t>1470125750753894407</t>
  </si>
  <si>
    <t>@drfahrettinkoca Hani nerde aşı</t>
  </si>
  <si>
    <t>1470124262661017612</t>
  </si>
  <si>
    <t>@drfahrettinkoca Akp li olarak gönüllü vatandaş bulmak için üyeleriniz için çağrıda mı bulunsanız</t>
  </si>
  <si>
    <t>1470123224105115653</t>
  </si>
  <si>
    <t>@drfahrettinkoca Oda bişey mi? Papaz eriğini İmam eriğine çeviren tek ülkeyiz!</t>
  </si>
  <si>
    <t>1470123105989373960</t>
  </si>
  <si>
    <t>@drfahrettinkoca 🤣🤣🤣</t>
  </si>
  <si>
    <t>1470122983150825473</t>
  </si>
  <si>
    <t>@drfahrettinkoca Daha fazla insan olmeden 3. Biontech asilarini da artik acin sayin bakan daha neyi bekliyorsunuz?</t>
  </si>
  <si>
    <t>1470121435821748227</t>
  </si>
  <si>
    <t>@drfahrettinkoca 2 yıldır pandeminin başından beri TV lere çıkıp yalan söylemekten bıkmadın</t>
  </si>
  <si>
    <t>1470120539293376523</t>
  </si>
  <si>
    <t>@drfahrettinkoca Aferin size</t>
  </si>
  <si>
    <t>1470120422687621122</t>
  </si>
  <si>
    <t>@drfahrettinkoca Nerede?</t>
  </si>
  <si>
    <t>1470120241200082947</t>
  </si>
  <si>
    <t>@drfahrettinkoca Aşı nerde</t>
  </si>
  <si>
    <t>1470120230852734988</t>
  </si>
  <si>
    <t>@drfahrettinkoca Aaaa 🤭🤭🤭🤭</t>
  </si>
  <si>
    <t>1470119354369032200</t>
  </si>
  <si>
    <t>@drfahrettinkoca Nerde bu aşı, neden burada halen sinovac ve biontech yapılıyor, neden uluslararası kamuoyunda rekl… https://t.co/1IOPIEzTKL</t>
  </si>
  <si>
    <t>1470119352347373570</t>
  </si>
  <si>
    <t>@drfahrettinkoca Allah utandırmasın diye ettiğiniz dualar kabul olmuş.</t>
  </si>
  <si>
    <t>1470118899077296130</t>
  </si>
  <si>
    <t>@drfahrettinkoca Ya peki sayın bakan hani nerede bizim aşımız biz niçin Çin i n ve Almanya'nın ürettiği aşıyı oluyoruz?</t>
  </si>
  <si>
    <t>1470117532187172867</t>
  </si>
  <si>
    <t>@drfahrettinkoca https://t.co/hkshnIZl07</t>
  </si>
  <si>
    <t>1470117369494360072</t>
  </si>
  <si>
    <t>@drfahrettinkoca Ne karı var insanların aşı bakanına ihtiyacı yok halk sağlığını düşünen yöneticilere ihtiyacı var.</t>
  </si>
  <si>
    <t>1470116705032679428</t>
  </si>
  <si>
    <t>@drfahrettinkoca Vallaha mı? Benim hakkımda sizin olsun katkınız büyük siz daha çok yaşayın.</t>
  </si>
  <si>
    <t>1470111209559056386</t>
  </si>
  <si>
    <t>@drfahrettinkoca Aşı üretmek değil o aşının insanlara belli bir koruma sağlayabiliyor olması önemli sanıyorum :) Tü… https://t.co/jNPaXh9WpL</t>
  </si>
  <si>
    <t>1470108849445109762</t>
  </si>
  <si>
    <t>@drfahrettinkoca Hani nerde kimi asiliyorsunuz</t>
  </si>
  <si>
    <t>1470107762361356294</t>
  </si>
  <si>
    <t>@drfahrettinkoca Yeterrrrr bıktık yalanlarınızdan.</t>
  </si>
  <si>
    <t>1470103377904386048</t>
  </si>
  <si>
    <t>@drfahrettinkoca Ve aynı zamanda diğer ülkelerin ürettikleri gen terapisi çalışmalarına denek olmuş bir ülkeyiz say… https://t.co/PO6Zc9V6DD</t>
  </si>
  <si>
    <t>1470102760045568007</t>
  </si>
  <si>
    <t>@drfahrettinkoca Eeee sonra ..</t>
  </si>
  <si>
    <t>1470101943179743235</t>
  </si>
  <si>
    <t>@drfahrettinkoca Aşı ürettiğimizi açıklama izni varmı. İzin belgesi görelim lütfen.</t>
  </si>
  <si>
    <t>1470100683210776581</t>
  </si>
  <si>
    <t>@drfahrettinkoca Çözüm aşı değil tedavi ilaçlarıdır..  En etkili ve yan etkisiz tedavi ilaçları geliştirilmeli. Bu… https://t.co/WbKlLr7hoJ</t>
  </si>
  <si>
    <t>1470096598340411403</t>
  </si>
  <si>
    <t>@drfahrettinkoca KIRK YALAN FARETTİN AŞI DEĞİL ÖLÜMCÜL DENEY SIVIDIR.. SAHTE SALGIN BAKANI https://t.co/px7VYhr5ry</t>
  </si>
  <si>
    <t>1470095956922228736</t>
  </si>
  <si>
    <t>@drfahrettinkoca Kadro duzenlemesi getirilmeli memur-isci ayrimlari giderilmeli. 4d li isci Paramedik Ambulans Suru… https://t.co/Tue2nbv13S</t>
  </si>
  <si>
    <t>1470094649662578691</t>
  </si>
  <si>
    <t>@drfahrettinkoca Neredeyse pandemi bitecek bakanım daha asimin yuzunu goremedik. Siz uretene kadar kacinci mutasyon… https://t.co/QcbCQlrmZX</t>
  </si>
  <si>
    <t>1470093003293442054</t>
  </si>
  <si>
    <t>@drfahrettinkoca Hani aşı nerde?</t>
  </si>
  <si>
    <t>1470092974507888648</t>
  </si>
  <si>
    <t>@drfahrettinkoca Olmayan virüsün aşısını yapmışlar. Peh. Bu millet o virüs dediğiniz grip türüne karşı zaten bağışı… https://t.co/YLDkzpl4xs</t>
  </si>
  <si>
    <t>1470092517047742467</t>
  </si>
  <si>
    <t>@drfahrettinkoca Ise yaradigimi var sanki</t>
  </si>
  <si>
    <t>1470092455890587649</t>
  </si>
  <si>
    <t>@drfahrettinkoca Yalanın da bu kadarı olmaz arkadas. Sürekli mutasyona uğrayan virüsün aşı olmaz diyen sizsiniz aşı… https://t.co/rcRgH71UmQ</t>
  </si>
  <si>
    <t>1470091541163220992</t>
  </si>
  <si>
    <t>@drfahrettinkoca Bu milleti düşünüyorsanız deneysel sıvıda değil, bu hayat pahalılığından insanlar yeterli ve denge… https://t.co/IgbALNhYwX</t>
  </si>
  <si>
    <t>1470090816358080518</t>
  </si>
  <si>
    <t>@drfahrettinkoca Napalım yani?Hemen gidip aşı mu olalım?</t>
  </si>
  <si>
    <t>1470090209769447427</t>
  </si>
  <si>
    <t>@drfahrettinkoca Kimseye faydası olmayan şeyi üretmekle gururlanan da ne bileyim.....</t>
  </si>
  <si>
    <t>1470089858429427713</t>
  </si>
  <si>
    <t>@drfahrettinkoca mastürbasyon.bütün anlattıklarınız mastürbasyon.bir dr.olarak bunu anlamamanız imkansız.eksantirik… https://t.co/GpPKrU07I6</t>
  </si>
  <si>
    <t>1470089853345968131</t>
  </si>
  <si>
    <t>@drfahrettinkoca Bakanım #Ehliyetaffı verin toplu taşıma ya binmek istemiyoruz ailemizi riske atmayalım</t>
  </si>
  <si>
    <t>1470089489078964238</t>
  </si>
  <si>
    <t>@drfahrettinkoca E hani 20 mayıs 2020de salgının sonunu görmüştün, paralar tatlı geldi herhalde... bu gidişle varya… https://t.co/rvY3qFkRRf</t>
  </si>
  <si>
    <t>1470089292588503040</t>
  </si>
  <si>
    <t>@drfahrettinkoca 666 tane omicron vakası var haberi  yükleniyor</t>
  </si>
  <si>
    <t>1470089072790147084</t>
  </si>
  <si>
    <t>@drfahrettinkoca Neden kullanıcı oldu? Kaç milyon doz ürettik? Kaç ülke talip oldu? Etkinliği nedir?</t>
  </si>
  <si>
    <t>1470088631360569353</t>
  </si>
  <si>
    <t>@drfahrettinkoca Keşke sıvı değil de kendimizin sağlık bakanımız olsaymış.</t>
  </si>
  <si>
    <t>1470088566692843520</t>
  </si>
  <si>
    <t>@drfahrettinkoca BAKANIM ALLAH RAZI OLSUN SİZDEN GELMİŞ GECMİŞ EN İYİ SAGLIK BAKANI KOCA</t>
  </si>
  <si>
    <t>1470086923955937289</t>
  </si>
  <si>
    <t>@drfahrettinkoca Başarı mı???</t>
  </si>
  <si>
    <t>1470086559080882178</t>
  </si>
  <si>
    <t>@drfahrettinkoca Asi ureten ama asilari uretenlere asilari halka yapanlara hasta olanlara bakan saglik personeline… https://t.co/7f8VyS7G5m</t>
  </si>
  <si>
    <t>1470086266133880833</t>
  </si>
  <si>
    <t>@drfahrettinkoca Aşi üretim derken vüris bitti anca</t>
  </si>
  <si>
    <t>1470086210542571525</t>
  </si>
  <si>
    <t>@drfahrettinkoca Bill Gates formülü verirse dedemde üretir tabiiiki</t>
  </si>
  <si>
    <t>1470083775619121154</t>
  </si>
  <si>
    <t>@drfahrettinkoca Aşı üretmek ile hastalıkla mücadele etmek çok farklı. Yine rakamları saklıyorsunuz, avrupada tedbi… https://t.co/ql2yLFviHC</t>
  </si>
  <si>
    <t>1470081365773271043</t>
  </si>
  <si>
    <t>@drfahrettinkoca Faz 3 sonuçlarını bekliyoruz ..</t>
  </si>
  <si>
    <t>1470080232371666947</t>
  </si>
  <si>
    <t>1470079242432045059</t>
  </si>
  <si>
    <t>@drfahrettinkoca Allah razı olsun.ben 3. Doz Türkovak aşı oldum. Hiç bir yan etki hissetmedim.</t>
  </si>
  <si>
    <t>1470523997217607681</t>
  </si>
  <si>
    <t>@drfahrettinkoca @RTErdogan @c_ahmethoca Sayın bakanım lütfen, Turkovac aşısını bekliyoruz. İkinci aşımızı haziran… https://t.co/8ONV9CZNeT</t>
  </si>
  <si>
    <t>1470475185107181573</t>
  </si>
  <si>
    <t>@drfahrettinkoca Tıp: O kadar gelişti ve ilerledi ki; Bilim adamları virüsü İzole edilmiyorlar ama, olmayan virüsün… https://t.co/XchYB4jfv2</t>
  </si>
  <si>
    <t>1470168066273288192</t>
  </si>
  <si>
    <t>@drfahrettinkoca Göklerde uçan uçağa benzer</t>
  </si>
  <si>
    <t>1470161952685051905</t>
  </si>
  <si>
    <t>@drfahrettinkoca Yeterrrrrr  😡#FKocaHaftaAyYılOlduYeter #SağlıkcıGrevde</t>
  </si>
  <si>
    <t>1470147957467062277</t>
  </si>
  <si>
    <t>@drfahrettinkoca Sen o aşıyı olacak misin peki ?</t>
  </si>
  <si>
    <t>1470146175345082387</t>
  </si>
  <si>
    <t>@drfahrettinkoca KAPATMAYIN AMA YENİ ÖNLEMLER ALIN BİZİM ÇOCUKLARIMIZ DENEK DEĞIL ÇOCUKALRIMİZİ DÜSÜNÜN ARTIK!… https://t.co/Wi5jaoBAKv</t>
  </si>
  <si>
    <t>1470142171584020480</t>
  </si>
  <si>
    <t>@drfahrettinkoca KAPATMAYIN AMA YENİ ÖNLEMLER ALIN BİZİM ÇOCUKLARIMIZ DENEK DEĞIL ÇOCUKALRIMİZİ DÜSÜNÜN ARTIK!… https://t.co/vw76ytqNRi</t>
  </si>
  <si>
    <t>1470142128877621259</t>
  </si>
  <si>
    <t>@drfahrettinkoca Milli Eğitim Bakanlığı KAPATMAYIN AMA YENİ ÖNLEMLER ALIN BİZİM ÇOCUKLARIMIZ DENEK DEĞIL ÇOCUKALRIM… https://t.co/mhsOuEVgBg</t>
  </si>
  <si>
    <t>1470142095965016065</t>
  </si>
  <si>
    <t>@drfahrettinkoca KAPATMAYIN AMA YENİ ÖNLEMLER ALIN BİZİM ÇOCUKLARIMIZ DENEK DEĞIL ÇOCUKALRIMİZİ DÜSÜNÜN ARTIK!… https://t.co/kysDNShY0g</t>
  </si>
  <si>
    <t>1470142056421068801</t>
  </si>
  <si>
    <t>@drfahrettinkoca Milli Eğitim Bakanlığı KAPATMAYIN AMA YENİ ÖNLEMLER ALIN BİZİM ÇOCUKLARIMIZ DENEK DEĞIL ÇOCUKALRIM… https://t.co/cOohD9OrAk</t>
  </si>
  <si>
    <t>1470141960916815873</t>
  </si>
  <si>
    <t>@drfahrettinkoca Sayın bakan neden sağlık sınıfında görmediğiniz veteriner hekimlerin aşıyı ürettiğini söylemekten… https://t.co/zgF5sB6q4t</t>
  </si>
  <si>
    <t>1470137727547060226</t>
  </si>
  <si>
    <t>@drfahrettinkoca Bu saatten SONRA güven vermiyor artık</t>
  </si>
  <si>
    <t>1470134938691375113</t>
  </si>
  <si>
    <t>@drfahrettinkoca #BagkurTescilMagdurları 🇹🇷🇹🇷 #BTM Ekonomik sıkıntıları iliklerimize kadar hisseder olduk Tek derdi… https://t.co/xlBNly4Hfk</t>
  </si>
  <si>
    <t>1470125441063301127</t>
  </si>
  <si>
    <t>@drfahrettinkoca Sayın Bakanımız, yerli inaktif aşıyı geliştiren bilim insanının adına/mesleğine (Virolog Veteriner… https://t.co/VNlKfdfnl3</t>
  </si>
  <si>
    <t>1470123621146320904</t>
  </si>
  <si>
    <t>@drfahrettinkoca #SeninleyizTalha Demenize Yanımızda Olmanıza Çok İhtiyacımız Var. Bağlantıya Tıklayarak Talhanın G… https://t.co/ESnCTYQJK1</t>
  </si>
  <si>
    <t>1470123083306520576</t>
  </si>
  <si>
    <t>@drfahrettinkoca Yapmayın yahu içeriğini söyleyin piyasadaki diyer aşılarla karşılaştıralım!</t>
  </si>
  <si>
    <t>1470118850305957901</t>
  </si>
  <si>
    <t>@drfahrettinkoca Ak parti hizmet muhalefet dedikodu üretir</t>
  </si>
  <si>
    <t>1470118758312198149</t>
  </si>
  <si>
    <t>@drfahrettinkoca @saglikbakanligi 25 yıllllll vay anam vayyyy..sanki 1ay gibi gösteriliyor...biz boşa calisiyoruz..… https://t.co/En6mZrFgdR</t>
  </si>
  <si>
    <t>1470117270638768130</t>
  </si>
  <si>
    <t>@drfahrettinkoca Peki neden hıfzısıhha enüstüsünü neden kapattınız (2011) de ve bizleri DSÖ nün eline bırakıp dayım… https://t.co/TrDoNQjiTX</t>
  </si>
  <si>
    <t>1470115727952826377</t>
  </si>
  <si>
    <t>@drfahrettinkoca Mucidi bir veteriner hekimdir viroloji profosörü Prof. Dr. Aykut Özdarendereli. Kayseri Erciyes ün… https://t.co/Q4KkY038FQ</t>
  </si>
  <si>
    <t>1470114794208468995</t>
  </si>
  <si>
    <t>@drfahrettinkoca 📌 Düşük Faiz Politikası        ve 📌 Ekonomik Bağımsızlık https://t.co/4SJ8fqCL07 📌 Büyüyen Türkiye… https://t.co/SytT7rYa9f</t>
  </si>
  <si>
    <t>1470111586668924931</t>
  </si>
  <si>
    <t>@drfahrettinkoca Bizde bunu yedik..</t>
  </si>
  <si>
    <t>1470109438744973322</t>
  </si>
  <si>
    <t>@drfahrettinkoca Temizlikte temel anlayış; “ Kirlet temizlersin!” değil! “ Temizlediysen, kirletme!”</t>
  </si>
  <si>
    <t>1470108844449742854</t>
  </si>
  <si>
    <t>@drfahrettinkoca Aşı var diye sevineceğime, bu kadar hastalığın kaynağı nereden diye sorarım!</t>
  </si>
  <si>
    <t>1470108473983705091</t>
  </si>
  <si>
    <t>@drfahrettinkoca Aşı varsa...Hastalık var diyedir.Ben çok sevinemedim.</t>
  </si>
  <si>
    <t>1470108190717190150</t>
  </si>
  <si>
    <t>@drfahrettinkoca Sizin bu liyakatsiz sisteminizin ürettiği aşıya, yapılan testlere, yazılan sonuçlara insnmıyorum.… https://t.co/XaL71xKh6I</t>
  </si>
  <si>
    <t>1470104807520276484</t>
  </si>
  <si>
    <t>@drfahrettinkoca Acele edin bu milleti mRNA aşılarının kaderine bırakmayın bari ...yazık bize yazık yaşlılarımıza y… https://t.co/6xAyyKFVIM</t>
  </si>
  <si>
    <t>1470102802089365506</t>
  </si>
  <si>
    <t>@drfahrettinkoca Neden aşı üretimine 25 yıl ara verildi? Neden hıfzıssıhha kapatıldı? Diğer aşıları neden yerli üretmiyoruz?</t>
  </si>
  <si>
    <t>1470101602304413699</t>
  </si>
  <si>
    <t>@drfahrettinkoca @CoskunKeskin16 Gururla söylüyorum, Eşim de bende 3. Aşı da Turkovac gönüllüsü olduk. Ayrıca bu ba… https://t.co/b4JOKXvevm</t>
  </si>
  <si>
    <t>1470097903196778497</t>
  </si>
  <si>
    <t>@drfahrettinkoca İnanmıyoruz nedeni  faz çalışmaları  3.4  yıl sürer aşıların</t>
  </si>
  <si>
    <t>1470097878550867968</t>
  </si>
  <si>
    <t>@drfahrettinkoca Bi bitmedin aq</t>
  </si>
  <si>
    <t>1470095839548878851</t>
  </si>
  <si>
    <t>@drfahrettinkoca Paytar aşıcı olmuş, proflar yalancı.</t>
  </si>
  <si>
    <t>1470092812360290305</t>
  </si>
  <si>
    <t>@drfahrettinkoca Şampiyon Lewis Hamilton</t>
  </si>
  <si>
    <t>1470092383551467527</t>
  </si>
  <si>
    <t>@drfahrettinkoca Hani nerede?</t>
  </si>
  <si>
    <t>1470092089815973892</t>
  </si>
  <si>
    <t>@drfahrettinkoca İyi güzel hoşta o iğnelerden bin kat daha etkili, tek yan tesiri olmayan milli ve yerli mucizevi e… https://t.co/tuFS6euvWS</t>
  </si>
  <si>
    <t>1470088590675918855</t>
  </si>
  <si>
    <t>@drfahrettinkoca Diğer aşı olarak nitelendirdiğiniz içeriği belli olmayan ilaçlarda denek olmayı kabul etmediğim gi… https://t.co/hQ85NEjBeR</t>
  </si>
  <si>
    <t>1470088545167626246</t>
  </si>
  <si>
    <t>@drfahrettinkoca Patent hakkı kimde</t>
  </si>
  <si>
    <t>1470081580827922432</t>
  </si>
  <si>
    <t>@drfahrettinkoca Bane</t>
  </si>
  <si>
    <t>1470081391559954436</t>
  </si>
  <si>
    <t>1470079272626835459</t>
  </si>
  <si>
    <t>@drfahrettinkoca Sanki genel bütçeyi siz kendi imkanlarınizla yaratıyorsunuz ... Milletin ödediği vergilerle yoksul… https://t.co/2ZjxSeCfKy</t>
  </si>
  <si>
    <t>1470161345689657345</t>
  </si>
  <si>
    <t>@drfahrettinkoca @saglikbakanligi 100km uzaklıktaki hastane 2vasitayla gidiliyor.yapılan hastane zenginlerin yakını… https://t.co/D4bf8eZ9St</t>
  </si>
  <si>
    <t>1470128825266839556</t>
  </si>
  <si>
    <t>@drfahrettinkoca Goztepe group tekstil gida motor emlak medya göller bölgesi gazete haber sorumlusu</t>
  </si>
  <si>
    <t>1470113907893321729</t>
  </si>
  <si>
    <t>@drfahrettinkoca Evet o yüzden randevu alamıyoruz acilde hastalara bakılmıyor herşey çok güzelmiş gibi konuşmayı bı… https://t.co/dIpFmXXxz3</t>
  </si>
  <si>
    <t>1470099011315056642</t>
  </si>
  <si>
    <t>@drfahrettinkoca Hadi ordan be... Hastahaneler yaptınızda ne oldu Hastahane var doktor yok hizmet yok bir aydır göz… https://t.co/jUOT8mKool</t>
  </si>
  <si>
    <t>1470094177811763211</t>
  </si>
  <si>
    <t>@drfahrettinkoca Yapimi tamamlanmis 15 hastaneye 20 bin kadro mu ayırdıniz sayin bakan</t>
  </si>
  <si>
    <t>1470093127046344706</t>
  </si>
  <si>
    <t>@drfahrettinkoca Onların hepsi döner sermayeden kesilerek yapıldı ne genel bütçesi??</t>
  </si>
  <si>
    <t>1470080879569608714</t>
  </si>
  <si>
    <t>@drfahrettinkoca yurt disinda sokaklara yatirilan cansiz bedenleri ,sokaklarda ölenleri hiçmi görmediniz. Yaziklar… https://t.co/7e1cQ2vG04</t>
  </si>
  <si>
    <t>1470163659649339392</t>
  </si>
  <si>
    <t>@drfahrettinkoca İlk cümleyi yeterince tekrar ederseniz sonunda doğruyu bulursunuz umarım. Bi tane doğru göremedim 2 yıldır.</t>
  </si>
  <si>
    <t>1470156510697304068</t>
  </si>
  <si>
    <t>@drfahrettinkoca SMA tedavisini bekleyen cocukları gorun @drfahrettinkoca ölüme terk etmeyin bilim kurulu kararı ek… https://t.co/CxxHh8Fl0g</t>
  </si>
  <si>
    <t>1470141703856263170</t>
  </si>
  <si>
    <t>@drfahrettinkoca İlk önce online eğitimi getirin #MahmutOEzerOkullarOnline</t>
  </si>
  <si>
    <t>1470134922560126979</t>
  </si>
  <si>
    <t>@drfahrettinkoca Doğrular derken çarpıtılmış veriler ve medya aracılığıyla korku pompalayarak sürdürmeye devam etti… https://t.co/KT4W3g6gug</t>
  </si>
  <si>
    <t>1470126086667317252</t>
  </si>
  <si>
    <t>@drfahrettinkoca Kutsal çatı ne ..</t>
  </si>
  <si>
    <t>1470095435490603012</t>
  </si>
  <si>
    <t>@drfahrettinkoca bakan bey EN BÜYÜK YANLIŞ SİZSİNİZ!</t>
  </si>
  <si>
    <t>1470095226714918915</t>
  </si>
  <si>
    <t>@drfahrettinkoca İstemiyoruz Yeter artık istifa edin. istenmediğiniz yerde durmayın.</t>
  </si>
  <si>
    <t>1470093324585472003</t>
  </si>
  <si>
    <t>@drfahrettinkoca Ülkemizde ise yüksek puan almasına rağmen hiçbir şekilde değer görmeyen emekleri hiçe sayılan diye… https://t.co/qWp4e8YPpg</t>
  </si>
  <si>
    <t>1470176869169434627</t>
  </si>
  <si>
    <t>@drfahrettinkoca Simdi bakanimizin hakkini verin isini layikiyla yapti,fakat son gunlerde randevu sisteminde cidden… https://t.co/GonIwkyJfF</t>
  </si>
  <si>
    <t>1470162298463571975</t>
  </si>
  <si>
    <t>@drfahrettinkoca İşini en iyi yapan kurum olarak sizi kutluyorum. Neler yaptiginizi millet biliyor. https://t.co/NiWIpHmWOx</t>
  </si>
  <si>
    <t>1470160262267297793</t>
  </si>
  <si>
    <t>@drfahrettinkoca 👏👏</t>
  </si>
  <si>
    <t>1470130971131457541</t>
  </si>
  <si>
    <t>@drfahrettinkoca 182 veya mhrs uygulamasi muhtemelen başka bir ülkeye ait olmali,bu yüzden ben her randevu icin EN AZ iki hafta bekliyorum</t>
  </si>
  <si>
    <t>1470119721165107209</t>
  </si>
  <si>
    <t>@drfahrettinkoca İsveç  ten getirdiğiniz hasta İsveç e geri döndü orda yaşıyor</t>
  </si>
  <si>
    <t>1470107441606148103</t>
  </si>
  <si>
    <t>@drfahrettinkoca @skrnglds Valla ınkar edenlerin gözüne dizine dursun ! Başka bır hükümet olsaydı su salgında rezil… https://t.co/zNMcVSXRJt</t>
  </si>
  <si>
    <t>1470103451426299904</t>
  </si>
  <si>
    <t>@drfahrettinkoca Sağlık Bakanlığına bağlı hastanelerden sanırım siz sorumlusunuz. Kusura bakmayın  veya bakın, emin… https://t.co/1UDwqcV6Jg</t>
  </si>
  <si>
    <t>1470096891245441032</t>
  </si>
  <si>
    <t>@drfahrettinkoca oksijen kuyrukları yok hepsi ekmek kuyrukların da</t>
  </si>
  <si>
    <t>1470092125480132608</t>
  </si>
  <si>
    <t>@drfahrettinkoca @drfahrettinkoca Aşıyı -acil- üretebilen ilk 3 ülkeden biri olmak maharettir sn baqan.. Kafanız ba… https://t.co/tXfBEyGZsk</t>
  </si>
  <si>
    <t>1470084250682728456</t>
  </si>
  <si>
    <t>@drfahrettinkoca Dediğim yanlışsa doğrusunu  cevaben şuraya yaz da ben de millet de görsün MESELA TIP FAKÜLTEKERİND… https://t.co/er7naPdtCW</t>
  </si>
  <si>
    <t>1470082763487420428</t>
  </si>
  <si>
    <t>@drfahrettinkoca Sayın bakan DSÖ'nün ve Dünya ilaç sanayiinin maskarası olan bir tip dünyası Ve bakanlığına zerre k… https://t.co/bM7vAJZgct</t>
  </si>
  <si>
    <t>1470081562158981129</t>
  </si>
  <si>
    <t>@drfahrettinkoca Bütce bakanlıga çikıyo millet hayrını nasıl görecekki. Doktor ve prof.lara biraz daha zam geldi an… https://t.co/8HcwuomF80</t>
  </si>
  <si>
    <t>1470148989777584136</t>
  </si>
  <si>
    <t>@drfahrettinkoca FAHRETTIN KOCA ISTIFA!</t>
  </si>
  <si>
    <t>1470140686469115909</t>
  </si>
  <si>
    <t>@drfahrettinkoca 👋bay hepiniz👋</t>
  </si>
  <si>
    <t>1470129989999808512</t>
  </si>
  <si>
    <t>@drfahrettinkoca @AristideBanceVU siz bile maske takmıyorsunuz, üstüne üstlük bunu fotoğraflıyorsunuz.  ''herkes ma… https://t.co/rpB7PZfB3Z</t>
  </si>
  <si>
    <t>1470127913316106241</t>
  </si>
  <si>
    <t>@drfahrettinkoca Sözleşmelileri ortada bıraktınız</t>
  </si>
  <si>
    <t>1470116491148374018</t>
  </si>
  <si>
    <t>@drfahrettinkoca Sizin bütçeniz yüzünden intihara meyilim arttı..</t>
  </si>
  <si>
    <t>1470105759459512320</t>
  </si>
  <si>
    <t>@drfahrettinkoca Sen https://t.co/qfrHTEihDd adamsın utanmaz arlanmaz</t>
  </si>
  <si>
    <t>1470099448554524679</t>
  </si>
  <si>
    <t>@drfahrettinkoca Hekim düşmanı sendikaların dediği mi oldu?</t>
  </si>
  <si>
    <t>1470093373973356552</t>
  </si>
  <si>
    <t>@drfahrettinkoca Allah hayırlı eylesin</t>
  </si>
  <si>
    <t>1470090690600353795</t>
  </si>
  <si>
    <t>@drfahrettinkoca Butce sana hayirli olsun. Gule güle harcayama</t>
  </si>
  <si>
    <t>1470082135201570827</t>
  </si>
  <si>
    <t>@drfahrettinkoca @saglikbakanligi Bu yetişmiş gücü kaybetmeyelim. Hekimler grev yapacak bu greve siz de gelin. Yüre… https://t.co/0uF40NExMH</t>
  </si>
  <si>
    <t>1470517499322150923</t>
  </si>
  <si>
    <t>@drfahrettinkoca 40 kişilik sınıflarda cocuklar sureklu hasta.. ustelık dönem bası ımzaladıgımız kagıtlar varta has… https://t.co/2MkEiqHacA</t>
  </si>
  <si>
    <t>1470505312117563398</t>
  </si>
  <si>
    <t>@drfahrettinkoca Sayın bakanım cocuklar cok ilginc bir şekılde Eylül'de. Berı hasta ıılkokula gıden cocuguna hıc ku… https://t.co/66Xz62WyRR</t>
  </si>
  <si>
    <t>1470504645764292611</t>
  </si>
  <si>
    <t>@drfahrettinkoca Evet o yüzden hekimlerimiz, dil sınavlarına hazırlanarak sahip oldukları zenginliği, hakettiği yer… https://t.co/eP2MLlLsjL</t>
  </si>
  <si>
    <t>1470499245631459329</t>
  </si>
  <si>
    <t>@drfahrettinkoca Hekimleri kaçırmayın da</t>
  </si>
  <si>
    <t>1469818963437793282</t>
  </si>
  <si>
    <t>@drfahrettinkoca Bir adam 40 koca yalan</t>
  </si>
  <si>
    <t>1469818432879271936</t>
  </si>
  <si>
    <t>@drfahrettinkoca https://t.co/XCkiP4GQiT</t>
  </si>
  <si>
    <t>1469816981629116420</t>
  </si>
  <si>
    <t>@drfahrettinkoca İnan kendini izleyin ce sende tatmin olmayacaksın sesin çok detone oldu  içten söyleyemeyince olmu… https://t.co/UVF0MtiZgV</t>
  </si>
  <si>
    <t>1469815230461001737</t>
  </si>
  <si>
    <t>@drfahrettinkoca Ha ha ha, eski türkiyenin eğittiği insanlarla mı övünmeye başladınız, çünkü yakında özel okul dokt… https://t.co/uGCL2HKmbr</t>
  </si>
  <si>
    <t>1469813412335132675</t>
  </si>
  <si>
    <t>@drfahrettinkoca Bende hekimin ayrıca iki yüksek lisans yaptım ; geleceğe dair hiçbir ümidim yok oturmuş ölümü bekl… https://t.co/TSH2BOEYiK</t>
  </si>
  <si>
    <t>1469812275431325697</t>
  </si>
  <si>
    <t>@drfahrettinkoca Belli başlı 4,5 branş dışındaki branşlar tercih edilmiyor diyen sizsiniz. Pratisyen hekimi uzmanlı… https://t.co/ei5VmZxrh0</t>
  </si>
  <si>
    <t>1469810733462523907</t>
  </si>
  <si>
    <t>@drfahrettinkoca Uzmanlığı teşvik etmek istiyorsanız, ilave tazminat çarpanlarında uzman hekim lehine artış yapın.… https://t.co/toC49QaX6A</t>
  </si>
  <si>
    <t>1469810188706365448</t>
  </si>
  <si>
    <t>@drfahrettinkoca @saglikbakanligi https://t.co/pXLO52wiw9</t>
  </si>
  <si>
    <t>1469807749831827458</t>
  </si>
  <si>
    <t>1469807510307676166</t>
  </si>
  <si>
    <t>@drfahrettinkoca Melesef hepsi değil emin ol onların içindede birçok çürük elma var.cogunun gözüne dikkatli bak sadece para görürsün .</t>
  </si>
  <si>
    <t>1469807104907264008</t>
  </si>
  <si>
    <t>@drfahrettinkoca Bakan Doktorları övüyor Doktorlarda sabahtan akşama Bakana küfrediyor.</t>
  </si>
  <si>
    <t>1469806735250661381</t>
  </si>
  <si>
    <t>@drfahrettinkoca niye yoksulluk sınırında yaşıyor bu başarılı ve değerli doktorlarımız.. fedakar hemşirelerimiz.. s… https://t.co/WP8yj40yHz</t>
  </si>
  <si>
    <t>1469806454202941442</t>
  </si>
  <si>
    <t>@drfahrettinkoca Sayın bakan bir gün tabutun başında senin icin helallikik istediklerinde duyacagin helal olsun vey… https://t.co/ZLMci8mk7u</t>
  </si>
  <si>
    <t>1469805886294138880</t>
  </si>
  <si>
    <t>@drfahrettinkoca Ama en az deger gosteren bizim ulke</t>
  </si>
  <si>
    <t>1469805688717287429</t>
  </si>
  <si>
    <t>@drfahrettinkoca Ortalama 1000 dolara kullanmaya devam, vicdan!</t>
  </si>
  <si>
    <t>1469803210051407874</t>
  </si>
  <si>
    <t>@drfahrettinkoca Yalnız doktorlarimiza dışarıdan fazla rağbet bizim zararimiza. Gitmesinler sonra 😊. Ne de olsa ser… https://t.co/2AvjKzpNDF</t>
  </si>
  <si>
    <t>1469802750921916420</t>
  </si>
  <si>
    <t>@drfahrettinkoca Kaçmasınlar sakın</t>
  </si>
  <si>
    <t>1469802321639088128</t>
  </si>
  <si>
    <t>@drfahrettinkoca Fakiriz yani!</t>
  </si>
  <si>
    <t>1469802239480979459</t>
  </si>
  <si>
    <t>@drfahrettinkoca İstifa edin artık gençlerin önünü geleceğini mahvediyorsunuz bütün gençler toplansın istifaya çağr… https://t.co/J4AJMGDFE3</t>
  </si>
  <si>
    <t>1469801322505453571</t>
  </si>
  <si>
    <t>@drfahrettinkoca “ZENGİNLERİN ALICI GÖZLE BAKMASI..”  Kalite kriteriniz hayli ilginç..</t>
  </si>
  <si>
    <t>1469801144079851520</t>
  </si>
  <si>
    <t>@drfahrettinkoca Evet hekimlerimiz e ne yazık ki sizin gibi bir bakan önderlik ediyor.!</t>
  </si>
  <si>
    <t>1469800812444594177</t>
  </si>
  <si>
    <t>@drfahrettinkoca Kaçtan alıyorlar acaba ?</t>
  </si>
  <si>
    <t>1469800309631303681</t>
  </si>
  <si>
    <t>@drfahrettinkoca Allah aşkına artık şu okulları online yapın,.yazık bu insanlara....omicron tehlikeli bir varyant ,… https://t.co/SmKzXqM6hg</t>
  </si>
  <si>
    <t>1469800061601300484</t>
  </si>
  <si>
    <t>@drfahrettinkoca Madem 20bin alacaktınız neden 40bin diye müjde verdiniz?</t>
  </si>
  <si>
    <t>1469799572620857345</t>
  </si>
  <si>
    <t>@drfahrettinkoca Sağlık Bakanı Fahrettin Koca  Bugün bütçe görüşmelerinde  40 bin atamayı  20 bin e indirmiş  20 bi… https://t.co/33BpGrvD5C</t>
  </si>
  <si>
    <t>1469799565402460166</t>
  </si>
  <si>
    <t>@drfahrettinkoca Şunlardan bahsediyor.. :)) https://t.co/F61guqKox3</t>
  </si>
  <si>
    <t>1469799206869213185</t>
  </si>
  <si>
    <t>@drfahrettinkoca Söz konusu en iyi hekimleriniz eğer hakiki vatan evladı ise bırakın zengin ülkelerin zengin teklif… https://t.co/dkXGwuhiqq</t>
  </si>
  <si>
    <t>1469798759223672834</t>
  </si>
  <si>
    <t>@drfahrettinkoca Unutmayınız, hekimlerimizin karşılık vermeden sessizce gitmesi çekindiklerinden değil mesleğe sayg… https://t.co/DLHoXlEsGT</t>
  </si>
  <si>
    <t>1469798266204311554</t>
  </si>
  <si>
    <t>@drfahrettinkoca Teşekkürler sayın bakanım.</t>
  </si>
  <si>
    <t>1469798228883292180</t>
  </si>
  <si>
    <t>@drfahrettinkoca Sayın bakanım 65 yaş üstü 2 Sinovac+1 Biontech olanlara güçlendirici doz randevusu ne zaman açılac… https://t.co/hhlLlzEAnE</t>
  </si>
  <si>
    <t>1469797493554794497</t>
  </si>
  <si>
    <t>@drfahrettinkoca Hayır  yalan  söylüyorsunuz. Hekimlerimiz batan ekonomi  sayesinde  Dünya'nın en iyi yetişmiş  ama… https://t.co/6ADN5CSKnD</t>
  </si>
  <si>
    <t>1469796733991497730</t>
  </si>
  <si>
    <t>@drfahrettinkoca Emekli zammı bu yasanın en önemli maddesi. Kesinlikle çıkmalı. Hayatı beleş vali ile kıçından terl… https://t.co/pS8QKKTV9L</t>
  </si>
  <si>
    <t>1469796119945355266</t>
  </si>
  <si>
    <t>@drfahrettinkoca Uzaktan eğitim istiyoruz bakanım. Üniversite ortamını bi görseniz keşke</t>
  </si>
  <si>
    <t>1469795930882859008</t>
  </si>
  <si>
    <t>@drfahrettinkoca onu için mi gelişmiş ülkelerdeki ameleler bile daha fazla maaş alıyor</t>
  </si>
  <si>
    <t>1469795876021415951</t>
  </si>
  <si>
    <t>@drfahrettinkoca https://t.co/WnmE6RGve8</t>
  </si>
  <si>
    <t>1469795732957933569</t>
  </si>
  <si>
    <t>@drfahrettinkoca Ülkede doktor mu bıraktınız sizin gibi bulunduğu konumu haketmeyen böyle tipler olduğu sürece bu ü… https://t.co/Pf93fzMFry</t>
  </si>
  <si>
    <t>1469795673147154433</t>
  </si>
  <si>
    <t>@drfahrettinkoca #BirBakan40KocaYalan</t>
  </si>
  <si>
    <t>1469795597704126466</t>
  </si>
  <si>
    <t>@drfahrettinkoca Emekli zammı enerji komisyonuna geri çekilmiş diye bir haber var. Kabul edilen madde benim bildiği… https://t.co/au04RtwQX7</t>
  </si>
  <si>
    <t>1469795571225538564</t>
  </si>
  <si>
    <t>@drfahrettinkoca O hepsi için geçerli değil. İlaç ve aşı şirketlerinin fonlayamadıkları için olabilir. Hipokrat yem… https://t.co/ex6MqGKX7Z</t>
  </si>
  <si>
    <t>1469794240523816966</t>
  </si>
  <si>
    <t>@drfahrettinkoca En güzel susan, yaptığınız katliama para karşılığı çıt çıkarmayan bir eğitimli vicdansız sürüsü. Yazıklar olsun hepinize.</t>
  </si>
  <si>
    <t>1469794163218694153</t>
  </si>
  <si>
    <t>@drfahrettinkoca Özellikle “Acil doktorları Ve asistan DR.lar” dayanılmaz nöbet süreleri azaltıldığında nöbet paral… https://t.co/g1vWpP2Xq3</t>
  </si>
  <si>
    <t>1469793923736477698</t>
  </si>
  <si>
    <t>@drfahrettinkoca Eee sonuç, birşeyler yapılacak mı?</t>
  </si>
  <si>
    <t>1469793888823095300</t>
  </si>
  <si>
    <t>@drfahrettinkoca Linke girde tıkla bakalım. https://t.co/QoVkqD5jNG</t>
  </si>
  <si>
    <t>1469793624217071618</t>
  </si>
  <si>
    <t>@drfahrettinkoca 🤔Almanya’da 17 yaş altı çocukların COVID sonuçları yayınlandı. Hastalıktan ölüm oranı 1 milyonda 9… https://t.co/JTWE0pkPbn</t>
  </si>
  <si>
    <t>1469793410563379210</t>
  </si>
  <si>
    <t>@drfahrettinkoca O film kurulunda dahilmi?</t>
  </si>
  <si>
    <t>1469793407212138501</t>
  </si>
  <si>
    <t>@drfahrettinkoca https://t.co/L3Tl5XA9vT</t>
  </si>
  <si>
    <t>1469793301989629959</t>
  </si>
  <si>
    <t>@drfahrettinkoca Yalnız şu mesajın altına baktıkça daha üzülüyor ve karamsarlasiyor insan! Nedendir bu düşmanlık he… https://t.co/LxdxsWm5MC</t>
  </si>
  <si>
    <t>1469792598667804677</t>
  </si>
  <si>
    <t>@drfahrettinkoca Esnaf ağzı, bakanlık makamamına yakıştı mı? Doktorlarımızı övmeye bile dilinizin becerisi yok. Ama… https://t.co/XJI4R7tWuJ</t>
  </si>
  <si>
    <t>1469792455633653762</t>
  </si>
  <si>
    <t>@drfahrettinkoca En zengin ülkelere   gidin mesajı mı? Veriyosunuz? ABD Avrupa ve ya Arab dünyası.</t>
  </si>
  <si>
    <t>1469792432430714881</t>
  </si>
  <si>
    <t>@drfahrettinkoca Yalan istatistikler https://t.co/zLm5O4lbEx</t>
  </si>
  <si>
    <t>1469792402454061060</t>
  </si>
  <si>
    <t>@drfahrettinkoca Türkiyede Hekim varda benimmi haberim yok.</t>
  </si>
  <si>
    <t>1469792243779309572</t>
  </si>
  <si>
    <t>@drfahrettinkoca Bakanım artık öyle bir hale geldik ki çocuklarımıza bakıcıya bile para yetiştiremez durumdayız. Bi… https://t.co/0PaYHCnzii</t>
  </si>
  <si>
    <t>1469791602830893065</t>
  </si>
  <si>
    <t>@drfahrettinkoca https://t.co/YTXgy86DE1</t>
  </si>
  <si>
    <t>1469791512082923524</t>
  </si>
  <si>
    <t>@drfahrettinkoca Pratisyen hekim Türkiyede 500 Avro maaş alıyor. Almanyaya gitse 10 a katlayacak maaşını. Ki gençle… https://t.co/5vxl9kjN45</t>
  </si>
  <si>
    <t>1469791239054802946</t>
  </si>
  <si>
    <t>@drfahrettinkoca Eee madem öyle gitmesinler diye gereğini yapsanıza 🤔</t>
  </si>
  <si>
    <t>1469791094091223041</t>
  </si>
  <si>
    <t>@drfahrettinkoca :)</t>
  </si>
  <si>
    <t>1469790870199316483</t>
  </si>
  <si>
    <t>@drfahrettinkoca Valla sayın bakan bunu siz de unutmayın!</t>
  </si>
  <si>
    <t>1469790666976894982</t>
  </si>
  <si>
    <t>@drfahrettinkoca Omicrona Türkiye’ye nasıl girdi acaba ?Ülkeye girişte test istemiyor musunuz?Yurt dışı anamızın so… https://t.co/Fq5Sqp74U0</t>
  </si>
  <si>
    <t>1469790565315362821</t>
  </si>
  <si>
    <t>@drfahrettinkoca Biz biliyoruz. Hakları ödenmez deyip tabiki ödeme yapmamak olmaz. Haklarını ödeyin şartlarını iyil… https://t.co/F1c8I0g1fs</t>
  </si>
  <si>
    <t>1469790260519448576</t>
  </si>
  <si>
    <t>@drfahrettinkoca 👏👏👏🙏</t>
  </si>
  <si>
    <t>1469789431972438025</t>
  </si>
  <si>
    <t>@drfahrettinkoca Sayın bakanım, (sağlık çalışanlarının aslî unsuru, Ana lokomotifi) değerli hekimlerimizin feryadın… https://t.co/sDouLOhCrC</t>
  </si>
  <si>
    <t>1469789415635570689</t>
  </si>
  <si>
    <t>@drfahrettinkoca Atanmayı bekleyen sağlıkçılara umut verdiniz  umutları kırmayın  Sayın Bakanım.  Birçok branş için… https://t.co/QUVKECjZq6</t>
  </si>
  <si>
    <t>1469789302582398979</t>
  </si>
  <si>
    <t>@drfahrettinkoca Senin gibi güvenilmez Beceriksiz bir sağlık bakanı da unutmayacağız Fahrettin koca kendi doktorlar… https://t.co/g2YBEKoCB7</t>
  </si>
  <si>
    <t>1469787943720177667</t>
  </si>
  <si>
    <t>@drfahrettinkoca 2021 de 40 k sağlık çalışanının istihdamı olacak dediniz beklentiyi yükselttiniz sonra 10 k’sı işç… https://t.co/a6YUHKS1JJ</t>
  </si>
  <si>
    <t>1469787669467181063</t>
  </si>
  <si>
    <t>@drfahrettinkoca Evet, hekimlerimiz öyledir. Ya diğer sağlık çalışanları? Bir kez olsun, sadece bir kez olsun cümle… https://t.co/T04mCR9yy5</t>
  </si>
  <si>
    <t>1469787668246679553</t>
  </si>
  <si>
    <t>@drfahrettinkoca ALLAH tez zamanda sağlıkçıları senden kurtarsın inşallah</t>
  </si>
  <si>
    <t>1469787609987756034</t>
  </si>
  <si>
    <t>@drfahrettinkoca Çok şükür diyelim.lakin diğer ülkelere satılmazlar inşallah</t>
  </si>
  <si>
    <t>1469787488243916802</t>
  </si>
  <si>
    <t>@drfahrettinkoca Ülkemizde doktorlarımızın değerini bilen yok çoğu yurt dışana gidiyor.Bu gidişle doktor bulamayacağız.</t>
  </si>
  <si>
    <t>1469787467125506050</t>
  </si>
  <si>
    <t>@drfahrettinkoca Edebiyatı bırak icraat yap</t>
  </si>
  <si>
    <t>1469787282727182336</t>
  </si>
  <si>
    <t>@drfahrettinkoca @drfahrettinkoca izin alınca cevap verir misiniz.İstifa edecek misiniz.</t>
  </si>
  <si>
    <t>1469787248614952975</t>
  </si>
  <si>
    <t>@drfahrettinkoca Hekim hekim diyerek sağlık sektöründe bile ikilik çıkarmayı başardın ya böyle bir zamanda .....  .… https://t.co/WPGKA0Y2JR</t>
  </si>
  <si>
    <t>1469787187361243136</t>
  </si>
  <si>
    <t>@drfahrettinkoca Dolar şarkısını dinlediniz mi? Kanalıma abone olarak bana destek verebilirsiniz. :D https://t.co/WiTcOx1Pcj</t>
  </si>
  <si>
    <t>1469786605091266567</t>
  </si>
  <si>
    <t>@drfahrettinkoca Yurtdışına giden o kadar çok sağlıkçı çoğaldı ki sağlıkçıların kıymetini bilmek lazım</t>
  </si>
  <si>
    <t>1469786584862150666</t>
  </si>
  <si>
    <t>@drfahrettinkoca Millet mikron gelmis diyolar korkmayin. Korku bagisikligi dusurur. Uyanik olun</t>
  </si>
  <si>
    <t>1469786503245176833</t>
  </si>
  <si>
    <t>@drfahrettinkoca O zaman kadroya niye almıyorsunuz nerde 2018 de yapılacak denilen genelge!!</t>
  </si>
  <si>
    <t>1469786444445147136</t>
  </si>
  <si>
    <t>@drfahrettinkoca Sayın bakan beşbin paramedik atamassan sana oy köy yok akp yese yok şimdiye kadar akpliydim bundan sonra asla</t>
  </si>
  <si>
    <t>1469785709087232011</t>
  </si>
  <si>
    <t>@drfahrettinkoca Canımız tehlikede #VakalarArtmadanEğitimUzaktan  #OnlineEğitim</t>
  </si>
  <si>
    <t>1469785663247691781</t>
  </si>
  <si>
    <t>@drfahrettinkoca Nasipse ben de eşimde hekim olarak yurtdışına göz kırpıyor Almanca çalışıyoruz. Evladımızla herşey… https://t.co/XSv1i4mEfK</t>
  </si>
  <si>
    <t>1469785577436418058</t>
  </si>
  <si>
    <t>@drfahrettinkoca Ekonomi böyle giderse. Memlekette bir tane akıllı adam kalmıyacak. Sosyaloji bozulmak üzere. Mille… https://t.co/dWHA9FFAlI</t>
  </si>
  <si>
    <t>1469785539092094976</t>
  </si>
  <si>
    <t>@drfahrettinkoca *Dombra Finlandiya versiyonunu dinlediniz mi? Kanalıma abone olarak bana destek verebilirsiniz.* 🥰 https://t.co/nxTxtqpe2l</t>
  </si>
  <si>
    <t>1469785531026395152</t>
  </si>
  <si>
    <t>@drfahrettinkoca Maalesef önlemleriniz satıcı gözle bile bakılsa alınmayacak bir önlemdir yaptığınız önemleri yine… https://t.co/pfxAXxEzXY</t>
  </si>
  <si>
    <t>1469785288822120456</t>
  </si>
  <si>
    <t>@drfahrettinkoca sayın bakanım üniversitelerde yüzyüze eğitim fiilen zaten yok 1 veya birkaç ders için lütfen bizi… https://t.co/NOAlmEYnpW</t>
  </si>
  <si>
    <t>1469785207398191110</t>
  </si>
  <si>
    <t>@drfahrettinkoca Pazarlama ruhları na işlemiş.Tabi reklamın iyisi kötüsü olmaz.</t>
  </si>
  <si>
    <t>1469784982990249984</t>
  </si>
  <si>
    <t>@drfahrettinkoca Türkiye'nin gördüğü en kötü sağlık bakanı ve yalancısın. https://t.co/BTxFThfZ4H</t>
  </si>
  <si>
    <t>1469784523332366343</t>
  </si>
  <si>
    <t>@drfahrettinkoca Bu sebepledir ki,sabit ödemeler döner sermayeden tamemen çıkarılsın ve mahsup edilmesin.Zaten bize… https://t.co/ZkWSrTD8h9</t>
  </si>
  <si>
    <t>1469783943289491461</t>
  </si>
  <si>
    <t>@drfahrettinkoca Hekimlere hakettigi ucreti verilmedigi icin pasif iş birakma azaltma eylemi yapiyorlar. Dış merkez… https://t.co/6SYf5ThHvq</t>
  </si>
  <si>
    <t>1469783022434242566</t>
  </si>
  <si>
    <t>@drfahrettinkoca Buraya kısıtlama gelsin önlem alınsın diye yorum yapanlar.Ya siz aşı olmadınız mı?neden bu tarz yo… https://t.co/X83Vzmmaof</t>
  </si>
  <si>
    <t>1469782996647653376</t>
  </si>
  <si>
    <t>@drfahrettinkoca Emir kulu</t>
  </si>
  <si>
    <t>1469782911603941379</t>
  </si>
  <si>
    <t>@drfahrettinkoca Hangi sağlıkçı size oy verir şu saatten sonra bi atama vardı onu da böldünüz  seçimde görüşürüz ba… https://t.co/MYwoeYcdfJ</t>
  </si>
  <si>
    <t>1469782175415476228</t>
  </si>
  <si>
    <t>@drfahrettinkoca 2 bölmek niye bakanım yılın 12 ayına bölün siz atamayı  Bölmeyi seversiniz ne de olsa !!!</t>
  </si>
  <si>
    <t>1469782120860209165</t>
  </si>
  <si>
    <t>@drfahrettinkoca Hangi sağlıkçı size oy verir şu saatten sonra bi atama vardı onu da böldünüz  seçimde görüşürüz ba… https://t.co/XSxbKn33Fe</t>
  </si>
  <si>
    <t>1469782007664291841</t>
  </si>
  <si>
    <t>@drfahrettinkoca Sayın Cumhurbaşkanı haberiniz var mı ? Sizin göreve getirdiğiniz bakan alımı parçalamaya başladı h… https://t.co/seyAAqC0yE</t>
  </si>
  <si>
    <t>1469781917105016837</t>
  </si>
  <si>
    <t>@drfahrettinkoca Siz de göndermek için elinizden geleni yapıyorsunuz.</t>
  </si>
  <si>
    <t>1469781678726041600</t>
  </si>
  <si>
    <t>@drfahrettinkoca "Hastaneden arıyorum. Siz 112'yi şikâyet etmişsiniz. Biz 112'yle ilgilenmiyoruz" diyor.   "Kalp kr… https://t.co/tMFsQC0hDB</t>
  </si>
  <si>
    <t>1469781578960277507</t>
  </si>
  <si>
    <t>@drfahrettinkoca Saplık ocaklarındaki doktorlarınız 5para etmes</t>
  </si>
  <si>
    <t>1469781431643684874</t>
  </si>
  <si>
    <t>@drfahrettinkoca çok doğru tespit o zaman gereğini yapmak için ne bekleniyorsunuz</t>
  </si>
  <si>
    <t>1469780761490472962</t>
  </si>
  <si>
    <t>@drfahrettinkoca Evet değer görmedikleri yerden kaçıyorlar..Vee o kadar haklılar ki..</t>
  </si>
  <si>
    <t>1469780592447434762</t>
  </si>
  <si>
    <t>@drfahrettinkoca Binlerce kişinin kaldığı yurtta omicron geldiğini düşünün anında herkese yayılır  Acilen uzaktan eğitim</t>
  </si>
  <si>
    <t>1469780524571009028</t>
  </si>
  <si>
    <t>@drfahrettinkoca Bakan im biz farkindayiz asil siz unutuyorsunuz meslektaslarinizi</t>
  </si>
  <si>
    <t>1469780285164343296</t>
  </si>
  <si>
    <t>@drfahrettinkoca Sn bakanım 3.aşılarıda açsanız bari herkese Omicronda tespit edilmişken isabet olur bir zahmet</t>
  </si>
  <si>
    <t>1469780132390916100</t>
  </si>
  <si>
    <t>@drfahrettinkoca Bunun gibi mi? https://t.co/m4ROks1KvC</t>
  </si>
  <si>
    <t>1469780082508152842</t>
  </si>
  <si>
    <t>@drfahrettinkoca Bu sözlere karnımız tok sayın bakan, geçiniz. Sorunlarımıza çözüm önerileriniz nedir? Gaz almayı bırakın.</t>
  </si>
  <si>
    <t>1469779963570237441</t>
  </si>
  <si>
    <t>@drfahrettinkoca https://t.co/13X8asfewB</t>
  </si>
  <si>
    <t>1469779955194155012</t>
  </si>
  <si>
    <t>@drfahrettinkoca Biz unutmadık, devlet unuttuğu için, el üstünde tutulacakları yerlere gidiyorlar. Çünkü oraları ha… https://t.co/FG6XS465f5</t>
  </si>
  <si>
    <t>1469779776097468428</t>
  </si>
  <si>
    <t>@drfahrettinkoca Samimiyetsizsiniz sayın bakan. Sayenizde yetişmiş hiç bı sağlık çalışanı kalmayacak ..</t>
  </si>
  <si>
    <t>1469779671445291012</t>
  </si>
  <si>
    <t>@drfahrettinkoca İnşallah en yakın zamanda o ülkelere göç edeceğiz sayın bakanım .bir ev bir milyon ,bir araba 500… https://t.co/nTyyGDbBV0</t>
  </si>
  <si>
    <t>1469779651186896901</t>
  </si>
  <si>
    <t>@drfahrettinkoca #VakalarArtmadanEğitimUzaktan #OmicronVirus</t>
  </si>
  <si>
    <t>1469779588691681289</t>
  </si>
  <si>
    <t>@drfahrettinkoca Hekimlerimiz en iyi hemşirelerimiz en iyi ücrete gelince dünyanın  en kötüsü maalesef !</t>
  </si>
  <si>
    <t>1469779576087891977</t>
  </si>
  <si>
    <t>@drfahrettinkoca başkanım bide liyakat sahibi yoneticiler atayalim</t>
  </si>
  <si>
    <t>1469779490888900619</t>
  </si>
  <si>
    <t>@drfahrettinkoca Diğer Ülkeler bizi kıskanıyor değil mi Fahrettin bey Mahmut bey? Onlar Can güvenliğine çok önem ve… https://t.co/ukBxxum6Oz</t>
  </si>
  <si>
    <t>1469779414485454851</t>
  </si>
  <si>
    <t>@drfahrettinkoca Altında yazılanlar doktor düşmanlığını gözler önüne seriyor...</t>
  </si>
  <si>
    <t>1469779410949705731</t>
  </si>
  <si>
    <t>@drfahrettinkoca Doktorlar bekleme</t>
  </si>
  <si>
    <t>1469779234314985479</t>
  </si>
  <si>
    <t>@drfahrettinkoca #VakalarArtmadanEğitimUzaktan @tcmeb Varyantın çocuklar üzerindeki etkisi yüksek! Bundan sonra var… https://t.co/TCOacWPo5W</t>
  </si>
  <si>
    <t>1469779085853442055</t>
  </si>
  <si>
    <t>@drfahrettinkoca Acilen kapanma ve uzaktan eğitim gelmeli omicron yayılmadan bu karar alınmalı</t>
  </si>
  <si>
    <t>1469779002571296771</t>
  </si>
  <si>
    <t>@drfahrettinkoca Yakında kalmayacak galiba. Almanya'ya son 2 yılda giden hekim sayımız kaç kişidir?</t>
  </si>
  <si>
    <t>1469778827291340801</t>
  </si>
  <si>
    <t>@drfahrettinkoca Öncelikle siz unutmayın sayın bakanım... ve unutturmayın</t>
  </si>
  <si>
    <t>1469778809276751872</t>
  </si>
  <si>
    <t>@drfahrettinkoca Sanki geç mi kaldınız sayın bakanım?</t>
  </si>
  <si>
    <t>1469778690754154508</t>
  </si>
  <si>
    <t>@drfahrettinkoca Keske sizde unutmasanız</t>
  </si>
  <si>
    <t>1469778631597727751</t>
  </si>
  <si>
    <t>@drfahrettinkoca Bu övdüğünüz hekimleriniz liyakatsiz,kişiliksiz yöneticiler tarafından mobbinge uğratılmakta...Bilgilerinize...</t>
  </si>
  <si>
    <t>1469778492128649222</t>
  </si>
  <si>
    <t>@drfahrettinkoca Doktorlar omicron hakkında sizin gibi düşünmüyor sayın Fahrettin bey okadar hafif değilmiş yani ne… https://t.co/6doj2Wnj1B</t>
  </si>
  <si>
    <t>1469778436075962375</t>
  </si>
  <si>
    <t>@drfahrettinkoca https://t.co/iIa8SdK4Od</t>
  </si>
  <si>
    <t>1469778358238162944</t>
  </si>
  <si>
    <t>@drfahrettinkoca başkanım bu sözleri  söylerken, sinirli bi şekilde birine baktığınızi görüyorum.destek lazımsa gel… https://t.co/ZwStMJ3B43</t>
  </si>
  <si>
    <t>1469778306920816641</t>
  </si>
  <si>
    <t>@drfahrettinkoca Eeee!!! Demiştik gizlemenin sonu yok! İfadeleriniz toplumda ciddi bir rahatlamaya sebep olacak! Ül… https://t.co/8Xp60xhqd7</t>
  </si>
  <si>
    <t>1469778162196393984</t>
  </si>
  <si>
    <t>@drfahrettinkoca Artık çocukların sağlığını düşünürsünüz değil mi omicron varyantı Türkiye'de ve daha fazla vaka sa… https://t.co/wKZuzBTYQv</t>
  </si>
  <si>
    <t>1469778090935169026</t>
  </si>
  <si>
    <t>@drfahrettinkoca Sağlık atamasını ikiye bölmüşsünüz bakanım @drfahrettinkoca hiç şaşırmadım pes artıkk diyecek kelime bulamıyorum...</t>
  </si>
  <si>
    <t>1469777963294019601</t>
  </si>
  <si>
    <t>@drfahrettinkoca Hani tek seferde bölünmeden alım yapacağız demiştiniz gerçekten inanamıyorum size 800 bin atama be… https://t.co/zEYWjzSJgK</t>
  </si>
  <si>
    <t>1469777905706311689</t>
  </si>
  <si>
    <t>@drfahrettinkoca Bu ülkeden defolup gideceğiniz günler yakın, o çalıştığınız ilaç şirkeyleriyle beraber😡</t>
  </si>
  <si>
    <t>1469777889860198401</t>
  </si>
  <si>
    <t>@drfahrettinkoca Öyleyse para ver.lafla olurmuuu...</t>
  </si>
  <si>
    <t>1469777775829688323</t>
  </si>
  <si>
    <t>@drfahrettinkoca Sağlık Bakanlığı değil Hekim  Bakanlığı</t>
  </si>
  <si>
    <t>1469777576872849416</t>
  </si>
  <si>
    <t>@drfahrettinkoca @drfahrettinkoca https://t.co/ZNQ3SdJdOt</t>
  </si>
  <si>
    <t>1469777515455602689</t>
  </si>
  <si>
    <t>@drfahrettinkoca 🙏🙏🙏</t>
  </si>
  <si>
    <t>1469777367539367937</t>
  </si>
  <si>
    <t>@drfahrettinkoca YALANCISINIZ Önce 40 bin dediniz Sonra 30 bin sağlıkçı 10 bin işçi dediniz Şimdide 20 bin sağlıkçı… https://t.co/ENqaF1er9Y</t>
  </si>
  <si>
    <t>1469777208537407493</t>
  </si>
  <si>
    <t>@drfahrettinkoca O ne dedi önce onu söyleyin diyen cumhurbaşkanının başkanı…. Dıdıdırı</t>
  </si>
  <si>
    <t>1469777121987997698</t>
  </si>
  <si>
    <t>@drfahrettinkoca 😊</t>
  </si>
  <si>
    <t>1469777065197150211</t>
  </si>
  <si>
    <t>@drfahrettinkoca Evet bu konunun altina imzami atarim lakin degerli hekimlerimiz neden hep yurdisinda diyede sorari… https://t.co/dQ6wDeSj2h</t>
  </si>
  <si>
    <t>1469776916815224847</t>
  </si>
  <si>
    <t>@drfahrettinkoca Teşekkürler bakanım.</t>
  </si>
  <si>
    <t>1469776902374187022</t>
  </si>
  <si>
    <t>@drfahrettinkoca Ha bu çok caydırıcı oldu🥱🥱Yapabiliyorsanız(yerse) alın 6 ay sağlık hizmetlerini elinden 10 numara olur ama yemez!!</t>
  </si>
  <si>
    <t>1469776836322381830</t>
  </si>
  <si>
    <t>@drfahrettinkoca okul kapa</t>
  </si>
  <si>
    <t>1469776578704023552</t>
  </si>
  <si>
    <t>1469776309798809602</t>
  </si>
  <si>
    <t>@drfahrettinkoca Doktorum siz olucaksanız musallayı hazırlatırım.</t>
  </si>
  <si>
    <t>1469776229159034893</t>
  </si>
  <si>
    <t>@drfahrettinkoca Emin misin?? Diş hastanesindeki Doktor ''Ben bu dişi çekemem açıkçası bu konuda tecrübem yok bence… https://t.co/T9x3lCDU8B</t>
  </si>
  <si>
    <t>1469775998803759104</t>
  </si>
  <si>
    <t>@drfahrettinkoca Evet muhakkak öyledir.</t>
  </si>
  <si>
    <t>1469775828238143501</t>
  </si>
  <si>
    <t>@drfahrettinkoca Yazık sizlere gençler sizlerin yüzünden atanamadılar bir türlü ayıptır günahtır Allah aşkına eleyi… https://t.co/Nlxp6WXHQ1</t>
  </si>
  <si>
    <t>1469775727922974723</t>
  </si>
  <si>
    <t>@drfahrettinkoca 3. dozlari açarmisin olalim ortalik karisik</t>
  </si>
  <si>
    <t>1469775677629030405</t>
  </si>
  <si>
    <t>@drfahrettinkoca Bir rus atasozu derki;-"madem bu kadar zekisin,o zaman neden bu kadar fakirsin"-</t>
  </si>
  <si>
    <t>1469775595538198530</t>
  </si>
  <si>
    <t>@drfahrettinkoca Çal keke çal</t>
  </si>
  <si>
    <t>1469775314872061963</t>
  </si>
  <si>
    <t>@drfahrettinkoca Diyetisyenleri unutmayın bakanım 90 üstü puanla atanamamak istemiyoruz. Atanmak Hakkkımızdır.</t>
  </si>
  <si>
    <t>1469775253337477134</t>
  </si>
  <si>
    <t>@drfahrettinkoca Evet teker teker gidiyorlar şimdi sayenizde</t>
  </si>
  <si>
    <t>1469775250548264978</t>
  </si>
  <si>
    <t>@drfahrettinkoca Ee elinde tut o zaman, istifalar havada uçuşuyor. 1 günde 100 muayene yapıyorlar, 36 saat nöbetler… https://t.co/3qFNnYmPQ4</t>
  </si>
  <si>
    <t>1469775142972796934</t>
  </si>
  <si>
    <t>@drfahrettinkoca Ee napalım yani? Yada ne yapsınlar hekimler? Veya sağlık çalışanları ne yapsın? Haklarını vermiyor… https://t.co/YfTqFAq0Qh</t>
  </si>
  <si>
    <t>1469774838243987456</t>
  </si>
  <si>
    <t>@drfahrettinkoca Hekimlerimizde Sorun Yok zaten.kendinizi elestirin bence</t>
  </si>
  <si>
    <t>1469774594961813513</t>
  </si>
  <si>
    <t>@drfahrettinkoca Ya seni engelledim artık hep yalansın</t>
  </si>
  <si>
    <t>1469774313398149125</t>
  </si>
  <si>
    <t>@drfahrettinkoca Her sözünüz yalanmış  Yok atama sayısını yükseltmeye çalışıyoruz  Yok geniş programlı alım yapcaz… https://t.co/lX56BqOlUS</t>
  </si>
  <si>
    <t>1469774285799579649</t>
  </si>
  <si>
    <t>@drfahrettinkoca Ama sayenizde gidiyorlar</t>
  </si>
  <si>
    <t>1469774204207878144</t>
  </si>
  <si>
    <t>@drfahrettinkoca 600 dolar, 36 saat nöbet, şiddet, küfür, bekle kalırlar 🤣</t>
  </si>
  <si>
    <t>1469774183743823877</t>
  </si>
  <si>
    <t>@drfahrettinkoca Hala inatla ülkesinde kalmaya çalışan iyi yetişmiş hekimleri koruyabilmek adına hastanelere delici… https://t.co/ahkXHOtc4u</t>
  </si>
  <si>
    <t>1469773996807839753</t>
  </si>
  <si>
    <t>@drfahrettinkoca https://t.co/YzxX82e41E</t>
  </si>
  <si>
    <t>1469773910283534340</t>
  </si>
  <si>
    <t>@drfahrettinkoca hak edilenin çok altında  ücret ödeniyor.Her gün şiddete maruz kalıyorlar  Meslek örgütleri hedef… https://t.co/0ht27t1oOC</t>
  </si>
  <si>
    <t>1469773430430089218</t>
  </si>
  <si>
    <t>@drfahrettinkoca Sorunlarımızı dile getirmek değil çözüm istiyoruz bakanım. Genç hekimler TUS çalışmıyor. Bunun ağı… https://t.co/U7Q0j0tXNP</t>
  </si>
  <si>
    <t>1469773376315170821</t>
  </si>
  <si>
    <t>@drfahrettinkoca Ne dedi bu</t>
  </si>
  <si>
    <t>1469773368043966472</t>
  </si>
  <si>
    <t>@drfahrettinkoca En iyi hekimlerimiz Avrupa'da çalışıyor burda durup atama'mı beklesinler.</t>
  </si>
  <si>
    <t>1469773316990939138</t>
  </si>
  <si>
    <t>@drfahrettinkoca Omicron çıktığını bir de gece yarısı açıklıyorsunuz, yüreğimize indi, uyuyamayacağız bağışıklığımı… https://t.co/mxwaSsEfaZ</t>
  </si>
  <si>
    <t>1469773201429389316</t>
  </si>
  <si>
    <t>@drfahrettinkoca Sayın bakanım tam 1 aydır hiçbir poliklinikte randevu bulamıyorum özellikle cildiyede 6 aydır rand… https://t.co/qlFsL2l9Vy</t>
  </si>
  <si>
    <t>1469773127488000001</t>
  </si>
  <si>
    <t>@drfahrettinkoca Hekimlerinizi ülkemizde tutamıyorsunuz ama !</t>
  </si>
  <si>
    <t>1469773111058997253</t>
  </si>
  <si>
    <t>@drfahrettinkoca Hiç unutur muyuz? Favicovir veren hekimler az insanın ölümüne sebep olmadı. Allah onlardan razı ol… https://t.co/FjH1Zrb9kX</t>
  </si>
  <si>
    <t>1469772785308291077</t>
  </si>
  <si>
    <t>@drfahrettinkoca Eeee kaçırmayın o zaman..!!!!</t>
  </si>
  <si>
    <t>1469772738235613189</t>
  </si>
  <si>
    <t>@drfahrettinkoca Hekimlerin sorunlarına acilen çözüm bulmazsanız o zengin ülkeler kucaklarını açmış bekliyor. Sadec… https://t.co/ghnGNHmkqS</t>
  </si>
  <si>
    <t>1469772554189656065</t>
  </si>
  <si>
    <t>@drfahrettinkoca 1-) Haziranda 3 ay içinde  2-) Sayıyı arttırmaya çalışıyoruz (Not: Sayı 30.924) 3-) CB; 40 bin sağ… https://t.co/q9ZMzL1LoF</t>
  </si>
  <si>
    <t>1469772547537489923</t>
  </si>
  <si>
    <t>@drfahrettinkoca Keşke siz de onların baktığı gibi bakabilseniz hekimlerinize…</t>
  </si>
  <si>
    <t>1469772539459260423</t>
  </si>
  <si>
    <t>@drfahrettinkoca Omicorn da çıktı ne bekliyorsunuz? Kapanma gelsin okulları kapatın avrupada omicorn çıkan tün ülke… https://t.co/JmluXz4zXT</t>
  </si>
  <si>
    <t>1469772493644779525</t>
  </si>
  <si>
    <t>@drfahrettinkoca Helal olsun size bakanım atamayida 2022 ye iteklediniz Allah razı olsun sizden bir yığın emek nası… https://t.co/pVYIhqv1Pd</t>
  </si>
  <si>
    <t>1469772458899161094</t>
  </si>
  <si>
    <t>@drfahrettinkoca Şaka gibisiniz şakaa 40 bin sağlık alımı diye yola çık 30 bine düşür 20 bin sağlıkçı al işiniz güc… https://t.co/QB0vlHdKM7</t>
  </si>
  <si>
    <t>1469771935219343362</t>
  </si>
  <si>
    <t>@drfahrettinkoca Çok yazık yazık ki ne yazık pes yanı diyecek kelime bulamıyorum alımı bölmek ne demek bunca genç suan gözyaşları içinde</t>
  </si>
  <si>
    <t>1469771836485480452</t>
  </si>
  <si>
    <t>@drfahrettinkoca Sahip çıkın öyleyse</t>
  </si>
  <si>
    <t>1469771678750322697</t>
  </si>
  <si>
    <t>@drfahrettinkoca @drfahrettinkoca @RTErdogan  siz nasıl insanlarsınız hayatımızı kararttınız gençliğimizi  kanımızı… https://t.co/OgGZumUtwi</t>
  </si>
  <si>
    <t>1469771668453273600</t>
  </si>
  <si>
    <t>@drfahrettinkoca Alıcı gözle bakmayın, gelin alın, ben hazırım, gelişmiş ülkelere duyurulur.</t>
  </si>
  <si>
    <t>1469771582277144579</t>
  </si>
  <si>
    <t>@drfahrettinkoca Yeni varyant çıkmış hâlâ kapanma yok online eğitim yok???</t>
  </si>
  <si>
    <t>1469771554653450241</t>
  </si>
  <si>
    <t>@drfahrettinkoca Bu bakış açısı, uygulamaya yansımalı diye düşünüyorum…</t>
  </si>
  <si>
    <t>1469771493706014725</t>
  </si>
  <si>
    <t>@drfahrettinkoca @vedatbilgn @drfahrettinkoca @ssbsemihdurmus @_aliyalcin_              Yeni yapılacak düzenlemede… https://t.co/hAf90hSglL</t>
  </si>
  <si>
    <t>1469771472902422529</t>
  </si>
  <si>
    <t>@drfahrettinkoca Allah razı olsun bakanım</t>
  </si>
  <si>
    <t>1469771472126238725</t>
  </si>
  <si>
    <t>@drfahrettinkoca Unutmuyoruz zaten sayın Bakan.Hekimlerimizin bu kadar iyi ve kaliteli olmasıyla gurur duyuyoruz.A.… https://t.co/K3xzZSLYri</t>
  </si>
  <si>
    <t>1469771380304617472</t>
  </si>
  <si>
    <t>@drfahrettinkoca Sayin bakanım bugün yarın diyordunuz nerede kaldı sözünüz gençler kılavuz bekliyor.</t>
  </si>
  <si>
    <t>1469771379906158602</t>
  </si>
  <si>
    <t>@drfahrettinkoca https://t.co/nJibCEe6kw</t>
  </si>
  <si>
    <t>1469771201140645888</t>
  </si>
  <si>
    <t>@drfahrettinkoca Acile giden hastalar perişan 45 günden önce randevu alınamıyor sayın bakanım bu neden ne oluyoruz</t>
  </si>
  <si>
    <t>1469771178013249538</t>
  </si>
  <si>
    <t>@drfahrettinkoca Yeni varyant ile uğraşın bakalım sayın hekim bey !! Oturduğunuz yerden</t>
  </si>
  <si>
    <t>1469771067728310279</t>
  </si>
  <si>
    <t>@drfahrettinkoca Bunca gencin hayalini nasıl da güzel yıktınız. Özellikle de sağlık yönetiminin</t>
  </si>
  <si>
    <t>1469771025244172296</t>
  </si>
  <si>
    <t>@drfahrettinkoca Sen  Neden  Kıymetini   Bilmiyorsun?.</t>
  </si>
  <si>
    <t>1469770985486397447</t>
  </si>
  <si>
    <t>@drfahrettinkoca Sayın bakanım yüzde 70 takılan taşeron ne olacak benim kız kardeşim hastanede çalışıyor mama mutfa… https://t.co/kK7Wcuprh8</t>
  </si>
  <si>
    <t>1469770902778920967</t>
  </si>
  <si>
    <t>@drfahrettinkoca SAYIN bakanım biraz dur vatandaşı dinle 1995 ve sonrasında ilaç kuyrugun da ölen vatandaş tan sonr… https://t.co/0NEPg0qgHu</t>
  </si>
  <si>
    <t>1469770680627609604</t>
  </si>
  <si>
    <t>@drfahrettinkoca Peki</t>
  </si>
  <si>
    <t>1469770417124564999</t>
  </si>
  <si>
    <t>@drfahrettinkoca Doğru bir söz Bu iyi yetişmiş insanları bu ülkede tutmak için ne yapacaksınız Şiddet devam ediyor… https://t.co/22ancu23Hn</t>
  </si>
  <si>
    <t>1469770301366050818</t>
  </si>
  <si>
    <t>@drfahrettinkoca Yeni varyant ülkemize geldiğine göre bir tedbir alırsınız artık !</t>
  </si>
  <si>
    <t>1469770224329240581</t>
  </si>
  <si>
    <t>@drfahrettinkoca Gerçekten öyle Sayın Bakanım. Sizin 700 Euro (yazı ile yedi yüz) maaş verdiğiniz hekimler yurtdışı… https://t.co/GCf41h3kDT</t>
  </si>
  <si>
    <t>1469770193291329539</t>
  </si>
  <si>
    <t>@drfahrettinkoca Bu çalışkan hekimlere, idealist gençlere kıymayın, haklarını verin… üstelik çok değiller ancak çok… https://t.co/tHFh6DHMIi</t>
  </si>
  <si>
    <t>1469770182730162176</t>
  </si>
  <si>
    <t>@drfahrettinkoca Z kusagini yok etmeye mi calisiyorsunuz. Tabi oy kullanamayalim geberip gidelim diye bunlar.</t>
  </si>
  <si>
    <t>1469770119379394574</t>
  </si>
  <si>
    <t>@drfahrettinkoca Bu ülkenin gençleri sizin dediğiniz iki laftan birine umut bağlarken neden bunu yaptınız alımı böl… https://t.co/vQRH66dBQB</t>
  </si>
  <si>
    <t>1469770065163821061</t>
  </si>
  <si>
    <t>@drfahrettinkoca Hekimlerin hakkı ödenmez dediniz sözünüzü tuttunuz bravo</t>
  </si>
  <si>
    <t>1469769689287041033</t>
  </si>
  <si>
    <t>@drfahrettinkoca NİÇİN SADECE KENDİ ÜNİVERSİTENİZİ ONLİNE YAPTINIZ? BİZLERİN SUÇU NE?  #VakalarArtmadanEğitimUzaktan</t>
  </si>
  <si>
    <t>1469769639286738944</t>
  </si>
  <si>
    <t>@drfahrettinkoca @BilimKurulu_ Para ver para adamlara....</t>
  </si>
  <si>
    <t>1469769578356129793</t>
  </si>
  <si>
    <t>@drfahrettinkoca Alıcılar alıyor zaten hekimleri.</t>
  </si>
  <si>
    <t>1469769567778099205</t>
  </si>
  <si>
    <t>@drfahrettinkoca Hepimizi öldüreceksiniz #VakalarArtmadanEğitimUzaktan</t>
  </si>
  <si>
    <t>1469769412727214087</t>
  </si>
  <si>
    <t>@drfahrettinkoca #VakalarArtmadanEğitimUzaktan daha neyi bekliyorsunuz</t>
  </si>
  <si>
    <t>1469769327700291587</t>
  </si>
  <si>
    <t>@drfahrettinkoca Hekimler gidiyor, kendi muritlerinizle mutluluklar!</t>
  </si>
  <si>
    <t>1469769286436765696</t>
  </si>
  <si>
    <t>@drfahrettinkoca Ve hatta aldığı diye içinden ekledin di mi BEA açıktan sıkıyorsa söyle de ye azarı...</t>
  </si>
  <si>
    <t>1469769283261677570</t>
  </si>
  <si>
    <t>@drfahrettinkoca Hekimlerimizin yeteneğinden eminiz sayın bakanim. Mesele şu ki onları ülkede kalmaya ikna edemiyor… https://t.co/E54g135TCN</t>
  </si>
  <si>
    <t>1469769150079942663</t>
  </si>
  <si>
    <t>@drfahrettinkoca Ama siizz unuttunuz</t>
  </si>
  <si>
    <t>1469768993774915587</t>
  </si>
  <si>
    <t>@drfahrettinkoca #VakalarArtmadanEğitimUzaktan</t>
  </si>
  <si>
    <t>1469768925751689225</t>
  </si>
  <si>
    <t>@drfahrettinkoca Abi bunu sız unutmayın adamları burda tutmak için bir şeyler yapın ahahaha</t>
  </si>
  <si>
    <t>1469768924984193027</t>
  </si>
  <si>
    <t>@drfahrettinkoca 2021 için sağlığa ayrılan bütçe kullanılmadan 2022 çok saçma değil mi aylardan beri 30000 atama va… https://t.co/vwTQw0omYi</t>
  </si>
  <si>
    <t>1469768880906293248</t>
  </si>
  <si>
    <t>@drfahrettinkoca Alım sayısını arttırmak için çabalıyoruz diyip 40bini 20bine mi düşürdünüz?</t>
  </si>
  <si>
    <t>1469768742909403148</t>
  </si>
  <si>
    <t>@drfahrettinkoca bu sefer esnafı kapatmak zorunda kalacaksınız. gidişat iyi değil vakalar çoğalıyor siz omicron az… https://t.co/TQbKPMDR2C</t>
  </si>
  <si>
    <t>1469768693613744130</t>
  </si>
  <si>
    <t>@drfahrettinkoca Hayır,  Hekimlerimiz 2 sene covid de çalıştı diye hastaları bakmayan kapılarda bekleten ve  insanl… https://t.co/xqmA2wBmQm</t>
  </si>
  <si>
    <t>1469768679915196419</t>
  </si>
  <si>
    <t>@drfahrettinkoca doktor israfa eder eczaneler ilac yok der market yağı yok der hergün zam yapar el pençe divan oldu… https://t.co/mYyiuhI5Bd</t>
  </si>
  <si>
    <t>1469768590945566722</t>
  </si>
  <si>
    <t>@drfahrettinkoca Sayın bakan biz unutmuyoruz ama siz unutuyorsunuz hastanelerde randevu yok doktor olmadığı için. Ö… https://t.co/W978Ad0vJ7</t>
  </si>
  <si>
    <t>1469768535182385166</t>
  </si>
  <si>
    <t>@drfahrettinkoca Sadece Hekimler mi iyi yetişmiş?</t>
  </si>
  <si>
    <t>1469768382371319808</t>
  </si>
  <si>
    <t>@drfahrettinkoca Ne yazık ki bunlardan da olacaksınız , hekimlerden de, hemşirelerden de... Herkesin gözü Türkiye d… https://t.co/kVmJuB1AjG</t>
  </si>
  <si>
    <t>1469768293858873349</t>
  </si>
  <si>
    <t>@drfahrettinkoca Yazıklar olsun. 2021 bütçesiyle alacağız dediniz neden 2022 ye sarkıtıyorsunuz?</t>
  </si>
  <si>
    <t>1469768180809801749</t>
  </si>
  <si>
    <t>@drfahrettinkoca #VakalarArtmadanEğitimUzaktan https://t.co/F1vhT9FObs</t>
  </si>
  <si>
    <t>1469768090237943826</t>
  </si>
  <si>
    <t>@drfahrettinkoca Bu kadar mı. Daha fazlasını hak ediyorlar. Bizler onlara minettarız🙏</t>
  </si>
  <si>
    <t>1469768072437370884</t>
  </si>
  <si>
    <t>@drfahrettinkoca Bunu biz değil , siz unutmayın sayın bakanım</t>
  </si>
  <si>
    <t>1469768049561587719</t>
  </si>
  <si>
    <t>@drfahrettinkoca Bunu bildiğimiz iyi oldu, yurtdışı için özgüvenimiz artıyor.</t>
  </si>
  <si>
    <t>1469768045623189507</t>
  </si>
  <si>
    <t>@drfahrettinkoca @saglikbakanligi Ülkeyi batırdınız</t>
  </si>
  <si>
    <t>1469767924932124675</t>
  </si>
  <si>
    <t>@drfahrettinkoca Doktorlarımız sizin gibilerse çok da alıcı değillerdir.</t>
  </si>
  <si>
    <t>1469767876647206919</t>
  </si>
  <si>
    <t>@drfahrettinkoca Iyi ki ahiret var kimsenin hakkı kimsede kalmayacak.</t>
  </si>
  <si>
    <t>1469767865200955397</t>
  </si>
  <si>
    <t>@drfahrettinkoca İŞTE GELİYOR OMICRON HAREKAT #VakalarArtmadanEğitimUzaktan</t>
  </si>
  <si>
    <t>1469767801657335814</t>
  </si>
  <si>
    <t>@drfahrettinkoca Yer: Bursa Yüksek İhtisas Yoğun Bakım  Vefat eden hastanın yakınları kendi hastasını tanımayıp,  “… https://t.co/W0T5VzLaaM</t>
  </si>
  <si>
    <t>1469767780954214407</t>
  </si>
  <si>
    <t>@drfahrettinkoca Şeyden habersiz şey olarak şey ettiysen şey olmasın.</t>
  </si>
  <si>
    <t>1469767706903814145</t>
  </si>
  <si>
    <t>@drfahrettinkoca Erciyes Üniversitesi yemekhane personeli  olduğu ifade edilen S.O. isimli  şahıs ‘PERSONEL ÇOCUĞUN… https://t.co/dsYpXs62xq</t>
  </si>
  <si>
    <t>1469767652650647552</t>
  </si>
  <si>
    <t>@drfahrettinkoca Görüldüğü üzere hekim maaşı 3800 TL ile açlık sınırında. Döner sermaye ile 6800 e çıkıyor.   Konus… https://t.co/UhXtMay1ny</t>
  </si>
  <si>
    <t>1469767630403915782</t>
  </si>
  <si>
    <t>@drfahrettinkoca Bir cebimden aldığını diğerine koyuyorsun; ona da zam diyorsun; emekliliğime yansıyan kısmı ise ge… https://t.co/ATTpvFyPxb</t>
  </si>
  <si>
    <t>1469767602880851971</t>
  </si>
  <si>
    <t>@drfahrettinkoca #hekimlerişbırakacak İnsan gibi çalışmak istiyoruz!  Haklarımızın iyileştirilmesini istiyoruz!  Şi… https://t.co/zChVx5TnNL</t>
  </si>
  <si>
    <t>1469767582626553857</t>
  </si>
  <si>
    <t>@drfahrettinkoca Hani 36 saat nöbet kaldırılmıştı?  Kim 36 saat çalıştırılacak listesini yapmışlar.  Bu şartlarda h… https://t.co/UqoaIitQrN</t>
  </si>
  <si>
    <t>1469767526003396616</t>
  </si>
  <si>
    <t>@drfahrettinkoca Ya hakkımızı vereceksiniz ya da biz alacağız!  SÖKE SÖKE ALIRIZ!  İkincisini tercih ettirmeyin biz… https://t.co/kfjpd3rTMR</t>
  </si>
  <si>
    <t>1469767500925706242</t>
  </si>
  <si>
    <t>@drfahrettinkoca Dünya genelinde hekim maaşları.  Ortalama kişi başına düşün milli gelirin 10 katını veren ülke bil… https://t.co/Ukg2ClUIBX</t>
  </si>
  <si>
    <t>1469767479492763653</t>
  </si>
  <si>
    <t>@drfahrettinkoca "beni methetme kardeşim bana para ver" (Vizontele Fikri)  Verinsenize düzgünce 20 bin maaş zaten b… https://t.co/kG5c1mZJTo</t>
  </si>
  <si>
    <t>1469767470173114375</t>
  </si>
  <si>
    <t>@drfahrettinkoca Doktorlar 3 gün YOKSULLUKTAN iş bıraksın mı?  Maaş bodroları ile meydanlara çıksınlar mı?… https://t.co/67OtAqs0JN</t>
  </si>
  <si>
    <t>1469767459876052996</t>
  </si>
  <si>
    <t>@drfahrettinkoca Özlük haklarımızı istiyoruz #hekimleristifaediyor</t>
  </si>
  <si>
    <t>1469767446403985415</t>
  </si>
  <si>
    <t>@drfahrettinkoca Bu şartlarda hangi meslek  grubu çalışıyor, ya da çalışmak zorunda bırakılıyor. Sonuç… https://t.co/EpSuJCR6ZY</t>
  </si>
  <si>
    <t>1469767436538945547</t>
  </si>
  <si>
    <t>@drfahrettinkoca 22 Aralık toplantısında hekimlere ciddi bir zam gelmezse iş bırakmaya gidiyoruz.!  GERÇEK ZAM ama… https://t.co/Ka3Gfiad4n</t>
  </si>
  <si>
    <t>1469767418557911053</t>
  </si>
  <si>
    <t>@drfahrettinkoca #hekimlerişbırakacak Yıllarca binlerce meslektaşımız saldırıya uğradı  36 saat aralıksız nöbet tut… https://t.co/pP09S9eZcF</t>
  </si>
  <si>
    <t>1469767402804109320</t>
  </si>
  <si>
    <t>@drfahrettinkoca Sn.Bakanim lütfen 3.doz aşılamayi, 3 ve 4 ayını dolduranlar için başlatın. Varyant yayilmadan asilarimizi olalım</t>
  </si>
  <si>
    <t>1469767328061702159</t>
  </si>
  <si>
    <t>@drfahrettinkoca Bu ülkede çok fazla HEKİM DÜŞMANI var anladık.  Çok kıskanıyorsanız buyrun girin sınavına, bitirin… https://t.co/XZ8j3ZZPdR</t>
  </si>
  <si>
    <t>1469767298957385744</t>
  </si>
  <si>
    <t>@drfahrettinkoca Bizde atansak özel sektör diye iki kuruşa  aylardır  çalışıp didiniyorum gerçekten yoruldum</t>
  </si>
  <si>
    <t>1469767287204892675</t>
  </si>
  <si>
    <t>@drfahrettinkoca Şiddeti önleyemezseniz!!! #hekimlerişbırakacak @RTErdogan  @tcbestepe  @iletisim  @drfahrettinkoca… https://t.co/QdOGneAGLr</t>
  </si>
  <si>
    <t>1469767252748783626</t>
  </si>
  <si>
    <t>@drfahrettinkoca Bizim canımız ucuz mu? Bizde niçin tedbirler yok? Omicron için tüm dünya tedbirler alıyor, kısıtla… https://t.co/IYXxLKtX7i</t>
  </si>
  <si>
    <t>1469767240778194946</t>
  </si>
  <si>
    <t>@drfahrettinkoca Unutmayın mı unutmayınız mı? Koca bakan Fahrettin bey.</t>
  </si>
  <si>
    <t>1469767188957564928</t>
  </si>
  <si>
    <t>@drfahrettinkoca Tabi parayıda ona verin. Hekimler yesin diğer sağlık personeli aç kalsın bakanım sende haklısın</t>
  </si>
  <si>
    <t>1469766982660669446</t>
  </si>
  <si>
    <t>@drfahrettinkoca Hadi buna cevap verde görelim https://t.co/T4LlWfd0JW</t>
  </si>
  <si>
    <t>1469766930999517191</t>
  </si>
  <si>
    <t>@drfahrettinkoca Sayıb bakabım en iyi ülkelerde çalışan meslektaşlarımız gibi özlük haklarımızı istiyoruz.</t>
  </si>
  <si>
    <t>1469766917519036425</t>
  </si>
  <si>
    <t>@drfahrettinkoca Kalanlar mı ???</t>
  </si>
  <si>
    <t>1469766877740257283</t>
  </si>
  <si>
    <t>@drfahrettinkoca Son dakika Asgari Ücret Açıklaması....   https://t.co/pELe1QPmf1</t>
  </si>
  <si>
    <t>1469766877706653700</t>
  </si>
  <si>
    <t>@drfahrettinkoca Nihayet omicron olduğunu gizlemeyi bırakıp açıkladın. Şimdi de tedbir alıp okulları uzaktan eğitim… https://t.co/etFKMtUMOr</t>
  </si>
  <si>
    <t>1469766849504202752</t>
  </si>
  <si>
    <t>@drfahrettinkoca 😃😃😃 itaatkar reçete doktorlarımı ? bahsettiğiniz hekimler yoksa Pfizer maşalarımı? artık vakit dar… https://t.co/6iqkOgsIWN</t>
  </si>
  <si>
    <t>1469766836891885585</t>
  </si>
  <si>
    <t>@drfahrettinkoca https://t.co/teJyHM0ud2</t>
  </si>
  <si>
    <t>1469766800791461891</t>
  </si>
  <si>
    <t>@drfahrettinkoca En zengin ülkeler alıcı,hekimlerimiz gidici,vatandaş nedecü sayın @drfahrettinkoca 😎 #hekimlerimiz… https://t.co/GVa1NpgzAu</t>
  </si>
  <si>
    <t>1469766761855823874</t>
  </si>
  <si>
    <t>@drfahrettinkoca Bakan bey yine ayakta kırk tane yalan söylüyor 😅</t>
  </si>
  <si>
    <t>1469766635007447055</t>
  </si>
  <si>
    <t>@drfahrettinkoca Siz yetiştirdiniz ya!</t>
  </si>
  <si>
    <t>1469766215010856960</t>
  </si>
  <si>
    <t>@drfahrettinkoca Açıklamayı 40 bin olarak yapıp şimdi bölmeyi açıklamak de neyin nesi? Beceremeyeceksen istifa!!</t>
  </si>
  <si>
    <t>1469766035045814276</t>
  </si>
  <si>
    <t>@drfahrettinkoca Bizde herseyin en iyisi yetişiyordu sayın Bakanım, ta ki siz eğitime verdiginiz önemi geri plana a… https://t.co/XgYkahBX7r</t>
  </si>
  <si>
    <t>1469765875075014659</t>
  </si>
  <si>
    <t>@drfahrettinkoca Hmmm</t>
  </si>
  <si>
    <t>1469765808779939848</t>
  </si>
  <si>
    <t>@drfahrettinkoca Hemşirelerimiz</t>
  </si>
  <si>
    <t>1469765656677658627</t>
  </si>
  <si>
    <t>@drfahrettinkoca 👏👏👏</t>
  </si>
  <si>
    <t>1469765605284851712</t>
  </si>
  <si>
    <t>@drfahrettinkoca Tamam👍</t>
  </si>
  <si>
    <t>1469765564184858627</t>
  </si>
  <si>
    <t>@drfahrettinkoca Doktor bakanlığı değil, sağlık bakanlığı yönettiğinizi anladığınız gün, birçok sorun kendiliğinden… https://t.co/K8NFA4jffs</t>
  </si>
  <si>
    <t>1469765489664667652</t>
  </si>
  <si>
    <t>@drfahrettinkoca Hocam konuşmada kapasitenizi aşmışsınız, buna çok sevindim.</t>
  </si>
  <si>
    <t>1469765453908258816</t>
  </si>
  <si>
    <t>@drfahrettinkoca Bize niye söylüyorsunuz ki kendinize söyleyin. Siz onlara bakmazsanız yarın bize bakacak hekim bulamayacağız</t>
  </si>
  <si>
    <t>1469765430323691530</t>
  </si>
  <si>
    <t>@drfahrettinkoca Sayın bakanım Mardine acil ramotoloji doktor gerekiyor</t>
  </si>
  <si>
    <t>1469765385939468301</t>
  </si>
  <si>
    <t>@drfahrettinkoca okullar online olsun</t>
  </si>
  <si>
    <t>1469765254393573377</t>
  </si>
  <si>
    <t>@drfahrettinkoca 40bin diyip ikiye bölüp insanların umutlarını yıkmak tebrikler sayın bakanım</t>
  </si>
  <si>
    <t>1469765155127017484</t>
  </si>
  <si>
    <t>@drfahrettinkoca Eeeee</t>
  </si>
  <si>
    <t>1469764948922359810</t>
  </si>
  <si>
    <t>@drfahrettinkoca @indiryo</t>
  </si>
  <si>
    <t>1469764923639148550</t>
  </si>
  <si>
    <t>@drfahrettinkoca Carrrrt</t>
  </si>
  <si>
    <t>1469764882631380994</t>
  </si>
  <si>
    <t>@drfahrettinkoca Sağlık çalışanları sizin döneminizde gördüğü zülmü hiçbir dönem görmemiştir. Ha bugün ha yarın diy… https://t.co/mXg2CUEdXP</t>
  </si>
  <si>
    <t>1469764880983015427</t>
  </si>
  <si>
    <t>@drfahrettinkoca https://t.co/2774a23zwI</t>
  </si>
  <si>
    <t>1469764856366645248</t>
  </si>
  <si>
    <t>@drfahrettinkoca Yani... Sonuç...</t>
  </si>
  <si>
    <t>1469764848661708811</t>
  </si>
  <si>
    <t>@drfahrettinkoca Laflara karnımız tok artık sayın bakanım sağlıkçılar iyileştirme bekliyor alkış değil</t>
  </si>
  <si>
    <t>1469764825848897545</t>
  </si>
  <si>
    <t>@drfahrettinkoca sayın bakanım bu hastanelerdekı doktorlar para pesınde paran varsa yasa yoksa geber sız dr ları sa… https://t.co/DK0JN9hzMU</t>
  </si>
  <si>
    <t>1469764754092797955</t>
  </si>
  <si>
    <t>@drfahrettinkoca Hekimlere bisey demem ama doktorlariniz Bill gatesin ve ilaç şirketlerinin emir eri olmuş</t>
  </si>
  <si>
    <t>1469764744332648450</t>
  </si>
  <si>
    <t>@drfahrettinkoca Hicbirine guvenimiz kalmadi cok nadir İnsanlar vardir !!Allah kimseyi doktora dusurmesin !! Co ger… https://t.co/uDO8vszqNP</t>
  </si>
  <si>
    <t>1469764678285152256</t>
  </si>
  <si>
    <t>@drfahrettinkoca CDC Mayıs ayında 31 Aralıkta Pcr testlerinin kaldırılacağını söylemişti, Bill Gates de 2022 de cor… https://t.co/bNhN2xwcXp</t>
  </si>
  <si>
    <t>1469764612434558976</t>
  </si>
  <si>
    <t>@drfahrettinkoca Biz de bunu diyoruz sayın bakan.Koşullarımızı düzeltecek olan,unutmaması gereken kim peki?Yurtdışı… https://t.co/bDX9V3SsUZ</t>
  </si>
  <si>
    <t>1469764605853544456</t>
  </si>
  <si>
    <t>@drfahrettinkoca Öğrencilerimizin çoğu tus çalışmıyor çoğu gitmek istiyor,bu gençlerin önünde sınav diye bı engel y… https://t.co/RqA89KMTqz</t>
  </si>
  <si>
    <t>1469764395441999879</t>
  </si>
  <si>
    <t>@drfahrettinkoca ?????????????</t>
  </si>
  <si>
    <t>1469764093934551043</t>
  </si>
  <si>
    <t>@drfahrettinkoca Biz de bundan korkuyoruz zaten. Yakın zamanda kaliteli hekim kalmayabilir ülkemizde. Herşeyi ucuz… https://t.co/Bsu8bfvkrq</t>
  </si>
  <si>
    <t>1469764038263513093</t>
  </si>
  <si>
    <t>@drfahrettinkoca Gercekten bıktım ya yalan dolana ya yeter artık 40 bin 20 bin oldu ya hakkın helal etmiyorum ya</t>
  </si>
  <si>
    <t>1469763991824121862</t>
  </si>
  <si>
    <t>@drfahrettinkoca bir motorlu kurye pratisyen hekimle aynı maaşı alıyor sayın bakanım. hekimlerin koşullarını düzelt… https://t.co/c0H22clPSJ</t>
  </si>
  <si>
    <t>1469763955220488199</t>
  </si>
  <si>
    <t>@drfahrettinkoca Bu kadar insanın vebalini nasıl vereceksin</t>
  </si>
  <si>
    <t>1469763905048223752</t>
  </si>
  <si>
    <t>@drfahrettinkoca çocuklarımıza aşı ne zaman gelecek sayın bakan?</t>
  </si>
  <si>
    <t>1469763898932969485</t>
  </si>
  <si>
    <t>@drfahrettinkoca @saglikbakanligi Bu bakanı reklam bakanı yapalım. Sürekli reklam yapıyor başka bişey yok. Sürekli… https://t.co/rWGh7lslzX</t>
  </si>
  <si>
    <t>1469763870344552448</t>
  </si>
  <si>
    <t>@drfahrettinkoca Fakir ülke olduğumuzun da itirafı bu</t>
  </si>
  <si>
    <t>1469763802036068352</t>
  </si>
  <si>
    <t>@drfahrettinkoca O yüzden alıyorlar zaten hepsini</t>
  </si>
  <si>
    <t>1469763746222514180</t>
  </si>
  <si>
    <t>@drfahrettinkoca İyi o zaman hekimlere de hekim gibi davranınız</t>
  </si>
  <si>
    <t>1469763738920181771</t>
  </si>
  <si>
    <t>@drfahrettinkoca 40 bin , 30 bin , 20 bin yarın kaç bin ?</t>
  </si>
  <si>
    <t>1469763734264553474</t>
  </si>
  <si>
    <t>@drfahrettinkoca Sayın bakanım artık bazı kısmi kısıtlamalara gidin. Online eğitime geçin. Kademeli çalışma düzenin… https://t.co/belqGPw8Ww</t>
  </si>
  <si>
    <t>1469763710533124099</t>
  </si>
  <si>
    <t>@drfahrettinkoca Onun için mi ihraç edildim! Neyle suçlanıldığımı bilmeden, soruşturma dosyamı görmeden iki satır yazıyla... Yazık...</t>
  </si>
  <si>
    <t>1469763655109648389</t>
  </si>
  <si>
    <t>@drfahrettinkoca Bu tabloyla ne yapıyorsanız yapın. Kendi kendinize çürüttünüz 2021 senesi gerçeği yansıtmıyor! Sağ… https://t.co/0UqJoblXjE</t>
  </si>
  <si>
    <t>1469763608431181826</t>
  </si>
  <si>
    <t>@drfahrettinkoca Siz omicrona nasıl bulaşıcılığı az dersiniz? Bu insanlar maske takmamak aşı olmamak ve gevşemek iç… https://t.co/wk6sAWjEoe</t>
  </si>
  <si>
    <t>1469763557747314688</t>
  </si>
  <si>
    <t>@drfahrettinkoca Hakkımı helal etmiyorum</t>
  </si>
  <si>
    <t>1469763502990675972</t>
  </si>
  <si>
    <t>@drfahrettinkoca Ağzınıza sağlık.</t>
  </si>
  <si>
    <t>1469763179106422787</t>
  </si>
  <si>
    <t>@drfahrettinkoca ATAMAYI NEDEN BÖLDÜNÜÜÜÜZZZZZZ...!!!!</t>
  </si>
  <si>
    <t>1469763100798857216</t>
  </si>
  <si>
    <t>@drfahrettinkoca Hekimlerimiz öyledir de doktorlarımız değil ! #HerYerİstiklalHerYerDireniş</t>
  </si>
  <si>
    <t>1469762912176775177</t>
  </si>
  <si>
    <t>@drfahrettinkoca Bakanım sağlık personeli alımını bölerek hayal kırıklığı yarattınız. Okuyqn çocukların suçu ne dev… https://t.co/avnsRZWNcv</t>
  </si>
  <si>
    <t>1469762840080924674</t>
  </si>
  <si>
    <t>@drfahrettinkoca O hekimlerin içinden bu terörist, katilleri çıkarın.Hekimler suç işlemez diye vahiy mi indi size?… https://t.co/ye2pTpVqvc</t>
  </si>
  <si>
    <t>1469762836356341760</t>
  </si>
  <si>
    <t>@drfahrettinkoca Utanmak gerekmez mi? Kendi vatandaşına hizmet etmemiz gerekirken, futbolcu gibi transfer edilmemiz… https://t.co/pDcZjfE8YQ</t>
  </si>
  <si>
    <t>1469762799018651656</t>
  </si>
  <si>
    <t>@drfahrettinkoca Hekimler ihraç ürünü değil ki?</t>
  </si>
  <si>
    <t>1469762755372716037</t>
  </si>
  <si>
    <t>@drfahrettinkoca Yavaş yavaş ülkeden kaçış başladı. Yönetim nedir bilmeyen birini bakan yaparsanız olacağı bu. TWEE… https://t.co/ZuyPNtu6Ic</t>
  </si>
  <si>
    <t>1469762699739418632</t>
  </si>
  <si>
    <t>@drfahrettinkoca Utanmadan bunu nasıl söyleyebiliyorsunuz ya yani hekimlerimiz en iyi hekimler ama verdiğimiz ücret… https://t.co/aEZwUTaqAl</t>
  </si>
  <si>
    <t>1469762528494428172</t>
  </si>
  <si>
    <t>@drfahrettinkoca Allah belanızı versin</t>
  </si>
  <si>
    <t>1469762318309412874</t>
  </si>
  <si>
    <t>@drfahrettinkoca Hekimler biraz adam olmuşlardı bu pandemiden sonra tekrar başımıza kaktınız reis avukatlar var öğr… https://t.co/mgrKwJ9Pis</t>
  </si>
  <si>
    <t>1469762318284247043</t>
  </si>
  <si>
    <t>@drfahrettinkoca Şunu bilin ki Artık insanların .........................................................  ........… https://t.co/Wt9ht7P59v</t>
  </si>
  <si>
    <t>1469762214873677826</t>
  </si>
  <si>
    <t>@drfahrettinkoca https://t.co/J6Rtt2kBmA</t>
  </si>
  <si>
    <t>1469762175589826563</t>
  </si>
  <si>
    <t>@drfahrettinkoca Koskoca bir yıl bekletip alınacak 30bin sağlıkçıyıda böldünüz ya yazıklar olsun bütün umutlarımızı… https://t.co/8tkCQCEyrj</t>
  </si>
  <si>
    <t>1469762041711935493</t>
  </si>
  <si>
    <t>@drfahrettinkoca 2021 de 40 k sağlık çalışanının istihdamı olacak dediniz beklentiyi yükselttiniz sonra 10 k’sı işç… https://t.co/8oiNJxHhFb</t>
  </si>
  <si>
    <t>1469761996610547724</t>
  </si>
  <si>
    <t>@drfahrettinkoca 9bin hekim istifa ermiş. Neden acaba? Yogun ve çok ağır şartlarda çalışıyorlar ve bugüne kadar hak… https://t.co/rwLrtombKT</t>
  </si>
  <si>
    <t>1469761912162467843</t>
  </si>
  <si>
    <t>@drfahrettinkoca O zaman hekimlere sahip çıkın, Üyesi olduğunuz tarikat mensuplarının mobbingine karşı önlem alın!</t>
  </si>
  <si>
    <t>1469761762367086597</t>
  </si>
  <si>
    <t>@drfahrettinkoca Senin bu dünyadan bir insan olduğuna inanmıyorum ya da insan olduğuna! Sen başka bişeysin şimdiye hiç varolmamış bişey.</t>
  </si>
  <si>
    <t>1469761604262707205</t>
  </si>
  <si>
    <t>@drfahrettinkoca Hekimlerle sana mutluluklar hekim bakani</t>
  </si>
  <si>
    <t>1469761307469651969</t>
  </si>
  <si>
    <t>@drfahrettinkoca Evet ama en iyileri başka ülkelerde,olanlar da yurtdışına gidebilmek derdinde,çok isterdik Sn. Uğu… https://t.co/wuDG1j1O0R</t>
  </si>
  <si>
    <t>1469761278939967490</t>
  </si>
  <si>
    <t>@drfahrettinkoca Bunu önce siz unutmayın 36 saat çalışmak insan haklarına aykırı bekçiler çay içerek kenarda köşede… https://t.co/j31BCDEHXK</t>
  </si>
  <si>
    <t>1469761226657996801</t>
  </si>
  <si>
    <t>@drfahrettinkoca Biz biliyoruzda siz neden izin veriyorsunuz yurt dışına. Para ve itibar verin saygınlık verin bakalım gidiyorlarmı?</t>
  </si>
  <si>
    <t>1469761207125090305</t>
  </si>
  <si>
    <t>@drfahrettinkoca Hemlerni birde bana sorda özelden anlatayım hemde bekgeyle</t>
  </si>
  <si>
    <t>1469761191635570702</t>
  </si>
  <si>
    <t>@drfahrettinkoca Biz biliyoruz ama sana da günaydın 🤣🤣🤣👏👏👏👏</t>
  </si>
  <si>
    <t>1469761063688314885</t>
  </si>
  <si>
    <t>@drfahrettinkoca Siz unuttunuz!</t>
  </si>
  <si>
    <t>1469760878975324161</t>
  </si>
  <si>
    <t>@drfahrettinkoca Icinizde yer aldiginiz hukumetin de unutmamasi gerekir.</t>
  </si>
  <si>
    <t>1469760758238097416</t>
  </si>
  <si>
    <t>@drfahrettinkoca Biz biliyoruz zaten Sayın Bakan. Asıl siz unutmayın ve hekimlerimize sahip çıkın. Son dönemde binl… https://t.co/Bqy7iyMoyV</t>
  </si>
  <si>
    <t>1469760543569362954</t>
  </si>
  <si>
    <t>@drfahrettinkoca Zaten birçok hekimimizde o yüzden yurt dışına gidip eğitim alıp oraya yerleşip birdahada ülkemize tatile geliyor sanırım 🤔</t>
  </si>
  <si>
    <t>1469760439051599874</t>
  </si>
  <si>
    <t>@drfahrettinkoca Acilen uzaktan eğitim!</t>
  </si>
  <si>
    <t>1469760434593017865</t>
  </si>
  <si>
    <t>@drfahrettinkoca Sayın bakanım artık somut adımlar bekliyoruz hekimler olarak</t>
  </si>
  <si>
    <t>1469760384777306119</t>
  </si>
  <si>
    <t>@drfahrettinkoca Moldovyadan, ukraynadan, romanyadan bavul ticareti için laleyi mesken tutan dktr, öğrtmn, hmşre le… https://t.co/b6jRrq5KZX</t>
  </si>
  <si>
    <t>1469760328225411074</t>
  </si>
  <si>
    <t>@drfahrettinkoca SN:BAKANIMNTaşeron kadro bekliyor🙏🙏🙏 https://t.co/bNsZVIx7wf</t>
  </si>
  <si>
    <t>1469760067209773060</t>
  </si>
  <si>
    <t>@drfahrettinkoca İltifat istemiyoruz taleplerimizi biliyorsunuz @drfahrettinkoca</t>
  </si>
  <si>
    <t>1469760018102767622</t>
  </si>
  <si>
    <t>@drfahrettinkoca Alsınlar hayırlarını görsünler o en zengin ülkeler o zaman.</t>
  </si>
  <si>
    <t>1469759909554270215</t>
  </si>
  <si>
    <t>@drfahrettinkoca Sayın bakanım hekimlere gelen vuruyor giden vuruyor siz hiç sahip çıkmıyorsunuz..</t>
  </si>
  <si>
    <t>1469759840767680516</t>
  </si>
  <si>
    <t>@drfahrettinkoca Sizin sağlık hizmetleriniz sayesinde kalifiye sağlıkçı kalmayacak, sadece Dr. Değil yardımcı perso… https://t.co/BKhQL4InQF</t>
  </si>
  <si>
    <t>1469759829996675074</t>
  </si>
  <si>
    <t>@drfahrettinkoca 🤣🤣🤣 Kamera ne tarafta ne tarafa gülüyoruz.</t>
  </si>
  <si>
    <t>1469759690221527041</t>
  </si>
  <si>
    <t>@drfahrettinkoca En iyi yetişen Sağlık çalışanları da var. Bakın Femoral kateterler doktorlar tarafından yerleştiri… https://t.co/lr7Sjtwurs</t>
  </si>
  <si>
    <t>1469759567819071489</t>
  </si>
  <si>
    <t>@drfahrettinkoca Bonservisleri bizde diyorsun yani bakanım bakıştığım</t>
  </si>
  <si>
    <t>1469759542561017858</t>
  </si>
  <si>
    <t>@drfahrettinkoca iskan konutları 495.000₺ nasıl ödenir biz istemedik zorunlu göçe tabi tutulduk  @RTErdogan… https://t.co/1Et6crt7rF</t>
  </si>
  <si>
    <t>1469759489633099776</t>
  </si>
  <si>
    <t>@drfahrettinkoca Hekimlere artık hakettiği değer maddi-manevi sağlanmalıdır.Bu güne kadar hekimlerin sabrı ve iyi n… https://t.co/MXuQunmxPo</t>
  </si>
  <si>
    <t>1469759402307555330</t>
  </si>
  <si>
    <t>@drfahrettinkoca Yet-Her !!!</t>
  </si>
  <si>
    <t>1469759277829169159</t>
  </si>
  <si>
    <t>@drfahrettinkoca Kılavuz Kılavuz Kılavuz Kılavuz Kılavuz Kılavuz Kılavuz Kılavuz Kılavuz Kılavuz Kılavuz Kılavuz Kı… https://t.co/czo1mbPDZw</t>
  </si>
  <si>
    <t>1469759248804495368</t>
  </si>
  <si>
    <t>@drfahrettinkoca ‼️🤔🤔🤔🤔🤔🤔🤔‼️</t>
  </si>
  <si>
    <t>1469759227673690112</t>
  </si>
  <si>
    <t>@drfahrettinkoca Eyw bakanımda tüm sağlık bakanlığı personeli öle tüm sağlık bakanlığında çalışan kardeşlerimize sa… https://t.co/E8qKoCzkjY</t>
  </si>
  <si>
    <t>1469759162167013383</t>
  </si>
  <si>
    <t>@drfahrettinkoca gerçekden gitmek istemiyoruz. ama farkın kapanması lazım artık</t>
  </si>
  <si>
    <t>1469759008437321738</t>
  </si>
  <si>
    <t>1469758918524084224</t>
  </si>
  <si>
    <t>@drfahrettinkoca Doğruları söylediğiniz için teşekkürler bakanım. Hekimlik ysp nin kıyası değildir. Popülist sendik… https://t.co/w4kofLqIUE</t>
  </si>
  <si>
    <t>1469758893668671498</t>
  </si>
  <si>
    <t>@drfahrettinkoca O yüzden gidip orada kurye oluyorlar 😁🤪</t>
  </si>
  <si>
    <t>1469758861582213122</t>
  </si>
  <si>
    <t>@drfahrettinkoca Kılavuzu bekliyoruz</t>
  </si>
  <si>
    <t>1469758814547230726</t>
  </si>
  <si>
    <t>@drfahrettinkoca Varsa yoksa hekimler, yazık..</t>
  </si>
  <si>
    <t>1469758745685241864</t>
  </si>
  <si>
    <t>@drfahrettinkoca Taaabi</t>
  </si>
  <si>
    <t>1469758724759859204</t>
  </si>
  <si>
    <t>@drfahrettinkoca Tabi bizde aptalız zaten. Gördük ne kadar kaliteli olduklarını. İlaç firmaları için patlar gelecek… https://t.co/5qyE05GW17</t>
  </si>
  <si>
    <t>1469758722322976768</t>
  </si>
  <si>
    <t>@drfahrettinkoca Sağlık bakanı @drfahrettinkoca saygısızca yorum yapan hemşireleri bütçenizde barındırmayın hocam..… https://t.co/fKuxzmvxxR</t>
  </si>
  <si>
    <t>1469758608049070082</t>
  </si>
  <si>
    <t>@drfahrettinkoca Dost kötü günde belli olur. Elbette haklıya hakkı verilsin ama hekimlerden değilde doktorlardan da… https://t.co/yNF08sDjJN</t>
  </si>
  <si>
    <t>1469758579020288000</t>
  </si>
  <si>
    <t>@drfahrettinkoca Bencede Sevgili bakan Hekimlerimizin kıymetini bilmek bilinmesini sağlamak sizin birinci önceliğin… https://t.co/2oUMFMtFgp</t>
  </si>
  <si>
    <t>1469758576768036876</t>
  </si>
  <si>
    <t>@drfahrettinkoca Biz üvey evlat zaten</t>
  </si>
  <si>
    <t>1469758455074496516</t>
  </si>
  <si>
    <t>@drfahrettinkoca Bence SİZ unutmayın... Magandalar sözlü/fiziksel şiddet uygulayınca yanlarinda olun, İnsani çalışm… https://t.co/Xei5YaG23U</t>
  </si>
  <si>
    <t>1469758350397218817</t>
  </si>
  <si>
    <t>@drfahrettinkoca Hekimler  kaçıyor  https://t.co/vp69htS5SBşuna  övünme onları sen yetiştirmedin</t>
  </si>
  <si>
    <t>1469758318835032067</t>
  </si>
  <si>
    <t>@drfahrettinkoca @saglikbakanligi Başkanım cok zor durumda yım  adana şehir hastanesinde calişiyordum 6 yıl dır cal… https://t.co/1jHS9pw3iN</t>
  </si>
  <si>
    <t>1469758274291515396</t>
  </si>
  <si>
    <t>@drfahrettinkoca Samimi değilsiniz sayın bakan, o en iyi yetişmiş hekimleriniz neden istifa edip yurtdışına gidiyor… https://t.co/4nPyebFCfd</t>
  </si>
  <si>
    <t>1469758248656027648</t>
  </si>
  <si>
    <t>@drfahrettinkoca sorunları günlerdir haykırıyoruz zaten</t>
  </si>
  <si>
    <t>1469758086638411780</t>
  </si>
  <si>
    <t>@drfahrettinkoca Kılavuzun yayınlanması bu kadar uzadığına göre alımın sayısı arttırılmaya çalışılıyordur  inşallah</t>
  </si>
  <si>
    <t>1469758036411621380</t>
  </si>
  <si>
    <t>@drfahrettinkoca bakanım somut çözüm ???</t>
  </si>
  <si>
    <t>1469758032464814081</t>
  </si>
  <si>
    <t>@drfahrettinkoca Bunu söylerken sağlık bakanı olmanız dışında bi sorun yok Ya bunu biz size söylüyoruz asıl</t>
  </si>
  <si>
    <t>1469757966404526083</t>
  </si>
  <si>
    <t>@drfahrettinkoca Kime diyorsunuz ALLAH aşkına</t>
  </si>
  <si>
    <t>1469757895155847169</t>
  </si>
  <si>
    <t>@drfahrettinkoca Siz sağlıkçılari unuttunuz ama sayın bakan. Kılavuz bekliyoruz tam 1 sene oldu.</t>
  </si>
  <si>
    <t>1469757844601942017</t>
  </si>
  <si>
    <t>@drfahrettinkoca Evet o bizim hekimlerimizde oralara gidiyir zaten peki siz bizim ulkemizde kalmalri icin ne yapiyo… https://t.co/EoJo7xqoR0</t>
  </si>
  <si>
    <t>1469757774817079310</t>
  </si>
  <si>
    <t>@drfahrettinkoca Olur.</t>
  </si>
  <si>
    <t>1469757751517761538</t>
  </si>
  <si>
    <t>@drfahrettinkoca #anestezi3000atama şart bu klavuz hakkaniyetli bi klavuz olmalı 15 bin hemşire 5 bin ebe alacaksan… https://t.co/fWvMXCrGY4</t>
  </si>
  <si>
    <t>1469757564997021705</t>
  </si>
  <si>
    <t>@drfahrettinkoca Online eğitim istiyoruz sayın bakan</t>
  </si>
  <si>
    <t>1469757521783099398</t>
  </si>
  <si>
    <t>@drfahrettinkoca Niye kaçırıyorsunuz zengin ülkelere kiymetini bilin o zaman hekimlerimizin</t>
  </si>
  <si>
    <t>1469757499939201029</t>
  </si>
  <si>
    <t>@drfahrettinkoca Atama yapın</t>
  </si>
  <si>
    <t>1469757474345521154</t>
  </si>
  <si>
    <t>@drfahrettinkoca Allah aşkına Allah aşkına artık kılavuzu aciklayin</t>
  </si>
  <si>
    <t>1469757453327814663</t>
  </si>
  <si>
    <t>@drfahrettinkoca Kılavuz</t>
  </si>
  <si>
    <t>1469757356825321475</t>
  </si>
  <si>
    <t>@drfahrettinkoca Kılavuz nerede sayın bakan</t>
  </si>
  <si>
    <t>1469757305193390081</t>
  </si>
  <si>
    <t>@drfahrettinkoca Bugün 39 yaşında uzman doktorlar almanca kursuna gidiyor..  hakimlere 2014 de 1400 tl,2017 de 2700… https://t.co/iIItDqXJ5h</t>
  </si>
  <si>
    <t>1469757303977091076</t>
  </si>
  <si>
    <t>@drfahrettinkoca Bakın o hekimler sağlıklı kişinin maske takmasına gerek diyorlar https://t.co/ypxrq7Rwrc</t>
  </si>
  <si>
    <t>1469757268585598983</t>
  </si>
  <si>
    <t>@drfahrettinkoca Atanamayan sağlıkçılar da zengin ülkelere alıcı gözüyle bakıyor sayın @drfahrettinkoca  #BütçedenSağlığâNetAçıklama</t>
  </si>
  <si>
    <t>1469757200331689989</t>
  </si>
  <si>
    <t>@drfahrettinkoca alıcı gözle bakılan hekimler yurtdışına gidiyor, meslektaşlarınız için yapılabilecek hiç mi birşey yok?</t>
  </si>
  <si>
    <t>1469757189602648068</t>
  </si>
  <si>
    <t>@drfahrettinkoca 1) Öğrenciler olarak bıkmış ve kötü durumdayız online eğitime ivedilikle geçilmesi gerek  2)Hekiml… https://t.co/fp7jckmO2q</t>
  </si>
  <si>
    <t>1469757168488521737</t>
  </si>
  <si>
    <t>@drfahrettinkoca Beni övme bana para ver sayın bakanım</t>
  </si>
  <si>
    <t>1469757133499551749</t>
  </si>
  <si>
    <t>@drfahrettinkoca Kılavuz???</t>
  </si>
  <si>
    <t>1469757006701789184</t>
  </si>
  <si>
    <t>@drfahrettinkoca Sizden once oyleydi😀 zaten simdi de kaciyorlar yurtdisina</t>
  </si>
  <si>
    <t>1469756971461005318</t>
  </si>
  <si>
    <t>@drfahrettinkoca İşte onlarda bunu bildiği için gidiyorlar ülkeden.</t>
  </si>
  <si>
    <t>1469756919002849289</t>
  </si>
  <si>
    <t>@drfahrettinkoca Atama?</t>
  </si>
  <si>
    <t>1469756909938954244</t>
  </si>
  <si>
    <t>@drfahrettinkoca Evet doğru değerlerini de  bilmeyen de tek ülkeyiz</t>
  </si>
  <si>
    <t>1469756902917783556</t>
  </si>
  <si>
    <t>@drfahrettinkoca Hala dün itibariyle covid olan hastaya favirapir verip karantinaya alıyorsunuz.</t>
  </si>
  <si>
    <t>1469756897410568200</t>
  </si>
  <si>
    <t>@drfahrettinkoca Kılavuz ya kilavuzzz</t>
  </si>
  <si>
    <t>1469756886178271240</t>
  </si>
  <si>
    <t>@drfahrettinkoca Aklı olan özellikle üniv sınavında ilk 5 bine giren tıpçı ilk günden ingilizce almanca çalışsın de… https://t.co/3ZakC0gQnA</t>
  </si>
  <si>
    <t>1469756759447379969</t>
  </si>
  <si>
    <t>@drfahrettinkoca Gidiyorlar</t>
  </si>
  <si>
    <t>1469756713209409536</t>
  </si>
  <si>
    <t>@drfahrettinkoca @saglikbakanligi #doktorlartakiplesiyor niye ki ?</t>
  </si>
  <si>
    <t>1469756677171916811</t>
  </si>
  <si>
    <t>@drfahrettinkoca Bunları Sn.Cumhurbaşkanının izni ile söylediğinizi umuyoruz...</t>
  </si>
  <si>
    <t>1469756654384300032</t>
  </si>
  <si>
    <t>@drfahrettinkoca Evet o yüzden fırsatını bulan kaçıp gidiyor.</t>
  </si>
  <si>
    <t>1469756645681082372</t>
  </si>
  <si>
    <t>@drfahrettinkoca Ulan boşuna mı bu bakana doktor bakanı diyoruz birde utanmadan neden öyle diyorsunuz diye söylenenler var</t>
  </si>
  <si>
    <t>1469756570917552141</t>
  </si>
  <si>
    <t>@drfahrettinkoca https://t.co/ZSeHX3xcOD</t>
  </si>
  <si>
    <t>1469756564651315208</t>
  </si>
  <si>
    <t>@drfahrettinkoca @saglikbakanligi Slm alüküm başkanım adana şehir hastanesinde calişiyordum ve işimizden cıkardılar… https://t.co/L4oXHxLfP7</t>
  </si>
  <si>
    <t>1469756559777738752</t>
  </si>
  <si>
    <t>@drfahrettinkoca Bravo 👏</t>
  </si>
  <si>
    <t>1469756540714373125</t>
  </si>
  <si>
    <t>@drfahrettinkoca Kılavuzda başka hiç bişi yok yine bunu unutmayın sağlıkçılar</t>
  </si>
  <si>
    <t>1469756532984360962</t>
  </si>
  <si>
    <t>@drfahrettinkoca Kılavuz hakkında net bilgi verir misiniz</t>
  </si>
  <si>
    <t>1469756462205444102</t>
  </si>
  <si>
    <t>@drfahrettinkoca Omicron Türkiye 'de var mı yok mu? İngiltere açıklıyor 👇 https://t.co/cpeqzJmmUa</t>
  </si>
  <si>
    <t>1469756356555157513</t>
  </si>
  <si>
    <t>@drfahrettinkoca https://t.co/wZz4fOTiAl @RTErdogan @tcbestepe</t>
  </si>
  <si>
    <t>1469756341451464712</t>
  </si>
  <si>
    <t>@drfahrettinkoca Sağlık ekip işidir..  #MeclisSağlıkçıyıOyalama</t>
  </si>
  <si>
    <t>1469756291509886983</t>
  </si>
  <si>
    <t>@drfahrettinkoca Gönderin o ülkelere biz de çakma proflArdan kurtulalım</t>
  </si>
  <si>
    <t>1469756278205562891</t>
  </si>
  <si>
    <t>@drfahrettinkoca Online eğitim şart ölmek üzereyiz gencim ben ölmek istemiyorum</t>
  </si>
  <si>
    <t>1469756227756376068</t>
  </si>
  <si>
    <t>@drfahrettinkoca @saglikbakanligi Yok benim dedem şöyle büyük ağaymış da. Yok benim dedemin katırları kimsede yokmu… https://t.co/poq1Dg52o6</t>
  </si>
  <si>
    <t>1469756068116979720</t>
  </si>
  <si>
    <t>@drfahrettinkoca Maske kalksın biktim su makeden</t>
  </si>
  <si>
    <t>1469755991419936774</t>
  </si>
  <si>
    <t>@drfahrettinkoca Allah var hesap var bu toprağın üstü kadar altıda var.  Kimin vebaline kim girdiyse Yatacak yeri olmasin.</t>
  </si>
  <si>
    <t>1469755962013724680</t>
  </si>
  <si>
    <t>@drfahrettinkoca MahkumAileleri TalebiniDuyun  Adalet dagitin320bin mahkum var ailelerinin içinde bulunduğu durum a… https://t.co/CSZkYLFqfo</t>
  </si>
  <si>
    <t>1469755947388129281</t>
  </si>
  <si>
    <t>@drfahrettinkoca Bence bu durumu siz unutmayınız ve hak ettikleri hak, çalışma ve yaşam şartlarını sağlayınız hem h… https://t.co/tfRnh4s2Jg</t>
  </si>
  <si>
    <t>1469755907580084233</t>
  </si>
  <si>
    <t>@drfahrettinkoca Yine atamayı gecistirmeyin artık netlik istiyoruz kanser olsuk</t>
  </si>
  <si>
    <t>1469755890463129611</t>
  </si>
  <si>
    <t>@drfahrettinkoca Sayın @RTErdogan  saglik bakanlığına 40.000 personel istihdam sözünü verdiniz ama henüz hareket ge… https://t.co/Oic25CCui0</t>
  </si>
  <si>
    <t>1469755832900407307</t>
  </si>
  <si>
    <t>@drfahrettinkoca ne dedi? ne dedin sen?</t>
  </si>
  <si>
    <t>1469755811614248964</t>
  </si>
  <si>
    <t>@drfahrettinkoca Biz değil,siz unutmayın! Bizim zaten başımıcın tacı onlar! Sayenizde ülkeyi terk ediyorlar!</t>
  </si>
  <si>
    <t>1469755789179072525</t>
  </si>
  <si>
    <t>@drfahrettinkoca Siz de unutmayin da kaçırmayın  hekimlerimizi.</t>
  </si>
  <si>
    <t>1469755766424969217</t>
  </si>
  <si>
    <t>@drfahrettinkoca Özellikle tayland’dan çok talep var sayın bakan bize. Kick-boks öğretip geri göndereceklermiş. Çün… https://t.co/LHpZhj9guX</t>
  </si>
  <si>
    <t>1469755738146975748</t>
  </si>
  <si>
    <t>@drfahrettinkoca Atanamayan sağlıkçıya umut aşıladınız halen yaptığınız bir şey yok Kılavuzu açıklamadınız Soruyoru… https://t.co/hQx42wxmRP</t>
  </si>
  <si>
    <t>1469755714725949440</t>
  </si>
  <si>
    <t>@drfahrettinkoca Bu pandemide gördük  nasıl susturulduklarıni</t>
  </si>
  <si>
    <t>1469755670664826880</t>
  </si>
  <si>
    <t>@drfahrettinkoca Parasız hekimler....</t>
  </si>
  <si>
    <t>1469755669096108038</t>
  </si>
  <si>
    <t>@drfahrettinkoca Odyolojiyede gerekli değer verilsin bakanım</t>
  </si>
  <si>
    <t>1469755667510616067</t>
  </si>
  <si>
    <t>@drfahrettinkoca Peki ya kılavuz</t>
  </si>
  <si>
    <t>1469755655191941130</t>
  </si>
  <si>
    <t>@drfahrettinkoca Biz biliyoruz siz farkında değilsiniz</t>
  </si>
  <si>
    <t>1469755644211306498</t>
  </si>
  <si>
    <t>@drfahrettinkoca https://t.co/euJyyaUDgf</t>
  </si>
  <si>
    <t>1469755639664627716</t>
  </si>
  <si>
    <t>@drfahrettinkoca Verin haklarını çoğu istifa ediyor ya da yurt dışına gidiyor.</t>
  </si>
  <si>
    <t>1469755636120494080</t>
  </si>
  <si>
    <t>@drfahrettinkoca Yani bunun Türkçesi doctor larımız tek tek istifa ediyor yakında çalıştıracak doktor bulamayacağız… https://t.co/qQvfNNu1Cy</t>
  </si>
  <si>
    <t>1469755627631267846</t>
  </si>
  <si>
    <t>@drfahrettinkoca Bence sizde maaşları hazırlarken unutmayın.</t>
  </si>
  <si>
    <t>1469755621130092549</t>
  </si>
  <si>
    <t>@drfahrettinkoca Her gün ölüm ve korku  Baskı çağrısı vererek mi  Bizde yedik inanın</t>
  </si>
  <si>
    <t>1469755604747051013</t>
  </si>
  <si>
    <t>@drfahrettinkoca Hemşirelerle devam sayın bakan</t>
  </si>
  <si>
    <t>1469755586548047878</t>
  </si>
  <si>
    <t>@drfahrettinkoca Ondan gidiyorlar demekki</t>
  </si>
  <si>
    <t>1469755576821366787</t>
  </si>
  <si>
    <t>@drfahrettinkoca Peki ya fizyoterapistler</t>
  </si>
  <si>
    <t>1469755574678167558</t>
  </si>
  <si>
    <t>@drfahrettinkoca İzin aldı mı acaba patrondan yanlış birşey konuşmuş olmasın</t>
  </si>
  <si>
    <t>1469755572929110024</t>
  </si>
  <si>
    <t>@drfahrettinkoca Ayrıştırma ve kutuplaştırma bir hekim olarak sizin uzmanlık alanınız olmalı...Hekimler olarak önce… https://t.co/npLL0tw5Om</t>
  </si>
  <si>
    <t>1469755543241773060</t>
  </si>
  <si>
    <t>@drfahrettinkoca Peki ya saglikcilar</t>
  </si>
  <si>
    <t>1469755535469785088</t>
  </si>
  <si>
    <t>@drfahrettinkoca O zaman kaptirmayin</t>
  </si>
  <si>
    <t>1469755520559063049</t>
  </si>
  <si>
    <t>1469755518910611460</t>
  </si>
  <si>
    <t>@drfahrettinkoca Eee gondermeyin o zaman sağlıkta şiddete dur diyin mobbinglere engel olun düşük ücretlere eksik em… https://t.co/H6TxIpmJqO</t>
  </si>
  <si>
    <t>1469755511977431048</t>
  </si>
  <si>
    <t>@drfahrettinkoca 13 aydır atama yapılmıyor</t>
  </si>
  <si>
    <t>1469755476204208133</t>
  </si>
  <si>
    <t>@drfahrettinkoca Aynen öyle o yüzden alıcı gözlerle bakan ülkeler alacaklar gibi hekimlerimizi</t>
  </si>
  <si>
    <t>1469755413067624448</t>
  </si>
  <si>
    <t>@drfahrettinkoca ÖFFFFF anca laf kalabalığı. Sen omicron var mı onu açıkla.  #VakalarArtmadanEğitimUzaktan</t>
  </si>
  <si>
    <t>1469755405790240774</t>
  </si>
  <si>
    <t>@drfahrettinkoca Ama siz bizi unutuyorsunuz sayın bakan. Kılavuz gelsin artık!!!</t>
  </si>
  <si>
    <t>1469755395040288768</t>
  </si>
  <si>
    <t>@drfahrettinkoca Diyaliz teknikerlerine istihdam sağlanmadı. Sözler tutulsun Diyaliz teknikerlerinin mağduriyeti so… https://t.co/SWCccKSrDf</t>
  </si>
  <si>
    <t>1469755375679377411</t>
  </si>
  <si>
    <t>@drfahrettinkoca Fizyoterapistler??</t>
  </si>
  <si>
    <t>1469755362698010624</t>
  </si>
  <si>
    <t>@drfahrettinkoca Bilim kurulunu nerden topladiniz ?</t>
  </si>
  <si>
    <t>1469755356687609858</t>
  </si>
  <si>
    <t>@drfahrettinkoca Kılavuz Bekliyoruz Sayın Bakanım Kılavuzz</t>
  </si>
  <si>
    <t>1469755343949471746</t>
  </si>
  <si>
    <t>@drfahrettinkoca Hastanelerde diyaliz tedavilerinin devamlılığı için diyaliz teknikerlerinin Pdc sayıları düzenlenm… https://t.co/EJQMt9DpL8</t>
  </si>
  <si>
    <t>1469755338580807683</t>
  </si>
  <si>
    <t>@drfahrettinkoca Sus</t>
  </si>
  <si>
    <t>1469755325742043144</t>
  </si>
  <si>
    <t>@drfahrettinkoca Yater artık</t>
  </si>
  <si>
    <t>1469755321988128771</t>
  </si>
  <si>
    <t>@drfahrettinkoca ya tmm biliyoruz paylasma hdhdh</t>
  </si>
  <si>
    <t>1469755313226231823</t>
  </si>
  <si>
    <t>@drfahrettinkoca Ancak boş yapıyorsunuz biz@sizden bir şey istemiyoruz sadece HAKKIMIZI istiyoruz</t>
  </si>
  <si>
    <t>1470149380191707141</t>
  </si>
  <si>
    <t>@drfahrettinkoca Övgü kolonya gibidir, koklanmalı ama yutulmamalıdır.</t>
  </si>
  <si>
    <t>1470148488969216007</t>
  </si>
  <si>
    <t>@drfahrettinkoca 😱😱😱 https://t.co/f9VGTyTYjb</t>
  </si>
  <si>
    <t>1470146531705643016</t>
  </si>
  <si>
    <t>@drfahrettinkoca https://t.co/WUJpw4kiIL</t>
  </si>
  <si>
    <t>1470144378773585920</t>
  </si>
  <si>
    <t>@drfahrettinkoca Aile hekimleri unutulursa aile sağlığı merkezlerine geçiş azalıp sistemin işleyişi ve kalitesi çok zarar görebilir.</t>
  </si>
  <si>
    <t>1470144089362415617</t>
  </si>
  <si>
    <t>@drfahrettinkoca https://t.co/fbeE3mlgKM</t>
  </si>
  <si>
    <t>1470142577160732673</t>
  </si>
  <si>
    <t>@drfahrettinkoca Bakanım 2 yıldır hastanelerin hiçbir bölümüne randevu alamıyoruz randevu düşene kadar kendi kendim… https://t.co/NtnT0uAyWV</t>
  </si>
  <si>
    <t>1470142458155745280</t>
  </si>
  <si>
    <t>@drfahrettinkoca Tam yerini bulacak bi paylaşım yapayım size. Alın şu hekimlerinizi kim istiyosa oraya gönderin. https://t.co/mj099NMPKw</t>
  </si>
  <si>
    <t>1470134906470686721</t>
  </si>
  <si>
    <t>@drfahrettinkoca Heeee.... Eeeeee... A A</t>
  </si>
  <si>
    <t>1470131638910787584</t>
  </si>
  <si>
    <t>@drfahrettinkoca Sayın bakanım sözler icraata dökülürde en azından yeni gelecek hekim arkadaşlar ülkede kalır inşal… https://t.co/7N78cwXQy7</t>
  </si>
  <si>
    <t>1470122152087150592</t>
  </si>
  <si>
    <t>@drfahrettinkoca Bakanım bana çamaşır makinesi alırmısın</t>
  </si>
  <si>
    <t>1470121623336497160</t>
  </si>
  <si>
    <t>@drfahrettinkoca Daha dün bunu derken ne kadar sevinmiştik,ama bugün hakkımızı geri aldınız #SakınAklınızdanGecirme</t>
  </si>
  <si>
    <t>1470108554128408579</t>
  </si>
  <si>
    <t>@drfahrettinkoca Sözünüzün bile arkasında duramadınız. Hani 2500 tl hani 5000 tl. Yazıklar olsun.</t>
  </si>
  <si>
    <t>1470108328617558021</t>
  </si>
  <si>
    <t>@drfahrettinkoca Sayın bakan bu zaten böyle biz unutmuyoruz ama bunu sen unutuyorsun !!!</t>
  </si>
  <si>
    <t>1470104107532836868</t>
  </si>
  <si>
    <t>@drfahrettinkoca Asıl siz unutmayın</t>
  </si>
  <si>
    <t>1470102837493477376</t>
  </si>
  <si>
    <t>@drfahrettinkoca Bu gidişle Türkiye de hekim galan kalmayacak bakanım</t>
  </si>
  <si>
    <t>1470100914665050117</t>
  </si>
  <si>
    <t>@drfahrettinkoca Asıl siz unutmayın.</t>
  </si>
  <si>
    <t>1470100386996436999</t>
  </si>
  <si>
    <t>@drfahrettinkoca Sizde ‼️</t>
  </si>
  <si>
    <t>1470098348141076488</t>
  </si>
  <si>
    <t>@drfahrettinkoca Tek doğru. Bu konuda biraz haklısınız.</t>
  </si>
  <si>
    <t>1470094545434071045</t>
  </si>
  <si>
    <t>@drfahrettinkoca https://t.co/20LYvYP20V</t>
  </si>
  <si>
    <t>1470091558703841287</t>
  </si>
  <si>
    <t>@drfahrettinkoca So what?</t>
  </si>
  <si>
    <t>1470088705469816851</t>
  </si>
  <si>
    <t>@drfahrettinkoca sonuc?</t>
  </si>
  <si>
    <t>1470088633017327622</t>
  </si>
  <si>
    <t>@drfahrettinkoca İşte bundan gideceğiz sayın bakanımız.  Madem böyle egitimliyiz bu şartlarda bu daha fazla çalışmak istemiyoruz.</t>
  </si>
  <si>
    <t>1470086177625722888</t>
  </si>
  <si>
    <t>@drfahrettinkoca Kaç para ?</t>
  </si>
  <si>
    <t>1470082615067791361</t>
  </si>
  <si>
    <t>@drfahrettinkoca Evet Türk hekimleri gerçekten söylediğiniz gibi hepsi grur kaynağımız ama onlara vermiş olduğunuz… https://t.co/wHd5Lot5Yv</t>
  </si>
  <si>
    <t>1470081292050051083</t>
  </si>
  <si>
    <t>@drfahrettinkoca İnsan canı sağlığı para ile ölçülemez ölene canı geri verilemiyorsa ,dirinin uzvu geri verilemiyor… https://t.co/BnaSg7YO8c</t>
  </si>
  <si>
    <t>1470528889361416193</t>
  </si>
  <si>
    <t>@drfahrettinkoca @saglikbakanligi Hekim özelliğini kaybetmemiş bir Bakan 👍</t>
  </si>
  <si>
    <t>1470516318604566530</t>
  </si>
  <si>
    <t>@drfahrettinkoca Denetleme mekanizması güçlendirilmeli günde habersiz kaç hastaneyi teftiş ediyorsunuz sayın bakan</t>
  </si>
  <si>
    <t>1470513356658425866</t>
  </si>
  <si>
    <t>@drfahrettinkoca Hakkınız kesinlikle hiçbir zaman ödenmez………</t>
  </si>
  <si>
    <t>1469816312310423554</t>
  </si>
  <si>
    <t>1469807691015012355</t>
  </si>
  <si>
    <t>@drfahrettinkoca İyi o zaman bazı doktorlar yanlış tedavi yapsın. İnsanların canına sebep olsun. Siz de kılıf uydurun 😡😡</t>
  </si>
  <si>
    <t>1469802902873120779</t>
  </si>
  <si>
    <t>@drfahrettinkoca Yok öyle bakan bey, herkes yaptıklarının hesabını verecek.</t>
  </si>
  <si>
    <t>1469801456865890304</t>
  </si>
  <si>
    <t>@drfahrettinkoca Ya şu boş muhabbeti göz boyamayı ne zaman bırakacaksınız. 40 bin 40 bin diye reklam yap, 13 ay boy… https://t.co/vkS0ZLksay</t>
  </si>
  <si>
    <t>1469798779813609473</t>
  </si>
  <si>
    <t>@drfahrettinkoca Yok, meydanı boş buldular, değneksiz çoban gibi dolaşıyorlar. Allah'ın sopası yakındır. Herkes ektiğini biçecek.</t>
  </si>
  <si>
    <t>1469796935431331844</t>
  </si>
  <si>
    <t>@drfahrettinkoca Çok güzel konuşuyorsunuz keşke sağlık bakanı olsanız🙏</t>
  </si>
  <si>
    <t>1469795295739494401</t>
  </si>
  <si>
    <t>@drfahrettinkoca Yorumları okuyunca, bilgisi olmadığı konularda fikir sahibi olan onlarca kişiyi görüyoruz. Cahil c… https://t.co/pXskyl5amS</t>
  </si>
  <si>
    <t>1469793476204277773</t>
  </si>
  <si>
    <t>@drfahrettinkoca Yurt dışından gelenleri karantinaya alıyorlar .Bizde neden böyle tedbirler yok.Ülkeye selam veren hatta vermeyen giriyor</t>
  </si>
  <si>
    <t>1469790799231696896</t>
  </si>
  <si>
    <t>@drfahrettinkoca @DisKamu Hayret umursandığını düşünmüyordum</t>
  </si>
  <si>
    <t>1469790493752152068</t>
  </si>
  <si>
    <t>@drfahrettinkoca MAGDURİYETİMİZ VAR  BAKANIM  4/C İKEN 4/B'YE GEÇEMEYEN  BİZ 4CB'LİLERİN ZORUNLU EMEKLİLİK  EK  ÖDE… https://t.co/upUzWKF2b4</t>
  </si>
  <si>
    <t>1469790017002389504</t>
  </si>
  <si>
    <t>@drfahrettinkoca Sağlık çalışanları olarak başlayıp hekimler diyerek bitirmesi...</t>
  </si>
  <si>
    <t>1469787649581977610</t>
  </si>
  <si>
    <t>@drfahrettinkoca Olur hocam sen hiç sıkıntı yapma, fırçalasınlar ötelesinler, verg vermesin fakat aylık yüz bini ke… https://t.co/BdUEvsqB3w</t>
  </si>
  <si>
    <t>1469784506852945926</t>
  </si>
  <si>
    <t>@drfahrettinkoca Niye acaba?</t>
  </si>
  <si>
    <t>1469782638198145038</t>
  </si>
  <si>
    <t>@drfahrettinkoca Gene neyin peşindesin sayın bakan zaten adam akıllı milletle ilgilenmiyorlar reçeteyi yaz gönder y… https://t.co/Q7TSo1BUyB</t>
  </si>
  <si>
    <t>1469779291621797888</t>
  </si>
  <si>
    <t>@drfahrettinkoca YALANCISINIZ Önce 40 bin dediniz Sonra 30 bin sağlıkçı 10 bin işçi dediniz Şimdide 20 bin sağlıkçı… https://t.co/paB54LtPzh</t>
  </si>
  <si>
    <t>1469777306659049476</t>
  </si>
  <si>
    <t>1469776396499267590</t>
  </si>
  <si>
    <t>@drfahrettinkoca Siz kendinizi kurtarın plandemi bakanı. Covid ilaç denemelerinde nice insan öldü hastanelerde çünk… https://t.co/Rgh9Cf3hBu</t>
  </si>
  <si>
    <t>1469775966700511234</t>
  </si>
  <si>
    <t>@drfahrettinkoca sn:Bakan, Bence covid 19 plandemisi bittiğinde en ağır davalara sşz maruz kalacaksınız.</t>
  </si>
  <si>
    <t>1469774004965814287</t>
  </si>
  <si>
    <t>@drfahrettinkoca Gelde aile sağlık ocağında ki doktor terörünü gör yerlerinden kalkmadan acile gidin diyolar şikaye… https://t.co/dMIo5Q5Mdu</t>
  </si>
  <si>
    <t>1469773857749880848</t>
  </si>
  <si>
    <t>@drfahrettinkoca Bakan bey emrinizde çalıştırdığınız insanların dava tazminatını da devlet olarak siz ödemek zorund… https://t.co/KILYFyGlTa</t>
  </si>
  <si>
    <t>1469773716288679941</t>
  </si>
  <si>
    <t>@drfahrettinkoca Güya sağlıkçıları çok düşünüyorsunuz</t>
  </si>
  <si>
    <t>1469773618947186696</t>
  </si>
  <si>
    <t>@drfahrettinkoca Siz bakan olarak sağlıkçılara böyle mj sahip çıkacaktınız herkes bu gece nasıl uyuycaak alımı neden böldünüz</t>
  </si>
  <si>
    <t>1469772199913529358</t>
  </si>
  <si>
    <t>@drfahrettinkoca @drfahrettinkoca @RTErdogan  siz nasıl insanlarsınız hayatımızı kararttınız gençliğimizi  kanımızı… https://t.co/3MbcHLm2g2</t>
  </si>
  <si>
    <t>1469771702330703877</t>
  </si>
  <si>
    <t>@drfahrettinkoca Pardon bakan değil misiniz? Siz sızlanma, şikayet etme makamında değil, çözüm makamındasınız.</t>
  </si>
  <si>
    <t>1469771580435845122</t>
  </si>
  <si>
    <t>@drfahrettinkoca https://t.co/J4MfUx12mC</t>
  </si>
  <si>
    <t>1469771219033595906</t>
  </si>
  <si>
    <t>@drfahrettinkoca Sayın bakan SGK kafasına göre ilaçları ödeme listesinden çıkarıyor buna ne zaman dur diyeceksiniz… https://t.co/UEu4NczDns</t>
  </si>
  <si>
    <t>1469771032093413379</t>
  </si>
  <si>
    <t>@drfahrettinkoca Hay Allah 🙊</t>
  </si>
  <si>
    <t>1469770683517394950</t>
  </si>
  <si>
    <t>@drfahrettinkoca Aşılar ın yan etkileri olunca mı konu oldu bu?? Millet hakkını aramasın mı??</t>
  </si>
  <si>
    <t>1469770618736459786</t>
  </si>
  <si>
    <t>@drfahrettinkoca Maalesef doktorlar çok fazla yanlış teşhis koyuyor. Şikayet te edemiyoruz.</t>
  </si>
  <si>
    <t>1469769793461006338</t>
  </si>
  <si>
    <t>@drfahrettinkoca Bizim canımız ucuz mu? her gün 200 vefat var,  önlem almadınız ülkeye herkesi aldınız aşı karşıtla… https://t.co/Nk1X6HsRgR</t>
  </si>
  <si>
    <t>1469769212134576128</t>
  </si>
  <si>
    <t>@drfahrettinkoca Çözülmesi gereken en önemli problem</t>
  </si>
  <si>
    <t>1469767511096938500</t>
  </si>
  <si>
    <t>1469766908090236929</t>
  </si>
  <si>
    <t>@drfahrettinkoca Sağlık bakanlığı hekim bakanligi mi? Yazık</t>
  </si>
  <si>
    <t>1469766376822878214</t>
  </si>
  <si>
    <t>@drfahrettinkoca hımmm bu duygusal serzenişlerle durum şunu gösteriyor ki; Çok yakında IBAN da verirsiniz, sizler.</t>
  </si>
  <si>
    <t>1469765799816663040</t>
  </si>
  <si>
    <t>@drfahrettinkoca Biraz hekimlere kulak verin. Bu meslek artik yapilamayacak noktaya geldi. Günde 80 hasta bakip, hi… https://t.co/b9G6DONApD</t>
  </si>
  <si>
    <t>1469765130103762946</t>
  </si>
  <si>
    <t>@drfahrettinkoca Kanunen ve vicdânen  olması gereken  olur umarım</t>
  </si>
  <si>
    <t>1469764915107930118</t>
  </si>
  <si>
    <t>@drfahrettinkoca https://t.co/RA99nhSyXB</t>
  </si>
  <si>
    <t>1469764744546553858</t>
  </si>
  <si>
    <t>@drfahrettinkoca Omicron yeni varyanta karşı tüm dünya tetikteyken siz nasıl insanları gevşemeye itersiniz? Bulaşıc… https://t.co/r8Iww2hSnq</t>
  </si>
  <si>
    <t>1469764729631490049</t>
  </si>
  <si>
    <t>@drfahrettinkoca Sayın bakan eğer sağlık personellerini düşünüyorsanız işe ilk önce 2020 Ocak ayında müjde diyerek… https://t.co/t3UGqIuGTm</t>
  </si>
  <si>
    <t>1469764385266618377</t>
  </si>
  <si>
    <t>@drfahrettinkoca Her hekim için geçerli değil bu durum özellikle devlet hastanelerindeki hekimler maalesef kasap gi… https://t.co/3KN6Yv3wGr</t>
  </si>
  <si>
    <t>1469764258812645385</t>
  </si>
  <si>
    <t>@drfahrettinkoca Yahu ne aciz bir kişisin, tayyip'in karşısında altına kaçırdın, güya bakan olacaksın. Hergün mesle… https://t.co/aXqPfKDDiD</t>
  </si>
  <si>
    <t>1469763928783732745</t>
  </si>
  <si>
    <t>@drfahrettinkoca Sayın bakanım bunun  önüne geçilmez ise onumuzdeki yıllarda cerrah bulamayacağız</t>
  </si>
  <si>
    <t>1469763800173793287</t>
  </si>
  <si>
    <t>@drfahrettinkoca Ne Alaka Ya ? Yanlis teshise bal gibi dava acilir !! Para almasini astronomik paralar istemesini b… https://t.co/PoUo69M305</t>
  </si>
  <si>
    <t>1469763734411300873</t>
  </si>
  <si>
    <t>@drfahrettinkoca Omicron varyantı ülkede. Silindir gibi üzerimizden geçmemesi için, halkın sağlığı ve can sağlığı i… https://t.co/fHQMUCV9N5</t>
  </si>
  <si>
    <t>1469762816173297675</t>
  </si>
  <si>
    <t>@drfahrettinkoca YİNE Bİ SÜRPRİİİZZZZZZ ALIMI BÖLDÜNÜZ YİNE HELAL OLSUN 👏</t>
  </si>
  <si>
    <t>1469762407115509768</t>
  </si>
  <si>
    <t>@drfahrettinkoca Korumaya çalışmayın bakanım. Görevini yerine getirmeyip emir uygulayan hekim mi olur.? Şablon uygu… https://t.co/JDWBaB9Tzy</t>
  </si>
  <si>
    <t>1469762005066211334</t>
  </si>
  <si>
    <t>@drfahrettinkoca Bu konuyla da ilgili sizden çözüm bekliyoruz Sn. Bakan...</t>
  </si>
  <si>
    <t>1469761701130215430</t>
  </si>
  <si>
    <t>@drfahrettinkoca Peki sağlık sistemini kullanarak millete yapılan aşı zulmü insanları eğitim AŞ iş korkusuyla aşıya… https://t.co/G2b82cresJ</t>
  </si>
  <si>
    <t>1469760992284401666</t>
  </si>
  <si>
    <t>@drfahrettinkoca Her gün acı ve Aç yatırıyor annem beni Lütfen artık yardım edin https://t.co/JZzvxX29hg  https://t.co/OjzPD9ex6X</t>
  </si>
  <si>
    <t>1469760785505300481</t>
  </si>
  <si>
    <t>@drfahrettinkoca iskan konutları 495.000₺ nasıl ödenir biz istemedik zorunlu göçe tabi tutulduk  @RTErdogan… https://t.co/hsXUPHbUSF</t>
  </si>
  <si>
    <t>1469759708349476864</t>
  </si>
  <si>
    <t>@drfahrettinkoca Sn. Bakanım; Malpraktis yasası, özlük haklarında iyileştirme, şiddete etkili çözümler, sevk zincir… https://t.co/CGATNPWFx5</t>
  </si>
  <si>
    <t>1469758972714536967</t>
  </si>
  <si>
    <t>@drfahrettinkoca deney sıvılarının sonuçlarından sorumluluk almamak için onam formu imzalatmayı da aynı korkuyla mı… https://t.co/FkDuczybWs</t>
  </si>
  <si>
    <t>1469758923892797446</t>
  </si>
  <si>
    <t>@drfahrettinkoca Sayın bakanim ülkedeki en önemli saglik problemi budur. Mutlaka makul bir üst sınır konulmali. Ayl… https://t.co/hyAiDAT9zg</t>
  </si>
  <si>
    <t>1469758783907938304</t>
  </si>
  <si>
    <t>@drfahrettinkoca Bırakın bizleri düşünüyormuş gibi yapmayi</t>
  </si>
  <si>
    <t>1469757465940181006</t>
  </si>
  <si>
    <t>@drfahrettinkoca Memur olana kadar yırtınırlar sonra kimse iş yapmaz nasılsa köprüyü geçtiler devlete sırtını dayadılar.</t>
  </si>
  <si>
    <t>1469757373925531650</t>
  </si>
  <si>
    <t>@drfahrettinkoca Ülkede liyakat istiyorsak eğitimi yetkiyi sorumluluğu es geçemeyiz. Popülist sendika söylemleriyle… https://t.co/R0q9wLbxGX</t>
  </si>
  <si>
    <t>1469757233156210690</t>
  </si>
  <si>
    <t>@drfahrettinkoca Ekimdi,Kasım oldu.Kasımdı,Aralık oldu.Aralıkdı,Ocak oldu. Bizi tükettiniz,bununla mutlu olun.</t>
  </si>
  <si>
    <t>1469757203007651850</t>
  </si>
  <si>
    <t>@drfahrettinkoca Sağlık bakanlığı olarak öncelikle özel hastaneleri denetleyin. Mesela kendimden örnek vereyim 2020… https://t.co/moas8lqv9W</t>
  </si>
  <si>
    <t>1469757168345829381</t>
  </si>
  <si>
    <t>@drfahrettinkoca Sayın bakanım yıllar öncesinde olduğu gibi Sağlık camiasının Hekimlerimizin ve bizlerin ekonomik v… https://t.co/cfdaK09Fx5</t>
  </si>
  <si>
    <t>1469757116332261383</t>
  </si>
  <si>
    <t>@drfahrettinkoca Son model otomobil binerken para var Lüx villalar da otururken para var iş hatadan dolayı kesilen… https://t.co/Xhu3ywCzg4</t>
  </si>
  <si>
    <t>1469756945544491013</t>
  </si>
  <si>
    <t>@drfahrettinkoca @saglikbakanligi #doktorlartakiplesiyor #Doktorbakanlığı</t>
  </si>
  <si>
    <t>1469756868188942336</t>
  </si>
  <si>
    <t>@drfahrettinkoca Valla ben kafası kanlar içinde gelen bebeği acilden kabul etmemek için müdahale öncesi masraflar i… https://t.co/rNBKPBqWX4</t>
  </si>
  <si>
    <t>1469756556115914757</t>
  </si>
  <si>
    <t>@drfahrettinkoca Sayın bakan hekimle ilgili bir paylaşım yapınca neden hekim dışı sağlık personeli gelip tweet altı… https://t.co/3W4aOkQtvQ</t>
  </si>
  <si>
    <t>1469756481943879682</t>
  </si>
  <si>
    <t>@drfahrettinkoca Dr işini iyi yapsın işten anlamayan Dr sağlık sektöründe yeri yok hata yapan Drlar bedelini ağır ö… https://t.co/ubgySfUnLA</t>
  </si>
  <si>
    <t>1469756438318886919</t>
  </si>
  <si>
    <t>@drfahrettinkoca Yeni mezun hekimlerin, cerrahi branşları tercih etmemesindeki en önemli sebep budur, ilginiz için teşekkürler.</t>
  </si>
  <si>
    <t>1469756378977910784</t>
  </si>
  <si>
    <t>@drfahrettinkoca @saglikbakanligi Hastanelerin tamamı ticarethaneye dönmüş profesör doktorlarla özel muayenehanesin… https://t.co/oRPR5rOf2L</t>
  </si>
  <si>
    <t>1469756171770867715</t>
  </si>
  <si>
    <t>@drfahrettinkoca Kızımı Konya Beyhekim Hastanesinde muayene ettirdim. Şehre 20 km uzak bir hastane. " Doktor bey ta… https://t.co/LVePcO9WfR</t>
  </si>
  <si>
    <t>1469755692038959120</t>
  </si>
  <si>
    <t>@drfahrettinkoca Hekimlerimiz gerçekten gereksiz tazminatlar ödemesinler, ancak korunmaması gereken fiilleri de korunmasın, lütfen.</t>
  </si>
  <si>
    <t>1469755424664604680</t>
  </si>
  <si>
    <t>@drfahrettinkoca #ÇukurovaBayturinş Sayın Çukurova Holding Yönetim Kurulu Başkanı MEHMET EMİN KARAMEHMET Müdürleri… https://t.co/djoBjJwLA9</t>
  </si>
  <si>
    <t>1469755269076901892</t>
  </si>
  <si>
    <t>@drfahrettinkoca "Bırakınız yapsınlar, bırakınız öldürsünler!" sözünün farklı versiyonu.</t>
  </si>
  <si>
    <t>1469755213246570501</t>
  </si>
  <si>
    <t>@drfahrettinkoca Hekimler aklını basina alsın kimse kimsenin arkasında durmaz bunların lafıyla iş yapmasinlar</t>
  </si>
  <si>
    <t>1469755179948032000</t>
  </si>
  <si>
    <t>@drfahrettinkoca Bizim atamaları takmayıp doktorların yediği davalara odaklanmış. Hocam yaa 😂😂</t>
  </si>
  <si>
    <t>1469755091762790412</t>
  </si>
  <si>
    <t>@drfahrettinkoca @saglikbakanligi Hastanede çalışan hbys yani bilgi işlem personelleri taşeron yasası mağduru yazıl… https://t.co/MHxfXDePDV</t>
  </si>
  <si>
    <t>1469755085865504770</t>
  </si>
  <si>
    <t>@drfahrettinkoca Birileri de sorumluluktan muaf olmak için yeni tezgahlar kuruyor o ihtisas mahkemelerine de bilin… https://t.co/Mpx3bkwvup</t>
  </si>
  <si>
    <t>1469755051853897735</t>
  </si>
  <si>
    <t>@drfahrettinkoca Sayın bakan, tazminat davaları kanun gereği işlemi yapan sağlık çalışanına açılmaz bakanlığa açılı… https://t.co/BUZ7v22PHW</t>
  </si>
  <si>
    <t>1469754994333204480</t>
  </si>
  <si>
    <t>@drfahrettinkoca Sağlık çalışanlarını düşünüyor gibi yapmaniz.. neyse yaaa</t>
  </si>
  <si>
    <t>1469754957687627778</t>
  </si>
  <si>
    <t>@drfahrettinkoca Hekimler aşılarla, tedavi protokolleriyle kaç insanın ölümüne neden oldu.. ?  Bu teşvikler ortaklığınız için mi..</t>
  </si>
  <si>
    <t>1469754822790369285</t>
  </si>
  <si>
    <t>@drfahrettinkoca SEN NE KONUŞUYORSUN BE. AĞIR TAZMİNAT ÖDÜYORSA DEMEKKİ KUSURLU. KUSURLARINI DÜZELTMEK YERİNE NE ANLATIYOR ŞUNA BAK.</t>
  </si>
  <si>
    <t>1469754775629619208</t>
  </si>
  <si>
    <t>@drfahrettinkoca Kılavuz nerede sayın @drfahrettinkoca</t>
  </si>
  <si>
    <t>1469754738094886916</t>
  </si>
  <si>
    <t>@drfahrettinkoca Aşının yan etkilerine ve ölümlü sonuçlarına karşı hazırlanıyorsanız boşuna.. En başta siz, ttb, bi… https://t.co/MKZGNaZh4G</t>
  </si>
  <si>
    <t>1469754584507854850</t>
  </si>
  <si>
    <t>@drfahrettinkoca Sağlık sistemi sadece hekimden oluşmuyor sayın bakan SAĞLIKÇINI yok sayma  #BütçedenSağlığaNetAçıklama</t>
  </si>
  <si>
    <t>1469754318400204803</t>
  </si>
  <si>
    <t>@drfahrettinkoca Bizleri sağlık çalışanı lafı altında birleştirmeyi bırakın artık. Biz sağlık ekip işi biliyoruz za… https://t.co/DlLX7vuh9N</t>
  </si>
  <si>
    <t>1470152010561376268</t>
  </si>
  <si>
    <t>@drfahrettinkoca Sağlık çalışanları ağır tazminata maruz kalmıyor, Hekimler diyecektiniz diliniz sürçtü sayın bakan… https://t.co/TsCmgPcSQ7</t>
  </si>
  <si>
    <t>1470143943866204164</t>
  </si>
  <si>
    <t>@drfahrettinkoca Yorumları okumaya kalbim dayanmadı, tek tek cevap yazcaktım ama muhattap olmak istemiyorum , şu do… https://t.co/Egqc9npfF3</t>
  </si>
  <si>
    <t>1470140400362995722</t>
  </si>
  <si>
    <t>@drfahrettinkoca Buraya da koyayım o sağlık çalışanlarınızdan birini.! https://t.co/nKtYd6dUF3</t>
  </si>
  <si>
    <t>1470135043033030661</t>
  </si>
  <si>
    <t>@drfahrettinkoca Haydi hekimim greve👋👋</t>
  </si>
  <si>
    <t>1470133231999721478</t>
  </si>
  <si>
    <t>@drfahrettinkoca Hekimler ağır davalara maruz kalıyor.. hekimler greve!!!</t>
  </si>
  <si>
    <t>1470133159589289984</t>
  </si>
  <si>
    <t>@drfahrettinkoca Grev zamanı👏👏👏</t>
  </si>
  <si>
    <t>1470133005540896772</t>
  </si>
  <si>
    <t>@drfahrettinkoca Sağlık çalışanlarının bir şey ödediği yok. Ne zaman bir yanlış yapsalar bana böyle dendi, ben bilm… https://t.co/Od4TSvewmu</t>
  </si>
  <si>
    <t>1470132688711569415</t>
  </si>
  <si>
    <t>@drfahrettinkoca Yeni dünya düzeninde insanın sokak hayvanları kadar değeri olmayacak. Efendiler ve köleler olacak</t>
  </si>
  <si>
    <t>1470124261608202248</t>
  </si>
  <si>
    <t>@drfahrettinkoca Yasayı da kendinize göre ayarlayın rahat rahat aşılayın yargılanacaklar başka yolu yok</t>
  </si>
  <si>
    <t>1470098844214075392</t>
  </si>
  <si>
    <t>@drfahrettinkoca Herkesin iyisi var kötüsü var ama sistem iyi değilse iyisi olsanda işe yaramaz. Yani sizin sistem hatalı bakan bey.</t>
  </si>
  <si>
    <t>1470096808080818180</t>
  </si>
  <si>
    <t>@drfahrettinkoca Sayın bakanım sağlık hukukunun  ayrı olarak ele alınması ve sağlık hukuk mahkemelerinin  de ayrı b… https://t.co/ePOX1wZ3HE</t>
  </si>
  <si>
    <t>1470095954846134273</t>
  </si>
  <si>
    <t>@drfahrettinkoca Hekimlerin elini kolunu siz bağlıyorsunuz insanlar size güvenmiyor ve dayattiginiz sağlık sistemin… https://t.co/YHtwA29zuo</t>
  </si>
  <si>
    <t>1470085147840159745</t>
  </si>
  <si>
    <t>@drfahrettinkoca Saygıdeğer,canımızı teslim ettiğimiz sağlık çalışanlarına uzanan eller kırılsın ve hakları verilsin.</t>
  </si>
  <si>
    <t>1470079706217304064</t>
  </si>
  <si>
    <t>@drfahrettinkoca Hakkınız kesinlikle hiçbir zaman ödenmez,,,,,,,,,</t>
  </si>
  <si>
    <t>1469816073176375298</t>
  </si>
  <si>
    <t>@drfahrettinkoca ATANAMAYAN BRANSLARİ DA GORUN LUTFEN ATAMADA ADİL DAGİLİM İSTİYORUZ DİYETİSYENLERE COK SAYİDA ATAM… https://t.co/vZ6uqohZVQ</t>
  </si>
  <si>
    <t>1469802789178122240</t>
  </si>
  <si>
    <t>1469802577940332547</t>
  </si>
  <si>
    <t>@drfahrettinkoca O kadar hak hukuk gozetiyorsaniz abd ve avrupada olduğu gbi kamuoyuna, rna asilarinin yan etkileri… https://t.co/gWNkU4NLJG</t>
  </si>
  <si>
    <t>1469800555526696964</t>
  </si>
  <si>
    <t>@drfahrettinkoca Hangi hukuk??insanlara mahalle baskisiyla yapmaya zorladiginiz,uretici firmalarin ve saglik bakanl… https://t.co/Qg3OaEoQSE</t>
  </si>
  <si>
    <t>1469799628862337025</t>
  </si>
  <si>
    <t>@drfahrettinkoca Her canlı ölümü tadacaktır. O gün, bazıları için,  çok çetin olacak çok. Kimin için çalıyorsan, on… https://t.co/okJkGUexgZ</t>
  </si>
  <si>
    <t>1469798948776951814</t>
  </si>
  <si>
    <t>@drfahrettinkoca Mahkemeler başlamadan adamlarınmı koruyayım diyorsun. İlahi adaletten nasıl kaçacaksınız? Yakıtı t… https://t.co/XrTHwgE4KR</t>
  </si>
  <si>
    <t>1469798261116579854</t>
  </si>
  <si>
    <t>@drfahrettinkoca Caydırıcı bir ceza ve yasa yok, olan yasaları da  uygulayanlar var mı ? Ucu açık ve uygulayanın in… https://t.co/B0nQNyc7vY</t>
  </si>
  <si>
    <t>1469796599123812352</t>
  </si>
  <si>
    <t>@drfahrettinkoca Neden randevu alamıyoruz?</t>
  </si>
  <si>
    <t>1469792548931706881</t>
  </si>
  <si>
    <t>@drfahrettinkoca Sayın bakanım, psikiyatri uzmanıyım, randevulu hastalar dışında, adli vaka,servis konsültasyonu,ac… https://t.co/Kv90wLaHYD</t>
  </si>
  <si>
    <t>1469780958656311297</t>
  </si>
  <si>
    <t>1469776438215823362</t>
  </si>
  <si>
    <t>@drfahrettinkoca 20 bin alım ne demek ikiye bölduk ne demek 40 bin dediniz 10 bin işçi diyip 30 bin yaptınız şimdi… https://t.co/WzVIePdgYz</t>
  </si>
  <si>
    <t>1469775731978817546</t>
  </si>
  <si>
    <t>@drfahrettinkoca Güya 40 bin atama olacaktı. Yazık ettiniz bizi</t>
  </si>
  <si>
    <t>1469773358841610248</t>
  </si>
  <si>
    <t>@drfahrettinkoca O eskiden di şimdi hastaya şiddet var</t>
  </si>
  <si>
    <t>1469772771324579843</t>
  </si>
  <si>
    <t>@drfahrettinkoca @drfahrettinkoca @RTErdogan  siz nasıl insanlarsınız hayatımızı kararttınız gençliğimizi  kanımızı… https://t.co/aYUt37jPDK</t>
  </si>
  <si>
    <t>1469771736862310402</t>
  </si>
  <si>
    <t>@drfahrettinkoca https://t.co/fFqS0ufvbf</t>
  </si>
  <si>
    <t>1469771237576617984</t>
  </si>
  <si>
    <t>@drfahrettinkoca Tüm dünya omicron varyantına karşı tedbir alırken siz ne şekilde test ettiniz de bulaşıcılığının a… https://t.co/88qZkjms10</t>
  </si>
  <si>
    <t>1469771234904887304</t>
  </si>
  <si>
    <t>@drfahrettinkoca omicron açıklamanız nerede? bulaşıcılığının az olduğunu nasıl test ettiniz de bu yargıya vardınız… https://t.co/S5DNfNIhO1</t>
  </si>
  <si>
    <t>1469770437374709761</t>
  </si>
  <si>
    <t>@drfahrettinkoca Sayın bakan, Sağlık çalışanlarından kastınız sadece doktorlar mı?</t>
  </si>
  <si>
    <t>1469769597817606145</t>
  </si>
  <si>
    <t>@drfahrettinkoca Keşke işçi bakanı olsa işçilerin hakkını TBMM'de savunacak biri çıkıp konuşsa</t>
  </si>
  <si>
    <t>1469768432962965511</t>
  </si>
  <si>
    <t>@drfahrettinkoca https://t.co/XSaO0CfFAI</t>
  </si>
  <si>
    <t>1469765265852350467</t>
  </si>
  <si>
    <t>@drfahrettinkoca Çok şımartıyosunuz çoookk sonra hastanın yüzüne bile bakmayacak kadar bir halt sanıyorlar kendilerini.</t>
  </si>
  <si>
    <t>1469762656005406725</t>
  </si>
  <si>
    <t>@drfahrettinkoca iskan konutları 495.000₺ nasıl ödenir biz istemedik zorunlu göçe tabi tutulduk  @RTErdogan… https://t.co/InexCoOXpg</t>
  </si>
  <si>
    <t>1469759848380350473</t>
  </si>
  <si>
    <t>@drfahrettinkoca Oh cok sukur lafta da olsa siddet kelimesini andiniz ama ne olur bu sefer lafta kalmasin allah riz… https://t.co/X5NA7MLsuX</t>
  </si>
  <si>
    <t>1469759038174994444</t>
  </si>
  <si>
    <t>@drfahrettinkoca O doktorlarına söyle hakaret etmesin insanlara insan gibi cevap versin. Daha şikayet dinlemeyen va… https://t.co/WWpy4MqERD</t>
  </si>
  <si>
    <t>1469758031021887493</t>
  </si>
  <si>
    <t>@drfahrettinkoca sonuç göstermek için saatlerce bekledik doktor izin aldı gitti yarın gelin dediler,aynı bölümde 3… https://t.co/VmJo02HuGg</t>
  </si>
  <si>
    <t>1469757334167695370</t>
  </si>
  <si>
    <t>@drfahrettinkoca Sayın bakanım şiddete tabiki karşıyız ama lütfen hastanelerde bu şiddet olayları neden oluyor bir… https://t.co/0rqEeEi3jr</t>
  </si>
  <si>
    <t>1469756987202281477</t>
  </si>
  <si>
    <t>@drfahrettinkoca Sağlıkta şiddetin neden kök analizi yapılmaz. Bu olaylar niçin artıyor? Sebebi ne? Bir yerlerde ha… https://t.co/YqYWuIkm04</t>
  </si>
  <si>
    <t>1469756668883963907</t>
  </si>
  <si>
    <t>@drfahrettinkoca Ya siz koskoca bakansınız birilerine nasihat öneri vereceğinize bi elinizi masaya vurun da arkanızda duralım</t>
  </si>
  <si>
    <t>1469756264049692672</t>
  </si>
  <si>
    <t>@drfahrettinkoca KUSURU VARKİ TAZMİNAT ÖDÜYOR. SEN KUSURU DEĞİLDE DR. CEZADAN KURTARMAYA ÇIKMIŞSIN. BİLİM, TIB MUSA… https://t.co/NXseUcDBsN</t>
  </si>
  <si>
    <t>1469755854513704970</t>
  </si>
  <si>
    <t>@drfahrettinkoca seni seviyoruz Allah razı olsun uykusuz kaldığın geceleride gözlerimin uykusuzluktan kan çanağı ol… https://t.co/kyLCctrMuO</t>
  </si>
  <si>
    <t>1469755794656829444</t>
  </si>
  <si>
    <t>@drfahrettinkoca Hukuk sizden halkı koruyamadı sağlıkçıyı nasıl korusun</t>
  </si>
  <si>
    <t>1469755305441513482</t>
  </si>
  <si>
    <t>@drfahrettinkoca Buraya da koyalım! Sağlıkta şiddette iyi bir örnek. Plaketi hak etmiş değil mi! https://t.co/oxKwkHLovl</t>
  </si>
  <si>
    <t>1470135313704042502</t>
  </si>
  <si>
    <t>@drfahrettinkoca Efendim..?!?! Hukuk mu!?!! Burasi AKPnin kaç yıldır yönettiği Türkiye!</t>
  </si>
  <si>
    <t>1470130792848367629</t>
  </si>
  <si>
    <t>@drfahrettinkoca Suçlular, eninde sonunda yargılanacak. Kanunsuz emir, suçtur. Uyanda suçludur. https://t.co/T9joL9Y0WE</t>
  </si>
  <si>
    <t>1470098034038124546</t>
  </si>
  <si>
    <t>@drfahrettinkoca @doktorersoz Nöbet sırasında bir hekim bakanlık tarafından aranıyor bir hasta yakını size kızmış g… https://t.co/QDzDtsJqCg</t>
  </si>
  <si>
    <t>1470095731516186630</t>
  </si>
  <si>
    <t>@drfahrettinkoca Saldırganlar gereken cezayı alsa yapamazlar.</t>
  </si>
  <si>
    <t>1470088918750138369</t>
  </si>
  <si>
    <t>@drfahrettinkoca Sayın  bakan bu gelecek düzenleme umarım tüm saglik camiası icin olur. Belirli meslek dallarını ön… https://t.co/f7fUHsap3j</t>
  </si>
  <si>
    <t>1469809213048242184</t>
  </si>
  <si>
    <t>@drfahrettinkoca Ama biz size seçimlerde destek olmayacaz.</t>
  </si>
  <si>
    <t>1469799188745666560</t>
  </si>
  <si>
    <t>@drfahrettinkoca Ne kadro ne zam aldık bu mu karşılığı ? #SağlıkcıMaası10bintl #fahrettinkoca</t>
  </si>
  <si>
    <t>1469795538795171843</t>
  </si>
  <si>
    <t>1469791723526275077</t>
  </si>
  <si>
    <t>@drfahrettinkoca Ne güzel kandırdınız umutlarımızla oynadınız  40 bin atama dediniz 10 bini işçi şimdi cıkmış bunun… https://t.co/7FPKbaec3n</t>
  </si>
  <si>
    <t>1469783909793730560</t>
  </si>
  <si>
    <t>@drfahrettinkoca Sağlık çalışanları ezildiği pandemi döneminde bile istediği özlük haklarını alamıyorsa ülkemizin s… https://t.co/G8lIpu2VtO</t>
  </si>
  <si>
    <t>1469783899597381638</t>
  </si>
  <si>
    <t>@drfahrettinkoca İyide abi sonuç ne şimdi???</t>
  </si>
  <si>
    <t>1469782667591929857</t>
  </si>
  <si>
    <t>@drfahrettinkoca sayın bakan kamunun en dusük maaşlı calisanlariyiz bunun uzerine daha fazla birsey söylemenin maal… https://t.co/aq4ZJKdofH</t>
  </si>
  <si>
    <t>1469781730504622090</t>
  </si>
  <si>
    <t>@drfahrettinkoca "Hastaneden arıyorum. Siz 112'yi şikâyet etmişsiniz. Biz 112'yle ilgilenmiyoruz" diyor.   "Kalp kr… https://t.co/uGNknR2TWp</t>
  </si>
  <si>
    <t>1469781660401115140</t>
  </si>
  <si>
    <t>@drfahrettinkoca https://t.co/TS0OiQzWyo</t>
  </si>
  <si>
    <t>1469781170229551105</t>
  </si>
  <si>
    <t>@drfahrettinkoca @drfahrettinkoca sayın bakan kadroyu alınmayı beklerken saçma sapan 2 maddeyle kadroya alınmayan h… https://t.co/Qo1ia72ykj</t>
  </si>
  <si>
    <t>1469779743226712067</t>
  </si>
  <si>
    <t>1469776467349356545</t>
  </si>
  <si>
    <t>@drfahrettinkoca Bahsettiğiniz "Sağlık çalışanları" kapsamına giriryor muyuz? Maaş ve özlük hakları, günün birinde… https://t.co/mKYelLRkzO</t>
  </si>
  <si>
    <t>1469771870442561548</t>
  </si>
  <si>
    <t>@drfahrettinkoca @drfahrettinkoca @RTErdogan  siz nasıl insanlarsınız hayatımızı kararttınız gençliğimizi  kanımızı… https://t.co/S4gn1YdocG</t>
  </si>
  <si>
    <t>1469771766075695120</t>
  </si>
  <si>
    <t>@drfahrettinkoca Yine sağlık çalışanı deyip de tüm personeli üvey evlat yerine koymayın sonra</t>
  </si>
  <si>
    <t>1469771449208651776</t>
  </si>
  <si>
    <t>@drfahrettinkoca https://t.co/7IUz355OFy</t>
  </si>
  <si>
    <t>1469771263577051139</t>
  </si>
  <si>
    <t>@drfahrettinkoca Ortak irade !!!!!!!</t>
  </si>
  <si>
    <t>1469771121444667395</t>
  </si>
  <si>
    <t>@drfahrettinkoca @saglikbakanligi Atanamayan sağlık çalışanları hakları ne olacak@drfahrettinkocaistifa</t>
  </si>
  <si>
    <t>1469767710347309058</t>
  </si>
  <si>
    <t>@drfahrettinkoca EŞİT İŞE EŞİT HAK İSTİYORUZ 8 YILDIR  POZİTİF AYRIMCILIKDEGİL SADECE EŞİTLİK.  benden SONRA atanan… https://t.co/UmHMFyBECI</t>
  </si>
  <si>
    <t>1469767614385766414</t>
  </si>
  <si>
    <t>@drfahrettinkoca 2013 de kadro verildi 2016dan sonra diyanette, sağlıkta atananlara 3 yıl sonra kadro verildi 4+2li… https://t.co/pttPbrwlmQ</t>
  </si>
  <si>
    <t>1469767323464744970</t>
  </si>
  <si>
    <t>@drfahrettinkoca Hikaye boş konusma</t>
  </si>
  <si>
    <t>1469767269542682624</t>
  </si>
  <si>
    <t>1469767032321290241</t>
  </si>
  <si>
    <t>@drfahrettinkoca Size ...  ( Ben ve az sayıdaki arkadaşımın zulmü duyurmak için çaba sarfettiği bu süreçte, bir beğ… https://t.co/mkE6kqeFZZ</t>
  </si>
  <si>
    <t>1469765853658890245</t>
  </si>
  <si>
    <t>@drfahrettinkoca Sayın bakan eğer sağlık personellerini düşünüyorsanız işe ilk önce 2020 Ocak ayında müjde diyerek… https://t.co/rbw9awQinF</t>
  </si>
  <si>
    <t>1469765196017192972</t>
  </si>
  <si>
    <t>@drfahrettinkoca İşçilerden gasp edilen gece farkları ve ödenmeyen fazla mesailer ne olacak ondan da iki kelam etseniz.</t>
  </si>
  <si>
    <t>1469764504997314570</t>
  </si>
  <si>
    <t>@drfahrettinkoca https://t.co/ko2s6PSEhD</t>
  </si>
  <si>
    <t>1469762518088392707</t>
  </si>
  <si>
    <t>@drfahrettinkoca Mülakatsız Ünvan Değişikliği: Toplu Sözleşmenin gereğini bekliyoruz.</t>
  </si>
  <si>
    <t>1469761555445305345</t>
  </si>
  <si>
    <t>@drfahrettinkoca Lütfen sesimizi duyun  https://t.co/OjzPD9ex6X</t>
  </si>
  <si>
    <t>1469760522199478272</t>
  </si>
  <si>
    <t>@drfahrettinkoca Eee sonuc , haklarimiz odenmez 👏👏👏👏</t>
  </si>
  <si>
    <t>1469760440876032020</t>
  </si>
  <si>
    <t>@drfahrettinkoca Süresiz sözleşmeli sağlık personeli kadro bekliyor sayın bakanım</t>
  </si>
  <si>
    <t>1469760193898717193</t>
  </si>
  <si>
    <t>@drfahrettinkoca Bakanım biz iki yıldır vatan millet aşkına çalışıyoruz sesimiz çıkmıyor iki kere alkışladınız o da… https://t.co/tSRsphaO18</t>
  </si>
  <si>
    <t>1469760035102281730</t>
  </si>
  <si>
    <t>@drfahrettinkoca Peki çalışmak için can atan, bir yılı aşkın bir süredir bekleyen sağlıkçılar!!! Neden görmezden geliyorsunuz bizi</t>
  </si>
  <si>
    <t>1469759755950436368</t>
  </si>
  <si>
    <t>@drfahrettinkoca Özel hastanelerde çalışanlar da bu haklardan faydalanmali</t>
  </si>
  <si>
    <t>1469759284770660353</t>
  </si>
  <si>
    <t>@drfahrettinkoca Umarım hakkımız alınterimiz verilir</t>
  </si>
  <si>
    <t>1469759276860248064</t>
  </si>
  <si>
    <t>@drfahrettinkoca Maaşları asgari ücretin altında kalacak çabanız hep birlikte görücez</t>
  </si>
  <si>
    <t>1469759253116293130</t>
  </si>
  <si>
    <t>@drfahrettinkoca @drfahrettinkoca  sağlık çalışanı dediğiniz sadece hekim değil, hemşiresi,ebesi,laboranti,yardımcı… https://t.co/rbxLq6OUGD</t>
  </si>
  <si>
    <t>1469758239298490378</t>
  </si>
  <si>
    <t>@drfahrettinkoca Umarım bu dediklerinizden reyizin bilgisi vardır. Azar işitirsiniz mazallah. Üzülüyoruz millet olarak bakanım.</t>
  </si>
  <si>
    <t>1469757835345080324</t>
  </si>
  <si>
    <t>@drfahrettinkoca Hastaneden randevu alabilelim hastalıklarımıza çare arayalım.  Özel Hastaneker açık pandemi varsa… https://t.co/9MY1lMy9Uv</t>
  </si>
  <si>
    <t>1469757658169323520</t>
  </si>
  <si>
    <t>@drfahrettinkoca Sağlıkçılar arasında ayrım yapmayalım. Cimer bavsurusu yapıyoruz.  Psikologlar ,biyologlar ,tıbbi… https://t.co/0Vg4FurEho</t>
  </si>
  <si>
    <t>1469757446675644419</t>
  </si>
  <si>
    <t>@drfahrettinkoca Biraz delikanli olda sağık çalısanları kim bi söylede herkes kim saglikci kim saglikci degil bilsi… https://t.co/o3ywGfwdWD</t>
  </si>
  <si>
    <t>1469756653767643138</t>
  </si>
  <si>
    <t>@drfahrettinkoca Doktor bey  diyorum olmuyor Bakanım diyorum olmuyor.  Duymuyorsunuz bile  Lütfen hastaların yararı… https://t.co/IfsIbq3tay</t>
  </si>
  <si>
    <t>1469756569973891077</t>
  </si>
  <si>
    <t>@drfahrettinkoca çalışma alanına yeni istihdam sağlanması da sağlık çalışanın hakkıdır @drfahrettinkoca  #BütçedenSağlığaNetAçıklama</t>
  </si>
  <si>
    <t>1469756001696071680</t>
  </si>
  <si>
    <t>@drfahrettinkoca Tamamı emekliliğe yansıtılmış, yoksulluk sınırının üzerinde,3600 ek göstergeli, seyyanen zamla des… https://t.co/9Z0FGhDAIn</t>
  </si>
  <si>
    <t>1469755301868060672</t>
  </si>
  <si>
    <t>@drfahrettinkoca Sayın bakan Hastanelerin beyin takımı HBYS Bilgi işlem çalışanlarına söz verilen kadroyu ne zaman… https://t.co/UT9rj7K4Om</t>
  </si>
  <si>
    <t>1469755146657845256</t>
  </si>
  <si>
    <t>@drfahrettinkoca Ne zaman Hastanelerin beyin takımı HBYS Bilgi işlem çalışanlarına söz verilip ama tutulmayan  kadr… https://t.co/asq7TlaBcn</t>
  </si>
  <si>
    <t>1469754900397633539</t>
  </si>
  <si>
    <t>@drfahrettinkoca Bu laf kalabalıklarından bir şey anlamıyoruz net net konuşun artık. Sağlıkçılara zam yapıldı mı? Y… https://t.co/CLObM0ImyG</t>
  </si>
  <si>
    <t>1469754894303256590</t>
  </si>
  <si>
    <t>@drfahrettinkoca Abi ne anlatttı ? Cidden anlayamıyorum.</t>
  </si>
  <si>
    <t>1469754669656326145</t>
  </si>
  <si>
    <t>@drfahrettinkoca Atanamayan sağlıkçıya umut aşıladınız halen yaptığınız bir şey yok Kılavuzu açıklamadınız Soruyoru… https://t.co/BtQp5CcEOG</t>
  </si>
  <si>
    <t>1469754653164322823</t>
  </si>
  <si>
    <t>@drfahrettinkoca Ne zaman Hastanelerin beyin takımı HBYS Bilgi işlem çalışanlarına söz verdiğiniz kadroyu vereceksi… https://t.co/5C9Tmr6qwQ</t>
  </si>
  <si>
    <t>1469754607169679366</t>
  </si>
  <si>
    <t>@drfahrettinkoca @drfahrettinkoca ben bu şekildeki konuşmalara alışığım bakanım. Öv öv sonra sağlıkçıya maddi manev… https://t.co/GMHdXlqxe4</t>
  </si>
  <si>
    <t>1469754358803881994</t>
  </si>
  <si>
    <t>@drfahrettinkoca Ne söyledin ? Sen ne söyledin bunlara ? Ne söyledi size ? Rakam telafuz ettin mi ? 🙈🙈🙈</t>
  </si>
  <si>
    <t>1469754344966926340</t>
  </si>
  <si>
    <t>@drfahrettinkoca Ne zaman duyup göreceksiniz 4 yıl önce HBYS Bilgi işlem çalışanlarına siz söz vermediniz mi ?… https://t.co/TdyuSU1IIU</t>
  </si>
  <si>
    <t>1469754318194675720</t>
  </si>
  <si>
    <t>@drfahrettinkoca SN :BAKANIM SAGLIK BAKANLIGI VE BAGLI KURUMLAR DA GECE GÜNDÜZ DEMEDEN COVİD19 DEMEDEN ÇALIŞAN KADR… https://t.co/1geqS7Fl5a</t>
  </si>
  <si>
    <t>1469754281771290627</t>
  </si>
  <si>
    <t>@drfahrettinkoca Ne zaman duyup göreceksiniz 4 yıl önce HBYS Bilgi işlem çalışanlarına siz söz vermediniz mi ?… https://t.co/YeNgjCF1og</t>
  </si>
  <si>
    <t>1469754238163169282</t>
  </si>
  <si>
    <t>@drfahrettinkoca Bence siz sadece hekim olarak konuşun sayın bakan🙄</t>
  </si>
  <si>
    <t>1469803373729828869</t>
  </si>
  <si>
    <t>@drfahrettinkoca Hipokrat yemini etmiş bir hekimliğini hiç görmedik.Ama aşı şirketlerinin mümessili gibi çok çalıştınız.</t>
  </si>
  <si>
    <t>1469799824266608640</t>
  </si>
  <si>
    <t>@drfahrettinkoca Bebeklere deney yapan adama ne oldu</t>
  </si>
  <si>
    <t>1469798668756791316</t>
  </si>
  <si>
    <t>@drfahrettinkoca 30000 sayı verip sevindirip sonra böldük demeniz yakışmadı bakanım bu kadar heyecanla bekleyen ins… https://t.co/md5BY2l5mz</t>
  </si>
  <si>
    <t>1469797189249556486</t>
  </si>
  <si>
    <t>@drfahrettinkoca bakanım sağlık kurulu randevusu  20 gündden fazla  oldu alamıyorum  her perşembe ve salı gidiyorum… https://t.co/snoGZnPbOU</t>
  </si>
  <si>
    <t>1469796463098179590</t>
  </si>
  <si>
    <t>@drfahrettinkoca Bu hafta 26 TL giyim yardımı yatmış. Uzm dr olarak ne alsam diye düşünüyorum 26 TL ile fena para değil.</t>
  </si>
  <si>
    <t>1469792329104076800</t>
  </si>
  <si>
    <t>1469791696347095044</t>
  </si>
  <si>
    <t>@drfahrettinkoca Utanıyorum artık gerçekten</t>
  </si>
  <si>
    <t>1469783061361573888</t>
  </si>
  <si>
    <t>@drfahrettinkoca Hani hekimler ayrıştırma yapmazdı? Şimdiki doktorlarınızın birçoğu her yönüyle ayrıştırma yapıyor.… https://t.co/AodvETtOyR</t>
  </si>
  <si>
    <t>1469779277382094848</t>
  </si>
  <si>
    <t>@drfahrettinkoca Bunun yapmadığını yapana doktor denir. Olay bu</t>
  </si>
  <si>
    <t>1469778098816229387</t>
  </si>
  <si>
    <t>@drfahrettinkoca Bende senden nefret ede biri olarak bulunuyorum burda</t>
  </si>
  <si>
    <t>1469777931199201282</t>
  </si>
  <si>
    <t>@drfahrettinkoca Yani sizin yapmadığınızı yapandır doktor. #VakalarArtmadanEğitimUzaktan</t>
  </si>
  <si>
    <t>1469777187171672069</t>
  </si>
  <si>
    <t>1469776496252403719</t>
  </si>
  <si>
    <t>@drfahrettinkoca Bayramlarda bile günde 16 şeker verilmeyen bir ülkede, bir günde 16 ilacı bize nasıl kakaladiniz!!… https://t.co/MxmkuPyarD</t>
  </si>
  <si>
    <t>1469776426660507648</t>
  </si>
  <si>
    <t>@drfahrettinkoca Doktorlar kan ağlıyor sayın bakanım</t>
  </si>
  <si>
    <t>1469775569713876995</t>
  </si>
  <si>
    <t>@drfahrettinkoca Hemşirelerin ve diğer sağlık mensuplarının  şefkati,merhameti,vicdanı  yok mu sadece helimlerimizi… https://t.co/cjntbIgDy4</t>
  </si>
  <si>
    <t>1469775555591557127</t>
  </si>
  <si>
    <t>@drfahrettinkoca UZAKTAN EĞİTİM</t>
  </si>
  <si>
    <t>1469774446986764301</t>
  </si>
  <si>
    <t>@drfahrettinkoca Yok dedim bu sefer aynı olmayacak, gençlere kıymet verdiler 40 bin dediler yaparlar dedim,sonuç ko… https://t.co/vXH5U6SqSR</t>
  </si>
  <si>
    <t>1469774438140977162</t>
  </si>
  <si>
    <t>@drfahrettinkoca sayın bakanım sizde doktor olduğunuza pişman mısınız,hitabetiniz iyi edebi yanınızda güçlü,şairlik… https://t.co/jOpf6cnaYi</t>
  </si>
  <si>
    <t>1469774042509066247</t>
  </si>
  <si>
    <t>@drfahrettinkoca 40 bin diye açıklama yapıp sayıyı 20 bine kadar düşürdünüz! hepinize haram olsun hakkımız! biz gen… https://t.co/FCbw4b4EP5</t>
  </si>
  <si>
    <t>1469771955377168395</t>
  </si>
  <si>
    <t>@drfahrettinkoca @drfahrettinkoca @RTErdogan  siz nasıl insanlarsınız hayatımızı kararttınız gençliğimizi  kanımızı… https://t.co/aUlaEfWJVt</t>
  </si>
  <si>
    <t>1469771796497014784</t>
  </si>
  <si>
    <t>@drfahrettinkoca Ne güzeldi eskiden sağlık sistemi. Hastaneler ağır gibiydi, insanların içinde ameliyat makasları,… https://t.co/7wBFinfZol</t>
  </si>
  <si>
    <t>1469771133922725888</t>
  </si>
  <si>
    <t>@drfahrettinkoca Hakkında 1200 tane şikayet olan sultanagize deki psikopat iki doktoru da kouyuyorsun değil mi bu k… https://t.co/VJyHkHFYa1</t>
  </si>
  <si>
    <t>1469770882923085824</t>
  </si>
  <si>
    <t>@drfahrettinkoca Ha doktor,ha doktor bakanı ne fark ettiki</t>
  </si>
  <si>
    <t>1469768599074226176</t>
  </si>
  <si>
    <t>@drfahrettinkoca @saglikbakanligi Atanamayan sağlık çalışanları hakları ne olacak</t>
  </si>
  <si>
    <t>1469767310147735559</t>
  </si>
  <si>
    <t>@drfahrettinkoca İki yıldır sağlık çalışanları ile hastaları birbirine düşürdünüz. İnsanlar da saygı, sevgi, tahamm… https://t.co/WvNtCxA6d9</t>
  </si>
  <si>
    <t>1469764542263701506</t>
  </si>
  <si>
    <t>@drfahrettinkoca Annem 78 yaşında 4 evre göğüs kanseri kalp'de ve böbrekte sorun var Ankara şehir Hastanesi'nde yat… https://t.co/R9CeSrWpE1</t>
  </si>
  <si>
    <t>1469763335889600513</t>
  </si>
  <si>
    <t>@drfahrettinkoca Şok içerisindeyim ama mesleğinizi hatırlamanıza da  sevindim. Ne yazık ki bu dönemde nedense bizle… https://t.co/x94mB78POe</t>
  </si>
  <si>
    <t>1469762107658936326</t>
  </si>
  <si>
    <t>@drfahrettinkoca Yani bu ülkede sadece doktorluk mu yapılacak sayın bakanım. Diğer çalışanlara haksızlık değil mi b… https://t.co/9SS5mCrIUW</t>
  </si>
  <si>
    <t>1469761047552827394</t>
  </si>
  <si>
    <t>@drfahrettinkoca Sma çocuklari unuttunuz 😢  https://t.co/OjzPD9ex6X</t>
  </si>
  <si>
    <t>1469760426934214661</t>
  </si>
  <si>
    <t>@drfahrettinkoca Yok o oyle degil evet hekimler basimizin taci ama saglik ekip isidir bir hepimizi bir ekip iz siz… https://t.co/J9Xd88FSKf</t>
  </si>
  <si>
    <t>1469758313856438273</t>
  </si>
  <si>
    <t>@drfahrettinkoca Hemşire olmayın da ne olursanız olun .</t>
  </si>
  <si>
    <t>1469757789270593546</t>
  </si>
  <si>
    <t>@drfahrettinkoca Yani sonuç, ölme eşeğim ölme...</t>
  </si>
  <si>
    <t>1469757031682920452</t>
  </si>
  <si>
    <t>@drfahrettinkoca Sayın bakanım, lütfen bi zahmet bi ara bi devlet hastanesinden bi randevu alın. Bakın bakalım o do… https://t.co/LnG9ZNM9Db</t>
  </si>
  <si>
    <t>1469756005810679817</t>
  </si>
  <si>
    <t>@drfahrettinkoca Gerçekten virgül, nokta ne işe yarar bilmiyor musunuz?</t>
  </si>
  <si>
    <t>1469755687030951945</t>
  </si>
  <si>
    <t>@drfahrettinkoca bizde ki doktorların çoğu kendini doktor değil veteriner sanıyor bizi de hayvan yerine koyuyor, ha… https://t.co/ZH6SqYwYrW</t>
  </si>
  <si>
    <t>1469755201158582275</t>
  </si>
  <si>
    <t>@drfahrettinkoca @saglikbakanligi Siz COVİD bakanı degilmisiniz???ne ara sağlık bakanı oldunuz???</t>
  </si>
  <si>
    <t>1469754537237962754</t>
  </si>
  <si>
    <t>@drfahrettinkoca Sevgi istemiyoruz  azcık saygı gösterseler  keşke .2 yıldır kronik hastalıkları olanlar  kontrol o… https://t.co/I1zg9RhspA</t>
  </si>
  <si>
    <t>1470150546468360196</t>
  </si>
  <si>
    <t>@drfahrettinkoca Mesleğini izah etmek için 5 saniyede bir önündeki kağıda bakan bozuk Türkçeli adamla pandemi geçirdik.. 😁</t>
  </si>
  <si>
    <t>1470148935641616388</t>
  </si>
  <si>
    <t>@drfahrettinkoca Haftalardır sesimizi duymuyorsunuz adeta kör, sağır oldunuz.. Konu hekimler olunca çıkıveriyorsunu… https://t.co/TtYAIw2eYG</t>
  </si>
  <si>
    <t>1470131074114142210</t>
  </si>
  <si>
    <t>@drfahrettinkoca Üniversite hastanesinde hocalara muayene olamıyoruz, neden çünkü mesai saatinde hocalar özel hasta… https://t.co/16jaskePnR</t>
  </si>
  <si>
    <t>1470115921876430871</t>
  </si>
  <si>
    <t>@drfahrettinkoca Üniversite hastanelerinde vip hastalar bakıldı, Anadolu insanının suçu neydi, yada Üniversite hast… https://t.co/gFiIGMltgm</t>
  </si>
  <si>
    <t>1470115472498737153</t>
  </si>
  <si>
    <t>@drfahrettinkoca Devlet hastanelerinde covit farki ödediniz üniversite hastanelerinde yönetim kuruluna bu kararı bı… https://t.co/T5zfuqo9Zi</t>
  </si>
  <si>
    <t>1470114656694030336</t>
  </si>
  <si>
    <t>@drfahrettinkoca Üniversite hastanesinde kadrolu hemsireyim ama atanıp başka kuruma gacemiyorum. Eş durumu tayini i… https://t.co/BBBBGfyoRA</t>
  </si>
  <si>
    <t>1470114243261485063</t>
  </si>
  <si>
    <t>@drfahrettinkoca Dr, hekim   dr, hekim  saglik dediğinizde aklınıza sadece dr geliyor. Keşke dr bakanlığı ve saglik… https://t.co/KhQLm08Pb5</t>
  </si>
  <si>
    <t>1470113666548834304</t>
  </si>
  <si>
    <t>@drfahrettinkoca Ya bi gidin artık, yoksa biz bitiyoruz…</t>
  </si>
  <si>
    <t>1470100830229573637</t>
  </si>
  <si>
    <t>@drfahrettinkoca Okulu kapatın yav yeter kovit olacaz yav</t>
  </si>
  <si>
    <t>1470084253283139590</t>
  </si>
  <si>
    <t>@drfahrettinkoca https://t.co/h5iFLoQR81</t>
  </si>
  <si>
    <t>1470515381378899976</t>
  </si>
  <si>
    <t>@drfahrettinkoca Sayın bakanım Hastanelere verdiğimiz tıbbi malzemelerin ödemesini 18 aydır alamıyoruz. Bu bütçede… https://t.co/IKAop0ZsHC</t>
  </si>
  <si>
    <t>1469816204588105731</t>
  </si>
  <si>
    <t>@drfahrettinkoca Engelli sağlıkçılar 4 yıldır verilmeyen kadrolara atanmak istiyor🇹🇷🇹🇷🇹🇷🇹🇷🇹🇷🇹🇷🇹🇷🇹🇷🇹🇷🇹🇷🇹🇷🇹🇷🇹🇷🇹🇷🇹🇷🇹🇷… https://t.co/d0NSPBhTmy</t>
  </si>
  <si>
    <t>1469810388309000196</t>
  </si>
  <si>
    <t>@drfahrettinkoca Engelli sağlıkçılar 4 yıldır verilmeyen kadrolara atanmak istiyor🇹🇷🇹🇷🇹🇷🇹🇷🇹🇷🇹🇷🇹🇷🇹🇷🇹🇷🇹🇷🇹🇷🇹🇷🇹🇷🇹🇷🇹🇷🇹🇷… https://t.co/cPmspck8Hs</t>
  </si>
  <si>
    <t>1469809994585587718</t>
  </si>
  <si>
    <t>@drfahrettinkoca Engelli sağlıkçılar 4 yıldır verilmeyen kadrolara atanmak istiyor🇹🇷🇹🇷🇹🇷🇹🇷🇹🇷🇹🇷🇹🇷🇹🇷🇹🇷🇹🇷🇹🇷🇹🇷🇹🇷🇹🇷🇹🇷🇹🇷… https://t.co/rCl0hybbVU</t>
  </si>
  <si>
    <t>1469809902537302025</t>
  </si>
  <si>
    <t>@drfahrettinkoca Engelli sağlıkçılar 4 yıldır verilmeyen kadrolara atanmak istiyor🇹🇷🇹🇷🇹🇷🇹🇷🇹🇷🇹🇷🇹🇷🇹🇷🇹🇷🇹🇷🇹🇷🇹🇷🇹🇷🇹🇷🇹🇷🇹🇷… https://t.co/7ofKQunOcQ</t>
  </si>
  <si>
    <t>1469809869599514624</t>
  </si>
  <si>
    <t>@drfahrettinkoca Engelli sağlıkçılar 4 yıldır verilmeyen kadrolara atanmak istiyor🇹🇷🇹🇷🇹🇷🇹🇷🇹🇷🇹🇷🇹🇷🇹🇷🇹🇷🇹🇷🇹🇷🇹🇷🇹🇷🇹🇷🇹🇷🇹🇷… https://t.co/GCVjlVroOT</t>
  </si>
  <si>
    <t>1469809840256176141</t>
  </si>
  <si>
    <t>@drfahrettinkoca Külahımı kaybettim bulamıyorum sayın bakan. Bulsam inancam külahımı ama. Ne yazık ki yok. Dünya co… https://t.co/1568vJ076W</t>
  </si>
  <si>
    <t>1469807831750791168</t>
  </si>
  <si>
    <t>@drfahrettinkoca Sn bakanım ihtimattan aldığım 12 TL lik yoğurt dün aldım 18 TL olmuş. Süt 15/18 diyorlar litresi a… https://t.co/2jFUfqZOge</t>
  </si>
  <si>
    <t>1469807527235833857</t>
  </si>
  <si>
    <t>@drfahrettinkoca doktor kızım yurt dışına çıktığında kurban keseceğim..size de bir parça göndereceğim sayın bakan..!!</t>
  </si>
  <si>
    <t>1469807496231591937</t>
  </si>
  <si>
    <t>@drfahrettinkoca Hepsini bırakın vicdan merhamet olsa idi yeterdi</t>
  </si>
  <si>
    <t>1469805992867160064</t>
  </si>
  <si>
    <t>@drfahrettinkoca İmkanımız bu deyip geçin, gerisine inanan bulunur fakat doğru olmaz.Emekli1defa acile gittim, 200… https://t.co/6pxvJo6kIN</t>
  </si>
  <si>
    <t>1469805801640448000</t>
  </si>
  <si>
    <t>@drfahrettinkoca Bu bütçede hakkaniyet ve adil gelir dağılımı da var mı sayın bakan??</t>
  </si>
  <si>
    <t>1469805306200956935</t>
  </si>
  <si>
    <t>@drfahrettinkoca Sayin Bakan,o yüzdenmi doktorlara zam var da, Hemsire ve diger saglik calisanlarina yok. Birakin b… https://t.co/CxmWerDT70</t>
  </si>
  <si>
    <t>1469803601698734091</t>
  </si>
  <si>
    <t>@drfahrettinkoca Konuşurken reisten izin aldın mı bak sonra rezil ediyor seni.</t>
  </si>
  <si>
    <t>1469803159069638656</t>
  </si>
  <si>
    <t>@drfahrettinkoca Biz niye göremedik</t>
  </si>
  <si>
    <t>1469799933704384519</t>
  </si>
  <si>
    <t>@drfahrettinkoca Ya sizin varya yatacak yeriniz yok insanları kaç aydır bekletiyosunuz.Diyorsunuz ki atama sayısını… https://t.co/y6XeT9NBKP</t>
  </si>
  <si>
    <t>1469794701268201478</t>
  </si>
  <si>
    <t>@drfahrettinkoca Bir kamu dışı aile sağlığı çalışanı olarak size hakkımı helal etmiyorum...... Biz sağlıkta en ön s… https://t.co/BQGXuAxXMc</t>
  </si>
  <si>
    <t>1469793528888926209</t>
  </si>
  <si>
    <t>1469791670296326148</t>
  </si>
  <si>
    <t>@drfahrettinkoca Yav he he</t>
  </si>
  <si>
    <t>1469790524668264452</t>
  </si>
  <si>
    <t>@drfahrettinkoca Sayın Bakanım, Zolgensma ilacı ile ilgili gelişmeleri bekliyoruz, lütfen binlerce evladımız ın umu… https://t.co/R7Tm0vL06r</t>
  </si>
  <si>
    <t>1469790096765378561</t>
  </si>
  <si>
    <t>@drfahrettinkoca Bizim hakımızı bize vermiyorsunuz ..sağlık çalışanının ne kadar maddı olarak hakkını versenız de b… https://t.co/hLSE5pIdyz</t>
  </si>
  <si>
    <t>1469782995192139780</t>
  </si>
  <si>
    <t>@drfahrettinkoca Ne merhameti ne vicdanı kime neyi anlatıyorsun sen Sağlıkçı senden nefret ediyor aileleride öyle h… https://t.co/W9LdZ4NHtP</t>
  </si>
  <si>
    <t>1469781730869788672</t>
  </si>
  <si>
    <t>@drfahrettinkoca Bu bütcede diyetisyen yok, sağlıkçı yok, gençlerin umudu yok.</t>
  </si>
  <si>
    <t>1469781657423077376</t>
  </si>
  <si>
    <t>@drfahrettinkoca Bu bütçede tutulmayan sözler, atanamayan sağlıkçılar ve  onların ahı da var onu yazmayı unutmuşsun… https://t.co/CqhaNEUMsi</t>
  </si>
  <si>
    <t>1469780347244236800</t>
  </si>
  <si>
    <t>@drfahrettinkoca 254 milyar TL faiz var. Bu milletin faize gidecek alın teri var. Neyi ballandırıyorsun? Bu bütçede… https://t.co/PeHKGz74dw</t>
  </si>
  <si>
    <t>1469780253098795020</t>
  </si>
  <si>
    <t>@drfahrettinkoca insanları siz ötekileştirdiniz  simdi vicdanmı  diyorsunuz   fahrettin koca cehennem sıcaktır cehe… https://t.co/iGX7g4c05P</t>
  </si>
  <si>
    <t>1469777989231599624</t>
  </si>
  <si>
    <t>@drfahrettinkoca Bunların cebini mi dolduracaksınız ? https://t.co/xI45pC4R2X</t>
  </si>
  <si>
    <t>1469777432647454725</t>
  </si>
  <si>
    <t>@drfahrettinkoca Önce 40 bin kişi dediniz 10 bini işçi çıktı şimdi de alımı bölüyorsunuz Yüzünüzü bile gormek istem… https://t.co/V4NdUHzFWZ</t>
  </si>
  <si>
    <t>1469775299898449922</t>
  </si>
  <si>
    <t>@drfahrettinkoca Omicron varyantına göre eğitim online a dönmeli</t>
  </si>
  <si>
    <t>1469775295993552902</t>
  </si>
  <si>
    <t>@drfahrettinkoca Gölge etme başka ihsan istemez...</t>
  </si>
  <si>
    <t>1469775006821502980</t>
  </si>
  <si>
    <t>@drfahrettinkoca Butcede hemsire yok, masa basi calisan memurdan az aliyorum. Gece ve riskli vardiya calisiyoruz. N… https://t.co/aYyf6lV3a1</t>
  </si>
  <si>
    <t>1469773511992430604</t>
  </si>
  <si>
    <t>@drfahrettinkoca Emir kulu zavallı. https://t.co/qBGUkxj9q7</t>
  </si>
  <si>
    <t>1469773451007254539</t>
  </si>
  <si>
    <t>@drfahrettinkoca Plandemi yalanlarıyla hastaneye ayakta girip ölü çıkan,aşı yla ölen insanların hesabını bir gün ve… https://t.co/Aaz0rbLw0p</t>
  </si>
  <si>
    <t>1469772429585223681</t>
  </si>
  <si>
    <t>@drfahrettinkoca @vedatbilgn @drfahrettinkoca @ssbsemihdurmus @_aliyalcin_              Yeni yapılacak düzenlemede… https://t.co/kcCExZSNod</t>
  </si>
  <si>
    <t>1469772028735635464</t>
  </si>
  <si>
    <t>@drfahrettinkoca @drfahrettinkoca @RTErdogan  siz nasıl insanlarsınız hayatımızı kararttınız gençliğimizi  kanımızı… https://t.co/CrQFrJlJ46</t>
  </si>
  <si>
    <t>1469771823629971461</t>
  </si>
  <si>
    <t>@drfahrettinkoca Bu bütçe de atama bekleyen insanların hakkı var  Atama yapacaz diye umut verdiğiniz ve umutlarını yıktığınız insanlar var</t>
  </si>
  <si>
    <t>1469771577050947595</t>
  </si>
  <si>
    <t>@drfahrettinkoca Ama bütçede #tıbbicihaz  ödemeleri yok sayın bakanım</t>
  </si>
  <si>
    <t>1469771284758380552</t>
  </si>
  <si>
    <t>@drfahrettinkoca Zehir zıkkım olsun DSÖ nun köleliğini bizim paralarimizla yapıyorsunuz aşılar ile ilaçlar ile öldü… https://t.co/8w0jVCwkxV</t>
  </si>
  <si>
    <t>1469771203883720715</t>
  </si>
  <si>
    <t>@drfahrettinkoca İnancım kalmadı şahsım adına. Çok guzel birbirimize düşürdünüz zaten bütün değildik hepten dağıldık.</t>
  </si>
  <si>
    <t>1469770212924956675</t>
  </si>
  <si>
    <t>@drfahrettinkoca Ha ha replikler ayni merkezden yazılıyormuş. Bir ünlü prof covid aşıları, tedavileri için de buna… https://t.co/0pMy88pwbQ</t>
  </si>
  <si>
    <t>1469769471292235780</t>
  </si>
  <si>
    <t>@drfahrettinkoca Bakanım şuna eminiz devletin kasası boşaldı atama yapamayacak kadar hemde Mart ayına kadar inşallah kaynak bulunur</t>
  </si>
  <si>
    <t>1469768347264991238</t>
  </si>
  <si>
    <t>@drfahrettinkoca Bakan istifa</t>
  </si>
  <si>
    <t>1469767837665398795</t>
  </si>
  <si>
    <t>@drfahrettinkoca 259 milyar lira. Eskiyi yazalım çarpıcı olsun. 259 katrilyon. Sağlık harcaması. Tüik verisi. Bunu… https://t.co/b0NfkanJCW</t>
  </si>
  <si>
    <t>1469767834414862336</t>
  </si>
  <si>
    <t>@drfahrettinkoca Hekim var mı sayın bakanım???</t>
  </si>
  <si>
    <t>1469767427076599812</t>
  </si>
  <si>
    <t>@drfahrettinkoca Emin misiniz Bakan Bey? 😁</t>
  </si>
  <si>
    <t>1469767096074752005</t>
  </si>
  <si>
    <t>@drfahrettinkoca @saglikbakanligi Atama zamanı belirlensin artık,binlerce insan sizin bir şey söylemeniz bekliyor ,… https://t.co/FhzGN70fxF</t>
  </si>
  <si>
    <t>1469767030781919235</t>
  </si>
  <si>
    <t>@drfahrettinkoca Bizden önce atananlar 2013 de kadro aldı. Bizden sonra atananlar 2016dan sonra 3+1 yıl sonra kadro… https://t.co/mS9PTajHB1</t>
  </si>
  <si>
    <t>1469766364395192327</t>
  </si>
  <si>
    <t>@drfahrettinkoca @saglikbakanligi O bilinçle kadınlar, çocuklar, yaşlılar ve işçiler ölüyor.. sayamadıklarım için özür dilerim.</t>
  </si>
  <si>
    <t>1469765976308830209</t>
  </si>
  <si>
    <t>@drfahrettinkoca Biz yalnızca hekimleri görüyoruz ama</t>
  </si>
  <si>
    <t>1469765849229709324</t>
  </si>
  <si>
    <t>@drfahrettinkoca Enflasyondan etkilenmediyse eğer bi test 32 TL. Günlük 11.200.000. Aylık 336.000.000 Aşı bio 19€ ç… https://t.co/Hr95iC6p8t</t>
  </si>
  <si>
    <t>1469765588042014720</t>
  </si>
  <si>
    <t>@drfahrettinkoca Bu bütçede sizin meslek ahlakınız yok. Aylardır atama bekleyen yüzbinlerce insanı mağdur ettiniz.… https://t.co/fFcZBkYvTL</t>
  </si>
  <si>
    <t>1469764282078400514</t>
  </si>
  <si>
    <t>@drfahrettinkoca Bakan seni  bizden görmüştük  sende AKP li çıktın bu saatten sonra bu sağlık çalışanları işini yaparsa bilgi sendendir</t>
  </si>
  <si>
    <t>1469763975411863560</t>
  </si>
  <si>
    <t>@drfahrettinkoca 40 alım var diyip ösym 20 bin alım göndermek ne oluyor. İnsanları planlarını alt üst etmeye ne hakkınız var.</t>
  </si>
  <si>
    <t>1469763939240136711</t>
  </si>
  <si>
    <t>@drfahrettinkoca HIZLI TEST NE ZAMAN getireceksiniz??? Lezoto da bile var. AB ülkeleri de 15 tane 5€ da satılıyor e… https://t.co/XYO5FYqXCK</t>
  </si>
  <si>
    <t>1469763209242546183</t>
  </si>
  <si>
    <t>@drfahrettinkoca Kendin söylediğine kendin inanmiyorsun bakanim</t>
  </si>
  <si>
    <t>1469762102420197376</t>
  </si>
  <si>
    <t>@drfahrettinkoca Hep süslü sözler söylüyorsunız ama keşke vatandaşınızın, bu ülkenin çocuklarının sağlığını gerçekt… https://t.co/3w1V6ubbVO</t>
  </si>
  <si>
    <t>1469761279766286344</t>
  </si>
  <si>
    <t>@drfahrettinkoca Tutulmayacak sözü vermeyin artık</t>
  </si>
  <si>
    <t>1469761179241299972</t>
  </si>
  <si>
    <t>@drfahrettinkoca Ahlaktan bahsetmişin bunca aldığın tepkiye rağmen istifa etmiyorsun. Plandemi ile ötekileştirdiğin… https://t.co/qeXZOKwVVy</t>
  </si>
  <si>
    <t>1469761087398686727</t>
  </si>
  <si>
    <t>@drfahrettinkoca Hani geniş çaplı bi alımdı @drfahrettinkoca</t>
  </si>
  <si>
    <t>1469761029668225031</t>
  </si>
  <si>
    <t>@drfahrettinkoca Yazıklar olsun 1 yıldır bunu mu bekledik @drfahrettinkoca</t>
  </si>
  <si>
    <t>1469760935304867856</t>
  </si>
  <si>
    <t>@drfahrettinkoca Bir aşı 15 Euro yaklaşık 122 milyon doz Yaklaşık 1.8milyar Euro. İstenilen bütçe yaklaşık 10 milya… https://t.co/CFiYbtEtb8</t>
  </si>
  <si>
    <t>1469760517933879303</t>
  </si>
  <si>
    <t>@drfahrettinkoca Bu bütçede haksızlık var bu bütçede yoksulluk var yatacak yeriniz yok</t>
  </si>
  <si>
    <t>1469760323628548096</t>
  </si>
  <si>
    <t>@drfahrettinkoca Plandemi Dayatmanız ile ötekileştirdiğiniz,işiyle,aşıyla,sağlığıyla hatta canıyla tehdit edip öldü… https://t.co/flFjlDdrZ6</t>
  </si>
  <si>
    <t>1469760239440470018</t>
  </si>
  <si>
    <t>@drfahrettinkoca bütçede INSAN yok</t>
  </si>
  <si>
    <t>1469759605483917316</t>
  </si>
  <si>
    <t>@drfahrettinkoca Bu bütçede bir KILAVUZ yok zaten herşey var ! @drfahrettinkoca</t>
  </si>
  <si>
    <t>1469759574110621701</t>
  </si>
  <si>
    <t>@drfahrettinkoca Günün fıkrasını dinliyoruz</t>
  </si>
  <si>
    <t>1469759477616459784</t>
  </si>
  <si>
    <t>@drfahrettinkoca Ahahahahha 🤣🤣</t>
  </si>
  <si>
    <t>1469758619323351041</t>
  </si>
  <si>
    <t>@drfahrettinkoca 🇹🇷👏🤲</t>
  </si>
  <si>
    <t>1469758399600631812</t>
  </si>
  <si>
    <t>@drfahrettinkoca Bütçede atama da olsaydı bari.Atama bekleyen tanıdığım yok ama yazık bu gençlere atama yapsanız ol… https://t.co/MjiI3esa6A</t>
  </si>
  <si>
    <t>1469758101184290818</t>
  </si>
  <si>
    <t>@drfahrettinkoca Haram zıkkım olsun</t>
  </si>
  <si>
    <t>1469758038869483526</t>
  </si>
  <si>
    <t>@drfahrettinkoca Ama personel yok atama yok maas iyilestirme yok biz butce acigi degiliz enf farki hic degiliz biz… https://t.co/Mfij2FXrJ3</t>
  </si>
  <si>
    <t>1469757368728702981</t>
  </si>
  <si>
    <t>@drfahrettinkoca Gözünü seveyım bir yıldan fazla oldu ATAMA YOK ATAMAAAAA</t>
  </si>
  <si>
    <t>1469756923327270916</t>
  </si>
  <si>
    <t>@drfahrettinkoca Bu bütçede biz yokuz, DSÖ var, New World Order var, Yapay et var, yapay kıtlık var, PCR faşistliği var,</t>
  </si>
  <si>
    <t>1469756871716257799</t>
  </si>
  <si>
    <t>@drfahrettinkoca yok</t>
  </si>
  <si>
    <t>1469756461421109248</t>
  </si>
  <si>
    <t>@drfahrettinkoca 1 yıldır yapılmayan atama da vicdan ve merhamete dahil mi sayın @drfahrettinkoca  #BütçedenSağlığaNetAçıklama</t>
  </si>
  <si>
    <t>1469756367623839747</t>
  </si>
  <si>
    <t>@drfahrettinkoca Atama nerde atamaaaaa 2021 bitiyor???</t>
  </si>
  <si>
    <t>1469755532324093964</t>
  </si>
  <si>
    <t>@drfahrettinkoca 2021 sağlık bütçesi atamaya neden verilmedi neden Halen de atama yapılmıyor</t>
  </si>
  <si>
    <t>1469755275720671244</t>
  </si>
  <si>
    <t>@drfahrettinkoca Bu bütçede somut hiç bişey yok bakanım ama şaşırmadım bilesiniz</t>
  </si>
  <si>
    <t>1469755008753221634</t>
  </si>
  <si>
    <t>@drfahrettinkoca O bütçede faiz var, zulüm var, kul hakkı var.</t>
  </si>
  <si>
    <t>1469754918403821580</t>
  </si>
  <si>
    <t>@drfahrettinkoca Sırada kaçıncı doz var 4. 5. Pcr zorlasına devam etmek varmı</t>
  </si>
  <si>
    <t>1469754775180922881</t>
  </si>
  <si>
    <t>@drfahrettinkoca Bu bütçede  sonuclari bilinmeyen MRN aşısı var</t>
  </si>
  <si>
    <t>1469754282710900739</t>
  </si>
  <si>
    <t>@drfahrettinkoca Ne yüzle paylaşıyorsunuz? Hiç utanmanızda mı yok sizin !</t>
  </si>
  <si>
    <t>1469754274762604549</t>
  </si>
  <si>
    <t>@drfahrettinkoca Sayın Bakan derhal o koltuktan defol git Erdoğan'a zarar veriyorsun 😡😡😡😡😡</t>
  </si>
  <si>
    <t>1469754239228522505</t>
  </si>
  <si>
    <t>@drfahrettinkoca Bakanım saglik çalışanları ve dr lar diye bizi siz ayrıştırdiniz. En kolay şartlarda çalışan  öğre… https://t.co/8nkxUDJDov</t>
  </si>
  <si>
    <t>1470113238754996225</t>
  </si>
  <si>
    <t>@drfahrettinkoca Medikalcilerde tıbbi sarf firma çalışanları da insan sayın bakan</t>
  </si>
  <si>
    <t>1470107450984607746</t>
  </si>
  <si>
    <t>@drfahrettinkoca Bütçenizde sağlık çalışanlarının hakkı var mı Bütçenizde hastanelerin alamadığı medikal tıbbi malz… https://t.co/m43p1r2ZKU</t>
  </si>
  <si>
    <t>1470089654108053509</t>
  </si>
  <si>
    <t>@drfahrettinkoca Bakanım hizmetinizde çalışan işçilerin ve memurlarında rica ediyorum sesini duyun görmemezlikten g… https://t.co/sTTbL6eN4s</t>
  </si>
  <si>
    <t>1470083108930260992</t>
  </si>
  <si>
    <t>@drfahrettinkoca hekimlere 2500₺-5000₺ zammı yaptın isyan etmesek aklınıza bile gelmicez   maske izi çıkan temiz yü… https://t.co/jfWM0rrOhi</t>
  </si>
  <si>
    <t>1470081883434332163</t>
  </si>
  <si>
    <t>@drfahrettinkoca Şefkatli tatlı dilli iyi kalpli kıymetli Sayın Bakanım Doktorlarımıza sahip çıkalım!</t>
  </si>
  <si>
    <t>1470499919928729611</t>
  </si>
  <si>
    <t>@drfahrettinkoca Ben Doktorumu buldum diğerleri neyderse etsün😊</t>
  </si>
  <si>
    <t>1470499067037954050</t>
  </si>
  <si>
    <t>@drfahrettinkoca Sayın Bakanım ülkemizden bir Doktorun dahi gidişine razı değilim Bizim yetişmiş Doktorlarımız Avru… https://t.co/cmUqF7Sfkl</t>
  </si>
  <si>
    <t>1470498636048044047</t>
  </si>
  <si>
    <t>@drfahrettinkoca 2022'nin  en büyük payını alabildimi pandemiye rağmen</t>
  </si>
  <si>
    <t>1469814159747555331</t>
  </si>
  <si>
    <t>@drfahrettinkoca Soru çok basit 1.Devletin bakanlığını ve bağlı kurumlarını  zarara uğratdığınız gibi kendi hastane… https://t.co/yTSeI8YNvd</t>
  </si>
  <si>
    <t>1469808449995395074</t>
  </si>
  <si>
    <t>@drfahrettinkoca Saglikci gecinemiyor....</t>
  </si>
  <si>
    <t>1469808041344344067</t>
  </si>
  <si>
    <t>@drfahrettinkoca #2021Yılıİçin40BinAtamaİstiyoruz</t>
  </si>
  <si>
    <t>1469807894501675011</t>
  </si>
  <si>
    <t>@drfahrettinkoca 2021'de 30 bin sağlıkçı ataması (40 bindi) istiyoruz. #RecepTayyipErdoğan #fahrettinkoca</t>
  </si>
  <si>
    <t>1469797517273489417</t>
  </si>
  <si>
    <t>1469791638478336001</t>
  </si>
  <si>
    <t>@drfahrettinkoca https://t.co/8xokVHawmy</t>
  </si>
  <si>
    <t>1469790477209804810</t>
  </si>
  <si>
    <t>@drfahrettinkoca https://t.co/epKnxO1Q5k</t>
  </si>
  <si>
    <t>1469790461757997057</t>
  </si>
  <si>
    <t>@drfahrettinkoca Devamlı Vatandaştan Tasarruflu Olmasını İstiyorlar...  Ama Kendileri Evlerinde Kazak Giymiyorlar..… https://t.co/si6KUzNmkG</t>
  </si>
  <si>
    <t>1469788340803321856</t>
  </si>
  <si>
    <t>@drfahrettinkoca Dünyayı Kurtarmak İçin Tüm Büyük Baş Ve Küçük Başları Yok Edelim.   Şeytanilerin İsteği Doğrultusu… https://t.co/o2W9tMfWtp</t>
  </si>
  <si>
    <t>1469785972405673987</t>
  </si>
  <si>
    <t>@drfahrettinkoca Bugünkü durumun sebebi sen ve sahiplerinin dsödür.İyice battık zaten hadi bi daha kapat ta tam batalım.</t>
  </si>
  <si>
    <t>1469785388633968648</t>
  </si>
  <si>
    <t>@drfahrettinkoca Ve o kürsüden şu ibretlik cümleleri kullandınız" dünyanın yakından takip ettiği ve imrenerek baktı… https://t.co/12amSXIkyC</t>
  </si>
  <si>
    <t>1469778836627898372</t>
  </si>
  <si>
    <t>@drfahrettinkoca Yazık değil mi emeklerimize 40 dan nasıl 20 bin olur @drfahrettinkoca  gencligimizi mahvetti bu ha… https://t.co/j91tOYThKr</t>
  </si>
  <si>
    <t>1469773252465762319</t>
  </si>
  <si>
    <t>@drfahrettinkoca @drfahrettinkoca @RTErdogan  siz nasıl insanlarsınız hayatımızı kararttınız gençliğimizi  kanımızı… https://t.co/PjxA5UZ3Xt</t>
  </si>
  <si>
    <t>1469771852662857743</t>
  </si>
  <si>
    <t>@drfahrettinkoca DSÖ versin.</t>
  </si>
  <si>
    <t>1469771293880946689</t>
  </si>
  <si>
    <t>@drfahrettinkoca @saglikbakanligi Atama bekleyen sağlıkçıları bu şekilde bekletmeniz sizin için kolay ama bizim içi… https://t.co/EPHs9t20V6</t>
  </si>
  <si>
    <t>1469768741311373313</t>
  </si>
  <si>
    <t>@drfahrettinkoca @saglikbakanligi Bir şeyler yapmanız için daha ne yapalım ,el insafff</t>
  </si>
  <si>
    <t>1469767937871552515</t>
  </si>
  <si>
    <t>@drfahrettinkoca 250 milyar da çıksa yine aşıya yatırırsınız? Çünkü sizin cebinizden çıkmıyor 🤫</t>
  </si>
  <si>
    <t>1469764860527398912</t>
  </si>
  <si>
    <t>@drfahrettinkoca Sayın bakanım kusura bakmayın ama hani hastahanelerde kuyruğu bitirdik diyorsunuz ya ben buna ikna… https://t.co/GEIBsUeWoV</t>
  </si>
  <si>
    <t>1469764609393532935</t>
  </si>
  <si>
    <t>@drfahrettinkoca Muhalefetin tepkileri sebebiyle 40 binlik atama müjdesi verildi. Üzerinden o kadar süre geçti hala… https://t.co/dikHUjRQHt</t>
  </si>
  <si>
    <t>1469757220736880644</t>
  </si>
  <si>
    <t>@drfahrettinkoca Klavuzu yayınlayın artık sayın bakanım</t>
  </si>
  <si>
    <t>1469755405190447114</t>
  </si>
  <si>
    <t>@drfahrettinkoca #SMA hastası çocukların tedavisini yaptırın. Zaten ekonominin de ülkenin de içine ettiniz edeceğin… https://t.co/i4hfppjqA7</t>
  </si>
  <si>
    <t>1469754582343593999</t>
  </si>
  <si>
    <t>@drfahrettinkoca Aynen aşının sonucu ortada. Günlük vaka:100 Ölüm:1 Komiksiniz ya.😅</t>
  </si>
  <si>
    <t>1469816617743826945</t>
  </si>
  <si>
    <t>@drfahrettinkoca DSÖ nün Bill gavatesin kısaca küresel çetenin yerli işbirlikçilerinin amq.o pislik sıvılarinizida… https://t.co/dPJoOJWHUG</t>
  </si>
  <si>
    <t>1469816248708087808</t>
  </si>
  <si>
    <t>@drfahrettinkoca 11 ARALIK 2020 AŞI YOK! TEST SAYISI:208.873 VAKA SAYISI:32.106 HASTA SAYISI:5.607 ÖLÜM:226  11 ARA… https://t.co/Me7ZcJTXGD</t>
  </si>
  <si>
    <t>1469815795421261825</t>
  </si>
  <si>
    <t>@drfahrettinkoca Siz Kendinizi Kandırabilirsiniz, Bu Milleti de Kandırabilirsiniz, Ama Allah Teâlâ'yı Kandıramazsın… https://t.co/C4wUwTa3Z8</t>
  </si>
  <si>
    <t>1469815631121891338</t>
  </si>
  <si>
    <t>@drfahrettinkoca Yani Millet Geri Zekalı, Aklı Yok, Başkasından Etkilenip Aşı Olmuyor mu Diyorsunuz??? Milletimiz K… https://t.co/kR2k4IY5m7</t>
  </si>
  <si>
    <t>1469813952687362059</t>
  </si>
  <si>
    <t>@drfahrettinkoca İnsanların aklıyla alay etmeyin önlem alın herşey ortada</t>
  </si>
  <si>
    <t>1469812480104968196</t>
  </si>
  <si>
    <t>@drfahrettinkoca https://t.co/t6ovb7HYQ4</t>
  </si>
  <si>
    <t>1469812222398500873</t>
  </si>
  <si>
    <t>@drfahrettinkoca Her gün aynı boş laflar İzmirdeki omicron virüslü hastalar ne olacak sayenizde bu varyant en çok İ… https://t.co/GH2OtrikZg</t>
  </si>
  <si>
    <t>1469812096292503554</t>
  </si>
  <si>
    <t>@drfahrettinkoca https://t.co/2zWH66v9l8</t>
  </si>
  <si>
    <t>1469811606876045312</t>
  </si>
  <si>
    <t>@drfahrettinkoca Aşıların sonuçları ortada https://t.co/rb6SE5ko0t</t>
  </si>
  <si>
    <t>1469811236581822464</t>
  </si>
  <si>
    <t>@drfahrettinkoca Yoo ben ayakta atlattım. En fazla nurofen aldım. Bir gece mide bulantısı rahatsız etti. Onun dışın… https://t.co/DlEKN10Mal</t>
  </si>
  <si>
    <t>1469811220287045634</t>
  </si>
  <si>
    <t>@drfahrettinkoca https://t.co/mFHO6IzccC</t>
  </si>
  <si>
    <t>1469811127328690185</t>
  </si>
  <si>
    <t>@drfahrettinkoca Sizin söylediklerinize hiç şahit olmadık yürüyerek giden tabutla çıkıyor</t>
  </si>
  <si>
    <t>1469807340199288834</t>
  </si>
  <si>
    <t>@drfahrettinkoca Hiç Aşı olmadım, kronik rahatsızlığım var, PCR testleriniz pozitif gösterdi. Hissetmeden geçirmişim.</t>
  </si>
  <si>
    <t>1469807001865756672</t>
  </si>
  <si>
    <t>@drfahrettinkoca Bill Gates ne kadar verdi sana Fahrettin!</t>
  </si>
  <si>
    <t>1469806927991525379</t>
  </si>
  <si>
    <t>@drfahrettinkoca İkinci aşıddan sonra 6 ay dolmayınca neden randevu verilmiyor? 6 ayın bir bilimsel temeli var mı?</t>
  </si>
  <si>
    <t>1469804931741884418</t>
  </si>
  <si>
    <t>@drfahrettinkoca Aşılardan sonra cevremizde kalp krizi çok fazla artı.  Devletine güvenen insanlara yazıktır. DSÖ i… https://t.co/zoKWGeNIMz</t>
  </si>
  <si>
    <t>1469804693371207681</t>
  </si>
  <si>
    <t>@drfahrettinkoca Sıvı olmadım söylediğinizin tam tersini yapıyorum elhamdülillah hasta olmadım</t>
  </si>
  <si>
    <t>1469803559692783618</t>
  </si>
  <si>
    <t>@drfahrettinkoca Yalan, Koca yalan</t>
  </si>
  <si>
    <t>1469801054703431685</t>
  </si>
  <si>
    <t>@drfahrettinkoca https://t.co/4DScyQ07Af</t>
  </si>
  <si>
    <t>1469800918187184129</t>
  </si>
  <si>
    <t>@drfahrettinkoca Sayın bakan bu tweetleri yazmadan önce ne kullanıyorsunuz. Zira bu tweetler ayık kafayla yazılmaz.… https://t.co/I5CNrlHA6t</t>
  </si>
  <si>
    <t>1469799191467765762</t>
  </si>
  <si>
    <t>@drfahrettinkoca https://t.co/2Q5jDJa1Pp</t>
  </si>
  <si>
    <t>1469798215302139913</t>
  </si>
  <si>
    <t>@drfahrettinkoca https://t.co/LOhcFALZtH</t>
  </si>
  <si>
    <t>1469798107365920769</t>
  </si>
  <si>
    <t>@drfahrettinkoca https://t.co/sgs8SnISEv</t>
  </si>
  <si>
    <t>1469798039070072832</t>
  </si>
  <si>
    <t>@drfahrettinkoca https://t.co/Qoe2ViloYM</t>
  </si>
  <si>
    <t>1469798004236374023</t>
  </si>
  <si>
    <t>@drfahrettinkoca https://t.co/UOdM815BOh</t>
  </si>
  <si>
    <t>1469797965778849798</t>
  </si>
  <si>
    <t>@drfahrettinkoca https://t.co/9bM0l8Rhpp</t>
  </si>
  <si>
    <t>1469797910577655814</t>
  </si>
  <si>
    <t>@drfahrettinkoca https://t.co/0uu5UhMRxH</t>
  </si>
  <si>
    <t>1469797864595415053</t>
  </si>
  <si>
    <t>@drfahrettinkoca https://t.co/96Oh6He1VI</t>
  </si>
  <si>
    <t>1469797831536001024</t>
  </si>
  <si>
    <t>@drfahrettinkoca https://t.co/Gv0aMha7W9</t>
  </si>
  <si>
    <t>1469797792591798274</t>
  </si>
  <si>
    <t>@drfahrettinkoca https://t.co/qFjKqwLkZg</t>
  </si>
  <si>
    <t>1469797729144610816</t>
  </si>
  <si>
    <t>@drfahrettinkoca https://t.co/ZvUUgeZcri</t>
  </si>
  <si>
    <t>1469797708772913158</t>
  </si>
  <si>
    <t>@drfahrettinkoca https://t.co/WLleiYTXAv</t>
  </si>
  <si>
    <t>1469797665391132673</t>
  </si>
  <si>
    <t>@drfahrettinkoca https://t.co/PzoV079K4P</t>
  </si>
  <si>
    <t>1469797632285581322</t>
  </si>
  <si>
    <t>@drfahrettinkoca https://t.co/QvHZFyXWv1</t>
  </si>
  <si>
    <t>1469797612895322114</t>
  </si>
  <si>
    <t>@drfahrettinkoca Aşı olanlar ölüyor, 3. Doz kesin bir kaç hafta içinde can alıyor. Siz de bunu biliyorsunuz. Hşşşşt… https://t.co/QWHWcE2PWb</t>
  </si>
  <si>
    <t>1469794759430578180</t>
  </si>
  <si>
    <t>@drfahrettinkoca O yıptatıcı günleri bir açıklasanız? Nasıl oluyor yıpratıcı günler? İçeriği tam olarak ne?</t>
  </si>
  <si>
    <t>1469794279715483649</t>
  </si>
  <si>
    <t>@drfahrettinkoca Hocam yağ kac para biliyonmu ekonomiyi duzeltin ne aşısi Allah askina 10 yillik yağ 5 yillik da un… https://t.co/nzYhy9lTq2</t>
  </si>
  <si>
    <t>1469793448362487814</t>
  </si>
  <si>
    <t>@drfahrettinkoca Olmuyoruz zorlami aşı olanlarda hadtahsnelerde yatıyor bazılarıda mezarda</t>
  </si>
  <si>
    <t>1469791659609272328</t>
  </si>
  <si>
    <t>@drfahrettinkoca 191 kişinin içinde karnında ki evladını kaybedip bugün kalbi duran 30 yaşında bir anne var. 8 yaşı… https://t.co/Y3j0NJeL3z</t>
  </si>
  <si>
    <t>1469791390028681217</t>
  </si>
  <si>
    <t>@drfahrettinkoca Başından beri yalan konuşmaktan yüzün hiç kızarmadı</t>
  </si>
  <si>
    <t>1469791288509837312</t>
  </si>
  <si>
    <t>@drfahrettinkoca Portekiz %98 aşılı  ama orda bu varyant neden artış gösteriyor.</t>
  </si>
  <si>
    <t>1469790905796284423</t>
  </si>
  <si>
    <t>@drfahrettinkoca Bilime tedaviye ilaca karşı değiliz  Sahte salgına karşı şüphelerimiz var Zorunlu imza karşılığı iğne olması  Düşündürücü</t>
  </si>
  <si>
    <t>1469788922079330305</t>
  </si>
  <si>
    <t>@drfahrettinkoca ya bırak çevremde aşı olanlar patır patır dökülüyor.Aşı olmayanlar gayet sağlıklı.</t>
  </si>
  <si>
    <t>1469786675001892870</t>
  </si>
  <si>
    <t>@drfahrettinkoca AŞIYI DAYATMAKLA GEBERECEKSİNİZ AŞI OLMUYORUM KİMSEYE DE AŞI OLMAYI TAVSİYE ETMİYORUZ O KADAR HAKL… https://t.co/11jI95cP6I</t>
  </si>
  <si>
    <t>1469786120858869764</t>
  </si>
  <si>
    <t>@drfahrettinkoca Tabi tabi biz Türk gercek doktorlardan ve yabanci doktorlardan biliyoruz asinin faydalimi zararli… https://t.co/wvEkAzgnZi</t>
  </si>
  <si>
    <t>1469785919741906952</t>
  </si>
  <si>
    <t>@drfahrettinkoca ülkemizde omicron varyantı da var ve ülkenin geleceği, gençler için alınan önlemler: - tıklım tıkl… https://t.co/ng70Hmsl0A</t>
  </si>
  <si>
    <t>1469785437690638338</t>
  </si>
  <si>
    <t>@drfahrettinkoca inanmiyoruz. bizde bilum adamlarinin sözlerini değerlendiriyoruz. size inan miyoruz. tibba guvenimiz kalmadi. sizede.</t>
  </si>
  <si>
    <t>1469784810793099267</t>
  </si>
  <si>
    <t>@drfahrettinkoca Kaç aydır Ordu aşılamada birinci vakada birinci hala diyor ki aşılama faydalı kendi verdiği istati… https://t.co/LrUjkcDXyB</t>
  </si>
  <si>
    <t>1469784290510659584</t>
  </si>
  <si>
    <t>@drfahrettinkoca kabul-itiraf edin artık</t>
  </si>
  <si>
    <t>1469783624513949696</t>
  </si>
  <si>
    <t>@drfahrettinkoca Sayın Bakan sizce niye olunmuyor ? Çünkü biliyorlar ve çevresinde Vefat edenleri görüyorlar. Aşı o… https://t.co/LDYMzcV7pD</t>
  </si>
  <si>
    <t>1469783298494844933</t>
  </si>
  <si>
    <t>@drfahrettinkoca Aşı arttıkça vaka arttı diyenlere,aşı olmadığında tedbirler kısıtlamalar yasaklar vardı insan hare… https://t.co/93EOvqV6BR</t>
  </si>
  <si>
    <t>1469782755319943173</t>
  </si>
  <si>
    <t>@drfahrettinkoca Aşısızların test sonucu negatif ama aşılı olanlardan pcr alınmadığı için tehlike yarattılar. Yeter… https://t.co/XaT9sLiB85</t>
  </si>
  <si>
    <t>1469781813551943684</t>
  </si>
  <si>
    <t>@drfahrettinkoca Ben virüse olan inancımı kaybettim, aşılardaki pişmanlığım da cabası..  Devir nereye gidiyor sahi??</t>
  </si>
  <si>
    <t>1469781545854681089</t>
  </si>
  <si>
    <t>@drfahrettinkoca Bu kadar başarısız bir süreç yönetilemez. Öncelikle aşılı ya da aşısız herkese üçe testinin yapılm… https://t.co/rhF38pmTaC</t>
  </si>
  <si>
    <t>1469781390829015050</t>
  </si>
  <si>
    <t>@drfahrettinkoca Tam.aşılı olmak nedir? Kaç doz oluyor iki doz hastaneye yatışları% 100 engelliyordu.Peki günlük ve… https://t.co/fsmwfsiDCn</t>
  </si>
  <si>
    <t>1469780815563350016</t>
  </si>
  <si>
    <t>@drfahrettinkoca Madem dediğiniz gibi rakamları açıklayın. Hastaneye yananların ölenlerin ve korona olsnların ksç t… https://t.co/WW8Nq3uicN</t>
  </si>
  <si>
    <t>1469780809926291468</t>
  </si>
  <si>
    <t>@drfahrettinkoca ilk seçimde düşeceksiniz. Kırmızı Akp(Chp) İktidara gelecek bi 4 yıl daha insanların ekonomik siya… https://t.co/3tG5EcJtPh</t>
  </si>
  <si>
    <t>1469780734122549248</t>
  </si>
  <si>
    <t>@drfahrettinkoca Eşim geçirdi aşısız hiç birşey olmadı 5 gün  boğaz ağrısı oldu sadece bendede birşey çıkmadı ayni… https://t.co/idTDKleG5d</t>
  </si>
  <si>
    <t>1469780463275450372</t>
  </si>
  <si>
    <t>@drfahrettinkoca alakası yok. aşını  sonuçları ortada ne vaka sayısı düştü ne de ölüm? aksine yan etkiden insanlar… https://t.co/WHT54Z7vpC</t>
  </si>
  <si>
    <t>1469779925532086276</t>
  </si>
  <si>
    <t>@drfahrettinkoca Aşının sonuçları ortada kısmına tam katılıyorum! Diğer tiwitlerin error</t>
  </si>
  <si>
    <t>1469779734418624516</t>
  </si>
  <si>
    <t>@drfahrettinkoca Kafaya bak, aşı aleyhtarlarından dolayı müşterileri kaçmış.  Yahu ülkenin yüzde 91 i aşıyı tatmış,… https://t.co/GtXcCe29iI</t>
  </si>
  <si>
    <t>1469779317269880832</t>
  </si>
  <si>
    <t>@drfahrettinkoca Yine Şeytani Üst Aklın Fonladığı Proflar Ülkenin Ekonomisinin Ve Vatandaşın Piskolojisinin Dahada… https://t.co/LvsdIj3U9u</t>
  </si>
  <si>
    <t>1469778813500497926</t>
  </si>
  <si>
    <t>@drfahrettinkoca Aşı Olmayanlar Lüften Allah rızası İçin Aşı Olsunlar Biz 15 Günlük Ailece Karantina Sürecine Girdi… https://t.co/E0kTnLjIBi</t>
  </si>
  <si>
    <t>1469777610393755653</t>
  </si>
  <si>
    <t>@drfahrettinkoca Yaw hocam he he.  %91 aşilandi iste daha ne istiyorsunuz.  Demek ki bir is var bu iste. Demek ki devami gelecek.  .</t>
  </si>
  <si>
    <t>1469777291886706690</t>
  </si>
  <si>
    <t>@drfahrettinkoca Rabbimin verdiği doğal bağışıklık bize yetiyor  2 senedir gript bile olmadık  Sizlere çok teşekkür… https://t.co/X1Uqz10BYf</t>
  </si>
  <si>
    <t>1469777081676488709</t>
  </si>
  <si>
    <t>@drfahrettinkoca Ahaha biz tersini deneyimliyoruz o nasıl oluyor? Sıvı alan da almayan da iyileşiyor  lakin nerdeys… https://t.co/V1sw2krsCM</t>
  </si>
  <si>
    <t>1469776943180623874</t>
  </si>
  <si>
    <t>@drfahrettinkoca Ortada evet :)</t>
  </si>
  <si>
    <t>1469776638124736515</t>
  </si>
  <si>
    <t>@drfahrettinkoca Aşı olmayan da hafif geçiriyor</t>
  </si>
  <si>
    <t>1469776292996423683</t>
  </si>
  <si>
    <t>@drfahrettinkoca Sen davetli değilsin.  #HerYerİstiklalHerYerDireniş https://t.co/5XDCIKXiNh</t>
  </si>
  <si>
    <t>1469776163795083270</t>
  </si>
  <si>
    <t>@drfahrettinkoca Milletin intikamı büyük zevk verecek.</t>
  </si>
  <si>
    <t>1469776012376518663</t>
  </si>
  <si>
    <t>@drfahrettinkoca Herkes kendi penceresinden bakıyor. Herkes kendini haklı sanıyor. Ortada hiçbir şey yok. İnanmak i… https://t.co/tMufJgs7Bv</t>
  </si>
  <si>
    <t>1469775641298055175</t>
  </si>
  <si>
    <t>@drfahrettinkoca Üç Sinovac aşısı yapıldı, pozitif oldum. Verilen ilacı kullandım. Çok şükür rahat bir şekilde geçi… https://t.co/NMrgMBLC3l</t>
  </si>
  <si>
    <t>1469775594221182976</t>
  </si>
  <si>
    <t>@drfahrettinkoca Ölenlerin aşı oranını da açıklar mısınız? Kaçı aşılı kaçı aşısız? Gerçi aşılı ölenler aşı olmasa d… https://t.co/hxmuhFOPFu</t>
  </si>
  <si>
    <t>1469775552185831429</t>
  </si>
  <si>
    <t>@drfahrettinkoca Așının sonuçları ortada gerçekten sayın bakan. Herkes gördü de keșke bi de siz görebilseniz</t>
  </si>
  <si>
    <t>1469775398816915461</t>
  </si>
  <si>
    <t>@drfahrettinkoca Ahhh ahhhh covit19 geldi dediniz tüm risklere rağmen yakınları kaçarken hastaları biz taşıdık biz… https://t.co/zWKIjVO1el</t>
  </si>
  <si>
    <t>1469774937544089601</t>
  </si>
  <si>
    <t>@drfahrettinkoca 😂😂😂😂😂😂😂</t>
  </si>
  <si>
    <t>1469774751140876289</t>
  </si>
  <si>
    <t>@drfahrettinkoca Herkes evinde rahat bir şekilde https://t.co/dQFpM60cLi öğrenciler okullarda,YURTLARDA,YEMEKHALERD… https://t.co/ZQhn8LYw3F</t>
  </si>
  <si>
    <t>1469774592701042691</t>
  </si>
  <si>
    <t>@drfahrettinkoca Ne diyeyim ki aşıyı  bulan kişi 100 gün sonra aşı  kısmen işe yaramıyor diyor siz kime ne anlatıyorsunuz</t>
  </si>
  <si>
    <t>1469774281206865920</t>
  </si>
  <si>
    <t>@drfahrettinkoca Hapırsanda köpürsende 2022 Aralık ayında bitecek bu üretiminiz olan virüs.bu sürede kime iğne yapa… https://t.co/pAkd1MsUCz</t>
  </si>
  <si>
    <t>1469774230963343361</t>
  </si>
  <si>
    <t>@drfahrettinkoca Evet sonuçlar ortada ve işe yaramıyor. Devam hatırlatma anımsatma uyutma yutturma dozlarına gerek… https://t.co/ZzeHiAnWrZ</t>
  </si>
  <si>
    <t>1469774182762397707</t>
  </si>
  <si>
    <t>@drfahrettinkoca Hangi aşı? ortada aşı vardı da biz mi bilmiyoruz? Sen  bu dünya da gördüğüm en yalancı tiplerden b… https://t.co/tr0kqLpEZw</t>
  </si>
  <si>
    <t>1469774120460210181</t>
  </si>
  <si>
    <t>@drfahrettinkoca Ne güzel de söylemişsiniz aşının sonuçları ortada! Sadece hangi tür sonuçları hakkında ufak minik… https://t.co/9p83F8soxM</t>
  </si>
  <si>
    <t>1469773984157904898</t>
  </si>
  <si>
    <t>@drfahrettinkoca Pardon size göre kaç kişi tam aşılı ve bundan sonra aşı denilen sıvı olmayacak?</t>
  </si>
  <si>
    <t>1469773476802318341</t>
  </si>
  <si>
    <t>@drfahrettinkoca Ne dedi size ne dedi? Yok efendim ben sizden izin almadan konuşabilir miyim? Dedikten sonra bu adamı kaale alamıyorum.</t>
  </si>
  <si>
    <t>1469773456963162117</t>
  </si>
  <si>
    <t>@drfahrettinkoca SAĞLİK BAKANLİĞİ YASANMAKTA OLAN BİYOLOJİK SAVAŞTA MİLLETİ KORUMAK YERİNE MİLLETİ KOBAY OLARAK KULLANDİRTMAKTADİR</t>
  </si>
  <si>
    <t>1469773370787041283</t>
  </si>
  <si>
    <t>@drfahrettinkoca Hımm bende diyorum 3.4 gündür iyileşen sayısı niye fazla genelde bir aşa bir yukarıydı 3.4. doz a yol yapılıyor sanki.</t>
  </si>
  <si>
    <t>1469773321810157571</t>
  </si>
  <si>
    <t>@drfahrettinkoca Bir şeye karşı olacaksan elinde alternatif olur. Aşı karşıtlarının alternatifi ne? Kaldı ki yürüyü… https://t.co/H1Ar4wUODz</t>
  </si>
  <si>
    <t>1469773259533127687</t>
  </si>
  <si>
    <t>@drfahrettinkoca Hani asi asi dediniz ne vaka bitti be ölüm. Bu muydu yani... asinin ne faydasi var . Asidan once d… https://t.co/RPRnP3GfZu</t>
  </si>
  <si>
    <t>1469772945895661574</t>
  </si>
  <si>
    <t>@drfahrettinkoca Sayin Bakanim sizde biliyorsunuz ki insanlari Grip ve türlerine karsi korumak değil Küreselcilerin… https://t.co/MqgL6O6sut</t>
  </si>
  <si>
    <t>1469772793243914240</t>
  </si>
  <si>
    <t>@drfahrettinkoca Su hai ler var asi olmayanlar o kişilere yaptırım kendisin her şeyin ala vera sizinde</t>
  </si>
  <si>
    <t>1469772787720065044</t>
  </si>
  <si>
    <t>@drfahrettinkoca 2. Asımı olalı 5.5 ay oldu. 3 ası icin randevu ne zaman acilacak..6 ayin sonunda 3. Aşı korumayı g… https://t.co/JUuWibNhPy</t>
  </si>
  <si>
    <t>1469772318813478912</t>
  </si>
  <si>
    <t>@drfahrettinkoca Sağlık açısından yeni bir algı yapılabilir mi ? Aşılama oranında istenilen aşı sayısına ulaşılamad… https://t.co/mPiWioBu2Y</t>
  </si>
  <si>
    <t>1469772020414042113</t>
  </si>
  <si>
    <t>@drfahrettinkoca @drfahrettinkoca @RTErdogan  siz nasıl insanlarsınız hayatımızı kararttınız gençliğimizi  kanımızı… https://t.co/aEJRzNSN3P</t>
  </si>
  <si>
    <t>1469771880995373061</t>
  </si>
  <si>
    <t>@drfahrettinkoca Küfür suç olmaktan çıkmalı.</t>
  </si>
  <si>
    <t>1469770804439224320</t>
  </si>
  <si>
    <t>@drfahrettinkoca Bakanim ısrarla yazacağım. Guneydogu illeri hala neden sarı veya mavi olamadı. Sebebi nedir??</t>
  </si>
  <si>
    <t>1469770451702460418</t>
  </si>
  <si>
    <t>@drfahrettinkoca Yettin artık yettin</t>
  </si>
  <si>
    <t>1469770260987494402</t>
  </si>
  <si>
    <t>@drfahrettinkoca Asi olmayanlar neden hala üzerinde asisi yoktur ibaresi olan bir sey taşımıyor görünür şekilde.</t>
  </si>
  <si>
    <t>1469769972704501770</t>
  </si>
  <si>
    <t>@drfahrettinkoca Kocaman bir yalansın</t>
  </si>
  <si>
    <t>1469769951141576709</t>
  </si>
  <si>
    <t>@drfahrettinkoca YENİ VARYANT DA ÜLKEMİZE GİRİŞ YAPTIYSA DAHA FAZLA GECİKMEDEN #VakalarArtmadanEğitimUzaktan</t>
  </si>
  <si>
    <t>1469769243424141312</t>
  </si>
  <si>
    <t>@drfahrettinkoca https://t.co/pY6QMn5RTF</t>
  </si>
  <si>
    <t>1469768812316839937</t>
  </si>
  <si>
    <t>@drfahrettinkoca Atma recep camları kırarsın. Omicron çatır çatır geliyor hala 4.dozu açamadın. Bilim insanları ban… https://t.co/mkvxrgZKKc</t>
  </si>
  <si>
    <t>1469768321419595788</t>
  </si>
  <si>
    <t>@drfahrettinkoca ölen,felç olan,kör olan vs çoğu çift doz aşılı #biontechyanetki,aşısız olup da kalp krizinden vs ö… https://t.co/YtUntT7CQf</t>
  </si>
  <si>
    <t>1469768302465626120</t>
  </si>
  <si>
    <t>@drfahrettinkoca Yalancısın</t>
  </si>
  <si>
    <t>1469768281833811968</t>
  </si>
  <si>
    <t>@drfahrettinkoca Bu yazdıklarıniz aşılı olup ölenleri ve hastalananları gizlemiyor. Çuval mızrağa girmiyor artık.</t>
  </si>
  <si>
    <t>1469768236489224196</t>
  </si>
  <si>
    <t>@drfahrettinkoca Ya bırak hocam neyi ortada aşı yokkende insanlar kendi kendine evinde iyileşiyordu çünkü verdiğini… https://t.co/iwMdtYP0CF</t>
  </si>
  <si>
    <t>1469768188275666944</t>
  </si>
  <si>
    <t>@drfahrettinkoca Ya sanki aşı olmayan herkes ölüyormuş gbi konuşmayı bırakın artık. “Aşı eşittir hayat, korona eşit… https://t.co/DGERV4A5hh</t>
  </si>
  <si>
    <t>1469767554478624777</t>
  </si>
  <si>
    <t>@drfahrettinkoca https://t.co/iOiEG1Fu5i</t>
  </si>
  <si>
    <t>1469767291843850246</t>
  </si>
  <si>
    <t>@drfahrettinkoca Evet sonuç ortada ve raporda yazdığı gibi #LENFOMA  2 doz bi10tek *** sonrası lenfoma teşhisi konu… https://t.co/195NdYxb2D</t>
  </si>
  <si>
    <t>1469767228535058434</t>
  </si>
  <si>
    <t>@drfahrettinkoca Tam aşı olanlar koviti hafif atlatıyormuş. O da bişi mı hoca, aşı olmayanlar kovit bile olmuyor. 😂</t>
  </si>
  <si>
    <t>1469767227985608708</t>
  </si>
  <si>
    <t>@drfahrettinkoca Evet sonuçları ortada aşı öldürüyor</t>
  </si>
  <si>
    <t>1469766996732620806</t>
  </si>
  <si>
    <t>@drfahrettinkoca Bakan efendi demiştim size yalancının mumu yatsıya kadar yanar diye bizde var omrion virüsü siz yo… https://t.co/k678TG6gou</t>
  </si>
  <si>
    <t>1469766979015909385</t>
  </si>
  <si>
    <t>@drfahrettinkoca Aynen öyle aşının sonuçları ortada 121.600.540 milyon doz aşı her gün 190-210 ölüm 👏👏</t>
  </si>
  <si>
    <t>1469766950989541376</t>
  </si>
  <si>
    <t>@drfahrettinkoca Hiç bir şey ortada değil. Bakanlığınız hiç bir veriyi paylaşmıyor. Üniversiteleriniz hiç bir araşt… https://t.co/hDrfOLg5d1</t>
  </si>
  <si>
    <t>1469766819141533706</t>
  </si>
  <si>
    <t>@drfahrettinkoca omicron gelmiş çoktan,  canımız ucuz mu bizim bu ara herkes aynı şeyi konuşuyor konuda komşuda ark… https://t.co/YVG4R1Vl3D</t>
  </si>
  <si>
    <t>1469766437690654721</t>
  </si>
  <si>
    <t>@drfahrettinkoca Okullar acilen online eğitime geçilmeli Amicron varyantı da geldi kim bilir o çıkanlar kaç kişi ile temas etti</t>
  </si>
  <si>
    <t>1469765506559356944</t>
  </si>
  <si>
    <t>@drfahrettinkoca Ne aşısı pardon ? Ruh hastası olmadık... Gen terapisine ihtiyaç duymadık... Birincisi yağmurlu hav… https://t.co/HxRlpepbua</t>
  </si>
  <si>
    <t>1469765492667817986</t>
  </si>
  <si>
    <t>@drfahrettinkoca Yolcuların ve mürettebatının tamamı ful aşılı Norveç Cruise gemisinde covid parlak vermiş. %100 fu… https://t.co/J4YJQ1Ra0z</t>
  </si>
  <si>
    <t>1469765338564857868</t>
  </si>
  <si>
    <t>@drfahrettinkoca Gecenin bu saatinde ülkede 6 Omicron olduğu açıklanmış. Şimdi mi tespit edildi de açıklama bu satt… https://t.co/Z0t8FA4fln</t>
  </si>
  <si>
    <t>1469764782584643584</t>
  </si>
  <si>
    <t>@drfahrettinkoca Doymadı arkadaş doymadı yalanlara !</t>
  </si>
  <si>
    <t>1469764690007969800</t>
  </si>
  <si>
    <t>@drfahrettinkoca Sayın bakanım her gün kendinizi aldatarak kelamlar ediyorsunuz ve ben eminim sizde yazdıklarınıza… https://t.co/xdAtUVZ6FV</t>
  </si>
  <si>
    <t>1469764636182564871</t>
  </si>
  <si>
    <t>@drfahrettinkoca Evet aşının sonuçları ortada hemde kabak gibi</t>
  </si>
  <si>
    <t>1469763653763280908</t>
  </si>
  <si>
    <t>@drfahrettinkoca Aşının sonuçları evet ortada, aşı yokken vakalar ve ölümler bu kadar yoktu o ölümler de yanlış kul… https://t.co/5htyiyHEfC</t>
  </si>
  <si>
    <t>1469763548771401741</t>
  </si>
  <si>
    <t>@drfahrettinkoca Siz aşınızı oldunuz mu sayın bakanım???</t>
  </si>
  <si>
    <t>1469763207128571904</t>
  </si>
  <si>
    <t>@drfahrettinkoca Yatcak yerin yok yeminlen hainsiniz vatan haini olarak lanetle anılacaksınız.</t>
  </si>
  <si>
    <t>1469763187239231496</t>
  </si>
  <si>
    <t>@drfahrettinkoca Evet aşının sonuçları ortada eskisinden daha çok kovid var etrafta.</t>
  </si>
  <si>
    <t>1469763101461463040</t>
  </si>
  <si>
    <t>@drfahrettinkoca Turuncu görülen yerler aşı oranı az olan yerler vaka sayısı da az ve inanın aşırılardan daha iyi g… https://t.co/jSLIuXRqpc</t>
  </si>
  <si>
    <t>1469762867654184971</t>
  </si>
  <si>
    <t>@drfahrettinkoca ARTTIRMAK İÇİN UĞRAŞTIĞINIZ ALIMI BÖLDÜNÜZ SÖYLENECEK BİRŞEY YOK</t>
  </si>
  <si>
    <t>1469762800004526081</t>
  </si>
  <si>
    <t>@drfahrettinkoca Kendini de yırtsan bitti artık sn. Koca, inandırıcılığını kaybettin milletin gözünde kocaman bir sıfırsın...</t>
  </si>
  <si>
    <t>1469762431014653958</t>
  </si>
  <si>
    <t>@drfahrettinkoca YAZIKLAR OLSUN !!!!!</t>
  </si>
  <si>
    <t>1469762292464168966</t>
  </si>
  <si>
    <t>@drfahrettinkoca Sayın bakan lütfen kendinize gelin bugün hafta sonu vaka sayılarını düşürmeniz lazım oldumu şimdi</t>
  </si>
  <si>
    <t>1469761481537376262</t>
  </si>
  <si>
    <t>@drfahrettinkoca Vaka sayıları düşüyor ama ölüm sayıları aynı oranda düşmüyor gibi 🧐☹️</t>
  </si>
  <si>
    <t>1469760515329212422</t>
  </si>
  <si>
    <t>@drfahrettinkoca Devlet memurlarına aşı neden zorunlu değil? Özel sektore zorunlu.Çifte standart degil mi bu?</t>
  </si>
  <si>
    <t>1469760153859805187</t>
  </si>
  <si>
    <t>@drfahrettinkoca Bu aşının koruyuculuğu söylemleri hiç inandırıcı gelmiyor</t>
  </si>
  <si>
    <t>1469759916671909889</t>
  </si>
  <si>
    <t>@drfahrettinkoca Alakası yok taş gibiyim</t>
  </si>
  <si>
    <t>1469759129208209409</t>
  </si>
  <si>
    <t>@drfahrettinkoca GÜNDE 200 kişi ölüyor hala ve siz hala her şey yolunda diyebiliyorsunuz #OnlineEğitimCanKurtarır</t>
  </si>
  <si>
    <t>1469758364993441793</t>
  </si>
  <si>
    <t>@drfahrettinkoca 🇹🇷🤲👏</t>
  </si>
  <si>
    <t>1469758181698068490</t>
  </si>
  <si>
    <t>@drfahrettinkoca Aşının sonuçlarını bilimsel olarak açıklarsanız bahsettiğiniz sıvının, yoğun bakımlarını sizin sıv… https://t.co/TfWarOjfDQ</t>
  </si>
  <si>
    <t>1469757824330878978</t>
  </si>
  <si>
    <t>@drfahrettinkoca Sayın bakan insanlar Aşılardan dolayı ölüyor neden onlara cvp vermiyorsunuz</t>
  </si>
  <si>
    <t>1469757534680625163</t>
  </si>
  <si>
    <t>@drfahrettinkoca Ençok korkuyu da aşılılar yaşıyor…</t>
  </si>
  <si>
    <t>1469757073844064258</t>
  </si>
  <si>
    <t>@drfahrettinkoca Okullar açık die böyle oluyor kapanması en iyi şey</t>
  </si>
  <si>
    <t>1469756616237006853</t>
  </si>
  <si>
    <t>@drfahrettinkoca Sayın Bakan aşının sonuçları bu kadar ortada iken onam formundan neden vazgeçilmiyor ??</t>
  </si>
  <si>
    <t>1469756585769644034</t>
  </si>
  <si>
    <t>@drfahrettinkoca Ya başka salgın var ya test sonuçları yanlış çıkıyor.Komşum bildigin korona ama negatif çıkıyor.na… https://t.co/BRU1eoHcgz</t>
  </si>
  <si>
    <t>1469756306340950017</t>
  </si>
  <si>
    <t>@drfahrettinkoca 12 yaş altına aşı hakkı istiyoruz</t>
  </si>
  <si>
    <t>1469755571184230409</t>
  </si>
  <si>
    <t>@drfahrettinkoca Bu konu hakkında iki çift laf eder misiniz? Covid yokmuş gibi davranan bu insanlar okula işe gelec… https://t.co/Jf2Fz1PU18</t>
  </si>
  <si>
    <t>1469754819187548168</t>
  </si>
  <si>
    <t>@drfahrettinkoca Hi hi aynen öyle 😏</t>
  </si>
  <si>
    <t>1469754556775116806</t>
  </si>
  <si>
    <t>@drfahrettinkoca Önce çocuklarımızın eğitimlerinde tedbir, isteyenin aşı haklarını elinden aldınız.Şimdi de sıra ma… https://t.co/NPp1r07l6t</t>
  </si>
  <si>
    <t>1469754527788187660</t>
  </si>
  <si>
    <t>@drfahrettinkoca Saz holding deki mağdur lardan sadece biriyim para yatırdım saz holding başındaki lideri 15 gün so… https://t.co/msSIfHD8sf</t>
  </si>
  <si>
    <t>1469754402517004288</t>
  </si>
  <si>
    <t>@drfahrettinkoca İlkokul 2-3 te kümeler vardır,A Byi kapsar,C de hepsini kapsar diye başlar..Bir ülkenin %91'i 1.do… https://t.co/z1ZQ61vPhF</t>
  </si>
  <si>
    <t>1469754303661412356</t>
  </si>
  <si>
    <t>@drfahrettinkoca Aşıklara bukadar güveniyorum diyorsanız onam formu neden var. Çıkıp eğer aşıdan kaynaklı birşey ol… https://t.co/vsSRF4cJmt</t>
  </si>
  <si>
    <t>1470167692271357952</t>
  </si>
  <si>
    <t>@drfahrettinkoca Millet uyandı, vay halinize.</t>
  </si>
  <si>
    <t>1470106553642631172</t>
  </si>
  <si>
    <t>@drfahrettinkoca Tam aşılı olmak için aşı sayısı belli mi? Tam aşılı demek hayat boyu 3 ayda bir aşı olmak demek. B… https://t.co/UngWoEvxX0</t>
  </si>
  <si>
    <t>1470094362436644868</t>
  </si>
  <si>
    <t>@drfahrettinkoca https://t.co/9DAnmQxQvZ</t>
  </si>
  <si>
    <t>1470094250608050177</t>
  </si>
  <si>
    <t>@drfahrettinkoca Yalanın Batsın Yalancısııııısın❗️❗️</t>
  </si>
  <si>
    <t>1470088230141927431</t>
  </si>
  <si>
    <t>@drfahrettinkoca Tam aşı kaç adet oluyor Sayın bakanım.</t>
  </si>
  <si>
    <t>1470082404069085184</t>
  </si>
  <si>
    <t>@drfahrettinkoca 3. Doz biontech olacak mıyız?</t>
  </si>
  <si>
    <t>1469800573608337416</t>
  </si>
  <si>
    <t>@drfahrettinkoca https://t.co/Z4ko0v39FX</t>
  </si>
  <si>
    <t>1469784980658466816</t>
  </si>
  <si>
    <t>@drfahrettinkoca Bıktırdınız artık hassasiyetinizden, korkutmalarınızdan</t>
  </si>
  <si>
    <t>1469777218033307654</t>
  </si>
  <si>
    <t>@drfahrettinkoca Aşı aralığını düşürün 6 ay yerine 5 Ay yapın olmak isteyen gidip yaptırsın o zaman Bakanım. Bir ay… https://t.co/KOqtvouHjd</t>
  </si>
  <si>
    <t>1469771945038299137</t>
  </si>
  <si>
    <t>@drfahrettinkoca @drfahrettinkoca @RTErdogan  siz nasıl insanlarsınız hayatımızı kararttınız gençliğimizi  kanımızı… https://t.co/9ynDgWzCMZ</t>
  </si>
  <si>
    <t>1469771907226648585</t>
  </si>
  <si>
    <t>@drfahrettinkoca Covid öldürmez, size 6 ayda bir  yapılacak  olan aşı , hiç çıkarmadan devamlı taktığınız petrol me… https://t.co/DIbhTYsHvy</t>
  </si>
  <si>
    <t>1469771190352891913</t>
  </si>
  <si>
    <t>@drfahrettinkoca Ya ülkeye insan almayın yaşadığım yer bulgar dolu ne maske ne mesafe</t>
  </si>
  <si>
    <t>1469771043975970821</t>
  </si>
  <si>
    <t>@drfahrettinkoca İstanbul https://t.co/QUSoaFxlXf yapacak sınız ?</t>
  </si>
  <si>
    <t>1469769722728271882</t>
  </si>
  <si>
    <t>@drfahrettinkoca 3 doz aşısını olan %80-85 hâlâ nasıl risk altında! Yada hala niye maske takıyor niye! Çünkü bilim… https://t.co/N5JnssRdlG</t>
  </si>
  <si>
    <t>1469769017736970242</t>
  </si>
  <si>
    <t>@drfahrettinkoca Sn Koca positif çıkan kişilerin yakınlarına ve temaslılarına test yapıyor musunuz?</t>
  </si>
  <si>
    <t>1469767760938893313</t>
  </si>
  <si>
    <t>@drfahrettinkoca https://t.co/4WWm8sWkaz</t>
  </si>
  <si>
    <t>1470162606904287232</t>
  </si>
  <si>
    <t>@drfahrettinkoca Yeter yahu yeteeeeeeeeeeeeeeerrrrrr illallah memleketin çivisi çıkmış sen aşı diyorsun Allah aşkın… https://t.co/pK19iukEph</t>
  </si>
  <si>
    <t>1469456498749227008</t>
  </si>
  <si>
    <t>@drfahrettinkoca Kardeşim 13 ay gecesini gündüzüne katarak kpss çalıştı 80 puan aldı tıbbi dökümantasyon ve sekrete… https://t.co/8joo7kTcQy</t>
  </si>
  <si>
    <t>1469452533429059587</t>
  </si>
  <si>
    <t>@drfahrettinkoca Bir Defolup gidin ya</t>
  </si>
  <si>
    <t>1469449179458121732</t>
  </si>
  <si>
    <t>@drfahrettinkoca Alkol almayanları aşıya zorlayın,bşr zamanlar alkol her kötülüklerin anasıydı şimdi götü kurtarman… https://t.co/zKAlvAbjKF</t>
  </si>
  <si>
    <t>1469446344167284746</t>
  </si>
  <si>
    <t>@drfahrettinkoca Yordun be Brom.</t>
  </si>
  <si>
    <t>1469445322866896906</t>
  </si>
  <si>
    <t>@drfahrettinkoca Vücuda zerkedilen bu sıvı zehir için ne çok ısrar edildi! İsteyen olur,istemeyen olmaz;kime ne!Vak… https://t.co/IDgeW74H8u</t>
  </si>
  <si>
    <t>1469445250603175939</t>
  </si>
  <si>
    <t>@drfahrettinkoca Şu aşı yaptırmak zorunda kalalım diye, test isteme olayını bi kaldır artık be.  Artık aşılı olanla… https://t.co/Cy2qZyxhBQ</t>
  </si>
  <si>
    <t>1469443829090693121</t>
  </si>
  <si>
    <t>@drfahrettinkoca inandık fahrettin aynen</t>
  </si>
  <si>
    <t>1469441265657913359</t>
  </si>
  <si>
    <t>@drfahrettinkoca Allah intik@m sahibidir.</t>
  </si>
  <si>
    <t>1469441197588500480</t>
  </si>
  <si>
    <t>@drfahrettinkoca Ayaklar baş, başlar ayak oldu.</t>
  </si>
  <si>
    <t>1469440907061514243</t>
  </si>
  <si>
    <t>@drfahrettinkoca daha 35 yaşında 3 çocuk annesi kanserden öldü şu zekânızı biraz bu ilaç için kulandaydınız keşke ş… https://t.co/LrLblEmguS</t>
  </si>
  <si>
    <t>1469440518669144074</t>
  </si>
  <si>
    <t>@drfahrettinkoca At yalanı sikim inananı . Gerçek sayıları yayınla!!!</t>
  </si>
  <si>
    <t>1469440425970835464</t>
  </si>
  <si>
    <t>@drfahrettinkoca Abim ve ailesi 3 doz asili ve hepsi covid. Soyleyecek birseyiniz var mi sayin bakan?</t>
  </si>
  <si>
    <t>1469440009501609986</t>
  </si>
  <si>
    <t>@drfahrettinkoca Sen ve ekibin başaramayacaksınız sizler ezelde mağlup olarak yaratıldınız siz bir tuzak kurdunuz A… https://t.co/041jEBskz5</t>
  </si>
  <si>
    <t>1469439976286920705</t>
  </si>
  <si>
    <t>@drfahrettinkoca yolun sonu sizin için bize iki senenin hesabını vereceksiniz kaçacak yeriniz kalmayacak canimizi a… https://t.co/d8aiU6hiSU</t>
  </si>
  <si>
    <t>1469438936460242945</t>
  </si>
  <si>
    <t>@drfahrettinkoca Bugun acilde düşüp yaralanan vakalarla doluydu adamin biri kan kaybindan gidecek asin varmi diye s… https://t.co/ByJtLGP4Ay</t>
  </si>
  <si>
    <t>1469438855619219468</t>
  </si>
  <si>
    <t>@drfahrettinkoca Allahtan da mı korkunuz yok</t>
  </si>
  <si>
    <t>1469438428102156297</t>
  </si>
  <si>
    <t>@drfahrettinkoca Hergün boş yapmaktan başka ne yaptın?</t>
  </si>
  <si>
    <t>1469437643448537094</t>
  </si>
  <si>
    <t>@drfahrettinkoca İnsanların ölmesi hoşunuza gidiyor zannımca</t>
  </si>
  <si>
    <t>1469437477282848782</t>
  </si>
  <si>
    <t>@drfahrettinkoca Sn Bakanım bırakın bu işi salgınla mücadele koordinatörü yapsın artık.Siz gerekeni yaptınız. En ba… https://t.co/Xh6X9nC7Dt</t>
  </si>
  <si>
    <t>1469437249284722690</t>
  </si>
  <si>
    <t>@drfahrettinkoca Sayın bakanım türk aşısından haber varmı ?</t>
  </si>
  <si>
    <t>1469437178002526209</t>
  </si>
  <si>
    <t>@drfahrettinkoca Vefat sayısı 176 yani 176 evin ocağına ateş düştü gerçekten atasözünde de dediği gibi "ateş düştüğ… https://t.co/GmpOePH7dy</t>
  </si>
  <si>
    <t>1469437127901556743</t>
  </si>
  <si>
    <t>@drfahrettinkoca Doktor bey bakın 👇🏻 https://t.co/Y4gZmVOGuI</t>
  </si>
  <si>
    <t>1469436128205885449</t>
  </si>
  <si>
    <t>@drfahrettinkoca Sen ne diyorsun hala yaaaa okullar ne olacak sosyal mesafe diyorsun bende gülüyorum 😀😀👍😀</t>
  </si>
  <si>
    <t>1469435697165709315</t>
  </si>
  <si>
    <t>@drfahrettinkoca Sayın bakan @drfahrettinkoca acilen 5-11 yaş aşıların açılmasını ve 3. dozların öne alınmasını bekliyoruz!</t>
  </si>
  <si>
    <t>1469435595785179141</t>
  </si>
  <si>
    <t>@drfahrettinkoca Maskeyle bile çocuklar okullardan covit  bulaşıyor maskesiz kısacası ölün diyorsunuz öğle mi ?… https://t.co/M4BXfbQnYx</t>
  </si>
  <si>
    <t>1469434696891256837</t>
  </si>
  <si>
    <t>@drfahrettinkoca Maske kalkıyor mu sayın Fahrettin bey Mahmut bey izin isteyecekmiş @BilimKurulu_ dan Corona bittiy… https://t.co/jAhbDCMLnx</t>
  </si>
  <si>
    <t>1469434287283920904</t>
  </si>
  <si>
    <t>@drfahrettinkoca Sayin Dr. Koca, babam Istanbulda sehir hastanesine gecen hafta ameliyat icin yatti, sira gelmeyinc… https://t.co/iXfzW9kPuS</t>
  </si>
  <si>
    <t>1469431908786335744</t>
  </si>
  <si>
    <t>@drfahrettinkoca Bak! Bu çiçek üzerinden o grafeni çocuklara dayama gibi oyunların kokusu geliyor dönüyor! İnş olma… https://t.co/0OZpRS3wxX</t>
  </si>
  <si>
    <t>1469431807577833479</t>
  </si>
  <si>
    <t>@drfahrettinkoca 🤦🏻‍♀️🤦🏻‍♀️🤦🏻‍♀️ senin de "u' dönüşü yaptığını görücez bir gün, hissediyorum.</t>
  </si>
  <si>
    <t>1469431615755538432</t>
  </si>
  <si>
    <t>@drfahrettinkoca Tedbirli davranan gençler mi !. Kapanmayan sınıf kalmadı yakın cevremde</t>
  </si>
  <si>
    <t>1469431356723798024</t>
  </si>
  <si>
    <t>@drfahrettinkoca Aa ne tesadüf bill beyde aynısını söylemiş. Hatta demişki 2022 yeni normal olacak diye. Hanı siz b… https://t.co/V2fCAjsR8a</t>
  </si>
  <si>
    <t>1469430902157680640</t>
  </si>
  <si>
    <t>@drfahrettinkoca ATAMA TARİHİNİ AÇIKLAYINIZ @drfahrettinkoca</t>
  </si>
  <si>
    <t>1469429417147523076</t>
  </si>
  <si>
    <t>1469429262742691851</t>
  </si>
  <si>
    <t>1469429147613204492</t>
  </si>
  <si>
    <t>@drfahrettinkoca Atama kılavuzunu yayınlayın @drfahrettinkoca</t>
  </si>
  <si>
    <t>1469429029921075209</t>
  </si>
  <si>
    <t>1469428931799433229</t>
  </si>
  <si>
    <t>1469428826266644480</t>
  </si>
  <si>
    <t>1469428713129488392</t>
  </si>
  <si>
    <t>1469428604610265093</t>
  </si>
  <si>
    <t>@drfahrettinkoca SAĞLIK BAKANLIĞI ATAMA TARİHİNİ AÇIKLAYINIZ @drfahrettinkoca</t>
  </si>
  <si>
    <t>1469428482627285000</t>
  </si>
  <si>
    <t>@drfahrettinkoca sayın bakanım atama ocağa kalsın mezun durumda olacak bir çok kişi var atamalara yetişmek istiyoruz</t>
  </si>
  <si>
    <t>1469428409625362434</t>
  </si>
  <si>
    <t>1469428407880589314</t>
  </si>
  <si>
    <t>1469428406400036870</t>
  </si>
  <si>
    <t>1469428404772556804</t>
  </si>
  <si>
    <t>1469428402914570242</t>
  </si>
  <si>
    <t>1469428401559724032</t>
  </si>
  <si>
    <t>1469428399995301897</t>
  </si>
  <si>
    <t>1469428398397313035</t>
  </si>
  <si>
    <t>1469428396685991940</t>
  </si>
  <si>
    <t>@drfahrettinkoca Atama tarihinj yarın bütçe görüşmelerinde açıklayınız sayın bakanım sağlıkçılar sizden müjde bekliyor</t>
  </si>
  <si>
    <t>1469428394936963077</t>
  </si>
  <si>
    <t>1469428394089660423</t>
  </si>
  <si>
    <t>@drfahrettinkoca Hoca bırak koviti, milleti bezdiren zam-ovitten bahset, aşısını bulunca görüşelim olur mu?</t>
  </si>
  <si>
    <t>1469428268155785222</t>
  </si>
  <si>
    <t>@drfahrettinkoca YOKSA COVİD 22 Mİ ÇIKTI PİYASAYA ?  COVİD 19 ETKİSİ AZALDI AMA NE HİKMETSE "VARYANTLARI " İŞ BAŞINDA .</t>
  </si>
  <si>
    <t>1469427363901497348</t>
  </si>
  <si>
    <t>@drfahrettinkoca Kar yağmaya başlayınca vakalar 40 k yı bulur. Hiç kimsenin güveni yok bu rakamlara</t>
  </si>
  <si>
    <t>1469426378818965510</t>
  </si>
  <si>
    <t>@drfahrettinkoca A$I'nın içinde neler var?A$I'dan kaç kişi öldü?Milleti A$I'lamanın gerçek sebebi nedir?Vakalar art… https://t.co/jq7lqxp9yh</t>
  </si>
  <si>
    <t>1469426240687902726</t>
  </si>
  <si>
    <t>@drfahrettinkoca Ülke IQ haritası bu. Ayrıca aşı korona olmamanız için değil olursanız hafif atlatmanız için yapılı… https://t.co/c3j5cdz8JC</t>
  </si>
  <si>
    <t>1469425735064559623</t>
  </si>
  <si>
    <t>@drfahrettinkoca Her yerde vakalar artarken hiç önlem olmamasına rağmen bizde nasıl azalıyor? Bu mucizeyi neye borç… https://t.co/H5ZyTb9E80</t>
  </si>
  <si>
    <t>1469425283627466765</t>
  </si>
  <si>
    <t>@drfahrettinkoca Tükendik bakanım bi aciklama bekliyoruz sizden !!!</t>
  </si>
  <si>
    <t>1469425154421932046</t>
  </si>
  <si>
    <t>@drfahrettinkoca KLAVUZ BEKLİYORUZ ATAMA BEKLİYORUZ ARTIK BAKANIM</t>
  </si>
  <si>
    <t>1469424634672164876</t>
  </si>
  <si>
    <t>@drfahrettinkoca NET TARİH BEKLİYORUZ BAKANIM YETER ARTIK</t>
  </si>
  <si>
    <t>1469424524840124423</t>
  </si>
  <si>
    <t>@drfahrettinkoca Benim anlamadığım Çin'den buraya geldi 1 haftada ama 1.6 yıldır herkes hasta olmadı öylemi vay beee nasıl virüs müş</t>
  </si>
  <si>
    <t>1469424268089905154</t>
  </si>
  <si>
    <t>@drfahrettinkoca kaç aşı tamamlanırsa eksik aşısız kalmayacak Fahrettin?</t>
  </si>
  <si>
    <t>1469424104398802946</t>
  </si>
  <si>
    <t>@drfahrettinkoca Bakanım doktor da yok. Kime güveniyorlar anlamiyorum</t>
  </si>
  <si>
    <t>1469423806854930432</t>
  </si>
  <si>
    <t>@drfahrettinkoca https://t.co/672ifyPcs5</t>
  </si>
  <si>
    <t>1469423540810223616</t>
  </si>
  <si>
    <t>@drfahrettinkoca 3 doz sinovac korumuyor aşı hakkı tanınmıyor ne olacak? Allah yardım eder inşallah🙏</t>
  </si>
  <si>
    <t>1469422754273320960</t>
  </si>
  <si>
    <t>@drfahrettinkoca 40 bin atama Kılavuzu Kasım dediniz Aralık oldu binlerce sağlıkçı ve ailesi hergun bekleyip sonuç… https://t.co/O2yocolXrn</t>
  </si>
  <si>
    <t>1469421771761897476</t>
  </si>
  <si>
    <t>@drfahrettinkoca Sevgili Saygı Değer Canım Bakanım @drfahrettinkoca .. Bursa en son , rakamlar 30000 lerdeyken böyl… https://t.co/SpxcjPchS9</t>
  </si>
  <si>
    <t>1469421437198999552</t>
  </si>
  <si>
    <t>@drfahrettinkoca Tarihin en büyük büyük yalancıları</t>
  </si>
  <si>
    <t>1469420836885045258</t>
  </si>
  <si>
    <t>@drfahrettinkoca Kılavuzu istiyoruz artık bakanım sabrımız tükendi bu yıl bitmeden atamanın başlamasını istiyoruz m… https://t.co/SmKfetqQR5</t>
  </si>
  <si>
    <t>1469420558655893505</t>
  </si>
  <si>
    <t>@drfahrettinkoca Pardon endişe azalıyor derken kendinizden bahsediyor olmalısınız bu kadar vurdum duymaz rahat olan… https://t.co/S7SJaaC3fz</t>
  </si>
  <si>
    <t>1469419637330923536</t>
  </si>
  <si>
    <t>@drfahrettinkoca Aşı olmak istemiyorum</t>
  </si>
  <si>
    <t>1469419445667909633</t>
  </si>
  <si>
    <t>@drfahrettinkoca Madem tutmayacaksanız niye söz veriyorsunuz , 2 ay diyip 6 ay bekletiyorsunuz Madem işler ters git… https://t.co/uABeX4lXTx</t>
  </si>
  <si>
    <t>1469419373542658053</t>
  </si>
  <si>
    <t>@drfahrettinkoca akdeniz bölgesinde ciddi bir aşı yaptırmama problemi var ve bu konuda yaptırımlar olmalı</t>
  </si>
  <si>
    <t>1469418017847132163</t>
  </si>
  <si>
    <t>@drfahrettinkoca https://t.co/FV1NeCzKvL</t>
  </si>
  <si>
    <t>1469418002873556999</t>
  </si>
  <si>
    <t>@drfahrettinkoca BUGÜN ÖLÜM TEHTİDİ ALDIM !Resmî makamlara kaydolacağını bile bile MHRS den doktora ölüm tehtidinde… https://t.co/Yf3cVfsgof</t>
  </si>
  <si>
    <t>1469417852339900423</t>
  </si>
  <si>
    <t>@drfahrettinkoca GENÇLERİ OKULA GÖNDEREREK NASIL AZALIYOR DİYEBİLİRSİNİZ, GÖZLERİNİZİ AÇIN ARTIK!… https://t.co/e7lxrnMddu</t>
  </si>
  <si>
    <t>1469417533497393159</t>
  </si>
  <si>
    <t>@drfahrettinkoca Aşının pek koruyuculuğunu görmedim sayın bakan</t>
  </si>
  <si>
    <t>1469417147243937802</t>
  </si>
  <si>
    <t>@drfahrettinkoca Sayın bakan atama için haziranı beklemeyeceksin herhalde o kadar da uzatmazsın değil mi ?</t>
  </si>
  <si>
    <t>1469416904137879562</t>
  </si>
  <si>
    <t>@drfahrettinkoca Sırf okul için sayıları azalttınız</t>
  </si>
  <si>
    <t>1469416301902929923</t>
  </si>
  <si>
    <t>@drfahrettinkoca Bir düşün yakamızdan, yeter yaa,pandemi bitti,hala  sürdürmek için  ugrasiyorsunuz</t>
  </si>
  <si>
    <t>1469416265055969284</t>
  </si>
  <si>
    <t>@drfahrettinkoca https://t.co/VAB3T54NW0</t>
  </si>
  <si>
    <t>1469415897383280649</t>
  </si>
  <si>
    <t>@drfahrettinkoca Tanıdığım hiç bir çocuğa test yapılmıyor direkt antibiyotik verilip eve yollanıyorlar. Esi covid o… https://t.co/RVcIUIH2AT</t>
  </si>
  <si>
    <t>1469415881621053446</t>
  </si>
  <si>
    <t>@drfahrettinkoca Nas suresi , bakara suresi ben Fatiha suresini okuyacağım az kaldı........</t>
  </si>
  <si>
    <t>1469415588904972289</t>
  </si>
  <si>
    <t>@drfahrettinkoca Ne şehittir ne gazi, Ama yine de bilmeli,  Niye vuruluyor o aşıyı, şu bizim niyazi..… https://t.co/jAuzTMkrXn</t>
  </si>
  <si>
    <t>1469415353189076995</t>
  </si>
  <si>
    <t>@drfahrettinkoca Sayın bakan hala masal anlatmaya devam ediyorsunuz,peki neden covid den ölenlere otopsi yapılmıyor… https://t.co/BIQ3j332XF</t>
  </si>
  <si>
    <t>1469415264412483593</t>
  </si>
  <si>
    <t>@drfahrettinkoca Insanların endişesi azalır tabii siz o kadar normal davranıyor hiç bir önlem almıyorsunuz ki devle… https://t.co/f4KdogymRP</t>
  </si>
  <si>
    <t>1469414661468692486</t>
  </si>
  <si>
    <t>@drfahrettinkoca Sayin bakan pandemi lafta bitmedi ama gercekte bitti toplum normal hayatina çoktan dondu. Ulkeyi cok uzaktan takiptesin</t>
  </si>
  <si>
    <t>1469414595227959301</t>
  </si>
  <si>
    <t>@drfahrettinkoca Şu Vefat sayılarıni abartmak dan bi bikmadin ve faho ağa  anladik DSÖ istiyor bunu korku pompalayi… https://t.co/jZomdnMzTc</t>
  </si>
  <si>
    <t>1469414267615076360</t>
  </si>
  <si>
    <t>@drfahrettinkoca A-şı-la-nan-lar... Daha böyle yan etkiler var, ekrana yansımayan, saklanan... Milyona yaklaşan ölü… https://t.co/PRs2VtRBYc</t>
  </si>
  <si>
    <t>1469414109938688006</t>
  </si>
  <si>
    <t>@drfahrettinkoca Meclisteki  vekillerin aşıları tam mı, önce onları mı darlasanız?</t>
  </si>
  <si>
    <t>1469413813812355076</t>
  </si>
  <si>
    <t>@drfahrettinkoca "Omicron'un hedefinde 5 yaş altı çocuklar var" diyen mehmet ceyhan, demek istiyor ki çocukları aşı… https://t.co/i1m41Qcgv5</t>
  </si>
  <si>
    <t>1469412024945893383</t>
  </si>
  <si>
    <t>@drfahrettinkoca Keşke gerçekten 2020 'deki hassasiyetiniz olsa konu ile ilgili... Aşıya, önleme rağmen bizzat çok… https://t.co/KvnY46knCB</t>
  </si>
  <si>
    <t>1469411886856912907</t>
  </si>
  <si>
    <t>@drfahrettinkoca Düş artık peşimizden yetmedi mi!</t>
  </si>
  <si>
    <t>1469411758368604162</t>
  </si>
  <si>
    <t>@drfahrettinkoca @halileldemir Hastanede çalışan hbys yani bilgi işlem personelleri taşeron yasası mağduru yazılım… https://t.co/Ho9cXdy3S6</t>
  </si>
  <si>
    <t>1469411327974252550</t>
  </si>
  <si>
    <t>@drfahrettinkoca 2. Doz aşıyor olunca kendimi zayıf hissettim güvenimi kaybettim vücudum sapasağlamken günlerdir gü… https://t.co/TZjyuQ1X0J</t>
  </si>
  <si>
    <t>1469410871881478158</t>
  </si>
  <si>
    <t>@drfahrettinkoca https://t.co/o4kfclDyS6</t>
  </si>
  <si>
    <t>1469410844933074960</t>
  </si>
  <si>
    <t>@drfahrettinkoca Fıkra bukadardı,</t>
  </si>
  <si>
    <t>1469410705162055684</t>
  </si>
  <si>
    <t>@drfahrettinkoca O değil de istifa ederken bize ne söyleyeceksiniz acaba insan merak etmiyor değil…</t>
  </si>
  <si>
    <t>1469410500475764741</t>
  </si>
  <si>
    <t>@drfahrettinkoca Süt 15 tl olmuş biliyor musunuz</t>
  </si>
  <si>
    <t>1469410296737509385</t>
  </si>
  <si>
    <t>@drfahrettinkoca Endişe tabiki azalıyor.insanları bu hastalık öldürür öldürmezse süründürür diye korkuttunuz.Anladı… https://t.co/jaDIffzxWA</t>
  </si>
  <si>
    <t>1469409903970295819</t>
  </si>
  <si>
    <t>@drfahrettinkoca Konu saglikti degilmi sayın bakan https://t.co/wUDXBGFJcA</t>
  </si>
  <si>
    <t>1469409744142192642</t>
  </si>
  <si>
    <t>@drfahrettinkoca Sözün bittiği yerdeyim,kelimeler kifayetsiz kalıyor ne desek boş,ama yine de yazmadan duramıyorum… https://t.co/txVLXblUI2</t>
  </si>
  <si>
    <t>1469409715566387209</t>
  </si>
  <si>
    <t>@drfahrettinkoca Aşılar azaldı, vaka ve ölümler de buna paralel azaldı. Bunun bilimsel açıklaması nedir acaba?</t>
  </si>
  <si>
    <t>1469409471491420163</t>
  </si>
  <si>
    <t>@drfahrettinkoca Salla alan geniş .aşı taşeronluğu yapmayı bırakın artik.asi hiçbirşekilde korumuyor.aşı olupta ent… https://t.co/WWALYYsAdu</t>
  </si>
  <si>
    <t>1469409383121620992</t>
  </si>
  <si>
    <t>@drfahrettinkoca Evet bu doru</t>
  </si>
  <si>
    <t>1469409091441332232</t>
  </si>
  <si>
    <t>@drfahrettinkoca Allahını seversen komple tekrar kapatsana bakalım ekonomik olarak ülke ne kadar refaha ulaşacak ve… https://t.co/R89YCKtf2j</t>
  </si>
  <si>
    <t>1469407489233981443</t>
  </si>
  <si>
    <t>@drfahrettinkoca Covid 19'a yakalanma endişe giderek azalıyor mu ? Her gün korkarak gidiyorum okula. Kimsede ne maske ne mesafe var.</t>
  </si>
  <si>
    <t>1469406611819188242</t>
  </si>
  <si>
    <t>@drfahrettinkoca https://t.co/nY5546GhmZ</t>
  </si>
  <si>
    <t>1469406530424422406</t>
  </si>
  <si>
    <t>@drfahrettinkoca Covit diye diye hastaneleri mahvettiniz sağlık sektörünüz çöktü haberiniz varmı sayın bakan sizde… https://t.co/uYxOnBY8pg</t>
  </si>
  <si>
    <t>1469406401256644612</t>
  </si>
  <si>
    <t>@drfahrettinkoca Sayın bakanım hayır maksadıyla babam tarafından yaptırılıp devlete bağışlanmış olan Kozan Devlet h… https://t.co/fhgeXlgTuz</t>
  </si>
  <si>
    <t>1469405620474417154</t>
  </si>
  <si>
    <t>@drfahrettinkoca Oyunun birinci perdesini bitiriyoruz diyorsunuz yani 🤔</t>
  </si>
  <si>
    <t>1469405548026208266</t>
  </si>
  <si>
    <t>@drfahrettinkoca yatacak yeriniz  yok aşılanıpta her türlü hastalığı nüks eden insanları   ahını nasıl kaldıracaksınız</t>
  </si>
  <si>
    <t>1469404944721752074</t>
  </si>
  <si>
    <t>@drfahrettinkoca Aşılarını tamamlamış tedbirli ama yan etkilerden ölen vatandaş sayısı nedir?</t>
  </si>
  <si>
    <t>1469404801746227205</t>
  </si>
  <si>
    <t>@drfahrettinkoca Hocam ben 15.dozumu oldum acaba aşıların tam mi oluyor yoksa bir 15 tane daha deniyim mi</t>
  </si>
  <si>
    <t>1469403979343876105</t>
  </si>
  <si>
    <t>@drfahrettinkoca Hala da atama yok. Çok ilginç</t>
  </si>
  <si>
    <t>1469403779351121924</t>
  </si>
  <si>
    <t>@drfahrettinkoca İki doz aşımızı olmamıza, tedbirli davranmamıza rağmen endişemiz maalesef azalmıyor. Çocuklarımız… https://t.co/cQ83idcUGO</t>
  </si>
  <si>
    <t>1469403604935233538</t>
  </si>
  <si>
    <t>@drfahrettinkoca Bill diyor 2022 bitiyor covid var siz duymak haber</t>
  </si>
  <si>
    <t>1469403056555110406</t>
  </si>
  <si>
    <t>@drfahrettinkoca Haftada bir fln yazın artık. Pek inanan kalmadı</t>
  </si>
  <si>
    <t>1469402623698735108</t>
  </si>
  <si>
    <t>@drfahrettinkoca Virüsü zaten kendi haline bıraksak şu an dongusunu tamamlardı. Ölen ölür kalan kalırdı. Modern dün… https://t.co/0dO02bjbnz</t>
  </si>
  <si>
    <t>1469402594611286024</t>
  </si>
  <si>
    <t>@drfahrettinkoca Allah billah aşkna kılavuz icinde az çaba az yeter artk bakanım</t>
  </si>
  <si>
    <t>1469402251655585793</t>
  </si>
  <si>
    <t>@drfahrettinkoca Bu bu nedir bu????  👇👇👇 https://t.co/v6dSnGrCGA</t>
  </si>
  <si>
    <t>1469402214091440137</t>
  </si>
  <si>
    <t>@drfahrettinkoca Kaçıncı aşıda tamamlanmış olacak... Uğur müjde verdi yeni versiyonda üç aşı daha gerekiyormuş...</t>
  </si>
  <si>
    <t>1469402182030135307</t>
  </si>
  <si>
    <t>@drfahrettinkoca Zerre şerefi olan biri, şimdiye kadar ya istifa eder ya da nedamet ederdi . Senin gibiler için iyi ki cehennem var</t>
  </si>
  <si>
    <t>1469401347250429953</t>
  </si>
  <si>
    <t>@drfahrettinkoca Üçüncü dozlar acil ve koşulsuz açılmalı</t>
  </si>
  <si>
    <t>1469401254912737280</t>
  </si>
  <si>
    <t>@drfahrettinkoca Okuduğum bir habere göre meb bakanı  anasınıfından baslayarak maskeyi çıkaracağımızı söylemiş.Amaç ne anlayamadım.</t>
  </si>
  <si>
    <t>1469401139548495877</t>
  </si>
  <si>
    <t>@drfahrettinkoca 3. Doz haritası yakında gelir mi?</t>
  </si>
  <si>
    <t>1469400397924159488</t>
  </si>
  <si>
    <t>@drfahrettinkoca Kılavuzu istiyoruz</t>
  </si>
  <si>
    <t>1469400069770297344</t>
  </si>
  <si>
    <t>@drfahrettinkoca https://t.co/fABzpOZClH</t>
  </si>
  <si>
    <t>1469399889096450058</t>
  </si>
  <si>
    <t>@drfahrettinkoca Büyük saçmalık bu tablo.Okulları kapatmamak için elinizden geleni yapıyorsunuz.Okulllar kovidli öğ… https://t.co/uRMsT2UHWs</t>
  </si>
  <si>
    <t>1469399743952474112</t>
  </si>
  <si>
    <t>@drfahrettinkoca https://t.co/4a4tqg6bLn</t>
  </si>
  <si>
    <t>1469399188169502724</t>
  </si>
  <si>
    <t>@drfahrettinkoca Sizi bizi düşünmeyin..bizim iyiliğimiz içın düşünmeyin..HERKES KENDİ SAĞLIĞINI DÜŞÜNECEK KADAR AKL… https://t.co/3Wu2YcDd8N</t>
  </si>
  <si>
    <t>1469399017767505925</t>
  </si>
  <si>
    <t>@drfahrettinkoca Aşılılarda kalp ten gidiyor kanser çoğaldı kadın hastalıkları genç yaşlı hepsinde birer hastalık ç… https://t.co/yAHPpebFPd</t>
  </si>
  <si>
    <t>1469398083414933516</t>
  </si>
  <si>
    <t>@drfahrettinkoca 30 una değmemiş bir kardeşimiz ise vefat etti 3.dozdan sonra.Ekmeğimden olmayım pcr zulmüne maruz… https://t.co/ibB9Mc7i7X</t>
  </si>
  <si>
    <t>1469397682800181255</t>
  </si>
  <si>
    <t>@drfahrettinkoca Sayın Bakanım 2019 yılında kovit ortada yokken Tüik verilerine göre ülkemizde grip ve gribal enfek… https://t.co/FL0Fiq6472</t>
  </si>
  <si>
    <t>1469397423067914247</t>
  </si>
  <si>
    <t>@drfahrettinkoca Aşıları herkese 5 şer yapın olsun bitsin hergün twit atmaya da gerek kalmaz, Sahi bu aşıların Türk… https://t.co/DScQj8NL6w</t>
  </si>
  <si>
    <t>1469397285180215297</t>
  </si>
  <si>
    <t>@drfahrettinkoca Kalp krizlerindeki artışı araştırıp açıklayın mesele sağlık ise komplo teorisi denilen her şey bir… https://t.co/eNH3XX3xe4</t>
  </si>
  <si>
    <t>1469397113817767936</t>
  </si>
  <si>
    <t>@drfahrettinkoca Yemin ederim resmen alay ediyorsunuz başka açıklaması yok</t>
  </si>
  <si>
    <t>1469396899442700304</t>
  </si>
  <si>
    <t>@drfahrettinkoca 30-40 yaş aralığında iki tanıdığım kalpten rahatsızlık geçirdi,spazm geçirdi,ikiside anjiyo oldu b… https://t.co/afs5hbE7ql</t>
  </si>
  <si>
    <t>1469396887329509376</t>
  </si>
  <si>
    <t>@drfahrettinkoca https://t.co/bojr3tBOQ5</t>
  </si>
  <si>
    <t>1469396723915272199</t>
  </si>
  <si>
    <t>@drfahrettinkoca bakan koca sayılarla oynayıp   insanları   kandırmaktan baska  birsey yapmıyorsunuz  küresilci cet… https://t.co/SiRPwqYpYf</t>
  </si>
  <si>
    <t>1469396219059392519</t>
  </si>
  <si>
    <t>@drfahrettinkoca https://t.co/PMAgYJmyU9</t>
  </si>
  <si>
    <t>1469395267950718978</t>
  </si>
  <si>
    <t>@drfahrettinkoca 2 doz sinovac lıyım dün test yaptırdım pozitif.gece geçmek bilmedi adım atmakta zorlanıyorum.bu aşının neye faydası var</t>
  </si>
  <si>
    <t>1469394879348461577</t>
  </si>
  <si>
    <t>@drfahrettinkoca Asenat sma tip 1 ölümcül kas hastası.  Şuan 19 aylık ve 9 kilo yaşama tutunabilmek için destekleri… https://t.co/k9bH4FVfa3</t>
  </si>
  <si>
    <t>1469394631985184768</t>
  </si>
  <si>
    <t>@drfahrettinkoca @saglikbakanligi Asenat sma tip 1 ölümcül kas hastası.  Şuan 19 aylık ve 9 kilo yaşama tutunabilme… https://t.co/CbzoNdHXWY</t>
  </si>
  <si>
    <t>1469394513366069252</t>
  </si>
  <si>
    <t>@drfahrettinkoca Artık birazda gerçeklerle yaşayalım lütfen</t>
  </si>
  <si>
    <t>1469394108120719362</t>
  </si>
  <si>
    <t>@drfahrettinkoca ÇİN, RUS, ALMAN, ŞİMDİ TÜRK. KAÇ DOZ OLDU TOPLAMDA. SENİ KAÇ DOZ KESER. SEN VE BİLİM KURULUNUN DSÖ… https://t.co/iImDyKFYgn</t>
  </si>
  <si>
    <t>1469394049455071235</t>
  </si>
  <si>
    <t>@drfahrettinkoca Mason bırak yalanı https://t.co/p0VN3BQX2j</t>
  </si>
  <si>
    <t>1469393681929097217</t>
  </si>
  <si>
    <t>@drfahrettinkoca Lan ya göz göre göre insanları salak yerine koyuyorlar 18 bin vaka ne</t>
  </si>
  <si>
    <t>1469393260279910401</t>
  </si>
  <si>
    <t>@drfahrettinkoca İki damla kolonya ile ölen virüsü 12 aydır çok kutsal sıvılarla öldüremediler. Bari kolonya enjekte etseydiniz</t>
  </si>
  <si>
    <t>1469393228478754825</t>
  </si>
  <si>
    <t>@drfahrettinkoca Kaç doz aşıda aşı tamamlanmış sayılıyor. 4,5,6,7,100</t>
  </si>
  <si>
    <t>1469392826152759296</t>
  </si>
  <si>
    <t>@drfahrettinkoca Aşı Satmaya Devam :) Vakayı İndirmişsin Reis Bu Vaka Sadece İstanbuldan Çıkar</t>
  </si>
  <si>
    <t>1469392798822633477</t>
  </si>
  <si>
    <t>@drfahrettinkoca Pislik</t>
  </si>
  <si>
    <t>1469392711161720834</t>
  </si>
  <si>
    <t>@drfahrettinkoca istikrarlı bir düşüş var, ocakta bu iş bitecek sanki, yeni derdimiz, iklim krizi</t>
  </si>
  <si>
    <t>1469392649014722563</t>
  </si>
  <si>
    <t>@drfahrettinkoca Bakanım 30 binlik alım kılavuzu ne oldu Yıl bitti 1 2 gün dediniz haftalar geçti 1 2 hafta dediniz… https://t.co/9Gw6dnZ3qT</t>
  </si>
  <si>
    <t>1469392618022965254</t>
  </si>
  <si>
    <t>@drfahrettinkoca Siz koskoca doktorsunuz ama nedense biyontec mümessili gibi davranıyorsunuz. Nasıl hem doktor olup… https://t.co/4M0Nohh7CO</t>
  </si>
  <si>
    <t>1469392223863201798</t>
  </si>
  <si>
    <t>@drfahrettinkoca Metaverse ye küresel sıfırlama ve puantaja insanlara TC kimliğe göre gıda vermeye 10 bin adım attı… https://t.co/oVGHpUeAhj</t>
  </si>
  <si>
    <t>1469391731556823044</t>
  </si>
  <si>
    <t>@drfahrettinkoca Aşı olunca kovid olmayacaksan ol. Ama aşı olup covid olup yoğunbakıma düşebilirsin. Aşı ol ama ted… https://t.co/gbxN7M2tY3</t>
  </si>
  <si>
    <t>1469391456402092039</t>
  </si>
  <si>
    <t>@drfahrettinkoca Covide yakalanmak, aşı olmak ve verdiğiniz ilaçları kullanmak kadar endişelendirmiyor!!</t>
  </si>
  <si>
    <t>1469391353243226129</t>
  </si>
  <si>
    <t>@drfahrettinkoca bir insan kalbi kırmak ne kadar günahsa bu kadar insanı görmezden geldiniz, gönlünü kırdınız. Allah bizimle.</t>
  </si>
  <si>
    <t>1469391020169252866</t>
  </si>
  <si>
    <t>@drfahrettinkoca Takke düştü. https://t.co/QjugjDF3j2</t>
  </si>
  <si>
    <t>1469390951445581825</t>
  </si>
  <si>
    <t>@drfahrettinkoca Aşı aralığını düşürün 6 ay yerine 5 Ay yapın olmak isteyen gidip yaptırsın o zaman.  Ayrıca Grip a… https://t.co/8Lb6f4j4Q8</t>
  </si>
  <si>
    <t>1469390679688335366</t>
  </si>
  <si>
    <t>@drfahrettinkoca Acaba şuna benim yazdıklarımı görüyor musunuz sayın @drfahrettinkoca  gerçi nerden göreceksiniz iş… https://t.co/JhGbJeNrb4</t>
  </si>
  <si>
    <t>1469390472540049408</t>
  </si>
  <si>
    <t>@drfahrettinkoca KAÇ ADET OLACAK</t>
  </si>
  <si>
    <t>1469390431507165190</t>
  </si>
  <si>
    <t>@drfahrettinkoca Antalya nın çocukları https://t.co/uD3sZdTWV9</t>
  </si>
  <si>
    <t>1469390334446739456</t>
  </si>
  <si>
    <t>@drfahrettinkoca sayın bakanım aşı dayatmasına biraz ara versenizde saat başı gelen zamlarada el atsanız  millet aş… https://t.co/cSN7cSAroA</t>
  </si>
  <si>
    <t>1469390309876453382</t>
  </si>
  <si>
    <t>@drfahrettinkoca Şuraya bak her gün Twitter’dan hakkımızı aramaktan bıktık işimizi yapmak istiyoruz çok basit yaf g… https://t.co/zbKSkuUVnu</t>
  </si>
  <si>
    <t>1469390192943452165</t>
  </si>
  <si>
    <t>@drfahrettinkoca ALLAH razı olsun bakanım  Var olasınız  Çabanızdan dolayı</t>
  </si>
  <si>
    <t>1469390175109324801</t>
  </si>
  <si>
    <t>@drfahrettinkoca Bunca insanın vebali üzerinizde sayın koca @drfahrettinkoca</t>
  </si>
  <si>
    <t>1469389842203267076</t>
  </si>
  <si>
    <t>@drfahrettinkoca @drfahrettinkoca  klavuz gelsin artık</t>
  </si>
  <si>
    <t>1469389654038388751</t>
  </si>
  <si>
    <t>@drfahrettinkoca 🤯Viral Suya 🔥that shock the world 🐏🐏🐏🐏🐏🐏g https://t.co/hPlMFBwutF</t>
  </si>
  <si>
    <t>1469389524958593026</t>
  </si>
  <si>
    <t>@drfahrettinkoca Allah sizleri aç,kuyruk,zam ile tartabiliyor! Sabredin,isyan etmeyin! Bu Ecevit var ya,halkı kuyru… https://t.co/OtetcpZuQ3</t>
  </si>
  <si>
    <t>1469389435208970240</t>
  </si>
  <si>
    <t>@drfahrettinkoca Hiç umurunuzda bile değil demi atama verilen sözler</t>
  </si>
  <si>
    <t>1469389296733986820</t>
  </si>
  <si>
    <t>@drfahrettinkoca Sayın bakan bu doğrumu..yeni başlamış bitmemiş bir çalışmanın sonucu nasıl olur... https://t.co/SIUfE1iOZX</t>
  </si>
  <si>
    <t>1469388702229176324</t>
  </si>
  <si>
    <t>@drfahrettinkoca https://t.co/NZjxWHTLQk</t>
  </si>
  <si>
    <t>1469388643420807177</t>
  </si>
  <si>
    <t>@drfahrettinkoca Verdiği sözlerde durmayan bakanlık . Atanam ne oldu</t>
  </si>
  <si>
    <t>1469388466018562059</t>
  </si>
  <si>
    <t>@drfahrettinkoca Olacak inşallah kurtulacağız bu illetten</t>
  </si>
  <si>
    <t>1469387877226323971</t>
  </si>
  <si>
    <t>@drfahrettinkoca 2023 @herkesicinCHP nin olacak inş 🙏🏼</t>
  </si>
  <si>
    <t>1469387854065328141</t>
  </si>
  <si>
    <t>@drfahrettinkoca Cavit19 salgını yoktu ki endişesi olsun #plandemitiyatrosu #AşıyaHayır #fahrettinkocaistifa https://t.co/D3kDCJnKaK</t>
  </si>
  <si>
    <t>1469387852278603779</t>
  </si>
  <si>
    <t>@drfahrettinkoca Bu aşılar ne zaman tamamlanmış olacak net bilgi verin! Mesela 10.doz son mu😂</t>
  </si>
  <si>
    <t>1469387602725945344</t>
  </si>
  <si>
    <t>@drfahrettinkoca Ne aşı oldum nede pcr testi çok mutluyum ve de çok sağlıklı aşı olanlara saygım var olmayanlarada… https://t.co/LbfibJZiK0</t>
  </si>
  <si>
    <t>1469387270901878788</t>
  </si>
  <si>
    <t>@drfahrettinkoca Size inanmıyoruz ilk başlarda adam gibi yapıyordunuz görevinizi şimdi diğerlerinden farkınız kalmadı istifa edin</t>
  </si>
  <si>
    <t>1469386922422374403</t>
  </si>
  <si>
    <t>@drfahrettinkoca 3 doz sinovac olanların üzerinden kaç ay geçince koruyuculuk bitiyor 4 ay oldu bizde</t>
  </si>
  <si>
    <t>1469386808270143500</t>
  </si>
  <si>
    <t>@drfahrettinkoca Günlük koronadan ölü sayısı 200un üstünde oluyor. sizi ilk önce aynaya bakmayı tavsiye ediyorum .</t>
  </si>
  <si>
    <t>1469386647842209793</t>
  </si>
  <si>
    <t>@drfahrettinkoca Adana da yoğunbakımlar dolu.nasıl azalıyor anlamıyorum</t>
  </si>
  <si>
    <t>1469386622378647560</t>
  </si>
  <si>
    <t>@drfahrettinkoca Haritanıza göre ORDU ilimiz aşılamada lider. Yani birinci sırada.  Vaka haritasına bakınca ordunun… https://t.co/FaF4I5pmNT</t>
  </si>
  <si>
    <t>1469386360566030346</t>
  </si>
  <si>
    <t>@drfahrettinkoca Sayın bakanım 65 yaşında Kroner risk gurubundayım.3 kez sinovak aşı oldum 5 ay geçti. Biyontek aşı… https://t.co/TSI9dBKlu9</t>
  </si>
  <si>
    <t>1469386280131780612</t>
  </si>
  <si>
    <t>@drfahrettinkoca İnşallah Allah'ın izniyle yok olur</t>
  </si>
  <si>
    <t>1469385419703959556</t>
  </si>
  <si>
    <t>@drfahrettinkoca Hem hastanede ölenler aşısızlar diyeceksin, hem de "aşısızlar virüsü yayıyor,pcr yaptırmalı, maske… https://t.co/Qmft2JLhcE</t>
  </si>
  <si>
    <t>1469384912541294595</t>
  </si>
  <si>
    <t>@drfahrettinkoca Defol</t>
  </si>
  <si>
    <t>1469384901833203716</t>
  </si>
  <si>
    <t>@drfahrettinkoca Sayın Bakanım, Annem 85 yaşında, 3 doz sinovac oldu, sonuncusu 29.07.2021 de. 4.doz için ( biontek… https://t.co/ByRb3315w6</t>
  </si>
  <si>
    <t>1469384827980107776</t>
  </si>
  <si>
    <t>@drfahrettinkoca VERİLEN SÖZLER YİNE TUTULMADI HEMDE 32 GÜN GEÇMESİNE RAĞMEN. BİZ SAĞLIK BAKANINA YAKIŞTIRAMIYORUZ… https://t.co/hv6ktFH5us</t>
  </si>
  <si>
    <t>1469384667140968455</t>
  </si>
  <si>
    <t>@drfahrettinkoca Atama yap atama</t>
  </si>
  <si>
    <t>1469384517764878338</t>
  </si>
  <si>
    <t>@drfahrettinkoca @drfahrettinkoca hala aşı diyorsunuz bunca atama bekleyen insanları görmezden nasıl geliyorsunuz a… https://t.co/n93aYkKqAr</t>
  </si>
  <si>
    <t>1469384479739453446</t>
  </si>
  <si>
    <t>@drfahrettinkoca Merhaba Sayın bakanım 2 doz biontech olup corana ya yakalanıp 3. Doz aşı olmamıza gerek varmıdır.</t>
  </si>
  <si>
    <t>1469384456930840579</t>
  </si>
  <si>
    <t>@drfahrettinkoca #DenklikSorunu  #DenklikteÇareErdogan  Lütfen Artık Gençlere Sahip Çıkın Bizi Hayata Bağlayın Peri… https://t.co/8UdT3aT0sA</t>
  </si>
  <si>
    <t>1469384094840721412</t>
  </si>
  <si>
    <t>@drfahrettinkoca Bir bakan var, koskoca2021yılında hemde sağlıkçılar yılı olarak adlandırılan sözde yılda 1 persone… https://t.co/KrN1WOpQLx</t>
  </si>
  <si>
    <t>1469384089543356425</t>
  </si>
  <si>
    <t>@drfahrettinkoca Danışmanlarınız, Aşılanma oranı düşük kalan illerde vaka sayısının 5 kat fazla mı olduğunu söylüyo… https://t.co/52Gixikx4T</t>
  </si>
  <si>
    <t>1469384059117785094</t>
  </si>
  <si>
    <t>@drfahrettinkoca https://t.co/7sfUF1joe3</t>
  </si>
  <si>
    <t>1469384044181962767</t>
  </si>
  <si>
    <t>@drfahrettinkoca https://t.co/qGB88asvaE</t>
  </si>
  <si>
    <t>1469383900690530305</t>
  </si>
  <si>
    <t>@drfahrettinkoca Sayın Mahmut Özer bey 'e twitter açmasını söyler misiniz ? Teşekkürler</t>
  </si>
  <si>
    <t>1469383555226771467</t>
  </si>
  <si>
    <t>@drfahrettinkoca https://t.co/7eV8roQsWp</t>
  </si>
  <si>
    <t>1469383535509360650</t>
  </si>
  <si>
    <t>@drfahrettinkoca Sayın bakanım çocuk 4 yaşında pozitif 10 gün karantina deniliyor anne aşı oldu diye işe gitme zoru… https://t.co/j4gu7sI1xT</t>
  </si>
  <si>
    <t>1469383374296989705</t>
  </si>
  <si>
    <t>@drfahrettinkoca Sayın bakan yeri geldi bir kedi için bile tweet attınız. Ama burda 750 bin genç nesilin haykırışla… https://t.co/km9d7spltJ</t>
  </si>
  <si>
    <t>1469383298355019790</t>
  </si>
  <si>
    <t>@drfahrettinkoca sayın bakan, okulları takip edin. gerçeklere dönün.</t>
  </si>
  <si>
    <t>1469383231791370245</t>
  </si>
  <si>
    <t>@drfahrettinkoca Hastanelerde randevu bulamıyoruz Corona değilde diğer hastalıklardan milleti kıracaksınız bu gidişle</t>
  </si>
  <si>
    <t>1469382463998898183</t>
  </si>
  <si>
    <t>@drfahrettinkoca Sağlık yönetimi mezunları atama bekliyor @drfahrettinkoca #SağlıkYönetimineKadro</t>
  </si>
  <si>
    <t>1469382353046978571</t>
  </si>
  <si>
    <t>@drfahrettinkoca Avrupa'da Afrika'da Amerika'da vakalar artıyorken bizde düşüyor. Neden biz kurallara çokmu uyuyoru… https://t.co/fFhbIYFDYa</t>
  </si>
  <si>
    <t>1469382307798781957</t>
  </si>
  <si>
    <t>@drfahrettinkoca Atama konusunda tedbirli davranmadiniz gençlerin psikolojik sağlığı bozuldu. Intihar girişiminde b… https://t.co/8EyPZ313YF</t>
  </si>
  <si>
    <t>1469382183752290306</t>
  </si>
  <si>
    <t>@drfahrettinkoca Siz hangi dünyada yaşıyorsunuz sayın Bakan? gözümüzle gördüğümüz hasya ve vefatlar var etrafımızda… https://t.co/e2BnjoBXT0</t>
  </si>
  <si>
    <t>1469382173266489348</t>
  </si>
  <si>
    <t>@drfahrettinkoca Ya hızlı test zorunluluğu olsun ya da devam zorunluluğu olmasın hayal dünyasından çıkın sınıflar kalabalık</t>
  </si>
  <si>
    <t>1469382094916829193</t>
  </si>
  <si>
    <t>@drfahrettinkoca Bu tabloya inanmıyorum, BİZ GÖZÜMÜZLE GÖRDÜĞÜMÜZE İNANIYORUZ Dün 30 yaşında tanıdığımız covidden v… https://t.co/9BSdMYcpK2</t>
  </si>
  <si>
    <t>1469381629051387905</t>
  </si>
  <si>
    <t>@drfahrettinkoca Ülkede sağlık sistemi çökmüş haberiniz olsun</t>
  </si>
  <si>
    <t>1469381608687947784</t>
  </si>
  <si>
    <t>@drfahrettinkoca Kronigim lakin ne yaparsanız yapın yine de aşı olmayacağım</t>
  </si>
  <si>
    <t>1469381482804305920</t>
  </si>
  <si>
    <t>@drfahrettinkoca komşularda akrabalarda tanıdıklarda covid hastaları ve vefatlar bu ara çok arttı. FAKAT BU TABLO NASIL AZALABİLİR???????</t>
  </si>
  <si>
    <t>1469381197063196674</t>
  </si>
  <si>
    <t>@drfahrettinkoca He he inandık. Sağlık bakanı dedi diye hemen çakma aşı olacaz.😂😂😂</t>
  </si>
  <si>
    <t>1469381101495988229</t>
  </si>
  <si>
    <t>@drfahrettinkoca Bu sozlerinizle zaten salgini yok sayanlari yureklendirdiginizin farkinda degil misiniz ?Butun dun… https://t.co/R3EhlC42v5</t>
  </si>
  <si>
    <t>1469381023792308227</t>
  </si>
  <si>
    <t>@drfahrettinkoca Okullarda hasta çocuk sayıları artıyor, bu tabloya inanmıyoruz</t>
  </si>
  <si>
    <t>1469380934759763969</t>
  </si>
  <si>
    <t>@drfahrettinkoca Tamamıyla düzmece vakalar deselerdi vakalar 50k önlem almak zorundalar ekonomi bitik kasada para y… https://t.co/aaBjzYNMru</t>
  </si>
  <si>
    <t>1469380700105285635</t>
  </si>
  <si>
    <t>@drfahrettinkoca https://t.co/8OtJ0ILXqc</t>
  </si>
  <si>
    <t>1469380562292932608</t>
  </si>
  <si>
    <t>@drfahrettinkoca Basaramaycksn ki Allha savaş açtınız</t>
  </si>
  <si>
    <t>1469380546191138826</t>
  </si>
  <si>
    <t>@drfahrettinkoca İstifa et defol</t>
  </si>
  <si>
    <t>1469380354989510656</t>
  </si>
  <si>
    <t>@drfahrettinkoca Genetigimizi değiştirmek için ayinlerinizde yemin ediyor musnz.Hori me horimeeee</t>
  </si>
  <si>
    <t>1469380351978098690</t>
  </si>
  <si>
    <t>@drfahrettinkoca O kadar tweet atıyoruz heralde hiç kimse görmüyor hakkımızın yenildiğini sağlık bakanlığı  ya da başka kişiler tarafından.</t>
  </si>
  <si>
    <t>1469379692004356101</t>
  </si>
  <si>
    <t>@drfahrettinkoca Kimsede maske-mesafe yok.ama vaka sayısı düşüyor!!BU BİR MUCİZEE</t>
  </si>
  <si>
    <t>1469379567601266688</t>
  </si>
  <si>
    <t>@drfahrettinkoca Hadi yaa 😂bak sen! Çen doktoymu oldun bakalımm😂</t>
  </si>
  <si>
    <t>1469379476643627014</t>
  </si>
  <si>
    <t>@drfahrettinkoca 5 ay önce sayıyı artırmaya yönelik çalışmanız vardı sayı da artmadı kılavuz da gelmedi daha yıl bi… https://t.co/Oy6Ydflf8b</t>
  </si>
  <si>
    <t>1469379425691181061</t>
  </si>
  <si>
    <t>@drfahrettinkoca Sayın bakan,2 doz biontech olanlara 3.dozlarımız ne zaman tanımlanacak?</t>
  </si>
  <si>
    <t>1469379398134554634</t>
  </si>
  <si>
    <t>@drfahrettinkoca 90 USTU PUAN ALİP ATANAMİYOR BU GENCLER SAYİM BAKANIM DİYETİSYENLERE COK SAYİDA ATAMA BEKLİYORUZ</t>
  </si>
  <si>
    <t>1469379138343641100</t>
  </si>
  <si>
    <t>@drfahrettinkoca Yaş 68. Yani içinde ne olduğu bilinmeyen, üreticisinin sorumluluk almadığı birşeyi içime zerk etti… https://t.co/O3mgltTi2b</t>
  </si>
  <si>
    <t>1469379048623202308</t>
  </si>
  <si>
    <t>@drfahrettinkoca Babam ve annem covide yakalandı. Hastaneye götürdüm durumları iyi denilip eve gönderdiler.  3 gün… https://t.co/yV8We0Ol3D</t>
  </si>
  <si>
    <t>1469379031443382280</t>
  </si>
  <si>
    <t>@drfahrettinkoca Eğer bugün hayatlarımıza kapanmalar olmadan devam edebiliyorsak, bu aşılamanın sayesinde. 18 yaş a… https://t.co/xRN7McRDYf</t>
  </si>
  <si>
    <t>1469379000913039367</t>
  </si>
  <si>
    <t>@drfahrettinkoca 13 AYDİR SADECE 60 DİYETİSYEN ATAMASİ YAPTİNİZ ....90 USTU PUANLA DİYETİSYENLER ACİKTALAR ... DİYE… https://t.co/yL3W8fJCY7</t>
  </si>
  <si>
    <t>1469378908961357834</t>
  </si>
  <si>
    <t>@drfahrettinkoca Gerçek vaka sayılarını gösterin</t>
  </si>
  <si>
    <t>1469378873167171584</t>
  </si>
  <si>
    <t>@drfahrettinkoca KLAVUZ bekliyoruz sayın bakanım</t>
  </si>
  <si>
    <t>1469378616182124545</t>
  </si>
  <si>
    <t>@drfahrettinkoca Aşıları eksik ne demek???  Kaç doz olursa tam Aşılı sayılacak???  Covid 19 'a yakalanma endişemiz… https://t.co/Rw4VVUubXf</t>
  </si>
  <si>
    <t>1469378606875004931</t>
  </si>
  <si>
    <t>@drfahrettinkoca Şaka gibi ya. Umarım yarın cevap verecek bir şeyler bulursunuz.</t>
  </si>
  <si>
    <t>1469378578433331200</t>
  </si>
  <si>
    <t>@drfahrettinkoca ATAMA bekliyoruz DİYETİSYENLERE COK SAYİDA ATAMA BEKLİYORUZ</t>
  </si>
  <si>
    <t>1469378525551595527</t>
  </si>
  <si>
    <t>@drfahrettinkoca Her yerde vakalar artarken bizde düşmesine inanmamızı mı bekliyorsunuz #kabineomicrongelmedenonline</t>
  </si>
  <si>
    <t>1469378371264122881</t>
  </si>
  <si>
    <t>@drfahrettinkoca Bi sus artik DSÖ mun sözcüsü oldun iyice sende</t>
  </si>
  <si>
    <t>1469378358270205957</t>
  </si>
  <si>
    <t>1469378249398628358</t>
  </si>
  <si>
    <t>1469378191601111048</t>
  </si>
  <si>
    <t>@drfahrettinkoca Covid-19 hastalığın tanısı tedavisi belli olmadığı aşıların Faz1 Faz2 Faz3 çalışmaları gönüllü den… https://t.co/fcQiHcnZTE</t>
  </si>
  <si>
    <t>1469378165235720198</t>
  </si>
  <si>
    <t>@drfahrettinkoca DİYETİSYENLERE COK SAYİDA ATAMA</t>
  </si>
  <si>
    <t>1469378144750743554</t>
  </si>
  <si>
    <t>1469378099854950405</t>
  </si>
  <si>
    <t>@drfahrettinkoca Kapatın artık okulları gitsek bi dert gitmesek ayrı dert</t>
  </si>
  <si>
    <t>1469378000156254216</t>
  </si>
  <si>
    <t>@drfahrettinkoca Bakanım biraz daha düşünün aceleye getirmeyin kılavuzu. Şöyle 3-5 sene daha bekleyin mümkünse. @drfahrettinkoca</t>
  </si>
  <si>
    <t>1469377930648248322</t>
  </si>
  <si>
    <t>@drfahrettinkoca Sen önce aşıların en az yapıldığı Güneydoğu'daki vaka ve ölüm sayısının, aşıların tam doz yapıldığ… https://t.co/ZSoSv6FwvI</t>
  </si>
  <si>
    <t>1469377728642228235</t>
  </si>
  <si>
    <t>@drfahrettinkoca Okullar çok kalabalıkken birde maske takma zorunluluğunu mu kaldıracaksiniz yeter artık</t>
  </si>
  <si>
    <t>1469377707532328964</t>
  </si>
  <si>
    <t>@drfahrettinkoca ATAMA NE ZAMAN Bakanım kanser ettiniz atama bekleyenleri</t>
  </si>
  <si>
    <t>1469377666159628291</t>
  </si>
  <si>
    <t>@drfahrettinkoca Sayın bakanım hani aşı olunca salgın bitiyordu? Hani sadece ama sadece iki doz yetiyordu?</t>
  </si>
  <si>
    <t>1469377463901986823</t>
  </si>
  <si>
    <t>@drfahrettinkoca Kimse inanmıyor bu vakalara artık sağlığımız için lütfen gerçek vaka sayılarını gösterin</t>
  </si>
  <si>
    <t>1469377406070833159</t>
  </si>
  <si>
    <t>@drfahrettinkoca 3. doz aşıları açınız 6 ayi beklemeden</t>
  </si>
  <si>
    <t>1469377272939532290</t>
  </si>
  <si>
    <t>@drfahrettinkoca Sayın bakan bırakın bu aşı maşı masallarını...</t>
  </si>
  <si>
    <t>1469376834995372035</t>
  </si>
  <si>
    <t>@drfahrettinkoca Maşalah maşallah tü tü nazar değmesin Hiç bir kısıtlama yasaklama olmadan vaka sayısı düşen dünyada tek ülkeyiz !</t>
  </si>
  <si>
    <t>1469376109162770440</t>
  </si>
  <si>
    <t>@drfahrettinkoca Aşılarin koruyuculuğu yok bunu sen bizden daha iyi biliyorsun birde yan etkileri istersen artık bı… https://t.co/IPGcLf4Qg2</t>
  </si>
  <si>
    <t>1469376048336932864</t>
  </si>
  <si>
    <t>@drfahrettinkoca Maske.....?📌 https://t.co/PTRAFv1NjF</t>
  </si>
  <si>
    <t>1469375959568637958</t>
  </si>
  <si>
    <t>@drfahrettinkoca Yahu, ciddi misiniz, bırak aşıyı, ülkenin %80 olmuş, 5 aydır aynı rakamları yayınlıyorsunuz. Bir d… https://t.co/TdBiKqfId5</t>
  </si>
  <si>
    <t>1469375725509644292</t>
  </si>
  <si>
    <t>@drfahrettinkoca Her gün sınıflar kapatılırken nasıl 18 k virüs olabiliyor kendi yalaniniza kendiniz inanıyorsunuz sadece</t>
  </si>
  <si>
    <t>1469375351839154177</t>
  </si>
  <si>
    <t>@drfahrettinkoca Sayin Bakanim siz kendiniz bizzat bu sivilarin işe yaradigina inaniyormusunuz</t>
  </si>
  <si>
    <t>1469375279697211392</t>
  </si>
  <si>
    <t>@drfahrettinkoca Her gün paylaşıyorsun bunu sosyal medyada urfa hep gündem aşılama az  diye randevu aldım aşı olmak… https://t.co/QGsJTvXrcl</t>
  </si>
  <si>
    <t>1469375046208602116</t>
  </si>
  <si>
    <t>@drfahrettinkoca Sayin bakanim kısin onlem alirsak iyice duser okula giden ogrecim hasta ilsemiyor birturlu okula o… https://t.co/o6yBi5iwd6</t>
  </si>
  <si>
    <t>1469375027409788933</t>
  </si>
  <si>
    <t>@drfahrettinkoca Vay be Fahrettin bey :)  Ülkede maske kullanan kalmamış, insanlar hastaneye maskesiz gidiyor, aşıl… https://t.co/WMn65Hq3Oy</t>
  </si>
  <si>
    <t>1469374996015427589</t>
  </si>
  <si>
    <t>@drfahrettinkoca Sen hem hekimsin hemde sağlık bakanımızsın dimi,lafa bak ya virüse yakalanma endişesi azalıyormuş.… https://t.co/SJTxHKTpHq</t>
  </si>
  <si>
    <t>1469374742255783947</t>
  </si>
  <si>
    <t>@drfahrettinkoca Reisi hastahaneleri dolduracaz dedi onu uyguluyorlar</t>
  </si>
  <si>
    <t>1469374679739678723</t>
  </si>
  <si>
    <t>@drfahrettinkoca Atamalara ne oldu bakanım</t>
  </si>
  <si>
    <t>1469374627617062918</t>
  </si>
  <si>
    <t>@drfahrettinkoca Ooo vaka ölüm sayıları düşüyor demek. Haa gayret aşı işe yarayacak.</t>
  </si>
  <si>
    <t>1469373790429843462</t>
  </si>
  <si>
    <t>@drfahrettinkoca SAYIN BAKANIM DUYUN ARTIK SESİMİZİ DUYUN ALLAH İÇİN Engelli sağlıkçılar 4 yıldır verilmeyen kadrol… https://t.co/ghxTPk7B7m</t>
  </si>
  <si>
    <t>1469373736189108233</t>
  </si>
  <si>
    <t>@drfahrettinkoca Gıttım 3.dozumu oldum gıdın olun aşınızı</t>
  </si>
  <si>
    <t>1469373734175789060</t>
  </si>
  <si>
    <t>@drfahrettinkoca Abone Olup Destek Olalım Lütfen KAZLAR HAKKINDA BİLGİ │ KAZLARIMIZA YEM HAZIRLADIK !!! │ VE YENİ G… https://t.co/tydmy3xM2D</t>
  </si>
  <si>
    <t>1469373656962940941</t>
  </si>
  <si>
    <t>@drfahrettinkoca Sayın Bakanım zatalinizin halka yanlış bilgi sunmanizdan dolayi insanlar gaflet içerisinde bulundu… https://t.co/Zlji2AcdVZ</t>
  </si>
  <si>
    <t>1469373525085626368</t>
  </si>
  <si>
    <t>@drfahrettinkoca 10 ARALIK 2020 AŞI YOK! TEST SAYISI:206.202 VAKA SAYISI:30.424 HASTA SAYISI:5.918 ÖLÜM:220  10 ARA… https://t.co/6oorgShFOM</t>
  </si>
  <si>
    <t>1469373516692795396</t>
  </si>
  <si>
    <t>@drfahrettinkoca Atanamama endişesi ise son hızla artıyor bakanım. @drfahrettinkoca</t>
  </si>
  <si>
    <t>1469373397335515141</t>
  </si>
  <si>
    <t>@drfahrettinkoca SAYIN BAKANIM DUYUN ARTIK SESİMİZİ DUYUN ALLAH İÇİN Engelli sağlıkçılar 4 yıldır verilmeyen kadrol… https://t.co/xzuuG3g3lO</t>
  </si>
  <si>
    <t>1469373305526366218</t>
  </si>
  <si>
    <t>@drfahrettinkoca SAYIN BAKANIM DUYUN ARTIK SESİMİZİ DUYUN ALLAH İÇİN Engelli sağlıkçılar 4 yıldır verilmeyen kadrol… https://t.co/K9LIFjTuxV</t>
  </si>
  <si>
    <t>1469373220935639043</t>
  </si>
  <si>
    <t>@drfahrettinkoca Elhamdulillah Elhamdulillah Elhamdulillah Ya Şafi</t>
  </si>
  <si>
    <t>1469373198819020802</t>
  </si>
  <si>
    <t>@drfahrettinkoca SAYIN BAKANIM DUYUN ARTIK SESİMİZİ DUYUN ALLAH İÇİN Engelli sağlıkçılar 4 yıldır verilmeyen kadrol… https://t.co/xb4bkRTieV</t>
  </si>
  <si>
    <t>1469373148453908480</t>
  </si>
  <si>
    <t>@drfahrettinkoca SAYIN BAKANIM DUYUN ARTIK SESİMİZİ DUYUN ALLAH İÇİN Engelli sağlıkçılar 4 yıldır verilmeyen kadrol… https://t.co/EMFWAs8Dj9</t>
  </si>
  <si>
    <t>1469373044581883908</t>
  </si>
  <si>
    <t>@drfahrettinkoca SAYIN BAKANIM DUYUN ARTIK SESİMİZİ DUYUN ALLAH İÇİN Engelli sağlıkçılar 4 yıldır verilmeyen kadrol… https://t.co/DOgUwjb1Ak</t>
  </si>
  <si>
    <t>1469373005667176453</t>
  </si>
  <si>
    <t>@drfahrettinkoca SAYIN BAKANIM DUYUN ARTIK SESİMİZİ DUYUN ALLAH İÇİN Engelli sağlıkçılar 4 yıldır verilmeyen kadrol… https://t.co/e4wCZgbjuX</t>
  </si>
  <si>
    <t>1469372963875135493</t>
  </si>
  <si>
    <t>@drfahrettinkoca SAYIN BAKANIM DUYUN ARTIK SESİMİZİ DUYUN ALLAH İÇİN Engelli sağlıkçılar 4 yıldır verilmeyen kadrol… https://t.co/fUsuaPI7Jg</t>
  </si>
  <si>
    <t>1469372922401800207</t>
  </si>
  <si>
    <t>@drfahrettinkoca Sn Bakan 3.doz aşı olmak istiyorum MHRS yi açınız lütfen acil!</t>
  </si>
  <si>
    <t>1469372912075476993</t>
  </si>
  <si>
    <t>@drfahrettinkoca Düşürdükçe düşürüyolar:d</t>
  </si>
  <si>
    <t>1469372911320539140</t>
  </si>
  <si>
    <t>@drfahrettinkoca SAYIN BAKANIM DUYUN ARTIK SESİMİZİ DUYUN ALLAH İÇİN Engelli sağlıkçılar 4 yıldır verilmeyen kadrol… https://t.co/kDRSUnbRpa</t>
  </si>
  <si>
    <t>1469372884149850117</t>
  </si>
  <si>
    <t>@drfahrettinkoca SAYIN BAKANIM DUYUN ARTIK SESİMİZİ DUYUN ALLAH İÇİN Engelli sağlıkçılar 4 yıldır verilmeyen kadrol… https://t.co/mlDzgvx4Ce</t>
  </si>
  <si>
    <t>1469372853011329026</t>
  </si>
  <si>
    <t>@drfahrettinkoca SAYIN BAKANIM DUYUN ARTIK SESİMİZİ DUYUN ALLAH İÇİN Engelli sağlıkçılar 4 yıldır verilmeyen kadrol… https://t.co/ecPiRv1Dzl</t>
  </si>
  <si>
    <t>1469372819444314114</t>
  </si>
  <si>
    <t>@drfahrettinkoca SAYIN BAKANIM DUYUN ARTIK SESİMİZİ DUYUN ALLAH İÇİN Engelli sağlıkçılar 4 yıldır verilmeyen kadrol… https://t.co/bu5KngTz7p</t>
  </si>
  <si>
    <t>1469372789970853890</t>
  </si>
  <si>
    <t>@drfahrettinkoca Bakanım be yapın artık şu atamayı. https://t.co/Y3GLyL3nQt</t>
  </si>
  <si>
    <t>1469372788280594435</t>
  </si>
  <si>
    <t>@drfahrettinkoca SAYIN BAKANIM DUYUN ARTIK SESİMİZİ DUYUN ALLAH İÇİN Engelli sağlıkçılar 4 yıldır verilmeyen kadrol… https://t.co/hPY8yDeX9n</t>
  </si>
  <si>
    <t>1469372757725138946</t>
  </si>
  <si>
    <t>@drfahrettinkoca SAYIN BAKANIM DUYUN ARTIK SESİMİZİ DUYUN ALLAH İÇİN Engelli sağlıkçılar 4 yıldır verilmeyen kadrol… https://t.co/ZCtnGmgxWk</t>
  </si>
  <si>
    <t>1469372622072946695</t>
  </si>
  <si>
    <t>@drfahrettinkoca Sayın bakanım 5-11 yaş için aşı hakkı ne zaman tanımlanacak ? Bilgi verir misiniz ?</t>
  </si>
  <si>
    <t>1469372602313580550</t>
  </si>
  <si>
    <t>@drfahrettinkoca Engelli sağlıkçılar 4 yıldır verilmeyen kadrolara atanmak istiyor🇹🇷🇹🇷🇹🇷🇹🇷🇹🇷🇹🇷🇹🇷🇹🇷🇹🇷🇹🇷🇹🇷🇹🇷🇹🇷🇹🇷🇹🇷🇹🇷… https://t.co/P5uRT9mHaX</t>
  </si>
  <si>
    <t>1469372468192239623</t>
  </si>
  <si>
    <t>@drfahrettinkoca Engelli sağlıkçılar 4 yıldır verilmeyen kadrolara atanmak istiyor🇹🇷🇹🇷🇹🇷🇹🇷🇹🇷🇹🇷🇹🇷🇹🇷🇹🇷🇹🇷🇹🇷🇹🇷🇹🇷🇹🇷🇹🇷🇹🇷… https://t.co/yBvpAinDbE</t>
  </si>
  <si>
    <t>1469372433236910088</t>
  </si>
  <si>
    <t>@drfahrettinkoca Engelli sağlıkçılar 4 yıldır verilmeyen kadrolara atanmak istiyor🇹🇷🇹🇷🇹🇷🇹🇷🇹🇷🇹🇷🇹🇷🇹🇷🇹🇷🇹🇷🇹🇷🇹🇷🇹🇷🇹🇷🇹🇷🇹🇷… https://t.co/FKrhXTtdKf</t>
  </si>
  <si>
    <t>1469372391629496327</t>
  </si>
  <si>
    <t>@drfahrettinkoca Engelli sağlıkçılar 4 yıldır verilmeyen kadrolara atanmak istiyor🇹🇷🇹🇷🇹🇷🇹🇷🇹🇷🇹🇷🇹🇷🇹🇷🇹🇷🇹🇷🇹🇷🇹🇷🇹🇷🇹🇷🇹🇷🇹🇷… https://t.co/8DgfhCZyj4</t>
  </si>
  <si>
    <t>1469372366635606025</t>
  </si>
  <si>
    <t>@drfahrettinkoca Gerçekler https://t.co/z3RcPie1Dh</t>
  </si>
  <si>
    <t>1469372362655215617</t>
  </si>
  <si>
    <t>@drfahrettinkoca https://t.co/zmPkkPISGR</t>
  </si>
  <si>
    <t>1469372116852252681</t>
  </si>
  <si>
    <t>@drfahrettinkoca Son 5 yılın ölüm verilerini istiyoruz Aşı Bakanı @drfahrettinkoca   Hiç inandırıcı gelmiyor ne söy… https://t.co/PiTU7ZUpD3</t>
  </si>
  <si>
    <t>1469372029828796425</t>
  </si>
  <si>
    <t>@drfahrettinkoca Adamın dibi geliyor yalansız aşısız https://t.co/UWjUmTvWn0</t>
  </si>
  <si>
    <t>1469371954322944005</t>
  </si>
  <si>
    <t>@drfahrettinkoca Online eğitim istiyoruz</t>
  </si>
  <si>
    <t>1469371654102994950</t>
  </si>
  <si>
    <t>@drfahrettinkoca 176...</t>
  </si>
  <si>
    <t>1469371600243937291</t>
  </si>
  <si>
    <t>@drfahrettinkoca Sayin Bakanım hem bir hacı çocuğu olarak hemde imani kuvvetli bir kişi olarak covit =19 nedeniyle… https://t.co/4NUwzAMM45</t>
  </si>
  <si>
    <t>1469371539334348800</t>
  </si>
  <si>
    <t>@drfahrettinkoca her sınıfta çoğalan covidli çocuk sayısı varken bu tabloya inanmamızı mı bekliyorsunuz siz?</t>
  </si>
  <si>
    <t>1469371313928167433</t>
  </si>
  <si>
    <t>@drfahrettinkoca Sayın fahrettin bey aşılar tamamlanamaz siz inanıyormusunuz ki bu şeytani güçlerin planları bitece… https://t.co/Fpr807Ru1m</t>
  </si>
  <si>
    <t>1469371250464145408</t>
  </si>
  <si>
    <t>@drfahrettinkoca YETER SENİN BU KÜRESEL İLAÇLARA OLAN YATKINLIĞIN. AŞISIZ DİYE BAŞLADIN, AŞILARI TAMLA DİYE KONUŞUY… https://t.co/1pHifBHT9Y</t>
  </si>
  <si>
    <t>1469370612246269959</t>
  </si>
  <si>
    <t>@drfahrettinkoca Ülkede şu anda ekonomik kriz dolar virüsünü patlattı her geçen gün dolar virüsünün vakası artıyor,… https://t.co/m7L9FbtAk6</t>
  </si>
  <si>
    <t>1469370556868931599</t>
  </si>
  <si>
    <t>@drfahrettinkoca https://t.co/FwktwnNWqf Anayasal hak ve özgürlüklerimizi savunmak için  aşılanmışlar ve aşılanmamı… https://t.co/I6UVz3ku28</t>
  </si>
  <si>
    <t>1469370526921641998</t>
  </si>
  <si>
    <t>@drfahrettinkoca Virüs bitmiş Türkiyede biz rahatça kapalı alanlarda maskesiz mesafesiz yaşayalım o zaman</t>
  </si>
  <si>
    <t>1469370384478842892</t>
  </si>
  <si>
    <t>@drfahrettinkoca Yaşamak isteyen yaşar,ölmek isteyen kendi bilir.</t>
  </si>
  <si>
    <t>1469370147878195204</t>
  </si>
  <si>
    <t>@drfahrettinkoca Sayın bakanım atama kilavuzunun yayımlanmasını talep ediyoruz.  #FKocaHaftaAyYılOlduYeter</t>
  </si>
  <si>
    <t>1469369792586993679</t>
  </si>
  <si>
    <t>@drfahrettinkoca Bakan Bey artık biraz aşı konuşmayı bıraksanız da atama bekleyen sağlıkçıların sesini duysanız mı?</t>
  </si>
  <si>
    <t>1469369762841042950</t>
  </si>
  <si>
    <t>@drfahrettinkoca Yavaş atın</t>
  </si>
  <si>
    <t>1469369425979658261</t>
  </si>
  <si>
    <t>@drfahrettinkoca Sn bakan  siz alice harikalar diyarındamı yaşıyorsunuz 200 yuva  yanıyor hergün daha salgın iyi gi… https://t.co/2zccnuntZZ</t>
  </si>
  <si>
    <t>1469369419344355329</t>
  </si>
  <si>
    <t>@drfahrettinkoca Almanya'daki 2 doz asi orani %70 günlük vaka 94 k turkiye aşılama orani %60 günlük vaka 18 k</t>
  </si>
  <si>
    <t>1469369395793342464</t>
  </si>
  <si>
    <t>@drfahrettinkoca benim annem aşı sonrası öldü açıklama niye yapmıyorsun ölüm riski olmayan grip yüzünden senin kati… https://t.co/JD73y3Iwtz</t>
  </si>
  <si>
    <t>1469369128553443331</t>
  </si>
  <si>
    <t>@drfahrettinkoca Yarin vaka sayisini ben acikliyabilirmiyim bakanım nasil olsa herhafta ayni pzt sali artış crs prs cuma cmt pzr düşüş</t>
  </si>
  <si>
    <t>1469369094998745088</t>
  </si>
  <si>
    <t>@drfahrettinkoca Öncelikle turuncu renk balın diyarı Bingöl den herkese selam olsun tabi ki de aşı olmayacağım</t>
  </si>
  <si>
    <t>1469369075675635712</t>
  </si>
  <si>
    <t>@drfahrettinkoca https://t.co/wLEP16QrdE</t>
  </si>
  <si>
    <t>1469369056511811585</t>
  </si>
  <si>
    <t>@drfahrettinkoca HES uygulamasını tamamen kaldırmalısınız. HAYAT EVE SIĞMAZ SIĞMADI SIĞMAYACAK  İNSANIZ BİZ, ROBOT… https://t.co/kKhjBlaqX0</t>
  </si>
  <si>
    <t>1469368936399622150</t>
  </si>
  <si>
    <t>@drfahrettinkoca Hiçbir işe yaramadığı gibi insanlar arasında tartışmalara sebep olan ANLAMSIZ MASKE MECBURİYETİ de… https://t.co/eRLDzrKVc9</t>
  </si>
  <si>
    <t>1469368935531397120</t>
  </si>
  <si>
    <t>@drfahrettinkoca Bakanım ; hayat kısa , kuşlar kılavuz bekliyor ...</t>
  </si>
  <si>
    <t>1469368846075273220</t>
  </si>
  <si>
    <t>@drfahrettinkoca Yeni variant  yok tabi ))) Turist lazim , hazır kur bu haldeyken)))</t>
  </si>
  <si>
    <t>1469368786679701511</t>
  </si>
  <si>
    <t>@drfahrettinkoca Sayın Bakanım neden düşen vaka sayısına hiç değinmiyorsunuz günlerdir! Çok mutlu bir haber bu oysa… https://t.co/7b17NwQKbV</t>
  </si>
  <si>
    <t>1469368530504142853</t>
  </si>
  <si>
    <t>@drfahrettinkoca Gündem sadece aşı mi atama bekleyen sağlıkçıları hiç mi görmüyorsunuz sn @drfahrettinkoca</t>
  </si>
  <si>
    <t>1469368010037239808</t>
  </si>
  <si>
    <t>@drfahrettinkoca Sayın Bakan 2 sinovac sonra 13 Temmuz da Biontech aşısı oldum ikinci Biontech için MHRS randevu ve… https://t.co/0uEC79d2aC</t>
  </si>
  <si>
    <t>1469367918689406982</t>
  </si>
  <si>
    <t>@drfahrettinkoca https://t.co/wqcmktSMNh</t>
  </si>
  <si>
    <t>1469367639982190603</t>
  </si>
  <si>
    <t>@drfahrettinkoca Bu düşüş olmadı canım biraz daha atsaydınız yemin ederim siz insanı delirtirsiniz ya çıldırmamak e… https://t.co/xyt1sz6Qx2</t>
  </si>
  <si>
    <t>1469367256132075525</t>
  </si>
  <si>
    <t>@drfahrettinkoca KILAVUZ KILAVUZ KILAVUZ KILAVUZ</t>
  </si>
  <si>
    <t>1469367174448005131</t>
  </si>
  <si>
    <t>@drfahrettinkoca Benim oğlum 2. Sınıfa gidiyo orda sınıfın yarısı kovit oldu öğretmen dahi kızım hastalandı test yo… https://t.co/oLh8hjpy7I</t>
  </si>
  <si>
    <t>1469367095469264900</t>
  </si>
  <si>
    <t>@drfahrettinkoca At yalanı  .... inananı</t>
  </si>
  <si>
    <t>1469366612901994503</t>
  </si>
  <si>
    <t>@drfahrettinkoca Sizin eksik mesela. Plasebo olmadığınız ne malum? Önce kendiniz olun.</t>
  </si>
  <si>
    <t>1469366576772259844</t>
  </si>
  <si>
    <t>@drfahrettinkoca Aşı abi bu tweetleri atmayı bırakırsanız tamamen son bulacaktır.</t>
  </si>
  <si>
    <t>1469366494094049294</t>
  </si>
  <si>
    <t>@drfahrettinkoca Korkuyu yeterince veremiyorsunuz sn. Baken ! Küresel çete hesap sorar sonra size . Daha çok korkun… https://t.co/arK6URGklJ</t>
  </si>
  <si>
    <t>1469366483147010055</t>
  </si>
  <si>
    <t>@drfahrettinkoca Sn.Koca Bizler atanamayansağlıkcılar sizden bir haber bekliyoruz.Yarınbizim umudumuzuyeşillendirin… https://t.co/Ss46b8QxHw</t>
  </si>
  <si>
    <t>1469366388775129094</t>
  </si>
  <si>
    <t>@drfahrettinkoca Aşılamanın %80 ve üzeri olduğu ülkelerde bile hastalık bitmemişken; bizim ülkemizde hala aşılıları… https://t.co/1eMbIsOEYu</t>
  </si>
  <si>
    <t>1469366267043893250</t>
  </si>
  <si>
    <t>@drfahrettinkoca Hayırlı işler</t>
  </si>
  <si>
    <t>1469366098613215233</t>
  </si>
  <si>
    <t>@drfahrettinkoca Aşının covide yakalanmayı engellediğinin BioNTech’in haberi var mı ..?</t>
  </si>
  <si>
    <t>1469365853271601160</t>
  </si>
  <si>
    <t>@drfahrettinkoca Bazi beyinsizlere söylüyom vucuddaki antikor azaldigi zaman asinin etkiside azaliyor onun icin 2.3… https://t.co/H8VSfAyMCc</t>
  </si>
  <si>
    <t>1469365721473900555</t>
  </si>
  <si>
    <t>@drfahrettinkoca Turist kafilesi mi bekliyoruz?</t>
  </si>
  <si>
    <t>1469365639555043332</t>
  </si>
  <si>
    <t>@drfahrettinkoca Ya bi sakinles artik korktugun kadar kotu bir sey yok ortalikda halkin arasina gel diyoruz ttaaaa… https://t.co/ZHZZFqj8l0</t>
  </si>
  <si>
    <t>1469365573972897793</t>
  </si>
  <si>
    <t>@drfahrettinkoca https://t.co/mk7ARh3zRf</t>
  </si>
  <si>
    <t>1469365075224014852</t>
  </si>
  <si>
    <t>@drfahrettinkoca ‘Π’(Pi) Varyantı ne zaman gelecek efendim?!</t>
  </si>
  <si>
    <t>1469364951953387527</t>
  </si>
  <si>
    <t>@drfahrettinkoca Yaw he hee 🤪</t>
  </si>
  <si>
    <t>1469364861738139656</t>
  </si>
  <si>
    <t>@drfahrettinkoca Maşa olup ateşi sen tutuyorsun. Kendisi iyi polis rolü yapan seni yakacak. Enayi olma. İstifa et.</t>
  </si>
  <si>
    <t>1469364805446291458</t>
  </si>
  <si>
    <t>@drfahrettinkoca Neden özellikle yaşlı ve kronik hastalığı olanlara yoğunlaştınız? Risk grubunda olduklarını bildiğ… https://t.co/j5v3eQegi9</t>
  </si>
  <si>
    <t>1469364761712340997</t>
  </si>
  <si>
    <t>@drfahrettinkoca Her gün verilerin altına haklı olarak atama, kılavuz ne zaman yayınlanacak gibi sorular soruluyor… https://t.co/Ur567ISz5D</t>
  </si>
  <si>
    <t>1469364711493935110</t>
  </si>
  <si>
    <t>@drfahrettinkoca Arkadaşım 20.05.2021 - 3622279 protok https://t.co/TDgMlaYfIJ  D.bakır Gazi Yaşargil Eğt. Hast. Ge… https://t.co/IewEHmNDLR</t>
  </si>
  <si>
    <t>1469364634088054784</t>
  </si>
  <si>
    <t>@drfahrettinkoca Azalıyoor mu, HAYIRDIR? Dış ülkelerde endişeler artarken sizin gözünüzde bizde Nasıl/Niçin azalıyo… https://t.co/emaNkLyE2k</t>
  </si>
  <si>
    <t>1469364020390072323</t>
  </si>
  <si>
    <t>@drfahrettinkoca bir gün sussan  corona tiyatrosu çökecek  7 / 24  yazıyorsun maşallalh aman korku pandemisi bitmesin</t>
  </si>
  <si>
    <t>1469363952580800513</t>
  </si>
  <si>
    <t>@drfahrettinkoca Atamacilar ???? Atama isteyenler ??? Devlet size işe alim garantisi mi verdi universiterlere girer… https://t.co/5v4QuiVr0z</t>
  </si>
  <si>
    <t>1469363741280116736</t>
  </si>
  <si>
    <t>@drfahrettinkoca https://t.co/0HsNPJbC5A</t>
  </si>
  <si>
    <t>1469363726109351938</t>
  </si>
  <si>
    <t>1469363602872311820</t>
  </si>
  <si>
    <t>@drfahrettinkoca Kilavuz</t>
  </si>
  <si>
    <t>1469363567073927168</t>
  </si>
  <si>
    <t>@drfahrettinkoca Sn Bakanım influenza (grip) aşısı talep ediyorum. Bir de 2. dozdan sonra 5 ay geçti 6.ayda 3.doz a… https://t.co/yjSIrO7Aan</t>
  </si>
  <si>
    <t>1469363546270183433</t>
  </si>
  <si>
    <t>@drfahrettinkoca Sende yalan çıktın geçen ay klavuzu yayınlama yapacaktınız yıl bitecek işte tek adamlık bu işte ki… https://t.co/xsnehWvga9</t>
  </si>
  <si>
    <t>1469363523063103496</t>
  </si>
  <si>
    <t>@drfahrettinkoca Bir atanacaktık konu nerelere geldi @drfahrettinkoca</t>
  </si>
  <si>
    <t>1469363265688023045</t>
  </si>
  <si>
    <t>@drfahrettinkoca Olmayrum asi masi al haritani asilarini olsada bir duble raki icsek</t>
  </si>
  <si>
    <t>1469363261296590850</t>
  </si>
  <si>
    <t>@drfahrettinkoca Ben hangi ülke vatandaşlarına hitap ettiğinizi anlamadım. Bakanlık yaptığınız hayali bir ülke mi v… https://t.co/CvnDhVnNrf</t>
  </si>
  <si>
    <t>1469363082166415360</t>
  </si>
  <si>
    <t>@drfahrettinkoca Sağlıkçıları harap ettiniz mutlu musunuz Atama bekleyen sağlıkçılara ha bugün ha yarın  diye diye hayattan soğuttunuz</t>
  </si>
  <si>
    <t>1469363056446779408</t>
  </si>
  <si>
    <t>@drfahrettinkoca endişe azalmıyor, sallamayın lütfen. hiç mi okumadınız endişelerimizi OKULLARDA COVİD ARTTI, HER SINIFLA HASTALAR VAR</t>
  </si>
  <si>
    <t>1469363050398556160</t>
  </si>
  <si>
    <t>@drfahrettinkoca 3. doz biontech istiyoruz!</t>
  </si>
  <si>
    <t>1469363021340422152</t>
  </si>
  <si>
    <t>@drfahrettinkoca annemin 13 yıl önce mide kanseri sebebiyle tüm midesi alındı ve şu an 43 kg. ve bağışıklığı çok dü… https://t.co/y77sbnvLVV</t>
  </si>
  <si>
    <t>1469362991586025479</t>
  </si>
  <si>
    <t>@drfahrettinkoca Aşıları eksik tabiri çok saçma oldu artık..Kaç doz tam aşılı sayılacak.yok öyle insan hayatını mat… https://t.co/8EyqkzoF5F</t>
  </si>
  <si>
    <t>1469362610973954054</t>
  </si>
  <si>
    <t>@drfahrettinkoca Çocuk gelişimcilere kadro #40BinAlımda250CocukGelisimci</t>
  </si>
  <si>
    <t>1469362508226043912</t>
  </si>
  <si>
    <t>@drfahrettinkoca Omnikom virüsden bilgi varmi</t>
  </si>
  <si>
    <t>1469362360045518858</t>
  </si>
  <si>
    <t>@drfahrettinkoca Kendi adınıza konuşun lütfen bizim endişemiz azalmıyor aksine her geçen gün artıyor</t>
  </si>
  <si>
    <t>1469362234161868802</t>
  </si>
  <si>
    <t>@drfahrettinkoca İnsanlar covidden değilde açlıktan olcek bu gidişle</t>
  </si>
  <si>
    <t>1469361919194710017</t>
  </si>
  <si>
    <t>@drfahrettinkoca Pez</t>
  </si>
  <si>
    <t>1469361670833250308</t>
  </si>
  <si>
    <t>@drfahrettinkoca Her gün endişeyle korkarak okula gidiyoruz gelin görün yurtları derslikleri okulları toplu taşımay… https://t.co/BbcfZGuEnc</t>
  </si>
  <si>
    <t>1469361669604364298</t>
  </si>
  <si>
    <t>@drfahrettinkoca Bakan Bey, sıvı olmayan  yaşlılarımız da gençlerimiz de çok sağlıklı, hiçbiri grip bile olmadı ama… https://t.co/IGpKLQKkXF</t>
  </si>
  <si>
    <t>1469361649094119424</t>
  </si>
  <si>
    <t>@drfahrettinkoca Kış gelince her yerde vakalar artıyo ama ne tesadüfse Türkiyede vakalar düşüyo bu şu Allahin işine</t>
  </si>
  <si>
    <t>1469361635559186440</t>
  </si>
  <si>
    <t>@drfahrettinkoca Deneysel sıvılarının bir işe yaradığı yok ki. Kendin çal, kendin oyna. Ama milleti aşıya zorlama.… https://t.co/QCgOMm1Npf</t>
  </si>
  <si>
    <t>1469361599903420420</t>
  </si>
  <si>
    <t>@drfahrettinkoca https://t.co/oO5eAlvOdB</t>
  </si>
  <si>
    <t>1469361553908682754</t>
  </si>
  <si>
    <t>@drfahrettinkoca 30 bin alımın kılavuzunu tek seferde net tarihle istiyoruz</t>
  </si>
  <si>
    <t>1469361223846219776</t>
  </si>
  <si>
    <t>@drfahrettinkoca Çevremizde virüs artıyor tabloda azalıyor nasıl oluyor bu?</t>
  </si>
  <si>
    <t>1469361192460238854</t>
  </si>
  <si>
    <t>@drfahrettinkoca İnsanlar büyülendi mi kafayı mı yedi bilmiyorum. Şimdi NTV de bir haber vardı . Tam doz aşılı bir… https://t.co/VTuuQdFqu0</t>
  </si>
  <si>
    <t>1469361176584855557</t>
  </si>
  <si>
    <t>@drfahrettinkoca samimiyetsiz bakan istemiyoruz #FKistifa</t>
  </si>
  <si>
    <t>1469361140832641030</t>
  </si>
  <si>
    <t>@drfahrettinkoca Siz gerçekçi olmadığınız sürece kimse aşı olmayacak kimse size inanmayacak çünkü saklıyorsunuz</t>
  </si>
  <si>
    <t>1469361103218036740</t>
  </si>
  <si>
    <t>@drfahrettinkoca kılavuz?</t>
  </si>
  <si>
    <t>1469361067570647044</t>
  </si>
  <si>
    <t>@drfahrettinkoca aşımız nerede  aşıyı açın artık</t>
  </si>
  <si>
    <t>1469361051942719489</t>
  </si>
  <si>
    <t>@drfahrettinkoca Alım ikiye bölüncekse neden bekledik neden sayı yükseltildi o zaman</t>
  </si>
  <si>
    <t>1469361010628829193</t>
  </si>
  <si>
    <t>@drfahrettinkoca Eksikten maksadın ne?  Ben senin yerine olsam önümüzdeki 14 gün çok önemli deyip 12 ay polis asker… https://t.co/HEHpXJrQk4</t>
  </si>
  <si>
    <t>1469360948305616904</t>
  </si>
  <si>
    <t>@drfahrettinkoca Atama ne zaman</t>
  </si>
  <si>
    <t>1469360864360865806</t>
  </si>
  <si>
    <t>@drfahrettinkoca Atamanın tek seferde yapilmasini istiyoruz. Ocağa mı kalıyor noluyor bilmiyoruz ama bize bir tarih… https://t.co/DnN3mjx6I6</t>
  </si>
  <si>
    <t>1469360559162281986</t>
  </si>
  <si>
    <t>@drfahrettinkoca Atanıp atanamayacağımızı görelim KPSS yaklaşıyor çalışacak olan bari sınava çalışır bu sizin yaptı… https://t.co/WezJLnxzIT</t>
  </si>
  <si>
    <t>1469360536785674251</t>
  </si>
  <si>
    <t>@drfahrettinkoca Sayın bakanım aşı olmam için Trabzonspor’un ligin ikinci yarısında ilk 3 hafta puan kaybetmeden devam etmesi lazım.</t>
  </si>
  <si>
    <t>1469360525683396624</t>
  </si>
  <si>
    <t>@drfahrettinkoca "Geniş çaplı bir alım olacak çok uzamayacak" dediniz.. Ocakta alım yapıp ikiye bölmek mi oluyor şi… https://t.co/guvYSgDKBT</t>
  </si>
  <si>
    <t>1469360492472897537</t>
  </si>
  <si>
    <t>@drfahrettinkoca Azalır tabiki tek sebebi okullardır. Peki virüse karşı savunmasız çocuklar için anlaşılabilir olan nedir?</t>
  </si>
  <si>
    <t>1469360480825262089</t>
  </si>
  <si>
    <t>@drfahrettinkoca Hekim dışı sağlık çalışanlarına kulaklarınızı sonuna kadar kapatmışsınız anlaşılan sn bakan</t>
  </si>
  <si>
    <t>1469360167565336579</t>
  </si>
  <si>
    <t>@drfahrettinkoca Yalancının mumu yatsıya kadar sürer ama sizin ki ne kadar cok sürdü</t>
  </si>
  <si>
    <t>1469360108694282240</t>
  </si>
  <si>
    <t>@drfahrettinkoca Vaka sayılarını saklamadan söyleyin bir sınıfta 10 öğrenci covit diğer iki sınıf kapatıldı üstelik… https://t.co/0T9u1erWWY</t>
  </si>
  <si>
    <t>1469360048065462275</t>
  </si>
  <si>
    <t>@drfahrettinkoca Bi an once bitsede bizde kurtulsak biktim artik</t>
  </si>
  <si>
    <t>1469359783870451717</t>
  </si>
  <si>
    <t>@drfahrettinkoca Ama Fahrettinciğim vakalarda da düşüş var Ne iş bir açıklasanız da aydınlansak</t>
  </si>
  <si>
    <t>1469359708700037126</t>
  </si>
  <si>
    <t>@drfahrettinkoca Daha ne kadar aklımızla dalga geçeceksiniz derken çıtayı arşa çıkardınız gençlerin endişesi filan… https://t.co/PYHhrcLn4m</t>
  </si>
  <si>
    <t>1469359590806597636</t>
  </si>
  <si>
    <t>@drfahrettinkoca Sizin aşılarınız tamammı sn #fahrettinkoca 4.doz aşınızı oldunuz mu</t>
  </si>
  <si>
    <t>1469359258093428738</t>
  </si>
  <si>
    <t>@drfahrettinkoca Dicle üniversitesi Hastanesinde ultrasyona 2ay sonraya gün veriyorlar sonra alt katta 160 TL ye öz… https://t.co/8Gnijq1mDp</t>
  </si>
  <si>
    <t>1469359198211297281</t>
  </si>
  <si>
    <t>@drfahrettinkoca Arkadaşlar hemen kızmayın değerli bakanımız sadece salgın nasıl yönetilmez onu göstermeye çalışıyor</t>
  </si>
  <si>
    <t>1469359121782779909</t>
  </si>
  <si>
    <t>@drfahrettinkoca Bakanım, hastanede lösemiden yatan hastamıza sürekli ilaç aramajtan tükendik.  Yarfçdımlarınızı be… https://t.co/37S0vBB8WJ</t>
  </si>
  <si>
    <t>1469358926265212929</t>
  </si>
  <si>
    <t>@drfahrettinkoca :DD</t>
  </si>
  <si>
    <t>1469358816122884101</t>
  </si>
  <si>
    <t>@drfahrettinkoca Olmuyor olmuyor birşey. Allah yoluna dön. Kuran oku. La ilaheillallah de.. Milleti de kandırmaktan… https://t.co/IbQt3QqaGA</t>
  </si>
  <si>
    <t>1469358737576144900</t>
  </si>
  <si>
    <t>@drfahrettinkoca Sen risk grubunda değil misin  gidelim turkovac seçelim Halk seni aşılasin karma aşı yapalım.sana...</t>
  </si>
  <si>
    <t>1469358668781174788</t>
  </si>
  <si>
    <t>@drfahrettinkoca Biz bir yıldır atama diyoruz siz aşıdan başka şey konusmuyosnz  @drfahrettinkoca hiç mi okumuyosun… https://t.co/JWqbtaxLRJ</t>
  </si>
  <si>
    <t>1469358644491919366</t>
  </si>
  <si>
    <t>@drfahrettinkoca Covid-19'a yakalanma endişesi giderek artıyor. Milleti güldürmeyin ALLAH AŞKINA. KENDİNİZ OYNUYORS… https://t.co/PbDF6Zvt3c</t>
  </si>
  <si>
    <t>1469358549541216260</t>
  </si>
  <si>
    <t>@drfahrettinkoca Yarın vaka sayılarını 10 a indirebilirsiniz izin veriyorum @drfahrettinkoca</t>
  </si>
  <si>
    <t>1469358514372067338</t>
  </si>
  <si>
    <t>@drfahrettinkoca Sanane benim aşımdan ,sa_na_ne....</t>
  </si>
  <si>
    <t>1469358513449279488</t>
  </si>
  <si>
    <t>@drfahrettinkoca Benim aşılarım tamam</t>
  </si>
  <si>
    <t>1469358482151383042</t>
  </si>
  <si>
    <t>@drfahrettinkoca Testi azaltırsanız tabii ki de azalır! İhtiyaç meselesi değil bu, taramalar arttırılmalı!</t>
  </si>
  <si>
    <t>1469358392724578312</t>
  </si>
  <si>
    <t>@drfahrettinkoca Dünya da çıkan her pandemi 2 yıl sürmüş ve 2 yılın sonunda bitmiş ve bu AŞISIZ bir şekilde tamamla… https://t.co/X1Quo1bNN3</t>
  </si>
  <si>
    <t>1469358301607436288</t>
  </si>
  <si>
    <t>@drfahrettinkoca Atama istiyoruz</t>
  </si>
  <si>
    <t>1469358300991037448</t>
  </si>
  <si>
    <t>@drfahrettinkoca Zalimler için yaşasın cehennem @drfahrettinkoca @tcmeb</t>
  </si>
  <si>
    <t>1469358222406524936</t>
  </si>
  <si>
    <t>@drfahrettinkoca Ne zaman tamam olacak ki bu așılar sayın bakan? 2 doz oldu mu tamam diyordunuz șimdi 3. dozdan 4.d… https://t.co/MvU0t4EHiD</t>
  </si>
  <si>
    <t>1469358210394083335</t>
  </si>
  <si>
    <t>@drfahrettinkoca Koronodan çok daha vahim  bir durum var kaygı korku endişe 😥 Toplum cinnet seviyesinde</t>
  </si>
  <si>
    <t>1469358099828035584</t>
  </si>
  <si>
    <t>@drfahrettinkoca Aaiların pıhtıya neden olduğunu bile bile halen hiç tedbir almadan D dimer testi bile yaptırmadan… https://t.co/95DLz6F4Q9</t>
  </si>
  <si>
    <t>1469357655558864902</t>
  </si>
  <si>
    <t>@drfahrettinkoca aşılarını tamamlamış lar adam vefat etti karısı yoğun bakımda Bakan efendi,  Söyle bakalım buna ne… https://t.co/r9WO42eii7</t>
  </si>
  <si>
    <t>1469357650282483713</t>
  </si>
  <si>
    <t>@drfahrettinkoca aşıları tamamlanmış diye bir kavram yok...Halk kandırılıyor...Daima aşısız sayılacağız...İnsanlar uyanmalı...</t>
  </si>
  <si>
    <t>1469357607534182410</t>
  </si>
  <si>
    <t>@drfahrettinkoca Aba yalan tablosuna bak</t>
  </si>
  <si>
    <t>1469357484125081606</t>
  </si>
  <si>
    <t>@drfahrettinkoca Omircon adlı virüsü artık tüm ülkeyle tsnıştırsanız diyorum! Akacak kan damarda durmaz! @tcmeb</t>
  </si>
  <si>
    <t>1469357391686909953</t>
  </si>
  <si>
    <t>@drfahrettinkoca Sağlıkçılar kılavuz bekliyor bakanım daha ne kadar bekleyeceğiz ,Sağlıkçı Yılını atamasız gecirdik… https://t.co/SL5qkda3gD</t>
  </si>
  <si>
    <t>1469357277454942223</t>
  </si>
  <si>
    <t>@drfahrettinkoca Yorumları bi okuyunda gorun kimsenin size güveni falan yok. Olmayacakta. @drfahrettinkoca</t>
  </si>
  <si>
    <t>1469356992741482497</t>
  </si>
  <si>
    <t>@drfahrettinkoca Hala neyi beklisiniz bunları baştan indirmezsek daha çok binecekler bize</t>
  </si>
  <si>
    <t>1469356864852971527</t>
  </si>
  <si>
    <t>@drfahrettinkoca Abi biz hep unuttuk seni,corona devam di mi?</t>
  </si>
  <si>
    <t>1469356652881137672</t>
  </si>
  <si>
    <t>@drfahrettinkoca Yoo gerek yokm</t>
  </si>
  <si>
    <t>1469356620723503114</t>
  </si>
  <si>
    <t>@drfahrettinkoca Doza da zam geliyor sürekli. Bir doz oldu iki, iki doz oldu üç, şimdi sizin üstleriniz dört diyor.… https://t.co/3dX91AWKkC</t>
  </si>
  <si>
    <t>1469356589060657157</t>
  </si>
  <si>
    <t>@drfahrettinkoca ATAMA</t>
  </si>
  <si>
    <t>1469356308612665353</t>
  </si>
  <si>
    <t>@drfahrettinkoca Haftasonu 15 in altına indirirsin artık</t>
  </si>
  <si>
    <t>1469356184775839747</t>
  </si>
  <si>
    <t>@drfahrettinkoca Harbi adamlar dalga geçi ama hala kimse takmiyor seneye koronay bitirirler</t>
  </si>
  <si>
    <t>1469356118090596363</t>
  </si>
  <si>
    <t>@drfahrettinkoca 3.Doz aşıları başlatın lütfen çok geriden geliyorsunuz 2.dozun üzerinden 5 ay geçti hızlı karar alın</t>
  </si>
  <si>
    <t>1469356103200874503</t>
  </si>
  <si>
    <t>@drfahrettinkoca Sizden artık ne kılavuz ne atama izliyorum. Bence siz o 40 bin kişinin alımını kılavuzu felan 2023… https://t.co/dZe6iExJ6w</t>
  </si>
  <si>
    <t>1469355774652694534</t>
  </si>
  <si>
    <t>@drfahrettinkoca 3. Doz nezaman sayın bakanım zananı gelmedimi tüm Avrupa ve ABD başladı</t>
  </si>
  <si>
    <t>1469355650794807296</t>
  </si>
  <si>
    <t>@drfahrettinkoca Nerede klavuzzzz</t>
  </si>
  <si>
    <t>1469355639705112578</t>
  </si>
  <si>
    <t>@drfahrettinkoca Yanlış sonuçlar veren PCR yerine Covid 19 u % 99 doğrulukla teşhis eden  yerli ve milli Diagnoviri… https://t.co/qfpb99m5Oo</t>
  </si>
  <si>
    <t>1469355492518543362</t>
  </si>
  <si>
    <t>@drfahrettinkoca Sayenizde hiçbir yasak kalmadığı için maskesiz, mesafesiz ve bir de uyarılara hakaret ederek karşı… https://t.co/ntlmXVVbnK</t>
  </si>
  <si>
    <t>1469355290747453443</t>
  </si>
  <si>
    <t>@drfahrettinkoca #40BinAlımda250CocukGelisimci Erken tanı ve erken mudaha için devlet, şehir, üniversite  hastanele… https://t.co/yNQTzPKlRg</t>
  </si>
  <si>
    <t>1469355227858051076</t>
  </si>
  <si>
    <t>@drfahrettinkoca Deneysel sıvıyı verme oranınız azaldıkça,vaka ve ölüm oranıda o derece düşüyor. Sıvıyı alsada,alma… https://t.co/HApjBvVTEt</t>
  </si>
  <si>
    <t>1469355187047444482</t>
  </si>
  <si>
    <t>@drfahrettinkoca Şu an tek endişe sensin 666 faho al sıvı da  Ülkemizden defol git senin oldugun yerde başta BEBEK… https://t.co/xuwRR9ImyT</t>
  </si>
  <si>
    <t>1469355160522608649</t>
  </si>
  <si>
    <t>@drfahrettinkoca Aşı bulaşı önlemiyor ya , bulaş riskini azaltmak için nedir önlemleriniz ?</t>
  </si>
  <si>
    <t>1469355105640239104</t>
  </si>
  <si>
    <t>@drfahrettinkoca Sayın Bakanım, bir Bakan olarak  öğrencilerin sesine kulak verin lütfen. Herkes hasta sınıflar  ka… https://t.co/0HnuPK9rWx</t>
  </si>
  <si>
    <t>1469354987188858882</t>
  </si>
  <si>
    <t>@drfahrettinkoca Rakamlara yansımayanlar ne olacak karantinaya girmemek için  test yaptırmayıp dışarılarda dolaşanl… https://t.co/379Gc1N11j</t>
  </si>
  <si>
    <t>1469354943853305858</t>
  </si>
  <si>
    <t>@drfahrettinkoca ATAMA ne zaman</t>
  </si>
  <si>
    <t>1469354901268488192</t>
  </si>
  <si>
    <t>@drfahrettinkoca Hangi ülkenin sonuçları bu acaba?Sınıflarda çocuklar hep hasta hastaneye gitsek nezle,üst solunum… https://t.co/ZloTG4kWKY</t>
  </si>
  <si>
    <t>1469354896973611017</t>
  </si>
  <si>
    <t>@drfahrettinkoca Nasıl oluyor da kış aylarında test sayısı düşüyor anlamıyorum</t>
  </si>
  <si>
    <t>1469354831689179136</t>
  </si>
  <si>
    <t>@drfahrettinkoca Bizim burda Bi eczanede covit sakızı gelmiştir yazıyor o da ne olaki🤔</t>
  </si>
  <si>
    <t>1469354804136787979</t>
  </si>
  <si>
    <t>@drfahrettinkoca Ayrıca tüm aşılarımız da tamam ama evde yatmaktadayız koronadan</t>
  </si>
  <si>
    <t>1469354792711606273</t>
  </si>
  <si>
    <t>@drfahrettinkoca hangi riskli,ölümcül hastalık için 6 ayda bir  sıvı olacağız???Doğal yoldan bugüne kadar atlatmadı… https://t.co/NbZ8HBgzTr</t>
  </si>
  <si>
    <t>1469354700797579268</t>
  </si>
  <si>
    <t>@drfahrettinkoca bu sıvılar ne zaman faz çalışmalarını tamamladı da aşı oldu firma bile sorumluluk almazken nedir b… https://t.co/IghqKRee17</t>
  </si>
  <si>
    <t>1469354632606535689</t>
  </si>
  <si>
    <t>@drfahrettinkoca Covit bittiyse ve endişe yoksa neden her gün 175 -250 bandında vefat oluyor?? Bunu da bir açıklayın lütfen i zaman.</t>
  </si>
  <si>
    <t>1469354428830527488</t>
  </si>
  <si>
    <t>@drfahrettinkoca Bakanım cidden doğruysa hakkını helal et ama asla inanmıyorum doğru sayılar olduğuna az at da balıklar yesin ya</t>
  </si>
  <si>
    <t>1469354414175657989</t>
  </si>
  <si>
    <t>@drfahrettinkoca Endişe azaliyor öylemı evde şuan 3 kişi koronadan yatıyoruz sayın bakan</t>
  </si>
  <si>
    <t>1469354300874936335</t>
  </si>
  <si>
    <t>@drfahrettinkoca Sabah aksam aşı da aşı,korku, endişe, tehdit,oyalama taktiği, piyasalara bakın , bırakın bu Plande… https://t.co/HEFCSfVsYY</t>
  </si>
  <si>
    <t>1469354276547923971</t>
  </si>
  <si>
    <t>@drfahrettinkoca Yakalanma endişesi azalıyor mu? Hangi ülkede? Söyleyin de biz de oraya gidelim</t>
  </si>
  <si>
    <t>1469354258529230855</t>
  </si>
  <si>
    <t>@drfahrettinkoca Avrupa'da vaka sayıları artarken Türkiye'de düşüyor çok acayip.</t>
  </si>
  <si>
    <t>1469354243358347274</t>
  </si>
  <si>
    <t>@drfahrettinkoca Şu vakalar en az 60 bin vardır.</t>
  </si>
  <si>
    <t>1469354158285279234</t>
  </si>
  <si>
    <t>@drfahrettinkoca 4.doz olanlar keriz miydi ,tabloya bile koymuyorsunuz</t>
  </si>
  <si>
    <t>1469354147350781962</t>
  </si>
  <si>
    <t>@drfahrettinkoca Ortalık kırılıyor okulda 10 öğrenci covit öğretmenler covit siz dalgamı geçiyorsunuz bizimle. Biz… https://t.co/luiEn1Zfby</t>
  </si>
  <si>
    <t>1469354142800003078</t>
  </si>
  <si>
    <t>@drfahrettinkoca Gençler dikkat etmesin diyorsunuz yani tamam o zaman🤔</t>
  </si>
  <si>
    <t>1469354128853905409</t>
  </si>
  <si>
    <t>@drfahrettinkoca Ha baktınız millet uyandı artık yalanlarınız yenmiyor, yavaş yavaş çaktırmadan geri vites ha). Ama… https://t.co/ALnKTPJjhK</t>
  </si>
  <si>
    <t>1469354071668707329</t>
  </si>
  <si>
    <t>@drfahrettinkoca Allahinizdan bulun</t>
  </si>
  <si>
    <t>1469354070779572229</t>
  </si>
  <si>
    <t>@drfahrettinkoca Vakalar ve ölümler azalıyor omicron insanlık lehine bir varyant daha az öldürücü</t>
  </si>
  <si>
    <t>1469354018287894535</t>
  </si>
  <si>
    <t>@drfahrettinkoca @saglikbakanligi Teşekkürler COVİD bakanim...</t>
  </si>
  <si>
    <t>1469353968727998472</t>
  </si>
  <si>
    <t>@drfahrettinkoca KILAVUZ KILAVUZ KILAVUZ</t>
  </si>
  <si>
    <t>1469353882526658564</t>
  </si>
  <si>
    <t>@drfahrettinkoca Kılavuz bekliyoruz @drfahrettinkoca @gozdekirisciogl</t>
  </si>
  <si>
    <t>1469353832979308546</t>
  </si>
  <si>
    <t>@drfahrettinkoca Kronik hasta olan çocuklar için ne yaptınız sayın Fahrettin bey sadece TV izlensin bukadar öğle de… https://t.co/1XASrZl6l1</t>
  </si>
  <si>
    <t>1469353828332060684</t>
  </si>
  <si>
    <t>@drfahrettinkoca Hala bir açıklama olmayacak mı bakanım @drfahrettinkoca @gozdekirisciogl</t>
  </si>
  <si>
    <t>1469353747017052169</t>
  </si>
  <si>
    <t>@drfahrettinkoca Yıl bitti artık alıma ne zaman çıkacaksınız</t>
  </si>
  <si>
    <t>1469353655346343949</t>
  </si>
  <si>
    <t>@drfahrettinkoca Bakanım ben turp gibiyim aşısız, hic kimseye tavsiye etmiyorum aşı olmayı</t>
  </si>
  <si>
    <t>1469353640565800963</t>
  </si>
  <si>
    <t>@drfahrettinkoca Hala aşı demeyin ya.uzun zamandır 2.doz aşı oranı %80 de https://t.co/hrb7hLGi8E vaka sayıları düş… https://t.co/c3Qc1XAZmi</t>
  </si>
  <si>
    <t>1469353630750892033</t>
  </si>
  <si>
    <t>@drfahrettinkoca Hâlâ aşı diyorsunuz. Binlerce sağlıkçının ahını aldın hiç mi Allah korkusu yok. Şu zaman bu kadar… https://t.co/KQlaeorvfP</t>
  </si>
  <si>
    <t>1469353567211429894</t>
  </si>
  <si>
    <t>@drfahrettinkoca Sıvı hiç olmadım hiç grip olmadım.. Nişanlım 2 doz sıvı oldu beni dinlemedi 5 haftadır neler çekiyorum !!!!!!!!</t>
  </si>
  <si>
    <t>1469353540283944965</t>
  </si>
  <si>
    <t>@drfahrettinkoca O zaman kronik hastalara yine  izin imkanı  taniyiniz asilara rağmen hastalik geçiriyoruz agir şekilde</t>
  </si>
  <si>
    <t>1469353506842755083</t>
  </si>
  <si>
    <t>@drfahrettinkoca Sayın @RTErdogan  saglik bakanlığına 40.000 personel istihdam sözünü verdiniz ama henüz hareket ge… https://t.co/Gi9OVyLlGD</t>
  </si>
  <si>
    <t>1469353469702287371</t>
  </si>
  <si>
    <t>@drfahrettinkoca Klavuzu bir an önce yayınlayın dasağlıkçı eksiği olan illerin açığını https://t.co/TRmkiv9JVe aşı… https://t.co/snVWxMGz4f</t>
  </si>
  <si>
    <t>1469353462546808833</t>
  </si>
  <si>
    <t>@drfahrettinkoca K</t>
  </si>
  <si>
    <t>1469353331885850626</t>
  </si>
  <si>
    <t>@drfahrettinkoca Artık tabloyu takip etmiyoruz böyle denk gelirse acı bir gülümsemeyle geciyoruz inandiriciliginiz malesef kalmadı artik</t>
  </si>
  <si>
    <t>1469353291440173065</t>
  </si>
  <si>
    <t>@drfahrettinkoca Çünkü aşılılar kovid oluyor , hastalanıyor , ölüyor! TÜRK MİLLETİ UYANIYOR!</t>
  </si>
  <si>
    <t>1469353264063909893</t>
  </si>
  <si>
    <t>@drfahrettinkoca bugün 176 ya düşmüş pazartesi inşallah 220 ye çıkmaz yine hep öyle oluyor</t>
  </si>
  <si>
    <t>1469353225958662152</t>
  </si>
  <si>
    <t>@drfahrettinkoca Ne hikmetse Ekonomi kötüyken  Coronada düşüşte 1numarayız  Cokkk sürmez 0 vakayı görürüz:)</t>
  </si>
  <si>
    <t>1469353134229237763</t>
  </si>
  <si>
    <t>@drfahrettinkoca Bugun az girmissiniz biraz cok girinde millet inansin</t>
  </si>
  <si>
    <t>1469353040109088768</t>
  </si>
  <si>
    <t>@drfahrettinkoca Örgün Çocuk Gelişimciler en az 250 atama istiyor, Sayın Bakanım #40BinAlımda250CocukGelisimci</t>
  </si>
  <si>
    <t>1469353040033497091</t>
  </si>
  <si>
    <t>@drfahrettinkoca Bi yerlere bi atamalar yapın. Aynı zamanda sağlıkçılar aç geçinemiyorlar. Tıbbî bilmemne branşını… https://t.co/bm6pojlMWR</t>
  </si>
  <si>
    <t>1469353021876449284</t>
  </si>
  <si>
    <t>@drfahrettinkoca Bu kadar yalan olmaz kdxksbxisx</t>
  </si>
  <si>
    <t>1469353019716345856</t>
  </si>
  <si>
    <t>@drfahrettinkoca Sayın bakanım bir meslektasinizin sesine kulak verin lütfen onun için bu meslek grubuna hak ettiği… https://t.co/mYHgQOV2au</t>
  </si>
  <si>
    <t>1469353011189358598</t>
  </si>
  <si>
    <t>@drfahrettinkoca 5+ yaş üzeri aşıyı açın lütfen kararı ailelere bırakın.</t>
  </si>
  <si>
    <t>1469352986191310854</t>
  </si>
  <si>
    <t>@drfahrettinkoca Kronik hastalığı olanlara dikkat edin diyosunuz ama okula gitmek zorundalar nasıl bir hassasiyet göstermem gerekiyor</t>
  </si>
  <si>
    <t>1469352984941371397</t>
  </si>
  <si>
    <t>@drfahrettinkoca on yaşında bir kız annesi olarak azalmak bir kenara siz vakaları dusurdukce çoğalıyor endişem bütü… https://t.co/MdEBJY0oce</t>
  </si>
  <si>
    <t>1469352883338584066</t>
  </si>
  <si>
    <t>@drfahrettinkoca Yani Omicron için aşı etkinliğinin devam ettigine dair bu kadar eminsiniz!Uğur Şahin bile sizin ka… https://t.co/5ThNvBq7nY</t>
  </si>
  <si>
    <t>1469352811645308936</t>
  </si>
  <si>
    <t>@drfahrettinkoca Sayın bakanım Covid-19 döneminden en çok etkilenen Çocuklarımız için bizler göreve hazırız. Biz Ço… https://t.co/aWyfWwHnAZ</t>
  </si>
  <si>
    <t>1469352764610392065</t>
  </si>
  <si>
    <t>@drfahrettinkoca 20-19-18 .... oooo hoşgeldin 2022 şakası güzel gider kahrettin bey</t>
  </si>
  <si>
    <t>1469352759296094210</t>
  </si>
  <si>
    <t>@drfahrettinkoca Test yapmayin abi hic ayni sey cunku</t>
  </si>
  <si>
    <t>1469352746700750851</t>
  </si>
  <si>
    <t>@drfahrettinkoca Fazlasını değil hakkımız olan kadroyu bekliyoruz  #40BinAlımda250CocukGelisimci @drfahrettinkoca  @saglikbakanligi</t>
  </si>
  <si>
    <t>1469352648432304135</t>
  </si>
  <si>
    <t>@drfahrettinkoca Aşıyla birlikte vakaların da düştüğünü farkeden birtek bizmiyiz.</t>
  </si>
  <si>
    <t>1469352631302766604</t>
  </si>
  <si>
    <t>@drfahrettinkoca Hükümetler ve Bilim dünyası sağlığınızı önemsiyor olsaydı bu virüsün doğal iyileşme oranını kutlar… https://t.co/cDPCltcO2D</t>
  </si>
  <si>
    <t>1469352525291831296</t>
  </si>
  <si>
    <t>@drfahrettinkoca Peki hassasiyet gostermeyenlerin sorumsuzluğunu neden çocuklarımız çekiyor hergun ağlıyor çocuklar… https://t.co/abQijcPF7Q</t>
  </si>
  <si>
    <t>1469352513501597699</t>
  </si>
  <si>
    <t>@drfahrettinkoca Bizler hakkımız olanı istiyoruz. #40BinAlımda250CocukGelisimci</t>
  </si>
  <si>
    <t>1469352488356753419</t>
  </si>
  <si>
    <t>@drfahrettinkoca Uzaktan eğitim gelsin havalarda soğudu önlemler alınmalı geç kalmadan öğrenciler ve velilerin gözü… https://t.co/b2Ef8crsu1</t>
  </si>
  <si>
    <t>1469352393934610441</t>
  </si>
  <si>
    <t>@drfahrettinkoca Şuan sinirden titriyorum bu kadar mı ya cidden pandemi bitmiş de haberimiz yokmuş o kadar insan da… https://t.co/yTR1bH9gRg</t>
  </si>
  <si>
    <t>1469352362988945408</t>
  </si>
  <si>
    <t>@drfahrettinkoca Ya siz hâlâ istifa etmedi mi insanlar geçim derdine düşmüş siz kale cavitte covit gına geldi valla… https://t.co/e5V62AOyb1</t>
  </si>
  <si>
    <t>1469352332689395724</t>
  </si>
  <si>
    <t>@drfahrettinkoca Kronik akciğer hastası bir öğretmene sınıfa gir derseniz nasıl hassasiyet gösterecek? Çift maske ,… https://t.co/TD4upRFCu2</t>
  </si>
  <si>
    <t>1469352318017712132</t>
  </si>
  <si>
    <t>@drfahrettinkoca Sağlık Lisansiyeri Çocuk Gelişimciler olarak 0-18 yaş arası çocukların gelişimsel değerlendirmesin… https://t.co/q7gaMpgPA6</t>
  </si>
  <si>
    <t>1469352254142619651</t>
  </si>
  <si>
    <t>@drfahrettinkoca SÜDGE İPTAL ET BAKANIM KAFAMIZA SIKICAZ 2YILDRI HAKKIM OLAN EHLİYETİMİ VERMİYOLAR 2019 DA SÜRE CEZ… https://t.co/gmqunFruBp</t>
  </si>
  <si>
    <t>1469352159703715840</t>
  </si>
  <si>
    <t>@drfahrettinkoca SÜDGE İPTAL ET BAKANIM KAFAMIZA SIKICAZ 2YILDRI HAKKIM OLAN EHLİYETİMİ VERMİYOLAR 2019 DA SÜRE CEZ… https://t.co/SpOZbyYog4</t>
  </si>
  <si>
    <t>1469352133224980482</t>
  </si>
  <si>
    <t>@drfahrettinkoca SÜDGE İPTAL ET BAKANIM KAFAMIZA SIKICAZ 2YILDRI HAKKIM OLAN EHLİYETİMİ VERMİYOLAR 2019 DA SÜRE CEZ… https://t.co/72oDTJmVQM</t>
  </si>
  <si>
    <t>1469352108759601159</t>
  </si>
  <si>
    <t>@drfahrettinkoca Siz vakaların azaldığını söylüyorsunuz ama hastaneler dolu,etrafimizda kime sorsak hasta kimi test… https://t.co/QcUu5GyxTM</t>
  </si>
  <si>
    <t>1469352108591833090</t>
  </si>
  <si>
    <t>@drfahrettinkoca SÜDGE İPTAL ET BAKANIM KAFAMIZA SIKICAZ 2YILDRI HAKKIM OLAN EHLİYETİMİ VERMİYOLAR 2019 DA SÜRE CEZ… https://t.co/5Cd38Ytj9t</t>
  </si>
  <si>
    <t>1469352081605672967</t>
  </si>
  <si>
    <t>@drfahrettinkoca Sayın Bakan sayıları TÜİK 'den mi aldınız sadece soruyorum...</t>
  </si>
  <si>
    <t>1469352046985945100</t>
  </si>
  <si>
    <t>@drfahrettinkoca Hala senin bu tutarsızlıklarına inananlar varsa, onlar da ne hali varsa görsünler. 😉</t>
  </si>
  <si>
    <t>1469352033522171908</t>
  </si>
  <si>
    <t>@drfahrettinkoca SÜDGE İPTAL ET BAKANIM KAFAMIZA SIKICAZ 2YILDRI HAKKIM OLAN EHLİYETİMİ VERMİYOLAR 2019 DA SÜRE CEZ… https://t.co/gqLc4kv3rX</t>
  </si>
  <si>
    <t>1469352018083037187</t>
  </si>
  <si>
    <t>@drfahrettinkoca gukdurmuyo artik yapmayin su sakayi ya :D</t>
  </si>
  <si>
    <t>1469351965926821893</t>
  </si>
  <si>
    <t>@drfahrettinkoca SÜDGE İPTAL ET BAKANIM KAFAMIZA SIKICAZ 2YILDRI HAKKIM OLAN EHLİYETİMİ VERMİYOLAR 2019 DA SÜRE CEZ… https://t.co/KXYP7zcsQG</t>
  </si>
  <si>
    <t>1469351961942233091</t>
  </si>
  <si>
    <t>@drfahrettinkoca Allah sizin belanızı versin</t>
  </si>
  <si>
    <t>1469351956992909314</t>
  </si>
  <si>
    <t>@drfahrettinkoca Ya sayın bakan millet yarım gün işe gitmese aç kalacak siz corona diyorsunuz bu memleketin coronad… https://t.co/kP4u7pZ4XZ</t>
  </si>
  <si>
    <t>1469351950256951296</t>
  </si>
  <si>
    <t>@drfahrettinkoca SÜDGE İPTAL ET BAKANIM KAFAMIZA SIKICAZ 2YILDRI HAKKIM OLAN EHLİYETİMİ VERMİYOLAR 2019 DA SÜRE CEZ… https://t.co/2y70qYbjWM</t>
  </si>
  <si>
    <t>1469351936654823424</t>
  </si>
  <si>
    <t>@drfahrettinkoca SÜDGE İPTAL ET BAKANIM KAFAMIZA SIKICAZ 2YILDRI HAKKIM OLAN EHLİYETİMİ VERMİYOLAR 2019 DA SÜRE CEZ… https://t.co/UQKUlRlBan</t>
  </si>
  <si>
    <t>1469351915838492681</t>
  </si>
  <si>
    <t>@drfahrettinkoca SÜDGE İPTAL ET BAKANIM KAFAMIZA SIKICAZ 2YILDRI HAKKIM OLAN EHLİYETİMİ VERMİYOLAR 2019 DA SÜRE CEZ… https://t.co/OlLFn2WIWP</t>
  </si>
  <si>
    <t>1469351890098049028</t>
  </si>
  <si>
    <t>@drfahrettinkoca Şu an etrafımda 20 kişi pozitif bu sayı bana inandırıcı gelmiyor. Ya da kimse test yaptırmıyor</t>
  </si>
  <si>
    <t>1469351866890956800</t>
  </si>
  <si>
    <t>@drfahrettinkoca Bakanım yaş  varsa mutluluk yok,lütfen işçi alımındaki yaş 35 olmasın</t>
  </si>
  <si>
    <t>1469351842979143684</t>
  </si>
  <si>
    <t>@drfahrettinkoca Kardeşim niye 18 bin yazıyosun düşür şunu 5 bine 4 bine millet rahat etsin</t>
  </si>
  <si>
    <t>1469351766043074565</t>
  </si>
  <si>
    <t>@drfahrettinkoca #pcrzulmüsonbulsun @drfahrettinkoca bu zulme son verin artık iş yerlerinde haftada 2 gün pcr zorun… https://t.co/Qdd1bnMasb</t>
  </si>
  <si>
    <t>1469351725777702912</t>
  </si>
  <si>
    <t>@drfahrettinkoca Sağlık Lisansiyeri Çocuk Gelişimciler fazlasını değil, hak ettikleri kadroları istiyorlar. 0-18 ya… https://t.co/tUlfMppPfJ</t>
  </si>
  <si>
    <t>1469351717699522564</t>
  </si>
  <si>
    <t>1469351675618111492</t>
  </si>
  <si>
    <t>@drfahrettinkoca Bu vaka sayıları gerçekten günden güne komik hale geliyor nedense hes uygulamasına hic yansımıyor.… https://t.co/L0qx9S2355</t>
  </si>
  <si>
    <t>1469351637055676421</t>
  </si>
  <si>
    <t>@drfahrettinkoca Ülkemizde uygulanan grip aşısı bile senede 2 kez yapılmaz iken,ne idüğü tam bilinmeyen bir aşıyı ı… https://t.co/z1k75g8NwP</t>
  </si>
  <si>
    <t>1469351588074598400</t>
  </si>
  <si>
    <t>@drfahrettinkoca Geçen sene yorumlarda birisi aşıya karşı çıkınca linçleniyordu. Sen doktormusun bilmemnemisin diye… https://t.co/6Y7tC9RkWh</t>
  </si>
  <si>
    <t>1469351525654880268</t>
  </si>
  <si>
    <t>@drfahrettinkoca Sayın bakanım dediğiniz gibi kızımın aşısını tamamlamaya çalışıyoruz ama 2010 yılında ölen babasın… https://t.co/HkeULQFI7N</t>
  </si>
  <si>
    <t>1469351509347471361</t>
  </si>
  <si>
    <t>@drfahrettinkoca Aşı koruyorsa bakan bey yengem 3 doz aşılı şuan entübeye aldılar durumu ağır</t>
  </si>
  <si>
    <t>1469351502993051653</t>
  </si>
  <si>
    <t>@drfahrettinkoca Kılavuz!</t>
  </si>
  <si>
    <t>1469351460446121985</t>
  </si>
  <si>
    <t>@drfahrettinkoca Bu nasıl iş Allah aşkına bulunduğum yerde doktorlarla iç içe olan akrabamız diyorki hastanede yer… https://t.co/AteFx6NiBY</t>
  </si>
  <si>
    <t>1469351428179513348</t>
  </si>
  <si>
    <t>@drfahrettinkoca İçin gidiyor değil mi onca çabanıza rağmen sizlerin korku kampanyalarına artık rağbet edilmiyor...… https://t.co/Yjgep0E6pz</t>
  </si>
  <si>
    <t>1469351418280787972</t>
  </si>
  <si>
    <t>@drfahrettinkoca Merhaba  kılavuz</t>
  </si>
  <si>
    <t>1469351367940657152</t>
  </si>
  <si>
    <t>@drfahrettinkoca Her gecen gun umutlar sonuyor atama yapin @drfahrettinkoca</t>
  </si>
  <si>
    <t>1469351337359990788</t>
  </si>
  <si>
    <t>@drfahrettinkoca 13 aydır atama bekliyoruz . gençliğimizi bitirdiniz.#saglikçıatama</t>
  </si>
  <si>
    <t>1469351330514980864</t>
  </si>
  <si>
    <t>@drfahrettinkoca Artık bir şey demiyorum</t>
  </si>
  <si>
    <t>1469351304577310722</t>
  </si>
  <si>
    <t>@drfahrettinkoca Sayın bakan milletin derdi ekonomi olunca evini nasıl gecindirecegini düşününce markete gidip iste… https://t.co/ZByvzjg8GB</t>
  </si>
  <si>
    <t>1469351300030767111</t>
  </si>
  <si>
    <t>@drfahrettinkoca 3. Doz biontekleri lütfen hemen açın sayın bakanım.. 6 ayı beklemeden</t>
  </si>
  <si>
    <t>1469351210486571016</t>
  </si>
  <si>
    <t>@drfahrettinkoca Bizim yakamizdan (hiç aşısız)  düştü galiba aşıları eksik olanlara taktı 🧐</t>
  </si>
  <si>
    <t>1469351207227514888</t>
  </si>
  <si>
    <t>@drfahrettinkoca Kılavuz için açıklama yapacak mısınız artık? @gozdekirisciogl @RTErdogan</t>
  </si>
  <si>
    <t>1469351141846757382</t>
  </si>
  <si>
    <t>@drfahrettinkoca Duyun bizi kilavuz nerde hani sozler</t>
  </si>
  <si>
    <t>1469351132300521480</t>
  </si>
  <si>
    <t>@drfahrettinkoca Avrupa’da vakalar artarken bizde düşüyor . Avrupa bizi kıskanmasın da ne yapsın</t>
  </si>
  <si>
    <t>1469351121462480899</t>
  </si>
  <si>
    <t>@drfahrettinkoca Bu Twitter Sağlık Bakanı tarafından kullanılmıyor. Yorumları okuyan kişi de yine atama yazıyor diy… https://t.co/exkWJ6Ppnb</t>
  </si>
  <si>
    <t>1469351096627904513</t>
  </si>
  <si>
    <t>@drfahrettinkoca Bakanim kilavuzzz</t>
  </si>
  <si>
    <t>1469351086150537216</t>
  </si>
  <si>
    <t>@drfahrettinkoca Sen ne anlatiyon sayın bakan milleti kovid değil zamlar öldürecek</t>
  </si>
  <si>
    <t>1469351082388340742</t>
  </si>
  <si>
    <t>@drfahrettinkoca Kilavuzzz nerde</t>
  </si>
  <si>
    <t>1469351051555971075</t>
  </si>
  <si>
    <t>@drfahrettinkoca Kilavuzzzzz</t>
  </si>
  <si>
    <t>1469351016881692676</t>
  </si>
  <si>
    <t>@drfahrettinkoca Sayın bakan bir cahil vatandaşın Sorusu:Çinden gelen bir Mikrop dünyayı sardı. Ve bu mikrobu yok e… https://t.co/nCrySly5rs</t>
  </si>
  <si>
    <t>1469351015271084032</t>
  </si>
  <si>
    <t>@drfahrettinkoca Yorimlars kapatin twitlerinizi sayin bakanim</t>
  </si>
  <si>
    <t>1469351004130922508</t>
  </si>
  <si>
    <t>@drfahrettinkoca Yahu Allah aşkına; sağlık bakanı bey size, söylüyorum..Bırakın boş konuşmayı.. Bana cevap verin ba… https://t.co/0MB8mSl3Lh</t>
  </si>
  <si>
    <t>1469350984904237056</t>
  </si>
  <si>
    <t>@drfahrettinkoca Kaç doz olursa aşı tamamlanmis sayılacak sayın aşı bakani bı desenizde ogrensek</t>
  </si>
  <si>
    <t>1469350981779570691</t>
  </si>
  <si>
    <t>@drfahrettinkoca İstifa edip gidin.Bir hayrınız olur Yüce Türk Milletine</t>
  </si>
  <si>
    <t>1469350942093021185</t>
  </si>
  <si>
    <t>@drfahrettinkoca Yeter artık kılavuz nerde ya</t>
  </si>
  <si>
    <t>1469350912204410885</t>
  </si>
  <si>
    <t>@drfahrettinkoca Her gün binlerce covid haritası atılıyor ya bu kılavuzu açıklamak bu kadar mu zor . Ne istiyorsunu… https://t.co/XMFtEk8fgD</t>
  </si>
  <si>
    <t>1469350886036193281</t>
  </si>
  <si>
    <t>@drfahrettinkoca Pazar günü İstiklal caddesine gel halk ne diyor izle. Büyük Uyanış Yürüyüşünde buluşalım. Yada ist… https://t.co/k7iyu2WkLC</t>
  </si>
  <si>
    <t>1469350862325792770</t>
  </si>
  <si>
    <t>@drfahrettinkoca Bastan bu yana soylediklerinizle kendiniz çeliştiniz. Bunun plandemi olduğunu söyleyin de kurtulun… https://t.co/NgjJlAzndk</t>
  </si>
  <si>
    <t>1469350842683772931</t>
  </si>
  <si>
    <t>@drfahrettinkoca Avrupa niye kapanıyor</t>
  </si>
  <si>
    <t>1469350733132832768</t>
  </si>
  <si>
    <t>@drfahrettinkoca Bakanım yayınlamayın şu uyduruk tabloyu, kimse inanmıyor.</t>
  </si>
  <si>
    <t>1469350672839716875</t>
  </si>
  <si>
    <t>@drfahrettinkoca Sayin bakan hastaligi gecirmis ve iyilesmis olanlarin yakasini birakin.. bunu sizde pek iyi bir se… https://t.co/JIsCyzBABZ</t>
  </si>
  <si>
    <t>1469350490446127105</t>
  </si>
  <si>
    <t>@drfahrettinkoca @AtillaOzmumcu @serdararda hocam virüs bitmiş ya demi yazıklar olsun yalan</t>
  </si>
  <si>
    <t>1469350466093989896</t>
  </si>
  <si>
    <t>@drfahrettinkoca Ne kılavuzmuş be sanki ölümsüzlük iksirinin formülünü vereceksiniz atama nerede sayın bakan yeter artık @dr</t>
  </si>
  <si>
    <t>1469350440127062017</t>
  </si>
  <si>
    <t>@drfahrettinkoca Atama bekleyen 800.000 kişi seni tüm akraba, aile,  dost ve nasipse torunlarına bile AŞI BAKANI ol… https://t.co/5QuDBHR4uR</t>
  </si>
  <si>
    <t>1469350381486497793</t>
  </si>
  <si>
    <t>@drfahrettinkoca Temel hak ve özgürlüklerimin her 6 ayda bir olmam gereken bir iğnenin ucuna asılmasını istemiyorum… https://t.co/OeJrlWyQOD</t>
  </si>
  <si>
    <t>1469350325752586242</t>
  </si>
  <si>
    <t>@drfahrettinkoca Bizim atanamama endişemiz giderek artıyor o ne olacak</t>
  </si>
  <si>
    <t>1469350259591626757</t>
  </si>
  <si>
    <t>@drfahrettinkoca ...diye uydurdular.  #FatihErbakan https://t.co/Hnm3PWXayE</t>
  </si>
  <si>
    <t>1469350243976335360</t>
  </si>
  <si>
    <t>@drfahrettinkoca 😀😀😀</t>
  </si>
  <si>
    <t>1469350234622988295</t>
  </si>
  <si>
    <t>@drfahrettinkoca yeni yazım yayında iyi okumalar https://t.co/QL4BzvDxMY    #SonDakika</t>
  </si>
  <si>
    <t>1469350207540367363</t>
  </si>
  <si>
    <t>@drfahrettinkoca 2 sinovac +1 biontech olanlar son doz üzerinden 6 ay geçtikten sonra hatırlatma dozu alamıyorlar.… https://t.co/sDWc0mv6Eg</t>
  </si>
  <si>
    <t>1469350169254768641</t>
  </si>
  <si>
    <t>@drfahrettinkoca Avrupa,Japonya vb yüksek aşı oranları olan ülkeler vaka artışları nedeniyle yeniden kapanma ve kıs… https://t.co/8iZ2yMlJCE</t>
  </si>
  <si>
    <t>1469350164850778112</t>
  </si>
  <si>
    <t>@drfahrettinkoca Sayın bakan artık söz bizim atamaya mı gelse</t>
  </si>
  <si>
    <t>1469350151110242304</t>
  </si>
  <si>
    <t>@drfahrettinkoca #hükümetistifa #ErkenSeçim  #BatırarAKgidiyorlar #NasılGeçineceğiz Adalet Bakanlığı… https://t.co/WwUL1Mdd7I</t>
  </si>
  <si>
    <t>1469350128112869384</t>
  </si>
  <si>
    <t>@drfahrettinkoca Yav bakan vaka düşüyor sallıyon vaka artıyor sallıyon. Bence sen istifa et de dinlen biraz. Yoksa… https://t.co/2xW5Hhcf3D</t>
  </si>
  <si>
    <t>1469350094738800643</t>
  </si>
  <si>
    <t>@drfahrettinkoca Allah da senin ömrünü tamamlasın be adam, düş yakamızdan!</t>
  </si>
  <si>
    <t>1469350066133639172</t>
  </si>
  <si>
    <t>@drfahrettinkoca Emredersin 666 faho...😜😂😅🤣😜🦅</t>
  </si>
  <si>
    <t>1469350058466463751</t>
  </si>
  <si>
    <t>@drfahrettinkoca Dr #FatihErbakan https://t.co/OfxBeJtaha</t>
  </si>
  <si>
    <t>1469350026384138252</t>
  </si>
  <si>
    <t>@drfahrettinkoca Atanma endişemizse  giderek artıyor... Sağlık çalışanları yılını sıfır sağlık istihdamıyla mı kapatmak istiyorsunuz?</t>
  </si>
  <si>
    <t>1469350011913785347</t>
  </si>
  <si>
    <t>@drfahrettinkoca Yalancı çoban gibisin...</t>
  </si>
  <si>
    <t>1469349948915392512</t>
  </si>
  <si>
    <t>@drfahrettinkoca https://t.co/ycJs9JLNU5</t>
  </si>
  <si>
    <t>1469349932935139343</t>
  </si>
  <si>
    <t>@drfahrettinkoca https://t.co/O0x1XEbeyy</t>
  </si>
  <si>
    <t>1469349887703760905</t>
  </si>
  <si>
    <t>@drfahrettinkoca 1 doz sinovac yeterdi hani.gercek verileri verdiginize inanmıyorum</t>
  </si>
  <si>
    <t>1469349847018917900</t>
  </si>
  <si>
    <t>@drfahrettinkoca bu aşı tamamlanma işini kaçıncıda bitireceksiniz.aşılar 1 ay mı koruyor.bırakın millete korku verm… https://t.co/sHxAmYffMC</t>
  </si>
  <si>
    <t>1469349836461940741</t>
  </si>
  <si>
    <t>@drfahrettinkoca #hükümetistifa #ErkenSeçim  #BatırarAKgidiyorlar #NasılGeçineceğiz Adalet Bakanlığı… https://t.co/t1z28PzJAn</t>
  </si>
  <si>
    <t>1469349835505651712</t>
  </si>
  <si>
    <t>@drfahrettinkoca Bu düşüş yetmez.Biraz daha dünürülsedeydi keşke! Ilkokul 1-2-3 lerde kademeli antijen testi yapıla… https://t.co/ydPmG6yoyy</t>
  </si>
  <si>
    <t>1469349755046277127</t>
  </si>
  <si>
    <t>@drfahrettinkoca Hem aşı olun , hem de tedbirli olun diyorsunuz? Tedbir almamı gerektirecekse neden aşı olmalıyım?</t>
  </si>
  <si>
    <t>1469349753255309315</t>
  </si>
  <si>
    <t>@drfahrettinkoca Yakalanma endişesi azalıyorsa her gün ortalama 200 insan niye ölüyor. 20 bin civarı vaka nasıl ola… https://t.co/zLyWr5PSpO</t>
  </si>
  <si>
    <t>1469349748721299458</t>
  </si>
  <si>
    <t>@drfahrettinkoca Her ülke tedbirlerini sıkılaştırırken bizde hiçbir ek önlem alınmıyor. Kişilerin şahsi önlemleri y… https://t.co/lpWz9Ux4RU</t>
  </si>
  <si>
    <t>1469349745579675649</t>
  </si>
  <si>
    <t>@drfahrettinkoca Aşı tamamlamak ne demek .....🤔</t>
  </si>
  <si>
    <t>1469349726243930113</t>
  </si>
  <si>
    <t>@drfahrettinkoca Şu sağlık bakanlığı koltuğuna bir düdüklü tencere koysalardı daha faydalı olurdu şu millete.. Heyhat!</t>
  </si>
  <si>
    <t>1469349725501542400</t>
  </si>
  <si>
    <t>@drfahrettinkoca Yurt dışından salgın yönetimi hakkında bilgi alın lütfen.Sadece maske ile önlem olmaz.Onuda takan… https://t.co/GftcUeAqe3</t>
  </si>
  <si>
    <t>1469349687316598785</t>
  </si>
  <si>
    <t>@drfahrettinkoca Yani siz yönetenler hicbir önlem almayın, insanlar sadece aşılanarak ölmeden hastalığı geçirsin!!… https://t.co/zZNJiBljc0</t>
  </si>
  <si>
    <t>1469349671877636096</t>
  </si>
  <si>
    <t>@drfahrettinkoca Aşı kadar önemli sağlıkçılar var görmezden gelmeyin atama yapın....  @drfahrettinkoca</t>
  </si>
  <si>
    <t>1469349637484130305</t>
  </si>
  <si>
    <t>@drfahrettinkoca Kaç doz olursa tamam diyorsunuz ?</t>
  </si>
  <si>
    <t>1469349598175109131</t>
  </si>
  <si>
    <t>@drfahrettinkoca 3 dozlu  olanlar rahat gezebilir veya rahat davranabileceklerse bende 1.doz olayım .Varmı verecek cevabınız sayın bakan</t>
  </si>
  <si>
    <t>1469349588570152967</t>
  </si>
  <si>
    <t>@drfahrettinkoca Klavuz bakanım klavuz bizim için sevindirici tek şey klavuz.</t>
  </si>
  <si>
    <t>1469349505220947983</t>
  </si>
  <si>
    <t>@drfahrettinkoca Ne demiş namık kemal?</t>
  </si>
  <si>
    <t>1469349464246784002</t>
  </si>
  <si>
    <t>@drfahrettinkoca İşimizin başına geçmek istiyoruz beklemek birilerine ailemize yük olmak istemiyoruz artık @drfahrettinkoca</t>
  </si>
  <si>
    <t>1469349438925725700</t>
  </si>
  <si>
    <t>@drfahrettinkoca Ya içerdeki kader mahkum evlatlarımız sevdiklerimiz canlarımız çiviye ve kaderine terk ettiklerini… https://t.co/7VrtOKJprn</t>
  </si>
  <si>
    <t>1469349392427671556</t>
  </si>
  <si>
    <t>@drfahrettinkoca Derhal 40 yaş üstü 3.doz u açmanız lazım. Bekliyoruzz</t>
  </si>
  <si>
    <t>1469349351822704644</t>
  </si>
  <si>
    <t>@drfahrettinkoca Söz verilirse yerine getirilir biz böyle gördük ,sizin sözleriniz neden havada kaldı ?</t>
  </si>
  <si>
    <t>1469349349813534726</t>
  </si>
  <si>
    <t>@drfahrettinkoca Koca bey Sn rte söyleyin sizi covid bakanı yapsın bizle ilgilenecek bir sağlık bakanlığı kurulsun ...</t>
  </si>
  <si>
    <t>1469349334823194628</t>
  </si>
  <si>
    <t>@drfahrettinkoca Ses verin @drfahrettinkoca</t>
  </si>
  <si>
    <t>1469349318113046530</t>
  </si>
  <si>
    <t>@drfahrettinkoca Ne tedbir olduda ne yaptınız da böyle düştü vakalar açıklar mısınız.</t>
  </si>
  <si>
    <t>1469349302405410818</t>
  </si>
  <si>
    <t>@drfahrettinkoca Okullar kapansın!!!!!</t>
  </si>
  <si>
    <t>1469349124902428682</t>
  </si>
  <si>
    <t>@drfahrettinkoca AVM lere aşi olmayanlari almayin</t>
  </si>
  <si>
    <t>1469349120905289734</t>
  </si>
  <si>
    <t>@drfahrettinkoca Dayı bi yorulmadın şu tabloyu atmaktan yaa 😅</t>
  </si>
  <si>
    <t>1469349115305861130</t>
  </si>
  <si>
    <t>@drfahrettinkoca Klavuz klavuz klavuz</t>
  </si>
  <si>
    <t>1469349105885487108</t>
  </si>
  <si>
    <t>@drfahrettinkoca Yarın bir açıklama bekliyoruz bakanım @drfahrettinkoca</t>
  </si>
  <si>
    <t>1469349104031576074</t>
  </si>
  <si>
    <t>@drfahrettinkoca Ben KİLAVUZ  yazmaktan yıldım yıldım valla</t>
  </si>
  <si>
    <t>1469349089506639880</t>
  </si>
  <si>
    <t>@drfahrettinkoca Sayın bakanım, Almanya ve İngiltere ile de bu başarımızın sırrını paylaşmalıyız.</t>
  </si>
  <si>
    <t>1469349050340331522</t>
  </si>
  <si>
    <t>@drfahrettinkoca Sayın Bakan!! İnanın ne diyeceğimi bilemiyorum! Kelimeler kifayetsiz kalıyor! Ne güzel bitirdiniz… https://t.co/k7gocID9Yy</t>
  </si>
  <si>
    <t>1469349045625921537</t>
  </si>
  <si>
    <t>@drfahrettinkoca Biz dikkate alınmayacak ne yaptık sizlere sayın bakan</t>
  </si>
  <si>
    <t>1469349029104558087</t>
  </si>
  <si>
    <t>@drfahrettinkoca Daha ne kadar erteleyeceksiniz bakanım sesimizi duyup bir açıklama yapma vakti çoktan geçti</t>
  </si>
  <si>
    <t>1469349010175574016</t>
  </si>
  <si>
    <t>@drfahrettinkoca Sayın bakanım biraz daha düşürseydiniz bu çok fazla</t>
  </si>
  <si>
    <t>1469349006723665931</t>
  </si>
  <si>
    <t>@drfahrettinkoca Sayın bakanım çocuk gelişimciler kadro listesini bekliyor. Çocuğun yüksek yararı için gelişim taki… https://t.co/hb9zlJpMAD</t>
  </si>
  <si>
    <t>1469349000180637699</t>
  </si>
  <si>
    <t>@drfahrettinkoca Omicron varyantıda yok bizim ülkede değil mi bakan :)</t>
  </si>
  <si>
    <t>1469348957524475913</t>
  </si>
  <si>
    <t>@drfahrettinkoca Hala aşı olmadım herhangi bir problemim yok şükür.</t>
  </si>
  <si>
    <t>1469348943687569409</t>
  </si>
  <si>
    <t>@drfahrettinkoca gülsem mi ağlasam mı bilemedim...</t>
  </si>
  <si>
    <t>1469348923315793927</t>
  </si>
  <si>
    <t>@drfahrettinkoca Sağlıkçılar Kılavuz bekliyor</t>
  </si>
  <si>
    <t>1469348886435311620</t>
  </si>
  <si>
    <t>@drfahrettinkoca Yarın ki bütçe görüşmesinde de bi aciklama yapılmazsa yanarız..Sehirdışı Üni hastanelerine basvuru… https://t.co/S9nme5b5dq</t>
  </si>
  <si>
    <t>1469348752330743818</t>
  </si>
  <si>
    <t>@drfahrettinkoca Bakanım yanıtlarımız farklı cevap basit kılavuz.</t>
  </si>
  <si>
    <t>1469348736342048773</t>
  </si>
  <si>
    <t>@drfahrettinkoca Ugur sahin hoca hatırlatma dozunu 3 ay demiş biz 6 ay bekliyoruz doğrusu asi bulandami yoksa sizdeki doğrusu ne ⁉️⁉️⁉️</t>
  </si>
  <si>
    <t>1469348720760213509</t>
  </si>
  <si>
    <t>@drfahrettinkoca Bu ya bu yalan tablo üst üste mi geliyor</t>
  </si>
  <si>
    <t>1469348713160183820</t>
  </si>
  <si>
    <t>@drfahrettinkoca Atanamama endişesi giderek artıyor</t>
  </si>
  <si>
    <t>1469348703001624585</t>
  </si>
  <si>
    <t>@drfahrettinkoca Seni Allah’a havale ediyoruz @drfahrettinkoca senin kadar yalancı bir insan görmedim bitti de koro… https://t.co/sEQmdE7eWT</t>
  </si>
  <si>
    <t>1469348681128333313</t>
  </si>
  <si>
    <t>@drfahrettinkoca Dilimizde tüy bitti açıklayın,yıldık.</t>
  </si>
  <si>
    <t>1469348653018009608</t>
  </si>
  <si>
    <t>@drfahrettinkoca Boş sözlere karnımız tok</t>
  </si>
  <si>
    <t>1469348625394372608</t>
  </si>
  <si>
    <t>@drfahrettinkoca #40BinAlımda250CocukGelisimci atama bekliyoruz</t>
  </si>
  <si>
    <t>1469348598974496768</t>
  </si>
  <si>
    <t>@drfahrettinkoca Nasıl covide yakalanma endişesi azalıyor sayın bakan?Veliler olarak çocuklarımızı okula gönderirke… https://t.co/ekfW230TnR</t>
  </si>
  <si>
    <t>1469348532532486145</t>
  </si>
  <si>
    <t>@drfahrettinkoca Bu hastalıktan ölme ihtimali neredeyse Yıldırım çarparak ölme ihtimali olan gençlere aşı ile tedbi… https://t.co/QqMpSvPgBs</t>
  </si>
  <si>
    <t>1469348526547210252</t>
  </si>
  <si>
    <t>@drfahrettinkoca Sayın bakanım Covid-19 döneminden en çok etkilenen Çocuklarımız için bizler göreve hazırız. Biz Ço… https://t.co/IuwJCzCdKj</t>
  </si>
  <si>
    <t>1469348508167806976</t>
  </si>
  <si>
    <t>@drfahrettinkoca Sağlıkçı yılı  rezalet yılı oldu</t>
  </si>
  <si>
    <t>1469348500089548806</t>
  </si>
  <si>
    <t>@drfahrettinkoca Sayın bakanım Covid-19 döneminden en çok etkilenen Çocuklarımız için bizler göreve hazırız. Biz Ço… https://t.co/0D4Z7BnNup</t>
  </si>
  <si>
    <t>1469348449707511812</t>
  </si>
  <si>
    <t>@drfahrettinkoca Bir bakan olarak böyle yaparsanız biz neyinize  güvenip aşı olacağız</t>
  </si>
  <si>
    <t>1469348417591721991</t>
  </si>
  <si>
    <t>@drfahrettinkoca Sayın bakanım ATAMA bekleyen bizleri şu zor zamanların hatrına net bilgilendirin bakın böyle sessi… https://t.co/9YEjhyMaI8</t>
  </si>
  <si>
    <t>1469348374864449536</t>
  </si>
  <si>
    <t>@drfahrettinkoca Hastalığı umursayan yok bunlar hala yakalanma endişesi azalıyor diyor.Bozuk plak gibi aynı sözleri söylemeye devam.</t>
  </si>
  <si>
    <t>1469348374428233740</t>
  </si>
  <si>
    <t>@drfahrettinkoca #FKocaHaftaAyYılOlduYeter  #FkocaYaKılavuzYaİstifa https://t.co/rn4FtOxJaG</t>
  </si>
  <si>
    <t>1469348368996605961</t>
  </si>
  <si>
    <t>@drfahrettinkoca Dalga mı geçiyorsunuz insanlarla</t>
  </si>
  <si>
    <t>1469348368040222728</t>
  </si>
  <si>
    <t>@drfahrettinkoca Mantıklı düşünürsen, millet aşı dediğiniz sıvıyı artık olmuyor. Onun için bu uyduruk plandeminin s… https://t.co/0hvjgv1GXZ</t>
  </si>
  <si>
    <t>1469348365079035906</t>
  </si>
  <si>
    <t>@drfahrettinkoca Her tvitin altında yalvarıp hakkımız olan atamayı istemekten yorulduk sayın bakan kılavuz yayımlayın artık lütfen 🙏🏻</t>
  </si>
  <si>
    <t>1469348346733211651</t>
  </si>
  <si>
    <t>@drfahrettinkoca Bakan bey artık neyi bekliyoruzz</t>
  </si>
  <si>
    <t>1469348335358300163</t>
  </si>
  <si>
    <t>@drfahrettinkoca Ne zaman sözünüzü tutacaksınız</t>
  </si>
  <si>
    <t>1469348328299184135</t>
  </si>
  <si>
    <t>@drfahrettinkoca Sadece Çanakkalede 5k vaka var.</t>
  </si>
  <si>
    <t>1469348313610833928</t>
  </si>
  <si>
    <t>@drfahrettinkoca Çüş ya çüş gerçekten çüş</t>
  </si>
  <si>
    <t>1469348298213449729</t>
  </si>
  <si>
    <t>@drfahrettinkoca Sayın bakanım 1 yıldır alım bekliyoruz neden hala bir tepki bile vermiyorsunuz bakanım illa ölelim… https://t.co/TRYRjQkKYr</t>
  </si>
  <si>
    <t>1469348293218127872</t>
  </si>
  <si>
    <t>@drfahrettinkoca Sayın Bakan, 2 doz Biontech aşısı olanlara 3.doz için bekleme süresi şu anda 6 ay olarak uygulanıy… https://t.co/QhEwQAdeW9</t>
  </si>
  <si>
    <t>1469348292639313920</t>
  </si>
  <si>
    <t>@drfahrettinkoca Bakanım yarınki konuşmanızda atama bekleyen sağlıkçılar sizden net bir tarih söylemenizi bekliyor.</t>
  </si>
  <si>
    <t>1469348279972417546</t>
  </si>
  <si>
    <t>@drfahrettinkoca Ya bu şaka falan olmalı doktorlar insanların akın akın polikinliğe gittiğini, bir profesör yakının… https://t.co/JIbGDhKxs2</t>
  </si>
  <si>
    <t>1469348243070984195</t>
  </si>
  <si>
    <t>@drfahrettinkoca Gençlerden çok şey istiyorsunuz  ama gençlerin istediklerini yapmıyorsunuz</t>
  </si>
  <si>
    <t>1469348202776305666</t>
  </si>
  <si>
    <t>@drfahrettinkoca Risk azalıyo çünkü bilgeyts virüs 2022 başında sona erecek diye açıklama yaptı siz uşaklarınada ta… https://t.co/jELuB3TdX5</t>
  </si>
  <si>
    <t>1469348176268337160</t>
  </si>
  <si>
    <t>@drfahrettinkoca 😂😂😂</t>
  </si>
  <si>
    <t>1469348150125203466</t>
  </si>
  <si>
    <t>@drfahrettinkoca Neden bir anda kovid gündemi her yerde bitti? Meraklandım🤨</t>
  </si>
  <si>
    <t>1469348122455605249</t>
  </si>
  <si>
    <t>@drfahrettinkoca Bakanım allah rızası için her yerde korona vakası çoğaldı gittikçe düşğrüyorsunuz ölüm ve vaka say… https://t.co/fYUuXZIKsc</t>
  </si>
  <si>
    <t>1469348084811538437</t>
  </si>
  <si>
    <t>@drfahrettinkoca Yalan tablosu gelmiş gene</t>
  </si>
  <si>
    <t>1469348069573541894</t>
  </si>
  <si>
    <t>@drfahrettinkoca Kılavuz gelsin yeter beklediğimiz</t>
  </si>
  <si>
    <t>1469348025801883653</t>
  </si>
  <si>
    <t>1469347948236582926</t>
  </si>
  <si>
    <t>@drfahrettinkoca Atama yapmayacaksanız niye umut verdiniz???</t>
  </si>
  <si>
    <t>1469347943400542220</t>
  </si>
  <si>
    <t>@drfahrettinkoca Bakanım bizim bi Kılavuz olucakti.</t>
  </si>
  <si>
    <t>1469347891928092673</t>
  </si>
  <si>
    <t>@drfahrettinkoca Atama bekleyen arkadaşlar soruyu yanlış yere soruyorsunuz. Gazetecilere birşey söyledi diye gördüğ… https://t.co/2FoeFIn3Xe</t>
  </si>
  <si>
    <t>1469347878632144898</t>
  </si>
  <si>
    <t>@drfahrettinkoca Vakalar düşmeye başladı yüz yüze eğitimi tam gaz devam @kaanbozdas 😂</t>
  </si>
  <si>
    <t>1469347867672391683</t>
  </si>
  <si>
    <t>@drfahrettinkoca Yasaklar gelsin Okullar hibrit eğitim yada hafta sonu eğitim sistemi yapın bir sınıfta 40 kişiyiz… https://t.co/MRfBjcj48W</t>
  </si>
  <si>
    <t>1469347861435502610</t>
  </si>
  <si>
    <t>@drfahrettinkoca 1 ayı geçti hâla branş bile vermediginize inanamiyorum 😂😂😂 Bransi kılavuzu gectim bizi dikkate alı… https://t.co/fNwycOLktY</t>
  </si>
  <si>
    <t>1469347831236505610</t>
  </si>
  <si>
    <t>@drfahrettinkoca Branş bazlarını açıklayın artık yazık değil mi bize bu yaptığınız ne oluyo</t>
  </si>
  <si>
    <t>1469347772105211907</t>
  </si>
  <si>
    <t>@drfahrettinkoca Endişe azalır tabi covid olmayan mi kaldı:)))) herkesi kendi haline biraktiniz....</t>
  </si>
  <si>
    <t>1469347741482508291</t>
  </si>
  <si>
    <t>@drfahrettinkoca Atama nerde??????</t>
  </si>
  <si>
    <t>1469347740022882317</t>
  </si>
  <si>
    <t>@drfahrettinkoca Bakanım yarın net bir açıklama bekliyoruz kılavuza dair zamanımız tükendi önümüzü görmemiz adına bu çok gerekli</t>
  </si>
  <si>
    <t>1469347720787808263</t>
  </si>
  <si>
    <t>@drfahrettinkoca 13 ay oldu daha ne kadar bekleyeceğiz kılavuz nerede sayın bakan @drfahrettinkoca</t>
  </si>
  <si>
    <t>1469347691192799234</t>
  </si>
  <si>
    <t>@drfahrettinkoca böbreğimin birini maddi destek karşılığı bağışlıyorum ilgilenenler özelden yazabilir kan grubu A +</t>
  </si>
  <si>
    <t>1469347690458890245</t>
  </si>
  <si>
    <t>@drfahrettinkoca Sayın bakanım Covid-19 döneminden en çok etkilenen Çocuklarımız için bizler göreve hazırız. Biz Ço… https://t.co/DVxZeGdt4n</t>
  </si>
  <si>
    <t>1469347667994198022</t>
  </si>
  <si>
    <t>@drfahrettinkoca KLAVUZ NE ZAMAN GELİR SAYIN BAKANIM.?</t>
  </si>
  <si>
    <t>1469347655771906055</t>
  </si>
  <si>
    <t>@drfahrettinkoca Kılavuz ne zaman</t>
  </si>
  <si>
    <t>1469347645474881544</t>
  </si>
  <si>
    <t>@drfahrettinkoca Hakkımızı verin klavuzu verin artık</t>
  </si>
  <si>
    <t>1469347642111057920</t>
  </si>
  <si>
    <t>@drfahrettinkoca Vakalar düşmüyor test sayıları düşüyor dikkatli bakın</t>
  </si>
  <si>
    <t>1469347635924455431</t>
  </si>
  <si>
    <t>@drfahrettinkoca Şu cuma günü ağladığım ağlamaları, ettiğim duaları bir bilseniz. Gece rüyalarınıza girer uyuyamazs… https://t.co/MV3MU6dHox</t>
  </si>
  <si>
    <t>1469347629691768837</t>
  </si>
  <si>
    <t>@drfahrettinkoca Atama endişesi azalmıyor</t>
  </si>
  <si>
    <t>1469347580874219522</t>
  </si>
  <si>
    <t>@drfahrettinkoca Endişenin azalmasının sebebi, uyanıyor olmaları olmasın???!!!!!!!</t>
  </si>
  <si>
    <t>1469347575320952839</t>
  </si>
  <si>
    <t>@drfahrettinkoca Bu insanlar insan değilmi koca Allah bilmiyorum vebalimi sen çekeceksin  babamın vebalini sen çekeceksin koca</t>
  </si>
  <si>
    <t>1469347571428728838</t>
  </si>
  <si>
    <t>@drfahrettinkoca Bakanım yarın kılavuzu bekliyoruz çok yorulduk biliyorsunuz bir açıklamayı çok görmeyin ekonomiye… https://t.co/incZsdJr2M</t>
  </si>
  <si>
    <t>1469347566433222665</t>
  </si>
  <si>
    <t>@drfahrettinkoca 1 senedir atama yapılmamasını hiçbir şeyle açıklayamıyorum siz açıklayabilir misiniz</t>
  </si>
  <si>
    <t>1469347562561888261</t>
  </si>
  <si>
    <t>1469347548645187585</t>
  </si>
  <si>
    <t>@drfahrettinkoca Aşıları eksik olanlar... Hiçbir zaman tam aşılı mertebesine ulaşamayacaklar.</t>
  </si>
  <si>
    <t>1469347541355569153</t>
  </si>
  <si>
    <t>@drfahrettinkoca Yarın 15.bin olur rakam</t>
  </si>
  <si>
    <t>1469347535554859009</t>
  </si>
  <si>
    <t>@drfahrettinkoca Keşke sağlık okuyacağıma bilgisayardan tablo yapmayı öğrenseydim bakan olurdum bari</t>
  </si>
  <si>
    <t>1469347530433568768</t>
  </si>
  <si>
    <t>@drfahrettinkoca SAĞLIKÇILAR KILAVUZ BEKLİYOR! Bu kadar zaman atama yapılmadı atamayı ikiye bölecekseniz bu kadar zaman neyi bekledik????</t>
  </si>
  <si>
    <t>1469347510707707915</t>
  </si>
  <si>
    <t>@drfahrettinkoca Dalga geçiyorsunuz başka açıklaması yok.. Binlerce insanı aylardır oyalanıyorsunuz belirsizlik içi… https://t.co/3ORdfsPnND</t>
  </si>
  <si>
    <t>1469347485395173380</t>
  </si>
  <si>
    <t>@drfahrettinkoca Sayın bakan ,isteyen ailelere 5-12 yaş aşı hakkını neden açmiyorsunuz hala ?ABD 5 milyondan fazla… https://t.co/sL1cxmyNVR</t>
  </si>
  <si>
    <t>1469347470899568642</t>
  </si>
  <si>
    <t>@drfahrettinkoca 2 Biontek yetmiyor diyorlar yurt dışında, siz ne diyorsunuz?  3 bionrek gerekiyor şu anda.  2 sino… https://t.co/UfzWBuMlml</t>
  </si>
  <si>
    <t>1469347466717896713</t>
  </si>
  <si>
    <t>@drfahrettinkoca Maşallah maşallah tüm dünyada vakalar artarken bizde son sürat inişe geçti bravo Valla 🤪🤪</t>
  </si>
  <si>
    <t>1469347464176353280</t>
  </si>
  <si>
    <t>@drfahrettinkoca SON UYARI 7 ( d )  #NasılGeçineceğiz Dünyayı değiştirecek bu konular bende diye Mehdi olduğum aklı… https://t.co/2LfA3cEfrb</t>
  </si>
  <si>
    <t>1469347461789634568</t>
  </si>
  <si>
    <t>@drfahrettinkoca hahaha cidden inanan varmi ya</t>
  </si>
  <si>
    <t>1469347418084945927</t>
  </si>
  <si>
    <t>@drfahrettinkoca Evet, arkadaşlar 3 deyince inanıyoruz</t>
  </si>
  <si>
    <t>1469347412061917186</t>
  </si>
  <si>
    <t>@drfahrettinkoca Klavuz klavuz klavuz klavuz klavuz klavuz klavuz klavuz klavuz klavuz klavuz klavuz klavuz klavuz… https://t.co/D6EmGg5h55</t>
  </si>
  <si>
    <t>1469347404101173252</t>
  </si>
  <si>
    <t>@drfahrettinkoca KILAVUZ NEREDE BAKANIMMM KILAVUZ</t>
  </si>
  <si>
    <t>1469347403832741896</t>
  </si>
  <si>
    <t>@drfahrettinkoca Ordu aşılamada en yüksek iller arasında. Ama vaka sayısında da en yüksek iller arasında. Yakalanma… https://t.co/LrkxzkgqHH</t>
  </si>
  <si>
    <t>1469347403497099265</t>
  </si>
  <si>
    <t>@drfahrettinkoca Her gün ortalama 170 kişinin ölümünü kabul mü ettiniz? Bunu durdurmak için bir şey yapmanız gerekmiyor mu?</t>
  </si>
  <si>
    <t>1469347394479443969</t>
  </si>
  <si>
    <t>@drfahrettinkoca İnsanları 2-3 içinde atama yapacağız diye kandırdınız. Sonra çıkıp 30 bin kişi alacağız dediniz se… https://t.co/cOazM6jJ4M</t>
  </si>
  <si>
    <t>1469347377605758986</t>
  </si>
  <si>
    <t>@drfahrettinkoca Hayır tam tersi aşılı olanlar korkuyor hala aşısızların böyle bir sorunu yok😀</t>
  </si>
  <si>
    <t>1469347355992502276</t>
  </si>
  <si>
    <t>@drfahrettinkoca Adam gibi adamsin hocam pandemiği sayenizde bitirdik</t>
  </si>
  <si>
    <t>1469347355631792133</t>
  </si>
  <si>
    <t>@drfahrettinkoca Teşekkür ederim ilginiz için biz almayalım</t>
  </si>
  <si>
    <t>1469347345586442241</t>
  </si>
  <si>
    <t>@drfahrettinkoca Okullar ne zaman kapatılacak</t>
  </si>
  <si>
    <t>1469347335339708427</t>
  </si>
  <si>
    <t>@drfahrettinkoca Sayın Bakanım Kılavuzz Bekliyoruz Kılavuzz</t>
  </si>
  <si>
    <t>1469347327190220803</t>
  </si>
  <si>
    <t>@drfahrettinkoca Aşı olanlar hastalanmıyor galiba, bu şekilde açıklama olmaz</t>
  </si>
  <si>
    <t>1469347314091364352</t>
  </si>
  <si>
    <t>@drfahrettinkoca Sıfır sıfır ne 18500ü sııfr amk</t>
  </si>
  <si>
    <t>1469347307544096780</t>
  </si>
  <si>
    <t>@drfahrettinkoca Uzaktan eğitim gümbür gümbür geliyor, omicron geliyor, kapanma geliyor 👉📢⏳</t>
  </si>
  <si>
    <t>1469347306176720903</t>
  </si>
  <si>
    <t>@drfahrettinkoca Sonunda ! Aşilanma durdu hastalik azaliyor</t>
  </si>
  <si>
    <t>1469347273889001474</t>
  </si>
  <si>
    <t>@drfahrettinkoca "Garsooon oradan 30 bin liralık bir şampanya daha! Hesabı da halka gönder ödesinler!" Egemen Bağış https://t.co/JxDCCEQsHX</t>
  </si>
  <si>
    <t>1469347271087173634</t>
  </si>
  <si>
    <t>@drfahrettinkoca Dün Sinovac'ı övenler bugün işe yaramaz diyor.   Dün iki doz Biontech korur diyenler bugün 3. doz… https://t.co/lLJDAwlRuz</t>
  </si>
  <si>
    <t>1469347262933475328</t>
  </si>
  <si>
    <t>@drfahrettinkoca Allahsız Kitapsız herif! Tek gözü küçük şeytanın oğlu! Satılmış Hain! Gözüne dizine dursun emi yidiğin ekmek, emdiğin süt!</t>
  </si>
  <si>
    <t>1469347245367648261</t>
  </si>
  <si>
    <t>@drfahrettinkoca Rahat rahat dolaşın diyorsunuz yani.</t>
  </si>
  <si>
    <t>1469347217047945216</t>
  </si>
  <si>
    <t>@drfahrettinkoca Aylardır atama yapmayarak ben dahil binlerce gencin hayatını kararttınız. Benim hakkım size helal değil</t>
  </si>
  <si>
    <t>1469347214342475782</t>
  </si>
  <si>
    <t>@drfahrettinkoca Avrupa yanıyor risk azalıyor diyorsunuz ne güzel ya valla</t>
  </si>
  <si>
    <t>1469347207514136586</t>
  </si>
  <si>
    <t>@drfahrettinkoca Heryerde artan vaka bizde düşüyor buna inanan kaldı mı ki tedbir almamak için mi düşüyor bu sayılar sağlık söz konusu</t>
  </si>
  <si>
    <t>1469347204812914690</t>
  </si>
  <si>
    <t>@drfahrettinkoca Gençliğimizi bitirdin be</t>
  </si>
  <si>
    <t>1469347189063360515</t>
  </si>
  <si>
    <t>@drfahrettinkoca Tabi bakanım ne demezsiniz azalıyor (!) Sınıfta biri öksürüyor korona mı diye korkuyoruz. Başımız… https://t.co/MZvPN8ZASd</t>
  </si>
  <si>
    <t>1469347164849590272</t>
  </si>
  <si>
    <t>@drfahrettinkoca Kılavuz bekliyoruz en azından açıklama istiyoruz sabrımız bitti @gozdekirisciogl</t>
  </si>
  <si>
    <t>1469347161263550466</t>
  </si>
  <si>
    <t>@drfahrettinkoca Aşı için yeterince tweet atıp sunup yaptığınıza göre sıradaki konuya geçebilir miyiz ?  Tercih kıl… https://t.co/LHMRdXkci6</t>
  </si>
  <si>
    <t>1469347147699081225</t>
  </si>
  <si>
    <t>@drfahrettinkoca Online eğitim istiyoruz lütfen</t>
  </si>
  <si>
    <t>1469347134172446732</t>
  </si>
  <si>
    <t>@drfahrettinkoca https://t.co/5nTLMD1nrs</t>
  </si>
  <si>
    <t>1469347127243554830</t>
  </si>
  <si>
    <t>@drfahrettinkoca Biliyorum umurunuzda değiliz ama Kılavuz bekliyoruz.</t>
  </si>
  <si>
    <t>1469347111984586760</t>
  </si>
  <si>
    <t>@drfahrettinkoca Atama</t>
  </si>
  <si>
    <t>1469347103772192770</t>
  </si>
  <si>
    <t>@drfahrettinkoca Yarın en güzel gün bizim icin o açıklama yarın gelecek :) #ButceSonrasıKılavuz</t>
  </si>
  <si>
    <t>1469347101163335689</t>
  </si>
  <si>
    <t>@drfahrettinkoca KILAVUZ NERDEEEEEEEEEE</t>
  </si>
  <si>
    <t>1469347098109915137</t>
  </si>
  <si>
    <t>@drfahrettinkoca Vay be</t>
  </si>
  <si>
    <t>1469347091893960707</t>
  </si>
  <si>
    <t>@drfahrettinkoca Keşke atama bekleyen Sağlıkçınında endişesi bitse. Atama kılavuzu ne zaman gelecek????</t>
  </si>
  <si>
    <t>1469347088794365963</t>
  </si>
  <si>
    <t>@drfahrettinkoca Kılavuz sayın bakanım</t>
  </si>
  <si>
    <t>1469347083421466632</t>
  </si>
  <si>
    <t>@drfahrettinkoca Sağlık değil aşı bakanı</t>
  </si>
  <si>
    <t>1469347056007458826</t>
  </si>
  <si>
    <t>@drfahrettinkoca @saglikbakanligi Çocuklara aşı ne zaman başkanım?</t>
  </si>
  <si>
    <t>1469347046708727810</t>
  </si>
  <si>
    <t>@drfahrettinkoca Kılavuz bekliyoruz alımın bölünmesini kesinlikle kabul etmiyoruz</t>
  </si>
  <si>
    <t>1469347019273736194</t>
  </si>
  <si>
    <t>@drfahrettinkoca Kılavuz ????</t>
  </si>
  <si>
    <t>1469347018749452299</t>
  </si>
  <si>
    <t>@drfahrettinkoca Bakanım siz harbi cidisiniz ekdnpsfnwşsmğdmwşenlddmjs</t>
  </si>
  <si>
    <t>1469347018615267332</t>
  </si>
  <si>
    <t>@drfahrettinkoca Klavuz bakanım</t>
  </si>
  <si>
    <t>1469347017885368330</t>
  </si>
  <si>
    <t>@drfahrettinkoca @drfahrettinkoca kılavuzu yayinlamali</t>
  </si>
  <si>
    <t>1469347014714576901</t>
  </si>
  <si>
    <t>@drfahrettinkoca #ButceSonrasıKılavuz</t>
  </si>
  <si>
    <t>1469347005084360704</t>
  </si>
  <si>
    <t>@drfahrettinkoca 2021 bitti bakanim nerde bu kılavuz</t>
  </si>
  <si>
    <t>1469347000818847751</t>
  </si>
  <si>
    <t>1469346999032061955</t>
  </si>
  <si>
    <t>@drfahrettinkoca Atama endişesi giderek artıyor...</t>
  </si>
  <si>
    <t>1469346974650572805</t>
  </si>
  <si>
    <t>@drfahrettinkoca Tamam şimdi kılavuzu açıkla</t>
  </si>
  <si>
    <t>1469346966702379018</t>
  </si>
  <si>
    <t>@drfahrettinkoca KILAVUZ BEKLIYORUZ SAYIN KOCAAA</t>
  </si>
  <si>
    <t>1469346940701888512</t>
  </si>
  <si>
    <t>@drfahrettinkoca Türk milletinin belli süreden sonraki vurdumduymaz tavrı "sahte korku" propagandasını yendi ve Avr… https://t.co/7kxooym9BM</t>
  </si>
  <si>
    <t>1469092374706069506</t>
  </si>
  <si>
    <t>@drfahrettinkoca 20 bin vaka günlük normal mi bakanım.... haftalık binin üzerinde vefat normal mi???</t>
  </si>
  <si>
    <t>1469091847553392642</t>
  </si>
  <si>
    <t>@drfahrettinkoca Kronik rahatsızlıği, ağir hastalik gecmisi olan herkesi öldürdünüz zaten. Sağlıklı olanlari da kal… https://t.co/CbgxRqeDQd</t>
  </si>
  <si>
    <t>1469085638712512517</t>
  </si>
  <si>
    <t>@drfahrettinkoca Bugün hastaneye pcr yaptırmaya gittim sınıfımda pozitifler olduğu ve bir arada olduğum için resmen… https://t.co/ccqXYuDuZa</t>
  </si>
  <si>
    <t>1469084855069728775</t>
  </si>
  <si>
    <t>@drfahrettinkoca Peki hiç düşündünüz mü vakalar neden bu kadar arttı(!) ve bir türlü düşüşe geçmiyor(!) diye? Bakın… https://t.co/cUBsUcmKi6</t>
  </si>
  <si>
    <t>1469084775726129153</t>
  </si>
  <si>
    <t>@drfahrettinkoca Ben artık işimi kaybedicem korkusuyla aşı olmak istemiyorum. İnsanlar patır patır kalp krizinden g… https://t.co/bIMasVw2Bb</t>
  </si>
  <si>
    <t>1469084658868670476</t>
  </si>
  <si>
    <t>@drfahrettinkoca Laf lafa geldi mi Müslüman kusura bakma göz önünde o kadar insan ölüyor bu virüsten dolayı sizde g… https://t.co/3JBTsdw6Q1</t>
  </si>
  <si>
    <t>1469082509761818629</t>
  </si>
  <si>
    <t>@drfahrettinkoca Kaç aşı tam aşılı oluyor? 4 doz olmuşsa neden maske takıyor? Neden hes sorgulatıyor? Kaç doz da ko… https://t.co/v0WKXCYf7w</t>
  </si>
  <si>
    <t>1469081596665995267</t>
  </si>
  <si>
    <t>@drfahrettinkoca Bir laf vardır dürüst insan her zaman kazanır yalan söyleyen her zaman kaybeder DÜRÜST OLUN MİLLETİ</t>
  </si>
  <si>
    <t>1469080684853661699</t>
  </si>
  <si>
    <t>@drfahrettinkoca Ortaya bir laf atıp kenara çekilmeyin. Hayatımızı, gençliğimizi harcadınız.</t>
  </si>
  <si>
    <t>1469080126625304576</t>
  </si>
  <si>
    <t>@drfahrettinkoca @saglikbakanligi https://t.co/KYk8rdIUyI</t>
  </si>
  <si>
    <t>1469080050582626307</t>
  </si>
  <si>
    <t>@drfahrettinkoca Vay tablo vay yinemi yalan söyledin yalan kötü bir şeydir bir daha yalan söyleme yoksa abiler kızar😤🤔🤫😡</t>
  </si>
  <si>
    <t>1469080040709238788</t>
  </si>
  <si>
    <t>1469079870319874058</t>
  </si>
  <si>
    <t>@drfahrettinkoca Yakın zamanda bu tarz bir konuşmayı birileri ile yapacaksın... 😏 https://t.co/UuPWbci0H4</t>
  </si>
  <si>
    <t>1469079835330940931</t>
  </si>
  <si>
    <t>@drfahrettinkoca Ve ayrıca aşı desen bir işe yaramıyor korumuyor yani korumadığı gibi vaka sayısını da arttırıyor,… https://t.co/iyFIpnvVhG</t>
  </si>
  <si>
    <t>1469078010045378564</t>
  </si>
  <si>
    <t>@drfahrettinkoca @serg_ul https://t.co/ViXFDoAohp</t>
  </si>
  <si>
    <t>1469077342630952961</t>
  </si>
  <si>
    <t>@drfahrettinkoca Omicron varyantı bile dünyaya yayılmışken bir tek Türkiyeye gelmiyor ilginç, hiç inanasım gelmiyor… https://t.co/uRVTtMzlXt</t>
  </si>
  <si>
    <t>1469076047874478090</t>
  </si>
  <si>
    <t>@drfahrettinkoca Bu kadar da yalan söylenmez pes yani kaç aydır beri vaka sayıları aynı,durum ortada herkes hasta v… https://t.co/iGzJ61Rreb</t>
  </si>
  <si>
    <t>1469074167140167686</t>
  </si>
  <si>
    <t>@drfahrettinkoca Diğer vazifelerinize de bakınız lütfen!</t>
  </si>
  <si>
    <t>1469073716432756738</t>
  </si>
  <si>
    <t>@drfahrettinkoca Niye aşı pasaportu olmayanları kapalı alanlara sokmamayı lokantalara otellere giremiyeceklerini ko… https://t.co/eZ6aHvXNh3</t>
  </si>
  <si>
    <t>1469072424859803648</t>
  </si>
  <si>
    <t>@drfahrettinkoca https://t.co/KgKA693mX5</t>
  </si>
  <si>
    <t>1469066356498784259</t>
  </si>
  <si>
    <t>@drfahrettinkoca Ya bu kadar mı zor bir kılavuz yayınlamak biz tükendik ...</t>
  </si>
  <si>
    <t>1469065314151415815</t>
  </si>
  <si>
    <t>@drfahrettinkoca Hakkımız olan online eğitimi açmak zorundasınız.</t>
  </si>
  <si>
    <t>1469064606098374659</t>
  </si>
  <si>
    <t>@drfahrettinkoca Umarım atama yapıldığında hevesimiz ve umudumuz kalmış olur .</t>
  </si>
  <si>
    <t>1469064574926270464</t>
  </si>
  <si>
    <t>@drfahrettinkoca Aşı yı kes bakim ne olacak bakan bey ölümler artacakmı azalacakmı sonra konuş</t>
  </si>
  <si>
    <t>1469064133287071745</t>
  </si>
  <si>
    <t>@drfahrettinkoca Sağlıkçılara o kadar değer veriyorsunuz ki hep gözlerimiz yaşlı!!</t>
  </si>
  <si>
    <t>1469063566296850440</t>
  </si>
  <si>
    <t>@drfahrettinkoca Gözünü sevdiğim biz sena ne yaptin da sen bizi atamiyorsunnnn 🥺🥺😪😪</t>
  </si>
  <si>
    <t>1469063362260705289</t>
  </si>
  <si>
    <t>@drfahrettinkoca Biz KPSS puanını görünce sandık ki atanırız .Nerden bilecektik ki sizin 1 (BİR) yıl atama yapmayac… https://t.co/Ys3g94CtBt</t>
  </si>
  <si>
    <t>1469063141552267268</t>
  </si>
  <si>
    <t>@drfahrettinkoca Bizim atama yapmadığınız için düşünmekten gözümüze uyku girmiyor .  750 bin kişinin sizin ağzınızd… https://t.co/EZZs97r5Ne</t>
  </si>
  <si>
    <t>1469062565561090050</t>
  </si>
  <si>
    <t>@drfahrettinkoca Aşıda aşı sus artık deney sıvısı anladık.  Yargilanicaksiniz ...</t>
  </si>
  <si>
    <t>1469061049555079169</t>
  </si>
  <si>
    <t>@drfahrettinkoca 🤔 Neyin vakası neye göre vaka nasıl tespitle acaba.? https://t.co/HGBPcGoEV7</t>
  </si>
  <si>
    <t>1469059955319783434</t>
  </si>
  <si>
    <t>@drfahrettinkoca Aşılama hızının düşmesine dua et millet gözünü açtı.</t>
  </si>
  <si>
    <t>1469059549520928770</t>
  </si>
  <si>
    <t>@drfahrettinkoca Ne zaman tam aşılı olunuyor 1 yetmedi 2 oldu o da yetmedi 3,4 8.doz 12.doz. Kavram kargaşası  nedeniyle idrak edemiyoruz</t>
  </si>
  <si>
    <t>1469059526808719363</t>
  </si>
  <si>
    <t>@drfahrettinkoca Sayın Bakan, 2 doz Biontech aşısı olanlarda 3.doz için bekleme süresi olarak 6 ay çok uzun. Omicro… https://t.co/edfLwukCdO</t>
  </si>
  <si>
    <t>1469059010087239690</t>
  </si>
  <si>
    <t>@drfahrettinkoca Kaçıncı eksiklik sayılıyor</t>
  </si>
  <si>
    <t>1469057935775051776</t>
  </si>
  <si>
    <t>@drfahrettinkoca Aşı da aşı, aşınız batsın valla bıktırdınız ys</t>
  </si>
  <si>
    <t>1469057259565207558</t>
  </si>
  <si>
    <t>@drfahrettinkoca Ahirete hesap gününe inanıyormusunuz sayın bakan? Allah şu an mühlet vermiş izliyor elbet  mühlet… https://t.co/Hkt04SRcIp</t>
  </si>
  <si>
    <t>1469056751479758848</t>
  </si>
  <si>
    <t>@drfahrettinkoca Demekki așılama düștükçe vakalar ya sabit kalıyor ya da düșüyor, doğru mudur sayın bakan?</t>
  </si>
  <si>
    <t>1469056519811514371</t>
  </si>
  <si>
    <t>@drfahrettinkoca Sen robot musun?</t>
  </si>
  <si>
    <t>1469056298515845122</t>
  </si>
  <si>
    <t>@drfahrettinkoca Güldürdün bakanım karşında çocuk yokki inansın 😂😂</t>
  </si>
  <si>
    <t>1469054727736471555</t>
  </si>
  <si>
    <t>@drfahrettinkoca Eskişehir'de vakalar fırlamış durumdayken mi anı artış ülkemizde görülmedi? Kendi memleketlerimizd… https://t.co/zuxYRPIecX</t>
  </si>
  <si>
    <t>1469054568994643986</t>
  </si>
  <si>
    <t>@drfahrettinkoca #UYANINMİLLET UYANIN OKUYUN OKUTUN ANLATIN RETWEET EDİN 666 LI LUCİFERLERE ESİR OLMADAN UYANIN  AR… https://t.co/EfYOPdWXE5</t>
  </si>
  <si>
    <t>1469053144625819649</t>
  </si>
  <si>
    <t>@drfahrettinkoca Sarı lacivert ülkem</t>
  </si>
  <si>
    <t>1469053029479497739</t>
  </si>
  <si>
    <t>@drfahrettinkoca Rakamlar neden hep 28-32 bin aralığında eleştireleri artınca rakamlar birden 18-22 bin aralağına i… https://t.co/YtRLMZtMIn</t>
  </si>
  <si>
    <t>1469052852781953024</t>
  </si>
  <si>
    <t>@drfahrettinkoca #uyanınmillet UYANIN OKUYUN OKUTUN ANLATIN RETWEET EDİN 666 LI LUCİFERLERE ESİR OLMADAN UYANIN ART… https://t.co/JadqUih6u2</t>
  </si>
  <si>
    <t>1469052840891011077</t>
  </si>
  <si>
    <t>@drfahrettinkoca Sayemde</t>
  </si>
  <si>
    <t>1469052633939914752</t>
  </si>
  <si>
    <t>@drfahrettinkoca @saglikbakanligi 2019 GRİP ÖLÜM : 52400  23.06.2021'de :   "Covid-19'dan 50000 vatandaşımızı kaybe… https://t.co/i0uZOC9gKK</t>
  </si>
  <si>
    <t>1469050909636411398</t>
  </si>
  <si>
    <t>@drfahrettinkoca 2018 den beri engelli sağlıkçıların ataması yapılmıyor buna rağmen tek bir adım atılmadı verilen s… https://t.co/YgAwu4Ttc3</t>
  </si>
  <si>
    <t>1469050765079678985</t>
  </si>
  <si>
    <t>@drfahrettinkoca YAN ETKİLER.. Kalp krizlerinden ölümler, salgın boyutlarına ulaştı!  Sıvıdan sonra genç insanlar a… https://t.co/752SRM6r7F</t>
  </si>
  <si>
    <t>1469050564726202376</t>
  </si>
  <si>
    <t>@drfahrettinkoca Mübarek cuma Allah rızası için susun artık ya dünya Bill Gates ten Türkiye de sizden kurtulsun artık...</t>
  </si>
  <si>
    <t>1469050287147073536</t>
  </si>
  <si>
    <t>@drfahrettinkoca Vaka sayılarına inanmıyorum,yaptığınız sadece insanları korkutarak aşılamak ve emellerinize ulaşma… https://t.co/X6KDOaDsvb</t>
  </si>
  <si>
    <t>1469049983030775813</t>
  </si>
  <si>
    <t>@drfahrettinkoca Allah kahretsin sizi ve yarattığınız paranoyayi manyak yaptınız milleti inaanlar bundan.oncede ölü… https://t.co/bLLOKLAx6C</t>
  </si>
  <si>
    <t>1469049981701079042</t>
  </si>
  <si>
    <t>@drfahrettinkoca Evet kendimizi senin kuyruklu yalanlarına karşı karşı koruyoruz tedbirimizi aldık inşaallah hiç ta… https://t.co/VNGHzj6ed3</t>
  </si>
  <si>
    <t>1469049808862199820</t>
  </si>
  <si>
    <t>@drfahrettinkoca Covid ülkedeki fiyat atışlarını görüp artışa geçmekten vazgeçmiştir kesin,😀</t>
  </si>
  <si>
    <t>1469049696526249989</t>
  </si>
  <si>
    <t>@drfahrettinkoca 🇹🇷🇹🇷🇹🇷🤲🤲🤲</t>
  </si>
  <si>
    <t>1469049325196132354</t>
  </si>
  <si>
    <t>@drfahrettinkoca HEPİNİZ İNSANLIK SUÇUNDAN YARGILANACAKSINIZ !Biliyorsun değil mi @drfahrettinkoca ?… https://t.co/phGavVLcXk</t>
  </si>
  <si>
    <t>1469048175453483009</t>
  </si>
  <si>
    <t>@drfahrettinkoca @saglikbakanligi @pfizer Federal Mahkemeden 75 Yıl Boyunca COVID-19 Aşı Deneme Sonuçlarını Gizleme… https://t.co/aHgUKKHQuE</t>
  </si>
  <si>
    <t>1469047971283144708</t>
  </si>
  <si>
    <t>@drfahrettinkoca 1 aydir sizin yazilari okumuyorum. Halendaha aşımı diyorsunuz ya 😂😂😂  sağlık bakanısiniz ama aşı u… https://t.co/z6k101o3aP</t>
  </si>
  <si>
    <t>1469047474421645312</t>
  </si>
  <si>
    <t>@drfahrettinkoca Maaşallah inşallah sıfır vaka vefatın bittiği günleri görürüz</t>
  </si>
  <si>
    <t>1469047439495684102</t>
  </si>
  <si>
    <t>@drfahrettinkoca Aşı bakanı @drfahrettinkoca ! Kılavuz nerede kılavuz? #FkocaYaKılavuzYaİstifa</t>
  </si>
  <si>
    <t>1469047400635506696</t>
  </si>
  <si>
    <t>@drfahrettinkoca Turuncu iller neden hiç değişmiyor sayin bakanim??</t>
  </si>
  <si>
    <t>1469047399607906307</t>
  </si>
  <si>
    <t>@drfahrettinkoca Dr. Yalan</t>
  </si>
  <si>
    <t>1469047345262252037</t>
  </si>
  <si>
    <t>@drfahrettinkoca Sayın Bakanım,1 vaka ile çocuklarımızı koruyup önlemler aldınız.Şimdi vaka sayısı çok,okulları açı… https://t.co/XvH5wnPMFf</t>
  </si>
  <si>
    <t>1469047281932546056</t>
  </si>
  <si>
    <t>@drfahrettinkoca Sırf ekonomi ayakta dursun diye çocukları ve gençleri ölüme terk ediyorsunuz</t>
  </si>
  <si>
    <t>1469047146230001666</t>
  </si>
  <si>
    <t>@drfahrettinkoca Bunlara inanan varsa lütfen gitsin buradan</t>
  </si>
  <si>
    <t>1469047041460424704</t>
  </si>
  <si>
    <t>@drfahrettinkoca Avrupa da vaka sayısının artma nedeni sıvılar sizde bu sıvıları bize enjekte etmek için elinizden geleni yapıyorsunuz</t>
  </si>
  <si>
    <t>1469046530480955396</t>
  </si>
  <si>
    <t>@drfahrettinkoca Klavuz @drfahrettinkoca</t>
  </si>
  <si>
    <t>1469046194232041479</t>
  </si>
  <si>
    <t>@drfahrettinkoca Klavuz?</t>
  </si>
  <si>
    <t>1469046133225836546</t>
  </si>
  <si>
    <t>@drfahrettinkoca @drfahrettinkoca  şimdi muğlanın bir ilçesinden 2 günde 13 kişi ölüyor ama türkiye de toplam sayı… https://t.co/RS8kKtGQlj</t>
  </si>
  <si>
    <t>1469046030117265413</t>
  </si>
  <si>
    <t>@drfahrettinkoca Ben bir doz COVİD AŞIsı dahi olmadım.İBAN numarama 1000€ yatırırsanız AŞI olurum.Yoksa AŞI falan o… https://t.co/hxClosPYKX</t>
  </si>
  <si>
    <t>1469045888496635909</t>
  </si>
  <si>
    <t>@drfahrettinkoca AŞI AŞI AŞI YETER BE YALANLARINIZDAN BIKTIK ARTIK KAPANMA OLMADIĞI SÜRECE AŞILANMADA ARTMIYCAK</t>
  </si>
  <si>
    <t>1469045867470536713</t>
  </si>
  <si>
    <t>@drfahrettinkoca Bakanım her gece resmi gazetede 30 binlik alımı duyurursunuz belki diye bekliyorum ama olmuyor bar… https://t.co/SRJKSKo773</t>
  </si>
  <si>
    <t>1469045644778221572</t>
  </si>
  <si>
    <t>@drfahrettinkoca Hergün  300 hayat sigara  yüzünden  ölürken  sigara üreticileri  yeni müşteriler  bulmaya  devam e… https://t.co/r2roRBwU3G</t>
  </si>
  <si>
    <t>1469044889493164035</t>
  </si>
  <si>
    <t>@drfahrettinkoca Atama son bir yılda ağzımıza bir parmak bal çalınarak devam etti. Diğer bakanlıklarda olan atamala… https://t.co/asdDFbg6JX</t>
  </si>
  <si>
    <t>1469044724443099149</t>
  </si>
  <si>
    <t>@drfahrettinkoca valla baskanim marketlerde maskesiz dolananlar var bizler baş edemiyoruz marketlere maske uygulama… https://t.co/AhTRCynRNr</t>
  </si>
  <si>
    <t>1469044690423095299</t>
  </si>
  <si>
    <t>@drfahrettinkoca 3) Sayın bakanım, 𝗩𝗮𝘁𝗮𝗻𝗱𝗮ş 𝗼𝗹𝗮𝗿𝗮𝗸 𝗸𝗶𝗺𝗲 𝗶𝗻𝗮𝗻𝗮𝗹ı𝗺?</t>
  </si>
  <si>
    <t>1469044689911300096</t>
  </si>
  <si>
    <t>@drfahrettinkoca 2) Ankara'dan arayan yetkili "çıkabilirsin" derken mi 𝘆𝗮𝗹𝗮𝗻 söylüyor, yoksa negatif sonucunu veren… https://t.co/cIxFjHZulw</t>
  </si>
  <si>
    <t>1469044355398836230</t>
  </si>
  <si>
    <t>@drfahrettinkoca 3 dozlu sağlıkçılar dökülmeye basladi.. Hastane Eczacısı olan eşim buna bı örnek. Aşı ol diyorsun… https://t.co/QyRJ9vMwVs</t>
  </si>
  <si>
    <t>1469044321986957318</t>
  </si>
  <si>
    <t>@drfahrettinkoca günlerden beri söylediğiniz gibi aşılama hızı düştüğü için vaka sayıları yükselmiyor. ne kadar aşı… https://t.co/4x9l6OPBvt</t>
  </si>
  <si>
    <t>1469044114268295173</t>
  </si>
  <si>
    <t>@drfahrettinkoca Bence siz tedavi protokollerinizi ve bilim kurulunu değiştirin sayın bakan. Bu Covid fenomeni sizi… https://t.co/TmVfyWngbv</t>
  </si>
  <si>
    <t>1469044031577591817</t>
  </si>
  <si>
    <t>@drfahrettinkoca 1) Sayın bakanım, bakanlığınız yetkilisi telefonda 𝘆𝗮𝗹𝗮𝗻 mı söylüyor? Bugün bir arkadaşımızı uçağa… https://t.co/fzl3dH41K4</t>
  </si>
  <si>
    <t>1469043828271296515</t>
  </si>
  <si>
    <t>@drfahrettinkoca Aşı karşıtlarının protesto etmesine izin vermeyip insanların akıllarını çelmesine neden olmasaydın… https://t.co/tQ9JdLbmlO</t>
  </si>
  <si>
    <t>1469042483682230273</t>
  </si>
  <si>
    <t>@drfahrettinkoca Bak Gör Yarından Sonra Nasıl Artıyor…Böyle Boş Boğazlığa Şov Yapacağız Diye Gereksiz Rehavete Gere… https://t.co/mvbSUsqYUl</t>
  </si>
  <si>
    <t>1469041838870966272</t>
  </si>
  <si>
    <t>@drfahrettinkoca Online istiyoruz!! #kabineomicrongelmedenonline</t>
  </si>
  <si>
    <t>1469041833514786827</t>
  </si>
  <si>
    <t>@drfahrettinkoca Avrupa’da en son Covid bitecek ülke biz olacağız ve bunun sorumlusu siz olarak görüleceksiniz.! Al… https://t.co/HeBe9dLGZ0</t>
  </si>
  <si>
    <t>1469041821615640576</t>
  </si>
  <si>
    <t>@drfahrettinkoca #kabineomicrongelmedenonline</t>
  </si>
  <si>
    <t>1469041775629242374</t>
  </si>
  <si>
    <t>@drfahrettinkoca Herkes sıkıldı artik yeter online yapin</t>
  </si>
  <si>
    <t>1469041660332019712</t>
  </si>
  <si>
    <t>@drfahrettinkoca Okullari online yapin ya da saatleri azaltin 5 saat yeter o da olmadi gunleri azaltin 3 gun gitsek… https://t.co/q5Uc5dbJto</t>
  </si>
  <si>
    <t>1469041541192769537</t>
  </si>
  <si>
    <t>@drfahrettinkoca Maviler millet,sarılar cumhur,turuncular hdp mi! İstanbul da mavi! ye Asgari ücret en az 5000 tl o… https://t.co/bm82lPpC8n</t>
  </si>
  <si>
    <t>1469040870284529666</t>
  </si>
  <si>
    <t>@drfahrettinkoca aşılama durduğu için artış olmamıştır dostum 🤣🤣</t>
  </si>
  <si>
    <t>1469040734984671240</t>
  </si>
  <si>
    <t>@drfahrettinkoca Aşşhı falan bırak şimdi de millet uyanmaya başladı bence kstny çizdirmeyin o yeter size</t>
  </si>
  <si>
    <t>1469040615900000256</t>
  </si>
  <si>
    <t>@drfahrettinkoca Allah,bizi senin kötü kalbinden korusun ,seni de kalbinin kötülüğünde boğsun.</t>
  </si>
  <si>
    <t>1469040442914312195</t>
  </si>
  <si>
    <t>@drfahrettinkoca Lütfen KILAVUZ sayın bakanım</t>
  </si>
  <si>
    <t>1469040427907043335</t>
  </si>
  <si>
    <t>@drfahrettinkoca 19 ve 666 selamlanmis yine şeytana hizmet devam ediyor</t>
  </si>
  <si>
    <t>1469040100055171073</t>
  </si>
  <si>
    <t>@drfahrettinkoca Omicron açıklanmadan önce vakaları düşürüyorsunuz herhalde ne bu telaş ? #OmicronVirus #kabineuzaktaneğitimsart</t>
  </si>
  <si>
    <t>1469040068576829452</t>
  </si>
  <si>
    <t>@drfahrettinkoca Hanginiz gerçeklerden bahsediyorsunuz? Yeğenimin okulunda 7 sınıf kapalı aciller tıklım tıklım dol… https://t.co/mIK6w6yXpF</t>
  </si>
  <si>
    <t>1469039707879358465</t>
  </si>
  <si>
    <t>@drfahrettinkoca 28k vakalardan çok güzel düşüş yakalamışız hani artık yettiyse saklamanız şu vaka sayılarını açıkl… https://t.co/jonRi7L7xC</t>
  </si>
  <si>
    <t>1469039624395886596</t>
  </si>
  <si>
    <t>@drfahrettinkoca Ya sen ne dediğini anliyon mu acaba? Söylediğin kendi içindeki 5 kez tutarsiniz. Sizin biliminize… https://t.co/ue70aC6AwE</t>
  </si>
  <si>
    <t>1469039411207847939</t>
  </si>
  <si>
    <t>@drfahrettinkoca Hala aşı hala aşı, ülkenin başka derdi kalmadı..</t>
  </si>
  <si>
    <t>1469039110912360460</t>
  </si>
  <si>
    <t>@drfahrettinkoca Bakanım susmayı bırakın artık da bir açıklama yapın bu kadar kılavuz bekleyen insan sizden haber bekliyor görün artık bizi</t>
  </si>
  <si>
    <t>1469038938010574851</t>
  </si>
  <si>
    <t>@drfahrettinkoca Bugün Urla devlet hastanesinde test yaptırmak istedim ve sevkim olmadığı gerekçesiyle test yapılma… https://t.co/k7dI4nZLEw</t>
  </si>
  <si>
    <t>1469038897237737476</t>
  </si>
  <si>
    <t>@drfahrettinkoca Avrupa ile farkımız eksik aşılar fark ortadan kalkarsa bizde de ani artışlar yaşanmaz mı. Aşılara… https://t.co/cBnajDY1lb</t>
  </si>
  <si>
    <t>1469038326149750794</t>
  </si>
  <si>
    <t>@drfahrettinkoca Kimse test yaptırmıyor da ondan artış yok</t>
  </si>
  <si>
    <t>1469038149175164932</t>
  </si>
  <si>
    <t>1469037935311958016</t>
  </si>
  <si>
    <t>@drfahrettinkoca @saglikbakanligi Koskoca şehir hastanesi bi acil hasta için bütün acildeki doktorlar gitti 100 kiş… https://t.co/CYbjzN4a7t</t>
  </si>
  <si>
    <t>1469037848812834816</t>
  </si>
  <si>
    <t>@drfahrettinkoca :)) Bi gün öyle diyor , bi gün böyle diyor ama cümleyi sürekli "eksik"! doz aşıya getiriyor. https://t.co/Sck5ezudCK</t>
  </si>
  <si>
    <t>1469037797264736270</t>
  </si>
  <si>
    <t>@drfahrettinkoca 195 vefat sayısı azmı?Covid okullarda yayılmaya devam ediyor ama maske dışında hiçbir önlem uygula… https://t.co/BS3vg2DFFx</t>
  </si>
  <si>
    <t>1469037302190071812</t>
  </si>
  <si>
    <t>@drfahrettinkoca Tüik çok şey kattı hayatımıza, bilmem anlatabildimmi ?</t>
  </si>
  <si>
    <t>1469037013722619906</t>
  </si>
  <si>
    <t>@drfahrettinkoca Süresiz 4bliler kadro bekliyor!!!!!!!!</t>
  </si>
  <si>
    <t>1469036965421006848</t>
  </si>
  <si>
    <t>@drfahrettinkoca Hala aşı diyor 😂😰</t>
  </si>
  <si>
    <t>1469036843010252800</t>
  </si>
  <si>
    <t>@drfahrettinkoca https://t.co/pTcmFfQP3M</t>
  </si>
  <si>
    <t>1469036837650014210</t>
  </si>
  <si>
    <t>@drfahrettinkoca https://t.co/7lqbSQ2mLX</t>
  </si>
  <si>
    <t>1469036807849394196</t>
  </si>
  <si>
    <t>@drfahrettinkoca https://t.co/uVQKSaxpTU</t>
  </si>
  <si>
    <t>1469036751108939780</t>
  </si>
  <si>
    <t>@drfahrettinkoca @muratmuratdmrc 2 doz %80 nin üstüne çıkmış, hani toplumsal bağışıklık nerde</t>
  </si>
  <si>
    <t>1469036498389553153</t>
  </si>
  <si>
    <t>@drfahrettinkoca Kendin de diyosun 6 HAFTADIR bu imkansiz</t>
  </si>
  <si>
    <t>1469036470405107722</t>
  </si>
  <si>
    <t>@drfahrettinkoca La Fonten'den masallar..</t>
  </si>
  <si>
    <t>1469036438742253569</t>
  </si>
  <si>
    <t>@drfahrettinkoca O artislar kesinlile görülmüştür de siz gizliyosunuzdur hatta kesin gizliyosunuzdur</t>
  </si>
  <si>
    <t>1469036228616105984</t>
  </si>
  <si>
    <t>@drfahrettinkoca Ülkede temaslı takibi bile yokken bu vaka sayıları?Mızrak çuvala sığmıyor.Gunluk test sayısı sabit… https://t.co/9RkImTej9h</t>
  </si>
  <si>
    <t>1469035841909624837</t>
  </si>
  <si>
    <t>@drfahrettinkoca Tedbir varmiki</t>
  </si>
  <si>
    <t>1469035527718551560</t>
  </si>
  <si>
    <t>@drfahrettinkoca Ölümlerin aşılı ve aşısız olarak tablo halinde listelenip sunulması belki aşı için teşvik oluştura… https://t.co/7un3BSOZWv</t>
  </si>
  <si>
    <t>1469035122179690506</t>
  </si>
  <si>
    <t>@drfahrettinkoca doğal bağışıklık yüksek baya anlaşıldı</t>
  </si>
  <si>
    <t>1469035049949532168</t>
  </si>
  <si>
    <t>@drfahrettinkoca Atama kılavuzu</t>
  </si>
  <si>
    <t>1469035011244539906</t>
  </si>
  <si>
    <t>@drfahrettinkoca Yeterr yeter zorla isyan ettirceksin sanki aşı coronadan koruyormuş gibi anlatıyorsunuz millet de cahil kanıyor 😃😃</t>
  </si>
  <si>
    <t>1469034908425363459</t>
  </si>
  <si>
    <t>@drfahrettinkoca He hee</t>
  </si>
  <si>
    <t>1469034791433605128</t>
  </si>
  <si>
    <t>@drfahrettinkoca 9 ARALIK 2020 AŞI YOK! TEST SAYISI:204.411 VAKA SAYISI:31.712 HASTA SAYISI:6.213 ÖLÜM:217  9 ARALI… https://t.co/EDu8Bw4NvG</t>
  </si>
  <si>
    <t>1469034700501098496</t>
  </si>
  <si>
    <t>@drfahrettinkoca Adil tablo istiyoruz millet kandırmayn insanları</t>
  </si>
  <si>
    <t>1469034370078019586</t>
  </si>
  <si>
    <t>@drfahrettinkoca Daha başka ne bahane uyduracaksın acaba !?  Bıktım artık senden ve safsatalarından...</t>
  </si>
  <si>
    <t>1469034360443650054</t>
  </si>
  <si>
    <t>@drfahrettinkoca 😎Elinizde patladı patlayacak. Az kaldı.</t>
  </si>
  <si>
    <t>1469034356597575682</t>
  </si>
  <si>
    <t>1469034287467008000</t>
  </si>
  <si>
    <t>@drfahrettinkoca Gerçek vakaları açıklayın sadece İstanbul'da bile 15bine yakın virüs var</t>
  </si>
  <si>
    <t>1469034232215478281</t>
  </si>
  <si>
    <t>@drfahrettinkoca Maşallah haritanız hiç değişmiyor 😂😂😂😂</t>
  </si>
  <si>
    <t>1469033744417886208</t>
  </si>
  <si>
    <t>@drfahrettinkoca Sayın bakanım dünyada yükseliyor bizim ülkemizde düşüyor gerçekten siz buna inanıyor musunuz insan… https://t.co/wPQfbHeIme</t>
  </si>
  <si>
    <t>1469033366083280902</t>
  </si>
  <si>
    <t>@drfahrettinkoca Salgin var diye diye hastanelerde doktor kalmadı salgindan degil fakat doktor bulamamaktam insalar… https://t.co/8cAhMifCZq</t>
  </si>
  <si>
    <t>1469033319945936905</t>
  </si>
  <si>
    <t>@drfahrettinkoca Bitmeyen senfoni . Bu yalan bu korku rüzgarı artık kabak tadı verdi.</t>
  </si>
  <si>
    <t>1469032971965456391</t>
  </si>
  <si>
    <t>@drfahrettinkoca Bi sus artik biktirdin be AŞI AŞI kafamiza ettin kuresel sermayenin pesinde yeni dunya duzrni diyi… https://t.co/7tfifVom6b</t>
  </si>
  <si>
    <t>1469032736568614917</t>
  </si>
  <si>
    <t>@drfahrettinkoca #YerliAşı ?</t>
  </si>
  <si>
    <t>1469032517382639619</t>
  </si>
  <si>
    <t>@drfahrettinkoca Acaba F sabiti sayesinde olmasın çünkü metrobüste üstüste gidiyoruz. Aynı şeyi geçen sene de dened… https://t.co/bp7QYuIhX6</t>
  </si>
  <si>
    <t>1469032491856150537</t>
  </si>
  <si>
    <t>@drfahrettinkoca Küresel şeytana boyun eğmiş neymiş 6 haftada böyle de böyle hassikttirrrrr bokkkkkk</t>
  </si>
  <si>
    <t>1469032277501960196</t>
  </si>
  <si>
    <t>@drfahrettinkoca Sayın bakanım siz bize nasıl hitap edeceğinizi bilmiyorsunuz. Diyeceksiniz ki ülkemizde aşı yokken… https://t.co/TyT8gueKWV</t>
  </si>
  <si>
    <t>1469032044550406144</t>
  </si>
  <si>
    <t>@drfahrettinkoca Hadi oradan</t>
  </si>
  <si>
    <t>1469031842770788353</t>
  </si>
  <si>
    <t>@drfahrettinkoca Okullar açık ne tedbirinden bahsediyorsun</t>
  </si>
  <si>
    <t>1469031693193465865</t>
  </si>
  <si>
    <t>@drfahrettinkoca Gündem aşı ve koronadan cikti sayin bakanim gündem atanamayan sağlıkçılar şu anda koronadan cok or… https://t.co/45RQ5BPCSk</t>
  </si>
  <si>
    <t>1469031651925712913</t>
  </si>
  <si>
    <t>@drfahrettinkoca Her varyant önce Avrupa'da artıyor sonra ulkemize geliyor ...erken göbek kesmeyin..2 ,3 hafta sonr… https://t.co/8uzpDTLgfE</t>
  </si>
  <si>
    <t>1469031499529953295</t>
  </si>
  <si>
    <t>@drfahrettinkoca Maşallah</t>
  </si>
  <si>
    <t>1469031494878388231</t>
  </si>
  <si>
    <t>@drfahrettinkoca Okulları açmamak için binbir takla atıyorsunuz resmen.</t>
  </si>
  <si>
    <t>1469031398971482114</t>
  </si>
  <si>
    <t>@drfahrettinkoca Yalanlarla bizi kandıramazsınız herkes biliyor bundan daha fazla olduğunu vakaların büyük ihtimal… https://t.co/vGAs3Ipkpb</t>
  </si>
  <si>
    <t>1469031329878712321</t>
  </si>
  <si>
    <t>@drfahrettinkoca ''Avrupa'da görülen ani artışlar ülkemizde görülmedi.'' derken ne demek istendi? Çünkü onlardaki a… https://t.co/a5VQgqbFhV</t>
  </si>
  <si>
    <t>1469031270260822017</t>
  </si>
  <si>
    <t>@drfahrettinkoca Avrupa'da bizden daha az aşılanma olduğu için mi ani vaka artışları oldu? Bilim kurulu üyelerinin… https://t.co/vJeMKT6D5U</t>
  </si>
  <si>
    <t>1469031211746144259</t>
  </si>
  <si>
    <t>@drfahrettinkoca Önüme gelen hasta vakalar artmıyor ama bak Allah ın işine vayyy arkadaş aciller tıklım tıklım dolu… https://t.co/ige9yR0I4B</t>
  </si>
  <si>
    <t>1469030809747218434</t>
  </si>
  <si>
    <t>@drfahrettinkoca #hükümetistifa #ErkenSeçim  #MilliGörüş  https://t.co/kaggdJy1uQ</t>
  </si>
  <si>
    <t>1469030752834707472</t>
  </si>
  <si>
    <t>@drfahrettinkoca Omikron yok ya iyi bari</t>
  </si>
  <si>
    <t>1469030704457654285</t>
  </si>
  <si>
    <t>@drfahrettinkoca Okulumda iki günde 4 sınıf karantinaya alındı. Diğer sınıflarda da vakalar var tabii ki. Ben dahil… https://t.co/LDnGAuzAfI</t>
  </si>
  <si>
    <t>1469030664796311554</t>
  </si>
  <si>
    <t>@drfahrettinkoca Vaka korkusu üzerinde halkı sömurun gün gelecek devran ilaki dönecek vaka sayısını göreceksiniz</t>
  </si>
  <si>
    <t>1469030587633647622</t>
  </si>
  <si>
    <t>@drfahrettinkoca Aşılama diyorsunuz, 5-11 yaşı es geçiyorsunuz.Aile onayı ile neden bu yas grubuna aşı açılmıyor?Sı… https://t.co/L2MKugB4Uv</t>
  </si>
  <si>
    <t>1469030586039914498</t>
  </si>
  <si>
    <t>@drfahrettinkoca HALA TEDBİR DİYORSUNUZ NE TEDBİRİ</t>
  </si>
  <si>
    <t>1469030580058828813</t>
  </si>
  <si>
    <t>@drfahrettinkoca Vallaha mı:) inanak mı:)</t>
  </si>
  <si>
    <t>1469030571737239557</t>
  </si>
  <si>
    <t>@drfahrettinkoca Millet test yaptırmıyor ki yaptirsa nolacak herhangi bir tedavisimi var ki okullar virüs kaynıyor… https://t.co/n1yJZGtjsx</t>
  </si>
  <si>
    <t>1469030332653576197</t>
  </si>
  <si>
    <t>@drfahrettinkoca hem atanmayı bekleyen hemde çalışan sağlıkçılar inim inim inliyor, siz hala aşı tablosu vaka tablo… https://t.co/zv7MtQIKlc</t>
  </si>
  <si>
    <t>1469030223131942914</t>
  </si>
  <si>
    <t>@drfahrettinkoca Bütün sağlıkçıların eksik maaşlarını ne zaman tamamlayacaksınız?</t>
  </si>
  <si>
    <t>1469030212524511233</t>
  </si>
  <si>
    <t>@drfahrettinkoca Fahrettin Koca Ya Klavuz Ya İSTİFA #FKocaYaKılavuzYaİstifa  @drfahrettinkoca</t>
  </si>
  <si>
    <t>1469030092181577736</t>
  </si>
  <si>
    <t>@drfahrettinkoca Covid olduğunu tahmin edip yada bilerek sırf karantinaya girmemek için teste gitmeyen çok kişi var… https://t.co/TAjhqWD5ln</t>
  </si>
  <si>
    <t>1469030004638076939</t>
  </si>
  <si>
    <t>@drfahrettinkoca Vee en onemliside saglik  calisanlarina sahip cikmak gerekli #TuerkiyedeSağlıkcıOlmak #SağlıkcıGrevde</t>
  </si>
  <si>
    <t>1469029799150727171</t>
  </si>
  <si>
    <t>@drfahrettinkoca Bütün Dünya da vakalar artarken biz de aynı kalması şaşırtıcı çünkü çevremizde hemen herkes hasta… https://t.co/7TxqE3r5sN</t>
  </si>
  <si>
    <t>1469029768981004288</t>
  </si>
  <si>
    <t>@drfahrettinkoca Sn bakan bir de yüz binleri kahreden 'Atamama  vakası' yla karşı karşıyayız,bunun için de bir tedbiriniz olacak mı?</t>
  </si>
  <si>
    <t>1469029608284729344</t>
  </si>
  <si>
    <t>@drfahrettinkoca Vaka sayılarına inanan arkadaşlar, elimde çıtır hasarlı boğaz manzaralı köprü var, ilgilenen ulaşsın.</t>
  </si>
  <si>
    <t>1469029497966141442</t>
  </si>
  <si>
    <t>@drfahrettinkoca Bence artık alım haberini de vermeniz gerekiyor sayın @drfahrettinkoca</t>
  </si>
  <si>
    <t>1469029444388102146</t>
  </si>
  <si>
    <t>@drfahrettinkoca Avrupa şu %90 lara ulaşan aşılama oranlarının ülkeleri değil miydi? Nasıl ani fırladı bu vakalar?… https://t.co/SUppe14l6M</t>
  </si>
  <si>
    <t>1469029409525018635</t>
  </si>
  <si>
    <t>@drfahrettinkoca Bu rakamları ortaya çıkarmak için bayağı bir uğraş verilmiş belli ki ! Çevremde ve hes uygulamasın… https://t.co/sVyinnS3Ji</t>
  </si>
  <si>
    <t>1469029306038902789</t>
  </si>
  <si>
    <t>@drfahrettinkoca Cünkü Avrupa da heryerde test yapılıyor.  Nekafar cokkk tes okadar cokk covit 19 Okula giden öğren… https://t.co/zQLHKeUaQA</t>
  </si>
  <si>
    <t>1469029304948383750</t>
  </si>
  <si>
    <t>@drfahrettinkoca Bazen sadece aşı olmak istersin bir kez dönüp sana baksın diye... dipnot: kılavuz</t>
  </si>
  <si>
    <t>1469029247197003782</t>
  </si>
  <si>
    <t>@drfahrettinkoca Sağlıkçı yılında sağlıkçılara atama yapın artık</t>
  </si>
  <si>
    <t>1469029042255020038</t>
  </si>
  <si>
    <t>@drfahrettinkoca Arkadaşlar bakın 2. doz demiyor "eksik a$ıları tamamlayın" diyor.. Yani bu işe yaramayan a$ıları k… https://t.co/2pjcVqkMp8</t>
  </si>
  <si>
    <t>1469029031744053268</t>
  </si>
  <si>
    <t>@drfahrettinkoca Bakanım atama atamaaa. Bıktık korona dan değişsin artık şu gündemimiz</t>
  </si>
  <si>
    <t>1469028964970684420</t>
  </si>
  <si>
    <t>@drfahrettinkoca Dsö sözcüsü kim s..... koronayi  gel bir İstanbul da otobüse metrobüse bak</t>
  </si>
  <si>
    <t>1469028921605820428</t>
  </si>
  <si>
    <t>@drfahrettinkoca 🤣</t>
  </si>
  <si>
    <t>1469028915515727875</t>
  </si>
  <si>
    <t>@drfahrettinkoca Niye temaslı takibi yap mıyorsunuz ?🎶 Evinde pozitif olanlar beş gün boyunca neden okula ve işe gi… https://t.co/qISnQjBWFQ</t>
  </si>
  <si>
    <t>1469028798012272645</t>
  </si>
  <si>
    <t>@drfahrettinkoca Herkes geçim derdine düşmüş bakanın uğraştığı şeye bak. Ekmek 3 tl bakanım</t>
  </si>
  <si>
    <t>1469028713471827969</t>
  </si>
  <si>
    <t>@drfahrettinkoca Bu gece aşı karşıtlarının saldırılarını hiç çekemeyeceğim için size bir şey yazmıyorum . Gerçi yaz… https://t.co/aeYdFmulbP</t>
  </si>
  <si>
    <t>1469028707746652161</t>
  </si>
  <si>
    <t>@drfahrettinkoca Omicron varyantını tanımlayacak PCR testi henüz Türkiye'de olmadığı için olabilir mi acaba? Türkiy… https://t.co/b63qQM6hdg</t>
  </si>
  <si>
    <t>1469028354976276484</t>
  </si>
  <si>
    <t>@drfahrettinkoca ARTIK ONLİNE EĞİTİM KARARI ALARAK VİRÜSÜN YAYILMASINI ENGELLEMEYİ DÜŞÜNSEK, NASIL OLUR ACABA? HANİ… https://t.co/yHwdhNdnSw</t>
  </si>
  <si>
    <t>1469028308604047362</t>
  </si>
  <si>
    <t>@drfahrettinkoca İSTEYEN VELİLER İÇİN bir an evvel 5-11 yaş aşı hakkı bekliyoruz. Çocuklarımız sürekli hasta. En az… https://t.co/pbI4UHDYjr</t>
  </si>
  <si>
    <t>1469028307110969344</t>
  </si>
  <si>
    <t>@drfahrettinkoca Yalanci sahtekarlar sizii</t>
  </si>
  <si>
    <t>1469028288551075846</t>
  </si>
  <si>
    <t>@drfahrettinkoca Acaba vaka sayılarını doğru veriyormusunuz, geçmişte sakladınız yine yaparsınız..</t>
  </si>
  <si>
    <t>1469028208897101830</t>
  </si>
  <si>
    <t>@drfahrettinkoca @tek_vatan__ İki doz aşı yaptıranlar üçüncüyü  Hiç düşünmüyor.. Fayda olmadıysa üçte de olmaz Deyip oluruna bıraktılar...</t>
  </si>
  <si>
    <t>1469028182066089991</t>
  </si>
  <si>
    <t>@drfahrettinkoca Sayın bakanım ısrarla aşı davetinizi beklemekteyim.</t>
  </si>
  <si>
    <t>1469028161295896583</t>
  </si>
  <si>
    <t>@drfahrettinkoca https://t.co/NxknlG6r6K</t>
  </si>
  <si>
    <t>1469028100793114635</t>
  </si>
  <si>
    <t>@drfahrettinkoca İstanbul aşılamada 74,5 ta takılı kaldı</t>
  </si>
  <si>
    <t>1469028020564414465</t>
  </si>
  <si>
    <t>@drfahrettinkoca Fahrettin oranı</t>
  </si>
  <si>
    <t>1469027986678722568</t>
  </si>
  <si>
    <t>@drfahrettinkoca Çok az kaldı bizde görürüz o vaka sayılarını yakın zamanda! Şimdi insanlar geçim derdine düşüp,zam… https://t.co/yXgm82f0Zi</t>
  </si>
  <si>
    <t>1469027821657935883</t>
  </si>
  <si>
    <t>@drfahrettinkoca Sayın Bakan Avrupa'daki hızlı vaka artışları aşılama oranının yüksek olması ile, bizdeki düşüş ise… https://t.co/64RlFzNTZi</t>
  </si>
  <si>
    <t>1469027679009705986</t>
  </si>
  <si>
    <t>@drfahrettinkoca Sal dq yaşıyak başkan</t>
  </si>
  <si>
    <t>1469027472125665296</t>
  </si>
  <si>
    <t>@drfahrettinkoca Aşılama yükseldikçe vaka ve ölüm oranları da artıyor.Asilamanin durması lazım.</t>
  </si>
  <si>
    <t>1469027364348833793</t>
  </si>
  <si>
    <t>@drfahrettinkoca Ülkemizde ani artışlar görülmemişmiş.. SU FALINA mı baktırdınız??? 2 yıl önce de demiştiniz ki "Vi… https://t.co/jCfQ8ztXdQ</t>
  </si>
  <si>
    <t>1469027247952732167</t>
  </si>
  <si>
    <t>@drfahrettinkoca Bakanim atama yapin daha yeter valla @drfahrettinkoca</t>
  </si>
  <si>
    <t>1469027213186064388</t>
  </si>
  <si>
    <t>@drfahrettinkoca Bu olumlu durumu aşı ve test olmayanlara borçluyuz siz illa test dayatmalariyla vakaları artış gib… https://t.co/z0bFqdXxg2</t>
  </si>
  <si>
    <t>1469027102834016261</t>
  </si>
  <si>
    <t>@drfahrettinkoca Biontech 3. Doz aşılarımızın 6 ay beklemeden açılmasını istiyoruz!!!</t>
  </si>
  <si>
    <t>1469027054410780673</t>
  </si>
  <si>
    <t>@drfahrettinkoca He he biz de inandık</t>
  </si>
  <si>
    <t>1469027009619763203</t>
  </si>
  <si>
    <t>@drfahrettinkoca 195 vaka yapın  yarın tam dengeli olur hem</t>
  </si>
  <si>
    <t>1469027008566992898</t>
  </si>
  <si>
    <t>@drfahrettinkoca Urfa'nın plakası 63 Ordu'nun plakası kaçtı??? İstatistik bulmacasında çıktı bu soru!!!???</t>
  </si>
  <si>
    <t>1469026782296879106</t>
  </si>
  <si>
    <t>@drfahrettinkoca Şuan erkek kardeşim entube yoğun bakımda lütfen aşınizı olun bizede dua edin cigerleri bitmek üzer… https://t.co/f9gPV21Opj</t>
  </si>
  <si>
    <t>1469026780849885192</t>
  </si>
  <si>
    <t>@drfahrettinkoca Ulan konya sen nasil bir İlsin aylardir ayni asilanma orani</t>
  </si>
  <si>
    <t>1469026672712245249</t>
  </si>
  <si>
    <t>@drfahrettinkoca Biz artış bekliyoruz bunlar düşürüyor yaz yaz 5.000 yaz puahah</t>
  </si>
  <si>
    <t>1469026366070923266</t>
  </si>
  <si>
    <t>@drfahrettinkoca Çok ciddi soruyorum size; bizde önlem olarak Avrupa'da olmayan ne var ki bizde herhangi bir artış yok?</t>
  </si>
  <si>
    <t>1469026293698158592</t>
  </si>
  <si>
    <t>@drfahrettinkoca Nerede 60 bin atama bakanım @drfahrettinkoca @gozdekirisciogl https://t.co/FJ48vG7HQu</t>
  </si>
  <si>
    <t>1469026048255971331</t>
  </si>
  <si>
    <t>@drfahrettinkoca Nerede verdiğiniz sözler bakanım</t>
  </si>
  <si>
    <t>1469025918081449984</t>
  </si>
  <si>
    <t>@drfahrettinkoca 30 k alım yapacaktınız unuttunuz mu bizi sağlıkçıları</t>
  </si>
  <si>
    <t>1469025676200136708</t>
  </si>
  <si>
    <t>1469025630578782214</t>
  </si>
  <si>
    <t>@drfahrettinkoca Bakanım kılavuz diyoruz anlatabilyormuyuz</t>
  </si>
  <si>
    <t>1469025513654132739</t>
  </si>
  <si>
    <t>@drfahrettinkoca Sayın bakanım bir anne ve veli olarak sizden ricam lise öğrencilerinde devamsızlık durumunu ele al… https://t.co/ikmDzZ0TBS</t>
  </si>
  <si>
    <t>1469025463943241736</t>
  </si>
  <si>
    <t>@drfahrettinkoca Çarşamba günü online eğitime başlayan yeğenimin (3.sınıf) 8 pozitif var.Karantina koşullarına uyul… https://t.co/Cwu5j6OUXW</t>
  </si>
  <si>
    <t>1469025224473694221</t>
  </si>
  <si>
    <t>@drfahrettinkoca Bakanım yarın haftanın son günü lütfen kılavuz gelsin</t>
  </si>
  <si>
    <t>1469024937272909830</t>
  </si>
  <si>
    <t>@drfahrettinkoca Aralık ayindayiz, vakalar düsüyo, düsmeye devam edecek, kovid 19 son perdesi  omikron, bu mutasyon… https://t.co/4qWnQNHTQB</t>
  </si>
  <si>
    <t>1469024866535944196</t>
  </si>
  <si>
    <t>@drfahrettinkoca Başınızı yastığa rahat koyabiliyor musunuz bakanım?</t>
  </si>
  <si>
    <t>1469024767114203139</t>
  </si>
  <si>
    <t>@drfahrettinkoca Bunun sebebi türkiyede azalmış olan aşılama hızı, bakan bey. Lütfen neden sonuç ilişkisine dair fi… https://t.co/qFqjx0WzYS</t>
  </si>
  <si>
    <t>1469024743638642699</t>
  </si>
  <si>
    <t>@drfahrettinkoca Biz ne diyoruz siz ne diyorsunuz bakanım #FKocaYaKılavuzYaİstifa</t>
  </si>
  <si>
    <t>1469024555939291141</t>
  </si>
  <si>
    <t>@drfahrettinkoca Kılavuz kılavuz kılavuz kılavuz kılavuz kılavuz kılavuz istiyoruz</t>
  </si>
  <si>
    <t>1469024486750146569</t>
  </si>
  <si>
    <t>@drfahrettinkoca Çok yorulduk gerçekten! Bu kadar da olmaz. Kılavuz istiyoruz yeterince geç kalındı</t>
  </si>
  <si>
    <t>1469024467917619206</t>
  </si>
  <si>
    <t>@drfahrettinkoca Kuduz olsanız aşı olmayacak mısınız? Hali hazırda olduğumuz aşılar var, biri bir şey yapmak istese… https://t.co/tVm6Lq5llF</t>
  </si>
  <si>
    <t>1469024438297448465</t>
  </si>
  <si>
    <t>@drfahrettinkoca Keşke vaka sayılarını açıklarken dürüst olmayı deneseniz</t>
  </si>
  <si>
    <t>1469024281682133003</t>
  </si>
  <si>
    <t>@drfahrettinkoca Avrupa'da insanlar aşı olmamış mı?Yoksa! bizdeki rakamlar siz ne istiyorsanız o olduğu için mi art… https://t.co/mhGPYvPF4H</t>
  </si>
  <si>
    <t>1469024250262700033</t>
  </si>
  <si>
    <t>@drfahrettinkoca Sayın bakan tanıdığım herkez grip kimse test vermeye gitmiyor vaka sayısı aslında çok daha fazla.</t>
  </si>
  <si>
    <t>1469023773831700486</t>
  </si>
  <si>
    <t>@drfahrettinkoca Artık inandırıcı değil  Yayınlamayın şu görüntüleri</t>
  </si>
  <si>
    <t>1469023717783216134</t>
  </si>
  <si>
    <t>@drfahrettinkoca Aşı olalım ve sen o kadar aşı boşa gitmesin diye bu büyüklükte bir tiyatro ve hiçe saymanlık T.C.… https://t.co/CSkzYSj74m</t>
  </si>
  <si>
    <t>1469023412785979393</t>
  </si>
  <si>
    <t>@drfahrettinkoca ⭕️ Dolar yıl sonu 1 tl olacak 🙃</t>
  </si>
  <si>
    <t>1469023402329575435</t>
  </si>
  <si>
    <t>@drfahrettinkoca Ee yani bugün de mi bize müjde yok.  #FkocaYaKılavuzYaİstifa https://t.co/f2YONcQe4U</t>
  </si>
  <si>
    <t>1469023389595672593</t>
  </si>
  <si>
    <t>@drfahrettinkoca Her gün 200 ölü var ve adam olumlu diyor ölenlerin hiç mi önemi olmaz ya</t>
  </si>
  <si>
    <t>1469023386378678272</t>
  </si>
  <si>
    <t>@drfahrettinkoca Olumluya bak 200 ölü</t>
  </si>
  <si>
    <t>1469023222108676104</t>
  </si>
  <si>
    <t>@drfahrettinkoca Bir insann düşünün atanacak kadar puanı var hatta fazlasını almış ama bu yüksek puana rağmen hala… https://t.co/l8xDo9uU1X</t>
  </si>
  <si>
    <t>1469023021881073666</t>
  </si>
  <si>
    <t>@drfahrettinkoca Veya gerçek rakamları saklamaktan vazgeçin</t>
  </si>
  <si>
    <t>1469022878863486976</t>
  </si>
  <si>
    <t>@drfahrettinkoca hasta ve temaslılar büyük ölçüde iyileşek evde otursa toplum içine karışarak yüzlerce yeni vaka ya… https://t.co/j4Vp8sSHuG</t>
  </si>
  <si>
    <t>1469022840196419585</t>
  </si>
  <si>
    <t>@drfahrettinkoca https://t.co/bkiPM2Q8Xi</t>
  </si>
  <si>
    <t>1469022719287119877</t>
  </si>
  <si>
    <t>@drfahrettinkoca Yalani gec...</t>
  </si>
  <si>
    <t>1469022687813066754</t>
  </si>
  <si>
    <t>@drfahrettinkoca Müjde veriyoruz diyorsunuz ancak halâ atamadan haber yok sayın bakan.</t>
  </si>
  <si>
    <t>1469022623510274048</t>
  </si>
  <si>
    <t>@drfahrettinkoca Yalan dolan yazıklar olsun #kabineuzaktaneğitimsart</t>
  </si>
  <si>
    <t>1469022578035539971</t>
  </si>
  <si>
    <t>@drfahrettinkoca Hazır cuma akşamı bir sevap işleyin de şu kılavuzu verin bakanım 🙄</t>
  </si>
  <si>
    <t>1469022544653135872</t>
  </si>
  <si>
    <t>@drfahrettinkoca Tüh ya, ülkemiz de görülmemiş. Siz şimdi üzülmüşsünüzdür de.</t>
  </si>
  <si>
    <t>1469022476227252231</t>
  </si>
  <si>
    <t>@drfahrettinkoca tam doz aşı haritasi güncelenmedimi en az 3 doz olmasi lazim</t>
  </si>
  <si>
    <t>1469022446540005377</t>
  </si>
  <si>
    <t>@drfahrettinkoca Neden yüz binlerce kişinin feryadını duymuyorsunuz 1 seneden fazla oldu atama olmadı üstüne ara ar… https://t.co/KppqFTpx68</t>
  </si>
  <si>
    <t>1469022228159377410</t>
  </si>
  <si>
    <t>@drfahrettinkoca Ayrıca ATAMA KILAVUZUNU hemen yayimlamaliyiz bakanım @drfahrettinkoca 🤦🏻‍♀️… https://t.co/gu2VA3zJSR</t>
  </si>
  <si>
    <t>1469022039063384068</t>
  </si>
  <si>
    <t>@drfahrettinkoca vakalar artışta buna dur demek sizlerin elinde tek çare uzaktan eğitim gelsin havalarda soğudu önl… https://t.co/njUigkhbvf</t>
  </si>
  <si>
    <t>1469021935237406726</t>
  </si>
  <si>
    <t>@drfahrettinkoca Atama kılavuzu nerede ?</t>
  </si>
  <si>
    <t>1469021838042963974</t>
  </si>
  <si>
    <t>@drfahrettinkoca Burada da çok var ama ilan etmiyorsunuz . Gerçek sayıları gösterin .</t>
  </si>
  <si>
    <t>1469021557792157704</t>
  </si>
  <si>
    <t>@drfahrettinkoca Aynı https://t.co/8xiWzGZmU3çen yılda ülkemizde virüs yok diyordu.Sonra var dedi.Şimdi yok diyor.B… https://t.co/6wPaANIV21</t>
  </si>
  <si>
    <t>1469021517228957698</t>
  </si>
  <si>
    <t>@drfahrettinkoca Sağlıkçılarına ne zaman sahip çıkacaksın..? #FKocaYaKılavuzYaİstifa</t>
  </si>
  <si>
    <t>1469021502255386624</t>
  </si>
  <si>
    <t>@drfahrettinkoca Bakanım o kadar zor ki belirsizliğin için de yaşamaya çalışmak inanın kimse bunu yaşasın istemiyor… https://t.co/jORzBISgyK</t>
  </si>
  <si>
    <t>1469021342079066114</t>
  </si>
  <si>
    <t>@drfahrettinkoca Vakalari TÜIK mi veriyor Fahrettin</t>
  </si>
  <si>
    <t>1469021144225394691</t>
  </si>
  <si>
    <t>@drfahrettinkoca Ya neden bizi görmüyorsunuz bu kadar mı gözünüzde hiç bu gençler herkesin psikolojisi bozuldu bu b… https://t.co/DL4DXk5Y6D</t>
  </si>
  <si>
    <t>1469021062147059718</t>
  </si>
  <si>
    <t>@drfahrettinkoca ABnin 5 üyesi cavit ve aş ılar hk uyarıyor...Bu sansür oldukça tehlikeli.. eğer olmaya devam eders… https://t.co/43Lq5f0tgV</t>
  </si>
  <si>
    <t>1469021019671302145</t>
  </si>
  <si>
    <t>@drfahrettinkoca Sma hastası olan 3 ay yaşındaki çocuk ayaklarını ve vücudunun birçok yerini hareket ettiremiyor..l… https://t.co/g3K3AGdZ5U</t>
  </si>
  <si>
    <t>1469020995365355524</t>
  </si>
  <si>
    <t>@drfahrettinkoca Bakan bey atama falan düşünür müsünüz? Hani 16 yıl okuduk belki biz de ekmek falan götürürüz evimize.</t>
  </si>
  <si>
    <t>1469020985886191618</t>
  </si>
  <si>
    <t>@drfahrettinkoca Önümüzdeki iki hafta bitti geçmiş 6 hafta başladı böyle yalanı böyle uydurma senaryoyu en iyi yalancılar bile yazamaz.</t>
  </si>
  <si>
    <t>1469020931959967747</t>
  </si>
  <si>
    <t>@drfahrettinkoca 20günlük yeğenim korona oldu.Abisi okuldan getirmiş. Sizin sayenizde sn.bakanım @drfahrettinkoca gurur duyun eserinizle.</t>
  </si>
  <si>
    <t>1469020916936024068</t>
  </si>
  <si>
    <t>@drfahrettinkoca çünkü asi oranı azaldı</t>
  </si>
  <si>
    <t>1469020900456607744</t>
  </si>
  <si>
    <t>@drfahrettinkoca Kılavuz için neyi bekliyoruz</t>
  </si>
  <si>
    <t>1469020820441899013</t>
  </si>
  <si>
    <t>@drfahrettinkoca Lütfen Destek Olalım KAZLAR YENİ YEMLERİNİ İŞTAHLA YEDİLER. https://t.co/3aihmqbzGR</t>
  </si>
  <si>
    <t>1469020747838414849</t>
  </si>
  <si>
    <t>@drfahrettinkoca Olumlu durum mu kendi pencerenizden bakarsanız olumlu şeyleri görürsünüz bir de gelin bizim pencerelerden bakın ..</t>
  </si>
  <si>
    <t>1469020720789340160</t>
  </si>
  <si>
    <t>@drfahrettinkoca Aşıda aşı başkada bir şey yok, çevremdeki aşılılar hastalanmasa hani belki hastalansa ama hafif at… https://t.co/MKMLCSZOG4</t>
  </si>
  <si>
    <t>1469020451678658564</t>
  </si>
  <si>
    <t>@drfahrettinkoca Avrupa'da vaka sayısı artıyor çünkü sizin gibi saklama gereği duymuyor ..</t>
  </si>
  <si>
    <t>1469020440614035461</t>
  </si>
  <si>
    <t>@drfahrettinkoca Kılavuzu unuttunuz mu sayın bakan ? Aylardır insanlara umut verip olmayan atamaya ne oldu ? Hani k… https://t.co/BhmSB8QvZx</t>
  </si>
  <si>
    <t>1469020410331209728</t>
  </si>
  <si>
    <t>@drfahrettinkoca Atama bekleyen Sağlıkçılar olarak siz duyun diye neleri yapıyoruz bizi neden duymuyorsunuz</t>
  </si>
  <si>
    <t>1469020368023306260</t>
  </si>
  <si>
    <t>@drfahrettinkoca Test sayısında ne azalma ne de yükselme oluyor ne hikmetse çok değişik</t>
  </si>
  <si>
    <t>1469020294337765382</t>
  </si>
  <si>
    <t>@drfahrettinkoca 2018 KPSS ile atanan, 14 ay atama beklemiş bir arkadaşıma sizin temmuz ayının başlarında "2-3 ay i… https://t.co/t4OjVBLR15</t>
  </si>
  <si>
    <t>1469020190868398085</t>
  </si>
  <si>
    <t>@drfahrettinkoca Bakanım sistem elinizin altında düğmeye basın 15 bin olsun</t>
  </si>
  <si>
    <t>1469020164121366534</t>
  </si>
  <si>
    <t>@drfahrettinkoca Size güvendik bizi yarı yolda bırakmayın lütfen kılavuzu yayınlayın</t>
  </si>
  <si>
    <t>1469020148648525824</t>
  </si>
  <si>
    <t>@drfahrettinkoca Sınıfta bir öğrenci de virüs çıktı diye sınıf karantinaya alınıyor ama servis aracı alınmıyor her… https://t.co/8ZCw0rTeX4</t>
  </si>
  <si>
    <t>1469020065026740231</t>
  </si>
  <si>
    <t>@drfahrettinkoca Sana inanan varmı hala sen ve filim kuruluna ALLAH tan korkunuz olsaydı bu oyunlara bir dur derdiniz</t>
  </si>
  <si>
    <t>1469019905043357698</t>
  </si>
  <si>
    <t>@drfahrettinkoca Kapat okullari baboli</t>
  </si>
  <si>
    <t>1469019753431846913</t>
  </si>
  <si>
    <t>@drfahrettinkoca Bakanım artık tablo falan paylaşmayın kimse bu verilere inanmıyor #kabineomicrongelmedenonline</t>
  </si>
  <si>
    <t>1469019701598732295</t>
  </si>
  <si>
    <t>@drfahrettinkoca Sayın bakanım En kısa zamanda kılavuz bekliyoruz Merkezi atamayla çakışmaz umarım</t>
  </si>
  <si>
    <t>1469019688097226761</t>
  </si>
  <si>
    <t>@drfahrettinkoca GÜVENMİYORUM SANA SN. BAKAN.</t>
  </si>
  <si>
    <t>1469019670787338240</t>
  </si>
  <si>
    <t>@drfahrettinkoca SEN DSÖ YE BAĞLISIN</t>
  </si>
  <si>
    <t>1469019540570968068</t>
  </si>
  <si>
    <t>@drfahrettinkoca Sn Bakanım;Okullarda sağlanamayan mesafe yüzünden çocuklarımızın risk altında bulunduğunu bir çocu… https://t.co/hz0uFc868V</t>
  </si>
  <si>
    <t>1469019502058868743</t>
  </si>
  <si>
    <t>@drfahrettinkoca Artık Avrupa gibi, OMİCRON a acilen karşı tedbir, önlem ve kısatlama alacak mısınız ???  Yoksa fac… https://t.co/wDrKIsfg23</t>
  </si>
  <si>
    <t>1469019444332703751</t>
  </si>
  <si>
    <t>@drfahrettinkoca Öğrenciler sağlıkları için Uzaktan Eğitim istiyor!</t>
  </si>
  <si>
    <t>1469019313336197122</t>
  </si>
  <si>
    <t>@drfahrettinkoca KILAVUZU İSTİYORUZ</t>
  </si>
  <si>
    <t>1469019308323913736</t>
  </si>
  <si>
    <t>@drfahrettinkoca Tabi tamamlayiniz..sonu gelmeyecek dozlari.. https://t.co/IEaolKk7Mm</t>
  </si>
  <si>
    <t>1469019275084152832</t>
  </si>
  <si>
    <t>@drfahrettinkoca Saygıdeğer bakanım ; ölümler artarsa vaka sayısı demeyin lütfen geçim derdi diye yeni sayfa açalım 🙋‍♀️</t>
  </si>
  <si>
    <t>1469019232847417351</t>
  </si>
  <si>
    <t>@drfahrettinkoca 2 yıl önce biz de covit yok demiştiniz, sonra ba kadar arttı arttı ölümler arttı. Umarım yine aynı… https://t.co/BanyfxntVM</t>
  </si>
  <si>
    <t>1469019222797864975</t>
  </si>
  <si>
    <t>@drfahrettinkoca Ne zaman aşı olunsa eksik alı oluyor sürekli bi doz daha alır mısınız diyerek geçirebileceğinizi s… https://t.co/ZcKiZdLNuf</t>
  </si>
  <si>
    <t>1469019093256880138</t>
  </si>
  <si>
    <t>@drfahrettinkoca Hangi olumlu durum her gün 200 e yakın kişinin ölümüne olumlu durum diyorsunuz bunları birde ailel… https://t.co/fMrDpM9PP6</t>
  </si>
  <si>
    <t>1469019054132322309</t>
  </si>
  <si>
    <t>@drfahrettinkoca Bize bir açıklamayı çok görmeyin bakanım nolur</t>
  </si>
  <si>
    <t>1469019042572865538</t>
  </si>
  <si>
    <t>@drfahrettinkoca Sanırım bu beklenti tam karşılanamadı .. https://t.co/mCPM3toBFK</t>
  </si>
  <si>
    <t>1469019007110070272</t>
  </si>
  <si>
    <t>@drfahrettinkoca He diyorsun ki Avrupa bizi kıskanıyor onların vakası artarken bizim Allahımız var öylemi ya kendin… https://t.co/dzpD9k1PFK</t>
  </si>
  <si>
    <t>1469018980077686784</t>
  </si>
  <si>
    <t>@drfahrettinkoca BAKIN DA DEVLET ADAMLIĞI ÖĞRENİN.   https://t.co/IuHmAMMqp6</t>
  </si>
  <si>
    <t>1469018918333423620</t>
  </si>
  <si>
    <t>@drfahrettinkoca Aşı birtek bize mi fayda ediyor diğer ülkeler bizden daha fazla aşılı neden kapanıyorlar hadi ceva… https://t.co/pAtrf0CnnT</t>
  </si>
  <si>
    <t>1469018906341826563</t>
  </si>
  <si>
    <t>@drfahrettinkoca Mavi illere maske zorunluluğu kalksın mı artık</t>
  </si>
  <si>
    <t>1469018897353519120</t>
  </si>
  <si>
    <t>@drfahrettinkoca Sağlık Bakanı Fahrettin Koca'ya Güvenmiyorum</t>
  </si>
  <si>
    <t>1469018879427031050</t>
  </si>
  <si>
    <t>@drfahrettinkoca Bakanım branş+kılavuz</t>
  </si>
  <si>
    <t>1469018871067779075</t>
  </si>
  <si>
    <t>@drfahrettinkoca Seçim zamanı gibi il sağlıkları arayıp sayı öğrenmeye çalışıyoruz bakanım bunları hak ettik mi ger… https://t.co/O6HMSxx1c5</t>
  </si>
  <si>
    <t>1469018796363075586</t>
  </si>
  <si>
    <t>@drfahrettinkoca 13 aydır atama yapılmıyor 13 aydır oyalanıyoruz 13 ay oldu bizi görmezden geliyorsunuz  Yılın şaka… https://t.co/ZSftoWze3n</t>
  </si>
  <si>
    <t>1469018606017130499</t>
  </si>
  <si>
    <t>@drfahrettinkoca Amerika'daki kaybedilen davalardan Türkiye nasıl etkilenecek ve siz götünüze baka baka nasıl kaçac… https://t.co/9dqNlpvGxt</t>
  </si>
  <si>
    <t>1469018539042476033</t>
  </si>
  <si>
    <t>@drfahrettinkoca Her şeye her Allah'ın günü zam gelirken içinde ölümsüzlük iksiri (!) olan aşılar niye beleş? İnsan… https://t.co/lpUtwio59Y</t>
  </si>
  <si>
    <t>1469018460206346242</t>
  </si>
  <si>
    <t>@drfahrettinkoca Sen milletin bakanısın, ama aylardır buralarda sorduğumuz onlarca soruya bir cevap bile veremiyors… https://t.co/rRqugwsRmo</t>
  </si>
  <si>
    <t>1469018443299139587</t>
  </si>
  <si>
    <t>@drfahrettinkoca Herşey 5 TL diyen milyoncular gibi sabitlediniz rakamları bakanım İnanmıyoruz artık Melih gökçekmi yapıyor bu listeleri</t>
  </si>
  <si>
    <t>1469018396805242881</t>
  </si>
  <si>
    <t>@drfahrettinkoca Vaka sayılarına inanmıyorum 😀😅😁😄</t>
  </si>
  <si>
    <t>1469018293671501831</t>
  </si>
  <si>
    <t>@drfahrettinkoca Sayin Bakanim bu sivilar insanlari korumuyor Artik bu algilari birakin lütfen</t>
  </si>
  <si>
    <t>1469018228571705348</t>
  </si>
  <si>
    <t>@drfahrettinkoca @saglikbakanligi Online eğitim yapmıyosunuz bari kronik hastalığı olanlar gitmesin yok yazılmasın @drfahrettinkoca</t>
  </si>
  <si>
    <t>1469018177912905732</t>
  </si>
  <si>
    <t>@drfahrettinkoca İşte bizde onu diyoruz sayın bakan,bizim gibi her şeyi serbest bırakmayan avrupa ülkelerinde ani v… https://t.co/OhVHM82Gj5</t>
  </si>
  <si>
    <t>1469018176067358720</t>
  </si>
  <si>
    <t>@drfahrettinkoca Bir yıl oldu ama ya</t>
  </si>
  <si>
    <t>1469018166126911500</t>
  </si>
  <si>
    <t>@drfahrettinkoca Klavuz</t>
  </si>
  <si>
    <t>1469018132799016963</t>
  </si>
  <si>
    <t>@drfahrettinkoca Hocam 3 dediniz 3 cüyü olanlar var,  simdi 4 diyorsunuz. Bari baştan söyleyin kaça kadar gidecek bu.</t>
  </si>
  <si>
    <t>1469018119410786313</t>
  </si>
  <si>
    <t>@drfahrettinkoca Normal yani her gün 200 kişi...</t>
  </si>
  <si>
    <t>1469018073592127502</t>
  </si>
  <si>
    <t>@drfahrettinkoca Bencede eksik olanlar tamamlansın😁 omicron için nasıl tedbir alınacak hocam henüz girmemişken ülke… https://t.co/2sgl8U4e7X</t>
  </si>
  <si>
    <t>1469018000447660039</t>
  </si>
  <si>
    <t>@drfahrettinkoca Ne aşısı be fahrenheit</t>
  </si>
  <si>
    <t>1469017996274319362</t>
  </si>
  <si>
    <t>@drfahrettinkoca Haklılar dediniz neden hakkımızı bir aydır vermiyorsunuz</t>
  </si>
  <si>
    <t>1469017980273053708</t>
  </si>
  <si>
    <t>@drfahrettinkoca Online eğitim istiyoruz gerçek vakaları gösterin #kabineomicrongelmedenonline</t>
  </si>
  <si>
    <t>1469017953412816900</t>
  </si>
  <si>
    <t>@drfahrettinkoca Geeeldi üçüncü doooooz haanııım. Yetiiiş aşı geldi haanııımm. Yukarıdaki aşı ile ilgili türkiyede… https://t.co/V6QfvSaQKp</t>
  </si>
  <si>
    <t>1469017936421703696</t>
  </si>
  <si>
    <t>@drfahrettinkoca Kendinzin dahi inanmadğı tabloyu paylaşıp duruyorsnuz ancak unuttuğnuz birşey var bu tabloya bu ül… https://t.co/2WzPgXyqYX</t>
  </si>
  <si>
    <t>1469017917828313092</t>
  </si>
  <si>
    <t>@drfahrettinkoca #FkocaYaKılavuzYaİstifa https://t.co/judzo7P4Qx</t>
  </si>
  <si>
    <t>1469017828103761921</t>
  </si>
  <si>
    <t>@drfahrettinkoca Aşı olmayan otobüse, avm ye vs binemesin gidemesin. Başka türlü aşılama böyle kalır.</t>
  </si>
  <si>
    <t>1469017798756216838</t>
  </si>
  <si>
    <t>@drfahrettinkoca Sağ elimize güneşi, sol elimize ay'ı versen yinede aşı olmayız.</t>
  </si>
  <si>
    <t>1469017724676456456</t>
  </si>
  <si>
    <t>@drfahrettinkoca Seni gidi palavuz okulları online eğitime geçirin bu sayıların daha fazlası olduğunu biliyoruz duy… https://t.co/goEi17suk2</t>
  </si>
  <si>
    <t>1469017722692456448</t>
  </si>
  <si>
    <t>@drfahrettinkoca Kılavuz istiyoruz bakanım</t>
  </si>
  <si>
    <t>1469017709522440195</t>
  </si>
  <si>
    <t>@drfahrettinkoca Haftasonu 15 bini görürüz artık hayırlısıyla inşallah 😂</t>
  </si>
  <si>
    <t>1469017698877194240</t>
  </si>
  <si>
    <t>@drfahrettinkoca Hangi tedbir okullarda alınmayanlar mı?  #kabineomicrongelmedenonline</t>
  </si>
  <si>
    <t>1469017697526726659</t>
  </si>
  <si>
    <t>@drfahrettinkoca Öldürmeyen atama süründürümüş KLAVUZ @drfahrettinkoca</t>
  </si>
  <si>
    <t>1469017677213708296</t>
  </si>
  <si>
    <t>@drfahrettinkoca Net olmayan bir tarih istemiyoruz hemen kılavuzun yayınlamasını talep ediyoruz sayın @drfahrettinkoca @gozdekirisciogl</t>
  </si>
  <si>
    <t>1469017591561830410</t>
  </si>
  <si>
    <t>@drfahrettinkoca Klavuz artık</t>
  </si>
  <si>
    <t>1469017496858550273</t>
  </si>
  <si>
    <t>@drfahrettinkoca 13 aydır açıklama yapmadığınız insanlar bugünleri asla unutmayacak.. biz bir şekilde mesleğimize k… https://t.co/vKpp7h5a6f</t>
  </si>
  <si>
    <t>1469017452759719946</t>
  </si>
  <si>
    <t>@drfahrettinkoca HES uygulamasını tamamen kaldırmalısınız. HAYAT EVE SIĞMAZ SIĞMADI SIĞMAYACAK  İNSANIZ BİZ, ROBOT… https://t.co/pFyDWqprIU</t>
  </si>
  <si>
    <t>1469017425026945024</t>
  </si>
  <si>
    <t>@drfahrettinkoca Hiç aşı yaptırmadım. Tavsiye ederim.</t>
  </si>
  <si>
    <t>1469017377660674053</t>
  </si>
  <si>
    <t>@drfahrettinkoca Hiçbir işe yaramadığı gibi insanlar arasında tartışmalara sebep olan ANLAMSIZ MASKE MECBURİYETİ de… https://t.co/HINI0gzxlg</t>
  </si>
  <si>
    <t>1469017353535070210</t>
  </si>
  <si>
    <t>@drfahrettinkoca Tabi bu tabloda büyük emeğiniz var hergün aynı sayılarda tutmak büyük özveri 👏🏻👏🏻👏🏻</t>
  </si>
  <si>
    <t>1469017347671433217</t>
  </si>
  <si>
    <t>@drfahrettinkoca O deneysel sıvı yı hiç olmadığım için bu twti üzerime almıyorum</t>
  </si>
  <si>
    <t>1469017279497179138</t>
  </si>
  <si>
    <t>@drfahrettinkoca Çok uzamayacak dediniz bakanım bugün tam 32 gün oldu kılavuz hala yok</t>
  </si>
  <si>
    <t>1469017249918984192</t>
  </si>
  <si>
    <t>@drfahrettinkoca İllaki toplu vefat yada toplu bir olay olunca omicron varyantını söylersiniz değilmi tıpkı ilk Cor… https://t.co/JRRVrGjewz</t>
  </si>
  <si>
    <t>1469017247121387527</t>
  </si>
  <si>
    <t>@drfahrettinkoca Çocukları 5 11 yaş aşıları nerede??? Neden bu konuda ağzınızı bıçak açmıyor aileler aşı bekliyor!!… https://t.co/h8Xrh9UsIa</t>
  </si>
  <si>
    <t>1469017227215216644</t>
  </si>
  <si>
    <t>@drfahrettinkoca Sayın KOCA sizin kendinzin dahi inanmadğı tabloyu paylaşıp duruyorsnuz ancak unuttuğnuz birşey var… https://t.co/F6syAtABN9</t>
  </si>
  <si>
    <t>1469017211293609993</t>
  </si>
  <si>
    <t>@drfahrettinkoca Kim eksik asılı kim değil siz bilmiyormusunuz acaba önce iki doz aşı dediniz sonra hatırlatma diye… https://t.co/bZnGH4AdQd</t>
  </si>
  <si>
    <t>1469017204754636800</t>
  </si>
  <si>
    <t>@drfahrettinkoca Dördüncü dozunuzu niye yaptırmıyorsunuz ulen kaldırmayın salgın bakanını ayağa 😂😂😂😂😂😂😂</t>
  </si>
  <si>
    <t>1469017160685076483</t>
  </si>
  <si>
    <t>@drfahrettinkoca Test sayısı artarsa vaka sayısı da artar son 6 haftada aynı sayıda test yapılmış. Test sayısı artmalı</t>
  </si>
  <si>
    <t>1469017128166699015</t>
  </si>
  <si>
    <t>@drfahrettinkoca O artışlar ülkemizde görülmüştür ama cesaretiniz yok ki açıklamazsınız onlar halklarına dürüst siz… https://t.co/xXiKHsLWYG</t>
  </si>
  <si>
    <t>1469017126463750151</t>
  </si>
  <si>
    <t>@drfahrettinkoca Bilim kurulu üyesi necmi ünal, 11 temmuzda 50 milyon çift doz aşılama olursa vakaların 1000'in alt… https://t.co/h3hwLDizJL</t>
  </si>
  <si>
    <t>1469017122990874630</t>
  </si>
  <si>
    <t>@drfahrettinkoca Sağlık bakanı sizsiniz sayın bakanım biz kimden bilgi alacağız tabiki kılavuzu size soruyoruz 13 a… https://t.co/arKMoXj6xA</t>
  </si>
  <si>
    <t>1469017028426149900</t>
  </si>
  <si>
    <t>@drfahrettinkoca Sayın bakanım bu devlet hastanelerinde çalışanların gece farkları alındı 3lu vardiya sistemine geç… https://t.co/EPiQPL7YVm</t>
  </si>
  <si>
    <t>1469016916278849537</t>
  </si>
  <si>
    <t>@drfahrettinkoca Bizi görün duyun artık lütfen kılavuz gelsin</t>
  </si>
  <si>
    <t>1469016737513361422</t>
  </si>
  <si>
    <t>@drfahrettinkoca Bu virüs SOLUNUM YOLUYLA bulaşmıyor mu? Havalandırma olmayan mevcutların çok olduğu sıralar arası… https://t.co/4KPhAiLogV</t>
  </si>
  <si>
    <t>1469016720648122371</t>
  </si>
  <si>
    <t>@drfahrettinkoca Çok şey değil hakkımız olan kılavuzu istiyoruz</t>
  </si>
  <si>
    <t>1469016654101286914</t>
  </si>
  <si>
    <t>@drfahrettinkoca Lütfen hakkımızı verin kılavuzu yayınlayın</t>
  </si>
  <si>
    <t>1469016591690080269</t>
  </si>
  <si>
    <t>@drfahrettinkoca Yine başladı twit atmaya bı bizim atamayı paylaşmayınız</t>
  </si>
  <si>
    <t>1469016567635755016</t>
  </si>
  <si>
    <t>@drfahrettinkoca tamam Bakanım şimdi gerçekleri konuşalım</t>
  </si>
  <si>
    <t>1469016557774938121</t>
  </si>
  <si>
    <t>@drfahrettinkoca Beklemek oyalanmak istemiyoruz! Kılavuz istiyoruz</t>
  </si>
  <si>
    <t>1469016481291816975</t>
  </si>
  <si>
    <t>@drfahrettinkoca Ya bırakın yalanı artık bıkmadınız yalan söylemekten😏</t>
  </si>
  <si>
    <t>1469016478796206088</t>
  </si>
  <si>
    <t>@drfahrettinkoca Aşılama hızı azaldıkça daha stabil bir hal aldı sanki🤔</t>
  </si>
  <si>
    <t>1469016460945145856</t>
  </si>
  <si>
    <t>@drfahrettinkoca Kılavuz istiyoruz</t>
  </si>
  <si>
    <t>1469016411020443649</t>
  </si>
  <si>
    <t>@drfahrettinkoca Önlemler yok sanki salgın bitti virüs bitti vakalar sıfırlandı vefat hiç yokmuş gibi esnettiniz tü… https://t.co/PuguL8wWgj</t>
  </si>
  <si>
    <t>1469016396810104837</t>
  </si>
  <si>
    <t>@drfahrettinkoca bu asilariniz kalpten goturuyo Allah'a havale ediyorum sizi Allah'tan bulun</t>
  </si>
  <si>
    <t>1469016371279417350</t>
  </si>
  <si>
    <t>1469016368901234706</t>
  </si>
  <si>
    <t>1469016362311954435</t>
  </si>
  <si>
    <t>@drfahrettinkoca Yılbaşı tatilinden sonra artar vaka sayıları</t>
  </si>
  <si>
    <t>1469016357064822794</t>
  </si>
  <si>
    <t>@drfahrettinkoca Ya kilavuzzzzz /</t>
  </si>
  <si>
    <t>1469016330061897736</t>
  </si>
  <si>
    <t>@drfahrettinkoca Kılavuzu açıklayın</t>
  </si>
  <si>
    <t>1469016317017612294</t>
  </si>
  <si>
    <t>@drfahrettinkoca Her gün harita yayınlayarak içiniz rahatlıyor mu cidden</t>
  </si>
  <si>
    <t>1469016308499070992</t>
  </si>
  <si>
    <t>@drfahrettinkoca Kronik hasta ve yaşlıları aşıladınız nedir bu ülkedeki herkesi aşılama telâşınız🤔</t>
  </si>
  <si>
    <t>1469016304074043392</t>
  </si>
  <si>
    <t>@drfahrettinkoca avrupa her oturup kalkan insana yanlış sonuç veren pcr yaparsa artması normal.</t>
  </si>
  <si>
    <t>1469016303021264912</t>
  </si>
  <si>
    <t>@drfahrettinkoca Eğitimi devam ettirmek için sahte haberlere Devamke 👍💪</t>
  </si>
  <si>
    <t>1469016291176505354</t>
  </si>
  <si>
    <t>@drfahrettinkoca Kasım ayında geleceğini söylediğiniz ama ne sebeple hala gelmediğini anlamadığımız kılavuzu bekliyoruz  @drfahrettinkoca</t>
  </si>
  <si>
    <t>1469016262609195012</t>
  </si>
  <si>
    <t>@drfahrettinkoca Her şey hazırken biz kılavuz için neyi bekliyoruz</t>
  </si>
  <si>
    <t>1469016230589865988</t>
  </si>
  <si>
    <t>@drfahrettinkoca Tek doz tetanoz aşısı kişiyi 5 sene korurken, bu aşi diye tutturduğunuz sıvı niye sürekli sürekli yenilemek gerekiyor?</t>
  </si>
  <si>
    <t>1469016217537191946</t>
  </si>
  <si>
    <t>@drfahrettinkoca Eksik Aşı derken???  Kaç doz olursa tam Aşılı sayılacak?</t>
  </si>
  <si>
    <t>1469016189150146563</t>
  </si>
  <si>
    <t>@drfahrettinkoca Tam bir ay oldu bakanım atama haberinizden sonra nasıl hazırlanamadı bir aydır kılavuz</t>
  </si>
  <si>
    <t>1469016175472484356</t>
  </si>
  <si>
    <t>@drfahrettinkoca Kılavuz gelsin</t>
  </si>
  <si>
    <t>1469016152655466504</t>
  </si>
  <si>
    <t>@drfahrettinkoca Aylardır atama bekliyoruz kılavuzu yayinla artık</t>
  </si>
  <si>
    <t>1469016148222128136</t>
  </si>
  <si>
    <t>@drfahrettinkoca Aşı konusundaki ısrarcı tavrınız, aşı yaptıranların sayısı hakkında da şüphe doğuruyor ve DURUMA G… https://t.co/IEb3UNZdlH</t>
  </si>
  <si>
    <t>1469016142530461706</t>
  </si>
  <si>
    <t>@drfahrettinkoca Yasaklar gelsinOkullar hibrit eğitim yada hafta sonu eğitim sistemi yapın bir sınıfta 40 kişiyiz n… https://t.co/pdRhitmEUN</t>
  </si>
  <si>
    <t>1469016138780758027</t>
  </si>
  <si>
    <t>@drfahrettinkoca Bakanim kılavuz</t>
  </si>
  <si>
    <t>1469016127217057792</t>
  </si>
  <si>
    <t>1469016101489192963</t>
  </si>
  <si>
    <t>@drfahrettinkoca Yeter dayanamıyorum artık kılavuz</t>
  </si>
  <si>
    <t>1469016073622151171</t>
  </si>
  <si>
    <t>@drfahrettinkoca Öğrencileri zorunlu sınıfa sokup korona etmekten sıkılmadınız @drfahrettinkoca  #KabineZKusağıOnlineİstiyor</t>
  </si>
  <si>
    <t>1469016063765630976</t>
  </si>
  <si>
    <t>@drfahrettinkoca Biz artık kılavuz istiyoruz</t>
  </si>
  <si>
    <t>1469016057113419776</t>
  </si>
  <si>
    <t>@drfahrettinkoca Bakanım hiç değilse bir şey söyleyin atama hakkında hep sabret sabret demekle olmuyor bizim gözümü… https://t.co/dx7EigSSlt</t>
  </si>
  <si>
    <t>1469015990667300864</t>
  </si>
  <si>
    <t>@drfahrettinkoca İlkkez AB ne yapıyor ise uygulanıyor bir tek bilim insanları ABD AB ülkelerinde var ülkemizde bili… https://t.co/ACDqR0Edu8</t>
  </si>
  <si>
    <t>1469015930617348107</t>
  </si>
  <si>
    <t>@drfahrettinkoca Şehirlerin üzerinde yer alan; en az iki doz aşı olmuşları gösteren yüzdelik dilimler; üçüncü doz z… https://t.co/z729jJaCYD</t>
  </si>
  <si>
    <t>1469015881170755588</t>
  </si>
  <si>
    <t>@drfahrettinkoca e normal degil mi? ailede 1 kişi pozitif ise digerlerine test yapılmıyor ve direkt karantinaya alı… https://t.co/LSUysLVGap</t>
  </si>
  <si>
    <t>1469015876250836997</t>
  </si>
  <si>
    <t>@drfahrettinkoca Aşılanma oranı düştükçe, vakalar ve ölümler de düşüyor. Bunu aklı başında kimse görmüyor mu acaba?</t>
  </si>
  <si>
    <t>1469015818201616391</t>
  </si>
  <si>
    <t>@drfahrettinkoca Bu kadar yalan söylenmez be</t>
  </si>
  <si>
    <t>1469015798240927754</t>
  </si>
  <si>
    <t>@drfahrettinkoca Söz değil icraat bekliyoruz @drfahrettinkoca</t>
  </si>
  <si>
    <t>1469015779245019141</t>
  </si>
  <si>
    <t>@drfahrettinkoca KILAVUZ NERDE @drfahrettinkoca</t>
  </si>
  <si>
    <t>1469015759569526790</t>
  </si>
  <si>
    <t>@drfahrettinkoca 👏👏aman aman klavuz için de taviz vermeyin</t>
  </si>
  <si>
    <t>1469015702803726341</t>
  </si>
  <si>
    <t>@drfahrettinkoca 195 can gitmiş 20 Bin bandına takılmışız daha ne olsun?</t>
  </si>
  <si>
    <t>1469015699448291335</t>
  </si>
  <si>
    <t>@drfahrettinkoca Yemin ederim biliyordum gene salgınla ilgili tablo paylaşıp bizi görmiceksiniz. Zaten tek yaptığın… https://t.co/OS4UZ94Smg</t>
  </si>
  <si>
    <t>1469015670348304390</t>
  </si>
  <si>
    <t>@drfahrettinkoca Ataması yapılmayan tek meslek grubu sağlıkçılar. @drfahrettinkoca #FKocaYaKılavuzYaİstifa</t>
  </si>
  <si>
    <t>1469015668406243336</t>
  </si>
  <si>
    <t>@drfahrettinkoca tüik den mi alıyon rakamları başkan</t>
  </si>
  <si>
    <t>1469015665399013382</t>
  </si>
  <si>
    <t>@drfahrettinkoca Artık 3. Dozu 2. Dozdan 3 ay sonra 16 yaş ve üstü herkese açın @saglikbakanligi @drfahrettinkoca… https://t.co/ZdeaoKHesj</t>
  </si>
  <si>
    <t>1469015644242911240</t>
  </si>
  <si>
    <t>@drfahrettinkoca Sen sorumluluğu al ben aşı olurum yok ben onay vereceksem cengelköy hıyarı değilim,,aşı hani koruy… https://t.co/rRzaOzjijN</t>
  </si>
  <si>
    <t>1469015638123466760</t>
  </si>
  <si>
    <t>@drfahrettinkoca Ve artık 13 aydır beklediğimiz kılavuzun yayınlanmasını talep ediyoruz</t>
  </si>
  <si>
    <t>1469015607978962952</t>
  </si>
  <si>
    <t>@drfahrettinkoca Sayın bakan kılavuz</t>
  </si>
  <si>
    <t>1469015594657800205</t>
  </si>
  <si>
    <t>@drfahrettinkoca Komik bir şakanın içindeyiz; pandemide en çok çalışan meslek grubu sağlıkçılar, kapanmada tek başı… https://t.co/H1hYkF5Fve</t>
  </si>
  <si>
    <t>1469015574940426243</t>
  </si>
  <si>
    <t>@drfahrettinkoca Yani cidden Fahrettin KOCA verdiğin sözlerin hiç mi değeri yok bunca insan KLAVUZ bekliyor.</t>
  </si>
  <si>
    <t>1469015556124823552</t>
  </si>
  <si>
    <t>@drfahrettinkoca Helal olsun çok iyi dolaplar çeviriliyor</t>
  </si>
  <si>
    <t>1469015550147928068</t>
  </si>
  <si>
    <t>@drfahrettinkoca neden görülmedi acaba ?</t>
  </si>
  <si>
    <t>1469015543382482944</t>
  </si>
  <si>
    <t>@drfahrettinkoca Sizden sadece kılavuzun ne zaman gelecegini söylemenizi bekliyoruz</t>
  </si>
  <si>
    <t>1469015536763822087</t>
  </si>
  <si>
    <t>@drfahrettinkoca Vay be yalan söylemekle koronayı bitirdiniz 👏👏👏helall olsun yalancı çoban bu hikaye sonu bu YALANCI ÇOBAN</t>
  </si>
  <si>
    <t>1469015524847804416</t>
  </si>
  <si>
    <t>@drfahrettinkoca İstifa et fahrettin</t>
  </si>
  <si>
    <t>1469015520359899136</t>
  </si>
  <si>
    <t>@drfahrettinkoca şu tablo da en az sizin kadar yalan</t>
  </si>
  <si>
    <t>1469015509463150599</t>
  </si>
  <si>
    <t>@drfahrettinkoca Sayın bakanım atama kılavuzunun yayımlanmasini talep ediyoruz.</t>
  </si>
  <si>
    <t>1469015508653682695</t>
  </si>
  <si>
    <t>@drfahrettinkoca Önce verileri şeffaf olarak açıklayın ki;Eksik taşları bilelim.</t>
  </si>
  <si>
    <t>1469015506833354757</t>
  </si>
  <si>
    <t>@drfahrettinkoca Bu kadar oyalama yeter. @drfahrettinkoca nn   #FKocaYaKılavuzYaİstifa</t>
  </si>
  <si>
    <t>1469015491024986113</t>
  </si>
  <si>
    <t>@drfahrettinkoca Bir açıklama yapmak bu kadar zor olmamalı bakanım</t>
  </si>
  <si>
    <t>1469015465687138308</t>
  </si>
  <si>
    <t>@drfahrettinkoca Ben vaka sayılarına inanmaya başladım . Koca okulda birkaç öğrenci covit ve bugüne kadar sadece bi… https://t.co/XB6z6ZtKP3</t>
  </si>
  <si>
    <t>1469015461031559171</t>
  </si>
  <si>
    <t>@drfahrettinkoca Klavuz klavuz klavuz klavuz klavuz klavuz klavuz klavuz klavuz klavuz klavuz klavuz klavuz klavuz… https://t.co/EYc7uJlJZ6</t>
  </si>
  <si>
    <t>1469015451455967236</t>
  </si>
  <si>
    <t>@drfahrettinkoca Bu kadar oyalama yeter. @drfahrettinkoca    #FKocaYaKılavuzYaİstifa</t>
  </si>
  <si>
    <t>1469015432652861448</t>
  </si>
  <si>
    <t>@drfahrettinkoca Sayın Bakan!! Bizim omicrondan hayır haber varmı??? Ülkemizdeki gezintisi nası geçiyor acaba?? Han… https://t.co/cMkh3lsTwr</t>
  </si>
  <si>
    <t>1469015417746243585</t>
  </si>
  <si>
    <t>@drfahrettinkoca İl il artıyor ama ne hikmetse tutalde azalıyor .. keşke şeffaf bir şekilde yansıtsanız kimi neyi k… https://t.co/Rejn1OXrDb</t>
  </si>
  <si>
    <t>1469015382430208003</t>
  </si>
  <si>
    <t>@drfahrettinkoca Norveçte 5 bin vaka oldu diye adamlar panik yaptı. Bizde haftalardır 20-30 bin arasında. Ya artış… https://t.co/aRvMZIDFvV</t>
  </si>
  <si>
    <t>1469015364877131777</t>
  </si>
  <si>
    <t>@drfahrettinkoca Sayın bakan neden atama yapmıyorsunuz siz kendiniz demedinizmi haklılar süreç uzadı Kasım ayı içer… https://t.co/DW1a9Qb4O1</t>
  </si>
  <si>
    <t>1469015345327443982</t>
  </si>
  <si>
    <t>@drfahrettinkoca Tüm bunların sorumlusu sıvılar olabilir mi acaba diye düşündünüz mü?</t>
  </si>
  <si>
    <t>1469015325991739397</t>
  </si>
  <si>
    <t>@drfahrettinkoca Bakanim artik aciklayin nolur bekleyecek sabrimiz kalmadi</t>
  </si>
  <si>
    <t>1469015317405962244</t>
  </si>
  <si>
    <t>@drfahrettinkoca Olmayan virüs  Olmayan varyant  Olmayan hastalık  Tellalığına daha ne kadar  Devam edeceksiniz  İn… https://t.co/des3zqggVp</t>
  </si>
  <si>
    <t>1469015274372440074</t>
  </si>
  <si>
    <t>@drfahrettinkoca Dünya Omicron varyantı için önlem üzerine önlem alıyor.. Bizde Avrupa'da ki gibi vaka artisi yok d… https://t.co/Zy1CWKcz7j</t>
  </si>
  <si>
    <t>1469015268521295877</t>
  </si>
  <si>
    <t>@drfahrettinkoca 5 bin vaka ve 20 vefat günlerinde maksimum önlem vardı bu sayılarda acaip bir bosvermislik var.Neden bu tutarsizlik?</t>
  </si>
  <si>
    <t>1469015257012133895</t>
  </si>
  <si>
    <t>@drfahrettinkoca Merak ettim kaç doz aşıdan sonra tamamlanacak? Yoksa ölene kadar aşılamaya devam mı🤔</t>
  </si>
  <si>
    <t>1469015255829430283</t>
  </si>
  <si>
    <t>@drfahrettinkoca 195 kayıp. Olumlu durum ?</t>
  </si>
  <si>
    <t>1469015214293192711</t>
  </si>
  <si>
    <t>@drfahrettinkoca Paylaştığınız tabloda neden 40 bini 2021 de atanmış gibi gösterdiniz? Biz atanmadık çünkü.kk… https://t.co/HrNup7BlBN</t>
  </si>
  <si>
    <t>1469015209226510348</t>
  </si>
  <si>
    <t>@drfahrettinkoca Kılavuz kılavuz kılavuz</t>
  </si>
  <si>
    <t>1469015198497398791</t>
  </si>
  <si>
    <t>@drfahrettinkoca Mutlaka aşı olalım ve kurallara  uyalım  sevdiklerimizi koruyalım  güzel günler yakın  insallah</t>
  </si>
  <si>
    <t>1469015184207450112</t>
  </si>
  <si>
    <t>1469015183901302788</t>
  </si>
  <si>
    <t>@drfahrettinkoca Avrupa'da artış var çünkü vakaları sizin gibi gizlemiyorlar. Aklımızla dalga geçmeyin artık. İlk o… https://t.co/ZtMVcecGFq</t>
  </si>
  <si>
    <t>1469015162971734016</t>
  </si>
  <si>
    <t>@drfahrettinkoca Eksik deney sivili dediginiz kaç doz deney sivililar acaba sayın Bakan?</t>
  </si>
  <si>
    <t>1469015157649158158</t>
  </si>
  <si>
    <t>@drfahrettinkoca Paylaştığınız tabloda neden 40 bini 2021 de atanmış gibi gösterdiniz? Biz atanmadık çünkü...k… https://t.co/G2CrgZw740</t>
  </si>
  <si>
    <t>1469015132563030030</t>
  </si>
  <si>
    <t>@drfahrettinkoca Test sayısını arttir görelim artişi</t>
  </si>
  <si>
    <t>1469015104943493132</t>
  </si>
  <si>
    <t>@drfahrettinkoca Sn.Bakan kilavuz istiyoruz.yeter artık beklediğimiz...</t>
  </si>
  <si>
    <t>1469015104582832135</t>
  </si>
  <si>
    <t>@drfahrettinkoca Söz değil icraat bekliyoruz kılavuz gelsin artık</t>
  </si>
  <si>
    <t>1469015093761515524</t>
  </si>
  <si>
    <t>@drfahrettinkoca Allah en sevdiklerinizi alsında aklınız başınıza gelsin #kabineomicrongelmedenonline</t>
  </si>
  <si>
    <t>1469015089726509056</t>
  </si>
  <si>
    <t>@drfahrettinkoca Paylaştığınız tabloda neden 40 bini 2021 de atanmış gibi gösterdiniz? Biz atanmadık çünkü...… https://t.co/h38x2wd5UO</t>
  </si>
  <si>
    <t>1469015074450907140</t>
  </si>
  <si>
    <t>@drfahrettinkoca Atama ocağa kalırsa hakkım buna sebep olanlara helal değil sayın bakanım. Ahımız var</t>
  </si>
  <si>
    <t>1469015067253518339</t>
  </si>
  <si>
    <t>@drfahrettinkoca Sars-Cov-2 diye bir virüs var mı ki? Grip, nezle, bronşit, zatürre gibi hastalık adlarının adını d… https://t.co/kWxoeIfWFj</t>
  </si>
  <si>
    <t>1469015064422273024</t>
  </si>
  <si>
    <t>@drfahrettinkoca 195 can gitmiş Siz hala olumlu durum var diyorsunuz Avrupa da günlük bu kadar vefat sayısı yok aci… https://t.co/hvRG2KDOfE</t>
  </si>
  <si>
    <t>1469015022869356547</t>
  </si>
  <si>
    <t>@drfahrettinkoca Avrupa'da aşılama oranları ülkesine göre %70, 80, 90 oranlarında, Cebelitarık'ta %100 yakın buna r… https://t.co/y7s4Eyq5ij</t>
  </si>
  <si>
    <t>1469014971833012225</t>
  </si>
  <si>
    <t>1469014968385384452</t>
  </si>
  <si>
    <t>@drfahrettinkoca Talimatla açıklama yapılınca ortaya çıkan sunuç.gerçekleri esnetmeye devam.</t>
  </si>
  <si>
    <t>1469014953445277701</t>
  </si>
  <si>
    <t>@drfahrettinkoca Bakanım turkovac aşı onayı ne durumda</t>
  </si>
  <si>
    <t>1469014943689285637</t>
  </si>
  <si>
    <t>@drfahrettinkoca Size olan güvenimizi keşke zedelenemeseydiniz. https://t.co/F4SgifNbO3</t>
  </si>
  <si>
    <t>1469014925708255243</t>
  </si>
  <si>
    <t>@drfahrettinkoca Yazarın burada anlatmak istediği nedir? https://t.co/3lpOCeA5kZ</t>
  </si>
  <si>
    <t>1469014915507798021</t>
  </si>
  <si>
    <t>@drfahrettinkoca Görülmedimi gösterilmedimi ?</t>
  </si>
  <si>
    <t>1469014913620353024</t>
  </si>
  <si>
    <t>@drfahrettinkoca Her gün binlerce kılavuz mesajını görüp neden cevaplamiyorsunuz. Sağlıkçılar umrunuzda mı değil</t>
  </si>
  <si>
    <t>1469014886047006735</t>
  </si>
  <si>
    <t>@drfahrettinkoca Milleti açlıktan öldüreceksiniz aşıya gerek kalmayacak para babaları.</t>
  </si>
  <si>
    <t>1469014876483899413</t>
  </si>
  <si>
    <t>@drfahrettinkoca ekomik krizi musebbilerinde biride dso memuru f.koca ve mason bilimsiz bilim kurulu uyeleridir  si… https://t.co/n9ldsOdU7s</t>
  </si>
  <si>
    <t>1469014871190736900</t>
  </si>
  <si>
    <t>@drfahrettinkoca 19000 vakanin 9500'u bizim apartmanda. Diger yarisi da sizin apartmanda galiba bakanim! Yabu bulun… https://t.co/gJSQDTCifX</t>
  </si>
  <si>
    <t>1469014822507458566</t>
  </si>
  <si>
    <t>@drfahrettinkoca Atama kılavuzuna dair açıklama bekliyoruz. #FkocaYaKılavuzYaİstifa</t>
  </si>
  <si>
    <t>1469014778555387911</t>
  </si>
  <si>
    <t>@drfahrettinkoca Kılavuzu neden yayınlamıyorsunuz çok mu şey istiyoruz sizden</t>
  </si>
  <si>
    <t>1469014776101707779</t>
  </si>
  <si>
    <t>@drfahrettinkoca Vaka sayısının gerçek olduğuna inanan Hulk'a da inanır.</t>
  </si>
  <si>
    <t>1469014760729591808</t>
  </si>
  <si>
    <t>@drfahrettinkoca Kılavuz istiyoruz @drfahrettinkoca</t>
  </si>
  <si>
    <t>1469014746234081296</t>
  </si>
  <si>
    <t>@drfahrettinkoca KILAVUZ KILAVUZ KILAVUZZZZZZ</t>
  </si>
  <si>
    <t>1469014736591376386</t>
  </si>
  <si>
    <t>@drfahrettinkoca https://t.co/dozfJjpyeK</t>
  </si>
  <si>
    <t>1469014716014080012</t>
  </si>
  <si>
    <t>@drfahrettinkoca Bakanım @drfahrettinkoca gerçekten psikolojimiz bozuldu neden bu kadar uzadı bu süreç lütfen artık… https://t.co/v13tp0ksWT</t>
  </si>
  <si>
    <t>1469014714420277249</t>
  </si>
  <si>
    <t>@drfahrettinkoca Söz değil icraat bekliyoruz #FKocaYaKılavuzYaİstifa</t>
  </si>
  <si>
    <t>1469014704320307202</t>
  </si>
  <si>
    <t>@drfahrettinkoca @saglikbakanligi Vafar eden sayısı he gün 200 bandında nasıl oluyor. Hiç mi 250 olmaz 150 olmaz.</t>
  </si>
  <si>
    <t>1469014686658093071</t>
  </si>
  <si>
    <t>@drfahrettinkoca Bakanım atama için yazdıklarımızı bu kadar yok saymayın bir açıklama yapın çok kötüyüz</t>
  </si>
  <si>
    <t>1469014686473629698</t>
  </si>
  <si>
    <t>@drfahrettinkoca Online eğitim istiyoruz #kabineomicrongelmedenonline</t>
  </si>
  <si>
    <t>1469014679850737673</t>
  </si>
  <si>
    <t>@drfahrettinkoca Okullar da çocuklar hasta sürekli, oradan eve taşıyıp duruyorlar .. Kim covid kim grip belli değil… https://t.co/4KZLH50m2r</t>
  </si>
  <si>
    <t>1469014678848380928</t>
  </si>
  <si>
    <t>@drfahrettinkoca Son iki aydan beri hep aynı test sayıları tâbiki de ani artışlar görülmez</t>
  </si>
  <si>
    <t>1469014677032247296</t>
  </si>
  <si>
    <t>@drfahrettinkoca Kılavuz ne zaman gelecek bir açıklama yapın lütfen artık</t>
  </si>
  <si>
    <t>1469014654634672136</t>
  </si>
  <si>
    <t>@drfahrettinkoca KLAVUZZZ</t>
  </si>
  <si>
    <t>1469014626050490377</t>
  </si>
  <si>
    <t>@drfahrettinkoca Bu adam beni çıldırtacak ya #kabineomicrongelmedenonline</t>
  </si>
  <si>
    <t>1469014625278648327</t>
  </si>
  <si>
    <t>@drfahrettinkoca Tam aşılı var mı?</t>
  </si>
  <si>
    <t>1469014620362915843</t>
  </si>
  <si>
    <t>@drfahrettinkoca Ben Size yalvardığım kadar Allah’a yalvarsaydım şu an başka yerlerdeydim. Bizim emeğimizin karşılı… https://t.co/3S0irpTcAj</t>
  </si>
  <si>
    <t>1469014618597216269</t>
  </si>
  <si>
    <t>@drfahrettinkoca Tuik den sayılar galiba. Tum Dünyada görülen varyant TR de yok hatta TR de hiç birsey yok. Saldım… https://t.co/MiTLoRwgIQ</t>
  </si>
  <si>
    <t>1469014556240494595</t>
  </si>
  <si>
    <t>@drfahrettinkoca Vakaları saklamayın #kabineomicrongelmedenonline</t>
  </si>
  <si>
    <t>1469014551521812489</t>
  </si>
  <si>
    <t>@drfahrettinkoca gelmicek anlamina gelmiyor bu ucaklar uctukca insanlar geldikce</t>
  </si>
  <si>
    <t>1469014550800486401</t>
  </si>
  <si>
    <t>@drfahrettinkoca Ben kokteyl aldim asi kalsin 🤠🤠</t>
  </si>
  <si>
    <t>1469014549709963266</t>
  </si>
  <si>
    <t>@drfahrettinkoca Asgari ücret işine bir el atsana bakanım</t>
  </si>
  <si>
    <t>1469014541963087874</t>
  </si>
  <si>
    <t>@drfahrettinkoca Düş yakamızdan düş. Sen ve Filimkurulu ekibinizde, Panikdeminizde defolun gidin.</t>
  </si>
  <si>
    <t>1469014530822922247</t>
  </si>
  <si>
    <t>@drfahrettinkoca "Ne kadar çok insanı aşılarsanız, aşıya dirençli mutasyonların sayısı o kadar fazla olur, aşılar o… https://t.co/wwXbH18JrY</t>
  </si>
  <si>
    <t>1469014523633876996</t>
  </si>
  <si>
    <t>@drfahrettinkoca Okullara zorunlu test uygulayinda görün vakayı</t>
  </si>
  <si>
    <t>1469014518433034256</t>
  </si>
  <si>
    <t>@drfahrettinkoca Atama Ocağa kalırsa hakkım asla helal değildir. 1 yıldır 90 puanlarla bekliyoruz, her yıl en az 2… https://t.co/hx4s6GzV2Y</t>
  </si>
  <si>
    <t>1469014506760282119</t>
  </si>
  <si>
    <t>@drfahrettinkoca Şu korona tablosuda olmasa size tweet atacak konuda olmazdı. Malum sağlıkçıyı görmediğiniz için. #FkocaYaKılavuzYaİstifa</t>
  </si>
  <si>
    <t>1469014505862713351</t>
  </si>
  <si>
    <t>@drfahrettinkoca Atama yapacağınız yok istifa edin</t>
  </si>
  <si>
    <t>1469014498283507714</t>
  </si>
  <si>
    <t>@drfahrettinkoca salla salla</t>
  </si>
  <si>
    <t>1469014489295171594</t>
  </si>
  <si>
    <t>@drfahrettinkoca Vaka sayılarını az sallayın. Hiç inandırıcı değilsiniz</t>
  </si>
  <si>
    <t>1469014454218153986</t>
  </si>
  <si>
    <t>@drfahrettinkoca 740 bin sağlıkçı bir gram umrunuzda değil. şu kilavuzu artık yayımlayın. 13 aydır perişan ettiniz bizi bakanım.</t>
  </si>
  <si>
    <t>1469014453186351105</t>
  </si>
  <si>
    <t>@drfahrettinkoca Yorulduk artikkk kilavuzzz</t>
  </si>
  <si>
    <t>1469014450850123787</t>
  </si>
  <si>
    <t>@drfahrettinkoca Okulların açılmasıyla tedbirden taviz verileli çok oldu</t>
  </si>
  <si>
    <t>1469014444713910282</t>
  </si>
  <si>
    <t>@drfahrettinkoca ONLINE eğitim istiyoruz</t>
  </si>
  <si>
    <t>1469014441337528326</t>
  </si>
  <si>
    <t>@drfahrettinkoca Kılavuzu yayınlamayın bakanım açıklamada yapmayın istemiyoruz</t>
  </si>
  <si>
    <t>1469014422920343561</t>
  </si>
  <si>
    <t>@drfahrettinkoca Çıkın atama yapmıyoruz diyin ona bile razıyım bizi böyle görmezden gelmeyin yeter artık</t>
  </si>
  <si>
    <t>1469014415051825157</t>
  </si>
  <si>
    <t>@drfahrettinkoca Bakanim kilavuzzzz</t>
  </si>
  <si>
    <t>1469014405245550595</t>
  </si>
  <si>
    <t>@drfahrettinkoca Kılavuz nerde 6 haftadır kılavuzu bekliyoruz sayın bakanım</t>
  </si>
  <si>
    <t>1469014405119676425</t>
  </si>
  <si>
    <t>@drfahrettinkoca Okulları online yapın artık yeter</t>
  </si>
  <si>
    <t>1469014397481799682</t>
  </si>
  <si>
    <t>@drfahrettinkoca Koca bir senenin alımsız kapanmasına izin vermeyin!!</t>
  </si>
  <si>
    <t>1469014394705170437</t>
  </si>
  <si>
    <t>@drfahrettinkoca Her gün aynı tablo zaten  #kabineomicrongelmedenonline</t>
  </si>
  <si>
    <t>1469014393929224199</t>
  </si>
  <si>
    <t>@drfahrettinkoca Yeter artık yeterrrrrrrrrrrrrrrrrrrrrr</t>
  </si>
  <si>
    <t>1469014386023010307</t>
  </si>
  <si>
    <t>@drfahrettinkoca Allah aşkına atamaaaaa yapın</t>
  </si>
  <si>
    <t>1469014385158987780</t>
  </si>
  <si>
    <t>@drfahrettinkoca atama yapılmadı #FKocaYaKılavuzYaİstifa</t>
  </si>
  <si>
    <t>1469014380943749125</t>
  </si>
  <si>
    <t>@drfahrettinkoca Hani kilavizzzzz</t>
  </si>
  <si>
    <t>1469014370751549449</t>
  </si>
  <si>
    <t>@drfahrettinkoca Vakaları gizlerseniz tabi benzer rakamları seyreder yalan söylemeyin artık insanların sağlıklarıyla oynamaya hakkınız yok</t>
  </si>
  <si>
    <t>1469014352187514883</t>
  </si>
  <si>
    <t>@drfahrettinkoca Atama kilavuzzzz</t>
  </si>
  <si>
    <t>1469014342125375493</t>
  </si>
  <si>
    <t>@drfahrettinkoca Olumlu bi durum yok. Vakalar ve ölümler hep sabit ayrıca vakaları net saklıyorsunuz</t>
  </si>
  <si>
    <t>1469014333585866762</t>
  </si>
  <si>
    <t>@drfahrettinkoca Sigara içenlere de aşı yapıyor musunuz</t>
  </si>
  <si>
    <t>1469014324777824257</t>
  </si>
  <si>
    <t>@drfahrettinkoca KILAVUZZZZ</t>
  </si>
  <si>
    <t>1469014323305529345</t>
  </si>
  <si>
    <t>@drfahrettinkoca Kilavuzzzz</t>
  </si>
  <si>
    <t>1469014309816745984</t>
  </si>
  <si>
    <t>@drfahrettinkoca Bakanım gündeme bakın sizi ilgilendiriyor yine</t>
  </si>
  <si>
    <t>1469014299876204554</t>
  </si>
  <si>
    <t>@drfahrettinkoca Kadir inanır ancak bu rakamlara testi kuralına uygun dahi yaptıkları yok artık</t>
  </si>
  <si>
    <t>1469014295442862083</t>
  </si>
  <si>
    <t>@drfahrettinkoca Bizi ne zaman duyacaksiniz sayin bakan kilavuzu gormek istiyoruz artik</t>
  </si>
  <si>
    <t>1469014288320937985</t>
  </si>
  <si>
    <t>@drfahrettinkoca Avrupa da olan artışlar bizde de oluyordur tedbir almanız şart! Okulları kapalı ortamları kapatın tedbir alın</t>
  </si>
  <si>
    <t>1469014282671112194</t>
  </si>
  <si>
    <t>@drfahrettinkoca Sağlıkçı yılı bitti #FKocaYaKılavuzYaİstifa</t>
  </si>
  <si>
    <t>1469014278560698368</t>
  </si>
  <si>
    <t>@drfahrettinkoca Tamam bu tweetten sonra ani artış olacak mesaj alındı. Ani artışın sebebi ise aşısızlar olacak 🙂</t>
  </si>
  <si>
    <t>1469014276421697552</t>
  </si>
  <si>
    <t>@drfahrettinkoca 13 aydır bekliyoruz bir açıklama yapın artık lütfen</t>
  </si>
  <si>
    <t>1469014265491243008</t>
  </si>
  <si>
    <t>@drfahrettinkoca Omicron görüldü mü?</t>
  </si>
  <si>
    <t>1469014231437791237</t>
  </si>
  <si>
    <t>@drfahrettinkoca KILAVUZ GELSİN BAKANIM LÜTFEN</t>
  </si>
  <si>
    <t>1469014230611415048</t>
  </si>
  <si>
    <t>@drfahrettinkoca Köyümüzün Havadan Görünümü https://t.co/RpSazi5Ik9</t>
  </si>
  <si>
    <t>1469014217881751552</t>
  </si>
  <si>
    <t>@drfahrettinkoca Bizim daha ne kadar beklememiz lazım kılavuz için</t>
  </si>
  <si>
    <t>1469014213519679502</t>
  </si>
  <si>
    <t>@drfahrettinkoca Sağlıkçı yılı bitti, atama yapılmadı. Atama kılavuzunu derhal yayınlayın! #FKocaYaKılavuzYaİstifa</t>
  </si>
  <si>
    <t>1469014196834734091</t>
  </si>
  <si>
    <t>@drfahrettinkoca Biz sağlıkçılarıda bu kadar görmezden gelemessiniz artık ya ! @drfahrettinkoca</t>
  </si>
  <si>
    <t>1469014196809519108</t>
  </si>
  <si>
    <t>@drfahrettinkoca KILAVUZ BEKLİYORUZ</t>
  </si>
  <si>
    <t>1469014164526051333</t>
  </si>
  <si>
    <t>@drfahrettinkoca Nasıl görülmedi şaka mı bu ? Millet teste gitmiyor ki ondan buna bulaştirip duruyor herkes... Lütf… https://t.co/IpNgum99LX</t>
  </si>
  <si>
    <t>1469014158184173575</t>
  </si>
  <si>
    <t>@drfahrettinkoca Aloooooo Kılavuzzzzzzzz</t>
  </si>
  <si>
    <t>1469014156858830849</t>
  </si>
  <si>
    <t>@drfahrettinkoca EKSİK PERSONEL ile ne yapacaksınız peki bakanım</t>
  </si>
  <si>
    <t>1469014153570439183</t>
  </si>
  <si>
    <t>@drfahrettinkoca Allah rızası için kılavuzzzzzzzzzzzzzzzz</t>
  </si>
  <si>
    <t>1469014139603505158</t>
  </si>
  <si>
    <t>@drfahrettinkoca omicron varyantı gelmeden online eğitim şarttır</t>
  </si>
  <si>
    <t>1469014129801322505</t>
  </si>
  <si>
    <t>@drfahrettinkoca Millet silecek kagıt alamıyor siz hala lay lay lom</t>
  </si>
  <si>
    <t>1469014117470117901</t>
  </si>
  <si>
    <t>@drfahrettinkoca Şu İstanbul'u bir türlü mavi yapamadık gitti.</t>
  </si>
  <si>
    <t>1469014117163978757</t>
  </si>
  <si>
    <t>@drfahrettinkoca Eksik aşı ne arkadaş neye göre kime göre eksik😀</t>
  </si>
  <si>
    <t>1469014109236744195</t>
  </si>
  <si>
    <t>@drfahrettinkoca Bakanım herkes kafayı yedi kılavuz kılavuz diye  Siz halen aşı harita</t>
  </si>
  <si>
    <t>1469014106774683649</t>
  </si>
  <si>
    <t>@drfahrettinkoca Bizim sağlıkçılar özellikle doktorlar çok maaş aldığı içindir belki</t>
  </si>
  <si>
    <t>1469014106703384581</t>
  </si>
  <si>
    <t>@drfahrettinkoca Artık sma hasta yavrularımızı görmezden gelmeyin</t>
  </si>
  <si>
    <t>1469014105008783365</t>
  </si>
  <si>
    <t>@drfahrettinkoca Yalan tablosu…</t>
  </si>
  <si>
    <t>1469014097060634629</t>
  </si>
  <si>
    <t>@drfahrettinkoca İğne vurulunca korunacakmyım Hayır,hala hastalanabilrsin. İğne vurulunca maske takmaktan kurtulaca… https://t.co/QkpnhEIWFt</t>
  </si>
  <si>
    <t>1469014083605307398</t>
  </si>
  <si>
    <t>@drfahrettinkoca Yurtlar Allaha emanet. Online eğitim şart</t>
  </si>
  <si>
    <t>1469014071265701888</t>
  </si>
  <si>
    <t>@drfahrettinkoca Nasıl azaliyo bizim ulkemizde benim yakın çevremde 2 kişide çıktı daha yeni??</t>
  </si>
  <si>
    <t>1469014063657148424</t>
  </si>
  <si>
    <t>@drfahrettinkoca aylar bitti günler bitti 2021 bitti kılavuz nerede bakanım?</t>
  </si>
  <si>
    <t>1469014063103496205</t>
  </si>
  <si>
    <t>1469014058271653898</t>
  </si>
  <si>
    <t>@drfahrettinkoca Bakanım ne olur Allah aşkına yayımla şu kılavuzu</t>
  </si>
  <si>
    <t>1469014056522682380</t>
  </si>
  <si>
    <t>@drfahrettinkoca Peki kılavuz sayın bakanım</t>
  </si>
  <si>
    <t>1469014048595398658</t>
  </si>
  <si>
    <t>@drfahrettinkoca Yalan tablu</t>
  </si>
  <si>
    <t>1469014020611096581</t>
  </si>
  <si>
    <t>@drfahrettinkoca KILAVUZ İSTİYORUZ</t>
  </si>
  <si>
    <t>1469013997097783301</t>
  </si>
  <si>
    <t>@drfahrettinkoca Allahım birgün de şurda branş sayısı twiti görür müyüz yarabbim amin</t>
  </si>
  <si>
    <t>1469013995369676807</t>
  </si>
  <si>
    <t>@drfahrettinkoca Klavuzu bekliyoruzzz</t>
  </si>
  <si>
    <t>1469013995357093891</t>
  </si>
  <si>
    <t>@drfahrettinkoca Kılavuz nerde bakanım? Hani yıl bitmeden atama yapacaktınız bizim gözümüzde yaş kalmadı ağlamaktan… https://t.co/P2BllV48Uz</t>
  </si>
  <si>
    <t>1469013990152024065</t>
  </si>
  <si>
    <t>@drfahrettinkoca Sayın bakanım 1 yıldır alım bekliyoruz duyun artık bu feryatları duyun ;(</t>
  </si>
  <si>
    <t>1469013986477809670</t>
  </si>
  <si>
    <t>@drfahrettinkoca Sen 740.000 i genci kaybettin haberin yok!</t>
  </si>
  <si>
    <t>1469013984045146116</t>
  </si>
  <si>
    <t>@drfahrettinkoca Bugünde mi yokkkkkiko kilavuuzzzzzz</t>
  </si>
  <si>
    <t>1469013983780868097</t>
  </si>
  <si>
    <t>@drfahrettinkoca Kılavuz bekliyoruz bakanım neden bizi görmüyorsunuz</t>
  </si>
  <si>
    <t>1469013981574709253</t>
  </si>
  <si>
    <t>@drfahrettinkoca Dün geceden beri büyük oğlumla hastanedeyiz ateşi 40 Lara çıktı kulağında sorun çıktı eşim yok ila… https://t.co/lY8DxXsq79</t>
  </si>
  <si>
    <t>1469013975274860562</t>
  </si>
  <si>
    <t>@drfahrettinkoca Pinokyo bu kadar yalan söylese burnu aya kadar uzanırdı herhalde. Pes yani</t>
  </si>
  <si>
    <t>1469013961911803905</t>
  </si>
  <si>
    <t>@drfahrettinkoca Ya komple kapanma ya da komple aşılanma gerek</t>
  </si>
  <si>
    <t>1469013953720242180</t>
  </si>
  <si>
    <t>@drfahrettinkoca Hanimiş KLAVUZ</t>
  </si>
  <si>
    <t>1469013953523163137</t>
  </si>
  <si>
    <t>@drfahrettinkoca ATAMA NE ZAMAN</t>
  </si>
  <si>
    <t>1469013942332702726</t>
  </si>
  <si>
    <t>@drfahrettinkoca Kılavuz nerdeeeee33e</t>
  </si>
  <si>
    <t>1469013934690775046</t>
  </si>
  <si>
    <t>@drfahrettinkoca Lütfen sessizliğiniz bozuk bir açıklama yapın kılavuzu yayınlayın</t>
  </si>
  <si>
    <t>1469013934057345030</t>
  </si>
  <si>
    <t>@drfahrettinkoca Omicron varyantı var ülkede</t>
  </si>
  <si>
    <t>1469013918215458817</t>
  </si>
  <si>
    <t>@drfahrettinkoca KILAVUZZZZ NE ZAMAN GELECEK</t>
  </si>
  <si>
    <t>1469013911429132290</t>
  </si>
  <si>
    <t>1469013888897331201</t>
  </si>
  <si>
    <t>@drfahrettinkoca Bakanım atama klavuzu gelsin lütfen 🙏</t>
  </si>
  <si>
    <t>1469013880047349764</t>
  </si>
  <si>
    <t>@drfahrettinkoca Okullarda bütün varyantlar kol geziyor sınıflar en az 60 kişi pencereler kapalı havalandırma yok!!… https://t.co/68lLolSzUI</t>
  </si>
  <si>
    <t>1469013875630776323</t>
  </si>
  <si>
    <t>@drfahrettinkoca Bakanım Allah rızası için artık şu kılavuzu yayınlayın</t>
  </si>
  <si>
    <t>1469013874036940808</t>
  </si>
  <si>
    <t>@drfahrettinkoca Allah icin klavuz yaw yeter yaw</t>
  </si>
  <si>
    <t>1469013867749683203</t>
  </si>
  <si>
    <t>@drfahrettinkoca Abi şaka mısın ya</t>
  </si>
  <si>
    <t>1469013863232421894</t>
  </si>
  <si>
    <t>1469013862963982347</t>
  </si>
  <si>
    <t>1469013852268515334</t>
  </si>
  <si>
    <t>@drfahrettinkoca @drfahrettinkoca @RTErdogan  siz nasıl insanlarsınız hayatımızı kararttınız gençliğimizi  kanımızı… https://t.co/gJHXaaLxOc</t>
  </si>
  <si>
    <t>1469771958342623239</t>
  </si>
  <si>
    <t>@drfahrettinkoca Beyinsizler Bilim çete başkanı beş masaları bırakın sizin yüzünüzden gıda savaşı başladı milletin… https://t.co/NOnDvBVuGH</t>
  </si>
  <si>
    <t>1469446225216905227</t>
  </si>
  <si>
    <t>@drfahrettinkoca Ablam ve eniştem aşılı olmalarına rağmen pozitifler. aşı hasta olmayı ve bulaştırmayı engellemiyor… https://t.co/lkouoISW1y</t>
  </si>
  <si>
    <t>1469413703850283013</t>
  </si>
  <si>
    <t>@drfahrettinkoca Yaşasın yeni çıkmış GRİP Varyantı  https://t.co/1VgMN8Ekwc</t>
  </si>
  <si>
    <t>1469406573378293772</t>
  </si>
  <si>
    <t>@drfahrettinkoca 3 aşılı yakınım dün kalp krizi geçirdi Vefat etti eşi hastanede yoğun bakımda oda 3 aşılı.bu gün y… https://t.co/ZWeqMJWmht</t>
  </si>
  <si>
    <t>1469373131043352576</t>
  </si>
  <si>
    <t>@drfahrettinkoca Bu nasıl düşünce özgürlüğü yorum yapmaya çekiniyorum.</t>
  </si>
  <si>
    <t>1469372512991649804</t>
  </si>
  <si>
    <t>@drfahrettinkoca Yeterin artık yaa aşı aşı aşı aşııı. İnsanların hayatını mahvettiniz. Seyrine bıraksaydınız şimdiy… https://t.co/JozQ1Cdp2V</t>
  </si>
  <si>
    <t>1469372057876115459</t>
  </si>
  <si>
    <t>1469361605934780416</t>
  </si>
  <si>
    <t>@drfahrettinkoca Yazdiklarinizin geçerliliği olmadığını herkes biliyor.istatistik bilenler ise asla inanmıyor.bakma… https://t.co/slpYSv869h</t>
  </si>
  <si>
    <t>1469358298466029569</t>
  </si>
  <si>
    <t>@drfahrettinkoca GERİ ÇEKİN BAKANIM SAGLIK ÇALIŞANINA ZAMMİİ</t>
  </si>
  <si>
    <t>1469342889264222209</t>
  </si>
  <si>
    <t>@drfahrettinkoca Sayın bakanım sadece duyumları ve negatif yorumları okumaktan perişan olduk sabrımız tükeniyor ned… https://t.co/8l8mBxWiKe</t>
  </si>
  <si>
    <t>1469341513163366407</t>
  </si>
  <si>
    <t>@drfahrettinkoca @saglikbakanligi aralık ayı sonuna kadar malatya devlet hastahanesi göz polikliniklerinde ranadevu… https://t.co/rmwN87vDPJ</t>
  </si>
  <si>
    <t>1469340162832359434</t>
  </si>
  <si>
    <t>@drfahrettinkoca BİZİ NEDEN GÖRMÜYORSUNUZ SAYIN BAKANIM</t>
  </si>
  <si>
    <t>1469339581111844871</t>
  </si>
  <si>
    <t>@drfahrettinkoca İyi de 2 doz sıvıyı olanları "a$$ısız" saydınız. Eksik doz tam olarak kaçıncı doz?</t>
  </si>
  <si>
    <t>1469338447945121799</t>
  </si>
  <si>
    <t>@drfahrettinkoca Yalan</t>
  </si>
  <si>
    <t>1469338166771474438</t>
  </si>
  <si>
    <t>@drfahrettinkoca Bu yalana inanan var mı?</t>
  </si>
  <si>
    <t>1469330528851697665</t>
  </si>
  <si>
    <t>@drfahrettinkoca Aşı olmuyorum yeterrrrr Fahrettin efendii. Kendine gel istediğini yap duydun mu. Kamuda çalışıyoru… https://t.co/6L3z5p7BQi</t>
  </si>
  <si>
    <t>1469330387696508935</t>
  </si>
  <si>
    <t>@drfahrettinkoca Hiç inanmıyorum. Bu sayıları kafanıza göre yazıyorsunuz</t>
  </si>
  <si>
    <t>1469328752404578305</t>
  </si>
  <si>
    <t>@drfahrettinkoca https://t.co/K3AyxqoDhX</t>
  </si>
  <si>
    <t>1469327787907551233</t>
  </si>
  <si>
    <t>@drfahrettinkoca Ya sen sus artik erdogana sormadan tuvalete gitte sonra bizleri aydinlat</t>
  </si>
  <si>
    <t>1469327622572285953</t>
  </si>
  <si>
    <t>@drfahrettinkoca Bizde ne varda biz salgında vakka sayıların da düşük gidiyoruz hiç inandırıcı değil vakka sayıları… https://t.co/2mTarba7rN</t>
  </si>
  <si>
    <t>1469326082948186118</t>
  </si>
  <si>
    <t>@drfahrettinkoca Ölenlerin kaçı aşılı, açıklansın. Sırf bu yüzden @Akparti'deki erimeyi göremiyorlar.</t>
  </si>
  <si>
    <t>1469325375788531721</t>
  </si>
  <si>
    <t>@drfahrettinkoca 3. doz aşıları neden 3 ay ara ile yapmıyorsunuz. yine vaka sayısını gizliyorsunuz hastanelerin halini görmüyormuyuz</t>
  </si>
  <si>
    <t>1469325185279045640</t>
  </si>
  <si>
    <t>@drfahrettinkoca Ben Corona oldum doğal anktikor aldım sizin çakma antikorlarinıza ihtiyacım yok Allah muhtaç etmesin</t>
  </si>
  <si>
    <t>1469319865282576392</t>
  </si>
  <si>
    <t>@drfahrettinkoca @saglikbakanligi Bu kadar yoruma nasıl kayıtsız kalabiliyorlar hayretler içindeyiz</t>
  </si>
  <si>
    <t>1469315617400528897</t>
  </si>
  <si>
    <t>@drfahrettinkoca @saglikbakanligi KILAVUZZZZZ !!!!</t>
  </si>
  <si>
    <t>1469315481740115970</t>
  </si>
  <si>
    <t>@drfahrettinkoca Klavuz ne zaman yayınlanacak allah aşkına</t>
  </si>
  <si>
    <t>1469315279910014977</t>
  </si>
  <si>
    <t>@drfahrettinkoca Yaa Allah askiniza kendinizi kandirin yeter be yeter kimsenin akliyla oynamayin cevremde bircok kisi pozitif</t>
  </si>
  <si>
    <t>1469312729982849026</t>
  </si>
  <si>
    <t>@drfahrettinkoca EngelliCevabı SandıktaVerecek engelli sağlıkçılar ve Diyetisyenler olarak bizler mesleklerimizi ya… https://t.co/eczE0Kof0H</t>
  </si>
  <si>
    <t>1469302834587971585</t>
  </si>
  <si>
    <t>@drfahrettinkoca https://t.co/0fPdJombXE</t>
  </si>
  <si>
    <t>1469302812932722697</t>
  </si>
  <si>
    <t>@drfahrettinkoca EngelliCevabı SandıktaVerecek engelli sağlıkçılar ve Diyetisyenler olarak bizler mesleklerimizi ya… https://t.co/QMgQ75qQME</t>
  </si>
  <si>
    <t>1469302792812736519</t>
  </si>
  <si>
    <t>@drfahrettinkoca EngelliCevabı SandıktaVerecek engelli sağlıkçılar ve Diyetisyenler olarak bizler mesleklerimizi ya… https://t.co/R0npqVW9Dd</t>
  </si>
  <si>
    <t>1469302770910089219</t>
  </si>
  <si>
    <t>@drfahrettinkoca https://t.co/6LKnJwizw2</t>
  </si>
  <si>
    <t>1469302732880240649</t>
  </si>
  <si>
    <t>@drfahrettinkoca EngelliCevabı SandıktaVerecek engelli sağlıkçılar ve Diyetisyenler olarak bizler mesleklerimizi ya… https://t.co/q5VsVhmpIL</t>
  </si>
  <si>
    <t>1469302715142578176</t>
  </si>
  <si>
    <t>@drfahrettinkoca EngelliCevabı SandıktaVerecek engelli sağlıkçılar ve Diyetisyenler olarak bizler mesleklerimizi ya… https://t.co/8esRDVjEXg</t>
  </si>
  <si>
    <t>1469302682758397966</t>
  </si>
  <si>
    <t>@drfahrettinkoca Daha sömestr yaşanmadı, asıl ondan sonrası ne olacak bakalım…</t>
  </si>
  <si>
    <t>1469300014560288772</t>
  </si>
  <si>
    <t>@drfahrettinkoca bence de öyle.</t>
  </si>
  <si>
    <t>1469296681887977480</t>
  </si>
  <si>
    <t>@drfahrettinkoca Aşının içinde Dabbe var diyorlar sayın bakanım..Aşı olursak Yecüc,mecüc olurmuşuz,bilim insanı old… https://t.co/GkLPjdcJXY</t>
  </si>
  <si>
    <t>1469294943164420096</t>
  </si>
  <si>
    <t>@drfahrettinkoca Sağlık okuduğumuza okuyacağımıza bin pişman ettiniz  ne zaman olacak bu atama ne zaman yapacaksını… https://t.co/VsuxiAjt02</t>
  </si>
  <si>
    <t>1469292811623223303</t>
  </si>
  <si>
    <t>@drfahrettinkoca @drtolgatolunay https://t.co/yPGLh4pPvP</t>
  </si>
  <si>
    <t>1469290460971778052</t>
  </si>
  <si>
    <t>@drfahrettinkoca @drtolgatolunay Sayın @RTErdogan  saglik bakanlığına 40.000 personel istihdam sözünü verdiniz ama… https://t.co/FWVUCNNPwl</t>
  </si>
  <si>
    <t>1469290398589796355</t>
  </si>
  <si>
    <t>@drfahrettinkoca tedbirden taviz vermiyoruz bu yüzden aşı olmuyoruz hap kullanmıyoruz maskede takmıyoruz. hükümet n… https://t.co/ouLaZnAwls</t>
  </si>
  <si>
    <t>1469285548909117444</t>
  </si>
  <si>
    <t>@drfahrettinkoca Sayın @RTErdogan  saglik bakanlığına 40.000 personel istihdam sözünü verdiniz ama henüz hareket ge… https://t.co/POl0Im0kL9</t>
  </si>
  <si>
    <t>1469285299314470912</t>
  </si>
  <si>
    <t>@drfahrettinkoca https://t.co/RjJ6rh88wn</t>
  </si>
  <si>
    <t>1469284861315792900</t>
  </si>
  <si>
    <t>@drfahrettinkoca Bu ülkede güzel şeyler de oluyormuş...Teşekkürler sayın Bakanım.  @drfahrettinkoca  @sagliklicozum https://t.co/lct8avDxmH</t>
  </si>
  <si>
    <t>1469281470300790787</t>
  </si>
  <si>
    <t>@drfahrettinkoca Mahkum insan değil mi Cezaevlerinde:  Sağlık bitik Yemekler sağlıksız yenilecek gibi değil En teme… https://t.co/DYyECu7Jvk</t>
  </si>
  <si>
    <t>1469280599579975689</t>
  </si>
  <si>
    <t>@drfahrettinkoca Sayın bakan 2021 yılında bir atama yapacaktınız! Yılın bitmesine son 20 gün belki tarihten haberin… https://t.co/sbEP6DCy5p</t>
  </si>
  <si>
    <t>1469277005275357190</t>
  </si>
  <si>
    <t>@drfahrettinkoca EYT UNUTMA AKP</t>
  </si>
  <si>
    <t>1469273137892270081</t>
  </si>
  <si>
    <t>@drfahrettinkoca Lan 20k vaka var adam ne görülmedi diyon günlük 200 kişi ölüyo 365 günle hesapla tedbiri arttırın</t>
  </si>
  <si>
    <t>1469271051838406658</t>
  </si>
  <si>
    <t>@drfahrettinkoca Engelli SAĞLIKÇYA 4senedr sınav yapıp neden alım yapmadnz EKPSS ATAMASI yapılmayacak bakanlıkları… https://t.co/DA7rnBp2xh</t>
  </si>
  <si>
    <t>1469271017256366080</t>
  </si>
  <si>
    <t>@drfahrettinkoca Engelli SAĞLIKÇYA 4senedr sınav yapıp neden alım yapmadnz EKPSS ATAMASI yapılmayacak bakanlıkları… https://t.co/YZmA27iuDk</t>
  </si>
  <si>
    <t>1469270808321310732</t>
  </si>
  <si>
    <t>@drfahrettinkoca AB'NİN 5 ÜYESİ SİZİ UYARIYOR...! NE ÇOCUKLARINIZA, NE GENÇLERİNİZE, NE YETİŞKİNLERE NE 50 YAŞ ÜZER… https://t.co/fWTobtN13X</t>
  </si>
  <si>
    <t>1469270163589632003</t>
  </si>
  <si>
    <t>@drfahrettinkoca Aşı da tedarik sıkıntımız var ve artık ücret alacağız diyin bakın o yaptırmazık istemezük diyenler… https://t.co/ULHSkmhge5</t>
  </si>
  <si>
    <t>1469266211997458436</t>
  </si>
  <si>
    <t>@drfahrettinkoca Kılavuz nerdeee</t>
  </si>
  <si>
    <t>1469264100115075077</t>
  </si>
  <si>
    <t>@drfahrettinkoca https://t.co/9USM3I9Ui4</t>
  </si>
  <si>
    <t>1469252984693473283</t>
  </si>
  <si>
    <t>@drfahrettinkoca https://t.co/N3P6LZjkUm</t>
  </si>
  <si>
    <t>1469251277926420483</t>
  </si>
  <si>
    <t>@drfahrettinkoca https://t.co/31zRSQBLGr</t>
  </si>
  <si>
    <t>1469250849641840641</t>
  </si>
  <si>
    <t>@drfahrettinkoca #vakalargizleniyor</t>
  </si>
  <si>
    <t>1469248713537249283</t>
  </si>
  <si>
    <t>@drfahrettinkoca Vaka sayıları benzer seyretmedi siz öyle yazdınız. Bu tablolara kimsenin inandığını zannetmiyorum.😕</t>
  </si>
  <si>
    <t>1469244183739305995</t>
  </si>
  <si>
    <t>@drfahrettinkoca Ulan hala aşı diyor ya utanmadan .</t>
  </si>
  <si>
    <t>1469242765749927938</t>
  </si>
  <si>
    <t>@drfahrettinkoca Bugün insan hakları günü bizim hakkımız olan kılavuzu verin bugün hatırına lütfen @drfahrettinkoca @gozdekirisciogl</t>
  </si>
  <si>
    <t>1469238991014801411</t>
  </si>
  <si>
    <t>@drfahrettinkoca Yapılan araştırmalara göre, Türk Bill'in insanları AŞISIZLARI hala nasıl öldüremediklerini araştırıyorlarmış  😃😃😃😃😃😃😃😃😃😃😃😃</t>
  </si>
  <si>
    <t>1469238484552593413</t>
  </si>
  <si>
    <t>@drfahrettinkoca #kabinezkusağıonlineistiyor  nkü ilahiyat fakültesinde muhammet okudan  öğrencimiz koronadan vefat… https://t.co/3wHq4HCEYf</t>
  </si>
  <si>
    <t>1469236981750190082</t>
  </si>
  <si>
    <t>@drfahrettinkoca 3 doz için neden 6 ay bekliyoruz, acil onay verip MHRS  açınız lütfen.</t>
  </si>
  <si>
    <t>1469236675708702728</t>
  </si>
  <si>
    <t>@drfahrettinkoca #Türkovac ı bekliyoruz</t>
  </si>
  <si>
    <t>1469234867380666376</t>
  </si>
  <si>
    <t>@drfahrettinkoca Sn Bakanım 3 doz sinovac olan yaşlılara 4. Doz hakkı tanınmayacakmı 3 aydan sonra koruyuculuğu yok… https://t.co/SgJL9hABzW</t>
  </si>
  <si>
    <t>1469231819442864129</t>
  </si>
  <si>
    <t>@drfahrettinkoca Allah rızası için bu mübarek günde kılavuzu yayınlayın ya lütfen @drfahrettinkoca @gozdekirisciogl</t>
  </si>
  <si>
    <t>1469228550167351297</t>
  </si>
  <si>
    <t>@drfahrettinkoca Tüm bakanlıklara hiçbir şey engel olmuyor bize gelince engel engel üstüne bakanım neden öyle oluyo… https://t.co/Vx4pdKNU73</t>
  </si>
  <si>
    <t>1469228268381523970</t>
  </si>
  <si>
    <t>@drfahrettinkoca Yüksek puanlar aldığımız halde 2 yılda anca 300-400 kişi atanabiliyor halbuki her yıl binlerce mez… https://t.co/KhCGakZkBP</t>
  </si>
  <si>
    <t>1469226869283246084</t>
  </si>
  <si>
    <t>@drfahrettinkoca atama nerde atama??yeter ya vallahi yeter.</t>
  </si>
  <si>
    <t>1469226506366996481</t>
  </si>
  <si>
    <t>@drfahrettinkoca Halkın diyetisyene diyetisyenin ise atamaya ihtiyacı var @drfahrettinkoca @HMBakanligi @RTErdogan @TDD_Dyt_Der</t>
  </si>
  <si>
    <t>1469226415673552899</t>
  </si>
  <si>
    <t>@drfahrettinkoca Halk diyetisyene kolayca ulaşamıyor diyetisyene gitmek lüks sayılıyor ancak bunun bir ihtiyaç oldu… https://t.co/0zJ6ivfw6e</t>
  </si>
  <si>
    <t>1469226300606930950</t>
  </si>
  <si>
    <t>@drfahrettinkoca Diyetisyenlerin de sağlık çalışanı olduğunu unutmadığınız bir atama olmasını diliyoruz… https://t.co/EWWeSVN1CH</t>
  </si>
  <si>
    <t>1469225762494500867</t>
  </si>
  <si>
    <t>@drfahrettinkoca İnsanlar sağlıklı gıdaya ulaşmakta ekonomik nedenler yüzünden güçlük çekiyor bari diyetisyene kola… https://t.co/O679Pql4NT</t>
  </si>
  <si>
    <t>1469225531589726208</t>
  </si>
  <si>
    <t>@drfahrettinkoca Şimdi yapacağınız tek şey;Der Spiegel dergisine konuşan Şahin, "Eğer Omicron varyantı yayılmaya de… https://t.co/itU8Gig8mx</t>
  </si>
  <si>
    <t>1469220089325096962</t>
  </si>
  <si>
    <t>@drfahrettinkoca @saglikbakanligi Aylardir annem icin Cerrahpasa Ortopedi servisinden randevu alamiyoruz. Lutfen sesimize kulak verin</t>
  </si>
  <si>
    <t>1469219952993476609</t>
  </si>
  <si>
    <t>@drfahrettinkoca Aylardir annem icin Cerrahpasa ortopedi servisinden asla randevu alamiyoruz. Lütfen sesimizi duyun @drfahrettinkoca</t>
  </si>
  <si>
    <t>1469219647790764032</t>
  </si>
  <si>
    <t>@drfahrettinkoca @saglikbakanligi covid olanın temaslıları, karantinaya alınmıyormuş.Sadece pcr testi 5. gün yapılı… https://t.co/EB9vKXzJgj</t>
  </si>
  <si>
    <t>1469218368670650373</t>
  </si>
  <si>
    <t>@drfahrettinkoca Sayin bakanım size tweet atmıştım kayinvalidem ile ilgili hemen dönüş yapıldı, aşı için, ilgilenil… https://t.co/PXXaVMq3fJ</t>
  </si>
  <si>
    <t>1469216408106151938</t>
  </si>
  <si>
    <t>@drfahrettinkoca Asi yok artışta yok 🙋</t>
  </si>
  <si>
    <t>1469216162986831879</t>
  </si>
  <si>
    <t>@drfahrettinkoca Hey gidi Balıkesir %83 aşılama oranına rağmen vaka tablosunda 100 bin kişide en çok vakaya rastlan… https://t.co/ZMgfCgxq0f</t>
  </si>
  <si>
    <t>1469214065897709572</t>
  </si>
  <si>
    <t>@drfahrettinkoca kovit yıllardır aramızda , mevsimsel grip , sizi deney sıvılarıyla aşılamak istiyorlar , afrika or… https://t.co/8mWj97CkAD</t>
  </si>
  <si>
    <t>1469213413444407305</t>
  </si>
  <si>
    <t>@drfahrettinkoca Aşı abi 4. Doz ne zaman geliyor?</t>
  </si>
  <si>
    <t>1469210901580496903</t>
  </si>
  <si>
    <t>@drfahrettinkoca https://t.co/DE1Nc4D7Sq</t>
  </si>
  <si>
    <t>1469210825500024837</t>
  </si>
  <si>
    <t>@drfahrettinkoca hadi kovide tedbir yok soğuğa da mı yok mont olmuş 1000tl</t>
  </si>
  <si>
    <t>1469209347205079047</t>
  </si>
  <si>
    <t>@drfahrettinkoca Aşı Aşı Aşı bunun başka çaresi yok Bakan, herkes sabah aç karınla Aşı olmalı, akşam aç karınla.… https://t.co/20jKx8ISAi</t>
  </si>
  <si>
    <t>1469204623810510848</t>
  </si>
  <si>
    <t>@drfahrettinkoca Bakmadan geçin canınız sıkılmasın</t>
  </si>
  <si>
    <t>1469204502075121667</t>
  </si>
  <si>
    <t>@drfahrettinkoca Halk covid19 dan değil hayat pahalılığı dan birbirini kıracak sn bakanım</t>
  </si>
  <si>
    <t>1469203197747208195</t>
  </si>
  <si>
    <t>@drfahrettinkoca Dicle üniversitesi Hastanesinde ultrasyona 2ay sonraya gün veriyorlar sonra alt katta 160 TL ye öz… https://t.co/mVyTBVDPCs</t>
  </si>
  <si>
    <t>1469200898593374209</t>
  </si>
  <si>
    <t>@drfahrettinkoca VİRÜSÜN EN SERT DÖNEMİNE GİRDİK HERKES KENDİNE DİKKAT ETSİN AVRUPADAKİ VAKALARA BAKIN ONLARIN TEDB… https://t.co/B4v8S6b0zf</t>
  </si>
  <si>
    <t>1469200333922521088</t>
  </si>
  <si>
    <t>@drfahrettinkoca Sayın bakan; Ölmek fıtratımızda var. Kendini yorma.</t>
  </si>
  <si>
    <t>1469199701509562371</t>
  </si>
  <si>
    <t>@drfahrettinkoca Kılavuzu istiyoruz @drfahrettinkoca @RTErdogan</t>
  </si>
  <si>
    <t>1469199352786784258</t>
  </si>
  <si>
    <t>1469199234549301248</t>
  </si>
  <si>
    <t>1469199182539935744</t>
  </si>
  <si>
    <t>1469199131197550593</t>
  </si>
  <si>
    <t>@drfahrettinkoca 3.doz aşı hakkım tanımlanmış fakat 9/16 Aralık arasında yapılmalı diyor. Bu tarihten sonra iptal m… https://t.co/BKpPQGP1YB</t>
  </si>
  <si>
    <t>1469195484946472963</t>
  </si>
  <si>
    <t>@drfahrettinkoca İnsanlar yaptıkları icraatlarla anılırlar makamlar geçicidir sizde icraatlarınızla anılmak istiyor… https://t.co/zRRN7SZdLb</t>
  </si>
  <si>
    <t>1469191057451601920</t>
  </si>
  <si>
    <t>@drfahrettinkoca KOSOCA SAĞLIK BAKANLIĞI DEĞİL,KOSKOCA BÜTÜN DÜNYA AVAZIM ÇIKTIĞI KADAR YIRTINA YIRTINA HAYKIRA HAY… https://t.co/buYxLS1Y5i</t>
  </si>
  <si>
    <t>1469094220019519497</t>
  </si>
  <si>
    <t>@drfahrettinkoca Sana caaâanı gönülden dua ediyorum. Tabii ki belanı allahtan bulacaksın</t>
  </si>
  <si>
    <t>1469082175874248704</t>
  </si>
  <si>
    <t>@drfahrettinkoca Bu tedirginlik neden hâlâ?</t>
  </si>
  <si>
    <t>1469073303440605188</t>
  </si>
  <si>
    <t>@drfahrettinkoca Aşı olanlar aşılarına güvenmiyorlar mı?</t>
  </si>
  <si>
    <t>1469073197547020288</t>
  </si>
  <si>
    <t>@drfahrettinkoca Eğitim sistemi çökmüş zaten! Bir de bu kurslara aşı şartı getirmiş sağlık bakanlığı! Genç nüfusun… https://t.co/G12gpqN19p</t>
  </si>
  <si>
    <t>1469072945163255809</t>
  </si>
  <si>
    <t>@drfahrettinkoca Bir zamanlar başörtülülerin alınmadığı gibi...Şimdi ise,heba edilen nice başörtülü annelerin yavru… https://t.co/PpgQS4MW12</t>
  </si>
  <si>
    <t>1469072467595517961</t>
  </si>
  <si>
    <t>@drfahrettinkoca İsmek kurslarında neden aşı ya da pcr zorunluluğu var.Geleceğimiz yavrularımız! Her gittikleri yerde önleri tıkalı!</t>
  </si>
  <si>
    <t>1469071734926151684</t>
  </si>
  <si>
    <t>@drfahrettinkoca Hastane de yatanların %99 u aşısız demiyorlar diyemiyorlar artık.  Yatan hastaların  " önemli bölü… https://t.co/uwXHiKKv5r</t>
  </si>
  <si>
    <t>1469044226159792132</t>
  </si>
  <si>
    <t>@drfahrettinkoca Hastıııırrrr oradann,"KOCA"kafa...</t>
  </si>
  <si>
    <t>1469030893830512643</t>
  </si>
  <si>
    <t>@drfahrettinkoca Madem öyle sayın bakan şeffaf bir şekilde sayıları paylaşın,inandırıcı değilsiniz.</t>
  </si>
  <si>
    <t>1469028194254823426</t>
  </si>
  <si>
    <t>@drfahrettinkoca Sen ne kazandın aşı mümessili tabi para sıkıyorsa gerçekleri tarafsız şekilde karşıt görüşlü doktorlarla tartışta görelim</t>
  </si>
  <si>
    <t>1469027997592211456</t>
  </si>
  <si>
    <t>@drfahrettinkoca Bunu siz göremiyor olamazsınız Avrupa veri saklamıyor ve aşılaması bizden yüksek bizde vakalar ger… https://t.co/ZmQAiroRu2</t>
  </si>
  <si>
    <t>1469025872879529985</t>
  </si>
  <si>
    <t>@drfahrettinkoca Sağlıkçılar atama bekliyor. Söz verdiğiniz atamanın kılavuzu ne zaman yayınlanacak</t>
  </si>
  <si>
    <t>1469022868654759953</t>
  </si>
  <si>
    <t>@drfahrettinkoca Çöp ettiniz emeğimizi #saglikatamasi</t>
  </si>
  <si>
    <t>1469021371598622734</t>
  </si>
  <si>
    <t>@drfahrettinkoca Korkutmak derken? Gerçeği bilen Korkmaz hoca. Yeni kobay bulamoyormusunuz? Ha bu arada 2019un Ölum… https://t.co/Pjos7TpMhx</t>
  </si>
  <si>
    <t>1469020990361509889</t>
  </si>
  <si>
    <t>@drfahrettinkoca Sadece merakımdan soruyorum sayın bakan: Akciğerlerde tutulum olupta eve gönderdiğiniz hastalar ne kazandı ?</t>
  </si>
  <si>
    <t>1469019173972025347</t>
  </si>
  <si>
    <t>@drfahrettinkoca Sn bakan, kendinize sormanız gereken soruları neden bize soruyorsunuz?! Korku pompalayıp maske, ko… https://t.co/uMsZTfKDSz</t>
  </si>
  <si>
    <t>1469016541253431303</t>
  </si>
  <si>
    <t>@drfahrettinkoca At yalanı,</t>
  </si>
  <si>
    <t>1469016539445837832</t>
  </si>
  <si>
    <t>@drfahrettinkoca Takke düştü,kel göründü. Boşa çırpınma.Insanların ekserisi uyandı https://t.co/jORliuLhNI başlar s… https://t.co/VgCbWInMAC</t>
  </si>
  <si>
    <t>1469015725939609608</t>
  </si>
  <si>
    <t>@drfahrettinkoca Yalancı..</t>
  </si>
  <si>
    <t>1469013221814194188</t>
  </si>
  <si>
    <t>@drfahrettinkoca Sana inanan kaldımı</t>
  </si>
  <si>
    <t>1469010423068430337</t>
  </si>
  <si>
    <t>@drfahrettinkoca Asıl korkan sizsiniz aşşı olanlar bile pişman aşşıdan hayatını kaybedenler den hiç bahsetmiyorsunu… https://t.co/6pkDc6dg7j</t>
  </si>
  <si>
    <t>1469009558643384324</t>
  </si>
  <si>
    <t>@drfahrettinkoca Nezaketde artık yoruldu . Siz akıl tutulması mısınız? Sinovak korur 1 doz korur 2 korur yok 3 2den… https://t.co/O8YBbNHYOg</t>
  </si>
  <si>
    <t>1469009173342035971</t>
  </si>
  <si>
    <t>@drfahrettinkoca Siz abartıyla korkutarak ne kazandınız esas bunu açıklasanız sayın bakan</t>
  </si>
  <si>
    <t>1469009101552332800</t>
  </si>
  <si>
    <t>@drfahrettinkoca a..ş..ılı dediklerinize pcr yapmazsanız ve a..ş..ısız dediklerinize c..o..vid derseniz bu kçete so… https://t.co/Zb1vc6ipFL</t>
  </si>
  <si>
    <t>1469008975089840130</t>
  </si>
  <si>
    <t>@drfahrettinkoca Bay @drfahrettinkoca  size güvenmiyoruz çünkü aşı pasaportlu ticaretini yapıyorsunuz ve ilaç firma… https://t.co/xhOK9RMaed</t>
  </si>
  <si>
    <t>1469008602430070790</t>
  </si>
  <si>
    <t>@drfahrettinkoca https://t.co/LofaFKI7mj</t>
  </si>
  <si>
    <t>1469008301476261888</t>
  </si>
  <si>
    <t>@drfahrettinkoca https://t.co/GjrTu2fRyM</t>
  </si>
  <si>
    <t>1469008258115551243</t>
  </si>
  <si>
    <t>@drfahrettinkoca https://t.co/BvVzkZ15nj</t>
  </si>
  <si>
    <t>1469008116729659392</t>
  </si>
  <si>
    <t>@drfahrettinkoca https://t.co/mxP7sI6Qd6</t>
  </si>
  <si>
    <t>1469005407914012684</t>
  </si>
  <si>
    <t>@drfahrettinkoca Bakanım n’aptınız bize içimiz yaktınız bakanım ölen amcamın hesabını kim verecek bakanım amcama oğ… https://t.co/BNLW6YGpyU</t>
  </si>
  <si>
    <t>1469004594789429255</t>
  </si>
  <si>
    <t>@drfahrettinkoca https://t.co/SlyUxHB97X</t>
  </si>
  <si>
    <t>1469003719249469444</t>
  </si>
  <si>
    <t>@drfahrettinkoca https://t.co/oixq4UPRut https://t.co/sr0KgHEeoj https://t.co/d9X3A5mAym https://t.co/41Aj1ybB7Q… https://t.co/UgTB3acqMM</t>
  </si>
  <si>
    <t>1469003395340066829</t>
  </si>
  <si>
    <t>@drfahrettinkoca https://t.co/oixq4UPRut https://t.co/sr0KgHEeoj https://t.co/d9X3A5mAym https://t.co/41Aj1ybB7Q… https://t.co/WpG7zuR7ef</t>
  </si>
  <si>
    <t>1469003356932825095</t>
  </si>
  <si>
    <t>@drfahrettinkoca https://t.co/oixq4UPRut https://t.co/sr0KgHEeoj https://t.co/d9X3A5mAym https://t.co/41Aj1ybB7Q… https://t.co/vQSQlXNTsN</t>
  </si>
  <si>
    <t>1469003320144580612</t>
  </si>
  <si>
    <t>@drfahrettinkoca https://t.co/sr0KgHEeoj https://t.co/d9X3A5mAym https://t.co/41Aj1ybB7Q https://t.co/w7rZ1FvIlK… https://t.co/davv91xsq9</t>
  </si>
  <si>
    <t>1469003282517569537</t>
  </si>
  <si>
    <t>@drfahrettinkoca https://t.co/WJbkYgqxVs</t>
  </si>
  <si>
    <t>1469003191421489155</t>
  </si>
  <si>
    <t>@drfahrettinkoca https://t.co/aNRgDyxLBq</t>
  </si>
  <si>
    <t>1469003057304416258</t>
  </si>
  <si>
    <t>@drfahrettinkoca https://t.co/enP81PSGag</t>
  </si>
  <si>
    <t>1469002927725494278</t>
  </si>
  <si>
    <t>@drfahrettinkoca fahrettin koca elinizi kur a na bassanız size inanmam. nedeni malum. çok başarılınız işinizde..!</t>
  </si>
  <si>
    <t>1468998690681593864</t>
  </si>
  <si>
    <t>@drfahrettinkoca Acı gerçek buyurun buna ne diyeceksiniz... https://t.co/bGSdjB81tx</t>
  </si>
  <si>
    <t>1468998350259302405</t>
  </si>
  <si>
    <t>@drfahrettinkoca 😁 https://t.co/RGrBtWbVkl</t>
  </si>
  <si>
    <t>1468997926189993987</t>
  </si>
  <si>
    <t>@drfahrettinkoca Günde kaç kişi vefat ediyor sizin az olabilir mi acaba vefat sayıları gerçek sayıları istiyoruz oy… https://t.co/0VjQjgVXtl</t>
  </si>
  <si>
    <t>1468997399746125824</t>
  </si>
  <si>
    <t>@drfahrettinkoca Sayın bakanım iyi günler ben Aksaray ili eğitim ve araştırma hastanesinde acil polklinik 1 de 464… https://t.co/Cu38y2Xjah</t>
  </si>
  <si>
    <t>1468997111538765828</t>
  </si>
  <si>
    <t>@drfahrettinkoca Çocuklarımıza birşey olacak. Sorumsuzlar @drfahrettinkoca @erolozvar @tcbestepe @tcmeb @ShowTV… https://t.co/TBMZNXLaSS</t>
  </si>
  <si>
    <t>1468996789881782277</t>
  </si>
  <si>
    <t>@drfahrettinkoca Ya bi sus bi sus be komşumuz vefat etti 3. Doz aşıdan daha ne diyorsunuz ne aşısı Omicron varyantı… https://t.co/md7QgeX1kk</t>
  </si>
  <si>
    <t>1468996349605597184</t>
  </si>
  <si>
    <t>@drfahrettinkoca https://t.co/KQJzxSpsCk</t>
  </si>
  <si>
    <t>1468994533383979013</t>
  </si>
  <si>
    <t>@drfahrettinkoca https://t.co/n2c10Np2cL</t>
  </si>
  <si>
    <t>1468994047725518848</t>
  </si>
  <si>
    <t>@drfahrettinkoca Suçlular bulundu 🤣</t>
  </si>
  <si>
    <t>1468993867068456973</t>
  </si>
  <si>
    <t>@drfahrettinkoca https://t.co/l4Hv32MMpw</t>
  </si>
  <si>
    <t>1468992554368749571</t>
  </si>
  <si>
    <t>@drfahrettinkoca Böyle çağrıyla insanları ikna edemiyorsunuz. @drfahrettinkoca Bunu anlayın artık ve yöntem değişti… https://t.co/Wuh0l2NdoU</t>
  </si>
  <si>
    <t>1468992403642236939</t>
  </si>
  <si>
    <t>@drfahrettinkoca 1996 yani 6 yaşındayken grip atlattım hastayken sizin şimdiki cavit 19 un hissettirdiklerini harfi… https://t.co/xqNytC1hBL</t>
  </si>
  <si>
    <t>1468992400655851534</t>
  </si>
  <si>
    <t>@drfahrettinkoca https://t.co/5GnZWsgqeI</t>
  </si>
  <si>
    <t>1468992359207784451</t>
  </si>
  <si>
    <t>@drfahrettinkoca Ölüm süreci 👉PCR pozitif,8+8 favira, kendini kötü hissedersen 112 yi ara, hastaneye yat yogun bakı… https://t.co/lXrkwK8Ugx</t>
  </si>
  <si>
    <t>1468991464424325124</t>
  </si>
  <si>
    <t>@drfahrettinkoca Allah aşkına duyu  bizi de online geçin dayanamıyoruz nefes alamıyoruz 8 saat virüs yuvasında #OnlineEğitimGerekli</t>
  </si>
  <si>
    <t>1468990609553776648</t>
  </si>
  <si>
    <t>@drfahrettinkoca Bu tablodaki ölüm oranlarında ne gülünç bir durumdayız bir bakın bakanım ölenlere bunu yapan yaşan… https://t.co/hGjaBnPfcQ</t>
  </si>
  <si>
    <t>1468990141444370432</t>
  </si>
  <si>
    <t>@drfahrettinkoca 3 aşı olmuş akrabalarımızı kaybettik sanki aşı olanlar hiç ölmüyorlarmış gibi davranmayın</t>
  </si>
  <si>
    <t>1468989537225527297</t>
  </si>
  <si>
    <t>@drfahrettinkoca #HesabınıVereceksiniz https://t.co/7CpZcnjzjc</t>
  </si>
  <si>
    <t>1468989408154202113</t>
  </si>
  <si>
    <t>@drfahrettinkoca https://t.co/gYpNMQ4JUW</t>
  </si>
  <si>
    <t>1468988942087344130</t>
  </si>
  <si>
    <t>@drfahrettinkoca Bizim korkuttuklarımız yașıyor sayın bakan. Ya sizin korkuttuklarınız?</t>
  </si>
  <si>
    <t>1468988576306282498</t>
  </si>
  <si>
    <t>@drfahrettinkoca Sn Bakan ben 3.doz biontek aşımı olmak istiyorum 6 ay doldurmayı niye bekliyorum.</t>
  </si>
  <si>
    <t>1468988244150956034</t>
  </si>
  <si>
    <t>@drfahrettinkoca 18 altındaki hiçbir bireye zorunlu aşı vurulmamalıdır teklif dahi edilmemelidir . Aşı diyenlerde 1… https://t.co/rHUkSa3K86</t>
  </si>
  <si>
    <t>1468987223827697675</t>
  </si>
  <si>
    <t>@drfahrettinkoca görün bu yazdiklarimi bakan bey görün ne işim kaldi ne ekmeğim nede ailemin yüzüne bakacak yüzüm k… https://t.co/3llbNe4Jqh</t>
  </si>
  <si>
    <t>1468986832868110351</t>
  </si>
  <si>
    <t>@drfahrettinkoca Sayın bakan😳 devlet hastanelerinde ameliyatlar yapılamıyor malzeme yok deniyor insanlar özel hasta… https://t.co/0Sjfyj6Rkh</t>
  </si>
  <si>
    <t>1468986611207659527</t>
  </si>
  <si>
    <t>@drfahrettinkoca Bir çocuk babası, AstraZeneca aşısını aldıktan 11 gün sonra ciddi bir beyin kanamasından öldü… https://t.co/wFfBSjcScv</t>
  </si>
  <si>
    <t>1468986547403960326</t>
  </si>
  <si>
    <t>@drfahrettinkoca Yarın mahşerde o yalanların  bile hesabını veremeyeceksiniz sizlere hakkımızı Helal etmiyoruz</t>
  </si>
  <si>
    <t>1468986466370048005</t>
  </si>
  <si>
    <t>@drfahrettinkoca ALLAH CC sizden ümmeti Muhammed evladını korusun</t>
  </si>
  <si>
    <t>1468986465136922631</t>
  </si>
  <si>
    <t>@drfahrettinkoca Fahrettin koca efendi Ben sana bir şey söyleyeyim mi yalan söylüyorsunuz yalan aşının hiç faydası… https://t.co/pzbJGZvDji</t>
  </si>
  <si>
    <t>1468986228594954250</t>
  </si>
  <si>
    <t>@drfahrettinkoca Bakan bey geçen sene bu ay ölüm sayısı ile 2021 bu ay ölüm sayısı hakkında bilgi verebilir misiniz… https://t.co/KQgqG54oqR</t>
  </si>
  <si>
    <t>1468986154506760199</t>
  </si>
  <si>
    <t>@drfahrettinkoca Sayın saglik bakanımız zorunlu aşı yapmayacağınızı söylediniz zorunlu aşıya hayır  anayasada veril… https://t.co/YUPrYR6gKb</t>
  </si>
  <si>
    <t>1468985912742887429</t>
  </si>
  <si>
    <t>@drfahrettinkoca hiç bir inandiriciliğiniz kalmadi aşının başından beri sizi takip ettim aşılarin gelmesinden tutun… https://t.co/KRDcSL1EkX</t>
  </si>
  <si>
    <t>1468985609960177667</t>
  </si>
  <si>
    <t>@drfahrettinkoca Pişman değilim asisiz atlattım evde . Neden sizler insanlara kağıt imzalatip aşı.diye tutturuyorsu… https://t.co/PjoFZloiZB</t>
  </si>
  <si>
    <t>1468984962007375878</t>
  </si>
  <si>
    <t>@drfahrettinkoca Sayın koca bu çağrıyı yapmak için artık çok geç!</t>
  </si>
  <si>
    <t>1468984871137775621</t>
  </si>
  <si>
    <t>@drfahrettinkoca Sayın @drfahrettinkoca  lufen bu sağlık ocaklarını ya kapatın veya yapmaları gerek görevleri net b… https://t.co/Z9QGgMDJm5</t>
  </si>
  <si>
    <t>1468983147819843592</t>
  </si>
  <si>
    <t>@drfahrettinkoca Siz ne kazandınız, dünyada ekonominin içine etmekten başka. Kendiniz söylemiyor musunuz, toplam gü… https://t.co/so7du4cJdr</t>
  </si>
  <si>
    <t>1468982699486556164</t>
  </si>
  <si>
    <t>@drfahrettinkoca Sayın Bakanım, hekimlerin ücretlerinin iyileştirilmesi çalışmaları hangi aşamada acaba?</t>
  </si>
  <si>
    <t>1468979330726387713</t>
  </si>
  <si>
    <t>@drfahrettinkoca Sayın bakanım insanları korkutarak aşı olmaya zorlayan siz ve bilim adamları ve sağlıkçılar inin a… https://t.co/2gx1bi5Dke</t>
  </si>
  <si>
    <t>1468977823759187969</t>
  </si>
  <si>
    <t>@drfahrettinkoca Sayın Bakanım İlaç Mümessili Olsanız Aşıyı Böyle Pazarlayamazdınız. Aşı İçin Denek Gibi Kullanıyor… https://t.co/TujVCuuBu8</t>
  </si>
  <si>
    <t>1468977786421448708</t>
  </si>
  <si>
    <t>@drfahrettinkoca Hacam 2 Biontech aşısı oldum 3 doza gerek varmı 6 ayı geçti engelliyim 182 aradım aşı süreciniz tamamlanmıştır...</t>
  </si>
  <si>
    <t>1468977565486436353</t>
  </si>
  <si>
    <t>@drfahrettinkoca Babam üç aşısınıda olduBir gece ateşlenince acile götürdüm.Korona dediler ve geç kalındığını söyle… https://t.co/pGTmeyUrX4</t>
  </si>
  <si>
    <t>1468977218701438979</t>
  </si>
  <si>
    <t>@drfahrettinkoca Okullar artık uzaktan eğitime alın tekrardan bu işin şakası yok artık</t>
  </si>
  <si>
    <t>1468976030169845763</t>
  </si>
  <si>
    <t>1468975502841069575</t>
  </si>
  <si>
    <t>@drfahrettinkoca Hangi bilimsel verilere dayanarak konuşuyorsunuz. %90 I aşılanmış Almanya da vakalar patlamış durd… https://t.co/PAupsbya3m</t>
  </si>
  <si>
    <t>1468974341035540480</t>
  </si>
  <si>
    <t>@drfahrettinkoca Evet evet çok ciddi önlemler alıyorsunuz. Bu iş s500’le Seyahat etmeye benzemen bakamnn. https://t.co/97I0jSbDhP</t>
  </si>
  <si>
    <t>1468973520654770180</t>
  </si>
  <si>
    <t>@drfahrettinkoca İskoçya için halk sağlığı tablosu. Bakın kaç kişi çifte aşıdan öldü?  Bakın kaç kişi aşısız öldü.… https://t.co/7BAcTePk68</t>
  </si>
  <si>
    <t>1468972207279775751</t>
  </si>
  <si>
    <t>@drfahrettinkoca Walla çevremde ne kadar deneysel sıvılı var,hepside ağır bir şekilde Corona oldu, olmaya devam edi… https://t.co/JJkrEQ4AJ3</t>
  </si>
  <si>
    <t>1468971491987374085</t>
  </si>
  <si>
    <t>@drfahrettinkoca yalanları saklayamazsın, insanlar uyanınca uyanıyorlar...  https://t.co/4llYrqqjeW</t>
  </si>
  <si>
    <t>1468970739327913991</t>
  </si>
  <si>
    <t>@drfahrettinkoca Klavuz ne zaman geliyorrrrrr</t>
  </si>
  <si>
    <t>1468969826852892689</t>
  </si>
  <si>
    <t>@drfahrettinkoca Türkiye'nin sağlık sisteminde gerçekten siyaset mi yaptınız bakanım @drfahrettinkoca @gozdekirisciogl</t>
  </si>
  <si>
    <t>1468969681885163520</t>
  </si>
  <si>
    <t>@drfahrettinkoca BENİM DEDEM TAM 3 KEZ AŞI OLDU 3 ! NE OLDU ?! ŞUAN MEZARDA YATIYOR BENİM DEDEM! YOĞUN BAKIMDA YATA… https://t.co/cHOWOp6Jz7</t>
  </si>
  <si>
    <t>1468968790167748627</t>
  </si>
  <si>
    <t>@drfahrettinkoca Bak işine Fahrettin sana Milletin aşısından , niye bu kadar millete bir boka yaramayan sıvılari vu… https://t.co/yYzmiVqVtk</t>
  </si>
  <si>
    <t>1468965569584005134</t>
  </si>
  <si>
    <t>@drfahrettinkoca Yeter yasa yoğun bakımda olanların hepsınin aşısız ve eksik aşı lı olanlar diyorsun doğruları söyl… https://t.co/jdJuz4Zsuz</t>
  </si>
  <si>
    <t>1468965388192927753</t>
  </si>
  <si>
    <t>@drfahrettinkoca Kılavuz nerde kılavuz bunca gencin hakkına girdiniz nasıl insanlarsınız hiç mi vicdanınız</t>
  </si>
  <si>
    <t>1468965378919333888</t>
  </si>
  <si>
    <t>@drfahrettinkoca Sayin baskanim ben pendik medipol hastanenizde yardimci saglik personeli olarak 1 bucuk sene hizme… https://t.co/zvfp23o65Z</t>
  </si>
  <si>
    <t>1468961613285789703</t>
  </si>
  <si>
    <t>@drfahrettinkoca 😂 sayin bakan Sen onu git de AŞİSİ TAMAMLANMAMİS KİŞİLERLE konuş :):)</t>
  </si>
  <si>
    <t>1468961415536930827</t>
  </si>
  <si>
    <t>@drfahrettinkoca Artık sadece gülmek için twit'lerinizi okuyorum.</t>
  </si>
  <si>
    <t>1468959911509839874</t>
  </si>
  <si>
    <t>@drfahrettinkoca Tam olarak kac doz olunca tam asili oluyoduk sayin salgin bakani? Sen sivilamaya basladiktan sonra… https://t.co/NxrepbaaZU</t>
  </si>
  <si>
    <t>1468959021684039687</t>
  </si>
  <si>
    <t>@drfahrettinkoca https://t.co/ftisp5zpVh</t>
  </si>
  <si>
    <t>1468958827429068811</t>
  </si>
  <si>
    <t>@drfahrettinkoca Asıl pişmanlığı sizler yaşayacaksınız! Asısiz diye tabir ettiğiniz insanların hiç biri hastalıktan… https://t.co/rb8BqOmt9x</t>
  </si>
  <si>
    <t>1468958378177167366</t>
  </si>
  <si>
    <t>@drfahrettinkoca https://t.co/ielA5VNdgH</t>
  </si>
  <si>
    <t>1468956273026629642</t>
  </si>
  <si>
    <t>@drfahrettinkoca Bu yargı karara varaan bir bakan dünya tarihinde bu kadar korku,panik ve psikolojik zorlamayla,ins… https://t.co/6Hk8jqzR8D</t>
  </si>
  <si>
    <t>1468953752581275657</t>
  </si>
  <si>
    <t>@drfahrettinkoca Sayın bakanım ben 14 yaşındayım aşı olmak istiyorum bir kere sağlık ocağına bir kere de hastaneye… https://t.co/r2m55Ddxf2</t>
  </si>
  <si>
    <t>1468953643676094467</t>
  </si>
  <si>
    <t>@drfahrettinkoca Fahrettin soytarısi omicronu ne kadar saklayacaksin daha pust</t>
  </si>
  <si>
    <t>1468952369257857034</t>
  </si>
  <si>
    <t>1468951035548942344</t>
  </si>
  <si>
    <t>@drfahrettinkoca Ben 1 tane bile aşı olmadım lakin covid 19 yakalandım ve evde karantinadayim .23 yaşındayım. Tat v… https://t.co/kRm9bz2bs0</t>
  </si>
  <si>
    <t>1468949034672873475</t>
  </si>
  <si>
    <t>@drfahrettinkoca Sayın @drfahrettinkoca  saglik personeli kılavuzu ne zaman yayımlayacaksınız ???????? Lutfen artık açıklayın</t>
  </si>
  <si>
    <t>1468947539030388737</t>
  </si>
  <si>
    <t>@drfahrettinkoca Hiç aşı olmadım ve sapa sağlamım... Aklımı seveyim..</t>
  </si>
  <si>
    <t>1468947167305994246</t>
  </si>
  <si>
    <t>@drfahrettinkoca Aşıdan ölenleri neden söylemiyorsunuz ????</t>
  </si>
  <si>
    <t>1468944857578315776</t>
  </si>
  <si>
    <t>@drfahrettinkoca Tek ikna cümleniz; yoğun bakımdaki hastalar aşısız. Salgın başından beri aynı cümle :d bu mu ikna… https://t.co/fQmNdBUs1B</t>
  </si>
  <si>
    <t>1468943120347901952</t>
  </si>
  <si>
    <t>@drfahrettinkoca Sayın bakan 3 dozları derhal açın 6 ayı beklemeyin neden her şeyi iş işten geçtikten sonra yapmak zorundasınız</t>
  </si>
  <si>
    <t>1468941380047224832</t>
  </si>
  <si>
    <t>@drfahrettinkoca 4 aşi oldum allahim razi olsun saglik bakanim kendimi daha huzurlu hisediyorum</t>
  </si>
  <si>
    <t>1468940785634660362</t>
  </si>
  <si>
    <t>@drfahrettinkoca Hadi ordan hangi hastanede aşısız var hadi gezelim beraber. B.k at izi kalsın abilerinden öğrendiğ… https://t.co/cnV3BwXqQN</t>
  </si>
  <si>
    <t>1468938402250866699</t>
  </si>
  <si>
    <t>@drfahrettinkoca Kaybettiğimiz hiç bisey yok elhamdülillah ve Rabbimin akledebilen kullari arasında yer aldığım ici… https://t.co/zvDXRSi3mJ</t>
  </si>
  <si>
    <t>1468938297179320330</t>
  </si>
  <si>
    <t>@drfahrettinkoca SÜDGE EN AZINDAN ŞU PANDEMİDE İPTAL EDİN BAKANIM YALVARDIK SİZE NE OLUR 2 SENEDİR SÜRE CEZAM DOLDU… https://t.co/LxtJcUuFJS</t>
  </si>
  <si>
    <t>1468938206339121160</t>
  </si>
  <si>
    <t>@drfahrettinkoca SÜDGE EN AZINDAN ŞU PANDEMİDE İPTAL EDİN BAKANIM YALVARDIK SİZE NE OLUR 2 SENEDİR SÜRE CEZAM DOLDU… https://t.co/iqbY203mSq</t>
  </si>
  <si>
    <t>1468938131533668359</t>
  </si>
  <si>
    <t>@drfahrettinkoca SÜDGE EN AZINDAN ŞU PANDEMİDE İPTAL EDİN BAKANIM YALVARDIK SİZE NE OLUR 2 SENEDİR SÜRE CEZAM DOLDU… https://t.co/9ZEaysnCwM</t>
  </si>
  <si>
    <t>1468938094816731148</t>
  </si>
  <si>
    <t>@drfahrettinkoca SÜDGE EN AZINDAN ŞU PANDEMİDE İPTAL EDİN BAKANIM YALVARDIK SİZE NE OLUR 2 SENEDİR SÜRE CEZAM DOLDU… https://t.co/gvkMQNzeVJ</t>
  </si>
  <si>
    <t>1468938074809847808</t>
  </si>
  <si>
    <t>@drfahrettinkoca SÜDGE EN AZINDAN ŞU PANDEMİDE İPTAL EDİN BAKANIM YALVARDIK SİZE NE OLUR 2 SENEDİR SÜRE CEZAM DOLDU… https://t.co/46Sc7zNeZE</t>
  </si>
  <si>
    <t>1468938054253662212</t>
  </si>
  <si>
    <t>@drfahrettinkoca SÜDGE EN AZINDAN ŞU PANDEMİDE İPTAL EDİN BAKANIM YALVARDIK SİZE NE OLUR 2 SENEDİR SÜRE CEZAM DOLDU… https://t.co/NYgVuEnaLR</t>
  </si>
  <si>
    <t>1468938036876562435</t>
  </si>
  <si>
    <t>@drfahrettinkoca Aşı olmayan bir pişman, AŞI olan BİN PİŞMAN OLACAK ...</t>
  </si>
  <si>
    <t>1468937015253258244</t>
  </si>
  <si>
    <t>@drfahrettinkoca Because you and this pcr test (which will detect any and all dead virus cells if the cycles are ab… https://t.co/kMoGDhzDhU</t>
  </si>
  <si>
    <t>1468934953102675968</t>
  </si>
  <si>
    <t>@drfahrettinkoca https://t.co/SVpsH9PpYO</t>
  </si>
  <si>
    <t>1468934624873173001</t>
  </si>
  <si>
    <t>@drfahrettinkoca Asıl soru sahte salgın algısıyla insanları  ruhsatsız bir sıvıyla aşılayanlar ne kazandı? Genç yaş… https://t.co/2qFEt4wGMI</t>
  </si>
  <si>
    <t>1468933540674945024</t>
  </si>
  <si>
    <t>@drfahrettinkoca https://t.co/L9fIJIJlfr</t>
  </si>
  <si>
    <t>1468930994615070723</t>
  </si>
  <si>
    <t>@drfahrettinkoca @saglikbakanligi sayın bakanım buğün eşimin ağzından kan gelmesine rağmen ve astımı da varken,rand… https://t.co/Tb44YBkWfW</t>
  </si>
  <si>
    <t>1468929852531220492</t>
  </si>
  <si>
    <t>@drfahrettinkoca İlk gün 1 aşı olan ölmeyecek haberi yap, sonra 1 aşı yetmez 2 aşı de, sonra 3. Sonra snovak iyi de… https://t.co/IfCzaJeyzc</t>
  </si>
  <si>
    <t>1468929827700985856</t>
  </si>
  <si>
    <t>@drfahrettinkoca Söylediklerine kendin bile inanmıyorsun değil mi ?</t>
  </si>
  <si>
    <t>1468927023787782145</t>
  </si>
  <si>
    <t>@drfahrettinkoca Rahman ve Rahîm olan Allah'ın adıyla Sen onları pişmanlık ve üzüntü günü hakkında uyar. Çünkü onla… https://t.co/GoCs0ucZnD</t>
  </si>
  <si>
    <t>1468926772326682631</t>
  </si>
  <si>
    <t>@drfahrettinkoca Ruh hastalarından tıbbi tavsiye almıyoruz .</t>
  </si>
  <si>
    <t>1468926183744192516</t>
  </si>
  <si>
    <t>@drfahrettinkoca Aşı falan hikaye ben aşı olmadım 1 günde atlattım  2 aşısı olanlar hastanede yatıyo  Bunlarıda yayınlayın….</t>
  </si>
  <si>
    <t>1468924434341933067</t>
  </si>
  <si>
    <t>@drfahrettinkoca Tm 1 ay sonraya randevu ne demek? https://t.co/Hye9sGiiRe</t>
  </si>
  <si>
    <t>1468924223758417921</t>
  </si>
  <si>
    <t>@drfahrettinkoca @saglikbakanligi 80 bin nüfuslu Aydın didimde üroloji doktoru yok</t>
  </si>
  <si>
    <t>1468923924364902411</t>
  </si>
  <si>
    <t>@drfahrettinkoca Sayın sağlık bakanı hakan ural denen kişi 'gözünü çıkartırım' diyeyerek doktorlara olan nefret ve… https://t.co/npHbqUPBPy</t>
  </si>
  <si>
    <t>1468922373835534346</t>
  </si>
  <si>
    <t>@drfahrettinkoca Nekadarlik bi bölümü aşısız açıklasanizda bilsek niye gizli tutuyorsunuz</t>
  </si>
  <si>
    <t>1468922319905214474</t>
  </si>
  <si>
    <t>@drfahrettinkoca Sayın bakan; çocuklarına istediklerini almak için kredi çeken aileler, istediklerini alamayan aile… https://t.co/nA1UtXT8Qp</t>
  </si>
  <si>
    <t>1468920702766096390</t>
  </si>
  <si>
    <t>@drfahrettinkoca Net konuşun bence, ne kadarı hiç aşı yaptırmamış ne kadarı eksik aşılı? İkisini beraber söyleyerek… https://t.co/9j5pbZLJOa</t>
  </si>
  <si>
    <t>1468919445938655236</t>
  </si>
  <si>
    <t>@drfahrettinkoca Atama bekleyen sağlıkçılara yaptığınız bu işkenceyi ömrümün sonuna kadar unutmayacağım. @drfahrettinkoca @gozdekirisciogl</t>
  </si>
  <si>
    <t>1468919074918961155</t>
  </si>
  <si>
    <t>@drfahrettinkoca Olanların pişmanlığına kulağını kapatan bakan bey, sen önce sana sorulan sorulara cevap ver. Yılla… https://t.co/oDIZ38wo3e</t>
  </si>
  <si>
    <t>1468917791625461761</t>
  </si>
  <si>
    <t>@drfahrettinkoca Yalanların sonu gelmez senin kime hizmet ettiğin ortada hala tam Aşısını olmamış diyorsunuz bu nasıl bir yüzsüzlük!!!!</t>
  </si>
  <si>
    <t>1468917110998974465</t>
  </si>
  <si>
    <t>@drfahrettinkoca Atamayı yine ertelemişsiniz. Aylar önce atama olacak diye müjde verdiniz aylar geçti 13 aydır atam… https://t.co/QRTWrXjkpc</t>
  </si>
  <si>
    <t>1468916060372062215</t>
  </si>
  <si>
    <t>@drfahrettinkoca Sayın bakanım bir vatandaş olarak desteğinizi bekliyoruz. Ulaşabileceğimiz en yüksek makamdasınız.… https://t.co/7URtNOLQwx</t>
  </si>
  <si>
    <t>1468916056777539585</t>
  </si>
  <si>
    <t>@drfahrettinkoca Meydanda sizin fonladığınız bilim kurulu aşı şirketlerinin kuklaları dışında gerçekleri anlatan ge… https://t.co/zAoWGOBXkV</t>
  </si>
  <si>
    <t>1468915237290188804</t>
  </si>
  <si>
    <t>@drfahrettinkoca Asi olmuyoruz bayim kanun da cikarsaniz bu birseyi degistirmez bizler kole degiliz madem asi koruy… https://t.co/LF3LNdOhQD</t>
  </si>
  <si>
    <t>1468914861379883012</t>
  </si>
  <si>
    <t>@drfahrettinkoca Artık insanlar uyandı şimdide Sözcü gazetesi haberi şu çok ölümcül ananda bulaşıcı olan omicron a… https://t.co/ziJkPTBu6Z</t>
  </si>
  <si>
    <t>1468914424861839360</t>
  </si>
  <si>
    <t>@drfahrettinkoca Siz yalanlarınızla çok şey kazanmış olabilirsiniz o yüzden doğrular işinize gelmiyo. Sen de öleceksin unutma</t>
  </si>
  <si>
    <t>1468914295308173318</t>
  </si>
  <si>
    <t>@drfahrettinkoca Asıl siz insanları korkutup titreyerek ölen insanların videosu toplu ceset torbaları kapı önüne bı… https://t.co/66Z3uVwZuU</t>
  </si>
  <si>
    <t>1468913808928296965</t>
  </si>
  <si>
    <t>@drfahrettinkoca İstatistik bikini gibidir. Ortaya koyduğu aklı çeler, ama gizlediği önemlidir. Aaron Levenstein</t>
  </si>
  <si>
    <t>1468912354880638984</t>
  </si>
  <si>
    <t>@drfahrettinkoca https://t.co/6dzQ6v0cNE</t>
  </si>
  <si>
    <t>1468912247841955849</t>
  </si>
  <si>
    <t>@drfahrettinkoca BİZDEKİ TARİKATLAR VE CEMAATLER  NERDESİNİZ   Katolik Rahip Edward Meeks:   "Hiçbir dünyevi kral,… https://t.co/eBcNpJYwEX</t>
  </si>
  <si>
    <t>1468911528925667333</t>
  </si>
  <si>
    <t>@drfahrettinkoca https://t.co/7S89BvjfPZ</t>
  </si>
  <si>
    <t>1468910429871165442</t>
  </si>
  <si>
    <t>@drfahrettinkoca Bu süreci düzgün yönetememenizin sonucudur. Harita boyayarak insanları ikna edemezsiniz. ''Hastala… https://t.co/fCYKMXvude</t>
  </si>
  <si>
    <t>1468910324560629768</t>
  </si>
  <si>
    <t>@drfahrettinkoca https://t.co/y9cvTgphC8</t>
  </si>
  <si>
    <t>1468910322585059328</t>
  </si>
  <si>
    <t>@drfahrettinkoca Bu tablo 13 aydır bizim yasadiklarimiz bakanım @drfahrettinkoca @halileldemir @suayipbirinci… https://t.co/HFTIJOd0cr</t>
  </si>
  <si>
    <t>1468910258525548548</t>
  </si>
  <si>
    <t>@drfahrettinkoca Sizin yerinize bizim utanmamızımızı bekliyorsunuz anlamadım ki. Evet rahat olabilirsiniz utanıyoru… https://t.co/9WiXEfaSFc</t>
  </si>
  <si>
    <t>1468910126673367041</t>
  </si>
  <si>
    <t>@drfahrettinkoca Artık yeter klavuz istiyoruz belli belirsiz bir boşluğun içinde çırpınıp duruyoruz sesimize ses ol… https://t.co/9s5vKN34HR</t>
  </si>
  <si>
    <t>1468909610526515206</t>
  </si>
  <si>
    <t>@drfahrettinkoca Her bitiş yeni bir başlangıç demek.. Şimdi sırada insanların iki senedir bir salgın malgın olmadığ… https://t.co/KZsDyXhJMD</t>
  </si>
  <si>
    <t>1468908962997276672</t>
  </si>
  <si>
    <t>@drfahrettinkoca Bizler değil siz pişman olacaksınız</t>
  </si>
  <si>
    <t>1468908505881063426</t>
  </si>
  <si>
    <t>@drfahrettinkoca Nemi kazandı bedelini hayatları ile ödüyor kahrettin abi</t>
  </si>
  <si>
    <t>1468907618278199301</t>
  </si>
  <si>
    <t>@drfahrettinkoca Allah var, elbette O'nun da bir hesabı var.</t>
  </si>
  <si>
    <t>1468906593144221700</t>
  </si>
  <si>
    <t>@drfahrettinkoca Ülkenin %90ını aşıladınız hala ölüm sayısı aynı</t>
  </si>
  <si>
    <t>1468904851878944770</t>
  </si>
  <si>
    <t>@drfahrettinkoca Sayın Koca bir gün sen de pişman olacaksın ama çok geç olacak</t>
  </si>
  <si>
    <t>1468904578880098311</t>
  </si>
  <si>
    <t>@drfahrettinkoca çok boş konuşuyosun be bakan efendi!! bomboşşşşşş. 120 milyonu geçmiş aşı sayısı. yüzde 85e yakın… https://t.co/mx7dSpfdZi</t>
  </si>
  <si>
    <t>1468902545309511685</t>
  </si>
  <si>
    <t>@drfahrettinkoca Kılavuzun ne olduğunu biliyormusunuz sn @drfahrettinkoca</t>
  </si>
  <si>
    <t>1468902463029878785</t>
  </si>
  <si>
    <t>@drfahrettinkoca Biz ataması yapılmayan sağlıkçılar olarak bize söylediğiniz yalanlardan bıktık artık. Bu yalanları… https://t.co/VGb17EhJ3H</t>
  </si>
  <si>
    <t>1468901295641829376</t>
  </si>
  <si>
    <t>@drfahrettinkoca Aşı pcr dayatması yüzünden işinden olanların vebali yeter. Yaptığınız hukuksuz uygulamalar. Turist… https://t.co/1ygK042D8R</t>
  </si>
  <si>
    <t>1468900989881225216</t>
  </si>
  <si>
    <t>@drfahrettinkoca Yoğun bakıma yattıysan aşın tam değildir, hafif geçiriyorsan ilk doz olmuş olsan bile aşın korumuş… https://t.co/GsDFeuv6vp</t>
  </si>
  <si>
    <t>1468900102198734848</t>
  </si>
  <si>
    <t>@drfahrettinkoca Favipiravir içinde aynısını söylüyordunuz sayın bakan noldu? Size asla güvenmiyorum.</t>
  </si>
  <si>
    <t>1468898889780584449</t>
  </si>
  <si>
    <t>@drfahrettinkoca İblisin uşakları</t>
  </si>
  <si>
    <t>1468898018841792519</t>
  </si>
  <si>
    <t>@drfahrettinkoca BU YOKLUKTA BU PARASIZLIKTA BU KADAR AŞI PARASINI NEREDEN BULUYORSUNUZ ? BEDAVA MI VERİYORLAR ? BA… https://t.co/vINo37DLsX</t>
  </si>
  <si>
    <t>1468897307458482180</t>
  </si>
  <si>
    <t>@drfahrettinkoca Bu tiyatronun aşılı ve  aklı efenkte olup korkanlar arasında döndüğünü biliyoruz. Kulluk vazifemiz… https://t.co/qarawAFpKa</t>
  </si>
  <si>
    <t>1468895168774520835</t>
  </si>
  <si>
    <t>@drfahrettinkoca Tıbba olan güven ve inancımız yok oluyor ..</t>
  </si>
  <si>
    <t>1468894441821847554</t>
  </si>
  <si>
    <t>@drfahrettinkoca aşı olayı düzmece bir oyun olanların çoğu özellikle 3.doz baxilari yerinden kalkamıyor denge bozul… https://t.co/ri9Wog5t2K</t>
  </si>
  <si>
    <t>1468894065383124992</t>
  </si>
  <si>
    <t>@drfahrettinkoca Laf ta öyle ... Asıl özdekini resmi olanı açıklasak... Bu aşı olmayan o kadar kişi ölüyor 💯 de 15… https://t.co/K4KlABTiCU</t>
  </si>
  <si>
    <t>1468892468737454084</t>
  </si>
  <si>
    <t>@drfahrettinkoca KILAVUZ İSTİYORUZ TAM BİR SENEDEN FAZLADIR BEKLİYORUZ. ARTIK YORULDUK @drfahrettinkoca</t>
  </si>
  <si>
    <t>1468891709874618371</t>
  </si>
  <si>
    <t>@drfahrettinkoca Aşıdan başka birşey dediğiniz yok yeter artık birdefa da klavuz deyin. #FKocayaKlavuzYaİstifa</t>
  </si>
  <si>
    <t>1468891367241920518</t>
  </si>
  <si>
    <t>@drfahrettinkoca Rahmetli Erbakan hocam bu tip açıklamalar için "Hadi oradan" der geçerdi</t>
  </si>
  <si>
    <t>1468891227382861827</t>
  </si>
  <si>
    <t>@drfahrettinkoca Biz ataması yapılmayan sağlıkçılar olarak bize söylediğiniz yalanlardan bıktık artık. Bu yalanları… https://t.co/QweQbKSjPo</t>
  </si>
  <si>
    <t>1468889258807201795</t>
  </si>
  <si>
    <t>@drfahrettinkoca Biz ataması yapılmayan sağlıkçılar olarak bize söylediğiniz yalanlardan bıktık artık. Bu yalanları… https://t.co/tFBZNFszEE</t>
  </si>
  <si>
    <t>1468889206332272644</t>
  </si>
  <si>
    <t>@drfahrettinkoca Biz ataması yapılmayan sağlıkçılar olarak bize söylediğiniz yalanlardan bıktık artık. Bu yalanları… https://t.co/of6pQuk3CG</t>
  </si>
  <si>
    <t>1468888437147287556</t>
  </si>
  <si>
    <t>@drfahrettinkoca Siz hükümete en fazla zarar verensiniz ve hala da gorevdeainiz</t>
  </si>
  <si>
    <t>1468888436786487300</t>
  </si>
  <si>
    <t>@drfahrettinkoca Sayın bakanım 1.5once işyerinde kalp krizi geçirip 112ile.ozel hastaneye yatirildim kalbime iki st… https://t.co/fJWeqFZawm</t>
  </si>
  <si>
    <t>1468888001988149257</t>
  </si>
  <si>
    <t>@drfahrettinkoca Biz kimseye olmayin demiyoruz isteyen istedigi kadar olsun ama o sivilari yaptiktan sonra neden ta… https://t.co/ENyuaQeHg1</t>
  </si>
  <si>
    <t>1468886354583072771</t>
  </si>
  <si>
    <t>@drfahrettinkoca İzmir de vakalar bitmek bilmiyorken doğuda vaka sayısı az. Aşılılar ne kazandı merak ediyorum?</t>
  </si>
  <si>
    <t>1468886348283138051</t>
  </si>
  <si>
    <t>@drfahrettinkoca Biz asimizi olduk maalesef dislerimizden muane olamiyoruz sizden ricamiz ben Gölbaşı da ikemet edi… https://t.co/oSDoXSa8sp</t>
  </si>
  <si>
    <t>1468884584712572929</t>
  </si>
  <si>
    <t>@drfahrettinkoca YOĞUN BAKIMlarda yatan hastalardan,  AŞI olanların YAŞ ORANI ve AŞI olmayanların YAŞ ORANını pek merak ediyorum.</t>
  </si>
  <si>
    <t>1468882975068758018</t>
  </si>
  <si>
    <t>@drfahrettinkoca Evet hatalı kararların sonucunu ben en yakından gördüm kardiyolog dam çıkamıyoruz</t>
  </si>
  <si>
    <t>1468882857552666628</t>
  </si>
  <si>
    <t>@drfahrettinkoca Buradan uyanan milletimize teşekkür ediyorum imkanı olan herkesi 12sinde istiklalde istiklal yürüy… https://t.co/yFe8c7l7wI</t>
  </si>
  <si>
    <t>1468882311617945600</t>
  </si>
  <si>
    <t>@drfahrettinkoca artık öyle bi duruma geldikki hiçbirşekilde hastaneyede gitmek istemiyom aşi olmasığım için yogun… https://t.co/fskcGfNJXM</t>
  </si>
  <si>
    <t>1468881912844505091</t>
  </si>
  <si>
    <t>@drfahrettinkoca önyargıyla mi alakası var</t>
  </si>
  <si>
    <t>1468881584141086720</t>
  </si>
  <si>
    <t>@drfahrettinkoca Sn. Bakan 3 doz aşılı akrabam geçen hafta covid + ile hastanede 6 gün yattı. Ona bulaştıran müdürü… https://t.co/hMfsnJHsG8</t>
  </si>
  <si>
    <t>1468881367580692484</t>
  </si>
  <si>
    <t>@drfahrettinkoca Önceden ayarlanmış Varyatlar sırayla geliyorlar ..!Ne zaman akıllanacağız .. https://t.co/NskThOTlpw</t>
  </si>
  <si>
    <t>1468879859426418689</t>
  </si>
  <si>
    <t>@drfahrettinkoca Bakanım aşıdan korkutmaya çalışan insanlar ne kazandı bilmiyorum ama tek bildiğim sizin bizi birer… https://t.co/MaqYApV3UW</t>
  </si>
  <si>
    <t>1468876482655232002</t>
  </si>
  <si>
    <t>@drfahrettinkoca sn. bakanımız lütfen kılavuzu yayınlar mısınız? bu atama bekleyen arkadaşlar grupta oy moy yok diy… https://t.co/B7QSYqnQbX</t>
  </si>
  <si>
    <t>1468875859595612161</t>
  </si>
  <si>
    <t>@drfahrettinkoca Uzaktan eğitim final sınavını online istiyoruz !!! duyun bizi lütfen kendi ilimizden 21 saatlik yo… https://t.co/AeMqCb57Ue</t>
  </si>
  <si>
    <t>1468875083452190723</t>
  </si>
  <si>
    <t>@drfahrettinkoca Hakkımı helal etmiyorum cidden almiyacaksanız bile almiyacaz diyin işimize bakalım hayatımın 1 yıl… https://t.co/4AldbowJzl</t>
  </si>
  <si>
    <t>1468874693553831940</t>
  </si>
  <si>
    <t>@drfahrettinkoca Uzaktan eğitim olduğumuz halde 2 3 saatlik sınav için 21 saatlik ulaşım ile okula gitmek mecburiye… https://t.co/TwrmLsvPGO</t>
  </si>
  <si>
    <t>1468874387243810821</t>
  </si>
  <si>
    <t>@drfahrettinkoca Aşılılar covid i yayıyor.  Hafif olduğu için ve onlardan PCR almadığınız için ortalıkta geziyorlar.</t>
  </si>
  <si>
    <t>1468873930786095107</t>
  </si>
  <si>
    <t>@drfahrettinkoca 200 TL olan aşıyı bedavaya hem de dört doz vurup üstüne bi de hergün reklamını yapıyorsunuz.   30… https://t.co/C5lsWTYf9X</t>
  </si>
  <si>
    <t>1468871772435013636</t>
  </si>
  <si>
    <t>@drfahrettinkoca Yakın zamanda covid ilaçları gibi aşılarında etkisiz olduğunu söyleceksiniz.O zaman nasıl hesap vereceksiniz</t>
  </si>
  <si>
    <t>1468870514840154113</t>
  </si>
  <si>
    <t>@drfahrettinkoca Milleti yanıltma sayın bakan. Aşılı ve Covid den ölenleri açıkla, sen saklasan da millet görüyor.… https://t.co/WmLD1ir506</t>
  </si>
  <si>
    <t>1468869208327049217</t>
  </si>
  <si>
    <t>@drfahrettinkoca Cumhurbaşkanından izin aldınızmı yazmak için ?</t>
  </si>
  <si>
    <t>1468869158129614850</t>
  </si>
  <si>
    <t>@drfahrettinkoca Ne mi kazandı elhamdülillah sağlık kazandı 💁🏻‍♀️</t>
  </si>
  <si>
    <t>1468866899505303558</t>
  </si>
  <si>
    <t>@drfahrettinkoca Madem omicron için 3. Doz aşıların koruyuculuğu açıklandı çalışmalarla, aşı karşıtı em*lleri ikna… https://t.co/4VSP3gUeQG</t>
  </si>
  <si>
    <t>1468866234645155841</t>
  </si>
  <si>
    <t>@drfahrettinkoca İnsanlarımızı anormal dediğiniz bir virüsle korkutmaya çalışmakla NE KAZANDINIZ? Hatalı tedavileri… https://t.co/Uh70ZVd89W</t>
  </si>
  <si>
    <t>1468864958754611206</t>
  </si>
  <si>
    <t>@drfahrettinkoca Covid-19 test kitleri nasıl oldu da 2017 de ithal edildi ve deneylerde 90 gün içinde 1223 ölüm old… https://t.co/GLidSiycsD</t>
  </si>
  <si>
    <t>1468864641551982595</t>
  </si>
  <si>
    <t>@drfahrettinkoca Bu vakalara inanan varmı Allah aşkına</t>
  </si>
  <si>
    <t>1468864372260941825</t>
  </si>
  <si>
    <t>@drfahrettinkoca Portekiz’de nüfusun %87,4 tüm aşıları tamamlanmış durumda. Çocuklar dışında nüfusun tamamı aşılanm… https://t.co/VAY2hVbd1z</t>
  </si>
  <si>
    <t>1468863835243171844</t>
  </si>
  <si>
    <t>@drfahrettinkoca Kılavuz?</t>
  </si>
  <si>
    <t>1468862999125446658</t>
  </si>
  <si>
    <t>@drfahrettinkoca Kimse uymuyor işte kapatın şu okulu https://t.co/LrDz0IWcCk</t>
  </si>
  <si>
    <t>1468862731633713159</t>
  </si>
  <si>
    <t>@drfahrettinkoca Evet, insanlarımızı sahte salgınla korkutmaya çalışanlar ne kazandı? Bol bol günah ve ilenç. Bu ti… https://t.co/r0SeOuaHg3</t>
  </si>
  <si>
    <t>1468862390985011200</t>
  </si>
  <si>
    <t>@drfahrettinkoca Her gün bıkmadan konuş konuş biz bıktık artık yaz yaz sana</t>
  </si>
  <si>
    <t>1468862113062039554</t>
  </si>
  <si>
    <t>@drfahrettinkoca Zındıklar gurubu  Aldatmayı bırakın. Mason olduğunuzu açıklayın https://t.co/XDdwMqU4Up</t>
  </si>
  <si>
    <t>1468861906265989120</t>
  </si>
  <si>
    <t>@drfahrettinkoca Bir yalan daha yıl bitiyor KLAVUZ yok https://t.co/L3hV7zuJ3i</t>
  </si>
  <si>
    <t>1468861032080855042</t>
  </si>
  <si>
    <t>@drfahrettinkoca KLAVUZ ARTIK YAYINLANSIN</t>
  </si>
  <si>
    <t>1468860612600074240</t>
  </si>
  <si>
    <t>@drfahrettinkoca @saglikbakanligi İngiltere ULUSAL SAĞLIK SİSTEMİ(NHS)ne göre, TAM DOZ SIVI alanların HASTANE YATIŞ… https://t.co/k5X5UsdGXb</t>
  </si>
  <si>
    <t>1468858918608719876</t>
  </si>
  <si>
    <t>@drfahrettinkoca Zerre kadar güvenmiyoruz size, aşı dediğiniz o onayı olmayan sıvıyı kabul etmeyeceğiz.</t>
  </si>
  <si>
    <t>1468857794770128897</t>
  </si>
  <si>
    <t>@drfahrettinkoca Sayın bakan, prof.larınızdan birisi iğnelerin yan etkisi olarak  küçük, minnak,sevimli ! pıhtıcıkl… https://t.co/b9hU4fIXO9</t>
  </si>
  <si>
    <t>1468856809872150533</t>
  </si>
  <si>
    <t>@drfahrettinkoca Size yalvarırım artık şu kılavuzu hemen yayınlayın</t>
  </si>
  <si>
    <t>1468856191157743619</t>
  </si>
  <si>
    <t>@drfahrettinkoca Hayatı yalan dediklerine net örneksin. Paylaşımlarının altına bak bakalım sana onlarca aşı maduru… https://t.co/T5CBgDtsfS</t>
  </si>
  <si>
    <t>1468855887569768453</t>
  </si>
  <si>
    <t>@drfahrettinkoca Bakanım biz size ne yaptık Allahınızı severseniz ne yaptık biz size. sadece işimizin başında olmak… https://t.co/TpVtoVodW8</t>
  </si>
  <si>
    <t>1468855788030644224</t>
  </si>
  <si>
    <t>@drfahrettinkoca Len oglim sen Tıp fakültesinde "tıp" oyunu mu oynadın, yoksa fakülteyi dışarıdan mı okudun</t>
  </si>
  <si>
    <t>1468855783421091844</t>
  </si>
  <si>
    <t>@drfahrettinkoca Sayın bakan, TÜİK denen bir kurum var, haziran ayında açıklaması gereken 2020 ölüm verlerini hala… https://t.co/YWNZYnKL2E</t>
  </si>
  <si>
    <t>1468855488125280261</t>
  </si>
  <si>
    <t>@drfahrettinkoca kimse bizi aşıdan korkutmadı siz ve satınan alınan medya aslında korku yayanlarsınız aşı olmadım d… https://t.co/trh1i7pn6y</t>
  </si>
  <si>
    <t>1468855310840381443</t>
  </si>
  <si>
    <t>@drfahrettinkoca https://t.co/Oh5pbg8erb</t>
  </si>
  <si>
    <t>1468855297259327493</t>
  </si>
  <si>
    <t>@drfahrettinkoca Kimse korkutmadı sayın bakan millet biraz aklını kullanmaya başladı aşı olup covidten ölenleri cov… https://t.co/E0J7sT1KeA</t>
  </si>
  <si>
    <t>1468855023299960835</t>
  </si>
  <si>
    <t>@drfahrettinkoca Kusura bakmayın aşı olupta lanet ilaç firmalarının ebedi müşterisi olmayacağız !</t>
  </si>
  <si>
    <t>1468854232052817925</t>
  </si>
  <si>
    <t>@drfahrettinkoca Aşı olunursa pişman olunacağına eminim neye hizmet ediyorsunuz?</t>
  </si>
  <si>
    <t>1468852872465063939</t>
  </si>
  <si>
    <t>@drfahrettinkoca Pzifer davaları ve sonuçlarından mi bahsetsek biraz da</t>
  </si>
  <si>
    <t>1468852848926633988</t>
  </si>
  <si>
    <t>@drfahrettinkoca Hani, Taparak İlahlaştırdığınız $IVILARINIZ Koruyacak'tı? https://t.co/jqejU4UzyS</t>
  </si>
  <si>
    <t>1468850851712274434</t>
  </si>
  <si>
    <t>@drfahrettinkoca Tam aşılı terimi her varyantta değişiyor sonu olmayan yolculuk....</t>
  </si>
  <si>
    <t>1468850481850163200</t>
  </si>
  <si>
    <t>@drfahrettinkoca KILAVUZ KILAVUZ KILAVUZ KILAVUZ KILAVUZ KILAVUZ KILAVUZ KILAVUZ KILAVUZ KILAVUZ KILAVUZ KILAVUZ KI… https://t.co/rAABFEL2SL</t>
  </si>
  <si>
    <t>1468850268892798977</t>
  </si>
  <si>
    <t>@drfahrettinkoca Eğer ocak ayını kılavuz için bekletiyosanız oylar gittikten sonra sizde bizim için pişman olursunu… https://t.co/OH1UyqXuGN</t>
  </si>
  <si>
    <t>1468850134465265665</t>
  </si>
  <si>
    <t>@drfahrettinkoca Peki neden en çok aşılanan illderde vakalar yüksek https://t.co/s6pdD0jo6v</t>
  </si>
  <si>
    <t>1468850093507887108</t>
  </si>
  <si>
    <t>@drfahrettinkoca Kapalı mekanlarda virüs daha hızlı yayılıyor ölümcül oluyor siz belirttiniz Cezaevinde 20kişilik k… https://t.co/XnBzp46xNy</t>
  </si>
  <si>
    <t>1468850013400932355</t>
  </si>
  <si>
    <t>@drfahrettinkoca Abi sana güvenmemek için geçerli bir sebebim var. Sen akparti sağlık bakanısın.</t>
  </si>
  <si>
    <t>1468848778178351105</t>
  </si>
  <si>
    <t>@drfahrettinkoca Ahahha yinee KLAVUZ YOK kaç yaşında adamsınız sayın bakan böyle mi SÖZÜNÜN ERİSİN .</t>
  </si>
  <si>
    <t>1468846553293013000</t>
  </si>
  <si>
    <t>@drfahrettinkoca Aşısı tam olmayandan kastı: 2 doz oldu ama 3. Dozu olmamış , 3. Dozu olmuş ama hatırlatma olmamış… https://t.co/q2QTPOgJsA</t>
  </si>
  <si>
    <t>1468845988764860419</t>
  </si>
  <si>
    <t>@drfahrettinkoca Aşılı yatanlar ve aşısı tam olarak yatanların oranı nedir.aşı bir çözüm değil,ileri zamanlar için… https://t.co/5DuVqoqfK4</t>
  </si>
  <si>
    <t>1468845937653075970</t>
  </si>
  <si>
    <t>@drfahrettinkoca Eminim öyledir. Haritalar tam tersini söylüyor. Aşı olumu yoğun olan yerlerde vaka sayısı neden;aş… https://t.co/4OYxX9J1Db</t>
  </si>
  <si>
    <t>1468844092092203010</t>
  </si>
  <si>
    <t>@drfahrettinkoca JOHN D. ROCKEFELLER’İN MASON İNANCINDAN ALINAN METİN   Dünyaya farklı bir hikaye sunacağız çünkü t… https://t.co/Ik3vRFz8hG</t>
  </si>
  <si>
    <t>1468843970574835714</t>
  </si>
  <si>
    <t>@drfahrettinkoca Ben, 55 sene sonra olacağım aşımı!</t>
  </si>
  <si>
    <t>1468843346802135040</t>
  </si>
  <si>
    <t>@drfahrettinkoca Milletimize Ne Olduğu Belli Olmayan Bu Şeytani $IVILARI Enjekte Etmeye Çalışan, Edilmesini Emreden… https://t.co/0AwXBpE0jW</t>
  </si>
  <si>
    <t>1468842914533023745</t>
  </si>
  <si>
    <t>@drfahrettinkoca Telefonunun ek ayarlarında Mac ayarı açıp kalabalıkta Bluetooth ile tarama yap da gör bakalım insa… https://t.co/p7LlHS9ljA</t>
  </si>
  <si>
    <t>1468842824816861191</t>
  </si>
  <si>
    <t>@drfahrettinkoca Insanların umutlarıyla oynuyorsunuz yapmayın ya 13 aydır kılavuz bekliyoruz seni seven tek bir sağ… https://t.co/RIwciZsIDx</t>
  </si>
  <si>
    <t>1468842603156320257</t>
  </si>
  <si>
    <t>@drfahrettinkoca Aşının  tam olması içi kac tane yaptırmak gerektiğini  bilse millet ona göre tamamlar sizler bile… https://t.co/mLndoanhKw</t>
  </si>
  <si>
    <t>1468842571283812352</t>
  </si>
  <si>
    <t>@drfahrettinkoca Evet bir virüs var ama korkuttukları gibi değil Salgın  falan yok inanmayın..</t>
  </si>
  <si>
    <t>1468842134862184449</t>
  </si>
  <si>
    <t>@drfahrettinkoca Yazık ya yazık.onca zamandır atama diyen bu insanları aylardır ciprindittirdiniz.YAZİKLAR OLSUN</t>
  </si>
  <si>
    <t>1468842043191537670</t>
  </si>
  <si>
    <t>@drfahrettinkoca Hadi ordan tayyonun kölesi</t>
  </si>
  <si>
    <t>1468841817043050496</t>
  </si>
  <si>
    <t>@drfahrettinkoca Bu millete yalan söylemek büyük bir suçtur</t>
  </si>
  <si>
    <t>1468841422572900355</t>
  </si>
  <si>
    <t>@drfahrettinkoca Kılavuz yayınlansın artık yeter...</t>
  </si>
  <si>
    <t>1468841332231786498</t>
  </si>
  <si>
    <t>@drfahrettinkoca Bu yoklukta çektiğimiz sıkıntılar sen biliyorsun Allah'ım 10 saat 12 saat yol git yeme icme bin TL… https://t.co/zfCTuLciuw</t>
  </si>
  <si>
    <t>1468841220852142089</t>
  </si>
  <si>
    <t>@drfahrettinkoca KIRK YALAN FARETTİN GEÇERSİZ PCR İLE VAKA TESPİT EDİLMEZ.. AŞI DEĞİL ÖLÜMCÜL DENEY SIVISI NEDEN DE… https://t.co/mZ2PN5TsIL</t>
  </si>
  <si>
    <t>1468840536031252480</t>
  </si>
  <si>
    <t>@drfahrettinkoca 1. yıl hidroksiklorin ile canlara kıydılar 2. yıl favipiravir ile... İkisini de kabul ettiler. Rek… https://t.co/m2E27BLM4v</t>
  </si>
  <si>
    <t>1468839180004376580</t>
  </si>
  <si>
    <t>@drfahrettinkoca Küreselcilerin Planı varsa Allahın da Bir planı Var. Şüphesiz O tuzak Kuranların En Hayırlısıdır..</t>
  </si>
  <si>
    <t>1468838616751296512</t>
  </si>
  <si>
    <t>@drfahrettinkoca Sayın koca siz ne zaman pişmanlık duyacaksınız #kabineomicrongelmedenonline</t>
  </si>
  <si>
    <t>1468838505791082498</t>
  </si>
  <si>
    <t>@drfahrettinkoca İyiki Aşı olmadım. Sen şu Aşı Yan Etki verilerini açıkla!!! Aşı olmayacağım.. Firma Sorumluluk alm… https://t.co/El7gNyeESb</t>
  </si>
  <si>
    <t>1468837979439435780</t>
  </si>
  <si>
    <t>@drfahrettinkoca ya ağzını açana kürekle dalıyonuz ama bu aşı karşıtlarının fink atmasına seyirci kalıyorsunuz...… https://t.co/O9jpWLkaX9</t>
  </si>
  <si>
    <t>1468837811457601545</t>
  </si>
  <si>
    <t>@drfahrettinkoca Hala uyuyanlara gelsin? https://t.co/5LFkXWqMJo</t>
  </si>
  <si>
    <t>1468836941454000129</t>
  </si>
  <si>
    <t>@drfahrettinkoca Ne anlatıyorsun hocam</t>
  </si>
  <si>
    <t>1468836847904301062</t>
  </si>
  <si>
    <t>@drfahrettinkoca Sayın Bakan Sayende Hastanelere gidemiyoruz. Sebep randevu yok. Özele gidecek para yok. Lütfen ist… https://t.co/JqQClFA4Ih</t>
  </si>
  <si>
    <t>1468836048708976640</t>
  </si>
  <si>
    <t>@drfahrettinkoca Sayın Bakanım, artık online eğitim kararını  tüm iller için vermelisiniz. Bugün okulda 9 sınıf  ka… https://t.co/ZpJV4voifR</t>
  </si>
  <si>
    <t>1468835288180924418</t>
  </si>
  <si>
    <t>@drfahrettinkoca Hiç aşı olmamış veya aşısını tam olmamış algısını yemiyoruz artık zoraki bakan bey, çıkın adam gib… https://t.co/oZYPbagLjB</t>
  </si>
  <si>
    <t>1468834904335175683</t>
  </si>
  <si>
    <t>@drfahrettinkoca Pişman değilim olmayacagimda benim olmam gereken ölüm sivisini al kendin kullan BAKAN!Covid oldum… https://t.co/tl08fgQJvW</t>
  </si>
  <si>
    <t>1468834515527340043</t>
  </si>
  <si>
    <t>@drfahrettinkoca Siz ne kazandınız sayın bakan ?? Açıklayın verileri muallak bilgiler vermek yerine görsün vatandaş… https://t.co/trcVaqdbHw</t>
  </si>
  <si>
    <t>1468833371333799938</t>
  </si>
  <si>
    <t>@drfahrettinkoca Neyimizi düşündüler devletler şimdiye kadar sağlığımızı mı düşünecekler Afrika'da hergun 3000 çocu… https://t.co/tVkvUKyaIl</t>
  </si>
  <si>
    <t>1468831569234247681</t>
  </si>
  <si>
    <t>@drfahrettinkoca Önyargı ile kimsenin kimseyi korkuttuğu yok. O sizin işiniz maalesef.  Dünyada bilim insanı sadece… https://t.co/tRl7AAWEGh</t>
  </si>
  <si>
    <t>1468831189347799042</t>
  </si>
  <si>
    <t>@drfahrettinkoca Sus lan DSÖ</t>
  </si>
  <si>
    <t>1468828782643527680</t>
  </si>
  <si>
    <t>@drfahrettinkoca @halksagligigm Siz virüs ve ölüm ile korkutarak ne kazandınız???? Bence bayontek ve sinovak kazand… https://t.co/11AzugdE8O</t>
  </si>
  <si>
    <t>1468827443737808897</t>
  </si>
  <si>
    <t>@drfahrettinkoca Bir kişinin bağışıklık sistemi zayıfsa covidden ölebilir” Ve yine bir kişinin bağışıklık sistemi z… https://t.co/81XhTfVs50</t>
  </si>
  <si>
    <t>1468826566734065668</t>
  </si>
  <si>
    <t>@drfahrettinkoca Tmm</t>
  </si>
  <si>
    <t>1468730324389711876</t>
  </si>
  <si>
    <t>@drfahrettinkoca Tam aşıdan kastımız nedir? Her yapılan bir kaç zaman sonra eksik oluyorda!!!</t>
  </si>
  <si>
    <t>1468729384462913544</t>
  </si>
  <si>
    <t>@drfahrettinkoca Sorulması gereken asıl soru şu: Bu plandemiden, kim ne kazandı? https://t.co/c1GXPEuvuv</t>
  </si>
  <si>
    <t>1468728434180476928</t>
  </si>
  <si>
    <t>@drfahrettinkoca Biz  DSÖ nun  zehriyle ölmek için getirilmedik yaradan tarafından  biz yaradana tapiyoruz ilaç kartelerine değil</t>
  </si>
  <si>
    <t>1468727658561298443</t>
  </si>
  <si>
    <t>@drfahrettinkoca A$$i denen sıvı sonrası kaybettiğimiz  yakınlarımızın hesabını nasıl vereceksiniz merak ediyorum. Yargilanacaksiniz.</t>
  </si>
  <si>
    <t>1468726282263449600</t>
  </si>
  <si>
    <t>@drfahrettinkoca Herkese merhabalar arkadaşlar kusura Bakmayın gerçekten zor durumdayız kiramizi odeyemedik yetişem… https://t.co/9SueuAAqRw</t>
  </si>
  <si>
    <t>1468724742697934854</t>
  </si>
  <si>
    <t>@drfahrettinkoca Artık bu iş bir komedi attığınız twet satın aldığınız medyadaki haberlerde sizin anlattığınız gibi… https://t.co/lzyzj2zyfu</t>
  </si>
  <si>
    <t>1468724095110033411</t>
  </si>
  <si>
    <t>@drfahrettinkoca Milletini eve tıkayıp, turistlere meydanı bırakan biri mi atıyor bu tweeti?</t>
  </si>
  <si>
    <t>1468723093376053249</t>
  </si>
  <si>
    <t>@drfahrettinkoca #Olmadım #olmayacağım mRNA deney sıvılarını! Hastalığı da hafif atlattım çok şükür. İki gün yattım… https://t.co/m4CAtf4T6j</t>
  </si>
  <si>
    <t>1468722782380908551</t>
  </si>
  <si>
    <t>@drfahrettinkoca Çevremizde çift doz biontek vurulun herkes kalp krizinden ölüyor .neden acaba bu kadar kalp ölümü… https://t.co/EMqbkS4lsM</t>
  </si>
  <si>
    <t>1468722684422938629</t>
  </si>
  <si>
    <t>@drfahrettinkoca Minicik pihti minicik felç minicik diye gidiyor eee çokta masum degil asiniz😡😡😡</t>
  </si>
  <si>
    <t>1468722497617022983</t>
  </si>
  <si>
    <t>@drfahrettinkoca Aşıdan sonra çeşitli kalp damar hastalıkları ,felç ve minicik pıhtıcıklar yüzünden ölenleri saklam… https://t.co/dV3ZMLOBJ1</t>
  </si>
  <si>
    <t>1468722456064110601</t>
  </si>
  <si>
    <t>@drfahrettinkoca Kimseyi kazanmaya çalışmıyorum artık herkes kendi aklını kullanıp kendi canının derdine düşsün . B… https://t.co/NRSkq1id85</t>
  </si>
  <si>
    <t>1468721976474849283</t>
  </si>
  <si>
    <t>@drfahrettinkoca Hepimiz TOPLUCA ASI olursak Virusu adam ederiz ,54 yasinda delta dan ölen hic Asisiz cenazeye gitt… https://t.co/9ewCPWe8UC</t>
  </si>
  <si>
    <t>1468720801482481666</t>
  </si>
  <si>
    <t>@drfahrettinkoca Mahşer günü ah o gün geldiğin de tövbeler kabul olmayacak!</t>
  </si>
  <si>
    <t>1468720089985961986</t>
  </si>
  <si>
    <t>@drfahrettinkoca aşılari size ve  o bilim kurulu üyelerine yapsak da kurtulsak sizden keşke bıktık palavralardan aş… https://t.co/ot0IOiYkjB</t>
  </si>
  <si>
    <t>1468717991059771395</t>
  </si>
  <si>
    <t>@drfahrettinkoca Kaybettiniz bunu anlayın artık.</t>
  </si>
  <si>
    <t>1468715891059838978</t>
  </si>
  <si>
    <t>@drfahrettinkoca Bitmeyecek  bu çile</t>
  </si>
  <si>
    <t>1468714527885778949</t>
  </si>
  <si>
    <t>@drfahrettinkoca Dünyanın her yerinde deneysel sıvıların yan etki istatistikleri var. Bizde yok.</t>
  </si>
  <si>
    <t>1468713735028097030</t>
  </si>
  <si>
    <t>@drfahrettinkoca Aşı denilen şeye halel gelmemesi için zaten bütün önlemleri almışsınız  https://t.co/Uu4vuG1z4w</t>
  </si>
  <si>
    <t>1468713663997558784</t>
  </si>
  <si>
    <t>@drfahrettinkoca Tam aşılı amcayı günlerdir entübeden sonra bugün toprağa verdiler bu ilkte değildi siz bu işin art… https://t.co/YTaKbeYAYe</t>
  </si>
  <si>
    <t>1468712515014172677</t>
  </si>
  <si>
    <t>@drfahrettinkoca Kim ki algı yapıyorsa ve milleti kandırıyorsa ve sağlığından ediyorsa Allah onun belasını versin. Amin mi sayın bakan?</t>
  </si>
  <si>
    <t>1468712402833362945</t>
  </si>
  <si>
    <t>@drfahrettinkoca Aşı yapiyorsunuzda siz ne kazandiniz ? Hergün 200 kişinin öldüğünü açıklıyorsunuz !</t>
  </si>
  <si>
    <t>1468711981968416773</t>
  </si>
  <si>
    <t>@drfahrettinkoca Inanmıyorum.Olmayacağım.Sizide Allaha havale ediyorum</t>
  </si>
  <si>
    <t>1468711901551017993</t>
  </si>
  <si>
    <t>@drfahrettinkoca PCR çubukarında &amp;gt; Grafen bileşikleri var mı ? &amp;gt; Başka zararlı unsurlar var mı ? Yokluğunu garanti… https://t.co/X11YomwODB</t>
  </si>
  <si>
    <t>1468711349744283670</t>
  </si>
  <si>
    <t>@drfahrettinkoca Aşısını olduktan sonra kalp krizinden ölenler keyiflerinden yada sizi sabote etmek için mi ölüyorl… https://t.co/TV9ghhF2ES</t>
  </si>
  <si>
    <t>1468710726927884294</t>
  </si>
  <si>
    <t>@drfahrettinkoca HADİ ORDAN  DSÖ NÜN BİLL GATSİİN PARALI UŞAKLARI SİZİ  SEN ONLARA AŞIMI DİYON ZEHIR ONLAR ARTIK SO… https://t.co/Vo2zxJfWCr</t>
  </si>
  <si>
    <t>1468710318775939080</t>
  </si>
  <si>
    <t>@drfahrettinkoca Onursuz Fahrettin istifa et</t>
  </si>
  <si>
    <t>1468710154464018437</t>
  </si>
  <si>
    <t>@drfahrettinkoca Sen önce,şu toplumu teslim ettiğin teröristlerle ilgili işlem yap, diplomalarını yırtıp, ceza evin… https://t.co/n9TZy7Q0Gp</t>
  </si>
  <si>
    <t>1468709913761353728</t>
  </si>
  <si>
    <t>@drfahrettinkoca Vaka sayıları çok güzel düşüyorken ölüm sayıları neden bir türlü düşmüyor Bakan Bey? Bu konu hakkı… https://t.co/4Yyop5PWOg</t>
  </si>
  <si>
    <t>1468708965316022285</t>
  </si>
  <si>
    <t>@drfahrettinkoca O ooo o hala KLAVUZ için izin alamadın mı bakan bey ?</t>
  </si>
  <si>
    <t>1468708569306607616</t>
  </si>
  <si>
    <t>@drfahrettinkoca Neden aşısız Afrikada vaka ve ölüm yokken,ölümlerin %40 gelişmiş ve milyarlarca doz aşı vurmuş Avr… https://t.co/VkQejzvZlb</t>
  </si>
  <si>
    <t>1468708568102801412</t>
  </si>
  <si>
    <t>@drfahrettinkoca Bakanım merak ediyorum cehaletimi mazur görün aşısız tamnedir 2doz sinovak mı birde tam asılı olma… https://t.co/oahoeORBe2</t>
  </si>
  <si>
    <t>1468708419917991949</t>
  </si>
  <si>
    <t>@drfahrettinkoca Bilgisayarcı adam bana a$ılan diyo arkadaş kafayı yiyecem ve bunu savunan kişiler ve pazarlamasını… https://t.co/lKhwqYrq6Z</t>
  </si>
  <si>
    <t>1468707983303618566</t>
  </si>
  <si>
    <t>@drfahrettinkoca Atma ziya..... Allaha nasıl hesap vereceksin...1.doz %90 2.doz 82 'ye gelmiş hala 21 bin vaka aşıl… https://t.co/hdCHJTN0su</t>
  </si>
  <si>
    <t>1468707879192612865</t>
  </si>
  <si>
    <t>@drfahrettinkoca Düşenler bayılanlar hoplayanlar zıplayanlar köpek gibi havlayanlar titreye titreye can verme rolü… https://t.co/o62X8Mq4uh</t>
  </si>
  <si>
    <t>1468707271697969152</t>
  </si>
  <si>
    <t>@drfahrettinkoca Biz ne kazanalım zaten ama siz iyi kazaniyorsunuzdur heralde.</t>
  </si>
  <si>
    <t>1468707001500848137</t>
  </si>
  <si>
    <t>@drfahrettinkoca zararlı aşıya karşı olan bir  doktor ile naklen yayın yapan tv ekibi ile rastgele bir hastanenin y… https://t.co/EpuqBOKRqw</t>
  </si>
  <si>
    <t>1468706880126132231</t>
  </si>
  <si>
    <t>@drfahrettinkoca Yüzbinler beşyüzbinler beğenirdi twetlerini ne oldu kaça düştü beğeni farkı görüyor musun. 3,4,5 d… https://t.co/FkUTkK0bYo</t>
  </si>
  <si>
    <t>1468706574747291658</t>
  </si>
  <si>
    <t>@drfahrettinkoca Herkezin kendine yetecek aklı var, sen başkalarının aklı ile,birgün söylediğini ertesi gün yalanlı… https://t.co/4R2JCKZE44</t>
  </si>
  <si>
    <t>1468706458577608711</t>
  </si>
  <si>
    <t>@drfahrettinkoca Aşısız ve ilaçsız şifa bulan o kadar çok insan var ki adam şifa bulmuş daha zorluyon aşı ol pcr ve… https://t.co/ComWo5XPeM</t>
  </si>
  <si>
    <t>1468705863070322698</t>
  </si>
  <si>
    <t>@drfahrettinkoca Tabi gerçekleri saklayarak siz ne kazanmak İstediniz küresel sisteme sert geçiş yaptık sıraya giri… https://t.co/zdEzJ64gAe</t>
  </si>
  <si>
    <t>1468705501546491905</t>
  </si>
  <si>
    <t>@drfahrettinkoca aşıdan sonra ölen,felç olan #bionttechyanetki #aşımağdurları  binlerce kişi var,tek kelime etmedin… https://t.co/lrct0POfEm</t>
  </si>
  <si>
    <t>1468705467484545035</t>
  </si>
  <si>
    <t>@drfahrettinkoca İşimden aşı ve pcr yüzünden olursam ey Bakan sana özel isminle cuma gecesi beddualar etmeyen,hatta… https://t.co/hovwsKfcVB</t>
  </si>
  <si>
    <t>1468705306737889282</t>
  </si>
  <si>
    <t>@drfahrettinkoca Su anda aile.olarak hepimiz pozitif vakayiz.COk tsk ederim asi siramiz gelmis ve asimizi yaptırmış… https://t.co/q0aOAMbVMB</t>
  </si>
  <si>
    <t>1468704949563498503</t>
  </si>
  <si>
    <t>@drfahrettinkoca 2 yıldır ABD, Kanada, Türkiye olmak üzere tamamen maskesiz, mesafesiz vee aşısız dolaşıyorum. Hâlâ… https://t.co/4yiRSQmyRM</t>
  </si>
  <si>
    <t>1468704419835428866</t>
  </si>
  <si>
    <t>@drfahrettinkoca Aşı olmak isteyen istediği kadar olsun bişey diyen namerttir,ancak olmayana olmak istemeyene 48 sa… https://t.co/u01FXCeXaI</t>
  </si>
  <si>
    <t>1468704277568835589</t>
  </si>
  <si>
    <t>@drfahrettinkoca Pişman olanlar aşı olup toprağa verdiğimiz yakınlarımız, onlarda dile gelemiyor maalesef.. Bunu bir düşün sen..</t>
  </si>
  <si>
    <t>1468704145439875083</t>
  </si>
  <si>
    <t>@drfahrettinkoca bilinçli yanlış tedavilerle katliam yaptınız! sizin bu saçmalıklariniza kim inanır Fahrettin? !!!… https://t.co/xPUwTMDtE1</t>
  </si>
  <si>
    <t>1468702274692255748</t>
  </si>
  <si>
    <t>@drfahrettinkoca Hatalı kararların sonucunu bildiginiz kadar aşının da sonucunu biliyorsunuz aslında. Ama ispatlanm… https://t.co/IBSiZmomZp</t>
  </si>
  <si>
    <t>1468701351236489224</t>
  </si>
  <si>
    <t>@drfahrettinkoca Ben bu dönemi unutmadım ve unutturmayacağım ne verdiyseniz onu görürsünüz varsın olsun 2022 de bol… https://t.co/E9F8zsrBcE</t>
  </si>
  <si>
    <t>1468700853741797382</t>
  </si>
  <si>
    <t>@drfahrettinkoca SON UYARI 1  Bize verilen bir süre var ve bu süre bitiyor. Yalan ile doğruyu birbirinden ayırmak v… https://t.co/w7pu9mVYEo</t>
  </si>
  <si>
    <t>1468700677132148743</t>
  </si>
  <si>
    <t>@drfahrettinkoca SON UYARI 2  Dostlar sizden istediğim sadece bu olay duyulana kadar bu konuyu gündem yapmanız..  B… https://t.co/odjyP2UC7s</t>
  </si>
  <si>
    <t>1468700660682178565</t>
  </si>
  <si>
    <t>@drfahrettinkoca Allahinizdan bulun 13 aydır ne hale getirdiniz  bizi hayatımızı kararttnız bir sene boyunca hiç mi… https://t.co/SshUKieqou</t>
  </si>
  <si>
    <t>1468700185471725582</t>
  </si>
  <si>
    <t>@drfahrettinkoca Biz hiçkimseyi önyargılarla falan korkutmuyoruz sayın bakan. Biz araștırıyoruz sorușturuyoruz ve g… https://t.co/E2UCTxm0OL</t>
  </si>
  <si>
    <t>1468700028881584133</t>
  </si>
  <si>
    <t>@drfahrettinkoca Kimin aşısı tam ki ülkede. Sağolun hergün yenisini çıkartıyorsunuz. Yeni varyant deyip aşıları kit… https://t.co/uZ43NJVVVG</t>
  </si>
  <si>
    <t>1468699998284095491</t>
  </si>
  <si>
    <t>@drfahrettinkoca Hâlâ bu yalanlara inanan var mı acaba 🤥</t>
  </si>
  <si>
    <t>1468699483848519683</t>
  </si>
  <si>
    <t>@drfahrettinkoca Peki siz sayın koca insanları aşı denilen o sıvıya zorlayarak NE KAZANDINIZ??</t>
  </si>
  <si>
    <t>1468699050627244041</t>
  </si>
  <si>
    <t>@drfahrettinkoca Rastgele bi yoğun bakım seçelim ve girelim bakalım sayın bakan, orada yatanlar așılı mı așısız mı? VAR MISINIZ?</t>
  </si>
  <si>
    <t>1468698269933092872</t>
  </si>
  <si>
    <t>@drfahrettinkoca Sağlıkçısıni bu kadar yok sayan bir bakan istemiyoruz işinizi yapın artik</t>
  </si>
  <si>
    <t>1468698087304667147</t>
  </si>
  <si>
    <t>@drfahrettinkoca Peki🙄</t>
  </si>
  <si>
    <t>1468698060192690177</t>
  </si>
  <si>
    <t>@drfahrettinkoca Tebrikler 2021 yılını  atamasız kapattınız sağlıkçı yılında hiç atama yapmadınız o koltuğun hakkın… https://t.co/R2Hq44WiG2</t>
  </si>
  <si>
    <t>1468697250994003972</t>
  </si>
  <si>
    <t>@drfahrettinkoca Asıl bol bol aşı aşı diye kanal kanal gezenler NE KAZANDI! Yada maske, dezenfektan satanlar hepsi… https://t.co/y7kP4BOAoQ</t>
  </si>
  <si>
    <t>1468697186582028297</t>
  </si>
  <si>
    <t>@drfahrettinkoca Sn Bakanım 3 doz sinovaclılara 4. Doz hakkı neden  verilmiyor  acaba. Yaşlılar risk grubunda olup… https://t.co/i5BtJ6BRvi</t>
  </si>
  <si>
    <t>1468695834141372430</t>
  </si>
  <si>
    <t>@drfahrettinkoca Kim ögretti buna harita boyamayi Bill Gates mi dedi yavrum</t>
  </si>
  <si>
    <t>1468695691723694093</t>
  </si>
  <si>
    <t>@drfahrettinkoca bu milletin vebalini ,ödeyemeyeceksin,ahirette</t>
  </si>
  <si>
    <t>1468695440476540930</t>
  </si>
  <si>
    <t>@drfahrettinkoca Yoğun bakımlarda yatanların yarısı aşısızlar idi  Ya geriye kalanlar ❓❓❓❓ Aşısız uzaylılarmı Aşısı… https://t.co/ZtXVlNHUWs</t>
  </si>
  <si>
    <t>1468695429785206797</t>
  </si>
  <si>
    <t>@drfahrettinkoca Peki kılavuzu asla yayınlamayan siz bakanım. NE KAZANDINIZ? @drfahrettinkoca… https://t.co/pcMfBGcsZB</t>
  </si>
  <si>
    <t>1468695041740873728</t>
  </si>
  <si>
    <t>@drfahrettinkoca Aşı karşıtı bir tanıdığım Covid19 dan öldü :( Aşı karşıtları, yapmıyorsanız mani olmayın. Başkalar… https://t.co/OTqBxkJchc</t>
  </si>
  <si>
    <t>1468694738865991684</t>
  </si>
  <si>
    <t>@drfahrettinkoca Artık kanmıyorlar yalanlara demekk.</t>
  </si>
  <si>
    <t>1468694539485515778</t>
  </si>
  <si>
    <t>@drfahrettinkoca Aşısız ve gaaayet sağlıklıyız.3 aşılı olup hasta olan ve ölenleri açıkla, molnupiraviride almaaa batırdın  ülkeyi</t>
  </si>
  <si>
    <t>1468694535639375872</t>
  </si>
  <si>
    <t>@drfahrettinkoca İki yıldır bana neden birşey olmuyor,yatacak yeriniz yok sizin</t>
  </si>
  <si>
    <t>1468693968456232966</t>
  </si>
  <si>
    <t>@drfahrettinkoca 3 doz aşılı babam vefat etti ! Yoğun bakımda yatan hastaların hepsi aşılı !</t>
  </si>
  <si>
    <t>1468693905436815362</t>
  </si>
  <si>
    <t>@drfahrettinkoca Kaç tane aşı yaptırınca aşısı tam oluyor ? Mesela 3 biontek yaptırmış olup da ölenleri tam aşılı sayıyor musun sen ? ? ?</t>
  </si>
  <si>
    <t>1468693862302588939</t>
  </si>
  <si>
    <t>@drfahrettinkoca sayın bakan bu günlerde insanlar maske takmayı bırakdılar. en kötüsü de asansörlerde, toplu bulunu… https://t.co/Xx4r74DwZg</t>
  </si>
  <si>
    <t>1468693806337961989</t>
  </si>
  <si>
    <t>@drfahrettinkoca Mazlumun öç alma günü zalimin zülüm ettiğinde daha çetin olacaktır  hiç kimsenin şüphesi olmasın k… https://t.co/GQnNMEu9vZ</t>
  </si>
  <si>
    <t>1468693766269812741</t>
  </si>
  <si>
    <t>@drfahrettinkoca Bir zamanlar insanları korkutmak için yoğun bakımları paylaşanlar NE KAZANDI?</t>
  </si>
  <si>
    <t>1468693378422480902</t>
  </si>
  <si>
    <t>@drfahrettinkoca Aşısı tam olmayan??? Bu aşı kaç dozda tam olacak acaba?</t>
  </si>
  <si>
    <t>1468692953526939651</t>
  </si>
  <si>
    <t>@drfahrettinkoca yürü git ,yürü git ,ağzımı bozdurma benim ,Allah belanı versin</t>
  </si>
  <si>
    <t>1468692799948308494</t>
  </si>
  <si>
    <t>@drfahrettinkoca Çocuklar iki sene sonunda tam aşı olmaya karar vermiştim, yarın gidip sinovac olayım demiştim kiii… https://t.co/BpPcNu9kYL</t>
  </si>
  <si>
    <t>1468692645987983373</t>
  </si>
  <si>
    <t>@drfahrettinkoca Önyargımı, insanlar aşı olmama hakkını kullanıyor, siz kendiniz demiyor muydunuz, orta ve uzun vad… https://t.co/B1xWhGfF8x</t>
  </si>
  <si>
    <t>1468692123209846784</t>
  </si>
  <si>
    <t>@drfahrettinkoca MRNA aşılarının uzun vadeli sonuçlarının bilinmediğini söyleyen siz değil misiniz?Ne değişti? Pfiz… https://t.co/fkHI50LYjy</t>
  </si>
  <si>
    <t>1468692031572783109</t>
  </si>
  <si>
    <t>@drfahrettinkoca Kılavuz istiyoruz yeter arrık oyaladiginiz!!!!!!</t>
  </si>
  <si>
    <t>1468691254246625286</t>
  </si>
  <si>
    <t>@drfahrettinkoca Aşıya gerek mi var bu şartlar da yaşamak için ölmüşüz zaten yormayın bizi</t>
  </si>
  <si>
    <t>1468690924423323664</t>
  </si>
  <si>
    <t>@drfahrettinkoca En nihayetinde herkes ölücek dimi ? Ben aşısız ölme hakkımı istiyorum. Siz aşılı ölün tamam ? Anla… https://t.co/UuPbZ8WPX7</t>
  </si>
  <si>
    <t>1468690776330747908</t>
  </si>
  <si>
    <t>@drfahrettinkoca Sn.bakan ,Allah aşkına elinizi vicdanınıza koyun ve cevaplayın:Bu ülkede aşı kaynaklı bir tane bil… https://t.co/sCEkUiKVc8</t>
  </si>
  <si>
    <t>1468689595277717513</t>
  </si>
  <si>
    <t>@drfahrettinkoca Siz de gerekli tedbirleri alın. Misal Arap turistlerin maske ve mesafe kuralına uymasını neden sağ… https://t.co/dmjgvFcQj4</t>
  </si>
  <si>
    <t>1468689508036141056</t>
  </si>
  <si>
    <t>@drfahrettinkoca Aşı lobileri yeterince zengin oldu..  Yeter artık ya, düşün yakamızdan 😠 https://t.co/3Z4d0B2H4O</t>
  </si>
  <si>
    <t>1468689486477471757</t>
  </si>
  <si>
    <t>@drfahrettinkoca Aynı nakarat hep aynı aynı, tamamı bayat, anlat anlat 🎶🎶</t>
  </si>
  <si>
    <t>1468688697218502657</t>
  </si>
  <si>
    <t>@drfahrettinkoca Omicron varyantına karşı 2 doz aşının yetersiz olduğu 3. dozun etkili olacağı açıklandı. 3 doz aşı… https://t.co/zfIFqeVLBX</t>
  </si>
  <si>
    <t>1468688185010139147</t>
  </si>
  <si>
    <t>@drfahrettinkoca ÇEVREMDE SADECE 1 HAFTA İÇİNDE AŞI SONRASI "MİNNACIK PITHTI" ATTIĞI İÇİN EMBOLİ VE AKUT KORONER SE… https://t.co/fTaqsyZJgw</t>
  </si>
  <si>
    <t>1468688085395333120</t>
  </si>
  <si>
    <t>@drfahrettinkoca Umarım biran önce kabine değişikliği olur</t>
  </si>
  <si>
    <t>1468686781923086343</t>
  </si>
  <si>
    <t>@drfahrettinkoca Siz yan etkileri minnacık bir pıhticik diye anlatırken ne kazandınız? Aşıdan 8 hafta sonra oluşaca… https://t.co/0g40SYFNzW</t>
  </si>
  <si>
    <t>1468686501353562114</t>
  </si>
  <si>
    <t>@drfahrettinkoca mahvettin kocayalan herşeyin yalan aşılılarda aynı oranda ölüyor. aşının hiç bir faydası yok. yala… https://t.co/VVqG3OHnaV</t>
  </si>
  <si>
    <t>1468686220364558344</t>
  </si>
  <si>
    <t>@drfahrettinkoca Sayın Bakan kendiniz söylüyorsunuz "aşısı tam olmayan kişiler" devletin bakanlık kurumunu küçük dü… https://t.co/Z4sSKGgFwn</t>
  </si>
  <si>
    <t>1468686035756404736</t>
  </si>
  <si>
    <t>@drfahrettinkoca Ya bi git başka yerde anlat bu masalları. Bir sürü ilac kakaladin millete hala konusuyorsun https://t.co/ZuKAIqHEHt</t>
  </si>
  <si>
    <t>1468686025975287808</t>
  </si>
  <si>
    <t>@drfahrettinkoca Atama yapmayıp, hastaneleri eksik kadroyla çalıştıran sağlık bakanlığı NE KAZANDI ? https://t.co/ECoxXNaOVj</t>
  </si>
  <si>
    <t>1468685799206100992</t>
  </si>
  <si>
    <t>@drfahrettinkoca Yüzde kaçı aşısız yüzde kaçı eksik aşılı ??</t>
  </si>
  <si>
    <t>1468685106562875401</t>
  </si>
  <si>
    <t>@drfahrettinkoca ATAMA DA ALINMASI GEREKEN Bİ KARAR DOSTUM 😎</t>
  </si>
  <si>
    <t>1468684903516676104</t>
  </si>
  <si>
    <t>@drfahrettinkoca @DrMetinCakir Bizi çok düşünüyormuş gibi yapıyorsun ya bırak bu işleri  3 günlük dünyada çıkar men… https://t.co/Ouc7ecVnoj</t>
  </si>
  <si>
    <t>1468684723623014412</t>
  </si>
  <si>
    <t>@drfahrettinkoca Evet 3 aşılı neden hala yogun bakımda cevap verirseniz seviniriz</t>
  </si>
  <si>
    <t>1468684336060936201</t>
  </si>
  <si>
    <t>@drfahrettinkoca Kocaman bir senede 60 bin personel aldık diyorsunuz ya nerede 60 bin personel? 12 bin 2020yle aldı… https://t.co/qMrd88f5RI</t>
  </si>
  <si>
    <t>1468684223066349573</t>
  </si>
  <si>
    <t>@drfahrettinkoca Şimdi bu tabloya göre en az vakalar da en cok aşı yaptırılan iller olması lazım öyle mi peki. Bir… https://t.co/1cBThUlCBP</t>
  </si>
  <si>
    <t>1468684176895401994</t>
  </si>
  <si>
    <t>@drfahrettinkoca Ben hiç aşı dediginiz sıvıyı vücuduma enjekte ettirmedim ve gayette sağlıklıyım olanlarda hep bir… https://t.co/9E6J73iQ2u</t>
  </si>
  <si>
    <t>1468684050521112576</t>
  </si>
  <si>
    <t>@drfahrettinkoca Sizin kesin bir deliliniz varmı? Varsa neden zorla ve tehditle yaptırdığınız  aşıların olası Yan E… https://t.co/6gKcfAMYWs</t>
  </si>
  <si>
    <t>1468683956249841666</t>
  </si>
  <si>
    <t>@drfahrettinkoca 3. doz için arayı 3 aya indirin</t>
  </si>
  <si>
    <t>1468683778029764616</t>
  </si>
  <si>
    <t>@drfahrettinkoca Benim anlamadığı, aşılama oranı yükselsede, ölen sayısı çok değişmiyor, günde 200 kişi vefat ediyo… https://t.co/vDbJ4Uvp2c</t>
  </si>
  <si>
    <t>1468683685302001675</t>
  </si>
  <si>
    <t>@drfahrettinkoca Yeter artık yeter bıktık aşi aşi insanlara iş yerinde mobıng baskı yapılıyır</t>
  </si>
  <si>
    <t>1468683648597700619</t>
  </si>
  <si>
    <t>@drfahrettinkoca İsteğe bağlı olsun yeter duy duy DUY</t>
  </si>
  <si>
    <t>1468683504485556231</t>
  </si>
  <si>
    <t>@drfahrettinkoca Sizin söyleminizle tam aşılı olmak için günlük aşı mi yaptirmalayiz 2 doz sinovac yeter dediniz za… https://t.co/ORiFDqkVDE</t>
  </si>
  <si>
    <t>1468683348981731330</t>
  </si>
  <si>
    <t>@drfahrettinkoca Kılavuz bekliyoruz  bakanım bu kadar beklettiğimiz yetmiyor mu ?</t>
  </si>
  <si>
    <t>1468683072887476229</t>
  </si>
  <si>
    <t>@drfahrettinkoca İlahi sayın bakanım. Çok şakacısınız. Ben o testi yaptırmam bu sayede aşı falan da lazım değil. Bu… https://t.co/BpI75idExS</t>
  </si>
  <si>
    <t>1468682735170564099</t>
  </si>
  <si>
    <t>@drfahrettinkoca Ölüm sayılarından haberiniz var mı</t>
  </si>
  <si>
    <t>1468682324552388618</t>
  </si>
  <si>
    <t>@drfahrettinkoca Aşılı arkadaşım yatarak geçiriyor aşısı hocam ayakta atlatıyor nerede aşı?</t>
  </si>
  <si>
    <t>1468682150249705479</t>
  </si>
  <si>
    <t>@drfahrettinkoca Bugün söz verip yapmadığınız atamanın üstünden 1 ay geçti. Asla ama asla bize 1 senedir çektirdiği… https://t.co/QYGL2EVnpJ</t>
  </si>
  <si>
    <t>1468681960495226881</t>
  </si>
  <si>
    <t>@drfahrettinkoca Bosuna ugrasma bizim milletimiz bildini yasar gördugunu yapmaz</t>
  </si>
  <si>
    <t>1468681933794295820</t>
  </si>
  <si>
    <t>@drfahrettinkoca https://t.co/prIxOi34do</t>
  </si>
  <si>
    <t>1468681673726435332</t>
  </si>
  <si>
    <t>@drfahrettinkoca https://t.co/APm7IA0moW</t>
  </si>
  <si>
    <t>1468681636216819719</t>
  </si>
  <si>
    <t>@drfahrettinkoca https://t.co/KEdnZDGJO0</t>
  </si>
  <si>
    <t>1468681599084548110</t>
  </si>
  <si>
    <t>@drfahrettinkoca Cikin karsilarina o zaman neden sagirsiniz cikin ve adam gibi yaptiginiz uygulamalari savunun ispa… https://t.co/mKk3GXT1W4</t>
  </si>
  <si>
    <t>1468681118845222912</t>
  </si>
  <si>
    <t>@drfahrettinkoca 5-11 yaş çocuklarımız aşı sırası bekliyor.</t>
  </si>
  <si>
    <t>1468681097382879243</t>
  </si>
  <si>
    <t>@drfahrettinkoca @DrMetinCakir Gelmiş geçmiş en sahtekâr Sağlık bakanı olarak Tarihe geçeceksiniz. Aşı kaynaklı ölü… https://t.co/ExFisrCdDs</t>
  </si>
  <si>
    <t>1468681074071031814</t>
  </si>
  <si>
    <t>@drfahrettinkoca Sayın bakan çift doz biontech olan o kadar çok hasta varki hastalık geçiren, vefat eden, (eski mil… https://t.co/EYuL6RThxR</t>
  </si>
  <si>
    <t>1468680585283579913</t>
  </si>
  <si>
    <t>@drfahrettinkoca Sayın bakanım covid 19'dan Prof.Dr.Günay Karaağaç hocayı kaybettik.</t>
  </si>
  <si>
    <t>1468680147968704512</t>
  </si>
  <si>
    <t>@drfahrettinkoca Sayin Bakan 3 doz sinovac olmus yaslilarimiz icin 4.dozu ne zaman aciyorsunuz ? Yaslilarimiz Temmu… https://t.co/f846lZeLO7</t>
  </si>
  <si>
    <t>1468679987112853517</t>
  </si>
  <si>
    <t>@drfahrettinkoca Varmisin sayın bakan su yoğun bakımları senle kol kola bir gezelim ??</t>
  </si>
  <si>
    <t>1468679602633687045</t>
  </si>
  <si>
    <t>@drfahrettinkoca Allah seni inandırsin çevremde ne kadar asılı varsa ya pozitif çıktı yada hastanelik oldu ! Bu zam… https://t.co/uBBzzuHsJe</t>
  </si>
  <si>
    <t>1468679331761246217</t>
  </si>
  <si>
    <t>@drfahrettinkoca O önyargı dediğiniz,sorgulamak olmasın. https://t.co/HSHTACMdTV</t>
  </si>
  <si>
    <t>1468679331488714759</t>
  </si>
  <si>
    <t>@drfahrettinkoca Şu tablo kadar saçma taplo VARMI????</t>
  </si>
  <si>
    <t>1468679149015515148</t>
  </si>
  <si>
    <t>@drfahrettinkoca eylem yapan iş bırakan sağlık çalışanlarını ihraç edin.</t>
  </si>
  <si>
    <t>1468678730595844104</t>
  </si>
  <si>
    <t>@drfahrettinkoca 3. doz aşı için acilen 3 ay kararı çıkmalı</t>
  </si>
  <si>
    <t>1468678433492377605</t>
  </si>
  <si>
    <t>@drfahrettinkoca Siz Aşı yaptırarak ne kazandınız. Memleketi kapatarak, dünyanın parasını aşıya vererek, milleti aç… https://t.co/e2IEIjEBV2</t>
  </si>
  <si>
    <t>1468678277674016770</t>
  </si>
  <si>
    <t>@drfahrettinkoca 3. doz aşıların 3 ay araya indirilmesi gerektiği bas bas batırılarak söyleniyor siz tutturdunuz 6 ay diye</t>
  </si>
  <si>
    <t>1468678190218502146</t>
  </si>
  <si>
    <t>@drfahrettinkoca Bir düş yakamızdan  artık ülkenin insanını DSÖ ye kaç paraya peşkeş çektin yargılanmalısın 🤦‍♀️</t>
  </si>
  <si>
    <t>1468678166206164997</t>
  </si>
  <si>
    <t>@drfahrettinkoca Şu sizde prof bilim kurulu doktorlarindan birtanesinin asilarin kalp rahatsizligi ve mini mini pih… https://t.co/i1oJsbVEjr</t>
  </si>
  <si>
    <t>1468677756691128321</t>
  </si>
  <si>
    <t>@drfahrettinkoca Lütfen aşı olun aşının size ne gibi bir zararı olabilir Allah aşkına el birliğiyle bu dünyayı kurt… https://t.co/o05zmtKAe5</t>
  </si>
  <si>
    <t>1468677731030347782</t>
  </si>
  <si>
    <t>@drfahrettinkoca Aşılar kaçıncı doz da tam olacak</t>
  </si>
  <si>
    <t>1468677395456708609</t>
  </si>
  <si>
    <t>@drfahrettinkoca Sürekli korku pompalıyan sizsiniz. Sizin bilim kurulu üyelerini ve ceyhandır.</t>
  </si>
  <si>
    <t>1468677161192202249</t>
  </si>
  <si>
    <t>@drfahrettinkoca Hala aynı terane ve cesaret edip bir defa olsun hiç aşı olmamamis ve iki üç doz aşı olup asisiz sa… https://t.co/LR7q40DTX0</t>
  </si>
  <si>
    <t>1468676874641592326</t>
  </si>
  <si>
    <t>@drfahrettinkoca Ya Koca kocaman adamsın hala neden yalan bilgi veriyorsun.kaç kişi eksik aşılı kaç kişi aşısız yat… https://t.co/ug1XmckFfp</t>
  </si>
  <si>
    <t>1468676705439072260</t>
  </si>
  <si>
    <t>@drfahrettinkoca Asisiz olup hala yaşayanlar ne olacak onlar da acaba mutasyona uğramış olabilir mi 😂</t>
  </si>
  <si>
    <t>1468676500190908422</t>
  </si>
  <si>
    <t>@drfahrettinkoca Tedavide kullandığınız her şey yanlış çıkmasına rağmen yüzünüzde kızarmıyor. Tedavi protokolünde y… https://t.co/Ojpt99sGvV</t>
  </si>
  <si>
    <t>1468676133482897410</t>
  </si>
  <si>
    <t>@drfahrettinkoca Sadece anlamaya çalışıyorum Sayın bakanım. Size göre aşısı tamamlanan yaklaşık 12.5 milyon, aşı ol… https://t.co/CzF3POGS7y</t>
  </si>
  <si>
    <t>1468675671694225416</t>
  </si>
  <si>
    <t>@drfahrettinkoca Hastanede yatanların çoğu Gaziantepte 15 yaş altı yalanınız batsın sizin yeter vicdana gelin vicda… https://t.co/wNUQTfaKQN</t>
  </si>
  <si>
    <t>1468675639653842963</t>
  </si>
  <si>
    <t>@drfahrettinkoca şu verileri bir paylaşssanız da biz de gönül rahatlığıyla inansak keşke hatta o aşısızların Tc num… https://t.co/VS2rFtH6DP</t>
  </si>
  <si>
    <t>1468675541620379653</t>
  </si>
  <si>
    <t>@drfahrettinkoca Tam aşıdan kastınız nedir Sayın Bakan, daha bu gün üç doz daha buyurdu Uğur Şahin. O aşı dediğiniz… https://t.co/vUnkIKyYP0</t>
  </si>
  <si>
    <t>1468675216536653836</t>
  </si>
  <si>
    <t>@drfahrettinkoca Kalp krizi, felç, kalp kası iltihabı, inme, muhtemel kanser, körleşmeye varan yan etkiler ve daha… https://t.co/OxEBLzlQ9j</t>
  </si>
  <si>
    <t>1468675042003329026</t>
  </si>
  <si>
    <t>@drfahrettinkoca Yahu bu değil mi geçen Cumhurbaşkanına yok efendim size sormadan izin almadan birşey der miyim diyen bakan?</t>
  </si>
  <si>
    <t>1468674857407848456</t>
  </si>
  <si>
    <t>@drfahrettinkoca Yaw he he mahfettin koca 😂😂</t>
  </si>
  <si>
    <t>1468674453064364032</t>
  </si>
  <si>
    <t>@drfahrettinkoca Aşının uzun vadeli etkilerini bilmiyoruz diye açıklama yapmistiniz.</t>
  </si>
  <si>
    <t>1468673979258912780</t>
  </si>
  <si>
    <t>@drfahrettinkoca Tabi tabi...Bir tane aşıyla ilgili olumsuz etki ortaya koymayan size,bu insanlar niye inansın? Önc… https://t.co/yGIIM4Q3Jn</t>
  </si>
  <si>
    <t>1468673928772173827</t>
  </si>
  <si>
    <t>@drfahrettinkoca Sayın bakanım biz sağlıkçılar #özürDileHakanUral  diye tag açtık, katılmak ister misiniz</t>
  </si>
  <si>
    <t>1468673892067782662</t>
  </si>
  <si>
    <t>@drfahrettinkoca Rakamları yayınlayın, görelim kaç kişi aşısız, kaç kişi aşı olmuş (dozları ile birlikte)</t>
  </si>
  <si>
    <t>1468673796416708615</t>
  </si>
  <si>
    <t>@drfahrettinkoca Hiçmi ALLAH korkusu yok sizde 🤔🤔 Hz Peygamber efendimiz şaka bile olsa asla yalan söylemeyin buyuruyor</t>
  </si>
  <si>
    <t>1468673432325959684</t>
  </si>
  <si>
    <t>@drfahrettinkoca Hadi oradan Cavit bakanı Asisizim ailemin hepsi asisiz okadar güven sarstiniz ki 6 aylık oğlum sıf… https://t.co/292ZLs3Vyh</t>
  </si>
  <si>
    <t>1468673308463976450</t>
  </si>
  <si>
    <t>@drfahrettinkoca Bi tarafımızla güldük bu söylediğinize.Aşı olanlar sanki daha pişman gibi sayın bakan.</t>
  </si>
  <si>
    <t>1468673178742448128</t>
  </si>
  <si>
    <t>@drfahrettinkoca Değerli Başkanım, göğüsten altı omurilik felçlisinin kolları sağlam diye bakıcı parası da kesilmem… https://t.co/MRXmSo9ymt</t>
  </si>
  <si>
    <t>1468672957262278658</t>
  </si>
  <si>
    <t>@drfahrettinkoca Bıraksak mı bu yalanları artık sayın bakanım</t>
  </si>
  <si>
    <t>1468672678223650817</t>
  </si>
  <si>
    <t>@drfahrettinkoca Aşı ve pcr dayatmalarınız sonucu  3 çocuk babası bir aile sahibi olarak tam 3 aydır… https://t.co/XwAHZf3Q2H</t>
  </si>
  <si>
    <t>1468672468655263761</t>
  </si>
  <si>
    <t>@drfahrettinkoca Saliver hayat bizim hayatımız. Aşı, olanı koruyorsa benden sanane kime ne</t>
  </si>
  <si>
    <t>1468672342222159880</t>
  </si>
  <si>
    <t>@drfahrettinkoca Alınması gereken bir diğer karar da sağlık çalışanlarının haklı taleplerini mali ve özlük hakların… https://t.co/okrP8ObODg</t>
  </si>
  <si>
    <t>1468672238262145036</t>
  </si>
  <si>
    <t>@drfahrettinkoca Profil resmi biraz kızarmış, az da olsa utanma var sanki.</t>
  </si>
  <si>
    <t>1468671897864912903</t>
  </si>
  <si>
    <t>@drfahrettinkoca Aşı ve PCR testi ile korkutanlar NE KAZANDI? Hatalı aşılarınızın sonucunu biliyoruz. Aşıdan ölen y… https://t.co/4Nq55RAHxJ</t>
  </si>
  <si>
    <t>1468671752402259978</t>
  </si>
  <si>
    <t>@drfahrettinkoca ONLİNE EĞİTİM İSTİYORUZ NASIL DUYMUYORSUNUZ BİZİ NASIL❗️❗️❗️❗️</t>
  </si>
  <si>
    <t>1468671708055969792</t>
  </si>
  <si>
    <t>@drfahrettinkoca Hastalarin geri kalan bolumu asili diyorsunuz ama o nasil olacak. Asi tam manasiyla korumuyor doyo… https://t.co/yJ4WznGpQ3</t>
  </si>
  <si>
    <t>1468671615781199881</t>
  </si>
  <si>
    <t>@drfahrettinkoca Verileri yayınlayın bakanım. Aşılı, aşısız ama tek doz da olsa denek olanları aşısız saymayın, son… https://t.co/j2atPfmWau</t>
  </si>
  <si>
    <t>1468671482045812742</t>
  </si>
  <si>
    <t>1468671453499428870</t>
  </si>
  <si>
    <t>@drfahrettinkoca Fahrettin. derin bi nefes al ve sonsuza kadar tut o nefesi. çünkü o taptığın aşılar   kadar  gerek… https://t.co/HoyLpmd0Fo</t>
  </si>
  <si>
    <t>1468671447858130952</t>
  </si>
  <si>
    <t>@drfahrettinkoca Ne güzel konuya değindiniz Sayın Bakanımız. Hatalı olan yanlış tedavi yanlış ilaç ve yanlış aşı ve… https://t.co/e4sW6pzPyo</t>
  </si>
  <si>
    <t>1468671405784981504</t>
  </si>
  <si>
    <t>@drfahrettinkoca Siz de o zaman aşı olmak isteyenlere o kağıtları imzalatmayin.  Bir yan etkide sorumluluğu alın .… https://t.co/eZjZTqbert</t>
  </si>
  <si>
    <t>1468671404874903552</t>
  </si>
  <si>
    <t>@drfahrettinkoca https://t.co/EhGmfRUXdA</t>
  </si>
  <si>
    <t>1468671362101350400</t>
  </si>
  <si>
    <t>@drfahrettinkoca Sayın Bakan!  ⁉️mRNA Gen Değiştirici sıvı, ne zaman aşı oldu acaba?  ⁉️Madem mRNA sıvı aşı oldu; A… https://t.co/rznJUWp1MK</t>
  </si>
  <si>
    <t>1468670968344293378</t>
  </si>
  <si>
    <t>@drfahrettinkoca Sayın bakanım pandemide ailemizden uzakta mücadele ettik ve sağlıkçı olarak sadece sizden destek g… https://t.co/4ENBgsLdE1</t>
  </si>
  <si>
    <t>1468670905685807104</t>
  </si>
  <si>
    <t>@drfahrettinkoca Dün bir arkadaşımın babası koronadan vefat etti. 3 doz aşılıydı.</t>
  </si>
  <si>
    <t>1468670703968952335</t>
  </si>
  <si>
    <t>@drfahrettinkoca Resmi tüm rakamları objektif il il açıklayın. Vakaların ve ölenlerin kaçı aşılı kaçı aşısız kaçı t… https://t.co/HqcGtlupeG</t>
  </si>
  <si>
    <t>1468670625417941000</t>
  </si>
  <si>
    <t>@drfahrettinkoca https://t.co/kZVhSVlVxK</t>
  </si>
  <si>
    <t>1468670564097310720</t>
  </si>
  <si>
    <t>@drfahrettinkoca İki sinovak bir biontek https://t.co/8RGM3fwKdR gerek varmı #fahrettinkoca</t>
  </si>
  <si>
    <t>1468670424456339456</t>
  </si>
  <si>
    <t>@drfahrettinkoca 2 doz aşılı olan arkadaşlar üzgünüm ama, aşısı tam olmayanlar kategorisine girdiğiniz için yoğun b… https://t.co/asyKC9Zu38</t>
  </si>
  <si>
    <t>1468670413374996485</t>
  </si>
  <si>
    <t>@drfahrettinkoca https://t.co/YC6eXntevC</t>
  </si>
  <si>
    <t>1468670270193999878</t>
  </si>
  <si>
    <t>@drfahrettinkoca Hasan abi ile rabia yenge ikiside 3 doz aşılıydı rabia yenge korona oldu hastaneye yatırdılar ve Öldü. Bu kadar</t>
  </si>
  <si>
    <t>1468670217328988163</t>
  </si>
  <si>
    <t>@drfahrettinkoca al sana aşı😂 https://t.co/TpokWjuXwr</t>
  </si>
  <si>
    <t>1468670118725140486</t>
  </si>
  <si>
    <t>@drfahrettinkoca https://t.co/BrAx5ZOgP9</t>
  </si>
  <si>
    <t>1468669946251075590</t>
  </si>
  <si>
    <t>@drfahrettinkoca Allah aşkına ya fakirlikten öleceğiz yok covitten!!! Tuzun kuru hala konuşuyorsun!!</t>
  </si>
  <si>
    <t>1468669901795741701</t>
  </si>
  <si>
    <t>@drfahrettinkoca Bill gates in aşı,sini mi ? Vurdurmaliyiz !!! İngilizce bilen bi yardimcin yokmu alooooo</t>
  </si>
  <si>
    <t>1468669892375240704</t>
  </si>
  <si>
    <t>@drfahrettinkoca Bu belki bazılarının aşı sevdasına yanıt olur ama sanmıyorum sizler 8 aşıya kadar gidersiniz https://t.co/O3rjtVJZCZ</t>
  </si>
  <si>
    <t>1468669701446414338</t>
  </si>
  <si>
    <t>@drfahrettinkoca Eminmisin benim vekalet verdigimin atadigi zati muhterem sayi ver sayi ama tuikten verme gercekleri ver</t>
  </si>
  <si>
    <t>1468669602804781059</t>
  </si>
  <si>
    <t>@drfahrettinkoca Yaşadıklarına mı? İnanayım sizin gibi DSÖ  usaklarina mi ? 2 doz biontech aşısı olan iş  arkadaşım… https://t.co/I3kR0otvtX</t>
  </si>
  <si>
    <t>1468669499289346053</t>
  </si>
  <si>
    <t>@drfahrettinkoca Paravan şirket kaç paraya aliyor aşıları ? Devlete ne kadar satılıyor bu aşılar?</t>
  </si>
  <si>
    <t>1468669495778717701</t>
  </si>
  <si>
    <t>@drfahrettinkoca Yurt arkadaşlarımın çoğu aşıdan sonra sorun yaşıyor. Madem bu kadar eminsiniz asinizdan o hâlde aş… https://t.co/N4ZaJBVAxE</t>
  </si>
  <si>
    <t>1468669395014725638</t>
  </si>
  <si>
    <t>@drfahrettinkoca Bu milleti anlamak çok zor adam; doktora, profosöre, inanmıyor, gidip diploması olmayan adama inanıyor!</t>
  </si>
  <si>
    <t>1468669235773779968</t>
  </si>
  <si>
    <t>@drfahrettinkoca Siz önce doktorları rahat bırakın DSÖ'nün tedavi protokollerini zorlamaktan vazgeçin. Doktorların… https://t.co/Pj17Caroea</t>
  </si>
  <si>
    <t>1468669219093028869</t>
  </si>
  <si>
    <t>@drfahrettinkoca Offffff içim şişti içimmmmm</t>
  </si>
  <si>
    <t>1468669202995236871</t>
  </si>
  <si>
    <t>@drfahrettinkoca Yani 3 aşılı anamiz babamız yoğun bakımlarda öldü sebep olanları Allah 2 cihanda da zelil etsin di… https://t.co/rfbUGPOdzr</t>
  </si>
  <si>
    <t>1468669141733228545</t>
  </si>
  <si>
    <t>@drfahrettinkoca Olmuyoruz olmuyoruzzzz.</t>
  </si>
  <si>
    <t>1468668979958976522</t>
  </si>
  <si>
    <t>@drfahrettinkoca 3. Doz satışları azaldı heralde ,aşıya gelen olmayınca  , "elde kalan aşıları napacaz" demiyorsanı… https://t.co/h4i2RhH6n3</t>
  </si>
  <si>
    <t>1468668958656106502</t>
  </si>
  <si>
    <t>@drfahrettinkoca İş aşı olan kişileri saymak değil. Sırf esnaf para kazansın diye bu kadar öğrencinin hayatı tehlik… https://t.co/zclo8qXvSe</t>
  </si>
  <si>
    <t>1468668901613522945</t>
  </si>
  <si>
    <t>@drfahrettinkoca Sayın bakan size cevap yazanların %95 i muhalif ve yalanlarınıza bıkmış gibi gözüküyor, fahrettin… https://t.co/kIJcgfsTI3</t>
  </si>
  <si>
    <t>1468668292353167363</t>
  </si>
  <si>
    <t>@drfahrettinkoca O zaman😕bu rezilliğe niye izin veriliyor❓❗ https://t.co/GivhpGr5e4</t>
  </si>
  <si>
    <t>1468668250628186118</t>
  </si>
  <si>
    <t>@drfahrettinkoca Aynen öyle bakanım hemen  aşı  yaptırın ve pişman olmayın bir an önce virüsten kurtulacaz allahin ve hep beraber inşallah</t>
  </si>
  <si>
    <t>1468667971589582854</t>
  </si>
  <si>
    <t>@drfahrettinkoca Benim koronadan hastanede (özellikle yanlış tedaviden) vefat eden komşumun annesi de bugün 3 doz a… https://t.co/gxrVi5XxqR</t>
  </si>
  <si>
    <t>1468667939104739331</t>
  </si>
  <si>
    <t>@drfahrettinkoca Sorumluluğu üzerine alıyor musun? Onam formunu kaldır,  bütün sorumluluk sağlık bakanligindadir di… https://t.co/NX60nMwr0a</t>
  </si>
  <si>
    <t>1468667898537390084</t>
  </si>
  <si>
    <t>@drfahrettinkoca Ali rıza demircan hoca bakın ne diyor, https://t.co/OQsYvuFC2e</t>
  </si>
  <si>
    <t>1468667743650164750</t>
  </si>
  <si>
    <t>@drfahrettinkoca Virüs bir yerde dursa olacağız aşıyı da bakanım, dansöz gibi kıvırıyor Virüs varyantları</t>
  </si>
  <si>
    <t>1468667618731118593</t>
  </si>
  <si>
    <t>@drfahrettinkoca Mini mini pıhtıcık lara sebep olan deneysel Mrna gen terapisini , bu milletin üzerinde denemeniz i… https://t.co/b6lzBZUpld</t>
  </si>
  <si>
    <t>1468667508202909697</t>
  </si>
  <si>
    <t>@drfahrettinkoca Pıhtırcık bakan,sen dsö ve film kurulunu kov,bak fürüs nasıl kendiliğinden bitiyor.</t>
  </si>
  <si>
    <t>1468667194280189953</t>
  </si>
  <si>
    <t>@drfahrettinkoca Olmuyorum</t>
  </si>
  <si>
    <t>1468667089854554124</t>
  </si>
  <si>
    <t>@drfahrettinkoca Sayın bakanım şu millet size inanmakla pişman oldu.</t>
  </si>
  <si>
    <t>1468666953124524036</t>
  </si>
  <si>
    <t>@drfahrettinkoca 4-5 aydır Konya ve Niğde arasındaki eşsiz rekabeti kimin kazanacağını merak ediyorum</t>
  </si>
  <si>
    <t>1468666901287079937</t>
  </si>
  <si>
    <t>@drfahrettinkoca https://t.co/N8yBiYd6WN</t>
  </si>
  <si>
    <t>1468666895972941828</t>
  </si>
  <si>
    <t>@drfahrettinkoca Hı hıı,tamam</t>
  </si>
  <si>
    <t>1468666767325159425</t>
  </si>
  <si>
    <t>@drfahrettinkoca Ne kadar asi tam oluyor ona göre anlatın da hessplayalim</t>
  </si>
  <si>
    <t>1468666573900632068</t>
  </si>
  <si>
    <t>@drfahrettinkoca FAHO SAÇMALAMA KERİZ AVINA ÇIKTIN.. CEHENNEM SENİ BEKLİYOR</t>
  </si>
  <si>
    <t>1468666344887443458</t>
  </si>
  <si>
    <t>@drfahrettinkoca Bize suç atarak kurtulacağını mı sanıyorsun @drfahrettinkoca ,  Hodri meydan yoğun bakımlara gidel… https://t.co/PmHS7ksGpC</t>
  </si>
  <si>
    <t>1468666308569059340</t>
  </si>
  <si>
    <t>@drfahrettinkoca açıklar mıısnız sayın bakan? Madem bizim sağlığımızı bu kdar düşünüyorsunuz, Temel Gıda fiyatların… https://t.co/CrH1FpsDXO</t>
  </si>
  <si>
    <t>1468666137353281545</t>
  </si>
  <si>
    <t>@drfahrettinkoca 8 haftada etkisini yitiren AŞI  yi mi olacak MILLET  bu nasil iş  kim KAZANIYOR  öğrenelim  o zaman BAKAN  BEY</t>
  </si>
  <si>
    <t>1468666129962962948</t>
  </si>
  <si>
    <t>@drfahrettinkoca Sayın bakanım zaten böyle giderse açlıktan ölcez bırakın ölelim zenginler yaşasın sizde yormayın k… https://t.co/W31XfxY08q</t>
  </si>
  <si>
    <t>1468665840862212097</t>
  </si>
  <si>
    <t>@drfahrettinkoca Aşı olup da ölenler nedir peki salgın bakanı? Onların oranını da versene.</t>
  </si>
  <si>
    <t>1468665720762417157</t>
  </si>
  <si>
    <t>@drfahrettinkoca Bunca zaman ne tedbirler alındı. Şimdi sadece twit atılıyor. Tedbir yok, maske yok, mesafe yok, ko… https://t.co/HTbt34bOWk</t>
  </si>
  <si>
    <t>1468665680471986184</t>
  </si>
  <si>
    <t>@drfahrettinkoca Babam dediklerinizi yaptı sayın bakanım.iki sinovac bir biontec oldu 3 gün sonra kalp krizi ile de… https://t.co/HAoeJFp40o</t>
  </si>
  <si>
    <t>1468665656434470915</t>
  </si>
  <si>
    <t>@drfahrettinkoca Hala okulları kapatmıyorsunuz kalabalığa insanları sokuyosunuz sonra da aşı mı diyorsunuz aşı degi… https://t.co/lhfmyiYF60</t>
  </si>
  <si>
    <t>1468665349696638981</t>
  </si>
  <si>
    <t>@drfahrettinkoca Asidan Onyargilarla korkutmak mi ?.twitlerimiz incelensin lütfen. Ne zaman aşı olmayın sakin bu ol… https://t.co/1l0wkWeQgk</t>
  </si>
  <si>
    <t>1468665341463216128</t>
  </si>
  <si>
    <t>@drfahrettinkoca Aşı dediğiniz şeyi olan 3 tanıdığımı kalp krizinden kaybettim ellerimle toprağa verdim❗ Peki siz b… https://t.co/KtQomBhaz3</t>
  </si>
  <si>
    <t>1468664826549477381</t>
  </si>
  <si>
    <t>@drfahrettinkoca 💥Yeni araştırma:   "A$ıya dirençli mutasyonların oluşumunun ve sıklığının Avrupa ve Amerika'daki a… https://t.co/kSZj42LkNd</t>
  </si>
  <si>
    <t>1468664743904911370</t>
  </si>
  <si>
    <t>@drfahrettinkoca Cidden merak ediyorum bir doktor olarak vicdanen rahat mısınız? Sağlıkçılara verdiğiniz sözler, ma… https://t.co/HqnArEL2z5</t>
  </si>
  <si>
    <t>1468664678268211212</t>
  </si>
  <si>
    <t>@drfahrettinkoca Asilama azaldi vakalar dustu hani asisizlarin salginiydi suandaki artislar?</t>
  </si>
  <si>
    <t>1468664456062382080</t>
  </si>
  <si>
    <t>@drfahrettinkoca Peki bakanım kaç doz aşı olunca aşımız tam oluyor söyler misiniz? 2 mi 3 mü 4 mü?</t>
  </si>
  <si>
    <t>1468664441583644678</t>
  </si>
  <si>
    <t>@drfahrettinkoca En büyük pişmanlık siz ve senaryolarınız! Sonuna kadar da Aşı olmayacağım.Bizler zaten hep kaybedi… https://t.co/PGc4ZpTUNK</t>
  </si>
  <si>
    <t>1468664352395902986</t>
  </si>
  <si>
    <t>@drfahrettinkoca urfa direniyor. istatislikler alaşağı. üç aşaği beş aşaği ye...t</t>
  </si>
  <si>
    <t>1468664094098141188</t>
  </si>
  <si>
    <t>@drfahrettinkoca 2 doz üzerinden 5 ay geçmiş olanlara booster dose tanımlayin Sayın Bakanim</t>
  </si>
  <si>
    <t>1468663836458766340</t>
  </si>
  <si>
    <t>@drfahrettinkoca Fahrettin yalakası doğru verileri ver lan göt herif</t>
  </si>
  <si>
    <t>1468663767127007235</t>
  </si>
  <si>
    <t>@drfahrettinkoca Size sormuştum defalarca ama bir daha sorayım: sağlıklı beslenemeyen bir insan aşı olunca en bi sa… https://t.co/RLGzLBNFm6</t>
  </si>
  <si>
    <t>1468663703272837128</t>
  </si>
  <si>
    <t>@drfahrettinkoca Bugün aldıramadığınız her önlem tedbir kısıtlama sizlere sandıkta oy olarak geri yansıyacak sayın… https://t.co/FE9One8fm5</t>
  </si>
  <si>
    <t>1468663642371596297</t>
  </si>
  <si>
    <t>@drfahrettinkoca Covid&amp;lt; kalp krizi</t>
  </si>
  <si>
    <t>1468663529544765448</t>
  </si>
  <si>
    <t>@drfahrettinkoca Biz yinede ısrarla almıyoruz.</t>
  </si>
  <si>
    <t>1468663426918584324</t>
  </si>
  <si>
    <t>@drfahrettinkoca Ben 112 de görevli üniversiteli 4d sürekli işçi kadrosunda paramedik/sürücü olarak çalışmaktayım.… https://t.co/Jhhp2FZ5Wj</t>
  </si>
  <si>
    <t>1468663399559090177</t>
  </si>
  <si>
    <t>@drfahrettinkoca Sayın bakanım lütfen verilerinize bir bakın. Aşılama oranı düştükçe vaka sayısı ve ölüm oranlarıda… https://t.co/N2Qb8B1013</t>
  </si>
  <si>
    <t>1468663361671938051</t>
  </si>
  <si>
    <t>@drfahrettinkoca İnsanları deneme yanılma tahtası gibi kullanmaktan da vazgeçmeyeceksiniz. Yeni çıkaracağız haplar… https://t.co/4KSKF7vKxd</t>
  </si>
  <si>
    <t>1468663257351266306</t>
  </si>
  <si>
    <t>@drfahrettinkoca İnsanlarımızı sahte salgın yalanlarıyla korkutanlar ne kazandı? Neyse ki ölüm var ve cehennem lüzumsuz değil... #testbahane</t>
  </si>
  <si>
    <t>1468663216507084809</t>
  </si>
  <si>
    <t>@drfahrettinkoca BIZ KAYBETTİK BAKAN BEY  paronayak komşular, ölümsüz olduğuna inanan büyükler  psikopata dönen çoc… https://t.co/rAoDWSujDE</t>
  </si>
  <si>
    <t>1468663205903880195</t>
  </si>
  <si>
    <t>@drfahrettinkoca Aşı demek; Minnak pıhtıcıklar,  Kalp krizcikleri, Üreme hücrelerinin uf olması,  Yumuşacık doku ka… https://t.co/3Xl9uWkChT</t>
  </si>
  <si>
    <t>1468663203274047490</t>
  </si>
  <si>
    <t>@drfahrettinkoca Aşılar yüzünden sağlığını kaybedenlere ne olacak minik minik pıhtılar sonrasında kalp krizi geçire… https://t.co/87oil07KhZ</t>
  </si>
  <si>
    <t>1468663199897690118</t>
  </si>
  <si>
    <t>@drfahrettinkoca sn @drfahrettinkoca  bu yorumları okuyor musunuz?</t>
  </si>
  <si>
    <t>1468663043500519427</t>
  </si>
  <si>
    <t>@drfahrettinkoca Iste size Covid19 bugunku istatislikleri.. Dunya da kendi asilari olup ve en cok asilama yapan Alm… https://t.co/MpevPROZFm</t>
  </si>
  <si>
    <t>1468662584526131207</t>
  </si>
  <si>
    <t>@drfahrettinkoca Bu gidişle o hastalara bakmaya sağlıkçı bulamayacaksınız. KLAVUZ ne zaman. Sahaya inip halkımıza y… https://t.co/MpgetaCkay</t>
  </si>
  <si>
    <t>1468662549835091969</t>
  </si>
  <si>
    <t>@drfahrettinkoca İnsanlar birşey kazanmadı; ama siz epey kazandınız sanki?</t>
  </si>
  <si>
    <t>1468662529832402960</t>
  </si>
  <si>
    <t>@drfahrettinkoca Sosyal medyada aşı olmayanlara elim düşme diyenler mi yoğun bakıma yatırıyor? https://t.co/PhUMCCrgXj</t>
  </si>
  <si>
    <t>1468662430578491392</t>
  </si>
  <si>
    <t>@drfahrettinkoca İlk hastamı kaybettim dediğin gün gözlerindeki yaşlara aldandık... Türkiye'nin sağlık sektörüne ha… https://t.co/74qjG28EcI</t>
  </si>
  <si>
    <t>1468662142027153415</t>
  </si>
  <si>
    <t>@drfahrettinkoca Siz hekimleri aşı yapmaya zorlayan eşkiyasınız. Hiç utanmadınız mı hekimin maaşını kesmekten? https://t.co/7ceIPeQc3G</t>
  </si>
  <si>
    <t>1468661998120574978</t>
  </si>
  <si>
    <t>@drfahrettinkoca Gerçek olanı paylas</t>
  </si>
  <si>
    <t>1468661568820895754</t>
  </si>
  <si>
    <t>@drfahrettinkoca Ya doğru söylüyorsa! Grafen oksit uzmanı Dr Andreas Noack Diyor ki Vücudunuzda bu grafen hidroksit… https://t.co/QV86KXOFtY</t>
  </si>
  <si>
    <t>1468661192155701252</t>
  </si>
  <si>
    <t>@drfahrettinkoca Utanmazlık, arlanmazlik bu olsa gerek, yoğun bakımlarda aşı sı tam olmayanlarla dolu diyor utanmad… https://t.co/Ny5XUYxu0w</t>
  </si>
  <si>
    <t>1468661055979241483</t>
  </si>
  <si>
    <t>@drfahrettinkoca Harita niye mavi olmadı hala?</t>
  </si>
  <si>
    <t>1468661023955726336</t>
  </si>
  <si>
    <t>@drfahrettinkoca Kadro duzenlemesi getirilmeli memur-isci ayrimlari giderilmeli. Paramedik Ambulans Suruculer uygun… https://t.co/Ujoy2TCITA</t>
  </si>
  <si>
    <t>1468660746544418820</t>
  </si>
  <si>
    <t>@drfahrettinkoca Asi zamanlamasini ve programini yanlis yaptiniz, simdi asi olmayanlar veya tam asi olmayanlari suc… https://t.co/jJjx8ZUpov</t>
  </si>
  <si>
    <t>1468660693620637697</t>
  </si>
  <si>
    <t>@drfahrettinkoca Aşı sonrası verileri açıklayın...</t>
  </si>
  <si>
    <t>1468660668681396235</t>
  </si>
  <si>
    <t>@drfahrettinkoca Siz neler kaybettrdiğinizi hiç düşündünüzmü bu ülkeye bu hırcınlık ve inadınızdan! Neler neler! Da… https://t.co/GNTjPSn2cA</t>
  </si>
  <si>
    <t>1468660635462426629</t>
  </si>
  <si>
    <t>@drfahrettinkoca sen bir YALANCISIN. daha dün tüm aşılarını yaptırmış arkadaşım vefat etti. ölüm ecel ile ilgilidir… https://t.co/ObkRkuEzqI</t>
  </si>
  <si>
    <t>1468660526821617667</t>
  </si>
  <si>
    <t>@drfahrettinkoca Kabak tadı verdiginin farkında deyilmisin</t>
  </si>
  <si>
    <t>1468660434894999553</t>
  </si>
  <si>
    <t>@drfahrettinkoca Kızamık aşısı olduk, o nedenle de kızamık geçiren kimselere yaklaşmaktan korkmadık. Çünkü aşı koru… https://t.co/jZw2IohQ5x</t>
  </si>
  <si>
    <t>1468660430780485632</t>
  </si>
  <si>
    <t>@drfahrettinkoca O değil de maske takmaktan ne zaman kurtulacağız Sn.Bakanım kanser olacağız böyle giderse...</t>
  </si>
  <si>
    <t>1468660281094119425</t>
  </si>
  <si>
    <t>@drfahrettinkoca Siz bedavaya tedavi yaparsınız o kafası basmayan kesim gidip aşı olur mu ? Benim vergilerimi bu şe… https://t.co/hlnaz39vwU</t>
  </si>
  <si>
    <t>1468660109224071174</t>
  </si>
  <si>
    <t>@drfahrettinkoca https://t.co/Z1uykFY0Sn    olmuyor ise biz olalım 3. doz icin 6 ay beklemek tehlikeli 3 ay en fazla sure</t>
  </si>
  <si>
    <t>1468659923781394445</t>
  </si>
  <si>
    <t>@drfahrettinkoca Sorumluluk alinmayan sivinin reklami neden birde asinin etkileriyle hayatta kalan kisimdan bahsedi… https://t.co/hzauO5ZsV2</t>
  </si>
  <si>
    <t>1468659846224429060</t>
  </si>
  <si>
    <t>@drfahrettinkoca Aşısı tamamlanmış kişiler diyorsun kendi ağzınla söyülorsun madem aşın işe yarıyor o zaman neden y… https://t.co/ODWgQD4nFO</t>
  </si>
  <si>
    <t>1468659679307997187</t>
  </si>
  <si>
    <t>@drfahrettinkoca Son zamanlarda ölenlerin çoğu,yüksek ateş , ani ölümler , kalp krizleri , kan pıhtılaşması vb… ve… https://t.co/bxvqfsAub5</t>
  </si>
  <si>
    <t>1468659619379744769</t>
  </si>
  <si>
    <t>@drfahrettinkoca Ya hehe he.</t>
  </si>
  <si>
    <t>1468659381449506818</t>
  </si>
  <si>
    <t>@drfahrettinkoca ey bakanın twitter hesap yöneticileri - epeydir buraya uğramamıştım (hafif sıkıcı olmuştu da), bak… https://t.co/ZdUhO4v1XJ</t>
  </si>
  <si>
    <t>1468659327473012751</t>
  </si>
  <si>
    <t>@drfahrettinkoca Favirpiravir de iyilestiriyordu değil mi Sayın Bakan😆😆</t>
  </si>
  <si>
    <t>1468659305767391236</t>
  </si>
  <si>
    <t>@drfahrettinkoca Yerde balık gibi çırpınan Çinli videoları nerde ? İlk projeksiyonda " ciğerime cam kırıkları dolmu… https://t.co/vkDD6lhLhH</t>
  </si>
  <si>
    <t>1468659280446373896</t>
  </si>
  <si>
    <t>@drfahrettinkoca peki yakalandiktan sonra yasama orani %99,98 olan bir hastalıgin etkilerini sabah aksam haberlerde… https://t.co/tCbqb9KT5L</t>
  </si>
  <si>
    <t>1468658911825833986</t>
  </si>
  <si>
    <t>@drfahrettinkoca Siz, bu soruyu sorma değil, bu soruna sebep olanlara karşı çözüm bulma makamındasınız Sn. Bakan. H… https://t.co/StBm8UWLey</t>
  </si>
  <si>
    <t>1468658876614643722</t>
  </si>
  <si>
    <t>@drfahrettinkoca İddialara çıkıp bir kez yanıt verdiniz mi ispat etme ihtiyacı duydunuz mu hayır. Neden sadece siz… https://t.co/huDtsGbY3Y</t>
  </si>
  <si>
    <t>1468658872953016330</t>
  </si>
  <si>
    <t>@drfahrettinkoca Size inanmıyor ve güvenmiyorum. Bu süreçteki  yalanlar hastalara uygulanan deneysel yontemler sade… https://t.co/R1riptB4Ks</t>
  </si>
  <si>
    <t>1468658847267135495</t>
  </si>
  <si>
    <t>@drfahrettinkoca Sizin söylediklerinizin hiçbir hükmü yok benim için Sayın Bakan, iki yıldır o "korkutmaya çalışanlar" haklı çıkıyor.</t>
  </si>
  <si>
    <t>1468658686713380864</t>
  </si>
  <si>
    <t>@drfahrettinkoca Siz bizi 2 senedir deli gibi korku pompalayarak   7/24 Tv lerde ölümle korkutarak piskolojik manya… https://t.co/EQAX34VzEx</t>
  </si>
  <si>
    <t>1468658482899521536</t>
  </si>
  <si>
    <t>@drfahrettinkoca O yüzdenmi aşıdan sonra birsürü yeni varyant çıktı bakanım</t>
  </si>
  <si>
    <t>1468658464624979971</t>
  </si>
  <si>
    <t>@drfahrettinkoca Kimse kimseyi korkutmuyor  iğneleme oranlarınız düştüyse insanlar sorgulamasından iğneden  piravir… https://t.co/QuZsvP10Hp</t>
  </si>
  <si>
    <t>1468658418177163264</t>
  </si>
  <si>
    <t>@drfahrettinkoca Peki siz bunca para ve umut verip aşı yaptınız ne kazandınız ? Vakalar arttı ,dozlar sıfır sayıldı… https://t.co/lBF509TPRQ</t>
  </si>
  <si>
    <t>1468658281124089857</t>
  </si>
  <si>
    <t>@drfahrettinkoca bu sıvı seni yüce Divan a götürebilir demedi deme .</t>
  </si>
  <si>
    <t>1468658205647642629</t>
  </si>
  <si>
    <t>@drfahrettinkoca Bu yazdiklarina kim inanir inanir inanmaz 🤠🤠</t>
  </si>
  <si>
    <t>1468658099795996681</t>
  </si>
  <si>
    <t>@drfahrettinkoca Dünya kapanmaya gidiyor biz öğüt veriyoruz</t>
  </si>
  <si>
    <t>1468658068359626753</t>
  </si>
  <si>
    <t>@drfahrettinkoca Aşılarımı oldum Covıd'e yakalandım :D</t>
  </si>
  <si>
    <t>1468658011484925955</t>
  </si>
  <si>
    <t>@drfahrettinkoca Yahu o zıkkımı olmayan mı kaldı?İnsanlar bizzat sıvıdan sonra rahatsızlandı.Sıvı karşıtlarıyla ne ilgisi var?</t>
  </si>
  <si>
    <t>1468657947190480925</t>
  </si>
  <si>
    <t>@drfahrettinkoca Aşı olanlar itler gibi https://t.co/euZnfa3pCP minnacık sevimli pihtilarin ne zaman kalplerine bey… https://t.co/NnyiP09At8</t>
  </si>
  <si>
    <t>1468657889749393410</t>
  </si>
  <si>
    <t>@drfahrettinkoca bakanım üniversitelerin çoğu kafasına göre hibrit online dersleri kaldırıyo tedbirlerin arttırılma… https://t.co/2oUSvTOtk6</t>
  </si>
  <si>
    <t>1468657849643454476</t>
  </si>
  <si>
    <t>@drfahrettinkoca Korku psikolojisi ile insanların beynini silah olarak kendilerine sıktıran tetikçisiniz DSÖ memuru.</t>
  </si>
  <si>
    <t>1468657707964153864</t>
  </si>
  <si>
    <t>@drfahrettinkoca Aşımızı olduk virüse de yakalandık elhamdülillah</t>
  </si>
  <si>
    <t>1468657608751992837</t>
  </si>
  <si>
    <t>@drfahrettinkoca Biz daha çok size güvenmiyoruz</t>
  </si>
  <si>
    <t>1468657434004701184</t>
  </si>
  <si>
    <t>@drfahrettinkoca https://t.co/pkJ1xgsqEe</t>
  </si>
  <si>
    <t>1468657309052243972</t>
  </si>
  <si>
    <t>@drfahrettinkoca Sizi @saglikbakanligi olarak topluma panik ve korku yaşatmadan, gerçekleri saptırmadan, her iki du… https://t.co/aONWtrdkJU</t>
  </si>
  <si>
    <t>1468657202042974216</t>
  </si>
  <si>
    <t>@drfahrettinkoca Her şeye bir cevabınız var bakanım da neden atamayla ilgili tek bir cevap dahi veremiyorsunuz</t>
  </si>
  <si>
    <t>1468657154177519627</t>
  </si>
  <si>
    <t>@drfahrettinkoca B.Koca Kendim ve tüm Ailem ne ilkel tedbirlerinize uyduk nede deney sıvılarını olduk, bu çok tehli… https://t.co/hQch7mLdPR</t>
  </si>
  <si>
    <t>1468657110401519618</t>
  </si>
  <si>
    <t>@drfahrettinkoca Biz önyargılardan korkmadık aşıdan sonra kalp krizi geçirenleri aşıdan sonra kovid olup ağır geçir… https://t.co/HCXVHajpUg</t>
  </si>
  <si>
    <t>1468657072535388160</t>
  </si>
  <si>
    <t>@drfahrettinkoca Bir tane yoruma cevap veremiyorsunuz. Açıklayın aşılı kalp krizi gecirenleri,  beynine pıhtı atanl… https://t.co/qHrdfPj2RR</t>
  </si>
  <si>
    <t>1468657023080407045</t>
  </si>
  <si>
    <t>@drfahrettinkoca Ah ah senin suçun yok suç  seni hala görevde tutanların iğneden piravir den zarar gören binlerce i… https://t.co/a8MnmpMj3m</t>
  </si>
  <si>
    <t>1468656908110344197</t>
  </si>
  <si>
    <t>@drfahrettinkoca Biz hiç öyle duymuyoruz. Yoğun bakımların %95 diğer hastalıklarla dolu. Covid olanların ise çoğu a… https://t.co/rFSJAJBSgD</t>
  </si>
  <si>
    <t>1468656897163157507</t>
  </si>
  <si>
    <t>@drfahrettinkoca Ölümlerin 100 de 70 Aşılı olanlar Ölüm nedenleri  Kalp krizi Pıhtı atmas  Felch gecirip ölüm . Aşı… https://t.co/LpMlP8SIBl</t>
  </si>
  <si>
    <t>1468656861830385674</t>
  </si>
  <si>
    <t>@drfahrettinkoca Biz desek komplocu oluruz. https://t.co/zR2Akzo2J4</t>
  </si>
  <si>
    <t>1468656764258238474</t>
  </si>
  <si>
    <t>@drfahrettinkoca Aşı olanlar pişman olduğu için diğer aşılarını olmuyor.. bu halen hayal dünyasında yaşıyor</t>
  </si>
  <si>
    <t>1468656690446934025</t>
  </si>
  <si>
    <t>@drfahrettinkoca Corona öldürmez, hastanede iyileşeceksin diyerek verilen ilaçlar öldürür.</t>
  </si>
  <si>
    <t>1468656523907936258</t>
  </si>
  <si>
    <t>@drfahrettinkoca Sayın bakanım meme kanseri olmuş bir ablamız var kendi imkanlarımızla ameliyatını yaptırdık hiç bi… https://t.co/PNZ2dRHJtf</t>
  </si>
  <si>
    <t>1468656420354760707</t>
  </si>
  <si>
    <t>@drfahrettinkoca Yüzde sekseni aşıladın hala aşısız diyorsun Allahtan kork</t>
  </si>
  <si>
    <t>1468656286585786375</t>
  </si>
  <si>
    <t>@drfahrettinkoca bakanım lütfen üniversitelerde devam zorunluluğunu kaldırın bize bir seçenek sunun sınıflarımız çok kalabalık</t>
  </si>
  <si>
    <t>1468656260392312844</t>
  </si>
  <si>
    <t>@drfahrettinkoca Herşey paralıyken aşılar niye bedava ? Bedava peynir fare kapanında olur</t>
  </si>
  <si>
    <t>1468656253467607041</t>
  </si>
  <si>
    <t>@drfahrettinkoca No</t>
  </si>
  <si>
    <t>1468656199335911427</t>
  </si>
  <si>
    <t>@drfahrettinkoca Sayın bakan gerçekten çok merak ediyorum nasıl can vereceksin?</t>
  </si>
  <si>
    <t>1468656185264021510</t>
  </si>
  <si>
    <t>@drfahrettinkoca Rakam verseneniz millet size inanmıyor  boşu boşuna yormayın kendinizi sağlık sektörünü mahvettiniz</t>
  </si>
  <si>
    <t>1468656131648200705</t>
  </si>
  <si>
    <t>@drfahrettinkoca Hastaneye gitmeyerek muayene ücreti ödemedim kazandım, Eczaneye gitmeyip ilaç parası ödemedim kaza… https://t.co/N27nvkyLK3</t>
  </si>
  <si>
    <t>1468655896523907077</t>
  </si>
  <si>
    <t>@drfahrettinkoca Sürekli aşı aşı nerede kaldı atamalar sayın bakanım.</t>
  </si>
  <si>
    <t>1468655835299647488</t>
  </si>
  <si>
    <t>@drfahrettinkoca Aşınıda senide istemiyoruz</t>
  </si>
  <si>
    <t>1468655730702135297</t>
  </si>
  <si>
    <t>@drfahrettinkoca Nasıl sessiz kalabiliyosunuz bunca şeye rağmen nası hâla gelip buraya aşı tiwiti atıyorsunuz ya inanamıyorum ya</t>
  </si>
  <si>
    <t>1468655691208564743</t>
  </si>
  <si>
    <t>@drfahrettinkoca Hatalı karar dediğiniz bunlar olsa gerek? Muammer Kaddafi haklı olduğu için öldürülen liderdi, hak… https://t.co/EnxtCAATor</t>
  </si>
  <si>
    <t>1468655673760169986</t>
  </si>
  <si>
    <t>@drfahrettinkoca NAMLUSUNU SAĞLIK BAKANLIĞINA ÇEVİRMEYEN TANK BENİM TANKIM DEĞİLDİR!  BU İTİN TANKIDIR!   BENİM TAN… https://t.co/KW6JFlgDyT</t>
  </si>
  <si>
    <t>1468655532626133002</t>
  </si>
  <si>
    <t>@drfahrettinkoca Ama gerçekten yeter artık ya</t>
  </si>
  <si>
    <t>1468655520714137602</t>
  </si>
  <si>
    <t>@drfahrettinkoca Sağlık yönetimi sizden gelecek bekliyor @drfahrettinkoca</t>
  </si>
  <si>
    <t>1468655413117734913</t>
  </si>
  <si>
    <t>@drfahrettinkoca Evde 4 kişi kovit olduk, kayda bile gecmedik. Aşısızlar test bile olmuyor, neyin sayısını veriyorsunuz?</t>
  </si>
  <si>
    <t>1468655255755927567</t>
  </si>
  <si>
    <t>@drfahrettinkoca Okullarvirusyuvasihalaisrarediyorsunuzhepinizkotukalplisinizallahahavalediyorum</t>
  </si>
  <si>
    <t>1468655254413709317</t>
  </si>
  <si>
    <t>@drfahrettinkoca Allahtan başkasından korkmam.. Neyin virüsü.. Neyin sıvısını olacakmışım. Sıvıyı üreten sorumluluk… https://t.co/kgIBddImDx</t>
  </si>
  <si>
    <t>1468655208708415489</t>
  </si>
  <si>
    <t>@drfahrettinkoca Geçmişi unutma dozu varsa ben talibim 😁 https://t.co/XpPRzD9Ajk</t>
  </si>
  <si>
    <t>1468655067733630981</t>
  </si>
  <si>
    <t>@drfahrettinkoca Aynen</t>
  </si>
  <si>
    <t>1468655021445332998</t>
  </si>
  <si>
    <t>@drfahrettinkoca 8 ARALIK 2020 AŞI YOK! TEST SAYISI:201.219 VAKA SAYISI:33.198 HASTA SAYISI:6.593 ÖLÜM:211  8 ARALI… https://t.co/iAiKJ0d9ot</t>
  </si>
  <si>
    <t>1468654947298426880</t>
  </si>
  <si>
    <t>@drfahrettinkoca Sizi hiç dinlemedim. Grip veya nezle de olmadım. Sizi dinleyenler pişman oldu. 2. ve 3. doz sıvıla… https://t.co/qMK4UZLzaZ</t>
  </si>
  <si>
    <t>1468654904201912328</t>
  </si>
  <si>
    <t>@drfahrettinkoca Asililar nedense hastaneden cikmiyor lakin bizim gibi hic vurulmayanlar test bile yaptirmadi ki ha… https://t.co/BruTvB7vfk</t>
  </si>
  <si>
    <t>1468654880587976708</t>
  </si>
  <si>
    <t>@drfahrettinkoca Maske takmaktan burnum kanamaya başladı artık. Madem her şeyi saldık maskeyide bırakalım.</t>
  </si>
  <si>
    <t>1468654652757618689</t>
  </si>
  <si>
    <t>@drfahrettinkoca Yorumları okuyun bakın insanlar neler yaşamış öyle ezbere aşı olun pişman olmayın demekle olmuyor… https://t.co/5KbBKkmdu8</t>
  </si>
  <si>
    <t>1468654436428005379</t>
  </si>
  <si>
    <t>@drfahrettinkoca Sayın bakan aşılama doğuda az  vakada az batıda vaka çok aşılamada çok siz bunları açiklamadiginiz… https://t.co/EDdoMCxGII</t>
  </si>
  <si>
    <t>1468654066058379264</t>
  </si>
  <si>
    <t>@drfahrettinkoca 3. Doz aşı hakkımızın tanımlanmasını istiyoruz.</t>
  </si>
  <si>
    <t>1468653983124361227</t>
  </si>
  <si>
    <t>@drfahrettinkoca Kac yil oldu covidden hicbir sey olmadi dayatmalariniz yüzünden tek doz aşı oldum ama yeter yakami… https://t.co/sQrjmpnwB5</t>
  </si>
  <si>
    <t>1468653855659413509</t>
  </si>
  <si>
    <t>@drfahrettinkoca Çok merak ediyorum siz kaç doz oldunuz ?? Entübe edilen aşılılardan beden bahsetmiyorsunuz ? aşını… https://t.co/egJK9PFArH</t>
  </si>
  <si>
    <t>1468653730006503432</t>
  </si>
  <si>
    <t>@drfahrettinkoca Aşıya olan güvensizliğimin tamamen siz ve aşıyı savunan doktorların çelişkileri</t>
  </si>
  <si>
    <t>1468653669684023299</t>
  </si>
  <si>
    <t>@drfahrettinkoca 3. Doz aşı hakkımızı verin.</t>
  </si>
  <si>
    <t>1468653636922269701</t>
  </si>
  <si>
    <t>@drfahrettinkoca 3. Doz aşı hakkımızı verin</t>
  </si>
  <si>
    <t>1468653566294466560</t>
  </si>
  <si>
    <t>@drfahrettinkoca Bengi hoca beni çok korkutuyor. Aşıdan sonra Mini mini pıhtılar olabilir diyor. Sayın bakanım, Aşı… https://t.co/hzaJ5ac5Oz</t>
  </si>
  <si>
    <t>1468653557322817538</t>
  </si>
  <si>
    <t>@drfahrettinkoca 3. Doz aşı hakkımı istiyorum.</t>
  </si>
  <si>
    <t>1468653498472574976</t>
  </si>
  <si>
    <t>@drfahrettinkoca #1aylıkbebek ne oldu ?   Tam aşılı mı, yarım aşılı mı, kobay mı ? Hospitalier tarikatı kim ? O log… https://t.co/ohQSNjAQNo</t>
  </si>
  <si>
    <t>1468653431627960320</t>
  </si>
  <si>
    <t>@drfahrettinkoca Açılan tagların hepsi gündemin ilk sırasında yer alıyor yorumlarının %95'i devam zorunluluğunun ka… https://t.co/ZNRiVtGwGI</t>
  </si>
  <si>
    <t>1468653356298248193</t>
  </si>
  <si>
    <t>@drfahrettinkoca Anlayisin kit</t>
  </si>
  <si>
    <t>1468653121316524036</t>
  </si>
  <si>
    <t>@drfahrettinkoca KILAVUZ NERDEEE???????</t>
  </si>
  <si>
    <t>1468653100227604492</t>
  </si>
  <si>
    <t>@drfahrettinkoca Bizim aşılara ön yargılı olma sebebimiz malesef sizsiniz Fahrettin Bey.Aşılarla ilgili içimizi rah… https://t.co/cErn2kBmkP</t>
  </si>
  <si>
    <t>1468653096763072515</t>
  </si>
  <si>
    <t>@drfahrettinkoca İnsanların bir kısmını yanlış tedavi protokolleriyle hastanelerde öldürdünüZ. Bir kısmının tedavi… https://t.co/462qJaic8J</t>
  </si>
  <si>
    <t>1468652921634140163</t>
  </si>
  <si>
    <t>@drfahrettinkoca Zaten 3. Doz onaylandı artık 2. Doz olan herkes aşısız olarak kayde gecıcek ve siz hep ölenleri aş… https://t.co/kiC2AyFoRc</t>
  </si>
  <si>
    <t>1468652842147880968</t>
  </si>
  <si>
    <t>@drfahrettinkoca Hatalı karaların sonucunu biliyoruz , bi bitmediniz! https://t.co/Wk8CFVi2K4</t>
  </si>
  <si>
    <t>1468652833725685763</t>
  </si>
  <si>
    <t>@drfahrettinkoca https://t.co/TwWeHMIw2b</t>
  </si>
  <si>
    <t>1468652818194182156</t>
  </si>
  <si>
    <t>@drfahrettinkoca İnsanları ilaçlarla öldürüp salgın var algısı yaratıp korkutan aşılarla ilaçlanla katleden sizsini… https://t.co/7AM17J1qGO</t>
  </si>
  <si>
    <t>1468652568838656000</t>
  </si>
  <si>
    <t>@drfahrettinkoca Aşı kadar  baska sorunlar da varmış mesela ameliyat malzemeleri alinamiyormus hastanelere doktorla… https://t.co/X5bVKY7Sa2</t>
  </si>
  <si>
    <t>1468652217498492930</t>
  </si>
  <si>
    <t>@drfahrettinkoca Dediğiniz hangi hastane bilmiyoruz ama benim çalıştığım yerdeki 5 yataklı yoğun bakımda ki hastala… https://t.co/E5f48nwjcq</t>
  </si>
  <si>
    <t>1468651891689152514</t>
  </si>
  <si>
    <t>@drfahrettinkoca Önemli bölümü diye geçiştiremezsiniz. Bağımsız bir kurul tüm hastanelerde denetleme yapsın net say… https://t.co/8BOOleIVxV</t>
  </si>
  <si>
    <t>1468651867181928457</t>
  </si>
  <si>
    <t>@drfahrettinkoca Çindeki senaryo görüntüleri önden millete izletip, sahte salgını sahiplenip Covid bahanesiyle mill… https://t.co/21YuiUWDGH</t>
  </si>
  <si>
    <t>1468651800333099014</t>
  </si>
  <si>
    <t>@drfahrettinkoca Alooooo sayın bakan orda mısınız biz aşı karşıtları olarak acaba niye aşı olmuyoruz diye bir aşı k… https://t.co/i8acheVoxV</t>
  </si>
  <si>
    <t>1468651790883332100</t>
  </si>
  <si>
    <t>@drfahrettinkoca Geçmiş tarihli favipiravirin üstüne yeni tarih yapıştırıp hâlâ tedavi etmeye çalışıyorsunuz, etike… https://t.co/5Rkg46JUKn</t>
  </si>
  <si>
    <t>1468651732058222592</t>
  </si>
  <si>
    <t>@drfahrettinkoca Aşın iyiyse sorumluluğunu al diyoruz</t>
  </si>
  <si>
    <t>1468651671836405773</t>
  </si>
  <si>
    <t>@drfahrettinkoca Söz uçar yazi kalir bir yanda insana faydali oneriler sunan değerli hekimlerimiz diğer yanda söyle… https://t.co/AKVvgA3Dye</t>
  </si>
  <si>
    <t>1468651565380784136</t>
  </si>
  <si>
    <t>@drfahrettinkoca Artik asililar bule suze guvenip hastaneye yatmiyor hastaligi evde atlatiyor. Ne kadar da uzaksiniz halka</t>
  </si>
  <si>
    <t>1468651564126584837</t>
  </si>
  <si>
    <t>@drfahrettinkoca Fahrettin neyi bekliyorsun hâlâ atama yapmak için söyle de bilelim ya @drfahrettinkoca</t>
  </si>
  <si>
    <t>1468651471805816839</t>
  </si>
  <si>
    <t>@drfahrettinkoca Aşıyı istemeyenler olarak bize de yetki verin, biz de bir kurul kuralım ve yoğun bakımda yatanları… https://t.co/zozdO94Kyu</t>
  </si>
  <si>
    <t>1468651398296485892</t>
  </si>
  <si>
    <t>@drfahrettinkoca Siyonitlere uyup Aşılama yapıp kalp krizinden ve ilaçlardan insanların ölümüne sepep olunmasindan siz ne kazandınız.</t>
  </si>
  <si>
    <t>1468651392592142339</t>
  </si>
  <si>
    <t>@drfahrettinkoca Önyargıları kırmak ve aşıya olan güveni sağlamak için aşının yan etkileri ve hastanede yatan aşılı… https://t.co/hFVrqiyDtl</t>
  </si>
  <si>
    <t>1468651175813816320</t>
  </si>
  <si>
    <t>@drfahrettinkoca Bak bu şahıs  kor-ona olmuş  ne mi var bunda? https://t.co/oYxcYwccrd</t>
  </si>
  <si>
    <t>1468651125008121864</t>
  </si>
  <si>
    <t>@drfahrettinkoca Kılavuuuuzzz</t>
  </si>
  <si>
    <t>1468651094935052293</t>
  </si>
  <si>
    <t>@drfahrettinkoca Okullarda her gün öğrenciler,öğretmenler corona oluyor,ailelerine virüs bulaştırıyor,omicron bize… https://t.co/inrOwvMEoB</t>
  </si>
  <si>
    <t>1468651089725734923</t>
  </si>
  <si>
    <t>@drfahrettinkoca Kimse bizi korkutmadı. Biz de kimseyi korkutmadık. Herkesin aklı var, herkes kendi özgür iradesiyl… https://t.co/wELQzYXiRk</t>
  </si>
  <si>
    <t>1468651086533726210</t>
  </si>
  <si>
    <t>@drfahrettinkoca Bu ülkede  Fahrettin  Koca kaynaklı  bir YALAN SALGINI var.. https://t.co/0WWc2sENhg</t>
  </si>
  <si>
    <t>1468650807088275462</t>
  </si>
  <si>
    <t>@drfahrettinkoca @saglikbakanligi 1-Ikinci kez covid geçirenlere filyasyon ekibinin gelmemesi,ilac verilmemesi, rap… https://t.co/SpKIyvoWEi</t>
  </si>
  <si>
    <t>1468650743146196996</t>
  </si>
  <si>
    <t>@drfahrettinkoca 3. doz için neyi bekliyoruz sayın @drfahrettinkoca? Niye bekliyoruz? Omicron gerçeği ortada, 3. ay… https://t.co/KbZVSgvcOX</t>
  </si>
  <si>
    <t>1468650739899805703</t>
  </si>
  <si>
    <t>@drfahrettinkoca Sonunda insanlık kazanacak ilaç kartelleri degil</t>
  </si>
  <si>
    <t>1468650561541132288</t>
  </si>
  <si>
    <t>@drfahrettinkoca Ku we bi Kurdî behsa aşiyê bikira, wê mirovan fêm bikira. Mirov fêm nakin û bo wê jî derziyê li xwe nadin.</t>
  </si>
  <si>
    <t>1468650456310489088</t>
  </si>
  <si>
    <t>@drfahrettinkoca Bakanım ben hiç iyi değilim kesin covid oldum üniversiteside zorunluluk kalksın</t>
  </si>
  <si>
    <t>1468650424274194438</t>
  </si>
  <si>
    <t>@drfahrettinkoca Ne mi gecti. Doğal bağışılık gecti ımm sağlık gecti beyinde minacık olacak pohtılara karşı cıktı</t>
  </si>
  <si>
    <t>1468650292493312003</t>
  </si>
  <si>
    <t>@drfahrettinkoca Okulda elektrik yok ısıtıcı paneli bozuk çocuklar soğuktan Hasta  oluyor  bu arada su da olmadığı… https://t.co/s4oNCIRP6O</t>
  </si>
  <si>
    <t>1468650285048504327</t>
  </si>
  <si>
    <t>@drfahrettinkoca inşallah yargılanacaksın.</t>
  </si>
  <si>
    <t>1468650269172973570</t>
  </si>
  <si>
    <t>@drfahrettinkoca Bakan bey başarısızsın yeter artık senin yüzünden ülke iflas ediyor....bırak ölüm oranlarında bi a… https://t.co/5rCjLjVCXb</t>
  </si>
  <si>
    <t>1468650226147864579</t>
  </si>
  <si>
    <t>@drfahrettinkoca Sizin Almanca ile araniz iyidir. Omicron hakkında Allah aşkına artık makale okuyun. Omicron'un cid… https://t.co/FUV1yY0tao</t>
  </si>
  <si>
    <t>1468650130672869379</t>
  </si>
  <si>
    <t>@drfahrettinkoca Çift doz aşılı gelinimiz gribi zor atlattı , aşısız kardeşim daha kolay atlattı,uyanıyor insanlar… https://t.co/d5B5bD93A4</t>
  </si>
  <si>
    <t>1468650126608683010</t>
  </si>
  <si>
    <t>@drfahrettinkoca Pandemi yok plandemi var. Aşılar hiç bir işe yaramıyor, yeni varyant yeni aşı boyle devam bir kaç yıl.</t>
  </si>
  <si>
    <t>1468650120384294913</t>
  </si>
  <si>
    <t>@drfahrettinkoca Her twitini gordugumde ilkokukda soyledigimiz bir sarki aklima gelir her nedense!  Soyle diyor sar… https://t.co/0W4nOaEyWD</t>
  </si>
  <si>
    <t>1468649938925940736</t>
  </si>
  <si>
    <t>@drfahrettinkoca İlaçlarla öldürüp covid dediler,virüsü aşılarla yaydılar. https://t.co/t6fObpVKhR</t>
  </si>
  <si>
    <t>1468649649531764742</t>
  </si>
  <si>
    <t>@drfahrettinkoca Siz şuanda yapamadığınız kısıtlamalar için pişman olacaksınız aşı yı bahane etmeyin #ölüyoruz… https://t.co/w1Kx7KjL6K</t>
  </si>
  <si>
    <t>1468649481608609793</t>
  </si>
  <si>
    <t>@drfahrettinkoca Minicik pıhtı ne olucak alt tarafı felç geciriciez bişe olmaz ya aman olun aşı koyun uyurken kurt… https://t.co/HWKhM3HiJ8</t>
  </si>
  <si>
    <t>1468649111113064457</t>
  </si>
  <si>
    <t>@drfahrettinkoca Onam formunda hamiler için tavsiye edilmez denilen aşıyı sen hangi bilimsel veriye dayanarak illak… https://t.co/sfpAnO0xTB</t>
  </si>
  <si>
    <t>1468649109984792583</t>
  </si>
  <si>
    <t>@drfahrettinkoca Başarısızlıklara sürekli olarak bulduğunuz sebepler nedeni ile sizleri alkışlıyorum 👏  M U H T E Ş… https://t.co/gIMQwXgvKs</t>
  </si>
  <si>
    <t>1468648955697418251</t>
  </si>
  <si>
    <t>@drfahrettinkoca Aşının etkiletini pfizer bile kabuş etti sizin bilim kurulunuz tek tek kıvırmaya başladı aşı yüzde… https://t.co/EwxfFJVawg</t>
  </si>
  <si>
    <t>1468648848377761800</t>
  </si>
  <si>
    <t>@drfahrettinkoca Çocuğum dört gözlü doğmasın diye olmucam ben atamın genini taşıyorum ve onun genini degistiremem i… https://t.co/obMXhXNyVO</t>
  </si>
  <si>
    <t>1468648787988131845</t>
  </si>
  <si>
    <t>@drfahrettinkoca Mahvettin hoca 3 doz aşı olanlar niye çivit 19 yakalanıyor ve ölüyo açıklamısın</t>
  </si>
  <si>
    <t>1468648765049475073</t>
  </si>
  <si>
    <t>@drfahrettinkoca Bence artık ciddi olduğunuza inandıramazsınız. Bir emir kulu olduğunuzu ekranda gördüm. Ve dedimki… https://t.co/BpdT7dK6tO</t>
  </si>
  <si>
    <t>1468648661240496131</t>
  </si>
  <si>
    <t>@drfahrettinkoca %70 üzerine çıkınca tamam dediydin ya sayın fahrettin bakanım... Ne oldu o iş ...</t>
  </si>
  <si>
    <t>1468648641225277442</t>
  </si>
  <si>
    <t>@drfahrettinkoca Yok onlara değil size güvenmediğimizden iğnelenmiyoruz Allah muhafaza gelen geçen kandırıyor şişle… https://t.co/8uBVHSY2g8</t>
  </si>
  <si>
    <t>1468648609898020864</t>
  </si>
  <si>
    <t>@drfahrettinkoca Minnak ponçik pıhtıcıkların hesabı sorulmayacak mı sanıyorsun Fahrettin?</t>
  </si>
  <si>
    <t>1468648537684684805</t>
  </si>
  <si>
    <t>@drfahrettinkoca Valla bakanım bu yazıları yazıyorsunuz ama an itibariyle Fatih Erbakan Haber Türkte alı karşıtlığı… https://t.co/s0MntfJfq4</t>
  </si>
  <si>
    <t>1468648535801405440</t>
  </si>
  <si>
    <t>@drfahrettinkoca Bazen pişmanlık iyi dir sayın bakan</t>
  </si>
  <si>
    <t>1468648456537448454</t>
  </si>
  <si>
    <t>@drfahrettinkoca Aşı tam ne demek mesela 2 mi 3 mü yoksa 4 mü ???</t>
  </si>
  <si>
    <t>1468648241495425027</t>
  </si>
  <si>
    <t>@drfahrettinkoca Yeter walla yeter sesimizi duyun ya online yapmayın ama biz yurt kalanlar için bişi bır önlem alın herkes hasta</t>
  </si>
  <si>
    <t>1468648163980767232</t>
  </si>
  <si>
    <t>@drfahrettinkoca Ne zaman tamamlanmış olcak peki aşı süreci</t>
  </si>
  <si>
    <t>1468647925890826241</t>
  </si>
  <si>
    <t>@drfahrettinkoca Sayın bakanım aşı yaptırmak istemeyenlere karşı devlet caydırıcı tedbirler almalı</t>
  </si>
  <si>
    <t>1468647919435853832</t>
  </si>
  <si>
    <t>@drfahrettinkoca Aşıdan korkutanların da bir kısmı doktor..Eminim farkındasınız ama eliniz kolunuz bağlı öyle neyi… https://t.co/EWm43tqu0K</t>
  </si>
  <si>
    <t>1468647701063602177</t>
  </si>
  <si>
    <t>@drfahrettinkoca Bitti teşekkürler https://t.co/9Re1EivE30</t>
  </si>
  <si>
    <t>1468647470850842625</t>
  </si>
  <si>
    <t>@drfahrettinkoca Atama olsun artık</t>
  </si>
  <si>
    <t>1468647387203784708</t>
  </si>
  <si>
    <t>@drfahrettinkoca Covid aşısı karşıtı olan hısmımızın oğlu,Annesine şekeri yüksek diye aşı yaptırmadı kendiside aşı… https://t.co/gnMOIZQ2NM</t>
  </si>
  <si>
    <t>1468647150150160387</t>
  </si>
  <si>
    <t>@drfahrettinkoca 🤣🤣biontech ile ilgili ilk karamsar yorumu yapan aşı karşıtlarına eylem hakkı veren bakan mı söylüyor bunu</t>
  </si>
  <si>
    <t>1468647046068461572</t>
  </si>
  <si>
    <t>@drfahrettinkoca Gecen sene ki vaka sayıları ile günümüz arasındaki fark övdügünüz kutsal sıvının eseridir... olmuyorum olmayacam</t>
  </si>
  <si>
    <t>1468647032919400456</t>
  </si>
  <si>
    <t>@drfahrettinkoca Hocam bizim vakalarda 20 binlere kitlendi aylardır. Dünyada bi bizmi başardık yani??</t>
  </si>
  <si>
    <t>1468646586645368833</t>
  </si>
  <si>
    <t>@drfahrettinkoca Çok şükür,aşı olanlar pişman olmaya  başladılar.</t>
  </si>
  <si>
    <t>1468646468227584008</t>
  </si>
  <si>
    <t>@drfahrettinkoca Ekomoni dibe vurmus parasizliktan kafayi yemek uzereyiz aldığım maasla eve suan yetismiyorum sen k… https://t.co/FM1ZWOcSrt</t>
  </si>
  <si>
    <t>1468646368885587974</t>
  </si>
  <si>
    <t>@drfahrettinkoca Yalaaaaaannn</t>
  </si>
  <si>
    <t>1468646362103394304</t>
  </si>
  <si>
    <t>@drfahrettinkoca Biraz da siz alınması gereken kararları artık alsanız? Kılavuz gibi?</t>
  </si>
  <si>
    <t>1468646289030225922</t>
  </si>
  <si>
    <t>@drfahrettinkoca Onlarla alakası yok o doktorlara karşı medya kör zaten. İnsanlar yaşayarak etrafından gördükleriyl… https://t.co/qXubZj9fHn</t>
  </si>
  <si>
    <t>1468646262610272260</t>
  </si>
  <si>
    <t>@drfahrettinkoca ASM de neden D vitamini ölçümü yapılmıyor? Cevaba gerek yok!</t>
  </si>
  <si>
    <t>1468646254582321157</t>
  </si>
  <si>
    <t>@drfahrettinkoca Çok şükür, aşı olmamakla çok şey kazandık.Yalanlarını git başka yere sat...</t>
  </si>
  <si>
    <t>1468646189931372551</t>
  </si>
  <si>
    <t>@drfahrettinkoca Yaa bırak artik hikaye anlatmayı!!!</t>
  </si>
  <si>
    <t>1468646090455068679</t>
  </si>
  <si>
    <t>@drfahrettinkoca Tükendik artık #kabineuzaktaneğitimsart</t>
  </si>
  <si>
    <t>1468645976776847368</t>
  </si>
  <si>
    <t>@drfahrettinkoca Covid ten değilse bilinmedik bir beklemek stres sıkıntı dan öleceğiz artık. Lütfen KILAVUZ u yayın… https://t.co/j8NlIB8cmx</t>
  </si>
  <si>
    <t>1468645845205716998</t>
  </si>
  <si>
    <t>@drfahrettinkoca Ölüm hak... Lakin öldürmek nâHak!</t>
  </si>
  <si>
    <t>1468645569061076993</t>
  </si>
  <si>
    <t>@drfahrettinkoca Önyargı dediğiniz ile paylasilmayan verileri bir araya getirmek nasil olurdu? Denemek gerekli, aşı… https://t.co/9VpaidScZ5</t>
  </si>
  <si>
    <t>1468645256912678913</t>
  </si>
  <si>
    <t>@drfahrettinkoca Sn. Bakan, sizde ! Aşı olmayan insanlara,elime düşmeyin!!diyen doktor önlüğü giymiş cani ruhlular… https://t.co/Xm0GqEboiV</t>
  </si>
  <si>
    <t>1468645185802453004</t>
  </si>
  <si>
    <t>@drfahrettinkoca Yalan tablo yalan</t>
  </si>
  <si>
    <t>1468645138402578434</t>
  </si>
  <si>
    <t>@drfahrettinkoca BU GENCLER BU ULKENİN EVLADİ SAYİN BAKANİM...ATAMA BEKLİYORLAR ....UNİVERSİTE BİTİRDİLER HİZMET ET… https://t.co/W6no6kcpWQ</t>
  </si>
  <si>
    <t>1468645134699008007</t>
  </si>
  <si>
    <t>@drfahrettinkoca gt</t>
  </si>
  <si>
    <t>1468645071453106178</t>
  </si>
  <si>
    <t>@drfahrettinkoca veriler neden açıklanmıyor ? bu inat neden</t>
  </si>
  <si>
    <t>1468645027173830659</t>
  </si>
  <si>
    <t>@drfahrettinkoca Su haritanin altina olen kisilerin kaci asisiz, kaci tek doz asili,kaci 2 doz asili ,kaci 3 doz as… https://t.co/BtmNjsCfPU</t>
  </si>
  <si>
    <t>1468645000284147712</t>
  </si>
  <si>
    <t>@drfahrettinkoca Gidin aşı olun, sizi tutan yok. Aşılı toplumunuzdan da uzak duruyoruz. Hastanelere giden kişilerde… https://t.co/2mR2HyMLOF</t>
  </si>
  <si>
    <t>1468644970185822217</t>
  </si>
  <si>
    <t>@drfahrettinkoca Bakanım AÖf sınavlarını ısrarla online yapmıyorsunuz ya biz orda pandeminin varlığına olan inancım… https://t.co/mh7k8BQLd7</t>
  </si>
  <si>
    <t>1468644964062183430</t>
  </si>
  <si>
    <t>@drfahrettinkoca O yayınladığınız tabloyu kaldırın sayın bakan yıl bitti hala atama yok</t>
  </si>
  <si>
    <t>1468644792477310978</t>
  </si>
  <si>
    <t>@drfahrettinkoca İki doz Biontech aşısı olup! Aradan üç ay geçmiş herkeze 3. Doz aşı hakkını tanımlayın.</t>
  </si>
  <si>
    <t>1468644712475238403</t>
  </si>
  <si>
    <t>@drfahrettinkoca KLAVUZ İSTİYORUZ... KLAVUZDA ADİL DAGİLİM İSTİYORUZ....DİYETİSYENLER 90 USTU PUANLA HALA ACİKTALAR</t>
  </si>
  <si>
    <t>1468644578723045378</t>
  </si>
  <si>
    <t>@drfahrettinkoca 🟢Hiç aşı yaptırmamış yb hasta sayısı  🟡Eksik aşılı yb hasta sayısı  🔴Tam aşılı yb hasta sayısı  Bu… https://t.co/NrNSY1YEch</t>
  </si>
  <si>
    <t>1468644561559904266</t>
  </si>
  <si>
    <t>@drfahrettinkoca TAM 13 AYDİR 91 PUANLA KARDESİM ATAMA BEKLİYOR...DİYETİSYENLERE COK SAYİDA ATAMA BEKLİYORUZ SAYİN BAKANİM</t>
  </si>
  <si>
    <t>1468644382484176898</t>
  </si>
  <si>
    <t>@drfahrettinkoca 3.dozları erkene çekiniz...!!</t>
  </si>
  <si>
    <t>1468644328218238978</t>
  </si>
  <si>
    <t>@drfahrettinkoca 13 AYDİR SADECE 60 DİYETİSYEN ATADİNİZ...13 AYDİR BU GENCLER 90 USTU PUANLA ATAMA BEKLİYORLAR...Dİ… https://t.co/ADKSs2xo6H</t>
  </si>
  <si>
    <t>1468644163910574083</t>
  </si>
  <si>
    <t>@drfahrettinkoca DİYETİSYENLERE ÇOK SAYIDA ATAMA BEKLİYORUZ SAYİN BAKANİM 90 üstü puanla hala ACİKTALAR</t>
  </si>
  <si>
    <t>1468643973522763781</t>
  </si>
  <si>
    <t>@drfahrettinkoca Bu benim bedenim. Aşı olmak isteyen olur. Olmak istemeyen olmaz. Aşılanan kendi kararını vermiştir… https://t.co/d9decMUIMa</t>
  </si>
  <si>
    <t>1468643961325727747</t>
  </si>
  <si>
    <t>1468643920112492546</t>
  </si>
  <si>
    <t>@drfahrettinkoca DİYETİSYENLERE COK SAYİDA ATAMA BEKLİYORUZ SAYİN BAKANİM 91 PUANLA KARDESİM HALA AÇIKTA</t>
  </si>
  <si>
    <t>1468643875380207629</t>
  </si>
  <si>
    <t>@drfahrettinkoca Siz hiç hata yapamadınız mı? Bütün yükü neden halka yıkıyorsunuz?</t>
  </si>
  <si>
    <t>1468643852114350083</t>
  </si>
  <si>
    <t>@drfahrettinkoca Kılavuz Kılavuz Kılavuz Kılavuz Kılavuz Kılavuz Kılavuz Kılavuz Kılavuz Kılavuz Kılavuz Kılavuz Kı… https://t.co/veAzi2dqNR</t>
  </si>
  <si>
    <t>1468643684430360578</t>
  </si>
  <si>
    <t>@drfahrettinkoca Hocam ALLAH aşkına aşımın çözüm olduğunu nasıl savunursunuz aşıyla ölenlerin verilerini neden anla… https://t.co/qkFMaqJPJZ</t>
  </si>
  <si>
    <t>1468643656487817223</t>
  </si>
  <si>
    <t>@drfahrettinkoca Yoğun bakım raporlarını göster Fahrettin bey. Lafla veri olmaz. O zaman ben de çıkayım, yoğun bakı… https://t.co/qWaK0Xz7Rh</t>
  </si>
  <si>
    <t>1468643644102094855</t>
  </si>
  <si>
    <t>@drfahrettinkoca Kılavuz Kılavuz</t>
  </si>
  <si>
    <t>1468643475101032451</t>
  </si>
  <si>
    <t>@drfahrettinkoca Kılavuz z</t>
  </si>
  <si>
    <t>1468643352182669326</t>
  </si>
  <si>
    <t>@drfahrettinkoca Aşı sonrası yan etki yaşayanlar, minik pıhtılar yüzünden ölenler ne olacak sayın bakan</t>
  </si>
  <si>
    <t>1468643165104189446</t>
  </si>
  <si>
    <t>@drfahrettinkoca Sn. Aşı ve twit bakanı. Yıldık, bıktık....</t>
  </si>
  <si>
    <t>1468643071055310856</t>
  </si>
  <si>
    <t>@drfahrettinkoca Doğruları , doğru rakamlari verme vakti gelmedi mi artık , kalp krizi ölümleri , kanser benzeri ha… https://t.co/CUocjgPTot</t>
  </si>
  <si>
    <t>1468643022065881089</t>
  </si>
  <si>
    <t>@drfahrettinkoca Dunya’da sizden ya da ( asistaninizdan ) baska her gun bu sekilde tweet atan bir bakan yok . Ne ol… https://t.co/pFCLdujQ7Q</t>
  </si>
  <si>
    <t>1468642945247047680</t>
  </si>
  <si>
    <t>@drfahrettinkoca Yaziklar olsun ki Aşı vurulan kişiler ölüyor  utanmadan  Aşı yaptın diyorsun üç doz Aşı işe yarasa… https://t.co/p1SyNHfu28</t>
  </si>
  <si>
    <t>1468642915958333440</t>
  </si>
  <si>
    <t>@drfahrettinkoca Tarihi geçmiş ilaçları insanlara verip sonrada aşı olun demek nekadar manidar</t>
  </si>
  <si>
    <t>1468642863131119625</t>
  </si>
  <si>
    <t>@drfahrettinkoca Aşı karşıtlarının alayı gerizekalı</t>
  </si>
  <si>
    <t>1468642832881758213</t>
  </si>
  <si>
    <t>@drfahrettinkoca Yasadigim küçücük ilcede 1000'den fazla vaka var su an. Ulkede 20.000 nasil oluyor acep?</t>
  </si>
  <si>
    <t>1468642817698369537</t>
  </si>
  <si>
    <t>@drfahrettinkoca Bana yalan söylüyorsun gerçekleri gizliyorsun</t>
  </si>
  <si>
    <t>1468642813038542854</t>
  </si>
  <si>
    <t>@drfahrettinkoca Ne o millet uyanınca ağaların kızmaya mı başladı? Senden cacık olmaz. Git bahçende çiçek ek bi işe yara.</t>
  </si>
  <si>
    <t>1468642673636618249</t>
  </si>
  <si>
    <t>@drfahrettinkoca İnsanı ruhen ve bedenen koruyan 1000 şey sıralansa aşı belki listeye bile girmez. Peki neden 1000… https://t.co/CKPUuqABdq</t>
  </si>
  <si>
    <t>1468642504039878660</t>
  </si>
  <si>
    <t>@drfahrettinkoca Adil bir alım temennisiyle beklediğimiz kılavuz nerede?</t>
  </si>
  <si>
    <t>1468642433374339077</t>
  </si>
  <si>
    <t>@drfahrettinkoca Sağlık bakanı olarak yorumlarınız bir bilim insanına yakışmıyor. Grip aşısı değil doğru düzgün ted… https://t.co/60AOcbao3z</t>
  </si>
  <si>
    <t>1468642195188113412</t>
  </si>
  <si>
    <t>@drfahrettinkoca Benim bildiğim deneysel sıvı arttıkça vakalar artıyor.. Yan etkilerini hiç demiyorum</t>
  </si>
  <si>
    <t>1468642185360850954</t>
  </si>
  <si>
    <t>@drfahrettinkoca Que Deus os abençoe no enfrentado as etapas fundamentais e necessárias qual união é a determinação… https://t.co/iipwY0PgLy</t>
  </si>
  <si>
    <t>1468642085209358346</t>
  </si>
  <si>
    <t>@drfahrettinkoca https://t.co/iJj7MumX8D</t>
  </si>
  <si>
    <t>1468641671751647237</t>
  </si>
  <si>
    <t>@drfahrettinkoca Benim sağlığım benim kararım. Sağlığımla ilgili yorum bile yapmak kimsenin haddine değil. Herkes h… https://t.co/cVhx0Lf7bd</t>
  </si>
  <si>
    <t>1468641560770326535</t>
  </si>
  <si>
    <t>@drfahrettinkoca Sayın Bakan. Yaptırımlara, tehditlere, dayatmalara devam ettiğiniz ve de gerçekleri sakladığınız,… https://t.co/WxwFqRszZR</t>
  </si>
  <si>
    <t>1468641535667458056</t>
  </si>
  <si>
    <t>@drfahrettinkoca Bu aşı kaç tane vurulunca tam oluyor efendi sen daha sorumuza cevap veremiyorsun bu aşı değil neid… https://t.co/w7iDi6lx7b</t>
  </si>
  <si>
    <t>1468641534954414088</t>
  </si>
  <si>
    <t>@drfahrettinkoca Kılavuz bekliyoruz. #SbMerkeziAtamaOEncesiKılavuz</t>
  </si>
  <si>
    <t>1468641471750414341</t>
  </si>
  <si>
    <t>@drfahrettinkoca H</t>
  </si>
  <si>
    <t>1468641324660400131</t>
  </si>
  <si>
    <t>@drfahrettinkoca Öyle güzel laf ebeligi yapıyorsunki tebrikler. Varsa cesaretin birgün tam olarak yoğun bakımda kaç… https://t.co/721Ot1b8oc</t>
  </si>
  <si>
    <t>1468641251792723977</t>
  </si>
  <si>
    <t>@drfahrettinkoca Çok kısa bir soru; toplumun tamamını aşı tacirlerinin aşısını olduktan sonra vaka ve ölümler devam… https://t.co/msFWYoCDWD</t>
  </si>
  <si>
    <t>1468641246625345541</t>
  </si>
  <si>
    <t>@drfahrettinkoca Aspirin mi bu 3 ayda aşı olun ne demek sağlıksa eğer açıklayın 🤔</t>
  </si>
  <si>
    <t>1468641241315303425</t>
  </si>
  <si>
    <t>@drfahrettinkoca #Omikron 👇 https://t.co/BAlNDZTFPA</t>
  </si>
  <si>
    <t>1468641094715990028</t>
  </si>
  <si>
    <t>@drfahrettinkoca Fahrettin bizi kahrettin</t>
  </si>
  <si>
    <t>1468640889279070212</t>
  </si>
  <si>
    <t>@drfahrettinkoca İçme suyunuza sirke ekleyin gribal enfeksiyon dahil mikrop bırakmıyor ne olduğunu bilmediğiniz sıvıları tüketmeyin</t>
  </si>
  <si>
    <t>1468640858736111622</t>
  </si>
  <si>
    <t>@drfahrettinkoca @saglikbakanligi Annem 87 yasında 2.bıontek asısını yaptırmak için gıttık adınıza aşı tanımlanmamı… https://t.co/utaXpCVZi5</t>
  </si>
  <si>
    <t>1468640765400293377</t>
  </si>
  <si>
    <t>@drfahrettinkoca Hastanelerde size inanıp aşı olan ve test kuyruğunda 3 doz aşı da oldum yine korona oldum diyen ma… https://t.co/ScoDXnGKOd</t>
  </si>
  <si>
    <t>1468640670105710597</t>
  </si>
  <si>
    <t>@drfahrettinkoca Bizi kimse korkutmadı lakin kendimiz iki doz aşılı olup agır korona olanları gördükten sonra pıhta… https://t.co/XMK0RlDaHT</t>
  </si>
  <si>
    <t>1468640603890196491</t>
  </si>
  <si>
    <t>@drfahrettinkoca Kılavuz kılavuz kılavuz kılavuz kılavuz kılavuz kılavuz kılavuz kılavuz kılavuz kılavuz kılavuz</t>
  </si>
  <si>
    <t>1468640541378232334</t>
  </si>
  <si>
    <t>@drfahrettinkoca Biontech kulağını çekti galiba bakanın aşı satışları yavaşladı diye, aşı olmayınca hastada olmuyor… https://t.co/dBEYZ32Hz6</t>
  </si>
  <si>
    <t>1468640414077005840</t>
  </si>
  <si>
    <t>@drfahrettinkoca İnsanlarımızı 2 haftayla başlayıp 2 yıldır korkutmakla ne kazandınız?  Üretim ve istihdamda kurtul… https://t.co/fioBTObSCP</t>
  </si>
  <si>
    <t>1468640342878699523</t>
  </si>
  <si>
    <t>@drfahrettinkoca Çok şükür 666. Cıların uyduruk aşılarının bi işe yaramadığını öğrendim şirketimden ve ailemden son… https://t.co/Zm0EgDmCKJ</t>
  </si>
  <si>
    <t>1468640314621673472</t>
  </si>
  <si>
    <t>@drfahrettinkoca Vakalarmı önemli yoksa aşılarmı. Çünkü 30.000 lerdeyken rahattınız. Ne zaman aşılama düşünce panik… https://t.co/WGYhflgiT6</t>
  </si>
  <si>
    <t>1468640287874777090</t>
  </si>
  <si>
    <t>@drfahrettinkoca Aşı kadar Diğer eksiklerimizle keşke ilgilenseniz mesela 14 eczane dolaşıp bulamadığım tansiyon il… https://t.co/tvOAyDJruR</t>
  </si>
  <si>
    <t>1468640270933708812</t>
  </si>
  <si>
    <t>@drfahrettinkoca Yani yoğun bakımdakilerib yarısından fazlası en az bir doz aşı olmuş kişiler! O zaman neden aşı ol… https://t.co/MCJtbuF4mm</t>
  </si>
  <si>
    <t>1468640198405808133</t>
  </si>
  <si>
    <t>@drfahrettinkoca Keske baska hastaliklarlada bukadar ilgilenseniz bakanim</t>
  </si>
  <si>
    <t>1468640196182908932</t>
  </si>
  <si>
    <t>@drfahrettinkoca Bakan bey okullarda önlem almışsınız değilmi hani atıp tutuyordunuzya işte sizin aldığınız önlemle… https://t.co/gMGVrPQI4O</t>
  </si>
  <si>
    <t>1468640093451829256</t>
  </si>
  <si>
    <t>@drfahrettinkoca Ekonomik kurtuluş için önce borç yükünden ve dolar bağımlılığından kurtulmak gerekir.  Dr. Fatih E… https://t.co/FMCGopW6b3</t>
  </si>
  <si>
    <t>1468640054876819461</t>
  </si>
  <si>
    <t>@drfahrettinkoca ÇOK UZAMAYACAK dediniz üzerinden koca bir ay geçti daha ne kadar bekleyeceğiz</t>
  </si>
  <si>
    <t>1468639988485087242</t>
  </si>
  <si>
    <t>@drfahrettinkoca Klavuzzz</t>
  </si>
  <si>
    <t>1468639934869299203</t>
  </si>
  <si>
    <t>@drfahrettinkoca Yatanların önemli bölümü hiç aşı yapmamış veya tam aşılı değil  ise diğer önemli bölümü de tam aşı… https://t.co/f0GLsUHYxv</t>
  </si>
  <si>
    <t>1468639933577498633</t>
  </si>
  <si>
    <t>@drfahrettinkoca Aşı bu kadar etkiliyse neden zorunlu hale gelmiyor anlam veremiyorum</t>
  </si>
  <si>
    <t>1468639920252198924</t>
  </si>
  <si>
    <t>@drfahrettinkoca biz okuldayız kalabalık içindeyiz bizim ofisimiz yok maskemizi çıkarıp da nefes alamıyoruz biz tam… https://t.co/O3LXoHWQWC</t>
  </si>
  <si>
    <t>1468639726450135046</t>
  </si>
  <si>
    <t>@drfahrettinkoca Sn bakanım daha önceki açıklamalarınızda aşı hastaneye yatmayı %100 önlüyor demiştiniz ama bu açık… https://t.co/lnOcBQdSQX</t>
  </si>
  <si>
    <t>1468639722037731336</t>
  </si>
  <si>
    <t>@drfahrettinkoca İsteyen 100 doz vurdursun. Bize ne başkasının sıvısından? Biz tıbbi zorbalığa karşıyız. Zorbalığa… https://t.co/g2dxFe7suX</t>
  </si>
  <si>
    <t>1468639685392191494</t>
  </si>
  <si>
    <t>@drfahrettinkoca Yalan söylüyorsun</t>
  </si>
  <si>
    <t>1468639512494546952</t>
  </si>
  <si>
    <t>@drfahrettinkoca Tedavi etmeyi beceremediğiniz için insanlar yoğun bakımda. Sırf tedavi etmeyi beceremediğiniz için… https://t.co/fH8wguUXIY</t>
  </si>
  <si>
    <t>1468639283309383687</t>
  </si>
  <si>
    <t>@drfahrettinkoca Sonunda tam aşılının formülünü çözdüm. N+1= TAM AŞILI (N vurulduğunuz aşı sayısı.) Formülde yerine… https://t.co/DjcbLIjipf</t>
  </si>
  <si>
    <t>1468639243161452545</t>
  </si>
  <si>
    <t>@drfahrettinkoca Vatandaşının sesine kulak vermeyen bakan istemiyorum</t>
  </si>
  <si>
    <t>1468639241081167877</t>
  </si>
  <si>
    <t>@drfahrettinkoca Şimdi klavuz neden 1 aydan fazladır gelmiyo sayın bakanım desem gençler acele ediyor dicekler neys… https://t.co/KTVEQweQRV</t>
  </si>
  <si>
    <t>1468639194583126022</t>
  </si>
  <si>
    <t>@drfahrettinkoca İBLİSİN SIVILARINDA NE VAR MIŞ BUYRUN https://t.co/r2G7sRd5Qc</t>
  </si>
  <si>
    <t>1468639181593366532</t>
  </si>
  <si>
    <t>@drfahrettinkoca Aşı olmayanların pişmanlıklarını gösteren görüntüleri paylaşmak faydalı olacaktır, tabi kişisel ve… https://t.co/rbBggHFBD1</t>
  </si>
  <si>
    <t>1468639082926518285</t>
  </si>
  <si>
    <t>@drfahrettinkoca Aklımızla dalga gecmeyin ya şaka mısınız?  Bu ayda atama yapmayın utanmanız yoksa... Yazıklar olsu… https://t.co/p8ITNv2IO6</t>
  </si>
  <si>
    <t>1468639071304044551</t>
  </si>
  <si>
    <t>@drfahrettinkoca 1.doz %91, ikinci doz %81 daha ne kadar bu deneysel sıvılar icin insanları zorlamayi düşünüyorsunuz.</t>
  </si>
  <si>
    <t>1468638909991161856</t>
  </si>
  <si>
    <t>@drfahrettinkoca Masallah Elhamdulillah Ya Şafi  Ya Şafi Ya Şafi Hadi asi olmayanlar iğneden korkulurmu?</t>
  </si>
  <si>
    <t>1468638880219938824</t>
  </si>
  <si>
    <t>@drfahrettinkoca Bizi duyun artık burda yüzlerce genç geleceğinin haberini bekliyor atama yapıyorsanız yapın artık</t>
  </si>
  <si>
    <t>1468638875107135488</t>
  </si>
  <si>
    <t>@drfahrettinkoca SEN DOKTORSAN BU ALMAN PROFLAR BİR HİÇ BUNLAR DOKTORSA SEN BİR HİÇ.. HANGİNİZ DOĞRU https://t.co/r2G7sRd5Qc</t>
  </si>
  <si>
    <t>1468638820396634115</t>
  </si>
  <si>
    <t>@drfahrettinkoca Aşı olmadım ayaktayım İnanmayın Fahrettine</t>
  </si>
  <si>
    <t>1468638746786553857</t>
  </si>
  <si>
    <t>@drfahrettinkoca Gerçekten hatalı kararların sonucunu biliyormusunuz? Eminmisiniz... İnsanların sağlığı için uğraşa… https://t.co/6f1kDq90IJ</t>
  </si>
  <si>
    <t>1468638743515090944</t>
  </si>
  <si>
    <t>@drfahrettinkoca #hükümetistifa #ErkenSeçim #BirBiontechYalanıYaz https://t.co/2TZ88LXR9a</t>
  </si>
  <si>
    <t>1468638711097274385</t>
  </si>
  <si>
    <t>@drfahrettinkoca '' Aşısı tam olmayan kişiler '' derken ??? 2 doz sinovac +6 ay = AŞISIZ..2 doz Biontech+6 ay = AŞI… https://t.co/VkQR8dHi48</t>
  </si>
  <si>
    <t>1468638695267999745</t>
  </si>
  <si>
    <t>@drfahrettinkoca Hatalı karar verip şu saçma sıvıyı olanların akıbeti belli. Kapl krizi, beyin kanaması , ölüm.   A… https://t.co/VC2YiIlgge</t>
  </si>
  <si>
    <t>1468638520835289088</t>
  </si>
  <si>
    <t>@drfahrettinkoca yapılan pcr baskısı olmamak için sebep,yanlış sonuç verebilen test kiti ile pandemi yönetmek gibi unsurlar ve dahasıda var.</t>
  </si>
  <si>
    <t>1468638520344559634</t>
  </si>
  <si>
    <t>@drfahrettinkoca Her şeyi bilmesekde bazı şeyleri öğrendik.Dediğiniz gibiyse neden canlı yayında aşı karşıtlarıyla… https://t.co/wPoIbM6MP6</t>
  </si>
  <si>
    <t>1468638345286889479</t>
  </si>
  <si>
    <t>@drfahrettinkoca Yatacak yeriniz yok</t>
  </si>
  <si>
    <t>1468638188730306564</t>
  </si>
  <si>
    <t>@drfahrettinkoca Erdogan ne dedi bu diye soruyor. Ne diyim ?</t>
  </si>
  <si>
    <t>1468638146434932741</t>
  </si>
  <si>
    <t>@drfahrettinkoca @saglikbakanligi https://t.co/n2R9pQ0ZA8</t>
  </si>
  <si>
    <t>1468638141351350279</t>
  </si>
  <si>
    <t>@drfahrettinkoca Allah büyük. Herkes o büyük mahkemede dünyada yaptıklarının hesabını verecek. Göreceğiz kim haklı.</t>
  </si>
  <si>
    <t>1468638130366517250</t>
  </si>
  <si>
    <t>@drfahrettinkoca 3.dozu çıkardınız yavaş yavaş 29293doz aşıya kadar gidersiniz</t>
  </si>
  <si>
    <t>1468638075488251906</t>
  </si>
  <si>
    <t>@drfahrettinkoca Beceriksizliğinizi aşıya bağlamayın hergün 200 e yakın kişi vefat ediyor ki bu sayıların gerçekliğ… https://t.co/XCUiDE2bxD</t>
  </si>
  <si>
    <t>1468637996408877058</t>
  </si>
  <si>
    <t>@drfahrettinkoca ''alınması gereken bir karar.'' bu cümleyi çözümleyin bakalım ne çıkıyor.</t>
  </si>
  <si>
    <t>1468637994911518725</t>
  </si>
  <si>
    <t>@drfahrettinkoca Düş yakamizdan...</t>
  </si>
  <si>
    <t>1468637924698869766</t>
  </si>
  <si>
    <t>@drfahrettinkoca Uğur Şahin diyor ki, covid için yeni aşı bulunması gerekecek. O zaman yeni aşıyı bekleyip, bir üst sürümünü olacağım.</t>
  </si>
  <si>
    <t>1468637889810640897</t>
  </si>
  <si>
    <t>@drfahrettinkoca Kimse sayenizde bişey kazanamıyor bakanım bu kadar ekonomik buhranda siz de bizi bilmem kaçıncı pl… https://t.co/OY7Dqu5XWY</t>
  </si>
  <si>
    <t>1468637757744558086</t>
  </si>
  <si>
    <t>@drfahrettinkoca Maviler iyi mi</t>
  </si>
  <si>
    <t>1468637701394120713</t>
  </si>
  <si>
    <t>@drfahrettinkoca Aşıdan ağır yan etki görenleri ve ölenleri neden söylemiyorsunuz ❓ Aşı da aşı, aşı da aşı her gün, bıktık artık❗</t>
  </si>
  <si>
    <t>1468637672927375363</t>
  </si>
  <si>
    <t>@drfahrettinkoca Kılavuz mu kazanmışlar 🤔</t>
  </si>
  <si>
    <t>1468637632586522635</t>
  </si>
  <si>
    <t>@drfahrettinkoca Tweet atarak salgın yönetilmez bakan</t>
  </si>
  <si>
    <t>1468637628736155659</t>
  </si>
  <si>
    <t>@drfahrettinkoca Aşı aşı aşı diye diye milleti yediniz 121milyon doz aşı yaptınız sonuç vakalar artıyor ölüm sayıla… https://t.co/I6dNTFCQli</t>
  </si>
  <si>
    <t>1468637618414014469</t>
  </si>
  <si>
    <t>@drfahrettinkoca Aşı olmayarak sağlıklı kalmayı başardım şu ana kadar covıd olmadım, ailemde aşı olan aile bireyler… https://t.co/4eDSvA55LF</t>
  </si>
  <si>
    <t>1468637365782695944</t>
  </si>
  <si>
    <t>@drfahrettinkoca İnsanlar aşıdan korkmuyor, bu deneysel sıvı dan ve sizin tutarsız söylemlerinizle birlikte, millet… https://t.co/zgy1PanjeT</t>
  </si>
  <si>
    <t>1468637305183350789</t>
  </si>
  <si>
    <t>@drfahrettinkoca Göz göre göre yalan söylüyorsunuz. Hastanede yatanların çoğu aşılı kişiler. Madem dediğiniz gibi v… https://t.co/tKRMSygUqi</t>
  </si>
  <si>
    <t>1468637264922169348</t>
  </si>
  <si>
    <t>@drfahrettinkoca Aşı yokken günde 20 kişiydi herkes aşılandı 200 kişi! Dalga geciyorsunuz!!!</t>
  </si>
  <si>
    <t>1468637104368492545</t>
  </si>
  <si>
    <t>@drfahrettinkoca Aşın çok güvenli ise sorumluluğunu al üzerine.  İnsanlara kağıt imzalatma. @drfahrettinkoca</t>
  </si>
  <si>
    <t>1468637080314126340</t>
  </si>
  <si>
    <t>@drfahrettinkoca -%60 aşılama ile pandemi bitiyordu noldu?  - Sinovac %100 önlüyordü noldu?  - Biontech yoğun bakım… https://t.co/5zvwlB3a3W</t>
  </si>
  <si>
    <t>1468637051847426057</t>
  </si>
  <si>
    <t>@drfahrettinkoca Bakanım öldürmeyin bizi lütfen okula gidiyorum herkes tokalasıyi sarılıyo yan yana oturuyoruz sını… https://t.co/1hTCwid3MJ</t>
  </si>
  <si>
    <t>1468636972466208768</t>
  </si>
  <si>
    <t>@drfahrettinkoca İnandırıcılığını o kadar kaybettinki senin sözünle bir tek aspirin bile içmez insan.</t>
  </si>
  <si>
    <t>1468636779112808449</t>
  </si>
  <si>
    <t>1468636755662446599</t>
  </si>
  <si>
    <t>@drfahrettinkoca Sayın koca bu insanların aşısı kaç aşıdan sonra tam olacak eğer hiç bir zaman tam olamayacaksa ned… https://t.co/elLqQMVg4J</t>
  </si>
  <si>
    <t>1468636659738722313</t>
  </si>
  <si>
    <t>@drfahrettinkoca Valla zorlamayin asiyi.ben boyle iyiyim. Valla hicde pisman degilim. Ileri tarihlerde 3 ila 5 sene… https://t.co/TGIdocc7DC</t>
  </si>
  <si>
    <t>1468636655615713281</t>
  </si>
  <si>
    <t>@drfahrettinkoca Kılavuz nerede sayın bakanım ?</t>
  </si>
  <si>
    <t>1468636637303296008</t>
  </si>
  <si>
    <t>@drfahrettinkoca laftan ve istatistikten anlamadiğin için diyorum ki yalanina scy</t>
  </si>
  <si>
    <t>1468636406515965952</t>
  </si>
  <si>
    <t>@drfahrettinkoca Helal olsun urfaya adamlarin beyni bakanlıktan daha iyi çalışıyor</t>
  </si>
  <si>
    <t>1468636324739620868</t>
  </si>
  <si>
    <t>@drfahrettinkoca 1 ayı geçti atama haberi vereli. Nerede kılavuz?</t>
  </si>
  <si>
    <t>1468636170343043081</t>
  </si>
  <si>
    <t>@drfahrettinkoca "Orta ve uzun vade etkilerini bilmedigimiz mrna aşılarını halkımıza yapacağımızı düşünmüyorsunuz h… https://t.co/AZUE440tZU</t>
  </si>
  <si>
    <t>1468636146653671426</t>
  </si>
  <si>
    <t>@drfahrettinkoca Bıktık tek işiniz her akşam aşı saymak!Madem herşey yolunda, okula giden kaç çocuk ve genç enfekte… https://t.co/wjEPeRVKVV</t>
  </si>
  <si>
    <t>1468636127003389952</t>
  </si>
  <si>
    <t>@drfahrettinkoca Aşı da hicbir zaman tam değil , yani hepimiz aşısızız</t>
  </si>
  <si>
    <t>1468636091754426374</t>
  </si>
  <si>
    <t>@drfahrettinkoca Bionteki bulan Almanya'da her gün yaklaşık 450 kişi çoğu aşılı öliyeah, 50.000+ vaka sayısı.Ekonom… https://t.co/esEaY0cS69</t>
  </si>
  <si>
    <t>1468636065821081610</t>
  </si>
  <si>
    <t>@drfahrettinkoca Sayın Bakan, omicron için biontech 3.doz aşı söyleniyor. Diğer ülkeler vatandaşlarına 3 aydan sonr… https://t.co/i6zWMduurE</t>
  </si>
  <si>
    <t>1468636042584539144</t>
  </si>
  <si>
    <t>@drfahrettinkoca Bakanım yoğun bakımda yatanların yüzde kaçı tam aşılı bu konu hakkında neden bilgi vermiyorsunuz b… https://t.co/jvgyV2tJr2</t>
  </si>
  <si>
    <t>1468635962863493123</t>
  </si>
  <si>
    <t>@drfahrettinkoca Hiçbir şeye yanıtınız yoksa sizde Mahmut Özer gibi twitter hesabınızı kapatabilirsiniz.</t>
  </si>
  <si>
    <t>1468635939052433409</t>
  </si>
  <si>
    <t>@drfahrettinkoca HES uygulamasını tamamen kaldırmalısınız. HAYAT EVE SIĞMAZ SIĞMADI SIĞMAYACAK  İNSANIZ BİZ, ROBOT… https://t.co/IoH9wV1A6z</t>
  </si>
  <si>
    <t>1468635895532335105</t>
  </si>
  <si>
    <t>@drfahrettinkoca Hiçbir işe yaramadığı gibi insanlar arasında tartışmalara sebep olan ANLAMSIZ MASKE MECBURİYETİ de… https://t.co/MBaOGtbfKY</t>
  </si>
  <si>
    <t>1468635863437520896</t>
  </si>
  <si>
    <t>@drfahrettinkoca Bizlerde yakalandık hiçte öyle kabus gibi ol madi çok şükür allah'ıma hiç hissetmedik bile sadece… https://t.co/Xv25a2IFlN</t>
  </si>
  <si>
    <t>1468635827009953793</t>
  </si>
  <si>
    <t>@drfahrettinkoca Kılavuz için artık ne yapmamız gerek , uyuyamıyorum geçen gündüzüm bir oldu çalışamıyorum , ekonom… https://t.co/F7RxC8qynK</t>
  </si>
  <si>
    <t>1468635820559155203</t>
  </si>
  <si>
    <t>@drfahrettinkoca ey  khrettin  sen bu ülkenin başına gelmiş en böyükk bilaasın</t>
  </si>
  <si>
    <t>1468635791404453899</t>
  </si>
  <si>
    <t>@drfahrettinkoca Kılavuz için artık ne yapmamız gerek , uyuyamıyorum geçen gündüzüm bir oldu çalışamıyorum , ekonom… https://t.co/KmHHGazMjk</t>
  </si>
  <si>
    <t>1468635779832418307</t>
  </si>
  <si>
    <t>@drfahrettinkoca https://t.co/E7BP4V7Irv</t>
  </si>
  <si>
    <t>1468635768864260100</t>
  </si>
  <si>
    <t>@drfahrettinkoca #kabineomicrongelmedenonline bence sizin artık tutarsız açıklamalariniz kimseyi inandırmiyor</t>
  </si>
  <si>
    <t>1468635748819775490</t>
  </si>
  <si>
    <t>@drfahrettinkoca Kılavuz için artık ne yapmamız gerek , uyuyamıyorum geçen gündüzüm bir oldu çalışamıyorum , ekonom… https://t.co/1yEXefAiMy</t>
  </si>
  <si>
    <t>1468635726409605121</t>
  </si>
  <si>
    <t>@drfahrettinkoca Kılavuz ne zaman yayinlanacak sayın bakan!?</t>
  </si>
  <si>
    <t>1468635664958767107</t>
  </si>
  <si>
    <t>@drfahrettinkoca aşıya ön yargı demeyelim,güvensizlik diyelim.Bir çok insan aşılı olduğu halde patır patır kalp rah… https://t.co/qgyAexKNBp</t>
  </si>
  <si>
    <t>1468635659875270659</t>
  </si>
  <si>
    <t>@drfahrettinkoca Sayın bakan bugine kadar size çok büyük saygı duydum yaş 58 tam 40 gündür kanal tedavisi olacak di… https://t.co/0tL3GG0Xci</t>
  </si>
  <si>
    <t>1468635563326689289</t>
  </si>
  <si>
    <t>@drfahrettinkoca Sinovac hastahane ye yatışı önlüyor ölümü önlüyor dediniz olmadı. 2 doz biontech dediniz olmadı 3… https://t.co/X27LutatBX</t>
  </si>
  <si>
    <t>1468635538416717824</t>
  </si>
  <si>
    <t>@drfahrettinkoca 2 doz aşı olmuş ama aşısı eksik yakında da 3 dozlara aynısını dersiniz kaç doz bu aşılar önce onu söyleyin.</t>
  </si>
  <si>
    <t>1468635508427395082</t>
  </si>
  <si>
    <t>@drfahrettinkoca Sizce grip olup evde hafif atlatmakmı iyi ??  Yada aşı olup nefes darligi pıhtı atıp yoğun bakımda ölmek mi?</t>
  </si>
  <si>
    <t>1468635493478944769</t>
  </si>
  <si>
    <t>@drfahrettinkoca Yoğun bakımda yatanlar ilk önce aşısızlardı, sonra aşısı tam olmayanlar oldu 🤣 sinovac %95 hastane… https://t.co/dGmN7CsFqC</t>
  </si>
  <si>
    <t>1468635466706653188</t>
  </si>
  <si>
    <t>@drfahrettinkoca Dinin imanın yalan olmuş! Allah ıslah etsin!</t>
  </si>
  <si>
    <t>1468635441754775554</t>
  </si>
  <si>
    <t>@drfahrettinkoca 1.Aşılama ve  teste gidenler azaldıkça vakalar,ölümler neden düşüyor ? 2.Aşı karşıtları neden ölüp… https://t.co/plPORdN0F5</t>
  </si>
  <si>
    <t>1468635383034519557</t>
  </si>
  <si>
    <t>@drfahrettinkoca Sağlıkçılar iş mi bırakmış. Atama bekleyenler gündem mi olmuş. Doktorlar Almayaya mı kaçmış. Hiç b… https://t.co/cvIS2I6evc</t>
  </si>
  <si>
    <t>1468635347047354369</t>
  </si>
  <si>
    <t>@drfahrettinkoca Korkutmak mı? Sizin dışınızda kimsenin bişey kazanmadığını düşünüyorum.</t>
  </si>
  <si>
    <t>1468635280764813313</t>
  </si>
  <si>
    <t>@drfahrettinkoca LÜTFENNN AŞISIZLARIN SAYIMI YAPILSIN HER GÜN LÜTFEN 1 DOZ = AŞISIZ 2 DOZ = AŞISIZ 2 DOZ 3. DOZU İSTERSE EKSİK AŞILI KGKG</t>
  </si>
  <si>
    <t>1468635272317448194</t>
  </si>
  <si>
    <t>@drfahrettinkoca Neyyyyyy 😂😂😂 ASIYA RAGMEN BITMEYEN OYUNU GÖRDÜ MILLET AMERIKA NE DERSE O</t>
  </si>
  <si>
    <t>1468635124371709956</t>
  </si>
  <si>
    <t>@drfahrettinkoca Su tablo imkansizin da imkansizi</t>
  </si>
  <si>
    <t>1468635048760991744</t>
  </si>
  <si>
    <t>@drfahrettinkoca Sayın bakanım biz sıkıldık yazmaktan siz sıkılmadınız mı bizi bekletmekten ?</t>
  </si>
  <si>
    <t>1468635032919158796</t>
  </si>
  <si>
    <t>@drfahrettinkoca Şu "önyargıları" açıklar mısınız? Henüz faz çalışması süren bir aşı adayının, dünya genelinde on b… https://t.co/AsgzGlyMrz</t>
  </si>
  <si>
    <t>1468634967223713797</t>
  </si>
  <si>
    <t>@drfahrettinkoca Manisa Şehir Hastanesi 2. Basamak kovid yoğun bakım ünitesi Babam 17 kasımdan beri yoğun bakımda… https://t.co/gC2pTO6SYo</t>
  </si>
  <si>
    <t>1468634933338034185</t>
  </si>
  <si>
    <t>@drfahrettinkoca Siz aşı diye milleti tahdit edip insanların işyerlerini kapatarak insanları eve hapsedersek ne kaz… https://t.co/Pa2r5SeqNY</t>
  </si>
  <si>
    <t>1468634876538769409</t>
  </si>
  <si>
    <t>@drfahrettinkoca Yeter artık ası zorunlu degil diyorsun prc testini zorunlu kılıyosun Fabrikalar a genelgeyle Allah… https://t.co/miKjHWloBs</t>
  </si>
  <si>
    <t>1468634854883565572</t>
  </si>
  <si>
    <t>@drfahrettinkoca 12 yaş altına aşı istiyoruz</t>
  </si>
  <si>
    <t>1468634838928351240</t>
  </si>
  <si>
    <t>@drfahrettinkoca Pişman değiliz</t>
  </si>
  <si>
    <t>1468634737065574406</t>
  </si>
  <si>
    <t>@drfahrettinkoca Abi hic inandirici degil artik gercej rakamlari acikla vallaha gina geldi</t>
  </si>
  <si>
    <t>1468634723715010563</t>
  </si>
  <si>
    <t>@drfahrettinkoca Hoca; olaya senin gibi bakamayız, FONlanmıyoruz da, maddi bir kazancımız yok, senin için farklı ol… https://t.co/C10BpNuu3p</t>
  </si>
  <si>
    <t>1468634692010270723</t>
  </si>
  <si>
    <t>@drfahrettinkoca Bizi atarmısınız? Tşk.</t>
  </si>
  <si>
    <t>1468634679003734022</t>
  </si>
  <si>
    <t>@drfahrettinkoca Where is the guide Mr. KOCA? Wo ist die anleitung Mr.KOCA? Donde estela guia Mr.KOCA?</t>
  </si>
  <si>
    <t>1468634495238778892</t>
  </si>
  <si>
    <t>@drfahrettinkoca Ön yargı değil sorgulama. Mesele aşı değil virüsün varlığı benim için. Aşıyı İsteyen olsun isteyen… https://t.co/eY1jq7WUQQ</t>
  </si>
  <si>
    <t>1468634493615423489</t>
  </si>
  <si>
    <t>@drfahrettinkoca Hayırdır burada biraz baskı ve emir var gibi olmuyoruz bu sıvıyı olanları görüyoruz isteyen olur i… https://t.co/3h14gvlyl2</t>
  </si>
  <si>
    <t>1468634461537554434</t>
  </si>
  <si>
    <t>@drfahrettinkoca Kılavuz kılavuz görmezden gelmeyin artık</t>
  </si>
  <si>
    <t>1468634461193609225</t>
  </si>
  <si>
    <t>@drfahrettinkoca Yazıklar olsun size ölenlerin vebali sizide bulacak elbet</t>
  </si>
  <si>
    <t>1468634439467028482</t>
  </si>
  <si>
    <t>@drfahrettinkoca Sayın Bakanım aşılama arttıkça vakalar patlıyor bunu çok iyi biliyorsunuz ama tarihi hatanızdan dö… https://t.co/lS2okYRcnu</t>
  </si>
  <si>
    <t>1468634383611428871</t>
  </si>
  <si>
    <t>@drfahrettinkoca DİKKAT ❗❗❗BUBİR SUÇ DUYURUSUDUR❗❗❗ @fettahtamince  ait @sembolinsaat geçirdiği iş kazası sonucu sa… https://t.co/hBpPUsk5Dq</t>
  </si>
  <si>
    <t>1468634222483193857</t>
  </si>
  <si>
    <t>@drfahrettinkoca Kılavuz dışında herşey var 🤷‍♂️🤷‍♂️</t>
  </si>
  <si>
    <t>1468634173388857344</t>
  </si>
  <si>
    <t>@drfahrettinkoca bu rakamlar doğru mu?</t>
  </si>
  <si>
    <t>1468634063862915075</t>
  </si>
  <si>
    <t>@drfahrettinkoca Ya biraz utanır insan ya sen yerin dibine  geçtin ,sana inanmıyor sözüne itibar etmiyor gazetecile… https://t.co/RgKzOn8HiF</t>
  </si>
  <si>
    <t>1468634011216003077</t>
  </si>
  <si>
    <t>@drfahrettinkoca Bakanım yani bu aynı nüfuslu almanya aşıyı üreten Almanya 70 bin vaka biz 20 bin diyer avrupa ülke… https://t.co/XcD5LcfGWD</t>
  </si>
  <si>
    <t>1468633988684296199</t>
  </si>
  <si>
    <t>@drfahrettinkoca ATAMA BEKLEYENLER O KADAR YALVARIYOR..BU İNSANLAR NASIL GEÇİNECEK AŞI MI İÇİP YİYECEKLER.ATAMARINI YAPIN ARTIK.</t>
  </si>
  <si>
    <t>1468633977900699651</t>
  </si>
  <si>
    <t>@drfahrettinkoca Bizim size inanmadığımız gibi siz de bize inanmayacaksınız ama târihe not düşerler belki diyerek,… https://t.co/jL1cKcCWD4</t>
  </si>
  <si>
    <t>1468633967779852307</t>
  </si>
  <si>
    <t>@drfahrettinkoca Olmayacağım  sayın  atanmış  sağlık  bakanı, ölseydi ne olduğu  belirsiz o sıvıyı  Olmayacağım</t>
  </si>
  <si>
    <t>1468633924603723779</t>
  </si>
  <si>
    <t>@drfahrettinkoca Yahu önyargı falan yok. Koskoca iki sene olmuş, sabırlar tükenmiş. Hala aynı terane, yeni varyantl… https://t.co/G5A6GBcYVo</t>
  </si>
  <si>
    <t>1468633920262619147</t>
  </si>
  <si>
    <t>@drfahrettinkoca bu 1 hafta içerisinde sadece bizim mahalleden 5 ölüm haberi geldi coronadan, hangi 192 ölümden beh… https://t.co/E5s11amO8f</t>
  </si>
  <si>
    <t>1468633852935561225</t>
  </si>
  <si>
    <t>@drfahrettinkoca Siz hergün YALAN tablo açıklamaktan ne kazanıyorsuniz sayın @drfahrettinkoca bakanim.</t>
  </si>
  <si>
    <t>1468633813379133447</t>
  </si>
  <si>
    <t>@drfahrettinkoca #BanaYaklaşma!!!</t>
  </si>
  <si>
    <t>1468633680281321473</t>
  </si>
  <si>
    <t>@drfahrettinkoca Tırıvırı yapmayın artık kayda değer somut şeylerle gelin. #özürDileHakanUral Sağlıkta şiddeti meşr… https://t.co/IAQ7GfOBuc</t>
  </si>
  <si>
    <t>1468633504296624134</t>
  </si>
  <si>
    <t>@drfahrettinkoca BİZ GÖRÜNMEZ MİYİZ</t>
  </si>
  <si>
    <t>1468633274482409496</t>
  </si>
  <si>
    <t>@drfahrettinkoca Sayın bakanım, bizi görmemek için elinizden geleni yapıyorsunuz.</t>
  </si>
  <si>
    <t>1468633175006064640</t>
  </si>
  <si>
    <t>@drfahrettinkoca Reklam çöktü artık vazgeçin</t>
  </si>
  <si>
    <t>1468633114205470723</t>
  </si>
  <si>
    <t>@drfahrettinkoca Fahrettin senin sadece Allah 1 dediğine inanırım onuda sen söylediğin için değil kendim bildiğim i… https://t.co/Ji8qJagnfJ</t>
  </si>
  <si>
    <t>1468633114020925441</t>
  </si>
  <si>
    <t>@drfahrettinkoca maske ile 40 dakika  x 8 ders! dayanamıyoruz!!  #kabineomicrongelmedenonline</t>
  </si>
  <si>
    <t>1468633105581887498</t>
  </si>
  <si>
    <t>@drfahrettinkoca Koskoca TÜRKİYE CUMHURİYETİ sağlık bakanı olarak utanmadan yalan söylüyorsunuz güya neticelerini b… https://t.co/LH9ysSlCfn</t>
  </si>
  <si>
    <t>1468633018210390022</t>
  </si>
  <si>
    <t>1468632940905127949</t>
  </si>
  <si>
    <t>@drfahrettinkoca sayın bakanım sadece ve sadece meslektaşınız oldukları icin hadsiz şekilde açıklamalar  yapan haka… https://t.co/9XB0lf8mLb</t>
  </si>
  <si>
    <t>1468632937210036226</t>
  </si>
  <si>
    <t>@drfahrettinkoca Pıtırcık aşı</t>
  </si>
  <si>
    <t>1468632898395906052</t>
  </si>
  <si>
    <t>1468632765142867969</t>
  </si>
  <si>
    <t>@drfahrettinkoca Bakan bey size son kez yazacağım. Oğlum ikinci aşıdan sonra alerjik reaksiyon gösterdi ve doktor d… https://t.co/7RXZwmEygV</t>
  </si>
  <si>
    <t>1468632748944510976</t>
  </si>
  <si>
    <t>@drfahrettinkoca Yan etki açıklaması YOK Otopsi kayıtları YOK Hatalı ve yan etkili ilaçların raporu YOK Sorumluluk… https://t.co/nyTld4RXOH</t>
  </si>
  <si>
    <t>1468632690937245699</t>
  </si>
  <si>
    <t>@drfahrettinkoca Sayın Bakanım, sizin yalan söyleyeceğinizi tahmin etmiyorum. Galiba size yanlış Bilgi veriliyor. H… https://t.co/JvTPlhmWYB</t>
  </si>
  <si>
    <t>1468632639347335171</t>
  </si>
  <si>
    <t>@drfahrettinkoca Bu kadarda vurdumduymaz olmayın yazık biz gençler bir senedir perişan olduk günlerdir bir açıklama… https://t.co/WguKHlkwN0</t>
  </si>
  <si>
    <t>1468632622205370368</t>
  </si>
  <si>
    <t>@drfahrettinkoca Bakalım kim pişman ? Aaa aşı oranı yüksek olanlar pişman 😎 ne kazandı aşı olmayanlar? Hayatların!m… https://t.co/TZppFtmpRD</t>
  </si>
  <si>
    <t>1468632603112755206</t>
  </si>
  <si>
    <t>@drfahrettinkoca sayın bakanım ekranlarda her gün hedef gösterilen meslektaslarınız hakkında hadsiz şekilde açıklam… https://t.co/RjzwjFjsOD</t>
  </si>
  <si>
    <t>1468632551283646466</t>
  </si>
  <si>
    <t>@drfahrettinkoca Hocam siz neden tedbirsiz okullarda çocuklarımızı tutmadaki çabanızı aşıda kullanmıyorsunuz? Çocuk… https://t.co/qnl5NACE9X</t>
  </si>
  <si>
    <t>1468632550864265220</t>
  </si>
  <si>
    <t>@drfahrettinkoca @saglikbakanligi Sayın bakanım Kovid ile mücadelede kullanılması gereken kiralık araçlar, müdür ya… https://t.co/lNVzk3L6mw</t>
  </si>
  <si>
    <t>1468632472338501641</t>
  </si>
  <si>
    <t>@drfahrettinkoca Önyargı diyor bir de. Sizin orta ve uzun vadedeki yan etkilerini bilmediğiniz deney sıvısına küçüğ… https://t.co/unyZTGsdvl</t>
  </si>
  <si>
    <t>1468632470845370376</t>
  </si>
  <si>
    <t>@drfahrettinkoca bu tamamlanmamış aşı nasıl oluyor. şu an da 3.dozu olmayanlar aşısız mı kabul ediliyor, bu da deme… https://t.co/iPbm1nMRzb</t>
  </si>
  <si>
    <t>1468632450276511746</t>
  </si>
  <si>
    <t>@drfahrettinkoca Bizim kaybettiklerimiz peki  #SbMerkeziAtamaOEncesiKılavuz</t>
  </si>
  <si>
    <t>1468632353698463752</t>
  </si>
  <si>
    <t>@drfahrettinkoca sayın bakanım ekranlarda artık sadece dayak yediklerinde görünen meslektaslarınız hakkında hadsiz… https://t.co/POTeCizYDQ</t>
  </si>
  <si>
    <t>1468632291715002371</t>
  </si>
  <si>
    <t>@drfahrettinkoca Biz bir yılımızı kaybettik ama #SbMerkeziAtamaOEncesiKılavuz</t>
  </si>
  <si>
    <t>1468632257539756034</t>
  </si>
  <si>
    <t>@drfahrettinkoca Vefat sayısının sürekli 192 veriliyor olması tesadüf mü?</t>
  </si>
  <si>
    <t>1468632246475280386</t>
  </si>
  <si>
    <t>@drfahrettinkoca Fahrettin bey tam aşı nasıl oluyo şunu bir açıklayında rahatlayalim buyrun</t>
  </si>
  <si>
    <t>1468632178250629128</t>
  </si>
  <si>
    <t>@drfahrettinkoca Bugunn kilavuuuzz</t>
  </si>
  <si>
    <t>1468632164107440131</t>
  </si>
  <si>
    <t>@drfahrettinkoca Ası diyorsunuz 12 yas altına tanımlamıyorsunuz,maske,mesafe,hijyen diyorsunuz kontrolü bile yapilm… https://t.co/NLTiKyoDBT</t>
  </si>
  <si>
    <t>1468632157010726931</t>
  </si>
  <si>
    <t>@drfahrettinkoca Sen sağlık bakanımısın Pfizer aşı mümessilimi?Aşı olanda virüsü yayıyor olmayanda.Aşı olanda kovit… https://t.co/YPcOMN4fzH</t>
  </si>
  <si>
    <t>1468632140426448900</t>
  </si>
  <si>
    <t>@drfahrettinkoca Kılavuz bugunnn</t>
  </si>
  <si>
    <t>1468632138857824265</t>
  </si>
  <si>
    <t>@drfahrettinkoca Yav sizin hastalık korkusuyla yaptığınız ne? O hapları bile hiç araştırmadan günde 16 tane birden… https://t.co/gVVD2skFts</t>
  </si>
  <si>
    <t>1468632093559500800</t>
  </si>
  <si>
    <t>@drfahrettinkoca Kilavuz bugunn</t>
  </si>
  <si>
    <t>1468632086525489159</t>
  </si>
  <si>
    <t>@drfahrettinkoca sayın bakanım hergün ayaklar altına alınan meslektaslarınız hakkında hadsiz şekilde açıklamalar ya… https://t.co/4Ai1j5ihla</t>
  </si>
  <si>
    <t>1468632084554076162</t>
  </si>
  <si>
    <t>@drfahrettinkoca 2.5 YILDIR YALANLAR VE KAFANA GÖRE BELİRLEDİĞİNİZ VAKA VE ÖLÜMLER, YANLIŞ TEDAVİLER İLE NE KAZANDI… https://t.co/AR4RUIZHB5</t>
  </si>
  <si>
    <t>1468632073783099397</t>
  </si>
  <si>
    <t>@drfahrettinkoca Kılavuz bugün</t>
  </si>
  <si>
    <t>1468632067806310408</t>
  </si>
  <si>
    <t>@drfahrettinkoca Halki dinle seni ve ceyhanı kaale alan yok artık</t>
  </si>
  <si>
    <t>1468632050391519234</t>
  </si>
  <si>
    <t>@drfahrettinkoca Kilavuzzz</t>
  </si>
  <si>
    <t>1468632024726622217</t>
  </si>
  <si>
    <t>@drfahrettinkoca Pişman seni Saglık Bakanı seçendir.</t>
  </si>
  <si>
    <t>1468632014505009152</t>
  </si>
  <si>
    <t>@drfahrettinkoca Kilavuuz</t>
  </si>
  <si>
    <t>1468632004195491845</t>
  </si>
  <si>
    <t>@drfahrettinkoca Sen insan mısın ya insan????? Sizleri Naturale davet ediyoruz</t>
  </si>
  <si>
    <t>1468631973245632512</t>
  </si>
  <si>
    <t>@drfahrettinkoca Kilavuz gelmeli</t>
  </si>
  <si>
    <t>1468631972553633798</t>
  </si>
  <si>
    <t>@drfahrettinkoca Kılavuz gelmeli</t>
  </si>
  <si>
    <t>1468631949308796935</t>
  </si>
  <si>
    <t>@drfahrettinkoca Vicdanı tertemizdi, çünkü onu hiç kullanmamıştı</t>
  </si>
  <si>
    <t>1468631941956186123</t>
  </si>
  <si>
    <t>@drfahrettinkoca sayın bakanım milletin gözünü oymaya çalıştığı meslektaslarınız hakkında hadsiz şekilde açıklamala… https://t.co/Dx2ku2jfxP</t>
  </si>
  <si>
    <t>1468631935849222146</t>
  </si>
  <si>
    <t>@drfahrettinkoca O kadar önemsiyordunuz önyargıyı o zaman pandemi nedeniyle her şeye yasak varken aşı karşıtlarının… https://t.co/k9O4NBTNLQ</t>
  </si>
  <si>
    <t>1468631927494225928</t>
  </si>
  <si>
    <t>@drfahrettinkoca Kilavuzz gelsin</t>
  </si>
  <si>
    <t>1468631921936814081</t>
  </si>
  <si>
    <t>@drfahrettinkoca Kilavuz gesin</t>
  </si>
  <si>
    <t>1468631895671980040</t>
  </si>
  <si>
    <t>@drfahrettinkoca Bizler aşılarımızı olduk, peki çocuklarımız ne olacak? Hergün korku ile gönderiyoruz okula. 5-12 y… https://t.co/VoXlTlar8z</t>
  </si>
  <si>
    <t>1468631895579656194</t>
  </si>
  <si>
    <t>@drfahrettinkoca Kilavvuz</t>
  </si>
  <si>
    <t>1468631871810867200</t>
  </si>
  <si>
    <t>@drfahrettinkoca Kilavuzz</t>
  </si>
  <si>
    <t>1468631845998895111</t>
  </si>
  <si>
    <t>@drfahrettinkoca Çocuklar neden aşılama yapılmıyor bu konuda bir açıklamada yapmadınız aşı kararı neden alınmamakta… https://t.co/jfoJ5oxk8D</t>
  </si>
  <si>
    <t>1468631814524833799</t>
  </si>
  <si>
    <t>@drfahrettinkoca sayın bakanım ekranlarda her yapilan aciklamada iyice hedef tahtasına konulan meslektaslarınız hak… https://t.co/J8SWBm0NSo</t>
  </si>
  <si>
    <t>1468631761743712259</t>
  </si>
  <si>
    <t>@drfahrettinkoca Hocam yine net istatistik paylaşmaktan ısrarla kaçınıyorsunuz..  Yanlış tedavilerde ısrar ediyorsu… https://t.co/OmIomg0bwT</t>
  </si>
  <si>
    <t>1468631745528582151</t>
  </si>
  <si>
    <t>@drfahrettinkoca Biz atanamamis saglikcilar Klavuzu beklemekteyiz</t>
  </si>
  <si>
    <t>1468631677928972293</t>
  </si>
  <si>
    <t>@drfahrettinkoca Aşısı tam olmayanlar derken daha açık konuşsana.ben size tek doz inaktif hastaneye yatışları %100… https://t.co/xs3MwIxiAj</t>
  </si>
  <si>
    <t>1468631609423319044</t>
  </si>
  <si>
    <t>@drfahrettinkoca Yok artık bakanım ya bu kadar da görmezden gelinmez 1 yıldır kılavuz diye yapmadığımız şey kalmadı… https://t.co/4jhhl84Lyb</t>
  </si>
  <si>
    <t>1468631571251011589</t>
  </si>
  <si>
    <t>@drfahrettinkoca sayın bakanım en az bu vatanin normal bir vatandaşı kadar değeri olan meslektaslarınız hakkında ha… https://t.co/qc4zm7BpWt</t>
  </si>
  <si>
    <t>1468631531090546701</t>
  </si>
  <si>
    <t>@drfahrettinkoca Sabirla ve hala klavuz bekliyoruz sizden bakanim</t>
  </si>
  <si>
    <t>1468631522089525248</t>
  </si>
  <si>
    <t>@drfahrettinkoca Sözdebilim kuruluna Omicron'un üzerine yumuşatıcı döküp deney yapmalarını siz mi tavsiye ettiniz?… https://t.co/foaPk3MIRO</t>
  </si>
  <si>
    <t>1468631517131902977</t>
  </si>
  <si>
    <t>@drfahrettinkoca İnsanları aşıdan birileri korkutmadı. Tutarsız söylemlerinizi kendinizle çelişmenizi ezber bozan a… https://t.co/S0NNYTDG6K</t>
  </si>
  <si>
    <t>1468631450505428998</t>
  </si>
  <si>
    <t>@drfahrettinkoca bu kısıtlamalarla asisini olan oldu. artik daha fazla bir etkisi yok. kaldirin sacma sapan yasakla… https://t.co/TBtjF9dMF8</t>
  </si>
  <si>
    <t>1468631410693087239</t>
  </si>
  <si>
    <t>@drfahrettinkoca sayın bakanım artık bıkma bırakma noktasına getirilmiş meslektaslarınız hakkında hadsiz şekilde aç… https://t.co/WkL74WyIrP</t>
  </si>
  <si>
    <t>1468631319009808395</t>
  </si>
  <si>
    <t>@drfahrettinkoca Atamayı yapmıyorsunuz NE KAZANDINIZ?</t>
  </si>
  <si>
    <t>1468631290194841608</t>
  </si>
  <si>
    <t>@drfahrettinkoca Aşısı tam olmayan derken en son kaçta kalmıştınıız.1 aşısız, 2 aşısız, 3 de aşısız sayılmaya başla… https://t.co/9SzjTFh3oD</t>
  </si>
  <si>
    <t>1468631188176842753</t>
  </si>
  <si>
    <t>@drfahrettinkoca Azıcık pıhtı dediği beyin felci ne ölüme neden oluyor https://t.co/uIvUhgDCtd</t>
  </si>
  <si>
    <t>1468631181822504961</t>
  </si>
  <si>
    <t>@drfahrettinkoca https://t.co/i4e5xojAjd</t>
  </si>
  <si>
    <t>1468631172855083010</t>
  </si>
  <si>
    <t>@drfahrettinkoca kıymetli bakanım meslektaslarınız hakkında hadsiz şekilde açıklamalar yapan hakan ural icin bi açı… https://t.co/z1T6FYLOz8</t>
  </si>
  <si>
    <t>1468631162331488263</t>
  </si>
  <si>
    <t>@drfahrettinkoca https://t.co/EZ81gl5KUC</t>
  </si>
  <si>
    <t>1468631149337534469</t>
  </si>
  <si>
    <t>@drfahrettinkoca Syn bakanim klavuz   bir an önce aciklansin  lütfen</t>
  </si>
  <si>
    <t>1468631143931129857</t>
  </si>
  <si>
    <t>@drfahrettinkoca ARTIK YETER İYİ VEYA KÖTÜ BİR AÇIKLAMA YAPIN SAYIN BAKAN</t>
  </si>
  <si>
    <t>1468631127380398090</t>
  </si>
  <si>
    <t>@drfahrettinkoca https://t.co/L6AA2vdoss</t>
  </si>
  <si>
    <t>1468631088360742916</t>
  </si>
  <si>
    <t>@drfahrettinkoca saygıdeğer bakanım meslektaslarınız hakkında hadsiz şekilde açıklamalar yapan hakan ural icin bi a… https://t.co/GrSYKCJDbC</t>
  </si>
  <si>
    <t>1468631083302662144</t>
  </si>
  <si>
    <t>@drfahrettinkoca Korona bitmiş bizim haberimiz yok bakan gerçekten istifa et hiç yakışmıyorsun o göreve insanları kandırmaktan bıkmadınız</t>
  </si>
  <si>
    <t>1468631083197648898</t>
  </si>
  <si>
    <t>@drfahrettinkoca https://t.co/R7Fea7w1PD</t>
  </si>
  <si>
    <t>1468631048485580808</t>
  </si>
  <si>
    <t>1468630989790498816</t>
  </si>
  <si>
    <t>@drfahrettinkoca Bu billin aşılarını asla olmayız dünya zengini herkesi satın aldı bu satanist https://t.co/EzeE8tTVFY</t>
  </si>
  <si>
    <t>1468630985550045197</t>
  </si>
  <si>
    <t>@drfahrettinkoca Yürü git be. Ortada aşı yok, insanları genetik deneylere yem yaptınız, utanmadan yazıyorsunuz birde.</t>
  </si>
  <si>
    <t>1468630974233722883</t>
  </si>
  <si>
    <t>@drfahrettinkoca sayın bakanım meslektaslarınız hakkında hadsiz şekilde açıklamalar yapan hakan ural icin bi açıkla… https://t.co/YMTnXADLXf</t>
  </si>
  <si>
    <t>1468630966214213640</t>
  </si>
  <si>
    <t>@drfahrettinkoca #SbMerkeziAtamaOEncesiKılavuz</t>
  </si>
  <si>
    <t>1468630959071313923</t>
  </si>
  <si>
    <t>@drfahrettinkoca Sn bakan @drfahrettinkoca  ne oluyor niye hala atama klavuzu yok????? NEDEN AÇIKLAMA YAPMIYORSUNUZ??????</t>
  </si>
  <si>
    <t>1468630954851901449</t>
  </si>
  <si>
    <t>@drfahrettinkoca Ne olur online olsun havasızlıktan ile öleceğiz #kabineomicrongelmedenonline</t>
  </si>
  <si>
    <t>1468630944131203074</t>
  </si>
  <si>
    <t>@drfahrettinkoca Randevu almaya gerek var mı?</t>
  </si>
  <si>
    <t>1468630940486447108</t>
  </si>
  <si>
    <t>@drfahrettinkoca Kılavuz için artık ne yapmamız gerek , uyuyamıyorum geçen gündüzüm bir oldu çalışamıyorum , ekonom… https://t.co/jK6yNge9Cn</t>
  </si>
  <si>
    <t>1468630920848715776</t>
  </si>
  <si>
    <t>@drfahrettinkoca sayın bakanım meslektaşlarınız hakkında hadsiz şekilde açıklamalar yapan hakan ural icin bi açıkla… https://t.co/0WiQ74WoDB</t>
  </si>
  <si>
    <t>1468630902997757963</t>
  </si>
  <si>
    <t>@drfahrettinkoca Kılavuz için artık ne yapmamız gerek , uyuyamıyorum geçen gündüzüm bir oldu çalışamıyorum , ekonom… https://t.co/QpUGmZiVYd</t>
  </si>
  <si>
    <t>1468630899931721735</t>
  </si>
  <si>
    <t>@drfahrettinkoca İnsanları korkutarak milyonlarca doz deney sıvısı verenler kapatmalarla zincir marketleri sanal pa… https://t.co/jMA2qvrisD</t>
  </si>
  <si>
    <t>1468630897490546695</t>
  </si>
  <si>
    <t>@drfahrettinkoca Kılavuz için artık ne yapmamız gerek , uyuyamıyorum geçen gündüzüm bir oldu çalışamıyorum , ekonom… https://t.co/gLaYMV7uvi</t>
  </si>
  <si>
    <t>1468630875378270210</t>
  </si>
  <si>
    <t>@drfahrettinkoca Ortama uyum dozu ne oldu ?</t>
  </si>
  <si>
    <t>1468630791102029831</t>
  </si>
  <si>
    <t>@drfahrettinkoca Türkiye’nin yüzde doksanı sana inanmıyor artık</t>
  </si>
  <si>
    <t>1468630783342657554</t>
  </si>
  <si>
    <t>@drfahrettinkoca Kılavuz için artık ne yapmamız gerek , uyuyamıyorum geçen gündüzüm bir oldu çalışamıyorum , ekonom… https://t.co/kTeSNMlQcx</t>
  </si>
  <si>
    <t>1468630770365444096</t>
  </si>
  <si>
    <t>@drfahrettinkoca sayın bakanım meslektaslarınız hakkında hadsiz şekilde açıklamalar yapan hakan ural icin bi açıkla… https://t.co/4jsYXVU61o</t>
  </si>
  <si>
    <t>1468630742406209542</t>
  </si>
  <si>
    <t>@drfahrettinkoca Hiç bir zaman "tam aşılı" olunmayacağına göre, herkes eşit sayılıyor. Boşuna pazarlama yapmayın.</t>
  </si>
  <si>
    <t>1468630674626207744</t>
  </si>
  <si>
    <t>@drfahrettinkoca "Kandırıldık" demenizi beklerken. İhaleyi "aşıya değil de etkisi henüz kanıtlanmayan, piyasaya sür… https://t.co/E4JknqMn4Q</t>
  </si>
  <si>
    <t>1468630652115374081</t>
  </si>
  <si>
    <t>@drfahrettinkoca https://t.co/PggRaYA4Na</t>
  </si>
  <si>
    <t>1468630612634484740</t>
  </si>
  <si>
    <t>@drfahrettinkoca Sorumluluk almadığın sıvı için Türk Milletini sorumlu tutamazsın 😡</t>
  </si>
  <si>
    <t>1468630609841037312</t>
  </si>
  <si>
    <t>@drfahrettinkoca Buna ne diyosun sayın aşı bakanı. Pfizer aşısının yan etkileri. Buyur? https://t.co/vPS6ybApbd</t>
  </si>
  <si>
    <t>1468630578949992449</t>
  </si>
  <si>
    <t>@drfahrettinkoca Aşısı tam olanlarıda görüyoruz 🤣</t>
  </si>
  <si>
    <t>1468630566547382279</t>
  </si>
  <si>
    <t>@drfahrettinkoca Çık bi açıklama yap öldün mü be Bizi öldürdün bir senedir</t>
  </si>
  <si>
    <t>1468630493835018241</t>
  </si>
  <si>
    <t>@drfahrettinkoca Verileri saklarken, aciklamazken şeffaf olmazken aşı olmamak suç mu oldu sayın bakanım? !!! Az bir… https://t.co/NxA2DOS0kE</t>
  </si>
  <si>
    <t>1468630406496935946</t>
  </si>
  <si>
    <t>@drfahrettinkoca peki siz ikna etme için ne yapiyorsunuz? aşı ol aşı ol aşı ol demekten baska... neden veri yok? ne… https://t.co/sELpCGnFjL</t>
  </si>
  <si>
    <t>1468630376247607311</t>
  </si>
  <si>
    <t>@drfahrettinkoca Online gelsin artık ya</t>
  </si>
  <si>
    <t>1468630363589201922</t>
  </si>
  <si>
    <t>@drfahrettinkoca Saçmalayan birbiriyle çelişen Billin adamlarına sorun,zorla maske zorla aşı yapmaya çalışırsanız b… https://t.co/ld7XKzs4T5</t>
  </si>
  <si>
    <t>1468630346447130628</t>
  </si>
  <si>
    <t>@drfahrettinkoca BİR AÇIKLAMA YAP SAYIN BAKAN!</t>
  </si>
  <si>
    <t>1468630325366759424</t>
  </si>
  <si>
    <t>@drfahrettinkoca Bu kadar yalan söyleyip de rahat bir vicdanla dolaşmak, her insanın kârı değil. Helâl olsun size.</t>
  </si>
  <si>
    <t>1468630315753213954</t>
  </si>
  <si>
    <t>@drfahrettinkoca Söz bu aşının sahibi olan karı koca mahlukat olsunlar bizde olacağız  unutma  bizim kitabımız derk… https://t.co/jjhHSoBG0o</t>
  </si>
  <si>
    <t>1468630301991706640</t>
  </si>
  <si>
    <t>@drfahrettinkoca Madem aşı koruyucu neden aşi olanlar bütün tedbirlere uymak zorunda? Hani ülkenin %80i aşılanirsa… https://t.co/lCcyqhHgIe</t>
  </si>
  <si>
    <t>1468630269519355907</t>
  </si>
  <si>
    <t>@drfahrettinkoca Kılavuz neden yayınlanmıyor 40 bin atama sözünün üstüne tam 1 ay geçti anlam veremiyorum gerçekten… https://t.co/3yAryj4n8y</t>
  </si>
  <si>
    <t>1468630261155966981</t>
  </si>
  <si>
    <t>@drfahrettinkoca Bakanım daha ne kadar bekleyeceğiz?</t>
  </si>
  <si>
    <t>1468630255124553731</t>
  </si>
  <si>
    <t>@drfahrettinkoca Ne zaman atanacagiz sayın çok kıymetli bakanım</t>
  </si>
  <si>
    <t>1468630236552175620</t>
  </si>
  <si>
    <t>@drfahrettinkoca inanmıyoruz sayın bakan</t>
  </si>
  <si>
    <t>1468630156273242116</t>
  </si>
  <si>
    <t>@drfahrettinkoca Sayın bakan sadece yorumlara bakın dikkatinizi  bir şeyler çekecek herkesin dilinde Allah kelimesi… https://t.co/L8ssFSFwnO</t>
  </si>
  <si>
    <t>1468630155077861391</t>
  </si>
  <si>
    <t>@drfahrettinkoca Her gün gündem olan sağlıkçılara kılavuz ne zaman verilecek? Biz hakkımızı istiyoruz sadece,bekled… https://t.co/z5xBU0i97n</t>
  </si>
  <si>
    <t>1468630139151990795</t>
  </si>
  <si>
    <t>@drfahrettinkoca "İnsanlarımızı aşıdan önyargılarla korkutmaya çalışanlar" kısmıyla tehdit savurmuş gibi geldi.  Bi… https://t.co/NeSv2QFAdk</t>
  </si>
  <si>
    <t>1468630113118035972</t>
  </si>
  <si>
    <t>@drfahrettinkoca İnsanlarımızı covidle korkutmaya çalışanlar NE KAZANDI? 120milyon aşı var  %80 aşı oranı var ama s… https://t.co/04QvCBd4NP</t>
  </si>
  <si>
    <t>1468630100111466496</t>
  </si>
  <si>
    <t>@drfahrettinkoca 13 aydır bizim de kazandığımız bir şey yok umutlarımız vardı onlarda tükendi #SbMerkeziAtamaOEncesiKılavuz</t>
  </si>
  <si>
    <t>1468630061532258304</t>
  </si>
  <si>
    <t>@drfahrettinkoca Bunca hakkımız var nasıl vicdanınız rahat ediyor</t>
  </si>
  <si>
    <t>1468630059221192706</t>
  </si>
  <si>
    <t>@drfahrettinkoca Unutmayacağız. #kabineomicrongelmedenonline</t>
  </si>
  <si>
    <t>1468630042175545358</t>
  </si>
  <si>
    <t>@drfahrettinkoca Atamaaaaa</t>
  </si>
  <si>
    <t>1468630001343995906</t>
  </si>
  <si>
    <t>@drfahrettinkoca Yine aşıya bağlamışsınız!Bu sizin derdiniz,çünkü doğru anlatamadınız. Bu platformu dertlenmek için… https://t.co/yV7dCTKJmQ</t>
  </si>
  <si>
    <t>1468629993777508352</t>
  </si>
  <si>
    <t>@drfahrettinkoca Bıhtık Bıhtık</t>
  </si>
  <si>
    <t>1468629989117636616</t>
  </si>
  <si>
    <t>@drfahrettinkoca Yüzde seksenini iğnelemişsiniz insanların. Hala iğne olmayanlarla uğraşıyorsunuz. Ayıptır yahu! Ka… https://t.co/z22uYtSPER</t>
  </si>
  <si>
    <t>1468629980695379973</t>
  </si>
  <si>
    <t>@drfahrettinkoca Bakanım Allah rızası için ne olur attığınız twit artık kılavuz twiti olsun. Sabır taşı bile çatlardı bu kadar beklemeye!</t>
  </si>
  <si>
    <t>1468629967143677954</t>
  </si>
  <si>
    <t>@drfahrettinkoca Yalan söylüyorsun aşı değil( sıvı) Olmayanlara verilen ilaçlardan bahset faviramin hidroksil kaç i… https://t.co/AlpWV9J55B</t>
  </si>
  <si>
    <t>1468629955252785170</t>
  </si>
  <si>
    <t>@drfahrettinkoca Ata artık biziiii</t>
  </si>
  <si>
    <t>1468629938702102534</t>
  </si>
  <si>
    <t>@drfahrettinkoca SAYIN BAKANIM YENİ VARYANT 2 DOZ BİONTECH OLANLARDA BİLE ÇOK DÜŞÜK DERECEDE KORUMA SAĞLIYORMUŞ BU… https://t.co/r2NvwVThZR</t>
  </si>
  <si>
    <t>1468629902886907910</t>
  </si>
  <si>
    <t>@drfahrettinkoca Atamaaaa</t>
  </si>
  <si>
    <t>1468629899527262210</t>
  </si>
  <si>
    <t>@drfahrettinkoca Atanmak istiyoruzzzzz</t>
  </si>
  <si>
    <t>1468629873644212228</t>
  </si>
  <si>
    <t>@drfahrettinkoca Bizim için iki kelime bir cevap yazmak bu kadar mı zor</t>
  </si>
  <si>
    <t>1468629870385274885</t>
  </si>
  <si>
    <t>@drfahrettinkoca Sayın bakan aşıyı bu kadar tavsiye ediyorsanız madem aşı bu kadar güvenli ve sorunsuzsa aşı olunur… https://t.co/8HgDVEN72g</t>
  </si>
  <si>
    <t>1468629844498030593</t>
  </si>
  <si>
    <t>@drfahrettinkoca Sayın hocam her gün cümleler yazıyorsunuz, fakat her gün 20-25.000 insan pozitif yeterli yaptırım… https://t.co/qDSZqbpDUh</t>
  </si>
  <si>
    <t>1468629785559580675</t>
  </si>
  <si>
    <t>@drfahrettinkoca Kılavuzu ilan etmeyi ne zaman düşünüyorsunuz? Bizde sağlık okumaya, kpss'ye hayvanlar gibi çalışıp… https://t.co/AcVN3kUeWb</t>
  </si>
  <si>
    <t>1468629781675745285</t>
  </si>
  <si>
    <t>@drfahrettinkoca Resmi gazetede yayınlansınnn</t>
  </si>
  <si>
    <t>1468629749874495489</t>
  </si>
  <si>
    <t>@drfahrettinkoca sizin samimiyetinize inanan var mı hala merak ediyorum</t>
  </si>
  <si>
    <t>1468629738939953159</t>
  </si>
  <si>
    <t>@drfahrettinkoca Allah peygamber kuran ı kerim üzerine yemin edebilir misin sayın bakan yoğun bakımda yatanların aşısız olduklarının.</t>
  </si>
  <si>
    <t>1468629729427308545</t>
  </si>
  <si>
    <t>@drfahrettinkoca Bu gün kılavuz yayınlansınnnn</t>
  </si>
  <si>
    <t>1468629681473789964</t>
  </si>
  <si>
    <t>@drfahrettinkoca aklı olan hastaneye gitmesin doktorlara itimadım kalmadı nazi kampı gibi hastayı kaptırdığın zaman… https://t.co/ZajcbCb3GH</t>
  </si>
  <si>
    <t>1468629617779130372</t>
  </si>
  <si>
    <t>@drfahrettinkoca Kılavuzzzz</t>
  </si>
  <si>
    <t>1468629608241287174</t>
  </si>
  <si>
    <t>@drfahrettinkoca Kılavuzzzzz</t>
  </si>
  <si>
    <t>1468629575454363655</t>
  </si>
  <si>
    <t>@drfahrettinkoca Göreceğiz kim pişman oluyor.  Gencecik insanlar kalp krizinden ölüyor.  165 sporcu aşıdan sonra ka… https://t.co/eVe00RmDdf</t>
  </si>
  <si>
    <t>1468629572501614597</t>
  </si>
  <si>
    <t>@drfahrettinkoca Kılavuz nerdee</t>
  </si>
  <si>
    <t>1468629531808444417</t>
  </si>
  <si>
    <t>@drfahrettinkoca Şu oranları adam gibi versenizde bilsek. Aşısı tam olmayanlar kavramı kimleri kapsıyor. 2 doz bion… https://t.co/aqiDDw0Ti2</t>
  </si>
  <si>
    <t>1468629530604716033</t>
  </si>
  <si>
    <t>@drfahrettinkoca Millet uyandı. Kime neyi anlatıyorsun sen?</t>
  </si>
  <si>
    <t>1468629484177956867</t>
  </si>
  <si>
    <t>@drfahrettinkoca Aşı olanlar çok şey kazandi değil mi? Kalp kası iltihabı hastalığı. Felc oldular. Minnacik kan pıh… https://t.co/bS17IMMN0u</t>
  </si>
  <si>
    <t>1468629469019750409</t>
  </si>
  <si>
    <t>@drfahrettinkoca Mini mini pığtıcık desem cevap verirmisin acaba 😡😡😡😡 düşün milletin yakasından olmayacağız yapamayacaksınız 😡😡😡😡</t>
  </si>
  <si>
    <t>1468629408726626311</t>
  </si>
  <si>
    <t>@drfahrettinkoca 2018 den beri engelli sağlıkçıların ataması yapılmıyor buna rağmen tek bir adım atılmadı verilen s… https://t.co/GltUvse0Nv</t>
  </si>
  <si>
    <t>1468629405715083284</t>
  </si>
  <si>
    <t>@drfahrettinkoca Sanane be sanane yeter artık.. Bu twitleri yazan asistan mısın nesin yeter artık! Benim kararımsa… https://t.co/8MoMlaOYPy</t>
  </si>
  <si>
    <t>1468629378972233734</t>
  </si>
  <si>
    <t>@drfahrettinkoca Şu aşı safsatası ne zaman bitecek, merakla bekliyorum. İşe yaramadıkları yeterince ortada değil mi, hatta zarar verdikleri?</t>
  </si>
  <si>
    <t>1468629339218620425</t>
  </si>
  <si>
    <t>@drfahrettinkoca Tam aşı derken toplam kaç aşı olacağız sayın @drfahrettinkoca ...</t>
  </si>
  <si>
    <t>1468629320298074116</t>
  </si>
  <si>
    <t>@drfahrettinkoca Bu kadar insan kılavuz diye bağırırken vicdanınız hiç mi sizlamiyor???</t>
  </si>
  <si>
    <t>1468629303529291778</t>
  </si>
  <si>
    <t>@drfahrettinkoca KILAVUZ NEREDE BAKANIM???  #SbMerkeziAtamaÖncesiKılavuz</t>
  </si>
  <si>
    <t>1468629278770315273</t>
  </si>
  <si>
    <t>@drfahrettinkoca Atamaaaaaa Ne zaman</t>
  </si>
  <si>
    <t>1468629251024896001</t>
  </si>
  <si>
    <t>@drfahrettinkoca 2018 den beri engelli sağlıkçıların ataması yapılmıyor buna rağmen tek bir adım atılmadı verilen s… https://t.co/42yNhNWtMj</t>
  </si>
  <si>
    <t>1468629248005091334</t>
  </si>
  <si>
    <t>@drfahrettinkoca Almanya la aynı nüfus sahibiz neden orda hergun vaka 70 bin neden Türkiye de 20 21 bin civarı anla… https://t.co/9lUgbdirPJ</t>
  </si>
  <si>
    <t>1468629209983635462</t>
  </si>
  <si>
    <t>@drfahrettinkoca 2018 den beri engelli sağlıkçıların ataması yapılmıyor buna rağmen tek bir adım atılmadı verilen s… https://t.co/8HvKvgBM4V</t>
  </si>
  <si>
    <t>1468629177570140164</t>
  </si>
  <si>
    <t>@drfahrettinkoca Okullar kapansın virüs çok arttı maske kimse takmıyor mesafe 0 havalar soğudu hibrit eğitim yada h… https://t.co/FEoBh0WNKe</t>
  </si>
  <si>
    <t>1468629175498158080</t>
  </si>
  <si>
    <t>@drfahrettinkoca Hepte 20 civarların da ben anlamadım nasıl oluyor bu</t>
  </si>
  <si>
    <t>1468629117230792705</t>
  </si>
  <si>
    <t>@drfahrettinkoca Allah aşkna kılav uz z z</t>
  </si>
  <si>
    <t>1468629049971032064</t>
  </si>
  <si>
    <t>@drfahrettinkoca Sayin bakanim saglik calisanlarinin  miniminacik zamn istegi ne olacak biz yilbasinda enf farkink… https://t.co/erEBsVUjrp</t>
  </si>
  <si>
    <t>1468629017649688581</t>
  </si>
  <si>
    <t>@drfahrettinkoca Atama olmayacaksa seçim gelse bari 5 dk daha kalmamalısınız bakanlık bünyesinde ! Sağlıkçısını gör… https://t.co/9An8WA411H</t>
  </si>
  <si>
    <t>1468628967502626822</t>
  </si>
  <si>
    <t>@drfahrettinkoca Aşı hakkı tanınmamış çocukların kaçı yoğun bakımda yada ağır hastalık geçirdi, geçiriyor, kaçı vefat etti?</t>
  </si>
  <si>
    <t>1468628950901481472</t>
  </si>
  <si>
    <t>@drfahrettinkoca İstifa et yeter bizim sagligim ne burda oyuncak mi? Ben şuan grip oldum gitsem covid dicekler heme… https://t.co/O1BWHvpUyy</t>
  </si>
  <si>
    <t>1468628938389864450</t>
  </si>
  <si>
    <t>@drfahrettinkoca Aşısı tam olmayan derken 3.4 aşı mi hangisi</t>
  </si>
  <si>
    <t>1468628886586023936</t>
  </si>
  <si>
    <t>@drfahrettinkoca Bu sessizlik NEDEN!!</t>
  </si>
  <si>
    <t>1468628869448146952</t>
  </si>
  <si>
    <t>@drfahrettinkoca Aşı tamamlama derken. 1 doz dediniz 2 oldu sonra 3 4e çıktı. Çevremde karmaşık 5. Dozu vurulan var… https://t.co/dQsYNFutue</t>
  </si>
  <si>
    <t>1468628867896291328</t>
  </si>
  <si>
    <t>@drfahrettinkoca KAZLAR YENİ YEMLERİNİ İŞTAHLA YEDİLER. https://t.co/3aihmqbzGR</t>
  </si>
  <si>
    <t>1468628855405662220</t>
  </si>
  <si>
    <t>@drfahrettinkoca Ülke zaten yaşanası bir yer olmakta çıktı. Ölsem de artık kurtulsam diyorum..Yeter artık..!</t>
  </si>
  <si>
    <t>1468628831871373313</t>
  </si>
  <si>
    <t>@drfahrettinkoca Sıvı olupta ölen sayısınıda açıklar mısınız</t>
  </si>
  <si>
    <t>1468628810023190533</t>
  </si>
  <si>
    <t>@drfahrettinkoca aşı zamlardan korur mu hoca, yağın tenekesi 160 olduda</t>
  </si>
  <si>
    <t>1468628754645852173</t>
  </si>
  <si>
    <t>@drfahrettinkoca Benim aşıya güvenim tamdı çünkü size güvenim tamdı. Ne zaman okulların güvenli olduğundan bahsetme… https://t.co/yMYVIUz763</t>
  </si>
  <si>
    <t>1468628745749680140</t>
  </si>
  <si>
    <t>@drfahrettinkoca Millete ruhsatsiz extrat'lari yaptiriyorsun  neyin kafasi bu be adam.. millet bu extrat lari olmay… https://t.co/fub6rZ6LGl</t>
  </si>
  <si>
    <t>1468628691768983556</t>
  </si>
  <si>
    <t>@drfahrettinkoca Mevsimsel gribe ölümcül virüs deyip korku pompalayanlar ne kazandı?</t>
  </si>
  <si>
    <t>1468628649578577922</t>
  </si>
  <si>
    <t>@drfahrettinkoca Sayın bakan 5 11 yaş arasına neden aşı haklarını tanımıyorsunuz?</t>
  </si>
  <si>
    <t>1468628635024338945</t>
  </si>
  <si>
    <t>@drfahrettinkoca Bu bekleyişlerin elle tutulur gözle görülür bir anlamı olabilmesi için, sıfır mağduriyet ile kılav… https://t.co/aNQLhafAPf</t>
  </si>
  <si>
    <t>1468628612555456514</t>
  </si>
  <si>
    <t>@drfahrettinkoca Sn. Bakan;Tedbirsizce açılan okullar nedeniyle Ekim ayında + oldum. Çift doz aşılı olmama rağmen a… https://t.co/kcwi37qhoP</t>
  </si>
  <si>
    <t>1468628549133381645</t>
  </si>
  <si>
    <t>1468628521966882817</t>
  </si>
  <si>
    <t>@drfahrettinkoca Pıhtı konusu sizler tarafından hemen çözüme kavuşmuş sanırım.. Ritim bozukluğunu ve yüksek tansiyo… https://t.co/qdKcoWlEuX</t>
  </si>
  <si>
    <t>1468628517030084608</t>
  </si>
  <si>
    <t>@drfahrettinkoca Kılavuz ösym de ise elinizle işaret yapın</t>
  </si>
  <si>
    <t>1468628507764969473</t>
  </si>
  <si>
    <t>@drfahrettinkoca Size mi inanalım? koca prof. mı? https://t.co/AdIiBbQ2Dw</t>
  </si>
  <si>
    <t>1468628505369919492</t>
  </si>
  <si>
    <t>@drfahrettinkoca Benim anlamadigim sayin bakan evimde suanda covidli genc bir kiz var eşim 2 asili abim 2 asili kay… https://t.co/svImr7GntO</t>
  </si>
  <si>
    <t>1468628487149871112</t>
  </si>
  <si>
    <t>@drfahrettinkoca ATama yap atama</t>
  </si>
  <si>
    <t>1468628485027635201</t>
  </si>
  <si>
    <t>@drfahrettinkoca E be bakanım, madem öyle günlük olarak ölenlerin ve yatanların aşı durumlarını da günlük açıklayın artık o zaman :(</t>
  </si>
  <si>
    <t>1468628467185065987</t>
  </si>
  <si>
    <t>1468628399207895050</t>
  </si>
  <si>
    <t>@drfahrettinkoca sayın bakan hani sinovak yüzde yüz koruyor demiştin şimdi ise aşısı tam olmayanlar diyorsun tam aş… https://t.co/Jl8uM2gUsz</t>
  </si>
  <si>
    <t>1468628349501292550</t>
  </si>
  <si>
    <t>@drfahrettinkoca https://t.co/Uo9EKxEapl</t>
  </si>
  <si>
    <t>1468628345101377538</t>
  </si>
  <si>
    <t>@drfahrettinkoca ISTIFA ET</t>
  </si>
  <si>
    <t>1468628304546697217</t>
  </si>
  <si>
    <t>@drfahrettinkoca LAN RANDEVU ALAMIYORUZ NE 20 BİN VAKASI</t>
  </si>
  <si>
    <t>1468628248099799045</t>
  </si>
  <si>
    <t>@drfahrettinkoca NEREDE BU KILAVUZ</t>
  </si>
  <si>
    <t>1468628224288731142</t>
  </si>
  <si>
    <t>@drfahrettinkoca Kılavuz nerede sayın bakan????????</t>
  </si>
  <si>
    <t>1468628192680452100</t>
  </si>
  <si>
    <t>@drfahrettinkoca Sağlık okuduğum güne lanet olsun. Teşekkürler sayın @drfahrettinkoca   #SbMerkeziAtamaÖncesiKılavuz</t>
  </si>
  <si>
    <t>1468628184015028224</t>
  </si>
  <si>
    <t>@drfahrettinkoca KILAVUZ KILAVUZ KILAVUZ KILAVUZ KILAVUZ KILAVUZ KILAVUZ KILAVUZ KILAVUZ KILAVUZ KILAVUZ KILAVUZ KI… https://t.co/DnRkQ0eTLW</t>
  </si>
  <si>
    <t>1468628140419428359</t>
  </si>
  <si>
    <t>@drfahrettinkoca Vietnamda 3 çocuk covid aşısı sonrası oldu. Türkiye deki durum ne sayın bakan. Kaç kişi vefat etti… https://t.co/zoq7rQSL7d</t>
  </si>
  <si>
    <t>1468628115756834817</t>
  </si>
  <si>
    <t>@drfahrettinkoca KILAVUZ KILAVUZ KILAVUZ KILAVUZ KILAVUZ KILAVUZ KILAVUZ KILAVUZ KILAVUZ KILAVUZ KILAVUZ KILAVUZ KI… https://t.co/vvtalUDIEc</t>
  </si>
  <si>
    <t>1468628113286475776</t>
  </si>
  <si>
    <t>@drfahrettinkoca Bir açıklama yapmak bu kadar mı ZOR</t>
  </si>
  <si>
    <t>1468628069049155589</t>
  </si>
  <si>
    <t>@drfahrettinkoca Millet uzaya gitti de geldi biz SAĞLIKÇILAR hala atama bekliyoruz direniyoruz hakkımız olanı almak… https://t.co/75Gx6zl4ys</t>
  </si>
  <si>
    <t>1468628027970052107</t>
  </si>
  <si>
    <t>@drfahrettinkoca Ne bu ya çektiğimiz çile 13 aydır nedne bitmiyor nedennn</t>
  </si>
  <si>
    <t>1468628011071254530</t>
  </si>
  <si>
    <t>1468627901889327109</t>
  </si>
  <si>
    <t>@drfahrettinkoca Mesela şöyle bir haber var sayın bakan;  https://t.co/dGtTZ5gOSd</t>
  </si>
  <si>
    <t>1468627892758368259</t>
  </si>
  <si>
    <t>@drfahrettinkoca Atama yok! Haklarımız yok ! Can güvenliğimiz zaten yok ! Bu kadar olumsuzluk üzerine bir de bakan… https://t.co/TH9oqhOVUN</t>
  </si>
  <si>
    <t>1468627891806257158</t>
  </si>
  <si>
    <t>@drfahrettinkoca Külliyen yalan Aşili kisiler neden ölüyor o zaman Sayin Bakanim</t>
  </si>
  <si>
    <t>1468627868695605258</t>
  </si>
  <si>
    <t>@drfahrettinkoca Where is the guide? Mr.Koca.😂😂😂</t>
  </si>
  <si>
    <t>1468627817114087436</t>
  </si>
  <si>
    <t>@drfahrettinkoca Kılavuz yokmu bkanim</t>
  </si>
  <si>
    <t>1468627811732955136</t>
  </si>
  <si>
    <t>@drfahrettinkoca 13 AY BEKLETTİNİZ YETER ARTIK</t>
  </si>
  <si>
    <t>1468627783999971339</t>
  </si>
  <si>
    <t>@drfahrettinkoca sağlığımız için online!!#kabineomicrongelmedenonline</t>
  </si>
  <si>
    <t>1468627780657205265</t>
  </si>
  <si>
    <t>@drfahrettinkoca Sizden gelecek olan atama haberini bekleye bekleye tükenmişlik sendromuna yakalandık  tüm atanamay… https://t.co/6nVa04qDVa</t>
  </si>
  <si>
    <t>1468627778845261825</t>
  </si>
  <si>
    <t>@drfahrettinkoca @saglikbakanligi Siz hastalara sabah 8 akşam 8 olacak şekilde işe yaramaz favicovir vererek ne kazandınız?</t>
  </si>
  <si>
    <t>1468627763322134531</t>
  </si>
  <si>
    <t>@drfahrettinkoca Aşı olduk diyerek PCR dan muaf tutulup g.t.n.zü başınızı sallayarak orada burada gezerken, virüsü;… https://t.co/wjLBnHYfBu</t>
  </si>
  <si>
    <t>1468627758066679811</t>
  </si>
  <si>
    <t>@drfahrettinkoca Aşının sonu yok.! https://t.co/SrCQdIZbZj</t>
  </si>
  <si>
    <t>1468627745248849920</t>
  </si>
  <si>
    <t>@drfahrettinkoca KILAVUZU HEMEN YAYINLAYIN SAYIN BAKAN!!!!!</t>
  </si>
  <si>
    <t>1468627720233963520</t>
  </si>
  <si>
    <t>@drfahrettinkoca Sizin başka görevleriniz yok mu insanları sıvıya teşvik etmekten başka?</t>
  </si>
  <si>
    <t>1468627699627442181</t>
  </si>
  <si>
    <t>@drfahrettinkoca Bakanım kılavuz nerede? Beklemekten artık yorulduk Allah rızası için yayınlanın şu kılavuzu.</t>
  </si>
  <si>
    <t>1468627578831441934</t>
  </si>
  <si>
    <t>@drfahrettinkoca Yok o yüzden değil insanlar vurdurmaktan yoruldu o yüzden aşılama oranı yavaşladı kimseye suç atma… https://t.co/u4mOdkwe4T</t>
  </si>
  <si>
    <t>1468627531452592146</t>
  </si>
  <si>
    <t>@drfahrettinkoca Biliyorum boşuna yazıyorum ama yine de yazacağım Allah için şu insanlari duyun kılavuzu yayinlayin… https://t.co/2TgPdZr6wd</t>
  </si>
  <si>
    <t>1468627508207702018</t>
  </si>
  <si>
    <t>@drfahrettinkoca https://t.co/GcTLwcvXq4</t>
  </si>
  <si>
    <t>1468627494681169929</t>
  </si>
  <si>
    <t>@drfahrettinkoca Ben aşılı kardeşimden aldım yasim 50 aşısızim karantina sürecinde sigara ve alkolü hiç kesmedim hi… https://t.co/Uozj75tzOe</t>
  </si>
  <si>
    <t>1468627484409217029</t>
  </si>
  <si>
    <t>@drfahrettinkoca Ölü taklidi yapmayın, kılavuzu yayınlayın.  #SbMerkeziAtamaÖncesiKılavuz</t>
  </si>
  <si>
    <t>1468627468366004227</t>
  </si>
  <si>
    <t>@drfahrettinkoca Kendi vücudumuz ve yaşam süremiz ile ilgili kararları insan olarak sadece ve sadece kendi irademiz… https://t.co/NMzW7jpkzp</t>
  </si>
  <si>
    <t>1468627463462916103</t>
  </si>
  <si>
    <t>@drfahrettinkoca asi oldunuz artik ölebilirsiniz diyorsunuz</t>
  </si>
  <si>
    <t>1468627457347665929</t>
  </si>
  <si>
    <t>@drfahrettinkoca Hatalı karar diyince akla siz gelirsiniz @drfahrettinkoca bu hastalığı yalanlarla yönetmeye çalışı… https://t.co/L4PAZUXiJB</t>
  </si>
  <si>
    <t>1468627447738507264</t>
  </si>
  <si>
    <t>@drfahrettinkoca https://t.co/nm0Ui89rHF</t>
  </si>
  <si>
    <t>1468627434140487681</t>
  </si>
  <si>
    <t>@drfahrettinkoca Yalan söylüyorsunuz.! Ve yalan söylerken şu kadar utanmıyor Allah'tan korkmuyorsunuz.Hiç aşı olmad… https://t.co/2ZO9M1CG5w</t>
  </si>
  <si>
    <t>1468627382772932618</t>
  </si>
  <si>
    <t>@drfahrettinkoca Artık çocıklarımızı korumak için birşeyler yapın. Geçen yıl okullarda çeşitli önlemler alınmış, is… https://t.co/BrW6sxAa80</t>
  </si>
  <si>
    <t>1468627371490267143</t>
  </si>
  <si>
    <t>@drfahrettinkoca Siz bakan olduğunuzdan beri biz sağlıkçılar kaybediyoruz !!! İstifa edin artık !  Ben bu kadar kot… https://t.co/9FwqRszF6v</t>
  </si>
  <si>
    <t>1468627364838100992</t>
  </si>
  <si>
    <t>@drfahrettinkoca Müslüman Türk milletini Mobinglerle aşılayanlarla seçimde görüşeceğiz. Kim için aşılandık sayın ba… https://t.co/u84hv7ibbe</t>
  </si>
  <si>
    <t>1468627353312059396</t>
  </si>
  <si>
    <t>@drfahrettinkoca ÖJENİK OROSPU ÇOCUĞU PİÇGATES'İN FONLADIĞI BAŞINDA TESCİLLİ BİR TERÖRİST OTURAN DESEÖNÜN EMRİNDEKİ… https://t.co/QdS5hslqAE</t>
  </si>
  <si>
    <t>1468627344453689352</t>
  </si>
  <si>
    <t>@drfahrettinkoca Sahi Tüik 2020 yılının ölüm sayılarını 6 ay geçmesine karşı neden veremiyor? Neyi gizliyorsunuz. Cehenneminiz bol olsun</t>
  </si>
  <si>
    <t>1468627343816249357</t>
  </si>
  <si>
    <t>@drfahrettinkoca Online eğitim İSTİYORUZ bakanım yurtlar virüs yuvası neden anlamıyorsunuz yahuu😷</t>
  </si>
  <si>
    <t>1468627331271086091</t>
  </si>
  <si>
    <t>@drfahrettinkoca Kılavuz bekleyenler ne kazandı? Sınava girdikten sonra aldığınız puanla 12 aydır beklemek gerçekte… https://t.co/aFcpi36lZz</t>
  </si>
  <si>
    <t>1468627253026242565</t>
  </si>
  <si>
    <t>@drfahrettinkoca BİZ BUNLARI HAKARDECEK NE YAPTIK BAKANIM ÇALIŞIP OKUYUP SAĞLIKÇI OLMAKMI SUÇUMUZ 1 yıldır bu acıyı… https://t.co/jVM8b664R7</t>
  </si>
  <si>
    <t>1468627248702197760</t>
  </si>
  <si>
    <t>@drfahrettinkoca Bu milleti virüse teslim etmeye hakkınız yok!! Yerin dibine batsın sizin siyasetiniz!! 3. Doz aşıl… https://t.co/lk3Tc3BVGx</t>
  </si>
  <si>
    <t>1468627245417865226</t>
  </si>
  <si>
    <t>@drfahrettinkoca Pişman olan siz olacaksınız maalesef. Ülkeyi küresel sermaye pazarı haline getirdiniz. Yazık!</t>
  </si>
  <si>
    <t>1468627224534335501</t>
  </si>
  <si>
    <t>@drfahrettinkoca @saglikbakanligi Yapılacak olan bir açıklama sizin için bu kadar zor olmaması gerekir. Hakkımız ol… https://t.co/1rApZDeN1f</t>
  </si>
  <si>
    <t>1468627221493469187</t>
  </si>
  <si>
    <t>@drfahrettinkoca her yerde tedbirlere rağmen vakalar artarken hiçbir şekilde tedbir olmayan bir ülkede nasıl vakala… https://t.co/lK9rbWwsq7</t>
  </si>
  <si>
    <t>1468627218347745286</t>
  </si>
  <si>
    <t>@drfahrettinkoca Sen önce sağlık sistemindeki tarikat yapılanmasına son ver, kurduğunuz berbat nepotist sistem dokt… https://t.co/PeoomD5H2Z</t>
  </si>
  <si>
    <t>1468627214585540608</t>
  </si>
  <si>
    <t>@drfahrettinkoca Yeter artık İSTİFA ET SENDE KURTUL BİZDE YETER GERCEKEN DIYER ULKELER NEDEN BUKADAR YÜKSELİŞTE AŞI… https://t.co/1WGM8HUOtc</t>
  </si>
  <si>
    <t>1468627168695664644</t>
  </si>
  <si>
    <t>@drfahrettinkoca Ameliyathanelerde malzeme sıkıntısı yaşanmaya başladı siz hala tutturmuş aşı aşı diye. İki doz aşı… https://t.co/uj0P7OTvum</t>
  </si>
  <si>
    <t>1468627120930926595</t>
  </si>
  <si>
    <t>@drfahrettinkoca Hastanede öldürülmedikleri ne malum   Bunu ispat edebilirmisiniz.</t>
  </si>
  <si>
    <t>1468627073010962444</t>
  </si>
  <si>
    <t>@drfahrettinkoca Yemin ederim yazmak için yazıyorsunuz siz bu söylediklerinizi aylardır söylüyoruz konuşma sus artı… https://t.co/Gl9YDVhGtH</t>
  </si>
  <si>
    <t>1468627039645319169</t>
  </si>
  <si>
    <t>@drfahrettinkoca Bizle dalga mı geçiyorsunuz ? Ölmek istemiyoruz. #mebyökistifa</t>
  </si>
  <si>
    <t>1468627034284908544</t>
  </si>
  <si>
    <t>@drfahrettinkoca Aşı olan Almanya'nın halı ortada değil mi ?</t>
  </si>
  <si>
    <t>1468627027385278471</t>
  </si>
  <si>
    <t>@drfahrettinkoca Allahû Tealâ'dan dileğim cezanı bu dünyada iken verildiğini görmek...</t>
  </si>
  <si>
    <t>1468627009349824521</t>
  </si>
  <si>
    <t>@drfahrettinkoca Millet uzaya gitti de geldi biz SAĞLIKÇILAR halada atama bekliyoruz @drfahrettinkoca  #SbMerkeziAtamaÖncesiKılavuz</t>
  </si>
  <si>
    <t>1468626992413163523</t>
  </si>
  <si>
    <t>@drfahrettinkoca Bakanım duzenli olarak paylaştıginiz harita yerine bi seferde bizim kılavuzu atsanız… https://t.co/wbHoeJlqM8</t>
  </si>
  <si>
    <t>1468626978714574850</t>
  </si>
  <si>
    <t>@drfahrettinkoca bakın aşısız öğretmen ve öğrencilerin olduğu maskeler açık ortamdayız okullarda. lütfen lütfen duy… https://t.co/yjclaJvpLI</t>
  </si>
  <si>
    <t>1468626907721777157</t>
  </si>
  <si>
    <t>@drfahrettinkoca defolup gitsende ülke kurtulsa senden aşı tüccarı İSTİFA</t>
  </si>
  <si>
    <t>1468626875413114881</t>
  </si>
  <si>
    <t>@drfahrettinkoca Insanlar bunalmış vaziyette covit kimin umrunda zamlardan sonra zaten ölmüşüz</t>
  </si>
  <si>
    <t>1468626866110091269</t>
  </si>
  <si>
    <t>@drfahrettinkoca Allah aşkına peygamber aşkına ya kılavuzuu neden yayınlamıyorsunuz ..yemin ediyorum insanlar sinir… https://t.co/UuBUtCPN6X</t>
  </si>
  <si>
    <t>1468626856408756231</t>
  </si>
  <si>
    <t>@drfahrettinkoca Peki sn.bakanım @drfahrettinkoca siz öğrencilere inat ederek ne KAZANIYORSUNUZ?</t>
  </si>
  <si>
    <t>1468626843171500040</t>
  </si>
  <si>
    <t>@drfahrettinkoca Burdan size haftalardır sesini duyurmaya çalışan annelerin ve öğrencilerin sesine ne zaman kulak v… https://t.co/IrdJlRrAj5</t>
  </si>
  <si>
    <t>1468626841334390794</t>
  </si>
  <si>
    <t>@drfahrettinkoca Anlaşıldı siz atama falan yapmayacaksınız bari önümüze sandığı getirin de yeni hükümetin marifetin… https://t.co/lMpuzwdqTU</t>
  </si>
  <si>
    <t>1468626839908360194</t>
  </si>
  <si>
    <t>@drfahrettinkoca Bizi bitirdiniz. Ne yaşama hevesi bıraktınız ne heyecan bıraktınız. 23 yaşında hayata küstüm. İnti… https://t.co/S909MGpQ7w</t>
  </si>
  <si>
    <t>1468626814331412481</t>
  </si>
  <si>
    <t>@drfahrettinkoca Kimin aşısı ne zaman tam olacak, son karar nedir?</t>
  </si>
  <si>
    <t>1468626806672609287</t>
  </si>
  <si>
    <t>@drfahrettinkoca Asililar hergun daha cok ölüyor biz asisizlar hala hayattayız ve covid olmadik...... Kimse bu kada… https://t.co/ARMMR1CwV3</t>
  </si>
  <si>
    <t>1468626796593786880</t>
  </si>
  <si>
    <t>@drfahrettinkoca Atamada yapılması gereken bir şey en kısa sürede yoksa size de son pişmanlık fayda etmeyecek</t>
  </si>
  <si>
    <t>1468626785835311115</t>
  </si>
  <si>
    <t>@drfahrettinkoca Bakanım bu aşı karşıtları haddini çok aştı hükümet olarak aşı karşıtlarına sert yaptırımlar uygulamalısınız</t>
  </si>
  <si>
    <t>1468626783318728718</t>
  </si>
  <si>
    <t>@drfahrettinkoca Biz sağlık istiyoruz. Hastaneler dolu, hep sayılar. Sağlık sistemi çökmüştür. #kabineomicrongelmedenonline</t>
  </si>
  <si>
    <t>1468626772283568130</t>
  </si>
  <si>
    <t>@drfahrettinkoca Bu mu adalet... Olan çocuklara oluyor https://t.co/xLUHslyQH8</t>
  </si>
  <si>
    <t>1468626749802090498</t>
  </si>
  <si>
    <t>@drfahrettinkoca Hergün davet ettiğiniz o @şıları olduktan sonra felç kalanlar yanetkileri ni yaşayanlar sevdikleri… https://t.co/mXFUgdEG5i</t>
  </si>
  <si>
    <t>1468626749714055173</t>
  </si>
  <si>
    <t>@drfahrettinkoca Hakikati söyleyerek Allah rızasını kazanmayı istedik. Yalancıların varacağı yer belli</t>
  </si>
  <si>
    <t>1468626740792762374</t>
  </si>
  <si>
    <t>@drfahrettinkoca #OEzuerDileHakanUral</t>
  </si>
  <si>
    <t>1468626725982584841</t>
  </si>
  <si>
    <t>@drfahrettinkoca KILAVUZ KILAVUZ KILAVUZ  #SbMerkeziAtamaOEncesiKılavuz</t>
  </si>
  <si>
    <t>1468626711126417409</t>
  </si>
  <si>
    <t>@drfahrettinkoca SANA YAZACAK ÇOOOK ŞEY VARDA BIKTIM YAZ YAZ KOCA!!!</t>
  </si>
  <si>
    <t>1468626704742723590</t>
  </si>
  <si>
    <t>@drfahrettinkoca Zaten ilk başta soruyorlar aşı yaptırdın mı eğer yaptırmadıysan yeterli oksijen verilmiyor ve yoğu… https://t.co/ktHFtZFehm</t>
  </si>
  <si>
    <t>1468626691425816585</t>
  </si>
  <si>
    <t>@drfahrettinkoca Yoğun bakımda yatan  hiç aşı olmamış olanları belgeyle yayınlayında inanalım ancak   her ildeki verileri paylaşın</t>
  </si>
  <si>
    <t>1468626677802672131</t>
  </si>
  <si>
    <t>@drfahrettinkoca @saglikbakanligi Bekle bekle tikendik sayin koca atama ve klavuzu açıklama vakti geldi ve geçti bile</t>
  </si>
  <si>
    <t>1468626625109667842</t>
  </si>
  <si>
    <t>@drfahrettinkoca Neden okula giden çocuklar üç aydır sapasağlam.olen öğrenci duymadık.bosuna öğrencileri ignelemek için ugrasmayin</t>
  </si>
  <si>
    <t>1469815792871084033</t>
  </si>
  <si>
    <t>@drfahrettinkoca )) tabi tabi.</t>
  </si>
  <si>
    <t>1469786258750808065</t>
  </si>
  <si>
    <t>@drfahrettinkoca Ne kazandı ne fayda gördü aşıdan sayın bakan? Bakar mısınız şu vakalara? Hab-ı gafletten uyanınız… https://t.co/Z2W3C211Xm</t>
  </si>
  <si>
    <t>1469775839323734022</t>
  </si>
  <si>
    <t>@drfahrettinkoca Aşı olmayanlar test yaptırmayada gitmiyor . Bakan koca aşısız pozitifleri nereden buluyorsunuz…</t>
  </si>
  <si>
    <t>1469773255301111815</t>
  </si>
  <si>
    <t>@drfahrettinkoca @drfahrettinkoca @RTErdogan  siz nasıl insanlarsınız hayatımızı kararttınız gençliğimizi  kanımızı… https://t.co/IkBUB3YxOZ</t>
  </si>
  <si>
    <t>1469771983089020933</t>
  </si>
  <si>
    <t>@drfahrettinkoca Siz maskeyi paralı, bilmem kaç euroluk aşıyı bedava vurarak ne kazandınız? Birşey bedavaysa ürün s… https://t.co/HnoSZP4QKa</t>
  </si>
  <si>
    <t>1469768854066929676</t>
  </si>
  <si>
    <t>@drfahrettinkoca Sayın bakan gel bu sorumluluğu sen al hepimiz aşı olalım, uzun vadeli yan etkileri bilinmiyor diye… https://t.co/ZY8GeqNDGh</t>
  </si>
  <si>
    <t>1469762658014478349</t>
  </si>
  <si>
    <t>@drfahrettinkoca Aşi olup ölenleri açıklar mısınız</t>
  </si>
  <si>
    <t>1469431531177492481</t>
  </si>
  <si>
    <t>@drfahrettinkoca Hangi ön yargı acaba? Mavi aşılı şehirler vaka sayısı en yüksek şehirler.</t>
  </si>
  <si>
    <t>1469330919714705418</t>
  </si>
  <si>
    <t>@drfahrettinkoca Sayın bakanım kovid nedeniyle özel hastanelerin yoğun bakımında yatan hastalara devletin verdiği i… https://t.co/1YQDBXyr2D</t>
  </si>
  <si>
    <t>1469242826772860929</t>
  </si>
  <si>
    <t>@drfahrettinkoca https://t.co/qoMsWInYYJ tayyonun uşağı bu bilgi ne açıkla</t>
  </si>
  <si>
    <t>1469241882240856074</t>
  </si>
  <si>
    <t>@drfahrettinkoca nkü ilahiyat fakültesinde muhammet okudan  öğrencimiz koronadan vefat etti !!! Korona olam sınıfla… https://t.co/nzdlgWr28b</t>
  </si>
  <si>
    <t>1469237507778883589</t>
  </si>
  <si>
    <t>@drfahrettinkoca Şimdi yapacağınız tek şey;Der Spiegel dergisine konuşan Şahin, "Eğer Omicron varyantı yayılmaya de… https://t.co/2ns7YctXJq</t>
  </si>
  <si>
    <t>1469220122183274497</t>
  </si>
  <si>
    <t>@drfahrettinkoca Dicle üniversitesi Hastanesinde ultrasyona 2ay sonraya gün veriyorlar sonra alt katta 160 TL ye öz… https://t.co/n2D5eeQn7Z</t>
  </si>
  <si>
    <t>1469201102654652419</t>
  </si>
  <si>
    <t>@drfahrettinkoca Aşı olanlar bir süre sonra hep aşıya muhtaç kalıcak, aşıyla bağışıklıklarını düşürdünüz insanların… https://t.co/lem9C0xQuR</t>
  </si>
  <si>
    <t>1469193542761435136</t>
  </si>
  <si>
    <t>@drfahrettinkoca .</t>
  </si>
  <si>
    <t>1470494259023339520</t>
  </si>
  <si>
    <t>@drfahrettinkoca Tamam hafif atlatan atlatsın ağır geçiren geçirsin bu kadar üstünde durmanın anlamı ne göze alan almış zaten.</t>
  </si>
  <si>
    <t>1468369080168157187</t>
  </si>
  <si>
    <t>@drfahrettinkoca Sayın Koca Hiç güven vermiyorsunuz ve güvenilmiyorsunuz.</t>
  </si>
  <si>
    <t>1468366961751076868</t>
  </si>
  <si>
    <t>@drfahrettinkoca Tekirdağ da yaşıyorum aşılama oranına bakınca %81.6 aslında gayet iyi duruyor nüfus 1.107.491. Pek… https://t.co/hinUNHl3A5</t>
  </si>
  <si>
    <t>1468366361487364103</t>
  </si>
  <si>
    <t>@drfahrettinkoca Nerede hafif geçiriyorlar yahu aşısızlar hasta filan da olmuyor ne salladınız artık yeter..</t>
  </si>
  <si>
    <t>1468364502672592899</t>
  </si>
  <si>
    <t>@drfahrettinkoca Biraz hastaneler hakkında araştırma yapılması şart bir acil servis ani müdahale yeridir acile gide… https://t.co/lbeDaeMHqX</t>
  </si>
  <si>
    <t>1468359242600132611</t>
  </si>
  <si>
    <t>@drfahrettinkoca eskiden sabah 5 6 da hasta  hastaneye gider sıraya girerdi evet ama muanesi ni olurdu şimdi randev… https://t.co/zP1UloOR2m</t>
  </si>
  <si>
    <t>1468358560262283271</t>
  </si>
  <si>
    <t>@drfahrettinkoca SAYIN BAKANIM 2 3 BİN VAKA VARKEN HERYER KAPALIYDI ÖNLEM ALIYORDUNUZ  ŞİMDİ VAKA OLMUŞ 22 23 BİN N… https://t.co/A6TbzZK9fr</t>
  </si>
  <si>
    <t>1468357768004440068</t>
  </si>
  <si>
    <t>@drfahrettinkoca https://t.co/YLJGEjRn0w</t>
  </si>
  <si>
    <t>1468357329469030406</t>
  </si>
  <si>
    <t>@drfahrettinkoca AŞI DEĞİL, TOPLUM BAĞIŞIKLIĞI</t>
  </si>
  <si>
    <t>1468356694396870667</t>
  </si>
  <si>
    <t>@drfahrettinkoca PCR testi zorunluluğu zulümdür ve sizde bu zulme ortaksınız</t>
  </si>
  <si>
    <t>1468354847883866116</t>
  </si>
  <si>
    <t>@drfahrettinkoca Hastanede yatanların yarışı aşısızmız sayın Bakan. Haberler öyle diyor. Olaya bakış açınız ilginç.… https://t.co/NGxuxAXP5w</t>
  </si>
  <si>
    <t>1468354567414947840</t>
  </si>
  <si>
    <t>@drfahrettinkoca Sayın bakanım iki aşıyı da oldum ve şu anda covidliyim,ve asla da kolay geçirmedim... Annem ve bab… https://t.co/hbdB09hOxu</t>
  </si>
  <si>
    <t>1468353619674247172</t>
  </si>
  <si>
    <t>@drfahrettinkoca Cahilliğinden mi buna alet oldun yoksa Hainliğinden mi onu çok merak ediyorum bakan beyefendi!</t>
  </si>
  <si>
    <t>1468353543467851782</t>
  </si>
  <si>
    <t>@drfahrettinkoca İslamda tesadüf asla olmaz tevafuk olur,sizin görüşünüze benim ölmüş olmam lazım bu ama çok şükür… https://t.co/YjVnJqAuks</t>
  </si>
  <si>
    <t>1468351781591785477</t>
  </si>
  <si>
    <t>@drfahrettinkoca Hala Sizin Bu Boş Lakırtılarınıza İnananlar Olması da Tesadüf Değil İnsanları Öyle Bi Korkuttunuz… https://t.co/TzNTIAIpfu</t>
  </si>
  <si>
    <t>1468350873260728322</t>
  </si>
  <si>
    <t>@drfahrettinkoca SAYFAM BELGE DOLU !   BU OYUNUN NASIL KURULDUĞU NASIL BURAYA KADAR GELDİĞİ !…  İNCELEMEN, ANLAMADI… https://t.co/4hZoHUD2Kg</t>
  </si>
  <si>
    <t>1468349388124794882</t>
  </si>
  <si>
    <t>@drfahrettinkoca zararlı aşıdan sonra  #biontechyanetki ,#asımağdurları ölenler hep aşılı,2 doz,3 doz biontech vs,h… https://t.co/DtEXYTVBMl</t>
  </si>
  <si>
    <t>1468349168271962116</t>
  </si>
  <si>
    <t>@drfahrettinkoca https://t.co/PsSPENkNRF</t>
  </si>
  <si>
    <t>1468349099015614472</t>
  </si>
  <si>
    <t>@drfahrettinkoca https://t.co/SL7sLNYYyU .</t>
  </si>
  <si>
    <t>1468346806060916736</t>
  </si>
  <si>
    <t>@drfahrettinkoca Bir düzgün istatik yayınladınız mı..1 tane a şi kaynaklı ölüm olmayan güzel ülkemde söylediklerini… https://t.co/edZAMiAWoV</t>
  </si>
  <si>
    <t>1468346772196151303</t>
  </si>
  <si>
    <t>@drfahrettinkoca https://t.co/SL7sLNYYyU</t>
  </si>
  <si>
    <t>1468346766001061889</t>
  </si>
  <si>
    <t>@drfahrettinkoca Sağlık bakanı oturduğu yerden ahkam kesme insanlar ölüyor aylardır hergün 200 insanımızı kaybediyo… https://t.co/z3siOdQ7UD</t>
  </si>
  <si>
    <t>1468345237957402627</t>
  </si>
  <si>
    <t>@drfahrettinkoca Hatta burayada yazayım...Allah senin 1000 türlü cezanı versin Inşallah..1000 yetmez 10.000 , 10.00… https://t.co/Sw7mxHkTEv</t>
  </si>
  <si>
    <t>1468344257991872517</t>
  </si>
  <si>
    <t>@drfahrettinkoca İki doz sayısı %80 üstüne çıktı halen harita twitleri atılıyor.  Hani bitecekti. Ben olsam bu kada… https://t.co/RBnL9srQCl</t>
  </si>
  <si>
    <t>1468344179403202560</t>
  </si>
  <si>
    <t>@drfahrettinkoca Güvenmi?????? 😂</t>
  </si>
  <si>
    <t>1468344006027485188</t>
  </si>
  <si>
    <t>@drfahrettinkoca Rezilsiniz bi sus artık zerre saygınlığın kalmadı halkın gözünde,o minnak minnak pıhtılar diyen be… https://t.co/B4Gs5SQ4oX</t>
  </si>
  <si>
    <t>1468343966366113794</t>
  </si>
  <si>
    <t>@drfahrettinkoca Sizinde sağlık bakanı olmanız hiç tesadüf değil.. Diyeceklerim bu kadar artık dağılabilirsiniz.… https://t.co/js6yomXDKB</t>
  </si>
  <si>
    <t>1468343441721544712</t>
  </si>
  <si>
    <t>@drfahrettinkoca Hay Allah Seni Bildiği Gibi Yapsın...Her gün sana beddua ediyorum ...</t>
  </si>
  <si>
    <t>1468343061457551360</t>
  </si>
  <si>
    <t>@drfahrettinkoca Güvenmiyorum!</t>
  </si>
  <si>
    <t>1468342125934874628</t>
  </si>
  <si>
    <t>@drfahrettinkoca Valla ekonomik zorluktan koronayı bile düşünemez olduk. Ölse çok şükür rahatladım diyecek insanlar var.</t>
  </si>
  <si>
    <t>1468342104292265985</t>
  </si>
  <si>
    <t>@drfahrettinkoca Uyduruk 16 Li ilacı içirip bugün kaldırmışsınız denek miyiz? Başka kapıya</t>
  </si>
  <si>
    <t>1468341653782028289</t>
  </si>
  <si>
    <t>@drfahrettinkoca Yalan haber....</t>
  </si>
  <si>
    <t>1468340524012740608</t>
  </si>
  <si>
    <t>@drfahrettinkoca Okullar üniversiteler virüs yuvası bilin istedimm🤗</t>
  </si>
  <si>
    <t>1468340048873537545</t>
  </si>
  <si>
    <t>@drfahrettinkoca Ne aşıya ne size güveniyoruz</t>
  </si>
  <si>
    <t>1468339923631722496</t>
  </si>
  <si>
    <t>@drfahrettinkoca Bırakın artık aşı saymayı da bu Omicron nedir makale okuyun biraz! Bu ülkenin halk sağlığından sağ… https://t.co/tdIPi2aTSr</t>
  </si>
  <si>
    <t>1468339923111534595</t>
  </si>
  <si>
    <t>@drfahrettinkoca Bu hastanelerde aşı olan insanlara denek oldukları bilgisi verildi mi? Verilmedi ise insanlar üzer… https://t.co/NONVXP2nCJ</t>
  </si>
  <si>
    <t>1468339549701128195</t>
  </si>
  <si>
    <t>@drfahrettinkoca Evet yanlış tedaviden dolayı insanların ölmesi tesadüf değil, yanlış ilaçlardan dolayı hastalanmak… https://t.co/PcCLEIAEtN</t>
  </si>
  <si>
    <t>1468339403005337605</t>
  </si>
  <si>
    <t>@drfahrettinkoca @saglikbakanligi Halkın sağlığını mı düşünüyorsunuz, DSÖ'nün başını tuttuğu ilaç kartellerinin ceb… https://t.co/YJtQzYvs12</t>
  </si>
  <si>
    <t>1468339174893920256</t>
  </si>
  <si>
    <t>@drfahrettinkoca #fahrettinkocaTUTUKLANSIN   YALANCI! Peki bunlar NE? 👇👇 https://t.co/pBDor2JaOO</t>
  </si>
  <si>
    <t>1468338715185528832</t>
  </si>
  <si>
    <t>@drfahrettinkoca Ne sana ne uydurduğun verilere güvenmiyoruz. Artık onurunla gerçekleri açıkla ve istifa et #istikbalicinistiklaldeol</t>
  </si>
  <si>
    <t>1468338570775699462</t>
  </si>
  <si>
    <t>@drfahrettinkoca Ben bu bakanana inanıyom artık hastaneler berbat hiç doktor çalışmıyor randevu yok alınca iptal do… https://t.co/cF4Ti9ZYE2</t>
  </si>
  <si>
    <t>1468337961204916230</t>
  </si>
  <si>
    <t>@drfahrettinkoca Yoğun bakımlar aşısızlarla doluysa neden aşı oranlarının en düşük olduğu illerde ölüm ve vaka sayı… https://t.co/y1pHv3GUjX</t>
  </si>
  <si>
    <t>1468337301390512129</t>
  </si>
  <si>
    <t>@drfahrettinkoca Aşı hikaye siz şahanesiniz kandırın bu milleti aşı olmayanlar diye yedik hepsini hazmetmeye çalışıyoruz 🤫🤫🤫</t>
  </si>
  <si>
    <t>1468336015496683529</t>
  </si>
  <si>
    <t>@drfahrettinkoca Lütfen Dikkate Alınız Bir Nefeste Siz Olun "Mucize" Bebek Eflinsu.  Doktorların ölecek beklentisin… https://t.co/q5NNsYdexh</t>
  </si>
  <si>
    <t>1468335994223091714</t>
  </si>
  <si>
    <t>@drfahrettinkoca Allah billah aşkna artk korkuyruz nerede 30 bin</t>
  </si>
  <si>
    <t>1468335755407855618</t>
  </si>
  <si>
    <t>@drfahrettinkoca Sağlık çalışanı alkış değil hakkını istiyor bakanım sağlık bir bütündür ve bu bütünü birbirinden a… https://t.co/Tb4i0Mj5pU</t>
  </si>
  <si>
    <t>1468335616358334470</t>
  </si>
  <si>
    <t>@drfahrettinkoca #CBonaylaKOCAkılavuzuYayımla  Müjde miii nerede</t>
  </si>
  <si>
    <t>1468335459419885570</t>
  </si>
  <si>
    <t>1468335181614489604</t>
  </si>
  <si>
    <t>@drfahrettinkoca Sen şunu neden anlamyorsun hiç aşı olmayanlar test yaptırmıyor ve güvenmiyor senin günde yarım mil… https://t.co/d2LRUmyx8g</t>
  </si>
  <si>
    <t>1468335128162226179</t>
  </si>
  <si>
    <t>@drfahrettinkoca Bakanım bizler aşısızlar olarak her akşam tweeter dayız.</t>
  </si>
  <si>
    <t>1468335069001625604</t>
  </si>
  <si>
    <t>@drfahrettinkoca @saglikbakanligi @WHO/@saglikbakanligi "PCR testlerinin hata payı belirlenenden daha yüksek"  * Ot… https://t.co/nPbqCuCbTz</t>
  </si>
  <si>
    <t>1468334887006519299</t>
  </si>
  <si>
    <t>@drfahrettinkoca Hehe aşı olan yoğun bakımda yok sanki..</t>
  </si>
  <si>
    <t>1468334045562122242</t>
  </si>
  <si>
    <t>@drfahrettinkoca Allah Allah çok şaşırdım.Hayatımda hiç bu şekilde BAKAN görmemiştim.Çok ilginç.</t>
  </si>
  <si>
    <t>1468333169451708423</t>
  </si>
  <si>
    <t>@drfahrettinkoca https://t.co/CFwyGYNG3z</t>
  </si>
  <si>
    <t>1468332997418049543</t>
  </si>
  <si>
    <t>@drfahrettinkoca Kanıtlayın o zaman kimsenin size gğveni kalmadı gördüğümüzemi duyduğumuzamı insnalım tabiki gördüğümüze...</t>
  </si>
  <si>
    <t>1468332279651086341</t>
  </si>
  <si>
    <t>@drfahrettinkoca ALLAHIN AZABI GADABI SİZİN VE KENDINİ SİYONİZME KÜRESELCİ ÇETENİN UŞAKLĞINA ADAMIŞ TÜM  ZALİMLERİN… https://t.co/ZYJpGQvm4O</t>
  </si>
  <si>
    <t>1468332161480732672</t>
  </si>
  <si>
    <t>@drfahrettinkoca Kılavuzun yayınlanmasını istiyoruz artık</t>
  </si>
  <si>
    <t>1468332138336595973</t>
  </si>
  <si>
    <t>@drfahrettinkoca İç işleri bakanlığı deneysel tedavi demiş ??? KABUL ETMISLER DENEK OLDUGUMUZU HALA 5 YASTALAR INAN… https://t.co/STsqEzUJej</t>
  </si>
  <si>
    <t>1468331039277948930</t>
  </si>
  <si>
    <t>@drfahrettinkoca Bu güce güvenin derdi eskiden... https://t.co/2v7216Vb6w</t>
  </si>
  <si>
    <t>1468330895698546710</t>
  </si>
  <si>
    <t>@drfahrettinkoca küçücük çocukları erkenden saat 5'te uyandırıp 6'da yollara düşürerek ekonomiyi canlandırma projen… https://t.co/hDTXO6nP3d</t>
  </si>
  <si>
    <t>1468330533583208450</t>
  </si>
  <si>
    <t>@drfahrettinkoca Dünya Ticaret Örgütü üyelerinin tartışma zamanı bitti. Bu krizle yüzleşme yeteneğimizi baltalayan… https://t.co/s9hw4jGzL3</t>
  </si>
  <si>
    <t>1468330058825834501</t>
  </si>
  <si>
    <t>@drfahrettinkoca Bence siz bu işi bırakın yapamıyorsunuz</t>
  </si>
  <si>
    <t>1468329948305936394</t>
  </si>
  <si>
    <t>@drfahrettinkoca Pandeminin başında vak'a ve ölüm sayılarını  gizleyip TÜİK gibi davranmasaydınız bu iş böyle çığrı… https://t.co/c7ChGYzSlw</t>
  </si>
  <si>
    <t>1468329787538165761</t>
  </si>
  <si>
    <t>@drfahrettinkoca https://t.co/MhdGCObkjc</t>
  </si>
  <si>
    <t>1468329489264480260</t>
  </si>
  <si>
    <t>@drfahrettinkoca Güvenmiyorum çünkü talimatla hareket ediyorsunuz.</t>
  </si>
  <si>
    <t>1468329418003255303</t>
  </si>
  <si>
    <t>@drfahrettinkoca ekonomiyi okulları yüz yüze açarak düzeltmek.. vayy be , okullar neymiş be okul ile ekonomi düzeli… https://t.co/no29I6s7MS</t>
  </si>
  <si>
    <t>1468329234959589383</t>
  </si>
  <si>
    <t>@drfahrettinkoca ekonomiyi düzelttik , okullar sayesinde ekonomi süper oldu. TAMAM ONLINE EĞİTİME GEÇİN ARTIK  #kabineuzaktaneğitimşart</t>
  </si>
  <si>
    <t>1468328729176944645</t>
  </si>
  <si>
    <t>@drfahrettinkoca E ekonomimiz düzeldiyse hadi artık online eğitime geçelim OKULLAR OLARAK 2 AYDIR ÜLKE EKONOMİSİNİ… https://t.co/pVnHt1qLtt</t>
  </si>
  <si>
    <t>1468328344483676162</t>
  </si>
  <si>
    <t>@drfahrettinkoca https://t.co/27Z2ftGSin</t>
  </si>
  <si>
    <t>1468328235641585664</t>
  </si>
  <si>
    <t>@drfahrettinkoca BU HÜKÜMETTEN,OY KAYBETME KORKUSU YÜZÜNDEN AŞISIZLARA YAPTIRIM KISITLAMA YASAKLAMA GİBİ ŞEYLER BEK… https://t.co/rF4nwAB6G3</t>
  </si>
  <si>
    <t>1468328223058583563</t>
  </si>
  <si>
    <t>@drfahrettinkoca Kadro duzenlemesi getirilmeli memur-isci ayrimlari giderilmeli. 4d li isci Paramedik Ambulans Suru… https://t.co/Tvucq81qDu</t>
  </si>
  <si>
    <t>1468327920322105353</t>
  </si>
  <si>
    <t>@drfahrettinkoca Hala aşı mı kovalıyo bu..?</t>
  </si>
  <si>
    <t>1468327898964758534</t>
  </si>
  <si>
    <t>@drfahrettinkoca @saglikbakanligi Bu millete 20 aydır YALAN SÖYLEYEN birinin DELİLSİZ/DÖKÜMANSIZ tekrarlarına neden… https://t.co/aAorNdv88w</t>
  </si>
  <si>
    <t>1468326423412760582</t>
  </si>
  <si>
    <t>@drfahrettinkoca Ayıp ya , bu ne biçim yalan</t>
  </si>
  <si>
    <t>1468326419327504389</t>
  </si>
  <si>
    <t>@drfahrettinkoca Sayın bakanım cezaevlerinde herkes hasta ve iyileşme süreci çok uzun sürüyor. Havalandırma yok ve… https://t.co/N7Ei2ZpMNc</t>
  </si>
  <si>
    <t>1468326030297509888</t>
  </si>
  <si>
    <t>@drfahrettinkoca Siz Allah adı anıyor müslüman olduğunzu gösteryorsunz, gördüğümüz kadarnı söylüyorm. İslam inancın… https://t.co/86JlgPQETe</t>
  </si>
  <si>
    <t>1468325273452126212</t>
  </si>
  <si>
    <t>@drfahrettinkoca @drfahrettinkoca Ziyaaaaaaaaaaaaaaaaaa .....Artik önlemini Al avrupaya Bak Burnun Belki yanar ki yanmıyor</t>
  </si>
  <si>
    <t>1468324942290857996</t>
  </si>
  <si>
    <t>@drfahrettinkoca Güven ve Siz ?? Komik geldi..</t>
  </si>
  <si>
    <t>1468324664439189506</t>
  </si>
  <si>
    <t>@drfahrettinkoca Giresun dan İstanbul a geldim,4 gün oldu maske takma oranı % 30 hes kodu sorgulamadan istediğiniz… https://t.co/ANrh2gLGav</t>
  </si>
  <si>
    <t>1468324478971166727</t>
  </si>
  <si>
    <t>@drfahrettinkoca https://t.co/YneRuybO5a</t>
  </si>
  <si>
    <t>1468324456472981507</t>
  </si>
  <si>
    <t>@drfahrettinkoca https://t.co/EwS3rrI1fj</t>
  </si>
  <si>
    <t>1468324456099725319</t>
  </si>
  <si>
    <t>@drfahrettinkoca https://t.co/JI4ovfUey6</t>
  </si>
  <si>
    <t>1468324441746726912</t>
  </si>
  <si>
    <t>@drfahrettinkoca https://t.co/aK8qFbMFfp</t>
  </si>
  <si>
    <t>1468324363812364292</t>
  </si>
  <si>
    <t>@drfahrettinkoca https://t.co/lhneF6RSy0</t>
  </si>
  <si>
    <t>1468324363434921996</t>
  </si>
  <si>
    <t>@drfahrettinkoca #zolgesmasgkkapsamıngirsin ilacına ses verin smalı bebekleri duyun artık duyun biz gönüllüri olara… https://t.co/5poyiCCPdN</t>
  </si>
  <si>
    <t>1468324230538354701</t>
  </si>
  <si>
    <t>@drfahrettinkoca Asi yaptiranlar bu kadar Fahrettin Bey,artik lutfen zorunlu yapalim aşıyı</t>
  </si>
  <si>
    <t>1468323906704613380</t>
  </si>
  <si>
    <t>@drfahrettinkoca Ulan memlekette meğerse ne kadar asisiz insan varmış hep yoğunbakiler asisiz  ol ol bitmiyo mübarekler</t>
  </si>
  <si>
    <t>1468323741969092608</t>
  </si>
  <si>
    <t>@drfahrettinkoca Tam bir belasin.ama iyiki partili değilsiniz...reis seni sepetlerken idam mangası seni bekliyor ol… https://t.co/kfpevoSQ9O</t>
  </si>
  <si>
    <t>1468323557562322944</t>
  </si>
  <si>
    <t>@drfahrettinkoca Sma bebekler hakkındaki hiç bir cümleniz artık güven verici değil yanlızca boş vaadler bu bebekler… https://t.co/60IlFBNuqv</t>
  </si>
  <si>
    <t>1468323409822208000</t>
  </si>
  <si>
    <t>@drfahrettinkoca Kişi yalan söyleye söyleye kezzablardan yazılır.</t>
  </si>
  <si>
    <t>1468323030409617418</t>
  </si>
  <si>
    <t>@drfahrettinkoca Geride kalan 6 aya baktığında ne görüyorsun...oynadığın iğrenç katliam oyunlarını değil mi...rezer… https://t.co/AtoBIVjxgq</t>
  </si>
  <si>
    <t>1468322951095332871</t>
  </si>
  <si>
    <t>@drfahrettinkoca Bu twetti atarken izin aldınız mı acaba</t>
  </si>
  <si>
    <t>1468322776352182274</t>
  </si>
  <si>
    <t>@drfahrettinkoca At yalanı öpwyüm inananı. Çok değil çeyreğin şeyreği adamsan açıkla kaç tane hiç aşı olmamış kaç t… https://t.co/hWouqtX8h7</t>
  </si>
  <si>
    <t>1468322767330320386</t>
  </si>
  <si>
    <t>@drfahrettinkoca https://t.co/fRv0Qzokwb</t>
  </si>
  <si>
    <t>1468322528078749696</t>
  </si>
  <si>
    <t>@drfahrettinkoca Birincisi şu "güvenin" kelimesini kullanmaktan vazgeçin, güvenin demekle güven devşirilmez. Bal de… https://t.co/f7zZkJzDl6</t>
  </si>
  <si>
    <t>1468322350752059393</t>
  </si>
  <si>
    <t>@drfahrettinkoca Neden zor bu bebekleri kurtarmak #zolgesmasgkkapsamıngirsin ilaçlarına kavuşturmak. Boş yapılan to… https://t.co/EQToyUD2wH</t>
  </si>
  <si>
    <t>1468322174041739264</t>
  </si>
  <si>
    <t>@drfahrettinkoca Harita aynı zamanda canı tatlılar haritası. En canı tatlı &amp;amp;84 le İzmir ve Muğla ılıkgötlüleri</t>
  </si>
  <si>
    <t>1468322122099531784</t>
  </si>
  <si>
    <t>@drfahrettinkoca Allah aşkına Sus artık sus..</t>
  </si>
  <si>
    <t>1468321966583078944</t>
  </si>
  <si>
    <t>@drfahrettinkoca Sonuçlara çok güveniyoruz... https://t.co/vQWWxjj25g</t>
  </si>
  <si>
    <t>1468321880549388290</t>
  </si>
  <si>
    <t>@drfahrettinkoca https://t.co/y7WbFiimmW</t>
  </si>
  <si>
    <t>1468319485455220741</t>
  </si>
  <si>
    <t>@drfahrettinkoca Yılbaşında 3 gün kapat Türkiye'yi</t>
  </si>
  <si>
    <t>1468319107816865800</t>
  </si>
  <si>
    <t>@drfahrettinkoca Derewww, derewww, derewww... HasbünAllahü ve ni'mel vekiiil.</t>
  </si>
  <si>
    <t>1468319098262233096</t>
  </si>
  <si>
    <t>@drfahrettinkoca https://t.co/cPLU9jDNTh</t>
  </si>
  <si>
    <t>1468318669608468489</t>
  </si>
  <si>
    <t>@drfahrettinkoca Yeter artık,rahat bırakın milleti ,resmen travma yaşattiniz ,yaşatiyorsunuz !</t>
  </si>
  <si>
    <t>1468318428574490641</t>
  </si>
  <si>
    <t>@drfahrettinkoca Hani 2. Doz Koruyordu Sahtekarlar... Yakında Aynısını 3. Doz Olmuşlara 4. Dozu Vurmak İçin Söyleye… https://t.co/jwVPfnxUeg</t>
  </si>
  <si>
    <t>1468318272525418505</t>
  </si>
  <si>
    <t>@drfahrettinkoca Kalp krizi vakalarının artması tesadüf müdür?</t>
  </si>
  <si>
    <t>1468318175964057608</t>
  </si>
  <si>
    <t>@drfahrettinkoca https://t.co/VB8mRJmKKW</t>
  </si>
  <si>
    <t>1468317748812001295</t>
  </si>
  <si>
    <t>@drfahrettinkoca çoklu organ yetmezliği ölümünün sebeplerini açıklarmısıniz doktor bey</t>
  </si>
  <si>
    <t>1468317340404178948</t>
  </si>
  <si>
    <t>@drfahrettinkoca Ben aşı olmadım,hastalığı da hafif geçirdim,hiç ilaç da kullanmadım,aşı olan tanıdıklarımdan çok c… https://t.co/NyfdZtt11i</t>
  </si>
  <si>
    <t>1468316757400117250</t>
  </si>
  <si>
    <t>@drfahrettinkoca Beyin yıkamaya devam</t>
  </si>
  <si>
    <t>1468316493326729224</t>
  </si>
  <si>
    <t>@drfahrettinkoca Morg da son çıkarası 🤣🤣🤣 https://t.co/dhvBsjGzgB</t>
  </si>
  <si>
    <t>1468316297742233603</t>
  </si>
  <si>
    <t>@drfahrettinkoca Yani anlamakta zorlanıyorum, size biri zarar vermek isterse bu kadar uğraşır mı, hasta olacaksın s… https://t.co/ED1GTMzvTu</t>
  </si>
  <si>
    <t>1468316295049457667</t>
  </si>
  <si>
    <t>@drfahrettinkoca Şuan herkes omigron'a karşı eksik aşılı Koca Fahrettin. Neyine güveneyim.. iyi ki olmadık olmuyoruz...</t>
  </si>
  <si>
    <t>1468316285461270531</t>
  </si>
  <si>
    <t>@drfahrettinkoca Umutları tüketen bakanlık . Nerede klavuz ?</t>
  </si>
  <si>
    <t>1468314923621130240</t>
  </si>
  <si>
    <t>@drfahrettinkoca Aşılı veya aşısız hepimiz bu virusle tanışacağız. He aşı olmazsanız da yakalanırsanız artık bahtın… https://t.co/xwQqaHgMyX</t>
  </si>
  <si>
    <t>1468314562315407369</t>
  </si>
  <si>
    <t>@drfahrettinkoca buyuk  bir bolum derken??? neden hic veri yok..neden muallak ifadeler? neden net veri yok?????? ar… https://t.co/aCVdyOEhxs</t>
  </si>
  <si>
    <t>1468314081518047233</t>
  </si>
  <si>
    <t>@drfahrettinkoca Şimdiye kadar virüsten 78000 kişi vefat etmiş bunun vebali sırf ekonomi için insanları ölüme terk… https://t.co/dd64czjkVp</t>
  </si>
  <si>
    <t>1468313845655654401</t>
  </si>
  <si>
    <t>@drfahrettinkoca Kocaeli'de bir temaslı halk otobüsüne binmeye kalktı duyarlı şoför kızdı ve peşinden emniyeti arad… https://t.co/9CZdo5LdaV</t>
  </si>
  <si>
    <t>1468313164295151622</t>
  </si>
  <si>
    <t>@drfahrettinkoca Herşeyiniz yalan sizin.bizzat sizin açıkladığınız değerler bu twitinizle çelişiyor.danışmanlarınız… https://t.co/rBC92WEEL5</t>
  </si>
  <si>
    <t>1468312970455392267</t>
  </si>
  <si>
    <t>@drfahrettinkoca Aşısı eksik ne demek, kaç doza kadar tam doz. Hani risk grubunun %60 aşılılansa tamam idi. Bakanım… https://t.co/D5QLTlSI6t</t>
  </si>
  <si>
    <t>1468312820127313928</t>
  </si>
  <si>
    <t>@drfahrettinkoca #Sma li çocuklarimiza yardim edin lutfen..Bitsin bu iskence artik ,hangi cocugumuz hangi ilaca ula… https://t.co/BbErBldKyG</t>
  </si>
  <si>
    <t>1468312261357940745</t>
  </si>
  <si>
    <t>@drfahrettinkoca Sayenizde ülke yaşanılmaz hale geldi bir yandan virüs bir yandan soğuk diğer yandan yurtlardaki im… https://t.co/6P4bQeJdJL</t>
  </si>
  <si>
    <t>1468311904204562436</t>
  </si>
  <si>
    <t>@drfahrettinkoca Aşıları eksik kimdir... İnsanını aptal yerine koyma... Gribin aşısı olur mu...?</t>
  </si>
  <si>
    <t>1468311752156880899</t>
  </si>
  <si>
    <t>@drfahrettinkoca Sana da sıvılarına da GÜVENMİYORUZ👎</t>
  </si>
  <si>
    <t>1468311685308026889</t>
  </si>
  <si>
    <t>@drfahrettinkoca Maalesef bur güven problemimiz var🙂</t>
  </si>
  <si>
    <t>1468311515262603265</t>
  </si>
  <si>
    <t>@drfahrettinkoca Günlük test sayısı ve vaka sayısı ölüm sayısı iyileşme sayısına inanılır mi? Aşıların Faz1Faz2Faz3… https://t.co/ihsN2J7fKR</t>
  </si>
  <si>
    <t>1468311443632279552</t>
  </si>
  <si>
    <t>@drfahrettinkoca 😅😂</t>
  </si>
  <si>
    <t>1468311265445507072</t>
  </si>
  <si>
    <t>@drfahrettinkoca Keşke bakan olmasaydın da</t>
  </si>
  <si>
    <t>1468310576942264321</t>
  </si>
  <si>
    <t>@drfahrettinkoca Varsa belgesini açıklayın inanalım artık size ve sizin gibileri ne inanmıyor covid-19 hastalığına… https://t.co/N2GhqSQE7K</t>
  </si>
  <si>
    <t>1468310530419040264</t>
  </si>
  <si>
    <t>@drfahrettinkoca 2+2 aşımı oldum Münih’te ki doktorum da iki hafta evvel grip aşımı yaptı Ocak ayın da hatırlatma B… https://t.co/nlCtV4f0cv</t>
  </si>
  <si>
    <t>1468310389331050506</t>
  </si>
  <si>
    <t>@drfahrettinkoca Çocuklara aşı yaptırmak için can atan insanlar var hâlâ yorumlarda. İnanılır gibi değil ya</t>
  </si>
  <si>
    <t>1468310386256531459</t>
  </si>
  <si>
    <t>@drfahrettinkoca :)) Bozuk plak gibi ya , hayret bişey. "Aşıları eksik" :))</t>
  </si>
  <si>
    <t>1468310210909552641</t>
  </si>
  <si>
    <t>@drfahrettinkoca Size zerre güvenmiyorum. Ülkemde paylaşılan verilere de inanmıyorum. Sağlık bakanlığı plandemi ver… https://t.co/GR0sBZrQs4</t>
  </si>
  <si>
    <t>1468309867052081153</t>
  </si>
  <si>
    <t>@drfahrettinkoca Minik minik pıhtılar ?</t>
  </si>
  <si>
    <t>1468309532283650052</t>
  </si>
  <si>
    <t>@drfahrettinkoca Okuldaki çocuklar hastalığı kapıp evdekilere bulaştırıyor. Siz hala susun görmezden gelin sağlık pek umrunuzda değil gibi.</t>
  </si>
  <si>
    <t>1468309101390225414</t>
  </si>
  <si>
    <t>@drfahrettinkoca Kobaylar!! Size demiş!</t>
  </si>
  <si>
    <t>1468309044121243652</t>
  </si>
  <si>
    <t>@drfahrettinkoca Birazcık insaf varsa sizde istifa edersiniz sizin bir sözünüze güveni kalmadı insanların koltuğu boş yere işgal ediyorsunuz</t>
  </si>
  <si>
    <t>1468308668395540480</t>
  </si>
  <si>
    <t>@drfahrettinkoca Ahahahha sana güvenmek mi? 🤣🤣🤣</t>
  </si>
  <si>
    <t>1468308544344801281</t>
  </si>
  <si>
    <t>@drfahrettinkoca artık online!!!</t>
  </si>
  <si>
    <t>1468308322038259715</t>
  </si>
  <si>
    <t>@drfahrettinkoca Sayın bakan aşı ve tedavi hakkında bu kadar şaibe varken nasıl gönül rahatlığıyla sürekli böyle şeyler söyleyebiliyorsunuz</t>
  </si>
  <si>
    <t>1468308182426603525</t>
  </si>
  <si>
    <t>@drfahrettinkoca İstifa et Sizin aşınızıda sizide istemiyoruz https://t.co/uHTmjnHVDU</t>
  </si>
  <si>
    <t>1468308097974288390</t>
  </si>
  <si>
    <t>@drfahrettinkoca Hala diri tutmaya çalışta çalış! Millet aç degil tamam ama bır evin ihtiyacıda sadece yıyecek deği… https://t.co/5NYuK8ueoV</t>
  </si>
  <si>
    <t>1468307671975710734</t>
  </si>
  <si>
    <t>@drfahrettinkoca Bu da bir iddia sayıp yok veri yok analiz yok kaçta kaçı aşısız kaçta kaçı eksik doz hafif atlatan… https://t.co/4AKxbSF4RY</t>
  </si>
  <si>
    <t>1468307488978227206</t>
  </si>
  <si>
    <t>@drfahrettinkoca Son 24 saatte virgül kadar görünemedi koca Camia sayın bakanım birde birbirimize girdiğimizle kaldık</t>
  </si>
  <si>
    <t>1468307361311993861</t>
  </si>
  <si>
    <t>@drfahrettinkoca Türk milletine herhangi bir kılavuz veya verileri apaçık vermediğiniz için GÜVENMİYORUZ!!!</t>
  </si>
  <si>
    <t>1468307122698043400</t>
  </si>
  <si>
    <t>@drfahrettinkoca Kimin fikri, kimin düşünceleri olursa olsun fark etmez. 2. Yıldır Milletimizi hem okonomik hem pis… https://t.co/T4Cfjk6kXm</t>
  </si>
  <si>
    <t>1468307048777531400</t>
  </si>
  <si>
    <t>@drfahrettinkoca Tarihin hiçbir döneminde bu aziz millet bu kadar aptal yerine koyulmadi yeter artık düşün milletin… https://t.co/Ml9gkkFGMh</t>
  </si>
  <si>
    <t>1468306879726161924</t>
  </si>
  <si>
    <t>@drfahrettinkoca Minnacık pıhtılar da önemli değil mi acaba 🙄</t>
  </si>
  <si>
    <t>1468306109509382144</t>
  </si>
  <si>
    <t>@drfahrettinkoca Geride kalan 10 ayın sonuçları nedir.? Ben hiç iç açıcı birşey görmüyorum.</t>
  </si>
  <si>
    <t>1468305945411428360</t>
  </si>
  <si>
    <t>@drfahrettinkoca Yuvarlak konuşmayı bırak Bakan efendi. Sayıları net ver. Hastaneye yatanların ve ölenlerin % kaçı… https://t.co/RtEu4Hcq7X</t>
  </si>
  <si>
    <t>1468305556217733122</t>
  </si>
  <si>
    <t>@drfahrettinkoca YALAN.</t>
  </si>
  <si>
    <t>1468305501289070597</t>
  </si>
  <si>
    <t>@drfahrettinkoca Bir tane doğru düzgün istatistik yayınlamazsanız ancak komşu amca tavsiyesi olur dedikleriniz</t>
  </si>
  <si>
    <t>1468305392933474308</t>
  </si>
  <si>
    <t>@drfahrettinkoca Gücümüz kalmadı. @RTErdogan @drfahrettinkoca @halis_aygun #CBonaylaKOCAkılavuzuYayımla</t>
  </si>
  <si>
    <t>1468304565015613442</t>
  </si>
  <si>
    <t>@drfahrettinkoca 7 ARALIK 2020 AŞI YOK! TEST SAYISI:196.902 VAKA SAYISI:32.137 HASTA SAYISI:6.420 ÖLÜM:203  7 ARALI… https://t.co/tzV06zIZhN</t>
  </si>
  <si>
    <t>1468304541724852225</t>
  </si>
  <si>
    <t>@drfahrettinkoca @RTErdogan @drfahrettinkoca @halis_aygun #CBonaylaKOCAkılavuzuYayımla</t>
  </si>
  <si>
    <t>1468304417912983552</t>
  </si>
  <si>
    <t>@drfahrettinkoca 3 iğneli tanıdığım yoğunbakımda nasıl</t>
  </si>
  <si>
    <t>1468303972993847298</t>
  </si>
  <si>
    <t>@drfahrettinkoca Yeter artık yeter en önemli şey zaman ve siz ömrümüzü çaldınız. Bi klavuz yayınlanacak 1 yıldır bekliyoruz. Size oy moy yok</t>
  </si>
  <si>
    <t>1468303911643754499</t>
  </si>
  <si>
    <t>@drfahrettinkoca Yalan söylediklerini biliyoruz Yalan söylediklerini biliyorlar Yalan söylediklerini bildiğimizi bi… https://t.co/sO0fZJW7Fx</t>
  </si>
  <si>
    <t>1468303327222018048</t>
  </si>
  <si>
    <t>@drfahrettinkoca Telkin ile aşı olmuyorlar sorunu nasıl çözeceksiniz? Kapalı ortamlarda bu aşısız kişilerin diğer i… https://t.co/sV7f3xIwJb</t>
  </si>
  <si>
    <t>1468303214114181129</t>
  </si>
  <si>
    <t>@drfahrettinkoca Allah aşkına hala aşı aşı diyorsunuz aşı olanları ilk beş gün temaslı saymayıp sokağa salıyorsunuz… https://t.co/g24OdQb0h6</t>
  </si>
  <si>
    <t>1468303178881978376</t>
  </si>
  <si>
    <t>@drfahrettinkoca Bu veriler doğru mudur? Doğru ise aşı da bir işe yaramıyor. https://t.co/ckjRLUK2m7</t>
  </si>
  <si>
    <t>1468302620142022659</t>
  </si>
  <si>
    <t>@drfahrettinkoca Aşılılar hastalığı hafif geçiriyor bir tez olmaktan öte geçmiyor...Benim Asendan aorta anevrizmam… https://t.co/wfAIUEpA9L</t>
  </si>
  <si>
    <t>1468301749488390145</t>
  </si>
  <si>
    <t>@drfahrettinkoca Ne dedin duymadık</t>
  </si>
  <si>
    <t>1468301533905367041</t>
  </si>
  <si>
    <t>@drfahrettinkoca Oturduğunuz makama hiç yakışmıyorsunuz yalan konuşuyorsunuz yüreğiniz yetiyorsa çıkın aşı karşıtı… https://t.co/My3zKAhflU</t>
  </si>
  <si>
    <t>1468301488799858691</t>
  </si>
  <si>
    <t>@drfahrettinkoca Sayın bakanım ben  Yurtaa kalıyorum burda herkes hasta ama test yaptırmiyorlar ve yüzde 90 kovid c… https://t.co/PcrJwwnbC6</t>
  </si>
  <si>
    <t>1468301412157304841</t>
  </si>
  <si>
    <t>@drfahrettinkoca Haklısınız 3 doz sinovak + zatürre aşısı olan babam Coronanın 11. Günü Adana şehir hastanesinde zo… https://t.co/UXpbiplsDO</t>
  </si>
  <si>
    <t>1468301093901848580</t>
  </si>
  <si>
    <t>@drfahrettinkoca Sn Bakanım Atama bekleyen Diğer Sağlık Bölüm Teknikerleri için neden bir alım söz konusu değil. Te… https://t.co/up2SeZk2H9</t>
  </si>
  <si>
    <t>1468300403750182925</t>
  </si>
  <si>
    <t>@drfahrettinkoca Sayın bakanım sizde birazcık vicdan olsa insanlık onuru taşısanız Aşıya karşı olan insanlara bizza… https://t.co/oHgyTz0zt9</t>
  </si>
  <si>
    <t>1468300390148018179</t>
  </si>
  <si>
    <t>@drfahrettinkoca KOCA bir yalan ...</t>
  </si>
  <si>
    <t>1468299898856554501</t>
  </si>
  <si>
    <t>@drfahrettinkoca Sayın bakanım; net söyleyin. İllerin vaka sayılarına oranlanmış vefat sayılarını günlük paylaşın l… https://t.co/i9ZvcG8vkG</t>
  </si>
  <si>
    <t>1468299681159598080</t>
  </si>
  <si>
    <t>@drfahrettinkoca Veri nerde bu millet size inanmıyor ki</t>
  </si>
  <si>
    <t>1468299303307333640</t>
  </si>
  <si>
    <t>@drfahrettinkoca https://t.co/IZv2zREA7i</t>
  </si>
  <si>
    <t>1468299300874694664</t>
  </si>
  <si>
    <t>@drfahrettinkoca Tek tek veri açıklamak yerine üstü kapalı veriler açıkladığınız sürece güvenilir olmayacaksınız</t>
  </si>
  <si>
    <t>1468298997135781889</t>
  </si>
  <si>
    <t>@drfahrettinkoca Artık sizin hiçbir sözünüze inanmıyoruz. Bırakın yalanları. Test yapmayı bırakın salgın da biter.… https://t.co/fTbpVEZdeF</t>
  </si>
  <si>
    <t>1468298987203665924</t>
  </si>
  <si>
    <t>@drfahrettinkoca ONLİNE EĞİTİM İSTİYORUZ #kabineuzaktaneğitimsart</t>
  </si>
  <si>
    <t>1468298919704727552</t>
  </si>
  <si>
    <t>@drfahrettinkoca Aşı sonrası "pıhtıcıkları" ,kalp krizleri ve kalp kası iltihablarini napicaz syn bakan?</t>
  </si>
  <si>
    <t>1468298836246474759</t>
  </si>
  <si>
    <t>@drfahrettinkoca Uzaktan eğitime geçmek için neyi bekliyorsunuz #kabineuzaktaneğitimşart</t>
  </si>
  <si>
    <t>1468298596739129345</t>
  </si>
  <si>
    <t>@drfahrettinkoca ONLİNE EĞİTİM İSTİYORUZ DUYUN SESİMİZİ</t>
  </si>
  <si>
    <t>1468298448269107205</t>
  </si>
  <si>
    <t>@drfahrettinkoca ONLİNE İSTİYORUZ</t>
  </si>
  <si>
    <t>1468298389293273088</t>
  </si>
  <si>
    <t>@drfahrettinkoca Neyin sonucundan bahsediyorsunuz? Sıvı olanlar nefes darlığı yaşıyor, entübe oluyor, kalp krizi ge… https://t.co/bW1NGhhtjn</t>
  </si>
  <si>
    <t>1468298177610752001</t>
  </si>
  <si>
    <t>1468298150142259208</t>
  </si>
  <si>
    <t>@drfahrettinkoca @saglikbakanligi Karantinamın 12. Günündeyim eşimde pozitif cıkarsa daha sonra tekrardan karantina… https://t.co/FP0hpQyDQs</t>
  </si>
  <si>
    <t>1468297782771470353</t>
  </si>
  <si>
    <t>@drfahrettinkoca BAKANIM KILAVUZ NERDE AĞAC OLDUK BURDA</t>
  </si>
  <si>
    <t>1468297718938451970</t>
  </si>
  <si>
    <t>@drfahrettinkoca Bugün öğrendiğim bir durum. Yakin komşumuz kendi yogun bakımdan çıktı. Ve kendisi ile birlikte ola… https://t.co/IIMJh9S3qZ</t>
  </si>
  <si>
    <t>1468297624272916488</t>
  </si>
  <si>
    <t>@drfahrettinkoca Aşı aşı aşı aşı. Bu memlekette başka hastalık yok mu dayı? Attığın 100 tweetten 99 u aşı. Bir kere… https://t.co/LH1hKFakn1</t>
  </si>
  <si>
    <t>1468297541313835014</t>
  </si>
  <si>
    <t>@drfahrettinkoca Omikron ülke ülke dolaşmaya geçmiş diyorlar 😏,  ülkeler hatta şehirler arası dolaşım aşı olmayanla… https://t.co/x9rStR0L9Y</t>
  </si>
  <si>
    <t>1468297224207622150</t>
  </si>
  <si>
    <t>@drfahrettinkoca lutffen artik online egitim gelsin zamani geldi</t>
  </si>
  <si>
    <t>1468297201126363143</t>
  </si>
  <si>
    <t>@drfahrettinkoca Okullar kapanmalı  yasaklar geri gelmeli artık yaşlılar ölüyor</t>
  </si>
  <si>
    <t>1468297152367636491</t>
  </si>
  <si>
    <t>@drfahrettinkoca Sen nasıl bir sağlıkçısın bir kere sözde mutasyondan mutasyona uğrayan virüsün aşısı olmaz bilmiyo… https://t.co/Jbu3mX3V9f</t>
  </si>
  <si>
    <t>1468297074043146247</t>
  </si>
  <si>
    <t>@drfahrettinkoca Aşıları eksik olanlar  iki dozlu olanlar de mi artık</t>
  </si>
  <si>
    <t>1468296873022742530</t>
  </si>
  <si>
    <t>@drfahrettinkoca Bakanım bir şeyi unuttunuz mu acaba kılavuz hala gelmedi 😐</t>
  </si>
  <si>
    <t>1468296851560488966</t>
  </si>
  <si>
    <t>@drfahrettinkoca ACİL yardım ben selim tahir terzioğlu 05352315642</t>
  </si>
  <si>
    <t>1468296837304049669</t>
  </si>
  <si>
    <t>@drfahrettinkoca sevgili bakanım 101 yaşında ananem var hasta rahatsız hiç bir şey yapılamıyor diye eyüpsultan hast… https://t.co/1KTdVRsCkN</t>
  </si>
  <si>
    <t>1468296683146600448</t>
  </si>
  <si>
    <t>@drfahrettinkoca @drtolgatolunay Kadro yoksa aşı da yok hastane bilgi işlem hbys personelleri taşeron yasası mağduru</t>
  </si>
  <si>
    <t>1468296500396625923</t>
  </si>
  <si>
    <t>@drfahrettinkoca Aşı hafif geçiriyordu noldu yoğun bakımlarda aşısı eksik olanlar diyorsun daha kaç doz aşı olmalar… https://t.co/BOkPBF6Wsr</t>
  </si>
  <si>
    <t>1468296397741043723</t>
  </si>
  <si>
    <t>@drfahrettinkoca Yalan tablosu yine açıklanmış</t>
  </si>
  <si>
    <t>1468296262885818375</t>
  </si>
  <si>
    <t>@drfahrettinkoca Yazıklar olsun be bi ağzınızı açıp da kılavuz şurda şu günde demediniz ayıp bu yaptığınız. Neden b… https://t.co/Q6BD1u7uQe</t>
  </si>
  <si>
    <t>1468295955019673604</t>
  </si>
  <si>
    <t>@drfahrettinkoca Aşılama ile ilgili hiçbir veriyi milletle doğrudan paylaşma, Deneme sıvılarının zerre kadar takibi… https://t.co/lzFqXyhCtd</t>
  </si>
  <si>
    <t>1468295868814086148</t>
  </si>
  <si>
    <t>@drfahrettinkoca Buda eklimi duruma daha net nasıl olur dna değişimi nöronlara bağlanma kısmına geçelim bakalım mer… https://t.co/BnN4PzF5FW</t>
  </si>
  <si>
    <t>1468295863130857477</t>
  </si>
  <si>
    <t>@drfahrettinkoca Size güvenmediğimiz kesin... Bence en kısa zamanda istifa etmelisiniz...</t>
  </si>
  <si>
    <t>1468295646255923201</t>
  </si>
  <si>
    <t>@drfahrettinkoca Sıvılar yüzünden ülkede sağlıklı kimse kalmadı. Çevremizde sadece sıvı olanlar hastalandı ve hasta… https://t.co/wXaHnoejk8</t>
  </si>
  <si>
    <t>1468295493486841863</t>
  </si>
  <si>
    <t>@drfahrettinkoca Ülkenin içinden geçtiniz. Cocuklarimiza bari bir rahat verin. Kulaklarınız mi sağır duymuyorsunuz?… https://t.co/oY8eunbweS</t>
  </si>
  <si>
    <t>1468295290797056002</t>
  </si>
  <si>
    <t>@drfahrettinkoca Kandıramazsın bizi 🤣</t>
  </si>
  <si>
    <t>1468295234421407744</t>
  </si>
  <si>
    <t>1468295163344826372</t>
  </si>
  <si>
    <t>@drfahrettinkoca 3 doz sinovakla kaybettik yakımızı😭😭😭</t>
  </si>
  <si>
    <t>1468295160853417984</t>
  </si>
  <si>
    <t>@drfahrettinkoca Yaklaşık 2 aydır sizi takip etmedim, geldim bi bakaym dedim bugün hâlâ aynısınız.7/24 aşı da aşı,… https://t.co/joXJEbgCAY</t>
  </si>
  <si>
    <t>1468294947136851970</t>
  </si>
  <si>
    <t>@drfahrettinkoca Benim adım fahrettin biraz gerçek biraz rüya yalanımı sevsinler yalansız dönmüyor dünya....</t>
  </si>
  <si>
    <t>1468294914706448386</t>
  </si>
  <si>
    <t>@drfahrettinkoca Bunları yayinlarken cumhurbaşkanından izin aldınızmı sonra bir fırça daha yemeyin diye uyarmak istedim</t>
  </si>
  <si>
    <t>1468294671344537601</t>
  </si>
  <si>
    <t>@drfahrettinkoca Ya sen şaka falan mısın?</t>
  </si>
  <si>
    <t>1468294468231221259</t>
  </si>
  <si>
    <t>@drfahrettinkoca Bekleriz cancağızım. Yalan salgınını bitireceğiz. https://t.co/8gOYJlzMt8</t>
  </si>
  <si>
    <t>1468294298227589132</t>
  </si>
  <si>
    <t>@drfahrettinkoca Bakanım klavuzu yayınlayın lütfen</t>
  </si>
  <si>
    <t>1468294166111305740</t>
  </si>
  <si>
    <t>@drfahrettinkoca dayı senin kimse takmıyor şuan.millet yaşamaya calışıyor</t>
  </si>
  <si>
    <t>1468294163363938311</t>
  </si>
  <si>
    <t>@drfahrettinkoca Neden sözünüzü yiyorsunuz sürekli bir kere de sözünüz de dursanız yanı Kasım da kılavuz gelecekti… https://t.co/COimka2VYV</t>
  </si>
  <si>
    <t>1468294109731463170</t>
  </si>
  <si>
    <t>@drfahrettinkoca Çok değerli bir ağbim 3 doz biontec aşılı ve şuan entübe.. Size ve ilah edindiğiniz bilime çok güv… https://t.co/s5P8ZpMgQF</t>
  </si>
  <si>
    <t>1468294055381671943</t>
  </si>
  <si>
    <t>@drfahrettinkoca 😡😡 tekrar maskeler yok. Neden?</t>
  </si>
  <si>
    <t>1468293980890841094</t>
  </si>
  <si>
    <t>@drfahrettinkoca Yav he heee. 🤣🤣🤣</t>
  </si>
  <si>
    <t>1468293798824488965</t>
  </si>
  <si>
    <t>@drfahrettinkoca https://t.co/6p3V7cImK8</t>
  </si>
  <si>
    <t>1468293658407583745</t>
  </si>
  <si>
    <t>@drfahrettinkoca Babam iki doz aşılı ve kronik hastalığı sıfır olan biriydi pozitif çıktıktan 2 gün sonra yoğun bak… https://t.co/e8nd5Vu4Un</t>
  </si>
  <si>
    <t>1468293288478265356</t>
  </si>
  <si>
    <t>@drfahrettinkoca Hekimler istifa ediyor vatandaş randevu bulamıyor bu işin sonunda herkes zararlı olacak erken müda… https://t.co/vl3OAjv0id</t>
  </si>
  <si>
    <t>1468293278911152135</t>
  </si>
  <si>
    <t>@drfahrettinkoca #SonHekimGitmeden bir şeyler yapılmalı artık</t>
  </si>
  <si>
    <t>1468292992209498117</t>
  </si>
  <si>
    <t>@drfahrettinkoca #SonHekimGitmeden</t>
  </si>
  <si>
    <t>1468292823451672578</t>
  </si>
  <si>
    <t>@drfahrettinkoca Sayın Bakanım  Madem maskeden mesafeden hijyenden bahsediyorsunuz okulları onlineye çevirin okulda… https://t.co/mADMoapuNT</t>
  </si>
  <si>
    <t>1468292721051947008</t>
  </si>
  <si>
    <t>@drfahrettinkoca #SonHekimGitmeden bir şeyler yapılacak mı yoksa bize ya ölüm ya da yurtdışı olmak üzere sadece iki seçenek mi sunulacak</t>
  </si>
  <si>
    <t>1468292556362555398</t>
  </si>
  <si>
    <t>@drfahrettinkoca Vakaları sakliyorsunuz #kabineuzaktaneğitimsart</t>
  </si>
  <si>
    <t>1468292451303628803</t>
  </si>
  <si>
    <t>@drfahrettinkoca Okulları online yap #kabineuzaktaneğitimsart</t>
  </si>
  <si>
    <t>1468292391866093568</t>
  </si>
  <si>
    <t>@drfahrettinkoca Siz aşı olun, hafif geçirin. Sizi tutan mı var? Sağlığımızla ilgili yorum bile yapamazsınız. Kölen… https://t.co/EjySDoDzCh</t>
  </si>
  <si>
    <t>1468292388854505472</t>
  </si>
  <si>
    <t>@drfahrettinkoca Elhamdulillah Masallah Ya Şafi Ya Şafi Ya Şafi</t>
  </si>
  <si>
    <t>1468292186873778188</t>
  </si>
  <si>
    <t>@drfahrettinkoca Fıkra bu kadar</t>
  </si>
  <si>
    <t>1468292051305648128</t>
  </si>
  <si>
    <t>@drfahrettinkoca 🤣😂🤣</t>
  </si>
  <si>
    <t>1468291678494769153</t>
  </si>
  <si>
    <t>@drfahrettinkoca Hasta olana aşıya gerek yok denildi. Sonra tek doz yeterli denildi. Daha sonra da 2 doz denildi. D… https://t.co/gNQfiYrFfw</t>
  </si>
  <si>
    <t>1468291480561274881</t>
  </si>
  <si>
    <t>@drfahrettinkoca Aşınıda al git!!</t>
  </si>
  <si>
    <t>1468291449527619597</t>
  </si>
  <si>
    <t>@drfahrettinkoca Türkiye de idim. Hatay, Sakarya cenaze haberleri yerel halkdan duyduklarım, ölenler nedenmi öldü?… https://t.co/A8sFyr26c3</t>
  </si>
  <si>
    <t>1468291434147110916</t>
  </si>
  <si>
    <t>@drfahrettinkoca Sayılar öyle demiyor ama. A$i oranı fazla olan illerde hasta/vaka sayısı neden çok fazla? Az çok o… https://t.co/90XTxpUZTK</t>
  </si>
  <si>
    <t>1468290828258975749</t>
  </si>
  <si>
    <t>1468290785678352399</t>
  </si>
  <si>
    <t>@drfahrettinkoca https://t.co/Mpqg5meNVR</t>
  </si>
  <si>
    <t>1468290740673552390</t>
  </si>
  <si>
    <t>@drfahrettinkoca Güvenenler aşı oldu zaten, bizi artık rahat bırak. Zaten sana göre her gün ölüyoruz ya..  Tevbe estafurullah</t>
  </si>
  <si>
    <t>1468290509416407041</t>
  </si>
  <si>
    <t>@drfahrettinkoca #SonHekimgitmeden</t>
  </si>
  <si>
    <t>1468290434170601474</t>
  </si>
  <si>
    <t>@drfahrettinkoca Zamanında alınmayan tedbirlerden sorumlusunuz sayın bakanım</t>
  </si>
  <si>
    <t>1468290382505123843</t>
  </si>
  <si>
    <t>@drfahrettinkoca Biraz haysiyet biraz şeref şart insan oğluna. Bunda zerresi yok</t>
  </si>
  <si>
    <t>1468290360308912137</t>
  </si>
  <si>
    <t>@drfahrettinkoca Aşı sonrası takip sisteminiz var mı sayın bakan? Yan etki ve şikayet verileri tutuluyor mu?</t>
  </si>
  <si>
    <t>1468290259662290955</t>
  </si>
  <si>
    <t>@drfahrettinkoca Utanmadan yalan söylüyorsunuz. Yazık size ve çok yazık bize...</t>
  </si>
  <si>
    <t>1468290158827036673</t>
  </si>
  <si>
    <t>@drfahrettinkoca Her ay atanmaktan bıktık bakanım yeter!</t>
  </si>
  <si>
    <t>1468290138576986125</t>
  </si>
  <si>
    <t>@drfahrettinkoca Şerefin ve birazda onurun varsa istifa et Fahrettin her gün hakaret ve küfür işitmek, nasıl yüzün kizarmiyor Fahrettin..</t>
  </si>
  <si>
    <t>1468290118779867136</t>
  </si>
  <si>
    <t>@drfahrettinkoca Sn.bakan ne kadarı tam aşısız ne kadarı eksik aşılı bu ikisi "veya" denilerek aynı kefeye konulama… https://t.co/6Udyhk7c9d</t>
  </si>
  <si>
    <t>1468289994905243650</t>
  </si>
  <si>
    <t>@drfahrettinkoca Her gün yüzlerce insan mezara giriyor ne güvenmesi bu sayılara mı güveneceğiz</t>
  </si>
  <si>
    <t>1468289962701463578</t>
  </si>
  <si>
    <t>@drfahrettinkoca Sayın bakanımız gerek devlet kurumları gerek özel kurumlar avm ler stadyumlar girişlerinde sadece… https://t.co/LFHx3KVHBe</t>
  </si>
  <si>
    <t>1468289840672395266</t>
  </si>
  <si>
    <t>@drfahrettinkoca Niye maskeyi zorunlu tutmuyorsunuz kimse maske takmıyor</t>
  </si>
  <si>
    <t>1468289780916146179</t>
  </si>
  <si>
    <t>@drfahrettinkoca Kapat okulları</t>
  </si>
  <si>
    <t>1468289310332002306</t>
  </si>
  <si>
    <t>@drfahrettinkoca Lütfen bu kadar duyarsız olmayın 13 aydır atama bekliyoruz klavuz yayınlansın artık</t>
  </si>
  <si>
    <t>1468289067880222723</t>
  </si>
  <si>
    <t>@drfahrettinkoca Sinovac aşısı 2 doz yaptırın bu iş tamam  demiştin. Bundan 10 ay önce. Yalan söylemiştin. Bir kere… https://t.co/gVyAuwUHhI</t>
  </si>
  <si>
    <t>1468288696097062921</t>
  </si>
  <si>
    <t>@drfahrettinkoca https://t.co/jupwxbhp74 ÖJENİK OROSPU ÇOCUĞU PİÇGATES'İN FONLADIĞI medya maymunları 🤣🤣🤣🤣</t>
  </si>
  <si>
    <t>1468288393478090761</t>
  </si>
  <si>
    <t>@drfahrettinkoca Kkkııılllaaavvvuuuzzz</t>
  </si>
  <si>
    <t>1468288291736805376</t>
  </si>
  <si>
    <t>@drfahrettinkoca öğrenciler ölüyor görmüyor musunuz #kabineuzaktaneğitimsart</t>
  </si>
  <si>
    <t>1468288289450962948</t>
  </si>
  <si>
    <t>@drfahrettinkoca Babam kronik koah hastası. 23 kasımda covid-19 testi pozitif çıktı. Bugün 7 Aralık babam karantina… https://t.co/fJHIuffz4s</t>
  </si>
  <si>
    <t>1468288235902222338</t>
  </si>
  <si>
    <t>@drfahrettinkoca Kkııllaavvuuzz</t>
  </si>
  <si>
    <t>1468288228306440203</t>
  </si>
  <si>
    <t>@drfahrettinkoca Kılavuzz</t>
  </si>
  <si>
    <t>1468288196643627008</t>
  </si>
  <si>
    <t>@drfahrettinkoca Kılsvuzz</t>
  </si>
  <si>
    <t>1468288165425430530</t>
  </si>
  <si>
    <t>@drfahrettinkoca Kılavuz.</t>
  </si>
  <si>
    <t>1468288145124954119</t>
  </si>
  <si>
    <t>@drfahrettinkoca Kılavuz Kılavuz Kılavuz</t>
  </si>
  <si>
    <t>1468288120739217416</t>
  </si>
  <si>
    <t>1468288082176843776</t>
  </si>
  <si>
    <t>1468288055698149382</t>
  </si>
  <si>
    <t>@drfahrettinkoca Lan göt herif her gün aynı taboluyu değiştirip değiştirip önümüze çıkarmaktan sıkılmadın mi vizyon… https://t.co/aZt5LpTfjB</t>
  </si>
  <si>
    <t>1468288050010771464</t>
  </si>
  <si>
    <t>@drfahrettinkoca Muayene süresini 2 dakikaya çek, Sağlık çalışanları eylem yapsın ki yönetemediğinden oluyor hep bu… https://t.co/N1Zeg2bWaj</t>
  </si>
  <si>
    <t>1468288040233746439</t>
  </si>
  <si>
    <t>@drfahrettinkoca Ya pardon da her ne hikmetse yurt dışındaki hastanelerde hep aşılılar yatıyor ama yine ne büyük hi… https://t.co/Yk6AEubKUl</t>
  </si>
  <si>
    <t>1468288006872305669</t>
  </si>
  <si>
    <t>@drfahrettinkoca Bengi başer in dediği gibi Mini mini pihticiklar olabilir demi mini mini miyokardit mini mini ölüm… https://t.co/KArE3iaKWN</t>
  </si>
  <si>
    <t>1468287940329717766</t>
  </si>
  <si>
    <t>@drfahrettinkoca Biz virüse yakalanmıyoruz ki 😂😂😂</t>
  </si>
  <si>
    <t>1468287876605661189</t>
  </si>
  <si>
    <t>@drfahrettinkoca Paylasta gorelim</t>
  </si>
  <si>
    <t>1468287849019682822</t>
  </si>
  <si>
    <t>@drfahrettinkoca Kılavuz bekliyoruz  @drfahrettinkoca  @RTErdogan  @OSYMbaskanligi  #CBonaylaKOCAkılavuzuYayımla</t>
  </si>
  <si>
    <t>1468287650822041600</t>
  </si>
  <si>
    <t>@drfahrettinkoca İzmir’deki bir ortaokulda 4 öğretmenin Covid-19 testi pozitif çıktı. Öğretmenlerin yüzlerce öğrenc… https://t.co/0g0FfmZ7aJ</t>
  </si>
  <si>
    <t>1468287304552923136</t>
  </si>
  <si>
    <t>@drfahrettinkoca Fahrettin bey, aşılama böyle giderse ve aşının max. 6 ay koruması olduğu düşünülürse bir kaç ay so… https://t.co/GWQOjMDyuB</t>
  </si>
  <si>
    <t>1468287188890759171</t>
  </si>
  <si>
    <t>@drfahrettinkoca Yakın zamanda Covid 19 dan vefat eden üç biontekli siyasiler için ne diyeceksiniz ,millet vefat ed… https://t.co/W0XZaf1Do4</t>
  </si>
  <si>
    <t>1468287118397120516</t>
  </si>
  <si>
    <t>@drfahrettinkoca Bizden istediğiniz, geride kalan 10 ayın sonuçlarına güvenmemiz için ÖNCELİKLE size güvenmemiz laz… https://t.co/iFymtXFTq1</t>
  </si>
  <si>
    <t>1468287114248966155</t>
  </si>
  <si>
    <t>@drfahrettinkoca Bu maske mesafe önlemini altin kelebek ödülünde yanak yanaga ekranda öpüşenlerede söyleyin lütfen… https://t.co/XfXjr6VNFA</t>
  </si>
  <si>
    <t>1468287009412288519</t>
  </si>
  <si>
    <t>@drfahrettinkoca Önce 2 deney sıvısı ile tam koruma sağlamıyorken şimdi eksik sıvısı olanlar demeye başladı salgın… https://t.co/YlkKCebMCE</t>
  </si>
  <si>
    <t>1468286995474665474</t>
  </si>
  <si>
    <t>@drfahrettinkoca Aşılı olan mı hafif geçiriyor! Nedense etrafımda aşılı olanlar benden daha ağır geçirdi  bu da tes… https://t.co/Nr9qRqF80M</t>
  </si>
  <si>
    <t>1468286939908521989</t>
  </si>
  <si>
    <t>@drfahrettinkoca Akpartiyide Ekonomiyide SağlığıdA Tabanınız olan bizleride Küresel güçlere peşkeş çektiniz. Tam ka… https://t.co/hGJE5BrzuI</t>
  </si>
  <si>
    <t>1468286920702763008</t>
  </si>
  <si>
    <t>@drfahrettinkoca Kesin öyledir aşılar çok işe yaramıştır o yüzden aşı oranı en yüksek olan iller vaka sayılarında d… https://t.co/19R7qiEE7E</t>
  </si>
  <si>
    <t>1468286683665870849</t>
  </si>
  <si>
    <t>@drfahrettinkoca Sayın bakanım burası da geçen hafta kapattığınız Güney Afrika!  Sizde bu sonuçlara güvenin.. https://t.co/cUkKoiuoQg</t>
  </si>
  <si>
    <t>1468286499397455877</t>
  </si>
  <si>
    <t>@drfahrettinkoca Sayın bakan  defalarca yazdım içindeki maddeleri,yan etkilerini ve aşıladıklarınız insanlara imzal… https://t.co/UymsXuifO5</t>
  </si>
  <si>
    <t>1468286473774452740</t>
  </si>
  <si>
    <t>@drfahrettinkoca Aşıları eksik derken 2mi mesala eksik olan daha.kac doz olmalari gerekir 3.yada 5mi her ay limiti… https://t.co/VLnKx3Aoob</t>
  </si>
  <si>
    <t>1468286402546786308</t>
  </si>
  <si>
    <t>@drfahrettinkoca İnşallah iğnesiz şırınga yeni modadır, ben de iğneden korkuyorum yani ikna oldum bu resimden sonra… https://t.co/OOEXRzbcsK</t>
  </si>
  <si>
    <t>1468286400504160258</t>
  </si>
  <si>
    <t>@drfahrettinkoca Güvenmek mi ? 😂😂 Hangi dediğiniz tuttuki size güvenelim 2 sene milleti yanlış tedavi ile yanlış il… https://t.co/qgoE7LfuyT</t>
  </si>
  <si>
    <t>1468286373614567435</t>
  </si>
  <si>
    <t>@drfahrettinkoca Vallahi hala bıraktığım gibi tivitler zerre değişiklik yok kopyala yapıştır mı yapıyo napıo</t>
  </si>
  <si>
    <t>1468286225916350466</t>
  </si>
  <si>
    <t>@drfahrettinkoca Aşı şart. Zorunlu hale getirilmelidir</t>
  </si>
  <si>
    <t>1468286181943164932</t>
  </si>
  <si>
    <t>@drfahrettinkoca https://t.co/69olDVwJgW</t>
  </si>
  <si>
    <t>1468286103404822538</t>
  </si>
  <si>
    <t>@drfahrettinkoca Aşısı tam ne demek?</t>
  </si>
  <si>
    <t>1468286052632862721</t>
  </si>
  <si>
    <t>@drfahrettinkoca Uzaktan eğitim istiyoruz duyun artık sesimizi #kabineuzaktaneğitimsart</t>
  </si>
  <si>
    <t>1468285975717634054</t>
  </si>
  <si>
    <t>@drfahrettinkoca #kabineuzaktaneğitimsart</t>
  </si>
  <si>
    <t>1468285866963578882</t>
  </si>
  <si>
    <t>@drfahrettinkoca Şeytani sistem yıllardır İnsanlara  kendi uydurduğu uygarlık medeniyet adı altında demokrasi denil… https://t.co/WmrvBajotr</t>
  </si>
  <si>
    <t>1468285829982400513</t>
  </si>
  <si>
    <t>@drfahrettinkoca % kaçta toplum bağışıklığı olacak diyordu ünlü prof. heyet üyeleri?</t>
  </si>
  <si>
    <t>1468285768464584711</t>
  </si>
  <si>
    <t>@drfahrettinkoca Boş man.</t>
  </si>
  <si>
    <t>1468285743495794699</t>
  </si>
  <si>
    <t>@drfahrettinkoca Bu aşısızlar bi bitmedi gitti..</t>
  </si>
  <si>
    <t>1468285587358629894</t>
  </si>
  <si>
    <t>@drfahrettinkoca KILAVUZ KILAVUZ KILAVUZ KILAVUZ KILAVUZ KILAVUZ KILAVUZ KILAVUZ KILAVUZ KILAVUZ KILAVUZ KILAVUZ KI… https://t.co/ykNf26133n</t>
  </si>
  <si>
    <t>1468285554622148618</t>
  </si>
  <si>
    <t>@drfahrettinkoca Bakanım yasakları geri getirmeliyiz artık havalar soğudu sınıflar kalabalık bir sınıfta 40 kişiyiz… https://t.co/nAnQ16OfPc</t>
  </si>
  <si>
    <t>1468285537723293704</t>
  </si>
  <si>
    <t>@drfahrettinkoca ŞEYTANİLERİN ZEHRİNDEN UZAK DURUN... https://t.co/Zx8uu8mgNj</t>
  </si>
  <si>
    <t>1468285392474542084</t>
  </si>
  <si>
    <t>@drfahrettinkoca Sayın koca 2017 yılında bir dünya test kiti ithal edilmiş eğer siz kahin değilseniz o zamanda bu k… https://t.co/gvRKpt9i6P</t>
  </si>
  <si>
    <t>1468285235758571521</t>
  </si>
  <si>
    <t>@drfahrettinkoca GRİP AŞISINI VURULAMAYAN İNSANLAR COVİD-19 A ÇOK ÇABUK YAKALANIRLAR. VÜCÜT GÜÇTEN DÜŞMEMELİ.</t>
  </si>
  <si>
    <t>1468284997756932098</t>
  </si>
  <si>
    <t>@drfahrettinkoca GRİP AŞISINI VURULAMAYAN İNSANLAR COVİT 19 A ÇOK ÇABUK YAKALANIRLAR. VÜCÜT GÜÇTEN DÜŞMEMELİ.</t>
  </si>
  <si>
    <t>1468284788708675584</t>
  </si>
  <si>
    <t>@drfahrettinkoca İlk önce 3. Doz konusuyla ,haritayı nasıl kızarmadı bir anlam ne bulamıyorum nede veremiyorum.  Om… https://t.co/iEgQFQ17Zd</t>
  </si>
  <si>
    <t>1468284671817572358</t>
  </si>
  <si>
    <t>@drfahrettinkoca Covit pozitif 3.gun aile hekimimiz halen aramadı. Görüntülü randevu alamıyoruz ne hastanelerden, n… https://t.co/dyNSfJeECQ</t>
  </si>
  <si>
    <t>1468284367600553986</t>
  </si>
  <si>
    <t>@drfahrettinkoca Maşallah günlük 200   200 gidiyor</t>
  </si>
  <si>
    <t>1468284357710331906</t>
  </si>
  <si>
    <t>@drfahrettinkoca Güvenmek mi 😂</t>
  </si>
  <si>
    <t>1468284226541920257</t>
  </si>
  <si>
    <t>@drfahrettinkoca El cevap: Türkiye’nin her yerinde yoğun bakımda yatan kalp hastaları var. Bunların önemli bir kısm… https://t.co/Ydo7szLa6j</t>
  </si>
  <si>
    <t>1468283964892848134</t>
  </si>
  <si>
    <t>@drfahrettinkoca Demek ki Aşılar işe YARAMIYOR Bu millet ucu açık durmadan AŞI mı Olucak    Hiç inandırıcı değilsiniz</t>
  </si>
  <si>
    <t>1468283958332960774</t>
  </si>
  <si>
    <t>@drfahrettinkoca SAYIN BAKAN, 5 11 YAŞA NEDEN AŞILARI TANIMLAMIYORSUNUZ, OKULLARDA ÖNLEM YOK, GELMEYEN ÇOCUĞU DEVAM… https://t.co/1zGzacy0Ln</t>
  </si>
  <si>
    <t>1468283864032456712</t>
  </si>
  <si>
    <t>@drfahrettinkoca sayın bakan.. Bu tür haberler her yerde çıkıyor. Ülkemizde aşıdan kaç kişi öldü? İnsanlar niye hal… https://t.co/HqTc8oZHD7</t>
  </si>
  <si>
    <t>1468283688509411328</t>
  </si>
  <si>
    <t>@drfahrettinkoca 666 ...... bir araya gelse🤬</t>
  </si>
  <si>
    <t>1468283547253358598</t>
  </si>
  <si>
    <t>@drfahrettinkoca Tweet atarak salgın yönetilmez</t>
  </si>
  <si>
    <t>1468283266834870273</t>
  </si>
  <si>
    <t>@drfahrettinkoca 🇹🇷TURKOVAC🇹🇷 İÇİN BAŞVURUMUZU YAPTIK SAYIN BAKANIM @drfahrettinkoca https://t.co/LaByhAGpSp</t>
  </si>
  <si>
    <t>1468283202401980426</t>
  </si>
  <si>
    <t>@drfahrettinkoca AYNEN KARDEŞİM ALMANYA’DA BİZİ KISKANIYOR ZATEN</t>
  </si>
  <si>
    <t>1468283166419042307</t>
  </si>
  <si>
    <t>@drfahrettinkoca Koskoca bakanımızın istatistik bilgisi "önemli bir bölümü" hiç inandırıcı olmadığınız için insanlar aşıdan soğudu...</t>
  </si>
  <si>
    <t>1468282862268911620</t>
  </si>
  <si>
    <t>@drfahrettinkoca laf kıvırma fahrettin kocaa</t>
  </si>
  <si>
    <t>1468282612879876105</t>
  </si>
  <si>
    <t>@drfahrettinkoca Kç doz olunca tam doz oluyor.5-10-15.Kaç doza kadar Türk insanını denek olarak sattınız.Neden koro… https://t.co/6anDkAAthm</t>
  </si>
  <si>
    <t>1468282488887906306</t>
  </si>
  <si>
    <t>@drfahrettinkoca Sayın bakan büyük oranda kavramını rakamlarla ifade eder misiniz? Mesela kaç kişi veya yüzde olara… https://t.co/oFsm5jJOPJ</t>
  </si>
  <si>
    <t>1468282361011974152</t>
  </si>
  <si>
    <t>@drfahrettinkoca Yine baslamış aşı diye.Önce bu vaka ve vefat sayıları içinde kaçı çocuk onu açıklayın.Yalan dolanl… https://t.co/WF8OfHYXGG</t>
  </si>
  <si>
    <t>1468282271388127232</t>
  </si>
  <si>
    <t>@drfahrettinkoca https://t.co/ThAWPs1lBg</t>
  </si>
  <si>
    <t>1468282225124855810</t>
  </si>
  <si>
    <t>@drfahrettinkoca Assi olupta hastalığı ağır geçirdiğini söyleyen bir çok tweet görüyorum.</t>
  </si>
  <si>
    <t>1468282183009947651</t>
  </si>
  <si>
    <t>@drfahrettinkoca Bugün kaç adet mini mini pıhtılar oldu acaba?</t>
  </si>
  <si>
    <t>1468282068526370817</t>
  </si>
  <si>
    <t>1468281995293777944</t>
  </si>
  <si>
    <t>@drfahrettinkoca Kılavuz ?</t>
  </si>
  <si>
    <t>1468281859171921921</t>
  </si>
  <si>
    <t>@drfahrettinkoca Sizi atamadan alıkoyan nedir sayın @RTErdogan @drfahrettinkoca #CBonaylaKOCAkılavuzuYayımla</t>
  </si>
  <si>
    <t>1468281849352970241</t>
  </si>
  <si>
    <t>1468281768272965632</t>
  </si>
  <si>
    <t>1468281731467857928</t>
  </si>
  <si>
    <t>@drfahrettinkoca Bıktık artık duyun sesimizi lütfen Atama istiyoruz</t>
  </si>
  <si>
    <t>1468281653755842569</t>
  </si>
  <si>
    <t>@drfahrettinkoca Geride kalan 10 ayın sonuçlarını bir açıklasan güvenirlik belki. Gerçi artık açıklayacağın veriye… https://t.co/xghjNtkja4</t>
  </si>
  <si>
    <t>1468281307738353672</t>
  </si>
  <si>
    <t>@drfahrettinkoca Niye kan alma kapalı bugun</t>
  </si>
  <si>
    <t>1468281043073523715</t>
  </si>
  <si>
    <t>@drfahrettinkoca Kılavuz unutuldu beklemekten ve belirsizlikten bıktık</t>
  </si>
  <si>
    <t>1468281042733838352</t>
  </si>
  <si>
    <t>@drfahrettinkoca Allah aşkına yeter artık yayımlayın kılavuzu hayatımız durma noktasında. Her şeyini bu alıma bağlayan binlerce genç var</t>
  </si>
  <si>
    <t>1468281031388192780</t>
  </si>
  <si>
    <t>@drfahrettinkoca Yahu yeter ya hergün aynı terane isteyen yaptırır istemeyen yaptırmaz</t>
  </si>
  <si>
    <t>1468280863217659909</t>
  </si>
  <si>
    <t>@drfahrettinkoca Vakaların en yüksek olduğu şehirlerin mavi olması konusunda fikriniz ne peki? @drfahrettinkoca</t>
  </si>
  <si>
    <t>1468280632396689414</t>
  </si>
  <si>
    <t>@drfahrettinkoca Aşılarımızı yaptıralım lütfen</t>
  </si>
  <si>
    <t>1468280472723730436</t>
  </si>
  <si>
    <t>@drfahrettinkoca Dürüstçe hepinizi aşıladık ama hiçbir işe yaramadı diyecek dürüstlüğü beklemiyoruz artık sizden…pc… https://t.co/Gm4zfaNcTw</t>
  </si>
  <si>
    <t>1468280364095389701</t>
  </si>
  <si>
    <t>@drfahrettinkoca Sayın bakanım aşı güvenli ise aşıdan önce imza attırmayın.</t>
  </si>
  <si>
    <t>1468280197149609984</t>
  </si>
  <si>
    <t>@drfahrettinkoca YALAN</t>
  </si>
  <si>
    <t>1468279579794153476</t>
  </si>
  <si>
    <t>@drfahrettinkoca Ben aşı olmadan iki gün baş ağrısı dışında hiçbir şey hissetmeden atlattım bunu biri bana izah etse ya</t>
  </si>
  <si>
    <t>1468279399136907264</t>
  </si>
  <si>
    <t>@drfahrettinkoca Avrupa,ABD bile 5-12 yaş grubunu aşılamaya başlamışken,bizim çocuklar okuldan göz göre göre enfekt… https://t.co/tKBsZRVZZj</t>
  </si>
  <si>
    <t>1468279150679105537</t>
  </si>
  <si>
    <t>@drfahrettinkoca Önemli bir bölüm ,Büyük oran ..Rakamlarla konuşun sayın bakan..</t>
  </si>
  <si>
    <t>1468279050292633606</t>
  </si>
  <si>
    <t>@drfahrettinkoca #sonhekimgitmeden ....</t>
  </si>
  <si>
    <t>1468279049931956224</t>
  </si>
  <si>
    <t>@drfahrettinkoca Tam tersi olmasın. Artık yemiyoruz!</t>
  </si>
  <si>
    <t>1468279027588907010</t>
  </si>
  <si>
    <t>@drfahrettinkoca Ağam bizimle eğleniyir</t>
  </si>
  <si>
    <t>1468278977764679682</t>
  </si>
  <si>
    <t>@drfahrettinkoca Sayın Bakan, 5-11 yaş aralığında  kronik hastalığı olan çocuklarımıza aşı hakkı tanımayı hala plan… https://t.co/sa0qKgP0AT</t>
  </si>
  <si>
    <t>1468278859900592128</t>
  </si>
  <si>
    <t>@drfahrettinkoca Aşı yapanların teker teker ölmeye başladı etkisini yeni gösteriyor ve medya hiç bir kurum haberler… https://t.co/7YYALO9AJh</t>
  </si>
  <si>
    <t>1468278805290754055</t>
  </si>
  <si>
    <t>@drfahrettinkoca Ne sonuçlara ne sizin yalan tablonuza güvenimiz kalmadı aşıya zaten yok ve bunun suçlusu biz değil… https://t.co/zdgDAVmYhm</t>
  </si>
  <si>
    <t>1468278718195847171</t>
  </si>
  <si>
    <t>@drfahrettinkoca Bıktık artık kılavuz dilenmekten</t>
  </si>
  <si>
    <t>1468278702534541314</t>
  </si>
  <si>
    <t>@drfahrettinkoca Ee kılavuz?</t>
  </si>
  <si>
    <t>1468278628819611650</t>
  </si>
  <si>
    <t>@drfahrettinkoca Halam 3 doz aşılı idi, covid pozitif oldu, ufak semptomlar gösterirken, kontrol amaçlı hastaneye g… https://t.co/qPCfvyLsf2</t>
  </si>
  <si>
    <t>1468278597676900353</t>
  </si>
  <si>
    <t>@drfahrettinkoca Aşı ve verilen ilaçları kullanmadan bu hastalığı çok çok hafif atlatıyor lar ama aşı sonrası çok f… https://t.co/1tZCzbQKe9</t>
  </si>
  <si>
    <t>1468278578446061569</t>
  </si>
  <si>
    <t>@drfahrettinkoca Yazdım yazdım sildim... Kalp krizi , beyine pıhtı olayları artıyor ne aşısı....</t>
  </si>
  <si>
    <t>1468278522066182152</t>
  </si>
  <si>
    <t>@drfahrettinkoca İkinci doz oranı olmuş %80, siz hâlâ birşeyler konuşuyorsunuz. 5. Dozun %90'lık oranını görsek son… https://t.co/6jQ0EFVdVJ</t>
  </si>
  <si>
    <t>1468278471789092872</t>
  </si>
  <si>
    <t>@drfahrettinkoca Sağlığımız nerde ? #kabineuzaktaneğitimsart</t>
  </si>
  <si>
    <t>1468278119350083591</t>
  </si>
  <si>
    <t>@drfahrettinkoca Allah aşkına şu söylediklerini açık açık isim isim söyleyin ki toplumun size güveni gelsin. Toplum… https://t.co/z0I7Orzzuj</t>
  </si>
  <si>
    <t>1468278035300372481</t>
  </si>
  <si>
    <t>@drfahrettinkoca Son 10 aylık sonuçlar  Önce: Sinovac hastaneye yatışı engeller Sonra: sinovac çöp  Önce: biontek i… https://t.co/Nzg18BeoJH</t>
  </si>
  <si>
    <t>1468277924684050446</t>
  </si>
  <si>
    <t>@drfahrettinkoca Sayın bakanım ben 4 aydık bagcılar ağız ve dişten randevü alamıyorum bu hasta  ne işe yatıyor</t>
  </si>
  <si>
    <t>1468277817196650496</t>
  </si>
  <si>
    <t>1468277734216544261</t>
  </si>
  <si>
    <t>@drfahrettinkoca Oha ananasını</t>
  </si>
  <si>
    <t>1468277668852416522</t>
  </si>
  <si>
    <t>@drfahrettinkoca O zaman vaka ve ölümlerin aşılı aşısız oranını da yazın, daha inandırıcı olsun.</t>
  </si>
  <si>
    <t>1468277410781138944</t>
  </si>
  <si>
    <t>@drfahrettinkoca KILAVUZA NE OLDU</t>
  </si>
  <si>
    <t>1468276995427549184</t>
  </si>
  <si>
    <t>@drfahrettinkoca Valla ben korona oldum eşim ile beraber kronik rahatsızlıklarım var ve biz aşı yaptırmadık ve hafif atlattık Allah'a şükür.</t>
  </si>
  <si>
    <t>1468276968625954820</t>
  </si>
  <si>
    <t>@drfahrettinkoca Huzurevlerinde binlerce yasli etkisi kalmamis 2 sinovac+1 doz biontech ile yetiniyorlar.2. doz bio… https://t.co/LeIP8isoTe</t>
  </si>
  <si>
    <t>1468276888145645573</t>
  </si>
  <si>
    <t>@drfahrettinkoca Yıl başında 3 günlük sokağa çıkma yasağı hayırlı olsun #ölüyoruz #tamkapanma</t>
  </si>
  <si>
    <t>1468276857812492290</t>
  </si>
  <si>
    <t>@drfahrettinkoca Bir yıl oldu geçiyor bir ay önce 40 bin sayısı verdiniz ama belirlenen sayılar ve kılavuz ısrarla… https://t.co/7HqX1oMgM9</t>
  </si>
  <si>
    <t>1468276842826285065</t>
  </si>
  <si>
    <t>@drfahrettinkoca Size güvenmek mi asla....</t>
  </si>
  <si>
    <t>1468276815093452804</t>
  </si>
  <si>
    <t>@drfahrettinkoca Sonuçlara bakınca aşıdan sonra hayatı kararanları neden konuşmuyoruz</t>
  </si>
  <si>
    <t>1468276642728624134</t>
  </si>
  <si>
    <t>@drfahrettinkoca Siz bu firmadan milyon doz aşı almadınız mı? Niz neyiz sayın bakan? https://t.co/Xm4wrZt7dy</t>
  </si>
  <si>
    <t>1468276178477887489</t>
  </si>
  <si>
    <t>@drfahrettinkoca https://t.co/SoicNXiEF0</t>
  </si>
  <si>
    <t>1468276019681452034</t>
  </si>
  <si>
    <t>@drfahrettinkoca KILAVUZU YAYINLAYIN BİR YILDIR BEKLİYORUZ SABRIMIZ TÜKENDİ  #CBonaylaKOCAkılavuzuYayımla</t>
  </si>
  <si>
    <t>1468275918070329346</t>
  </si>
  <si>
    <t>@drfahrettinkoca 👀👀</t>
  </si>
  <si>
    <t>1468275854136512517</t>
  </si>
  <si>
    <t>@drfahrettinkoca Dünya yansa umrunda değil lafı sizin için söylenmiş bakanım biz ne diyoruz siz napıyosunuz @drfahrettinkoca</t>
  </si>
  <si>
    <t>1468275722443759622</t>
  </si>
  <si>
    <t>@drfahrettinkoca MART NİSAN MAYIS Aylarında çift doz aşılarını olmuş herkes Aralık ayı itibarı ile AŞISIZSINIZ 3.do… https://t.co/aMjaZ5JaDq</t>
  </si>
  <si>
    <t>1468275704118841344</t>
  </si>
  <si>
    <t>@drfahrettinkoca Sen doğumu ölümü yaradana güvenme git aşıya güven neymiş tedbir tedbir dediğin içinde ne olduğu bi… https://t.co/4wtgtN6iV8</t>
  </si>
  <si>
    <t>1468275682816012288</t>
  </si>
  <si>
    <t>@drfahrettinkoca Çocuklar hakkında bir cümle dahi kuramıyorsunuz bu kadar mı önemsizler?Neyin hesabını yapıyorsunuz… https://t.co/avJnCwzQH7</t>
  </si>
  <si>
    <t>1468275680802705408</t>
  </si>
  <si>
    <t>@drfahrettinkoca ELİNİZDE VERİLERİN OLDUĞUNUMU İDDİA EDİYORSUNUZ?  KOMİKSİNİZ.</t>
  </si>
  <si>
    <t>1468275583012454406</t>
  </si>
  <si>
    <t>@drfahrettinkoca Geçen senenin asemptomatik vakaları şimdinin asili hafif seyreden vakaları geç bunlari Fahrettin asi bir sike yaramıyor</t>
  </si>
  <si>
    <t>1468275384563253261</t>
  </si>
  <si>
    <t>@drfahrettinkoca Bakanım atamalarla ilgili bir twit atsanız çok guzel olacak.</t>
  </si>
  <si>
    <t>1468274752318058497</t>
  </si>
  <si>
    <t>@drfahrettinkoca Aşısızlardan biri olarak ve çevremdeki aşısızlara baktığımda, nasıl bir yalanın ortasında olduğumu… https://t.co/7LSOXUV05c</t>
  </si>
  <si>
    <t>1468274725432573960</t>
  </si>
  <si>
    <t>@drfahrettinkoca Bugün aşıları tam olan hiçbir rahatsızlığı olmayan 3 kişinin vefatını öğrendim :((( hani hep aşısız ve eksik aşılılardı:(((</t>
  </si>
  <si>
    <t>1468274715181596673</t>
  </si>
  <si>
    <t>@drfahrettinkoca ne kadar aşı okadar ölüm</t>
  </si>
  <si>
    <t>1468274643517726720</t>
  </si>
  <si>
    <t>@drfahrettinkoca Büyük oran derken oran neden vermiyorsunuz bakanım %51 de büyük oran %99 da hangisi net konuşmaktan neden kaçınıyor sunuz</t>
  </si>
  <si>
    <t>1468274618205147139</t>
  </si>
  <si>
    <t>@drfahrettinkoca SANAMI? GÜVENMEKMİ? 🤣🤣🤣</t>
  </si>
  <si>
    <t>1468274588807225344</t>
  </si>
  <si>
    <t>@drfahrettinkoca Günlerdir burda kılavuz ilan diye canımız çıktı ama siz hâla tek kelime etmeyip aşıydı varyanttı t… https://t.co/VVDsgcyekP</t>
  </si>
  <si>
    <t>1468274570809520133</t>
  </si>
  <si>
    <t>@drfahrettinkoca Sağlık bakanı değılsiniz  bağışıklık sistemi ÇÖKTÜ tabiki alım gücü düştü hastaneler doluptaşar. M… https://t.co/xmjV1WXQE6</t>
  </si>
  <si>
    <t>1468274369566846978</t>
  </si>
  <si>
    <t>@drfahrettinkoca Bireysel de algılayın ama hükümetinizin açıkladığı hiçbirşey bana inandırıcı gelmiyor</t>
  </si>
  <si>
    <t>1468274334342991878</t>
  </si>
  <si>
    <t>@drfahrettinkoca Allah sizin belanızı versin milletin psikolojisini bozdunuz güzelim ülkeyi ne hale getirdiniz hırsız pislikler</t>
  </si>
  <si>
    <t>1468273889977450503</t>
  </si>
  <si>
    <t>@drfahrettinkoca Aşı olan binlerce kişinin ölmesi de tesadüf olamaz değil mi bakan !</t>
  </si>
  <si>
    <t>1468273824118493187</t>
  </si>
  <si>
    <t>@drfahrettinkoca Osmaniye 😳 aşı yüzde kac olmuş ama vakası uçmuş ilginç 😌</t>
  </si>
  <si>
    <t>1468273804002607108</t>
  </si>
  <si>
    <t>@drfahrettinkoca @drfahrettinkoca #CBonaylaKOCAkılavuzuYayımla</t>
  </si>
  <si>
    <t>1468273617771372557</t>
  </si>
  <si>
    <t>@drfahrettinkoca Ben hiç aşı olmadım 2 hafta önce korona çıktı pcr olduğumda hayatima devam ettim hicbirsey olmamis… https://t.co/4q3d9rnPgN</t>
  </si>
  <si>
    <t>1468273565770432512</t>
  </si>
  <si>
    <t>@drfahrettinkoca Hoca aylardır soruyoruz cevap vermiyorsun. Asisiz ve aşısı yarım olanlari bir arada sayacagina ayr… https://t.co/OlspujC4bS</t>
  </si>
  <si>
    <t>1468273480978288640</t>
  </si>
  <si>
    <t>@drfahrettinkoca #CBonaylaKOCAkılavuzuYayımla kılavuzu istiyoruz</t>
  </si>
  <si>
    <t>1468273434215993349</t>
  </si>
  <si>
    <t>@drfahrettinkoca Gençliğimize yazık oluyor sayın bakanım @drfahrettinkoca #CBonaylaKOCAkılavuzuYayımla</t>
  </si>
  <si>
    <t>1468273428922785794</t>
  </si>
  <si>
    <t>@drfahrettinkoca 59 YAŞINDAYIM EKSİK AŞIMI TAMAMLAMAK İSTİYORUM RANDEVU ALAMIYORUM SİSTEM “AŞI HAKKINIZ TAMAMLANMIŞ… https://t.co/MlunQrc3n3</t>
  </si>
  <si>
    <t>1468273424325922821</t>
  </si>
  <si>
    <t>@drfahrettinkoca Kayın peder 1 haftadır yoğun bakımda 2 tane aşısı da var, hem biz köpekmiyiz aşıları tam eksik bil… https://t.co/1RTM3sQN97</t>
  </si>
  <si>
    <t>1468273390398152707</t>
  </si>
  <si>
    <t>@drfahrettinkoca Recep Tayyip Erdoğan'ı bitireceksin bu gidişle. Helal olsun... KK ve avanesi sizin kadar zarar veremedi Cumhurbaşkanına.</t>
  </si>
  <si>
    <t>1468273302854680586</t>
  </si>
  <si>
    <t>@drfahrettinkoca Artık bizlere kulak verin rica ediyoruz sizlerden geçen sene ki eğitim sisteminden kim zarar görmü… https://t.co/S7BQXx4jvf</t>
  </si>
  <si>
    <t>1468273279815278597</t>
  </si>
  <si>
    <t>@drfahrettinkoca Duymak istediğimiz aşı korona değil, ATAMA KILAVUZ. @drfahrettinkoca  #CBonaylaKOCAkılavuzuYayımla</t>
  </si>
  <si>
    <t>1468273172206301184</t>
  </si>
  <si>
    <t>@drfahrettinkoca Her şeyimizi erteledik belki atanırız diye 1 yıldır erteleye erteleye bi hal olduk SAYIN BAKANIM s… https://t.co/Bo89aRDtrr</t>
  </si>
  <si>
    <t>1468273105936211977</t>
  </si>
  <si>
    <t>@drfahrettinkoca Bu hafta bitmeden kılavuz açıklanır. Nerden biliyorum derseniz. Bir ay önce Kılıçdaroğlu atamalar… https://t.co/guPR0Mtskx</t>
  </si>
  <si>
    <t>1468272994443218946</t>
  </si>
  <si>
    <t>@drfahrettinkoca Klavuz neden gelmiyor ? Sorun ne? Neden bekledigimiz bilmek hakkımız. @drfahrettinkoca</t>
  </si>
  <si>
    <t>1468272894589521922</t>
  </si>
  <si>
    <t>@drfahrettinkoca O kadar yorulduk ki artık bunu göremiyorsunuz her konuda vahim haldeyiz her ülke dünyanın bu kadar… https://t.co/IM4x5uaTQS</t>
  </si>
  <si>
    <t>1468272860632338432</t>
  </si>
  <si>
    <t>@drfahrettinkoca 22 bin vakami yoksa 19 bin mi sabitle  artık</t>
  </si>
  <si>
    <t>1468272741421826049</t>
  </si>
  <si>
    <t>@drfahrettinkoca Bakan bey artık şu aşılaran bi kafanızı kaldırsanız da dışarı bi baksanız... hekim dışı sağlık çal… https://t.co/ukbaNPl4qX</t>
  </si>
  <si>
    <t>1468272531190829062</t>
  </si>
  <si>
    <t>@drfahrettinkoca Tabii tesadüf değil ama herkes pandemi bitmiş gibi davranırsa ve buna önlem alınmazsa vaka sayılar… https://t.co/7HgvtRyDoG</t>
  </si>
  <si>
    <t>1468272329272836101</t>
  </si>
  <si>
    <t>@drfahrettinkoca #BANAYAKLAŞMA Kapımı çalıp durma COVİD Açmam!Ben ölecek adam değilim,Çalmadım,YETİM HAKKI ,HARAM y… https://t.co/obBt9TBN7l</t>
  </si>
  <si>
    <t>1468272286042136576</t>
  </si>
  <si>
    <t>@drfahrettinkoca Havalar çok soğuk özellikle şehri dışında yaşayan üniversite öğrencileri çok zor durumda online eğitime geçelim !</t>
  </si>
  <si>
    <t>1468272223345692674</t>
  </si>
  <si>
    <t>@drfahrettinkoca Sayin Bakanim Millet yalan ve algilara güvenmiyor artik</t>
  </si>
  <si>
    <t>1468272209688940548</t>
  </si>
  <si>
    <t>@drfahrettinkoca Siz milletinizin sesini duymuyorsunuz ki aşı aşı diyorsunuz hep bakanım virüsleri ciddi diyorsunuz… https://t.co/MohFFhzyO8</t>
  </si>
  <si>
    <t>1468272072862355463</t>
  </si>
  <si>
    <t>@drfahrettinkoca Sayın Fahrettin bey Mahmut bey çocukların gençlerin hayatını tehlikeye atmaktan başka bir amacınız… https://t.co/Ki3la6Tuva</t>
  </si>
  <si>
    <t>1468271984115081230</t>
  </si>
  <si>
    <t>@drfahrettinkoca Bakan bey tam aşılı olmak için kaç doz aşı olmak gerekiyor ?</t>
  </si>
  <si>
    <t>1468271832109301768</t>
  </si>
  <si>
    <t>@drfahrettinkoca Geride kalan 13 aydır sizden atama bekleyenler var</t>
  </si>
  <si>
    <t>1468271234060361728</t>
  </si>
  <si>
    <t>@drfahrettinkoca Klavuz ne zaman yayınlanacak ?</t>
  </si>
  <si>
    <t>1468271224186937344</t>
  </si>
  <si>
    <t>@drfahrettinkoca https://t.co/7k6hOpaTNr</t>
  </si>
  <si>
    <t>1468271132348489735</t>
  </si>
  <si>
    <t>1468271095707058178</t>
  </si>
  <si>
    <t>@drfahrettinkoca Bin vaka altına düşmeden okulları açmazdınız hani?</t>
  </si>
  <si>
    <t>1468271079164682245</t>
  </si>
  <si>
    <t>@drfahrettinkoca @antalyaism Ne kadar UMUTLANMIŞTIK günde 1  MİLYON,hatta çok DAHA FAZLA aşı yapma gücü olan FEDAKA… https://t.co/1IuCkg96ZE</t>
  </si>
  <si>
    <t>1468270929318981634</t>
  </si>
  <si>
    <t>@drfahrettinkoca Kılavuzun yayımlanmasını rica ediyoruz #CBonaylaKOCAkılavuzuYayımla</t>
  </si>
  <si>
    <t>1468270872347750407</t>
  </si>
  <si>
    <t>@drfahrettinkoca Sn Bakanım keşke verileri paylaşsanız haftalık, oğun bakım yatanların kaçı aşılı kaçı aşısız, kaç… https://t.co/APPTMDcOzS</t>
  </si>
  <si>
    <t>1468270849375584258</t>
  </si>
  <si>
    <t>@drfahrettinkoca Twit atmakla olmuyor bakanlık. Aşı üreten angutlar neden sorumluluk almıyor, faz 3 bitmemiş aşılar… https://t.co/XKcW3GSz6V</t>
  </si>
  <si>
    <t>1468270771059503110</t>
  </si>
  <si>
    <t>@drfahrettinkoca Bakanim sağlikçiların kılavuzunu yayimlasalar artık yorulduk dil dökmekten😶 #CBonaylaKOCAkılavuzuYayımla</t>
  </si>
  <si>
    <t>1468270631519232000</t>
  </si>
  <si>
    <t>@drfahrettinkoca Aşılı olup ölenlerden neden bahsetmiyorsunuz? Aşı güzellemesi bi yana her gün covidden ölenler var… https://t.co/4ch8X63CCC</t>
  </si>
  <si>
    <t>1468270531761876992</t>
  </si>
  <si>
    <t>@drfahrettinkoca Bu kadar cabaya emeğe neden karşılık verilmiyor anlamıyorum net bi açıklama yapmak kılavuz yayınla… https://t.co/Q6eIVsDyd3</t>
  </si>
  <si>
    <t>1468270481967099907</t>
  </si>
  <si>
    <t>@drfahrettinkoca Ahahahaha güven cümlesini kullanmasanizmi acaba assjsjsjsjs komik duruyor sizde . .</t>
  </si>
  <si>
    <t>1468270411897053189</t>
  </si>
  <si>
    <t>@drfahrettinkoca 50 yaşında akrabam rahmete erdi sizin sıvılar yüzünden yatcak yeriniz yok katlettiniz herkesi o in… https://t.co/HBdCoWHOdd</t>
  </si>
  <si>
    <t>1468270371346522116</t>
  </si>
  <si>
    <t>@drfahrettinkoca Haftada ortalama 1500 can gidiyor daha ne olması lazım TEDBİR ALINMASI İÇİN ?</t>
  </si>
  <si>
    <t>1468270186964955145</t>
  </si>
  <si>
    <t>@drfahrettinkoca Önce 1 aşı denildi, bu 2'ye çıktı. Zaten iki doz aşı da yetmedi, adına hatırlatma dozu denilerek 3… https://t.co/rR4luwPX4W</t>
  </si>
  <si>
    <t>1468270005389336582</t>
  </si>
  <si>
    <t>@drfahrettinkoca 3 doz aşılı zaten 12 milyon. Yani yüzde 15 civarı. Tabiki çoğunluğu aşısız ve eksik aşılı olucak.… https://t.co/0s3pFfh5ri</t>
  </si>
  <si>
    <t>1468269964729716749</t>
  </si>
  <si>
    <t>@drfahrettinkoca Bakanım kılavuzu bekliyoruz</t>
  </si>
  <si>
    <t>1468269903501266954</t>
  </si>
  <si>
    <t>@drfahrettinkoca Güvendiğimiz için size güvenmiyoruz zaten. Azad edin artık.</t>
  </si>
  <si>
    <t>1468269861264674826</t>
  </si>
  <si>
    <t>@drfahrettinkoca Sonuçları ayrıntılı olarak halkla paylaşın. Bizler karar verelim...</t>
  </si>
  <si>
    <t>1468269822253350917</t>
  </si>
  <si>
    <t>@drfahrettinkoca pıhtı istemiyorum</t>
  </si>
  <si>
    <t>1468269802150154241</t>
  </si>
  <si>
    <t>@drfahrettinkoca Sayın koca bu dediklerinize inanmıyorum.  Siz istifa edin.</t>
  </si>
  <si>
    <t>1468269755601670145</t>
  </si>
  <si>
    <t>@drfahrettinkoca Buna kim inanır kadir inanır 😬</t>
  </si>
  <si>
    <t>1468269471412457484</t>
  </si>
  <si>
    <t>@drfahrettinkoca @saglikbakanligi Söylediklerine harfiyen uyarsak RABBİMİZ ŞİFA VERİCEK İNŞALLAH TÜM HASTA KULLARINA AMİN...</t>
  </si>
  <si>
    <t>1468269436469665792</t>
  </si>
  <si>
    <t>@drfahrettinkoca Sayın bakanım atama ne durumda 2-3 ay içinde dediniz deredeyse 5 ay oldu sayın bakanım Kasım ayı i… https://t.co/rrY8mWE3Cw</t>
  </si>
  <si>
    <t>1468269302667223047</t>
  </si>
  <si>
    <t>@drfahrettinkoca istifa et artık</t>
  </si>
  <si>
    <t>1468269268836007937</t>
  </si>
  <si>
    <t>@drfahrettinkoca https://t.co/Iam4H8TMKp</t>
  </si>
  <si>
    <t>1468269246283239432</t>
  </si>
  <si>
    <t>@drfahrettinkoca https://t.co/gE3wpWQX80</t>
  </si>
  <si>
    <t>1468269188385062917</t>
  </si>
  <si>
    <t>@drfahrettinkoca 5-11 yaş çocuklarımız aşı sırasını bekliyor.</t>
  </si>
  <si>
    <t>1468269024379346948</t>
  </si>
  <si>
    <t>@drfahrettinkoca Atama yapmayacaksınız beklemeyin diyebilirsiniz. Gençlerin tüm hevesini kırdıktan sonra bir anlamı kalmayacak</t>
  </si>
  <si>
    <t>1468269010198441988</t>
  </si>
  <si>
    <t>@drfahrettinkoca Belkide günlük paylaştığınız için önemsiz gözüküyor bu rakamlar size, haftalık veya aylık toplam r… https://t.co/QeWl8Fk3Wn</t>
  </si>
  <si>
    <t>1468269004640989184</t>
  </si>
  <si>
    <t>@drfahrettinkoca Hey gidi günler hey!!! İki sene öncesine kadar hep gripten dolardı o yoğun bakımlar.  Şimdi Omicro… https://t.co/5Wl8Tl4Gu7</t>
  </si>
  <si>
    <t>1468268956112850950</t>
  </si>
  <si>
    <t>@drfahrettinkoca Yok, sizin sağlık bakanı olmanızda tesadüf değil. Bunu herkes biliyor artık</t>
  </si>
  <si>
    <t>1468268936324165634</t>
  </si>
  <si>
    <t>@drfahrettinkoca Madem iddia ediyosunuz ispat edin. Hastaların ne kadarı kaç doz aşılı ve aşısız onu açıklayın.</t>
  </si>
  <si>
    <t>1468268906573963278</t>
  </si>
  <si>
    <t>@drfahrettinkoca Sayin bakan bizi duyuyor musunuz merak ediyorum  bizi duymuyor duymazdan geliyorsunuz simdi biz ne… https://t.co/qQ3i4DkvV1</t>
  </si>
  <si>
    <t>1468268842715652096</t>
  </si>
  <si>
    <t>@drfahrettinkoca Birkaç sözcüğünde kayboldu gençliğimiz, atamamız, kılavuzumuz, umutlarımız sahi neydi o birkaç #CBonaylaKOCAklavuzuyayımla</t>
  </si>
  <si>
    <t>1468268712633507841</t>
  </si>
  <si>
    <t>@drfahrettinkoca #BilBakalım neden ailemden ayrıyım Bakanım 696'lı 4D'li işçilerin 375 sayılı KHK’nın 23. ve 24. ma… https://t.co/WzafQmN5aZ</t>
  </si>
  <si>
    <t>1468268651409252361</t>
  </si>
  <si>
    <t>@drfahrettinkoca Kasım ayı içinde açıklanacak ama açıklamıyor #CBonaylaKOCAkılavuzuYayımla</t>
  </si>
  <si>
    <t>1468268468114006017</t>
  </si>
  <si>
    <t>@drfahrettinkoca Kılavuuuuzz</t>
  </si>
  <si>
    <t>1468268413139177478</t>
  </si>
  <si>
    <t>@drfahrettinkoca Kılavuz açıklanmalı!!!</t>
  </si>
  <si>
    <t>1468268398752718851</t>
  </si>
  <si>
    <t>@drfahrettinkoca Okullarda maske takılmıyo virüs çıksa bile en az 2 tane virüslü olması gerekiyo diyolar kurallar b… https://t.co/Pf9RW6FjV6</t>
  </si>
  <si>
    <t>1468268348991488006</t>
  </si>
  <si>
    <t>@drfahrettinkoca Uzamayacak ama uzuyor #CBonaylaKOCAkılavuzuYayımla</t>
  </si>
  <si>
    <t>1468268284961247237</t>
  </si>
  <si>
    <t>@drfahrettinkoca Şu an üç tane yakın akrabam 3 dozlu hepsi c19 hani bu sıvılar koruyordu</t>
  </si>
  <si>
    <t>1468268234432516100</t>
  </si>
  <si>
    <t>@drfahrettinkoca Güvenin demekle de güvenilir olunmuyor ki kılavuz da kasım ayında geliyordu?</t>
  </si>
  <si>
    <t>1468268221564342273</t>
  </si>
  <si>
    <t>@drfahrettinkoca Haklılar ama atama yapmıyorum #CBonaylaKOCAkılavuzuYayımla</t>
  </si>
  <si>
    <t>1468268173657055236</t>
  </si>
  <si>
    <t>@drfahrettinkoca Sayı açıklayıp kılavuz yayınlamak hiç tesadüf değil.  Sağlıkçıyı,sizi muhalefete şikayet edecek du… https://t.co/15MarrjHH0</t>
  </si>
  <si>
    <t>1468268118942175234</t>
  </si>
  <si>
    <t>@drfahrettinkoca Size güvenmek mi asla ve katha</t>
  </si>
  <si>
    <t>1468268099816370182</t>
  </si>
  <si>
    <t>@drfahrettinkoca Ne kadar çelişiyor yazılarınız.  Aşılama oranı en yüksek ikinci il Osmaniye, Corona sayısı ve ölüm… https://t.co/tqSqneTkGL</t>
  </si>
  <si>
    <t>1468267932627222538</t>
  </si>
  <si>
    <t>@drfahrettinkoca Twitter öyle bir şey değil bakanım ben tweetimi atayım yorumları görmüyormuş gibi yapayım olmuyor</t>
  </si>
  <si>
    <t>1468267676262965250</t>
  </si>
  <si>
    <t>@drfahrettinkoca 5-11 yaş arası çocuklarımıza ya aşı istiyoruz ya da #OnlineEğitimGerekli #onlineEgitimTalepEdiyoruz</t>
  </si>
  <si>
    <t>1468267652518928392</t>
  </si>
  <si>
    <t>@drfahrettinkoca 3. Doz uygulamasını başlattık demiştiniz ? Biontech 3. Doz u bekliyoruz  bir kere de sözünüzü tutun yahu !</t>
  </si>
  <si>
    <t>1468267559682289668</t>
  </si>
  <si>
    <t>@drfahrettinkoca Benim teyzem ve eşi aşı olduğu halde hastalığa yakalandılar bu bilimsel olarak açıklanabilirmi aşı… https://t.co/OEWyam7QYl</t>
  </si>
  <si>
    <t>1468267550458982402</t>
  </si>
  <si>
    <t>@drfahrettinkoca Peki bu kalp krizinden ölenlere ne diyeceksiniz sayın bakan? Onlar da mı așısız?</t>
  </si>
  <si>
    <t>1468267520713011201</t>
  </si>
  <si>
    <t>@drfahrettinkoca Artık sus artık istifa #kabineuzaktaneğitimşart  @tcmeb @drfahrettinkoca  Annelerin ahını almaya d… https://t.co/0BlCkefBmm</t>
  </si>
  <si>
    <t>1468267507156979721</t>
  </si>
  <si>
    <t>@drfahrettinkoca Kılavuz Kılavuz Kılavuz Kılavuz Kılavuz Kılavuz Kılavuz Kılavuz Kılavuz Kılavuz Kılavuz Kılavuz Kı… https://t.co/TFuCBFvSzo</t>
  </si>
  <si>
    <t>1468267476102393860</t>
  </si>
  <si>
    <t>@drfahrettinkoca Babam 3 aşısını da olmuştu fakat, akciğerlerini bitirdi ve vefat etti. Geride kalan sonuçların neyine güvenelim?</t>
  </si>
  <si>
    <t>1468267428119552000</t>
  </si>
  <si>
    <t>@drfahrettinkoca Bir siktiringidin a**** koyayım ya. Ulan hastaneye yatanlar ölüyor evde olanlar ölmüyor bilerek öl… https://t.co/kqabEeYeqP</t>
  </si>
  <si>
    <t>1468267338965438466</t>
  </si>
  <si>
    <t>@drfahrettinkoca Kılavuz Kılavuz Kılavuz Kılavuz Kılavuz Kılavuz Kılavuz Kılavuz Kılavuz Kılavuz Kılavuz Kılavuz Kı… https://t.co/oqXPWYCbce</t>
  </si>
  <si>
    <t>1468267286230351877</t>
  </si>
  <si>
    <t>@drfahrettinkoca Kılavuz Kılavuz Kılavuz Kılavuz Kılavuz Kılavuz Kılavuz Kılavuz Kılavuz Kılavuz Kılavuz Kılavuz Kı… https://t.co/OE509DbWwm</t>
  </si>
  <si>
    <t>1468267154692845580</t>
  </si>
  <si>
    <t>@drfahrettinkoca 5bin zam dediniz mahsuplaşmayla 1 kuruş zam olmadığı ortaya çıktı . Olmayan zamdan da vazgeçtiniz… https://t.co/BJTw5A65hc</t>
  </si>
  <si>
    <t>1468267070559297543</t>
  </si>
  <si>
    <t>@drfahrettinkoca Kılavuz  Kılavuz Kılavuz Kılavuz Kılavuz Kılavuz Kılavuz Kılavuz Kılavuz Kılavuz Kılavuz Kılavuz K… https://t.co/cPwJugm2Qd</t>
  </si>
  <si>
    <t>1468267051101868035</t>
  </si>
  <si>
    <t>@drfahrettinkoca Vakalar gün geçtikçe artıyor üstelik gerçek rakam olmamasına rağmen Online eğitim istiyoruz bizi t… https://t.co/D6B4D8P4Sk</t>
  </si>
  <si>
    <t>1468266849179684870</t>
  </si>
  <si>
    <t>@drfahrettinkoca Bugünkü 22687 vakanın kaçı hiç aşı olmamıştı? bugün ölen 198 vatandaşımızdan kaçı hiç aşı olmamışt… https://t.co/wVxnzFPXWQ</t>
  </si>
  <si>
    <t>1468266807425474571</t>
  </si>
  <si>
    <t>@drfahrettinkoca Yazılan aşı yaptırımı,5-11 yaş için aşı tweetlerine sayın bakanın hali🙈🙈</t>
  </si>
  <si>
    <t>1468266711409377284</t>
  </si>
  <si>
    <t>@drfahrettinkoca Yoğun bakımlarda ne kadar genç var, okulların pandemiye etkisi ne oldu sadece ekonomik kaygılar in… https://t.co/ud7udxdiXV</t>
  </si>
  <si>
    <t>1468266497478955015</t>
  </si>
  <si>
    <t>@drfahrettinkoca ABV cidden ya.Aşı da aşı yeter artık</t>
  </si>
  <si>
    <t>1468266400435294208</t>
  </si>
  <si>
    <t>@drfahrettinkoca 10 doz aşı yaptıran hafif atlatıyormuş gibi birşey dedi bizim aşı bakanı</t>
  </si>
  <si>
    <t>1468266135502176261</t>
  </si>
  <si>
    <t>@drfahrettinkoca Aşı olmadan önce okadar milletin hafif geçirmesi de tesadüf degil sayın bakanım</t>
  </si>
  <si>
    <t>1468266121660874755</t>
  </si>
  <si>
    <t>@drfahrettinkoca Yalan haber  sizin soylediklerinizin daha fazlasini biz zaten izliyoruz</t>
  </si>
  <si>
    <t>1468266091231293445</t>
  </si>
  <si>
    <t>@drfahrettinkoca Ocak ayında yapılacak olan uzaktan eğitim sınavları online olması için desteğinize ihtiyacımız var… https://t.co/tiwiUTqr0q</t>
  </si>
  <si>
    <t>1468266048226926592</t>
  </si>
  <si>
    <t>@drfahrettinkoca Bugün sabah pozitif olduğumu öğrendim ekipleriniz beni aradı kalp hastası olduğum için aspirin kul… https://t.co/68r609xQXe</t>
  </si>
  <si>
    <t>1468266020544598021</t>
  </si>
  <si>
    <t>@drfahrettinkoca Kılavuz icin neyi bekliyoruz, saha neden bos bekliyor??? @RTErdogan @drfahrettinkoca #CBonaylaKOCAkılavuzuYayımla</t>
  </si>
  <si>
    <t>1468265874939392001</t>
  </si>
  <si>
    <t>@drfahrettinkoca Kılavuz icin neyi bekliyoruz, saha neden bos bekliyor? @RTErdogan @drfahrettinkoca #CBonaylaKOCAkılavuzuYayımla</t>
  </si>
  <si>
    <t>1468265831394074632</t>
  </si>
  <si>
    <t>@drfahrettinkoca Atamasız Gençlerin gençliğinden bir yıl gitti bu bir yılda torunun müjde vermek istedikleri  nur y… https://t.co/yNqWBacz7b</t>
  </si>
  <si>
    <t>1468265806647623681</t>
  </si>
  <si>
    <t>@drfahrettinkoca Hangi "buyuk oran" acaba bu? Asisi eksik dediklerinizin, asili olup hafif gecirenleri kisaca herse… https://t.co/Y2kno9d2sj</t>
  </si>
  <si>
    <t>1468265649956962308</t>
  </si>
  <si>
    <t>@drfahrettinkoca Yalan söylemekten bikmadinizmi hala</t>
  </si>
  <si>
    <t>1468265594688581635</t>
  </si>
  <si>
    <t>@drfahrettinkoca Türkiye'nin her yerinde atama bekleyen sağlıkçı var günden güne eriyen</t>
  </si>
  <si>
    <t>1468265541534195715</t>
  </si>
  <si>
    <t>@drfahrettinkoca https://t.co/Lp9W4oHTtm</t>
  </si>
  <si>
    <t>1468265394687422471</t>
  </si>
  <si>
    <t>@drfahrettinkoca Pcr testleri ortadan kaldırılsa sözde salgın bitmez mi? Pcr testinin covid virüsünü tespit edebild… https://t.co/WVokOmt9vG</t>
  </si>
  <si>
    <t>1468265371132121093</t>
  </si>
  <si>
    <t>@drfahrettinkoca Okullardan hergün covid+ haberleri geliyor ve siz maske dışında hiçbir önlem almıyorsunuz.Neden?An… https://t.co/UD14TJeqTg</t>
  </si>
  <si>
    <t>1468265299346604033</t>
  </si>
  <si>
    <t>@drfahrettinkoca Ne güzel kabullendik değil mi? Her gün yüzlerce insan ölüyor, iki mani, üç özlü söz. Sadece kronik… https://t.co/pOghnQ0czP</t>
  </si>
  <si>
    <t>1468265281785110535</t>
  </si>
  <si>
    <t>@drfahrettinkoca https://t.co/YOqVdqwmNb</t>
  </si>
  <si>
    <t>1468265248666832897</t>
  </si>
  <si>
    <t>@drfahrettinkoca Ne desek boş bu atama olmayacak belli</t>
  </si>
  <si>
    <t>1468265187367133192</t>
  </si>
  <si>
    <t>@drfahrettinkoca Kılavuz yayınlansın lütfen @drfahrettinkoca  Kılavuz lütfen yayınlansın @drfahrettinkoca  Yayınlan… https://t.co/SQwnfvbbXE</t>
  </si>
  <si>
    <t>1468265107272744961</t>
  </si>
  <si>
    <t>@drfahrettinkoca Birisi a$ılar geldikten sonra ölüm sayılarının arttığını bakan beye söyleyebilir mi? Resmi siteden… https://t.co/hVEIHsJcUM</t>
  </si>
  <si>
    <t>1468265103606882308</t>
  </si>
  <si>
    <t>@drfahrettinkoca Güvenilecek en son kişiler listesinde baştasınız,, benim için sn.bakan.</t>
  </si>
  <si>
    <t>1468264960300040195</t>
  </si>
  <si>
    <t>@drfahrettinkoca Güvenmiyoruz ....</t>
  </si>
  <si>
    <t>1468264939597053952</t>
  </si>
  <si>
    <t>1468264933343350791</t>
  </si>
  <si>
    <t>@drfahrettinkoca VALLA SİVİLANAN İNSANLAR SİVİLANMAYANLARİ BAZ ALARAK GORDULER Kİ BİSEY OLMUYOR ABARTİ DA ABARTİ VA… https://t.co/dSU1mlZsPW</t>
  </si>
  <si>
    <t>1468264896227856394</t>
  </si>
  <si>
    <t>@drfahrettinkoca @saglikbakanligi Size güvenmek  mi ? Size olan güvenimizi  aylar önce  kaybettik.</t>
  </si>
  <si>
    <t>1468264879010328584</t>
  </si>
  <si>
    <t>@drfahrettinkoca Onur haysiyet ve GURUR Sözde pandemi ayağında terörden destek ALDINIZ Fetö Pkk Aşı kampanyası dest… https://t.co/zniIUQJg7d</t>
  </si>
  <si>
    <t>1468264830285066246</t>
  </si>
  <si>
    <t>@drfahrettinkoca Sen Küresel bir Yalancısın</t>
  </si>
  <si>
    <t>1468264781249396738</t>
  </si>
  <si>
    <t>@drfahrettinkoca Vurdum duymazlığınız mide bulandırıcı olmaya başladı. #CBonaylaKOCAkılavuzuYayımla… https://t.co/qAOGorya4e</t>
  </si>
  <si>
    <t>1468264653679697925</t>
  </si>
  <si>
    <t>@drfahrettinkoca Merkezi alımlardan önce branş dağılımlarını açıklayın lütfen önümüze bakamıyoruzz @drfahrettinkoca</t>
  </si>
  <si>
    <t>1468264581336289291</t>
  </si>
  <si>
    <t>@drfahrettinkoca Sistem yalan ve korku pompalıyor. https://t.co/BA8SS9pTdM</t>
  </si>
  <si>
    <t>1468264545927970822</t>
  </si>
  <si>
    <t>@drfahrettinkoca Çocukların sağlığı nasıl hocam? #kabineuzaktaneğitimsart</t>
  </si>
  <si>
    <t>1468264468857634824</t>
  </si>
  <si>
    <t>@drfahrettinkoca Yeter ya gunde 200 kisi ölüyor ne zaman önlem alacaksiniz</t>
  </si>
  <si>
    <t>1468264419801153542</t>
  </si>
  <si>
    <t>@drfahrettinkoca Ne karın ağrısı bu ya böyle. Madem her şey harika MEDİPOL üniversitesi neden online eğitimde #kabineuzaktaneğitimsart</t>
  </si>
  <si>
    <t>1468264403288137728</t>
  </si>
  <si>
    <t>@drfahrettinkoca Klavuz nerde bakan bey??? #CBonaylaKOCAkılavuzuYayımla</t>
  </si>
  <si>
    <t>1468264378009063428</t>
  </si>
  <si>
    <t>@drfahrettinkoca Yayınlamayı unuttuğunuz bir kılavuz olabilir</t>
  </si>
  <si>
    <t>1468264377543503875</t>
  </si>
  <si>
    <t>@drfahrettinkoca O değilde biran önce Omicron gelsin. Bu nedir ufak tefek şeyler</t>
  </si>
  <si>
    <t>1468264357238870026</t>
  </si>
  <si>
    <t>@drfahrettinkoca @saglikbakanligi Neden kabul edemiyorsunuz insanlar ölüyor ve kapanışa gidemiyorsunuz neden</t>
  </si>
  <si>
    <t>1468264355255009284</t>
  </si>
  <si>
    <t>@drfahrettinkoca Binlerce atama bekleyen sağlıkçının aklında tek soru var 1 yılı aşkındır atama yapılmıyor aylar so… https://t.co/SNTpvcPjD8</t>
  </si>
  <si>
    <t>1468264346560118795</t>
  </si>
  <si>
    <t>@drfahrettinkoca İyi akşamlar bizim bi kılavuz vardı</t>
  </si>
  <si>
    <t>1468264305703407620</t>
  </si>
  <si>
    <t>@drfahrettinkoca Vallahi etrafımda onlarca kişi covid oldu ilaç icmeyip,aşı olmayan sıkıntısız atlattı ve YA-ŞI-YOR… https://t.co/S3YEOvhERy</t>
  </si>
  <si>
    <t>1468264295406481417</t>
  </si>
  <si>
    <t>@drfahrettinkoca Annem iki asılı olmasına rağmen ayakları ile gittiği hastahanede vefat etti.Yasadiklarima mi inana… https://t.co/v9fSUIazit</t>
  </si>
  <si>
    <t>1468264240838545415</t>
  </si>
  <si>
    <t>@drfahrettinkoca E hadi kılavuz sağlık bakanliği o koltuga oturmakla olmuyor</t>
  </si>
  <si>
    <t>1468264057912315911</t>
  </si>
  <si>
    <t>@drfahrettinkoca ACİL UZAKTAN EĞİTİME GEÇİLMELİ ACİL HERKESİN HAYATI TEHLİKEDE #UZAKTANEĞİTİMCANKURTARIR</t>
  </si>
  <si>
    <t>1468264057421586434</t>
  </si>
  <si>
    <t>@drfahrettinkoca Aşısız dayım semptom bile göstermeden atlattı bu hastalığı aşılı halamız 1 haftadır hastanede hery… https://t.co/h1H9xxwQks</t>
  </si>
  <si>
    <t>1468264028665438208</t>
  </si>
  <si>
    <t>@drfahrettinkoca bu nedir ya aklımızla dalga mı geçiyorsunuz aralık geldi gidiyor kılavuz yok yapmayacaksanız söyleyin yolumuza bakalım</t>
  </si>
  <si>
    <t>1468264028015415302</t>
  </si>
  <si>
    <t>@drfahrettinkoca Dr fatih kırar istanbulda bir beyin cerrahı ameliyatsız işlemler ile bel boyun fitiklar i yok oluy… https://t.co/vlcmo1alce</t>
  </si>
  <si>
    <t>1468264014333546509</t>
  </si>
  <si>
    <t>@drfahrettinkoca Sayın bakanım artık insanlar acile maskesiz gidip doktorları tehdit eder hale geldi, bir çok insan… https://t.co/Pe92fwHKWa</t>
  </si>
  <si>
    <t>1468263991659012098</t>
  </si>
  <si>
    <t>@drfahrettinkoca Aralık ayını da BOŞ geçmeyin lütfen.</t>
  </si>
  <si>
    <t>1468263990895820800</t>
  </si>
  <si>
    <t>@drfahrettinkoca Kronik rahatsızlığı bulunmayan, 3 doz aşıyla koronaya yakalanıp 15 gün yoğun bakımda kalan ve vefa… https://t.co/3PjaAy3ObV</t>
  </si>
  <si>
    <t>1468263955843977216</t>
  </si>
  <si>
    <t>@drfahrettinkoca Artık atanmak istiyoruz!!!</t>
  </si>
  <si>
    <t>1468263888173117442</t>
  </si>
  <si>
    <t>@drfahrettinkoca Aşı olsa tamam da aşı değil</t>
  </si>
  <si>
    <t>1468263874470232076</t>
  </si>
  <si>
    <t>@drfahrettinkoca Bu güce güvenin , tesadüf değil https://t.co/fhiUh7c6uq</t>
  </si>
  <si>
    <t>1468263847991644169</t>
  </si>
  <si>
    <t>@drfahrettinkoca Bunlar hiç tesadüf değil... https://t.co/3JC6Dumc2M</t>
  </si>
  <si>
    <t>1468263815821381641</t>
  </si>
  <si>
    <t>@drfahrettinkoca Kilavuzu yayunlayun daa</t>
  </si>
  <si>
    <t>1468263713111166976</t>
  </si>
  <si>
    <t>@drfahrettinkoca Yine söylüyoruz devam zorunluluğunu kaldırın #kabineuzaktaneğitimsart</t>
  </si>
  <si>
    <t>1468263702998753293</t>
  </si>
  <si>
    <t>@drfahrettinkoca Sizinde böyle bir mesajınız tesadüf değil zaten. Hani asilaninca bitiyordu  Hani iki hafta çok kri… https://t.co/LKgRGm4i3G</t>
  </si>
  <si>
    <t>1468263697378418694</t>
  </si>
  <si>
    <t>@drfahrettinkoca Bu güce güvenin https://t.co/GBkh1ggx1i</t>
  </si>
  <si>
    <t>1468263673181396998</t>
  </si>
  <si>
    <t>@drfahrettinkoca Hocam çok haklısınız 3 aşımızı olucaz daha zamanı var.  Gayet Iyiyiz ama çok tedbirleyiz. Alkol ku… https://t.co/rK2EIV86mb</t>
  </si>
  <si>
    <t>1468263663631052806</t>
  </si>
  <si>
    <t>@drfahrettinkoca Düşün artık yakamızdan nedir bu aşı sevdanız, aşı olan olsun, olmayan olmasın.Bırakın aşıyı Pcr te… https://t.co/DRx4CobCTW</t>
  </si>
  <si>
    <t>1468263660904669186</t>
  </si>
  <si>
    <t>@drfahrettinkoca Duyun artık bu kadar insanı duyun yeter  !!! #CBonaylaKOCAkılavuzuYayımla</t>
  </si>
  <si>
    <t>1468263649177440260</t>
  </si>
  <si>
    <t>@drfahrettinkoca sayin bakanim allah askina virus mirus birakin bu isleri 100lerce sma li cocuk var onlara care bul… https://t.co/b86pNHXIRt</t>
  </si>
  <si>
    <t>1468263600464830465</t>
  </si>
  <si>
    <t>@drfahrettinkoca Bu haritanın bir anlamı yok artık 2 doz u biten milyonlar var değiş artık bu haritayı 😊</t>
  </si>
  <si>
    <t>1468263517555994624</t>
  </si>
  <si>
    <t>@drfahrettinkoca Yok size güvenmiyorum ben hem aşı olmadım hemde covid olmadım o kadar kovid olan arkadaşların aras… https://t.co/96rhRppCYd</t>
  </si>
  <si>
    <t>1468263502636851200</t>
  </si>
  <si>
    <t>@drfahrettinkoca Yoğun bakım ve vefat oranları sizin yanlış tedavi protokolünüz yüzünden böyle yüksek..   Halbuki ç… https://t.co/6tJAiQeJSr</t>
  </si>
  <si>
    <t>1468263462346366979</t>
  </si>
  <si>
    <t>@drfahrettinkoca Yalan makinesine bağlasak makinenin beynini yakarsın bırak artık düşün milletin yakasından</t>
  </si>
  <si>
    <t>1468263423800745986</t>
  </si>
  <si>
    <t>@drfahrettinkoca Yalan söylüyorsun. Aşılama oranı en az olan il Şanlıurfa ama vaka sayısı en az olan il de Şanlıurf… https://t.co/lUWhbfUccN</t>
  </si>
  <si>
    <t>1468263386383323140</t>
  </si>
  <si>
    <t>@drfahrettinkoca Senin söylediğin tek kelimeye inanmıyorum.</t>
  </si>
  <si>
    <t>1468263362387714052</t>
  </si>
  <si>
    <t>@drfahrettinkoca Avrupa ülkelerinde olduğu gibi yasaklar gelsin</t>
  </si>
  <si>
    <t>1468263357962670083</t>
  </si>
  <si>
    <t>@drfahrettinkoca Sn bakanım sağımız solumuz covid doldu. 1.sınıfa giden çocuğumu 1 haftadır okula göndermiyorum. sı… https://t.co/6eJw0pqBCk</t>
  </si>
  <si>
    <t>1468263356335374350</t>
  </si>
  <si>
    <t>@drfahrettinkoca Yeni varyant girmiş olmalı</t>
  </si>
  <si>
    <t>1468263325398188036</t>
  </si>
  <si>
    <t>@drfahrettinkoca 5-11 yaş grubuna aşı bekliyoruz hala.Sesimizi neden duymuyorsunuz?</t>
  </si>
  <si>
    <t>1468263041900945415</t>
  </si>
  <si>
    <t>@drfahrettinkoca 2021 de bitecek olan atamanın kılavuzunu bekliyoruz bakanım</t>
  </si>
  <si>
    <t>1468262883540746244</t>
  </si>
  <si>
    <t>@drfahrettinkoca Ne oldu bugün 18.000 yazarsın diye bekliyorduk 50.000 60.000 çıktı utandın heralde 2000 daha eklemişsin olmadı bu ama</t>
  </si>
  <si>
    <t>1468262858408476678</t>
  </si>
  <si>
    <t>@drfahrettinkoca Size ve bu güce güvenin dediğiniz güce guvenmiyoruz</t>
  </si>
  <si>
    <t>1468262838250651654</t>
  </si>
  <si>
    <t>@drfahrettinkoca Zalimler için yaşasın cehennem..Bu sahtekarlığınızın ve yalanlarınızın hesabını vereceksiniz.Köpek… https://t.co/Q6PYWP9Eld</t>
  </si>
  <si>
    <t>1468262816276783108</t>
  </si>
  <si>
    <t>@drfahrettinkoca İstatistikleri paylaşın o halde yoğun bakımda kaç aşılı var kaç aşısız görelim..Aşılı olanlardan k… https://t.co/quppXugihR</t>
  </si>
  <si>
    <t>1468262730729762816</t>
  </si>
  <si>
    <t>@drfahrettinkoca La Fontenden masallar</t>
  </si>
  <si>
    <t>1468262682532929544</t>
  </si>
  <si>
    <t>@drfahrettinkoca Bakanım kılavuz</t>
  </si>
  <si>
    <t>1468262676803596294</t>
  </si>
  <si>
    <t>@drfahrettinkoca TEMASLI OLANLAR TOPLU TAŞIMALARDA KAPALI ALANLARDA ve bunu siz istediniz ! Siz karar verdiniz! Ned… https://t.co/gXgsZiOAfo</t>
  </si>
  <si>
    <t>1468262655991468039</t>
  </si>
  <si>
    <t>@drfahrettinkoca Artık istifa edin lütfen . Devlet hastanelerinin yönetimi şuan içler acısı doktor katili olmamak i… https://t.co/2iu1nNkABI</t>
  </si>
  <si>
    <t>1468262650303983618</t>
  </si>
  <si>
    <t>@drfahrettinkoca Sayın Bakanıma kısmen katılıyorum.Dinlediğim yabancı proflarda aynısını diyor ''Bu vakitten sonra… https://t.co/onDc0W9TpM</t>
  </si>
  <si>
    <t>1468262612970483715</t>
  </si>
  <si>
    <t>@drfahrettinkoca Bir yılda 62 diyetisyen alınıp ünvan değişikliği ile 100 Dyt geçiş yapılması ne kadar mantıklı  ha… https://t.co/kGhIZLqdaa</t>
  </si>
  <si>
    <t>1468262606783799297</t>
  </si>
  <si>
    <t>@drfahrettinkoca Aşıları tam olup da yoğun bakıma yatanlar ve/veya vefat edenler tesadüf mü?</t>
  </si>
  <si>
    <t>1468262532511113219</t>
  </si>
  <si>
    <t>1468262450722189322</t>
  </si>
  <si>
    <t>@drfahrettinkoca #kronikhastalaraidariizin @saglikbakanligi @sagliklicozum @meb @mebimdestek</t>
  </si>
  <si>
    <t>1468262376076161031</t>
  </si>
  <si>
    <t>@drfahrettinkoca Covid'i, hastalığa yakalananların zaten %99 u hafif atlatıyordu. Rakamlar şuanki ile zaten aynıydı… https://t.co/Nj0DyAO98O</t>
  </si>
  <si>
    <t>1468262358959247362</t>
  </si>
  <si>
    <t>@drfahrettinkoca ALLAH ım sen akıllıma mukayyet ol</t>
  </si>
  <si>
    <t>1468262339921203201</t>
  </si>
  <si>
    <t>@drfahrettinkoca Ya pesss</t>
  </si>
  <si>
    <t>1468262299563606019</t>
  </si>
  <si>
    <t>@drfahrettinkoca Biz Neden hala bekliyoruz sayın bakanım</t>
  </si>
  <si>
    <t>1468262299395936263</t>
  </si>
  <si>
    <t>@drfahrettinkoca şart onlarca kabine bilim kurulu toplantısı yapılıyor ve vakalar azalmıyor artık tedbir şart okuları kapatın</t>
  </si>
  <si>
    <t>1468262287026835458</t>
  </si>
  <si>
    <t>@drfahrettinkoca Salgını yönetin salgını! İcraat bekliyoruz diyoruz! Başımıza ola ola!! Tivitlerin efendisi oldunuz!!!</t>
  </si>
  <si>
    <t>1468262272720121860</t>
  </si>
  <si>
    <t>@drfahrettinkoca Ya bırak palavrayı, yemiyor millet artık!</t>
  </si>
  <si>
    <t>1468262216583741440</t>
  </si>
  <si>
    <t>@drfahrettinkoca Aşı BULAŞI ÖNLEMİYOR !  Aşı olmak yetmiyor öğrenciler toplu taşımalarda kapalı alanlarda risk altı… https://t.co/2qZC2MLUVi</t>
  </si>
  <si>
    <t>1468262178599968782</t>
  </si>
  <si>
    <t>@drfahrettinkoca Sağlıkçı Atama kılavuzunu yayınla #CBonaylaKOCAkılavuzuYayımla @drfahrettinkoca @RTErdogan</t>
  </si>
  <si>
    <t>1468262176456679433</t>
  </si>
  <si>
    <t>@drfahrettinkoca Önemli bir bölümü derken %1 i aşısız, %5i bir aşılı %20si ili doz aşılı, aşısını tam olanlar mı? Ş… https://t.co/4aSHkJP1Tq</t>
  </si>
  <si>
    <t>1468262159167729665</t>
  </si>
  <si>
    <t>@drfahrettinkoca Ziyaaaa</t>
  </si>
  <si>
    <t>1468262138296819721</t>
  </si>
  <si>
    <t>@drfahrettinkoca BİZİ DUYUN ARTIK KILAVUZ İSTİYORUZ</t>
  </si>
  <si>
    <t>1468262047615967240</t>
  </si>
  <si>
    <t>@drfahrettinkoca 30.000 sağlıkçı alım kılavuzu ne zaman yayımlanacak?? @drfahrettinkoca @RTErdogan @halis_aygun… https://t.co/gfJF4TDWnc</t>
  </si>
  <si>
    <t>1468261995820560390</t>
  </si>
  <si>
    <t>@drfahrettinkoca 6 ncı aydan beri günde ortalama 200 kişi, yani 36000 kişi hayatını kaybetti, yani 2022 yılında ort… https://t.co/q0ioAExt8v</t>
  </si>
  <si>
    <t>1468261991525584901</t>
  </si>
  <si>
    <t>@drfahrettinkoca #YaOnlineYaCanımız</t>
  </si>
  <si>
    <t>1468261986072944649</t>
  </si>
  <si>
    <t>1468261981622870025</t>
  </si>
  <si>
    <t>@drfahrettinkoca Bu sayılara inanan var mı çok merak ediyorum.?</t>
  </si>
  <si>
    <t>1468261968695934983</t>
  </si>
  <si>
    <t>@drfahrettinkoca Sonuçlar doğru soyleniyormuki insanlara guvensinler!! Geçen seneyi hatırlatmak isterim Almanya nas… https://t.co/ozAeSv54Dr</t>
  </si>
  <si>
    <t>1468261943026888707</t>
  </si>
  <si>
    <t>@drfahrettinkoca BAKANIM LUTFEN KİLAVUZU YAYINLAYIN ARTİK @drfahrettinkoca</t>
  </si>
  <si>
    <t>1468261908532838401</t>
  </si>
  <si>
    <t>@drfahrettinkoca Aşılılar hafif ağrılı ölüyor demek istemiş arkads</t>
  </si>
  <si>
    <t>1468261730652467200</t>
  </si>
  <si>
    <t>@drfahrettinkoca Bu nasihatlardan öte yaptırımlara geçmek için kaç kişinin daha hayatını kaybetmesi ve toplumun dah… https://t.co/jA9YPCPj3N</t>
  </si>
  <si>
    <t>1468261720875573254</t>
  </si>
  <si>
    <t>@drfahrettinkoca yeni çıkacak omicron aşılarının siparişini verdiniz mi?</t>
  </si>
  <si>
    <t>1468261645881384964</t>
  </si>
  <si>
    <t>@drfahrettinkoca Sayın Koca, Bengi Başer, "Aşıdan sonra küçük pıhtılar atabilir" diyor. Açıklar mısınız bizlere.. Teşekkürler</t>
  </si>
  <si>
    <t>1468261610502475790</t>
  </si>
  <si>
    <t>@drfahrettinkoca ATAMA YAPMAYACAKSANIZ ÇIKIN DEYİN Kİ ATAMA YAPMIYORUZ YALANCILIK SİZDE HER ŞEY SİZDE ... @drfahrettinkoca</t>
  </si>
  <si>
    <t>1468261458861387776</t>
  </si>
  <si>
    <t>@drfahrettinkoca Sadece bizim mahalleden 3 iğneli 50-55 yaşlarında 2 kisi rahmetli oldu..bir aradaşımın babası,bir… https://t.co/yacutqLCRL</t>
  </si>
  <si>
    <t>1468261384324583436</t>
  </si>
  <si>
    <t>@drfahrettinkoca Senden igreniyorimmmm</t>
  </si>
  <si>
    <t>1468261261465079816</t>
  </si>
  <si>
    <t>@drfahrettinkoca Allah için şu kılavuzu açıklayın sayın bakan</t>
  </si>
  <si>
    <t>1468261165520367617</t>
  </si>
  <si>
    <t>@drfahrettinkoca 🤣🤣🤣🤣🤣</t>
  </si>
  <si>
    <t>1468261129852006407</t>
  </si>
  <si>
    <t>@drfahrettinkoca Sağlıkçı atama kılavuzunu yayınlayın @RTErdogan @drfahrettinkoca</t>
  </si>
  <si>
    <t>1468261114123370505</t>
  </si>
  <si>
    <t>@drfahrettinkoca @polat_hekimoglu Gt</t>
  </si>
  <si>
    <t>1468261096494702601</t>
  </si>
  <si>
    <t>@drfahrettinkoca peki Sayın Bakanım mrna cinsi biontec aşısının yan etkisi yok değil mi?var mı yok mu?var olduğunu… https://t.co/kV3ryK093N</t>
  </si>
  <si>
    <t>1468261070737448963</t>
  </si>
  <si>
    <t>@drfahrettinkoca Ortada o kadar çok tutulmamış söz var ki artık hiçbir şeye güvenemiyoruz bakanım. Atama bekleten s… https://t.co/8Xu895sm3P</t>
  </si>
  <si>
    <t>1468261027754221572</t>
  </si>
  <si>
    <t>@drfahrettinkoca Bakanım o nedenle aşısız Urfa'da vakalar uçarken, ful aşılı Orduda vaka sayı sıfır değil mi. Sen m… https://t.co/3wpDRxlRMO</t>
  </si>
  <si>
    <t>1468261021915750403</t>
  </si>
  <si>
    <t>@drfahrettinkoca Vefat sayısı külliyen yalan. Vefat edenlerin kaçı aşılı vefat edenler hangi ilden tek tek açıklasa… https://t.co/VRXnWPwLWG</t>
  </si>
  <si>
    <t>1468260990525620225</t>
  </si>
  <si>
    <t>@drfahrettinkoca 16 yaşındaki küçük oğlum için 2. doz aşı randevusu aldık... bugün saat 16:00 ya...okuldan alıp aşı… https://t.co/HRbpJjMJpI</t>
  </si>
  <si>
    <t>1468260966802595843</t>
  </si>
  <si>
    <t>@drfahrettinkoca Klavuz nerede?</t>
  </si>
  <si>
    <t>1468260943939321857</t>
  </si>
  <si>
    <t>@drfahrettinkoca Abim aşılarınız yüzünden kalp krizi geçirdi ve miyokardit oldu.Hic aşı olmayan ben 2 defa covide y… https://t.co/65nkFLQUvx</t>
  </si>
  <si>
    <t>1468260943738064904</t>
  </si>
  <si>
    <t>@drfahrettinkoca Alkışladığınız sağlıkçılar covid ilacı ve aşılarla bize pamuk tıkadı haberiniz yok https://t.co/gt519GG9cF</t>
  </si>
  <si>
    <t>1468260882169872386</t>
  </si>
  <si>
    <t>@drfahrettinkoca Yavv sizin gibi yalancıya güvenmiyorum aşını da olmuyorum Allah belanızı versin asinizla beraber</t>
  </si>
  <si>
    <t>1468260869004054534</t>
  </si>
  <si>
    <t>1468260868550971392</t>
  </si>
  <si>
    <t>@drfahrettinkoca Ne size ne sonuçlara, ne de aşıya bile güven yok sanırım. Yoksa herkes aşısını olurdu, olmayan da… https://t.co/4A1y2IJEEu</t>
  </si>
  <si>
    <t>1468260839316721667</t>
  </si>
  <si>
    <t>@drfahrettinkoca Hala aşı diyo amınakoyim Fahrettin amca beynin mi yok aq</t>
  </si>
  <si>
    <t>1468260797197529095</t>
  </si>
  <si>
    <t>@drfahrettinkoca Sayın bakanım yoğun bakımlarda hiç mi aşıları tam olup'da yatan covit hastaları  yok? Yapmayın allaha aşkına</t>
  </si>
  <si>
    <t>1468260777090031619</t>
  </si>
  <si>
    <t>@drfahrettinkoca Niye Kasım sonu dememiş gibi davranıyorsunuz</t>
  </si>
  <si>
    <t>1468260763391377408</t>
  </si>
  <si>
    <t>@drfahrettinkoca Lütfen aşılarimizi olalım kurallara uyalım</t>
  </si>
  <si>
    <t>1468260734295584768</t>
  </si>
  <si>
    <t>@drfahrettinkoca Sayın Bakan! Milletimizi aşıya teşvik etme konusunda neler yaptığınızı kendinize sorun lütven! Her… https://t.co/EOphH4t7W7</t>
  </si>
  <si>
    <t>1468260673796947973</t>
  </si>
  <si>
    <t>@drfahrettinkoca Her şeye rağmen siz şeytanlara boyun eğmeyecek insanlar var. Bundan emin olabilirsiniz.Kalleşçe öl… https://t.co/vzw4wdDeUF</t>
  </si>
  <si>
    <t>1468260673272659968</t>
  </si>
  <si>
    <t>@drfahrettinkoca Sayin Bakanim gerçek verileri neden paylaşmiyorsunuz</t>
  </si>
  <si>
    <t>1468260665227943939</t>
  </si>
  <si>
    <t>@drfahrettinkoca Bakan bey haklı ben 2 doz aşı oldum coronaya yakalandım Aşı sayesinde 3-4 güne bütün şikayetlerim bitti hafif atlattım</t>
  </si>
  <si>
    <t>1468260664737161219</t>
  </si>
  <si>
    <t>@drfahrettinkoca Bakanım kılavuz!</t>
  </si>
  <si>
    <t>1468260659708239873</t>
  </si>
  <si>
    <t>@drfahrettinkoca Aşı olmadan 13 kere test yaptırdim negatif çıktım ve. 2 doz aşılı olup bugün pozitif çıktım ve ağı… https://t.co/gFcCUHoyXr</t>
  </si>
  <si>
    <t>1468260652234035203</t>
  </si>
  <si>
    <t>@drfahrettinkoca Burada Ne okursanız  tam tersine inanın.</t>
  </si>
  <si>
    <t>1468260643140689921</t>
  </si>
  <si>
    <t>@drfahrettinkoca Hiç aşı yaptırmayan kaç kişi kaldı sayım bakan artık yetişkin nüfusun büyük kısmı aşılı aşısız kim… https://t.co/wXnoZqSwmU</t>
  </si>
  <si>
    <t>1468260581433962496</t>
  </si>
  <si>
    <t>@drfahrettinkoca Sayın aşı bakanım pardon Sayın Sağlık bakanım @drfahrettinkoca beyefendi çok merak ediyorum salgın… https://t.co/2bVoEgmCUu</t>
  </si>
  <si>
    <t>1468260576673599501</t>
  </si>
  <si>
    <t>@drfahrettinkoca Sağlık atama kılavuzu neden yayınlanmıyor @RTErdogan @drfahrettinkoca</t>
  </si>
  <si>
    <t>1468260563180478474</t>
  </si>
  <si>
    <t>@drfahrettinkoca Manisa şehir hastanesi 2. Basamakta 17 günden beri entübe 20 gündür yoğun bakımda. Nasıl yalan söy… https://t.co/pzQBgBv0wK</t>
  </si>
  <si>
    <t>1468260556083707906</t>
  </si>
  <si>
    <t>@drfahrettinkoca Aşıya da verilerinizde artık güven vermiyor sayın bakanım. Hani 83 milyona içeriğini bilmediğiniz… https://t.co/WnbUmwHxcV</t>
  </si>
  <si>
    <t>1468260507941486598</t>
  </si>
  <si>
    <t>@drfahrettinkoca Hiçbir şeye güvenmiyoruz sayenizde https://t.co/vZK9RVV3UE</t>
  </si>
  <si>
    <t>1468260505231966212</t>
  </si>
  <si>
    <t>@drfahrettinkoca Guvenen varmi acaba.kendinize guveniyosaniz referandum yapın.</t>
  </si>
  <si>
    <t>1468260492254797826</t>
  </si>
  <si>
    <t>@drfahrettinkoca Sağlık atama kılavuzu yayınlansın @RTErdogan @drfahrettinkoca</t>
  </si>
  <si>
    <t>1468260483421679624</t>
  </si>
  <si>
    <t>@drfahrettinkoca aşısı tamamlanmamis tam olarak neydi 🤣🤣</t>
  </si>
  <si>
    <t>1468260424848228354</t>
  </si>
  <si>
    <t>@drfahrettinkoca Rakamlar sabitlenmiş gibi ne artıyor ne eksiliyor, bunu nasıl yapıyorsunuz?</t>
  </si>
  <si>
    <t>1468260420943331331</t>
  </si>
  <si>
    <t>@drfahrettinkoca Twitle gelen aşı davetinin etkisizliği anlaşılmadı mı daha? Koyun bakalım toplu taşıma ve avm yasağı…</t>
  </si>
  <si>
    <t>1468260414152654848</t>
  </si>
  <si>
    <t>@drfahrettinkoca çok ilginç!! vefat sayısı hep 180-230 arasında.. var bir şeyler ama ne?!</t>
  </si>
  <si>
    <t>1468260411099291650</t>
  </si>
  <si>
    <t>@drfahrettinkoca https://t.co/ufpTns6NOU</t>
  </si>
  <si>
    <t>1468260408771416069</t>
  </si>
  <si>
    <t>@drfahrettinkoca YORULDUK #CBonaylaKOCAkılavuzuYayımla</t>
  </si>
  <si>
    <t>1468260407093743618</t>
  </si>
  <si>
    <t>@drfahrettinkoca Yav sen önce bi işe yaramayan ilaçları bu halka yutturdun onun hesabını ver Çin malı işe yaramadı… https://t.co/zpi0NcOadO</t>
  </si>
  <si>
    <t>1468260405080473616</t>
  </si>
  <si>
    <t>@drfahrettinkoca KILAVUZ BEKLİYORUZ https://t.co/nq8OP7Wfv5</t>
  </si>
  <si>
    <t>1468260339519270919</t>
  </si>
  <si>
    <t>@drfahrettinkoca Allah bizimle ilgili size biraz merhamet ve acıma versin ne diyim kılavuz açıklamak bu kadar zor d… https://t.co/2zkpMiudJ1</t>
  </si>
  <si>
    <t>1468260333118705676</t>
  </si>
  <si>
    <t>@drfahrettinkoca Ne aşıymış beee müthiş zekalı yoğun bakıma yatırmaktan kurtarıyor. Aşısızlar olarak soruyorum hiç… https://t.co/hxkJ5P3Gb6</t>
  </si>
  <si>
    <t>1468260284460457984</t>
  </si>
  <si>
    <t>@drfahrettinkoca Sağlık atama kılavuzu yayınlansın bekleyiş son bulsun @RTErdogan @drfahrettinkoca</t>
  </si>
  <si>
    <t>1468260253485699073</t>
  </si>
  <si>
    <t>@drfahrettinkoca Haydi güzelim , maaşlari ezelim. Bu senede memur olarak gezelimmmm 😅 kılavuzzzzzzzzzzz #CBonaylaKOCAkılavuzuYayımla</t>
  </si>
  <si>
    <t>1468260115467935744</t>
  </si>
  <si>
    <t>1468260108572495875</t>
  </si>
  <si>
    <t>@drfahrettinkoca Bütün ülke üç gündür kilavuz diye twt atiyor hâlâ aşı diyorsunuz ya</t>
  </si>
  <si>
    <t>1468260083385651207</t>
  </si>
  <si>
    <t>@drfahrettinkoca 100/81 2 aşı yapılmış. 100/19 mu hastanede yatıyor. Geç bunları Erdoğan’ın sana ne kadar güvenmedi… https://t.co/uhDFtrhoQQ</t>
  </si>
  <si>
    <t>1468260081280114688</t>
  </si>
  <si>
    <t>@drfahrettinkoca KILAVUZ NE ZAMAN YAYINLANACAK?</t>
  </si>
  <si>
    <t>1468260079673790470</t>
  </si>
  <si>
    <t>@drfahrettinkoca Medikalcilerin ödemelerini yapın 18 ay oldu ayıp</t>
  </si>
  <si>
    <t>1468260070731493379</t>
  </si>
  <si>
    <t>@drfahrettinkoca Hergün yaklaşık 20.000 vaka ,200 vefat Ne zamana kadar böyle gidecek bakanım ❓ TTB ile ortak çözüm… https://t.co/XjIEjjeAhT</t>
  </si>
  <si>
    <t>1468260065744502785</t>
  </si>
  <si>
    <t>@drfahrettinkoca Bakanım atama ne zaman olucak şimdide 15 Ocak lafı çıktı</t>
  </si>
  <si>
    <t>1468260045716705283</t>
  </si>
  <si>
    <t>@drfahrettinkoca Sayın bakanım gerçekten okul tam bir mikrop yuvası herkes mesafeyi ihlal ediyor maske kullanımı yo… https://t.co/8C1JZ0iFnv</t>
  </si>
  <si>
    <t>1468260000405630980</t>
  </si>
  <si>
    <t>@drfahrettinkoca Geride kalan 10 ay için herhangi bir sonuç raporu yayınlamadınız, olmayan sonuca nasıl güveneceğiz..</t>
  </si>
  <si>
    <t>1468260000204300288</t>
  </si>
  <si>
    <t>@drfahrettinkoca @drvysgk</t>
  </si>
  <si>
    <t>1468259996836274183</t>
  </si>
  <si>
    <t>@drfahrettinkoca Bir taş olsak sabır taşı olurduk... Kilavuz nerede?</t>
  </si>
  <si>
    <t>1468259944155779082</t>
  </si>
  <si>
    <t>@drfahrettinkoca Bu şu demek. "Aşısını hic yaptirmamis ya da 2 ciyi,  3 cüyü yaptırmayanlar aşısını yaptirsinlar...… https://t.co/IuckEShuMI</t>
  </si>
  <si>
    <t>1468259930012532738</t>
  </si>
  <si>
    <t>1468259922819391492</t>
  </si>
  <si>
    <t>@drfahrettinkoca Bütün aşıları yaptırdım kovitten sonra hala koku alamıyorum hala eklemlerim ağrıyor nasıl hafif atlatiliyormus</t>
  </si>
  <si>
    <t>1468259910773354507</t>
  </si>
  <si>
    <t>@drfahrettinkoca Allahım sen bizim keçilerimize mukayyet ol 🥴🤦🏻‍♀️</t>
  </si>
  <si>
    <t>1468259871288082434</t>
  </si>
  <si>
    <t>@drfahrettinkoca Sana ve kuruluna inanmıyorum. Kurulunu da al bir an önce git!</t>
  </si>
  <si>
    <t>1468259869119717381</t>
  </si>
  <si>
    <t>@drfahrettinkoca 5-11 yaş aşı hakkı isteyen aileler için ne zaman açılacak ? 3.doz aşılarımızı da bir an evvel olmak istiyoruz..</t>
  </si>
  <si>
    <t>1468259844503265283</t>
  </si>
  <si>
    <t>@drfahrettinkoca Güvenmiyorum artık hiç aşı yok testte yaptırmadım eğer gerçekten derdiniz bitirmek olsaydı sağlıkl… https://t.co/iEpbc4vgvX</t>
  </si>
  <si>
    <t>1468259842951368717</t>
  </si>
  <si>
    <t>@drfahrettinkoca Atama kılavuzunu yayınlayın @RTErdogan @drfahrettinkoca</t>
  </si>
  <si>
    <t>1468259842871767043</t>
  </si>
  <si>
    <t>@drfahrettinkoca Bu gençlere atama borçlusunuz sözünü verdiğiniz atamanın vakti çoktan geldi geçti kılavuzu biranönce açıklayin</t>
  </si>
  <si>
    <t>1468259801809444875</t>
  </si>
  <si>
    <t>@drfahrettinkoca hastane yatislarin yaslarini kronik hastalikkarini asi durumlarina ait verileri paylasin lutfen</t>
  </si>
  <si>
    <t>1468259777939750915</t>
  </si>
  <si>
    <t>@drfahrettinkoca Bizlere atama borclusunuz vakti geldi gecti kilavuzu biranonce yayinlayin artik</t>
  </si>
  <si>
    <t>1468259774752043008</t>
  </si>
  <si>
    <t>@drfahrettinkoca Sayın bakan aşılama oranı en yüksek olan Ordu ve Osmaniye'de vaka sayıları neden düşmüyor? Aksine… https://t.co/okrK24bZnu</t>
  </si>
  <si>
    <t>1468259756452241414</t>
  </si>
  <si>
    <t>@drfahrettinkoca Klavuz bekliyoruzzzzzz</t>
  </si>
  <si>
    <t>1468259745148588040</t>
  </si>
  <si>
    <t>@drfahrettinkoca Kılavuz yayınlansın artık!!!!!</t>
  </si>
  <si>
    <t>1468259723183276033</t>
  </si>
  <si>
    <t>1468259704136769539</t>
  </si>
  <si>
    <t>@drfahrettinkoca 78018 kişi aramızdan ayrıldı</t>
  </si>
  <si>
    <t>1468259695693545476</t>
  </si>
  <si>
    <t>@drfahrettinkoca Yüksek puanlarla beklemekten yorulduk</t>
  </si>
  <si>
    <t>1468259666815864839</t>
  </si>
  <si>
    <t>@drfahrettinkoca Kartal Lütfi Kırdar lebaleb maşallahı var. Doktor var tedavi maalesef.</t>
  </si>
  <si>
    <t>1468259663099707400</t>
  </si>
  <si>
    <t>1468259659119276040</t>
  </si>
  <si>
    <t>@drfahrettinkoca Buradan bakana tweet atıp cevap alan var mı gerçekten?</t>
  </si>
  <si>
    <t>1468259640840491012</t>
  </si>
  <si>
    <t>@drfahrettinkoca Bizim sokaktaki hanım bakkal da bugün bir müşterisine sizin yazdıklarınızın aynını anlattı. Hatta… https://t.co/F1O8cRD9K0</t>
  </si>
  <si>
    <t>1468259634653892617</t>
  </si>
  <si>
    <t>@drfahrettinkoca Covid virüsünün varlığını bilimsel olarak ispatlar mısınız? Wu Zunyou sözleri doğru mu? Virüs vars… https://t.co/Z0IK28R8ea</t>
  </si>
  <si>
    <t>1468259617880821763</t>
  </si>
  <si>
    <t>@drfahrettinkoca Bakan bey atama ne oldu izin alabildiniz mi?</t>
  </si>
  <si>
    <t>1468259601162412035</t>
  </si>
  <si>
    <t>@drfahrettinkoca Anlaşılması imkansız bir durumdayız</t>
  </si>
  <si>
    <t>1468259597228122115</t>
  </si>
  <si>
    <t>@drfahrettinkoca Atama kılavuzu yayınlansın @RTErdogan @drfahrettinkoca</t>
  </si>
  <si>
    <t>1468259580476067841</t>
  </si>
  <si>
    <t>@drfahrettinkoca Covid ten korkmuyorum. Aşınız da güvenmiyorum.</t>
  </si>
  <si>
    <t>1468259565410078722</t>
  </si>
  <si>
    <t>@drfahrettinkoca Hadi oradan kukla seni doğruları açıkla illerin tabelalarından bile sildiniz aşıdan önce asidan so… https://t.co/1FSXDIMIwI</t>
  </si>
  <si>
    <t>1468259547131396098</t>
  </si>
  <si>
    <t>@drfahrettinkoca Daha ne kadar beklemek lazım</t>
  </si>
  <si>
    <t>1468259529292976132</t>
  </si>
  <si>
    <t>@drfahrettinkoca Size sesimizi duyurana kadar yazmaya devam edecegiz tek istegimiz hak ettigimiz emegimizin karsiligi almak #SağlıkcıGrevde</t>
  </si>
  <si>
    <t>1468259497621827585</t>
  </si>
  <si>
    <t>@drfahrettinkoca Paylaşırsanız belki güveniriz sayın bakan</t>
  </si>
  <si>
    <t>1468259462049845254</t>
  </si>
  <si>
    <t>@drfahrettinkoca Sağlıkçılar kılavuzu bekliyor @drfahrettinkoca @RTErdogan</t>
  </si>
  <si>
    <t>1468259456559554569</t>
  </si>
  <si>
    <t>1468259438264004609</t>
  </si>
  <si>
    <t>@drfahrettinkoca Vaka sayıları ve ölümler 3 aydır hic azalmiyor yeter artık sağlıksız sartlar vaf okullarda. #kabineuzaktaneğitimsart</t>
  </si>
  <si>
    <t>1468259380743348236</t>
  </si>
  <si>
    <t>@drfahrettinkoca bırakın bu palavraları.hergün o kadar insana test yaparsanız az bile pozitif cıkıyor.%50 ile doğru… https://t.co/8lopmqPWEo</t>
  </si>
  <si>
    <t>1468259377744384000</t>
  </si>
  <si>
    <t>@drfahrettinkoca Aşılı olup, aşıları tam olup hiç mi ölen yok? Millet büyük oranda aşılandı, neden pandemi bitmedi… https://t.co/yUP1Bk8iJ8</t>
  </si>
  <si>
    <t>1468259375185805312</t>
  </si>
  <si>
    <t>@drfahrettinkoca Bizim bı kılavuz vardı</t>
  </si>
  <si>
    <t>1468259346371035144</t>
  </si>
  <si>
    <t>@drfahrettinkoca 3 doz aşılı teyze kızı yoğun bakımda</t>
  </si>
  <si>
    <t>1468259339446239241</t>
  </si>
  <si>
    <t>@drfahrettinkoca - Madem öyle rakamları açıklayın kaç kişi aşılı öldü, kaç kişi aşısız?  - kalp krizi, felç sayılar… https://t.co/lSwYilLShi</t>
  </si>
  <si>
    <t>1468259329837092864</t>
  </si>
  <si>
    <t>@drfahrettinkoca #CBonaylaKOCAkılavuzuYayımla bekletmenizin sebebi ne</t>
  </si>
  <si>
    <t>1468259326242574345</t>
  </si>
  <si>
    <t>@drfahrettinkoca Biz saglikcilarin  haykırışını duymamazlıktan gelmeye devam edin gün gelir devran döner oy istersiniz</t>
  </si>
  <si>
    <t>1468259309536620545</t>
  </si>
  <si>
    <t>@drfahrettinkoca Aşılı değilim   Korona döneminde hiçbir sıkıntı çekmedim.   Tesadüf olamaz..</t>
  </si>
  <si>
    <t>1468259305409372161</t>
  </si>
  <si>
    <t>@drfahrettinkoca Sağlıkci atama kılavuzu @drfahrettinkoca @RTErdogan</t>
  </si>
  <si>
    <t>1468259303463211008</t>
  </si>
  <si>
    <t>@drfahrettinkoca Kılavuz nerde</t>
  </si>
  <si>
    <t>1468259287646543874</t>
  </si>
  <si>
    <t>@drfahrettinkoca duyun bizi #kabineuzaktaneğitimşart</t>
  </si>
  <si>
    <t>1468259265479598080</t>
  </si>
  <si>
    <t>@drfahrettinkoca E daha neyi bekliyorsunuz ozaman abi kapatsaniza okulları kafeleri v.b</t>
  </si>
  <si>
    <t>1468259234605408257</t>
  </si>
  <si>
    <t>1468259196781084682</t>
  </si>
  <si>
    <t>@drfahrettinkoca Bu iddianız gerçeği yansıtmıyor! Ordu'da yoğun bakımlar aşılı insanlarla dolu. Artık bu söylemleri… https://t.co/oWhEO9EBVs</t>
  </si>
  <si>
    <t>1468259192024752135</t>
  </si>
  <si>
    <t>@drfahrettinkoca Kılavuzu bekliyoruz sayın @drfahrettinkoca</t>
  </si>
  <si>
    <t>1468259185993342980</t>
  </si>
  <si>
    <t>@drfahrettinkoca 1 yıldır sağlıkçı atamayarak mı Salgınla mücadele ediyorsunuz?</t>
  </si>
  <si>
    <t>1468259172944908288</t>
  </si>
  <si>
    <t>@drfahrettinkoca Sağlık atama kılavuzu @drfahrettinkoca @RTErdogan</t>
  </si>
  <si>
    <t>1468259169845358597</t>
  </si>
  <si>
    <t>@drfahrettinkoca İvimiz kira iki küçük çocuğum var kızım dogustan guatır hastası gelişim geriliği var sürekli tedav… https://t.co/XqtHC7uAHd</t>
  </si>
  <si>
    <t>1468259136072822789</t>
  </si>
  <si>
    <t>@drfahrettinkoca 1 yıldır atama bekliyoruz hala aşı diyorsunuz. Çıldırmamak elde değil #40BinAtamayiYapKilicdaroglu https://t.co/4Xb9Yo2UiM</t>
  </si>
  <si>
    <t>1468259135741378560</t>
  </si>
  <si>
    <t>@drfahrettinkoca Ayyyyyy bir şey söyle artık KILAVUUUUZZZZZZZZZZZZZZZZZZZZZZZZZ</t>
  </si>
  <si>
    <t>1468259131949817864</t>
  </si>
  <si>
    <t>@drfahrettinkoca Sağlıkçıları duymak isteyen çok güzel duyuyor #CBonaylaKOCAkılavuzuYayımla</t>
  </si>
  <si>
    <t>1468259128573374465</t>
  </si>
  <si>
    <t>@drfahrettinkoca https://t.co/4oGageYc9B</t>
  </si>
  <si>
    <t>1468259121258504192</t>
  </si>
  <si>
    <t>@drfahrettinkoca Hiç aşı yaptırmamış veya aşısı eksik derken aşısı eksikler kimler? Kaç dozlular tam aşılı olabiliy… https://t.co/dFckMWHuwS</t>
  </si>
  <si>
    <t>1468259111007576064</t>
  </si>
  <si>
    <t>@drfahrettinkoca Aşılanmış kişilerde kalp krizi pıhtıcık atma felç gibi yan etkileri olması da tesadüf değil dimi</t>
  </si>
  <si>
    <t>1468259110739189762</t>
  </si>
  <si>
    <t>@drfahrettinkoca HES uygulamasını tamamen kaldırmalısınız. HAYAT EVE SIĞMAZ SIĞMADI SIĞMAYACAK  İNSANIZ BİZ, ROBOT… https://t.co/2OBL4PmaOq</t>
  </si>
  <si>
    <t>1468259109870915589</t>
  </si>
  <si>
    <t>@drfahrettinkoca #CBonaylaKOCAklavuzuyayımla</t>
  </si>
  <si>
    <t>1468259105953525769</t>
  </si>
  <si>
    <t>@drfahrettinkoca Bakanım Lütfen En Azından Branş Dağılımını Açıklayınız .</t>
  </si>
  <si>
    <t>1468259098458210305</t>
  </si>
  <si>
    <t>@drfahrettinkoca Sağlıkçılar atama kılavuzunu yayınlayın @drfahrettinkoca @RTErdogan</t>
  </si>
  <si>
    <t>1468259081135796224</t>
  </si>
  <si>
    <t>@drfahrettinkoca Hiçbir işe yaramadığı gibi insanlar arasında tartışmalara sebep olan ANLAMSIZ MASKE MECBURİYETİ de… https://t.co/Qk3UlNyFgP</t>
  </si>
  <si>
    <t>1468259078023651339</t>
  </si>
  <si>
    <t>@drfahrettinkoca Aşılanmış kişilerde kalp krizi pıhtıcık atma felç gibi yan etkileri olması da tesadüf değilllll</t>
  </si>
  <si>
    <t>1468259077541216261</t>
  </si>
  <si>
    <t>@drfahrettinkoca Aşılanmış kişilerde kalp krizi pıhtıcık atma felç gibi yan etkileri olması da tesadüf değil</t>
  </si>
  <si>
    <t>1468259059065405453</t>
  </si>
  <si>
    <t>@drfahrettinkoca Ondan sonra nasıl oy kaybediyoruz böyle daha da çok kaybedeceksiniz emin olun</t>
  </si>
  <si>
    <t>1468259053117845508</t>
  </si>
  <si>
    <t>@drfahrettinkoca Kılavuz demekten bıktık #CBonaylaKOCAklavuzuyayımla</t>
  </si>
  <si>
    <t>1468259048915181571</t>
  </si>
  <si>
    <t>@drfahrettinkoca #CBonaylaKOCAkılavuzuYayımla bir yıl dahamı beklicrz</t>
  </si>
  <si>
    <t>1468259048315310082</t>
  </si>
  <si>
    <t>1468259030636314630</t>
  </si>
  <si>
    <t>1468259029629681668</t>
  </si>
  <si>
    <t>@drfahrettinkoca Güvenelim sayın bakanım ama 2020 yılın da grip'ten kaç kişi, kovid'ten kaç kişi öldü ve toplam ölü… https://t.co/O9BkOyfeMC</t>
  </si>
  <si>
    <t>1468259018569302019</t>
  </si>
  <si>
    <t>@drfahrettinkoca artık üniversite öğrencilerini duyun lütfen altmış kişilik sınıfta elli dakika kapı pencere kapalı… https://t.co/rcOfBq9XJ3</t>
  </si>
  <si>
    <t>1468259016421912580</t>
  </si>
  <si>
    <t>@drfahrettinkoca Syn Bakan,Ülkemizde covid ile mücadele başıboş bırakıldı.Eskisi gibi denetimler yok,okulları geçen… https://t.co/ismLzAnFCn</t>
  </si>
  <si>
    <t>1468259006552719363</t>
  </si>
  <si>
    <t>@drfahrettinkoca Annem rahatsız bakacak 1 tane doktorun yok pozitif diye. Hastaneye gidersek olduğu gibi yoğun bakı… https://t.co/Kz762SdvPE</t>
  </si>
  <si>
    <t>1468258992409526285</t>
  </si>
  <si>
    <t>@drfahrettinkoca 1 yıldır alim yok sayın bakanım yeter artık tükendik</t>
  </si>
  <si>
    <t>1468258982431272965</t>
  </si>
  <si>
    <t>@drfahrettinkoca #CBonaylaKOCAkılavuzuYayımla bir yıl geçti</t>
  </si>
  <si>
    <t>1468258979004485632</t>
  </si>
  <si>
    <t>@drfahrettinkoca Aşıdan başka bişey bilmez misin be valla yeter ya binlerce kişi her gün binlerce tweet atıyor biri… https://t.co/F6r2rtxhK3</t>
  </si>
  <si>
    <t>1468258960650260493</t>
  </si>
  <si>
    <t>@drfahrettinkoca KILAVUZ BEKLİYORUZ!!!!! BU KADAR DUYARSIZ OLAMAZSINIZ BİZE KARŞI #CBonaylaKOCAkılavuzuYayımla</t>
  </si>
  <si>
    <t>1468258940236570625</t>
  </si>
  <si>
    <t>@drfahrettinkoca Az kaldı sabredin demiştiniz sayın bakanım Atama kılavuzunun yayınlamasını istiyoruz @RTErdogan @drfahrettinkoca</t>
  </si>
  <si>
    <t>1468258929868259336</t>
  </si>
  <si>
    <t>@drfahrettinkoca Bakanım Lütfen Bugün Kılavuz Yayınlayınız . #CBonaylaKOCAkılavuzuYayımla</t>
  </si>
  <si>
    <t>1468258921836126213</t>
  </si>
  <si>
    <t>@drfahrettinkoca Bakanım kılavuzz</t>
  </si>
  <si>
    <t>1468258920070320130</t>
  </si>
  <si>
    <t>@drfahrettinkoca Ablam 30 yaşında aşısız yoğun bakımda , Aşılı 50 yaşında tanıdıklarım hafif atlatıyor</t>
  </si>
  <si>
    <t>1468258913657237514</t>
  </si>
  <si>
    <t>@drfahrettinkoca online istiyoruz  #kabineuzaktaneğitimsart</t>
  </si>
  <si>
    <t>1468258903075045376</t>
  </si>
  <si>
    <t>@drfahrettinkoca #CBonaylaKOCAkılavuzuYayımla klavuz artık</t>
  </si>
  <si>
    <t>1468258901099438086</t>
  </si>
  <si>
    <t>@drfahrettinkoca Siz bu zihniyetle hiçbirşeyi yönetemezsiniz atama nerde klavuz nerde  @drfahrettinkoca</t>
  </si>
  <si>
    <t>1468258888558518282</t>
  </si>
  <si>
    <t>@drfahrettinkoca Bakanım kipavuz</t>
  </si>
  <si>
    <t>1468258875132583949</t>
  </si>
  <si>
    <t>@drfahrettinkoca Sana zerre güvenmiyoruz, bırak git bakanlığı halen aşı hikayesi..</t>
  </si>
  <si>
    <t>1468258842727309312</t>
  </si>
  <si>
    <t>@drfahrettinkoca Online istiyoruz onlineeee  #KabineZKusağıOnlineİstiyor</t>
  </si>
  <si>
    <t>1468258824465403904</t>
  </si>
  <si>
    <t>@drfahrettinkoca Okullar kapansın</t>
  </si>
  <si>
    <t>1468258823118991368</t>
  </si>
  <si>
    <t>@drfahrettinkoca Artık bu tabloda yer alan aşılanmış nüfus bilgilerini , mrn aşılarına göre güncellemek gerekmiyor mu ?</t>
  </si>
  <si>
    <t>1468258823102152705</t>
  </si>
  <si>
    <t>1468258819990032390</t>
  </si>
  <si>
    <t>@drfahrettinkoca Kılavuzu ve en erken tarihte iş başı yapmak istiyoruz</t>
  </si>
  <si>
    <t>1468258811052011536</t>
  </si>
  <si>
    <t>@drfahrettinkoca Akrabam 3 aşısının oldu ama 10 gün yoğun bakımdan sonra vefat etti</t>
  </si>
  <si>
    <t>1468258810393468936</t>
  </si>
  <si>
    <t>@drfahrettinkoca Ülkenin % 80 i aşılı hala maval okuyorsun...</t>
  </si>
  <si>
    <t>1468258805066739721</t>
  </si>
  <si>
    <t>@drfahrettinkoca Biz artık sizin sözlerinize güvenemiyoruz. Zira hala kılavuz yok ve aralıkta bitmek üzere. Teşekkürler!</t>
  </si>
  <si>
    <t>1468258804370391053</t>
  </si>
  <si>
    <t>@drfahrettinkoca #CBonaylaKOCAkılavuzuYayımla</t>
  </si>
  <si>
    <t>1468258793494560775</t>
  </si>
  <si>
    <t>@drfahrettinkoca Atamayı açıklayın artık bakanım @RTErdogan @drfahrettinkoca</t>
  </si>
  <si>
    <t>1468258790831271940</t>
  </si>
  <si>
    <t>@drfahrettinkoca #kabineuzaktaneğitimşart Sağlık Bakanı @drfahrettinkoca : 'Türkiye'de Omicron varyantı saptanmadı'… https://t.co/fA4V9hRT63</t>
  </si>
  <si>
    <t>1468258787521871877</t>
  </si>
  <si>
    <t>@drfahrettinkoca Artık kılavuz gelmeli!</t>
  </si>
  <si>
    <t>1468258779405991940</t>
  </si>
  <si>
    <t>@drfahrettinkoca Kılavuz bakanım</t>
  </si>
  <si>
    <t>1468258776398577666</t>
  </si>
  <si>
    <t>@drfahrettinkoca Size güvenmiyoruz ama sayın bakanım. Birkaç ay içinde, 3 ay içinde, bu ay içinde, birkaç gün içind… https://t.co/8TbhSHIsqw</t>
  </si>
  <si>
    <t>1468258776188870666</t>
  </si>
  <si>
    <t>@drfahrettinkoca Kılavuzzz hakkımızı verin artık lütfen</t>
  </si>
  <si>
    <t>1468258768207196169</t>
  </si>
  <si>
    <t>@drfahrettinkoca K ı l a v u z !!!!!!</t>
  </si>
  <si>
    <t>1468258749810946053</t>
  </si>
  <si>
    <t>@drfahrettinkoca Klavuuuuuz</t>
  </si>
  <si>
    <t>1468258749085368329</t>
  </si>
  <si>
    <t>@drfahrettinkoca bizi o kadar görmezden geliyorsunuz ki. kılavuz nerede ?</t>
  </si>
  <si>
    <t>1468258741925691396</t>
  </si>
  <si>
    <t>@drfahrettinkoca Kılavuz nerede</t>
  </si>
  <si>
    <t>1468258737588785164</t>
  </si>
  <si>
    <t>@drfahrettinkoca Bakanım sizce gerçekten şu an tek sorunumuz covid mi  #CBonaylaKOCAkılavuzuYayımla</t>
  </si>
  <si>
    <t>1468258731133751303</t>
  </si>
  <si>
    <t>@drfahrettinkoca Yeter artık ya yeter yeter bu twitleri görüp bakana ulastirmayininda Allah hesabını sorsun ondan</t>
  </si>
  <si>
    <t>1468258730756161542</t>
  </si>
  <si>
    <t>1468258720345960451</t>
  </si>
  <si>
    <t>@drfahrettinkoca Her tweetinizin covid olması... Kılavuz ne zaman yayınlanacak?? #CBonaylaKOCAkılavuzuYayımla</t>
  </si>
  <si>
    <t>1468258700158808065</t>
  </si>
  <si>
    <t>@drfahrettinkoca Kılavuz Nerde</t>
  </si>
  <si>
    <t>1468258694915895297</t>
  </si>
  <si>
    <t>1468258694383157253</t>
  </si>
  <si>
    <t>@drfahrettinkoca Kılavuz bakanım 🥺</t>
  </si>
  <si>
    <t>1468258673063514112</t>
  </si>
  <si>
    <t>@drfahrettinkoca KILAVUZ GELSIN LÜTFEN</t>
  </si>
  <si>
    <t>1468258669771075591</t>
  </si>
  <si>
    <t>1468258669745815561</t>
  </si>
  <si>
    <t>@drfahrettinkoca 4-0 GOLLLLLLL 💛💙</t>
  </si>
  <si>
    <t>1468258660564492305</t>
  </si>
  <si>
    <t>1468258655770492931</t>
  </si>
  <si>
    <t>@drfahrettinkoca Türkiye'nin her yerinde atanamamış TERCİH KILAVUZU bekleyen sağlıkçı var. @drfahrettinkoca  #CBonaylaKOCAkılavuzuYayımla</t>
  </si>
  <si>
    <t>1468258641086234631</t>
  </si>
  <si>
    <t>1468258630520688654</t>
  </si>
  <si>
    <t>@drfahrettinkoca Kpss nin en başarılı grubu fizyoterapistler atama bekliyor</t>
  </si>
  <si>
    <t>1468258625223380993</t>
  </si>
  <si>
    <t>@drfahrettinkoca Bu hafta kılavuzu görmek isteriz sayin bakan #CBonaylaKOCAkılavuzuYayımla</t>
  </si>
  <si>
    <t>1468258621423501313</t>
  </si>
  <si>
    <t>@drfahrettinkoca Veya aşıları tamamlanmamış derken 5. Dozu olmayanlardan bahsediyor arkadaşımız.</t>
  </si>
  <si>
    <t>1468258599138910215</t>
  </si>
  <si>
    <t>@drfahrettinkoca Her gün 2 uçak düşüyor be</t>
  </si>
  <si>
    <t>1468258590607695874</t>
  </si>
  <si>
    <t>@drfahrettinkoca Aman kılavuzu açıklarsınız</t>
  </si>
  <si>
    <t>1468258571485909001</t>
  </si>
  <si>
    <t>1468258567941677056</t>
  </si>
  <si>
    <t>@drfahrettinkoca Klavuzu nerdeeeee</t>
  </si>
  <si>
    <t>1468258539936354305</t>
  </si>
  <si>
    <t>@drfahrettinkoca Allah aşkına kılavuz kılavuz kılavuz</t>
  </si>
  <si>
    <t>1468258535934988292</t>
  </si>
  <si>
    <t>@drfahrettinkoca Kılavuz gelsin artık</t>
  </si>
  <si>
    <t>1468258507506044928</t>
  </si>
  <si>
    <t>@drfahrettinkoca Kılavuz ???</t>
  </si>
  <si>
    <t>1468258502883872768</t>
  </si>
  <si>
    <t>@drfahrettinkoca Bakalım klavuz??</t>
  </si>
  <si>
    <t>1468258491542425613</t>
  </si>
  <si>
    <t>@drfahrettinkoca Klavuz gelsin</t>
  </si>
  <si>
    <t>1468258467542708225</t>
  </si>
  <si>
    <t>@drfahrettinkoca Kılavuz???????</t>
  </si>
  <si>
    <t>1468258462069055498</t>
  </si>
  <si>
    <t>@drfahrettinkoca https://t.co/IVmAuLVKkv</t>
  </si>
  <si>
    <t>1468258411884294154</t>
  </si>
  <si>
    <t>@drfahrettinkoca 3 doz sinovac olanlara neden 4.doz açılmıyor sayın bakanım. Neredeyse 6 ay oldu.</t>
  </si>
  <si>
    <t>1469059835870199809</t>
  </si>
  <si>
    <t>@drfahrettinkoca Atama için kılavuz bekleyen binlerce genci ne zaman mutlu edeceksiniz.</t>
  </si>
  <si>
    <t>1469023243810004994</t>
  </si>
  <si>
    <t>@drfahrettinkoca https://t.co/wXV3UBXRZv</t>
  </si>
  <si>
    <t>1468994575012401166</t>
  </si>
  <si>
    <t>@drfahrettinkoca https://t.co/NZFQIYTuSL</t>
  </si>
  <si>
    <t>1468994080000679939</t>
  </si>
  <si>
    <t>@drfahrettinkoca https://t.co/rDWyRADZdd</t>
  </si>
  <si>
    <t>1468992583703711745</t>
  </si>
  <si>
    <t>@drfahrettinkoca https://t.co/tNP0Jg4Xxm</t>
  </si>
  <si>
    <t>1468992364689641475</t>
  </si>
  <si>
    <t>@drfahrettinkoca Siz bu yalanlardan bıkmadınız ama biz sizden bıktık!Hiçbir Aşınızı olmadım C19 a yakalanmadım,mask… https://t.co/7JkppmfHkV</t>
  </si>
  <si>
    <t>1468987329931104258</t>
  </si>
  <si>
    <t>@drfahrettinkoca 10 ay mı, bu şahıs dalga mı geçiyor milletle, eğer gelecekte ölümler olması gerekenden 2 yada 3 ka… https://t.co/Sm0M2OPf0l</t>
  </si>
  <si>
    <t>1468967451052232721</t>
  </si>
  <si>
    <t>@drfahrettinkoca @saglikbakanligi 4ncu doz biontec çok   ağrı yapıyor kolda</t>
  </si>
  <si>
    <t>1468962523059666951</t>
  </si>
  <si>
    <t>@drfahrettinkoca https://t.co/sAjNUC1kxj</t>
  </si>
  <si>
    <t>1468958921750507529</t>
  </si>
  <si>
    <t>@drfahrettinkoca Bunun yalan olduğunu sizde biliyorsunuz. Covid yalanları ortaya çıktığı zaman yüzünüz kızarıyor, t… https://t.co/S5aTjyyk2o</t>
  </si>
  <si>
    <t>1468927594611499012</t>
  </si>
  <si>
    <t>@drfahrettinkoca https://t.co/WAy2RtrCfS</t>
  </si>
  <si>
    <t>1468912288618921993</t>
  </si>
  <si>
    <t>@drfahrettinkoca BİZDEKİ TARİKATLAR VE CEMAATLER NERDESİNİZ  ‼️👇‼️  Katolik Rahip Edward Meeks:   "Hiçbir dünyevi k… https://t.co/LDkm6Jri3t</t>
  </si>
  <si>
    <t>1468911871017295872</t>
  </si>
  <si>
    <t>@drfahrettinkoca https://t.co/iMvBjHh744</t>
  </si>
  <si>
    <t>1468910464100929539</t>
  </si>
  <si>
    <t>@drfahrettinkoca https://t.co/Tt3Pm59SYY</t>
  </si>
  <si>
    <t>1468910366235279363</t>
  </si>
  <si>
    <t>@drfahrettinkoca !KILAVUZ!!!!!!!!!!!!!!!??????????</t>
  </si>
  <si>
    <t>1468851524470194176</t>
  </si>
  <si>
    <t>@drfahrettinkoca TL'yi Dolara çevirip tutanlara ağır vergi uygulansın. Döviz alırken %25 satarkende %25 vergi alıns… https://t.co/eSAm1zurU2</t>
  </si>
  <si>
    <t>1468834789008498688</t>
  </si>
  <si>
    <t>@drfahrettinkoca Adana lı'lar, bir'isi ayak'ta Uyu'yor'sa O'na der'ler'ki :GÖZ'LER'İN YOĞURT MU YE'MİŞ.?</t>
  </si>
  <si>
    <t>1468829146637811712</t>
  </si>
  <si>
    <t>@drfahrettinkoca Sana ve dr larina diyecek söz bulamiyorum artk. Asi olmadik komple saglimz gayrt iyi. Asi olan nek… https://t.co/oWh7JgOSJP</t>
  </si>
  <si>
    <t>1468701026559610888</t>
  </si>
  <si>
    <t>@drfahrettinkoca Yüzde 60 asilaninca bağışıklık olacakti. NE OLDU BAKAN PEY https://t.co/SHzvIT855t</t>
  </si>
  <si>
    <t>1468687741856722951</t>
  </si>
  <si>
    <t>@drfahrettinkoca İlac kullananlarin da yüzde 95 i hastalığı hafif atlatiyordu degil mi? NİYE İLACLARİ VERMİYONUZ AR… https://t.co/UOWJQ5dFs6</t>
  </si>
  <si>
    <t>1468687373227769860</t>
  </si>
  <si>
    <t>@drfahrettinkoca bu aşısızlar dediğiniz çift doz biontec üstünden 6 ay geçenler olmasın..?</t>
  </si>
  <si>
    <t>1468675788010672128</t>
  </si>
  <si>
    <t>@drfahrettinkoca Ben senden şüphelenmeye başladım sen bu aşılardan bir şeyler kazanıyorsun herhalde ,bu ülkenin Cov… https://t.co/9ruqt312kK</t>
  </si>
  <si>
    <t>1468669055431327749</t>
  </si>
  <si>
    <t>@drfahrettinkoca Ya aşıdan ölenler ?kalp krizi geçirenler? Kalp kapakçığı iltihabı ve pıhtı atanlar bunlardan bahse… https://t.co/BNX4gBlS9F</t>
  </si>
  <si>
    <t>1468668307742072834</t>
  </si>
  <si>
    <t>@drfahrettinkoca Bu haritaya göre  turuncu olan yerler vakada ve vefatta  birinci sırada olması gerekir, lakin vaka… https://t.co/1B9LGaIONF</t>
  </si>
  <si>
    <t>1468668049981317121</t>
  </si>
  <si>
    <t>@drfahrettinkoca Her gün Covid den. 200 kişi ölüyor diyorsun , şimdi doğru söyle, aşılsrdan sonra  kalp ölümlerinin… https://t.co/cmVCoGMYZa</t>
  </si>
  <si>
    <t>1468667001329569796</t>
  </si>
  <si>
    <t>@drfahrettinkoca Geber Fahrettin geber</t>
  </si>
  <si>
    <t>1468665842640605187</t>
  </si>
  <si>
    <t>@drfahrettinkoca Şanlıurfa’da öyle değil sanki? İnsanları aldatmayı ne kadar da çok seviyorsunuz?</t>
  </si>
  <si>
    <t>1468664087819264007</t>
  </si>
  <si>
    <t>@drfahrettinkoca Tabi tabi</t>
  </si>
  <si>
    <t>1468662466511097860</t>
  </si>
  <si>
    <t>@drfahrettinkoca #sağlıkbakanligiatama</t>
  </si>
  <si>
    <t>1468641424488947721</t>
  </si>
  <si>
    <t>@drfahrettinkoca https://t.co/r2G7sRd5Qc</t>
  </si>
  <si>
    <t>1468639653758738435</t>
  </si>
  <si>
    <t>@drfahrettinkoca Salgını iki evrede ele alalım, aşıdan önce aşıyla katledildikten sonra https://t.co/kS8Ee41gG2</t>
  </si>
  <si>
    <t>1468635932278546439</t>
  </si>
  <si>
    <t>@drfahrettinkoca İnsanları korkutuyor ilaç ve hastanenin kucağına atıyorsunuz. Sonrada ooooo piti piti..</t>
  </si>
  <si>
    <t>1468632625237663755</t>
  </si>
  <si>
    <t>@drfahrettinkoca Sana güvenmiyoruzki verdiğin sonuçlara güvenelim. Seninde Millete bunları dayatman tesadüf değil.… https://t.co/5O3P8jm12D</t>
  </si>
  <si>
    <t>1468630038111268872</t>
  </si>
  <si>
    <t>@drfahrettinkoca @drfahrettinkoca @RTErdogan  siz nasıl insanlarsınız hayatımızı kararttınız gençliğimizi  kanımızı… https://t.co/WG8rPN6rU9</t>
  </si>
  <si>
    <t>1469772040509001740</t>
  </si>
  <si>
    <t>@drfahrettinkoca Aşılı ölenler de hafif mi ölüyor?</t>
  </si>
  <si>
    <t>1469769035193663498</t>
  </si>
  <si>
    <t>@drfahrettinkoca Ne anlatıyosunuz bakanım. Hastanelerde yoğun bakımlarda yatan hastaların %90 aşılı hasta kimi kand… https://t.co/74U8FV8JGV</t>
  </si>
  <si>
    <t>1469298011788431363</t>
  </si>
  <si>
    <t>@drfahrettinkoca ben aşı olmadım olmamda.grip gibi atlattım.annem babam kronik hasta ,kardeşim alerjik astım.Hic bi… https://t.co/Q0vJWVXkEn</t>
  </si>
  <si>
    <t>1469234528166236161</t>
  </si>
  <si>
    <t>@drfahrettinkoca Şimdi yapacağınız tek şey;Der Spiegel dergisine konuşan Şahin, "Eğer Omicron varyantı yayılmaya de… https://t.co/Z76gIf4L3M</t>
  </si>
  <si>
    <t>1469220171718041600</t>
  </si>
  <si>
    <t>@drfahrettinkoca Kendisi aşı olmuş muydu? Olduysa kaç tane? Kanser tedavisi görüyormuş ancak ölüm sebebi kansere mi… https://t.co/sTsAjiFbIl</t>
  </si>
  <si>
    <t>1468324666800590850</t>
  </si>
  <si>
    <t>@drfahrettinkoca Atanamayan saglikcilarla ilgilensen artık.</t>
  </si>
  <si>
    <t>1468324418090946560</t>
  </si>
  <si>
    <t>@drfahrettinkoca Ne dedi?</t>
  </si>
  <si>
    <t>1468320518835159042</t>
  </si>
  <si>
    <t>@drfahrettinkoca Evil forces will plan to destroy Pakistan financially, and ask Pakistan to give back the loan it w… https://t.co/jD45hGiwxk</t>
  </si>
  <si>
    <t>1468317987450994690</t>
  </si>
  <si>
    <t>@drfahrettinkoca #kabineuzaktaneğitimşart</t>
  </si>
  <si>
    <t>1468306990741004294</t>
  </si>
  <si>
    <t>@drfahrettinkoca BAKAN budur Rahmetli Osman Durmus  insanlarimiz denek olarak kullanilacaktir baska soze gerek varm… https://t.co/iahQy59u5T</t>
  </si>
  <si>
    <t>1468306221606346765</t>
  </si>
  <si>
    <t>@drfahrettinkoca Amin</t>
  </si>
  <si>
    <t>1468300138372345864</t>
  </si>
  <si>
    <t>@drfahrettinkoca @drfahrettinkoca  oku bakayım https://t.co/p3Cl9O5eTK</t>
  </si>
  <si>
    <t>1468296366774439940</t>
  </si>
  <si>
    <t>@drfahrettinkoca Eeeeee????</t>
  </si>
  <si>
    <t>1468293708848246785</t>
  </si>
  <si>
    <t>@drfahrettinkoca zararlı aşıdan sonra #biontechyanetki  binlerce kişi öldü,felç oldu vs,tek kelime etmiyor. bir kiş… https://t.co/E6GyPEBfP3</t>
  </si>
  <si>
    <t>1468288603386220548</t>
  </si>
  <si>
    <t>1468285169291436037</t>
  </si>
  <si>
    <t>@drfahrettinkoca Tedbirsizlik yüzünden ölen her insan eşi ,dostu ve akrabaları için büyüktür.Gerisi zerre kadar kimseyi üzmez ilgilendirmez.</t>
  </si>
  <si>
    <t>1468282494772514824</t>
  </si>
  <si>
    <t>@drfahrettinkoca Kaç dozdan sonra vefat etti.</t>
  </si>
  <si>
    <t>1468275077816934402</t>
  </si>
  <si>
    <t>@drfahrettinkoca Allah rahmet eylesin mekanı cennet olsun inşallah</t>
  </si>
  <si>
    <t>1468259440407289866</t>
  </si>
  <si>
    <t>@drfahrettinkoca Sayın KOCA amacın bizleri şubat mart nisan gibi mi işe başlatmak kosKOCA bakanlığa hiç mi bütçe alamadın? KLAVUZ NE OLDU</t>
  </si>
  <si>
    <t>1468256878597709833</t>
  </si>
  <si>
    <t>@drfahrettinkoca #tıbbicihaz firmalarına ödeme yapmazsanız bizimde hayatımız son bulacak #tedarikdurdu ğu gibi!… https://t.co/mOPXqf3B2G</t>
  </si>
  <si>
    <t>1468253519648075782</t>
  </si>
  <si>
    <t>@drfahrettinkoca Hocam 4 saattir dr Sadi konuk eğitim ve araştırma hastanesinde acilde sıra bekliyorum daha ne kada… https://t.co/HsM2alc8L6</t>
  </si>
  <si>
    <t>1468252016271056903</t>
  </si>
  <si>
    <t>@drfahrettinkoca 🤲</t>
  </si>
  <si>
    <t>1468249716529979393</t>
  </si>
  <si>
    <t>@drfahrettinkoca Aşı falan olmayın ya haftada 2 pcr yalanına kanmayın.Aşı olup da felçli kalmayın</t>
  </si>
  <si>
    <t>1468248871746822145</t>
  </si>
  <si>
    <t>@drfahrettinkoca Lan hasta oluyon doktora gidiyon doktor teste yollamıyor.Testi de parayla istersen gidip kendin ya… https://t.co/jqdf9VGyM6</t>
  </si>
  <si>
    <t>1468248452438142987</t>
  </si>
  <si>
    <t>@drfahrettinkoca Derdiniz sağlık olsa 2017 test kiti değil gıda stoklamaya başlardınız,derdiniz sağlık olsa gdo lu… https://t.co/iOK91BCa4e</t>
  </si>
  <si>
    <t>1468247766082195465</t>
  </si>
  <si>
    <t>@drfahrettinkoca Kılavuz bekliyoruz bakanım</t>
  </si>
  <si>
    <t>1468245172580458515</t>
  </si>
  <si>
    <t>@drfahrettinkoca Bizim de hayatımız hayallerimiz umutlarımız sizin yüzünüzden son buluyor ..</t>
  </si>
  <si>
    <t>1468245119275094039</t>
  </si>
  <si>
    <t>@drfahrettinkoca https://t.co/1yDfxF0fyn</t>
  </si>
  <si>
    <t>1468241397681729555</t>
  </si>
  <si>
    <t>@drfahrettinkoca kılavuz nerde bakanım ?</t>
  </si>
  <si>
    <t>1468240816342810628</t>
  </si>
  <si>
    <t>@drfahrettinkoca Allah cc rahmet eylesin</t>
  </si>
  <si>
    <t>1468238443574669324</t>
  </si>
  <si>
    <t>@drfahrettinkoca Acil #OnlineEğitim</t>
  </si>
  <si>
    <t>1468236827005964293</t>
  </si>
  <si>
    <t>@drfahrettinkoca "Evrim teorisi İslâm ile çelişmez" diyen birine rahmet okumak ... Zor dostum zor ... Her açıdan ço… https://t.co/coPZqEiwdf</t>
  </si>
  <si>
    <t>1468235670732820495</t>
  </si>
  <si>
    <t>@drfahrettinkoca Sizin arkanizdan nasil tvit atilacak acaba? Hic dusundunuzmu? Olum herkesin basinda!dusunce meleke… https://t.co/2e0wXr3VPe</t>
  </si>
  <si>
    <t>1468234015606026249</t>
  </si>
  <si>
    <t>@drfahrettinkoca Hastanelerde insanlar ameliyat olamıyor, acı içinde kıvranıyorlar bir yakınimda aynı şekilde kalça… https://t.co/Rhf1jCznCB</t>
  </si>
  <si>
    <t>1468232460165128194</t>
  </si>
  <si>
    <t>@drfahrettinkoca Sayın Bakanım kolumdan ameliyat olmam lazım bana yardımcı olursan sevinirim</t>
  </si>
  <si>
    <t>1468227994066071565</t>
  </si>
  <si>
    <t>@drfahrettinkoca Babam korona nedeni ile bugün yoğun bakıma alındı. Durumunun ciddi olduğunu soyluyorlar.Kendisi 1… https://t.co/efL1ZvVtZj</t>
  </si>
  <si>
    <t>1468224354383273985</t>
  </si>
  <si>
    <t>@drfahrettinkoca Sayın Fahrettin bey. Bugün eşim sizin aşı dediğiniz zehri olmak zorunda kalıyor. Eğer eşime birşey… https://t.co/hEjtAxPkDz</t>
  </si>
  <si>
    <t>1468220549876916227</t>
  </si>
  <si>
    <t>@drfahrettinkoca Onkoloji servislerinde yatan hasta ve hasta yakınlarının istediği psikolojik desteğin sağlanması,… https://t.co/HVdsmdz4vG</t>
  </si>
  <si>
    <t>1468220212260610055</t>
  </si>
  <si>
    <t>@drfahrettinkoca BİZDEKİ TARİKATLAR VE CEMAATLER NERDESİNİZ  ‼️👇‼️  Katolik Rahip Edward Meeks:   "Hiçbir dünyevi k… https://t.co/jrSThQcAAK</t>
  </si>
  <si>
    <t>1468911900146782208</t>
  </si>
  <si>
    <t>@drfahrettinkoca https://t.co/3ZJSStvX65</t>
  </si>
  <si>
    <t>1468910480844599297</t>
  </si>
  <si>
    <t>@drfahrettinkoca https://t.co/YKbZYkRPGs</t>
  </si>
  <si>
    <t>1468910385533177856</t>
  </si>
  <si>
    <t>@drfahrettinkoca Allah rahmet eylesin</t>
  </si>
  <si>
    <t>1468860518609952775</t>
  </si>
  <si>
    <t>@drfahrettinkoca @drfahrettinkoca @RTErdogan  siz nasıl insanlarsınız hayatımızı kararttınız gençliğimizi  kanımızı… https://t.co/m2NrL36Jil</t>
  </si>
  <si>
    <t>1469772066031345676</t>
  </si>
  <si>
    <t>@drfahrettinkoca Daha geçen gün TRT 2 de ders verirken izlemiştim. Allah rahmet eylesin</t>
  </si>
  <si>
    <t>1468001446755016708</t>
  </si>
  <si>
    <t>@drfahrettinkoca 3 mü 4 mü kaç doz cavitaşı lıydı #fahrettinkoca https://t.co/aJ93rhCvie</t>
  </si>
  <si>
    <t>1468001325212393479</t>
  </si>
  <si>
    <t>@drfahrettinkoca Kaç dozluydu?</t>
  </si>
  <si>
    <t>1467999978832465922</t>
  </si>
  <si>
    <t>@drfahrettinkoca Maske zehirdir</t>
  </si>
  <si>
    <t>1467998269838139394</t>
  </si>
  <si>
    <t>@drfahrettinkoca Başkanım nasılsınız ya epeydir uğramıyorum buralara</t>
  </si>
  <si>
    <t>1467996266479165444</t>
  </si>
  <si>
    <t>@drfahrettinkoca ALLAH RAHMET EYLESİN MEKANI CENNET OLSUN İNŞALLAH</t>
  </si>
  <si>
    <t>1467994972574130177</t>
  </si>
  <si>
    <t>@drfahrettinkoca Z kuşağı Online istiyor</t>
  </si>
  <si>
    <t>1467988075661996037</t>
  </si>
  <si>
    <t>@drfahrettinkoca Kabine öğrenciler Online istiyor</t>
  </si>
  <si>
    <t>1467988039456759820</t>
  </si>
  <si>
    <t>@drfahrettinkoca Öğrencilerin sesini duyun artık</t>
  </si>
  <si>
    <t>1467988003679318017</t>
  </si>
  <si>
    <t>@drfahrettinkoca Online eğitim istiyoruz sağlığımız için</t>
  </si>
  <si>
    <t>1467987971936825353</t>
  </si>
  <si>
    <t>@drfahrettinkoca Online eğitim istek değil zorunluluktur</t>
  </si>
  <si>
    <t>1467987943256211466</t>
  </si>
  <si>
    <t>@drfahrettinkoca Online eğitim istiyoruz öğrencilerin sesini duyun artık</t>
  </si>
  <si>
    <t>1467987738695802888</t>
  </si>
  <si>
    <t>@drfahrettinkoca Önleme eğitim istiyoruz</t>
  </si>
  <si>
    <t>1467987685834903557</t>
  </si>
  <si>
    <t>@drfahrettinkoca Allah rahmet eylesin.Bakanım bizdede ölen var mesala hayallerimiz zamanımız umutlarımız ölüyor pek… https://t.co/pIq9UVtsZ3</t>
  </si>
  <si>
    <t>1467987571942821891</t>
  </si>
  <si>
    <t>@drfahrettinkoca Bakan bey  #tıbbicihaz ın hali ne olacak isterseniz siz bu görevi türk milleti adına içinden çıkıl… https://t.co/o2PdfOWotW</t>
  </si>
  <si>
    <t>1467985873396510723</t>
  </si>
  <si>
    <t>@drfahrettinkoca ????? https://t.co/ljaujU0G0x</t>
  </si>
  <si>
    <t>1467985276073091075</t>
  </si>
  <si>
    <t>@drfahrettinkoca Medipole tanılan ayrıcalıklardan istiyoruz. Online eğitim yaşatır.! #kabineuzaktaneğitimsart</t>
  </si>
  <si>
    <t>1467984008487346181</t>
  </si>
  <si>
    <t>@drfahrettinkoca Sn bakanım can güvenliğimiz yok her gün covid vakası duyuyorum okulum da çok korkuyoruz annem kron… https://t.co/xQe3SQ4Bqd</t>
  </si>
  <si>
    <t>1467983463710081024</t>
  </si>
  <si>
    <t>@drfahrettinkoca https://t.co/5kEVpHTXPS</t>
  </si>
  <si>
    <t>1467983393250021383</t>
  </si>
  <si>
    <t>@drfahrettinkoca Kesin aşı karşıtıydı .</t>
  </si>
  <si>
    <t>1467981565842149376</t>
  </si>
  <si>
    <t>@drfahrettinkoca #kabineuzaktaneğitimsart bizleri düşünün bizimdw canımız var sağlımızı riske atıp kotu sonuclar el… https://t.co/KnZJKc9msu</t>
  </si>
  <si>
    <t>1467979490152394761</t>
  </si>
  <si>
    <t>@drfahrettinkoca https://t.co/75yaoxVjEO A..ş..sızdı demediğinize göre o da kçete soykırımı kurbanı olmuş. Allah rahmet eylesin.</t>
  </si>
  <si>
    <t>1467979285982060548</t>
  </si>
  <si>
    <t>@drfahrettinkoca Eve kapanınca kimse 1 kuruş para vermiyor.Herkesin sabit maaşı yok.Herkes memur değil.Çoğu insan g… https://t.co/HAobuSC9yf</t>
  </si>
  <si>
    <t>1467978736662417413</t>
  </si>
  <si>
    <t>@drfahrettinkoca Seni arkandan böyle anmayacağız biliyorsun değil mi?</t>
  </si>
  <si>
    <t>1467978468814114819</t>
  </si>
  <si>
    <t>@drfahrettinkoca Ne kapanma ne de online eğitim .İkisi de skandal .Tek ihtiyaç : hayat normale dönsün artık .Covid… https://t.co/GEaTd8rryd</t>
  </si>
  <si>
    <t>1467977912208998411</t>
  </si>
  <si>
    <t>@drfahrettinkoca İnna lillahi ve İnna İleyhi râciun...  Ahir zaman ümmeti olarak kıymetlilerimizi bir bir ahirete u… https://t.co/kFe9YKuZx1</t>
  </si>
  <si>
    <t>1467977760358469632</t>
  </si>
  <si>
    <t>@drfahrettinkoca Bu vartanı açıklarmışsınız sayın bakanım yer İzmir siİn rakamlarınız Buda varyant …. https://t.co/G4uYS9LHbz</t>
  </si>
  <si>
    <t>1467976804283605002</t>
  </si>
  <si>
    <t>@drfahrettinkoca https://t.co/0ZB9tyKUQM</t>
  </si>
  <si>
    <t>1467976758142115841</t>
  </si>
  <si>
    <t>@drfahrettinkoca online eğitim!! ne olur🥺</t>
  </si>
  <si>
    <t>1467976669608787972</t>
  </si>
  <si>
    <t>@drfahrettinkoca Türkiye'de okuyan öğrenciler olarak dünya genelinde var olan salgın hastalık Covid-19'dan dolayı y… https://t.co/Yh1PSsmu7A</t>
  </si>
  <si>
    <t>1467976638113722377</t>
  </si>
  <si>
    <t>@drfahrettinkoca Online eğitim istiyoruz sayın bakanım yurtlarda yeni varyanta karşı tehlike altındayız #kabinezkusağıonlineistiyor</t>
  </si>
  <si>
    <t>1467976590361608194</t>
  </si>
  <si>
    <t>@drfahrettinkoca Çok duyarlısınız bakanım kılavuz ne zaman?</t>
  </si>
  <si>
    <t>1467976385222357010</t>
  </si>
  <si>
    <t>@drfahrettinkoca niye klavuz yayınlanmıyor bir yıl oldu o kadar bakanlık alıma çıktı siz neyi bekliyorsunuz</t>
  </si>
  <si>
    <t>1467975648895541251</t>
  </si>
  <si>
    <t>@drfahrettinkoca https://t.co/ONuLDbXfd5</t>
  </si>
  <si>
    <t>1467975637801521441</t>
  </si>
  <si>
    <t>1467975477851742215</t>
  </si>
  <si>
    <t>@drfahrettinkoca Allah aşkına kılavuz</t>
  </si>
  <si>
    <t>1467975404292034566</t>
  </si>
  <si>
    <t>@drfahrettinkoca https://t.co/PRz8NMrVNc</t>
  </si>
  <si>
    <t>1467975389213564931</t>
  </si>
  <si>
    <t>1467975334557532165</t>
  </si>
  <si>
    <t>@drfahrettinkoca Sağlığımız için #kabineuzaktaneğitimsart</t>
  </si>
  <si>
    <t>1467975280664977417</t>
  </si>
  <si>
    <t>@drfahrettinkoca #kabineuzaktaneğitimsart artık şart oldu!</t>
  </si>
  <si>
    <t>1467975166370136080</t>
  </si>
  <si>
    <t>@drfahrettinkoca Favicovir le sonbulan hayatların müsebbibi hala aramızda hatta tweet atıyor şuan.. ..ve yüzsüz ve vicdansız.</t>
  </si>
  <si>
    <t>1467974954973110276</t>
  </si>
  <si>
    <t>@drfahrettinkoca Allah rahmet eylesin.</t>
  </si>
  <si>
    <t>1467974129580224515</t>
  </si>
  <si>
    <t>@drfahrettinkoca Allah rahmet eylesin bakanım da atama bekleyen 740 bin sağlıkçı dda ölmek üzere... Ne zaman bu çil… https://t.co/c6k4TLBOP7</t>
  </si>
  <si>
    <t>1467974099347681282</t>
  </si>
  <si>
    <t>@drfahrettinkoca Allah rahmet eylesin bakanım da atama bekleyen 740 bin sağlıkçı da ölmek üzere... Ne zaman bu çile… https://t.co/o6JDLlalO0</t>
  </si>
  <si>
    <t>1467974060470591488</t>
  </si>
  <si>
    <t>@drfahrettinkoca Sesimizi duyun ve online egitimi getirin artık. Okullarda yurtlarda mahvolduk biz #kabineuzaktaneğitimsart</t>
  </si>
  <si>
    <t>1467974026530365443</t>
  </si>
  <si>
    <t>@drfahrettinkoca Allah rahmet eylesin bakanım da atama bekleyen 740 bin sağlıkçı da ölmek üzere... Ne zaman bu çile… https://t.co/N0oJs6HAXz</t>
  </si>
  <si>
    <t>1467974014807257095</t>
  </si>
  <si>
    <t>@drfahrettinkoca Herşeye gözünüz açık olsun bı atamaya kapatın... Artık son geldi. Biz hicbirseyi unutmayız. Sandık… https://t.co/7o7CNjVHsy</t>
  </si>
  <si>
    <t>1467973912650731522</t>
  </si>
  <si>
    <t>@drfahrettinkoca Allah rahmet eylesin bakanım da atama bekleyen 740 bin sağlıkçı da ölmek üzere... Ne zaman bu çile… https://t.co/ZfyZqFXrT3</t>
  </si>
  <si>
    <t>1467973876437196801</t>
  </si>
  <si>
    <t>@drfahrettinkoca sn bakan bu süreçte kaç değerli öğretmenimizi bu inadımız yüzünden kaybettik onlar bu kadar kıymet… https://t.co/C8BHwP7oeo</t>
  </si>
  <si>
    <t>1467973726935396356</t>
  </si>
  <si>
    <t>@drfahrettinkoca Allah rahmet eylesin  Bu hafta kılavuz gelsin artık yıl bitti</t>
  </si>
  <si>
    <t>1467973666919141378</t>
  </si>
  <si>
    <t>@drfahrettinkoca Allah rahmet eylesin Hocam sözleşmeli sağlık personeli için kadro bekliyoruz anam bacım 1000 km uz… https://t.co/TAgVc6y3v1</t>
  </si>
  <si>
    <t>1467973484588503050</t>
  </si>
  <si>
    <t>@drfahrettinkoca Sırası gelen gidiyor hepimiz hesap verecez başkanım içiniz rahatmı bu konuda</t>
  </si>
  <si>
    <t>1467973140903038985</t>
  </si>
  <si>
    <t>@drfahrettinkoca Hocam şu branş bazında dağılımı açıklayın Allah aşıkına yaa bu stresten kurtarın biziii illa talim… https://t.co/yTpPv4YLZX</t>
  </si>
  <si>
    <t>1467972319847108611</t>
  </si>
  <si>
    <t>@drfahrettinkoca Biz o kadar puanı  işsiz kalmak için almadık bakanım hakkımız olan kılavuzu istiyoruz artık</t>
  </si>
  <si>
    <t>1467971626012753922</t>
  </si>
  <si>
    <t>@drfahrettinkoca @MehmetAli_59_ kalp kriziyse kesin aşıdan Allah rahmet eylesin</t>
  </si>
  <si>
    <t>1467971359720497153</t>
  </si>
  <si>
    <t>1467971193781329924</t>
  </si>
  <si>
    <t>@drfahrettinkoca #SağlıkcıGrevde</t>
  </si>
  <si>
    <t>1467970900540727310</t>
  </si>
  <si>
    <t>@drfahrettinkoca Kılavuz  Kılavuz Kılavuz  Kılavuz Kılavuz Kılavuz</t>
  </si>
  <si>
    <t>1467970852742434832</t>
  </si>
  <si>
    <t>@drfahrettinkoca Allah rahmet eylesin 🙏🏻 Fahrettin hocam, 40 yaşında iki küçük kız çocuğu babası bir abimiz için ac… https://t.co/9D05yVPNC0</t>
  </si>
  <si>
    <t>1467970605156868099</t>
  </si>
  <si>
    <t>1467969974383874057</t>
  </si>
  <si>
    <t>1467969914971557903</t>
  </si>
  <si>
    <t>@drfahrettinkoca Allah rahmet eylesin. Aşılı mıydı, merak ettim şimdi. Kaç doz aşı olmuştu</t>
  </si>
  <si>
    <t>1467969858289774608</t>
  </si>
  <si>
    <t>1467969857077526537</t>
  </si>
  <si>
    <t>@drfahrettinkoca #kabineuzaktaneğitimsart https://t.co/oa85809mMc</t>
  </si>
  <si>
    <t>1467969287612772357</t>
  </si>
  <si>
    <t>@drfahrettinkoca Küçük hayatlara değer veriyorum ben onlar ölünce daha çok üzülüyorum.</t>
  </si>
  <si>
    <t>1467969228028448771</t>
  </si>
  <si>
    <t>1467968637621489665</t>
  </si>
  <si>
    <t>@drfahrettinkoca Tez zamanda kavuşmanız dileği ile..</t>
  </si>
  <si>
    <t>1467968440942084108</t>
  </si>
  <si>
    <t>1467968440103284751</t>
  </si>
  <si>
    <t>@drfahrettinkoca Kılavuzz sayın bakanım,  Allah rahmet eylesin</t>
  </si>
  <si>
    <t>1467968390342057986</t>
  </si>
  <si>
    <t>@drfahrettinkoca Hipokrat yemini,bi tıpçı-dr’un namus sözü,yeminidir.bu yola baş koyan sağlıkçılar bu yemini verir.… https://t.co/9zTMrC0V1x</t>
  </si>
  <si>
    <t>1467968254375305219</t>
  </si>
  <si>
    <t>@drfahrettinkoca KILAVUZU İSTİYORUZ BU HAFTA</t>
  </si>
  <si>
    <t>1467968145940004872</t>
  </si>
  <si>
    <t>@drfahrettinkoca Fahrettin Koca;Salgının başındaki tutumunuzdan eser kalmadı,balondu patladı.Bakanlar halka hizmet… https://t.co/AUKE5mwGtw</t>
  </si>
  <si>
    <t>1467967927697686534</t>
  </si>
  <si>
    <t>@drfahrettinkoca Atama bekleyen sağlıkçıların da ruhuna fatiha. @drfahrettinkoca</t>
  </si>
  <si>
    <t>1467967849587163145</t>
  </si>
  <si>
    <t>@drfahrettinkoca İnanın ben de istemiyorum taziye tweetinizin altına kılavuz yazmayı</t>
  </si>
  <si>
    <t>1467967587082506241</t>
  </si>
  <si>
    <t>@drfahrettinkoca Günde korona nedeniyle ölen 200 kişi için neden tek tek tweet atmıyosunda bu insanı prof. diye mi… https://t.co/4kTY1SasXE</t>
  </si>
  <si>
    <t>1467967464587862022</t>
  </si>
  <si>
    <t>@drfahrettinkoca Online eğitim istiyoruz bakanım yeter artık sesimizi duyun kulaklarınız tikanmayin</t>
  </si>
  <si>
    <t>1467967405334876166</t>
  </si>
  <si>
    <t>@drfahrettinkoca Bizden miş gibi yapma faşoooo sen yolunu iblisten yana seçtin</t>
  </si>
  <si>
    <t>1467967402721923079</t>
  </si>
  <si>
    <t>@drfahrettinkoca Biz hergün atama olmuyor diye ölüyoruz sayın bakan bunun en büyük sorumlusuda sizsiniz</t>
  </si>
  <si>
    <t>1467967325748043783</t>
  </si>
  <si>
    <t>1467967267556274177</t>
  </si>
  <si>
    <t>@drfahrettinkoca Aşılar iyi iş çıkarıyor</t>
  </si>
  <si>
    <t>1467967099612106764</t>
  </si>
  <si>
    <t>1467967097951109157</t>
  </si>
  <si>
    <t>@drfahrettinkoca KILAVUZU UNUTTUNUZ YAAA HATIRLATIN ACİL</t>
  </si>
  <si>
    <t>1467967075578781697</t>
  </si>
  <si>
    <t>1467966894217084939</t>
  </si>
  <si>
    <t>@drfahrettinkoca Online eğitim istiyoruz. Bu şekilde verim alamıyoruz. Okullarda vaka çok yükseldi. Maske ile derse… https://t.co/LI5vcFTLVw</t>
  </si>
  <si>
    <t>1467966886742745089</t>
  </si>
  <si>
    <t>@drfahrettinkoca Allah cc rahmet eylesin mekanları cennet olsun</t>
  </si>
  <si>
    <t>1467966876726841347</t>
  </si>
  <si>
    <t>1467966772854853635</t>
  </si>
  <si>
    <t>@drfahrettinkoca Öncelikle Allah rahmet eylesin, sanırım atama beklerken de bizim küçük hayatlarımız son bulacak bu gidişle</t>
  </si>
  <si>
    <t>1467966685495934985</t>
  </si>
  <si>
    <t>@drfahrettinkoca Allah rahmet eylesin inşallah</t>
  </si>
  <si>
    <t>1467966665283575809</t>
  </si>
  <si>
    <t>@drfahrettinkoca Allah rahmet eylesin. Bizim kılavuz ne zaman geliyo bakanım</t>
  </si>
  <si>
    <t>1467966609352503302</t>
  </si>
  <si>
    <t>@drfahrettinkoca Sayın bakanımız , acaba bu saatte uyuduğumuzu düşünüp ondan dolayı mı bu saatte paylaşım yaptınız… https://t.co/OSebAJFKf7</t>
  </si>
  <si>
    <t>1467966258930929664</t>
  </si>
  <si>
    <t>@drfahrettinkoca İçim yandı gönlüm daraldı , artık dünyada Teoman Duralı olmaması bana zül geliyor. Allah rahmet ey… https://t.co/CUaXTLRu6G</t>
  </si>
  <si>
    <t>1467966228572561414</t>
  </si>
  <si>
    <t>@drfahrettinkoca Bizi de hakkın rahmetine kavuşturacaksınız bu gidişle.</t>
  </si>
  <si>
    <t>1467966154895507463</t>
  </si>
  <si>
    <t>@drfahrettinkoca Allah rahmet eylesin  Koca bey üzülmeyin siz hergün 800 bin sağlıkçıyı mecazen 30 bin sağlıkçıyı t… https://t.co/av2mk7q0c7</t>
  </si>
  <si>
    <t>1467965995201536002</t>
  </si>
  <si>
    <t>@drfahrettinkoca Kilavuz bakanim</t>
  </si>
  <si>
    <t>1467965599137607682</t>
  </si>
  <si>
    <t>@drfahrettinkoca Kılavuz zzz</t>
  </si>
  <si>
    <t>1467965578455441411</t>
  </si>
  <si>
    <t>@drfahrettinkoca Bakanım lütfen lütfen yalvarıyoruz artık itten beter olduk yeter ya yeter açıklayın</t>
  </si>
  <si>
    <t>1467965514664357889</t>
  </si>
  <si>
    <t>@drfahrettinkoca Aşısı tammiymis bari bakanim? Allah rahmet etsin</t>
  </si>
  <si>
    <t>1467965509283069953</t>
  </si>
  <si>
    <t>@drfahrettinkoca https://t.co/XJi7Hzu64x</t>
  </si>
  <si>
    <t>1467965484452786182</t>
  </si>
  <si>
    <t>@drfahrettinkoca ALLAH'ın adını kücük yazıpda faninin adını büyük yazmak ne kadar garip ve tezat bir olay..!</t>
  </si>
  <si>
    <t>1467965379276324873</t>
  </si>
  <si>
    <t>@drfahrettinkoca Aybars SMA tip1 ölümcül kas hastalığı ile mücadele ediyor. Bağış kampanyası çok yavaş ilerliyor. T… https://t.co/mszVwNzYVT</t>
  </si>
  <si>
    <t>1467965359122788362</t>
  </si>
  <si>
    <t>@drfahrettinkoca Acil kılavuz gelmeli</t>
  </si>
  <si>
    <t>1467965323047546886</t>
  </si>
  <si>
    <t>@drfahrettinkoca ALLAH  Rahmet eylesin</t>
  </si>
  <si>
    <t>1467965273840001036</t>
  </si>
  <si>
    <t>@drfahrettinkoca Hemen Kılavuz</t>
  </si>
  <si>
    <t>1467965258132246539</t>
  </si>
  <si>
    <t>@drfahrettinkoca Kılavuz şimdi yarına bile kabul değilim</t>
  </si>
  <si>
    <t>1467965192772505604</t>
  </si>
  <si>
    <t>@drfahrettinkoca Geldi kılavuzcular hadi bakalım hamdolsun...😎😁😁😁</t>
  </si>
  <si>
    <t>1467965182748016649</t>
  </si>
  <si>
    <t>@drfahrettinkoca Mükemmel sağlık sistemimiz haberlerdee https://t.co/Lpu0acIAEz</t>
  </si>
  <si>
    <t>1467965166050594816</t>
  </si>
  <si>
    <t>@drfahrettinkoca Koltuğu bırakmalısın</t>
  </si>
  <si>
    <t>1467965109461045252</t>
  </si>
  <si>
    <t>@drfahrettinkoca Biz bu ülkenin insanı değil miyiz nerde Kılavuz söz veriyorsunuz devamı gelmiyor yazık bize yazık</t>
  </si>
  <si>
    <t>1467965077517217794</t>
  </si>
  <si>
    <t>1467964877553737730</t>
  </si>
  <si>
    <t>@drfahrettinkoca AYLARDIR BEKLİYORUZ BİR AÇIKLAMA YAPIN</t>
  </si>
  <si>
    <t>1467964839817621508</t>
  </si>
  <si>
    <t>@drfahrettinkoca Verin kılavuzu bakanım</t>
  </si>
  <si>
    <t>1467964820255387648</t>
  </si>
  <si>
    <t>@drfahrettinkoca Covid üretildi aşılar da tuzaktır itiraf et güveneceğim sana</t>
  </si>
  <si>
    <t>1467964805369716742</t>
  </si>
  <si>
    <t>@drfahrettinkoca KILAVUZZZ KILAVUZZZ</t>
  </si>
  <si>
    <t>1467964780501778442</t>
  </si>
  <si>
    <t>@drfahrettinkoca Vallahi öldürcem kendimi</t>
  </si>
  <si>
    <t>1467964713250213891</t>
  </si>
  <si>
    <t>@drfahrettinkoca Allah rahmet eylesin mekanı cennet olsun inşallah 😢</t>
  </si>
  <si>
    <t>1467964648033067016</t>
  </si>
  <si>
    <t>1467964633738842112</t>
  </si>
  <si>
    <t>@drfahrettinkoca Allah rahmet eylesin. Kalp krizi mi?</t>
  </si>
  <si>
    <t>1467964624842727427</t>
  </si>
  <si>
    <t>@drfahrettinkoca Aşıyı zorlama nüfus azalacak bak</t>
  </si>
  <si>
    <t>1467964618098331649</t>
  </si>
  <si>
    <t>1467964602185048072</t>
  </si>
  <si>
    <t>1467964570257997826</t>
  </si>
  <si>
    <t>@drfahrettinkoca Allah rahmet eylesin bakanım da atama bekleyen 740 bin sağlıkçı da ölmek üzere... Ne zaman bu çile… https://t.co/1Z3TM7g7FN</t>
  </si>
  <si>
    <t>1467964501848997904</t>
  </si>
  <si>
    <t>@drfahrettinkoca Allah rahmet eylesin.Mekanı Cennet olsun İNŞALLAH.</t>
  </si>
  <si>
    <t>1467964457754443777</t>
  </si>
  <si>
    <t>@drfahrettinkoca inanılmazsınız bakanım gercekten inanılmaz</t>
  </si>
  <si>
    <t>1467964442382151685</t>
  </si>
  <si>
    <t>@drfahrettinkoca Allah rahmet eylesin. Kılavuz gelmezse ben de yanına gideceğim sayın bakanım.</t>
  </si>
  <si>
    <t>1467964425084755975</t>
  </si>
  <si>
    <t>@drfahrettinkoca Allah rahmet eylesin, Kılavuz gelsin artık.</t>
  </si>
  <si>
    <t>1467964424132730882</t>
  </si>
  <si>
    <t>@drfahrettinkoca Okulları online yap yoksa üstüne bayılırım  #kabineuzaktaneğitimsart</t>
  </si>
  <si>
    <t>1467964411629424649</t>
  </si>
  <si>
    <t>@drfahrettinkoca KILAVUZ</t>
  </si>
  <si>
    <t>1467964386803392515</t>
  </si>
  <si>
    <t>@drfahrettinkoca amin. kılavuz nerde peki bakanım</t>
  </si>
  <si>
    <t>1467964341202870274</t>
  </si>
  <si>
    <t>@drfahrettinkoca 20 ay oldu Tıbbi cihaz kamudan alacağını neden ödemiyorsunuz sayın @drfahrettinkoca https://t.co/JRZS824oxW</t>
  </si>
  <si>
    <t>1467964304901263360</t>
  </si>
  <si>
    <t>@drfahrettinkoca KILAVUZ  KILAVUZ  KILAVUZ  KILAVUZ  KILAVUZ</t>
  </si>
  <si>
    <t>1467964277856346127</t>
  </si>
  <si>
    <t>@drfahrettinkoca Bir twette atama için atın lütfen sayın Bakanım Merakla bekliyoruz. Saygılar...</t>
  </si>
  <si>
    <t>1467964256717049871</t>
  </si>
  <si>
    <t>@drfahrettinkoca Biz de son bulacaz yakında. Öğrencileri duy artık bilader ne eğitim aşkıymis beeee tanimasak sizi… https://t.co/aB2ke9v6HD</t>
  </si>
  <si>
    <t>1467964255399985163</t>
  </si>
  <si>
    <t>@drfahrettinkoca Bakanım bi bakarmısınız?</t>
  </si>
  <si>
    <t>1467964246533234694</t>
  </si>
  <si>
    <t>@drfahrettinkoca kapanmaya geçmezsek çok daha kayıbımız olur</t>
  </si>
  <si>
    <t>1467964173653098508</t>
  </si>
  <si>
    <t>@drfahrettinkoca https://t.co/j40mlWXUTU</t>
  </si>
  <si>
    <t>1467964162479382533</t>
  </si>
  <si>
    <t>@drfahrettinkoca Okulları ve kapalı ortamları kapat</t>
  </si>
  <si>
    <t>1467964154371887104</t>
  </si>
  <si>
    <t>@drfahrettinkoca Amin. Atama kılavuzu</t>
  </si>
  <si>
    <t>1467964151171538954</t>
  </si>
  <si>
    <t>1467964146352279553</t>
  </si>
  <si>
    <t>@drfahrettinkoca Başımız sağolsun, klavuz nerde peki</t>
  </si>
  <si>
    <t>1467964095756484608</t>
  </si>
  <si>
    <t>@drfahrettinkoca #FKUyumaNerede40BinAtama</t>
  </si>
  <si>
    <t>1467964080577302539</t>
  </si>
  <si>
    <t>@drfahrettinkoca Sizin bile öneminiz yok. İşportacı istifa et.</t>
  </si>
  <si>
    <t>1468352940524122114</t>
  </si>
  <si>
    <t>@drfahrettinkoca Bıkmadan usanmadan aşı diyorsunuz. Azminize hayran kalmamak ne mümkün. Lakin bizler de bıkmadan us… https://t.co/LgTCFUYQcA</t>
  </si>
  <si>
    <t>1468332450678030339</t>
  </si>
  <si>
    <t>@drfahrettinkoca https://t.co/ha0kIBmECk</t>
  </si>
  <si>
    <t>1468328272748548097</t>
  </si>
  <si>
    <t>@drfahrettinkoca Dünyada yönetilen covid-19 salgını ile grip dahil olsanız size salgın hastalık tanısı konulabilir.… https://t.co/yQOO3fbvLY</t>
  </si>
  <si>
    <t>1468315057952075778</t>
  </si>
  <si>
    <t>@drfahrettinkoca @masumiyetsifa Başından beri aşı zorunlu ve ücretli olmalıydı. Fakir insanlardan para alınmamalı,… https://t.co/1d7nV673Bn</t>
  </si>
  <si>
    <t>1468306816140464129</t>
  </si>
  <si>
    <t>@drfahrettinkoca https://t.co/Gk229m7vh2</t>
  </si>
  <si>
    <t>1468305535086870531</t>
  </si>
  <si>
    <t>@drfahrettinkoca Allah ın laneti zalimlerin üzerine olsun</t>
  </si>
  <si>
    <t>1468288064544022530</t>
  </si>
  <si>
    <t>1468285226724081664</t>
  </si>
  <si>
    <t>@drfahrettinkoca Sayın bakanım inşallah bu günleri de hep beraber atlatacağız milletimizin aşıya yönelmesini Yemenli ediyorum</t>
  </si>
  <si>
    <t>1468279543664623616</t>
  </si>
  <si>
    <t>@drfahrettinkoca Pfizer çatır çatır yargılanırken, tüm pislikler gün yüzüne çıkarken, covid19 test kitleri 2017 yıl… https://t.co/2GCjwSC2XI</t>
  </si>
  <si>
    <t>1468271481448771585</t>
  </si>
  <si>
    <t>@drfahrettinkoca bi istifa etmedin</t>
  </si>
  <si>
    <t>1468255493034590214</t>
  </si>
  <si>
    <t>@drfahrettinkoca Ne zaman aşı in o kağıtları imzalatmazsanız o zaman aşı olacağım madem bu kadar güveniyorsunuz ned… https://t.co/Uwv8NawNVV</t>
  </si>
  <si>
    <t>1468253489830764551</t>
  </si>
  <si>
    <t>@drfahrettinkoca Aga ne zaman salıyorsun milleti</t>
  </si>
  <si>
    <t>1468252930067386373</t>
  </si>
  <si>
    <t>@drfahrettinkoca Ne dedi o? Ne söyledi? Ne dedi ne dedi? Ne dedin sen?</t>
  </si>
  <si>
    <t>1468251550695014410</t>
  </si>
  <si>
    <t>@drfahrettinkoca ARTIK UZAKTAN EGITIM ŞART YETER YA OLMEK ISTEMIYORUM</t>
  </si>
  <si>
    <t>1468250844890112005</t>
  </si>
  <si>
    <t>@drfahrettinkoca Aşı adayı sıvı aşı olarak pazarlanıyor.</t>
  </si>
  <si>
    <t>1468248452719124485</t>
  </si>
  <si>
    <t>@drfahrettinkoca Has... oradan.  İblise hizmet edenlere gönüllü hizmet ederek bu vatana ihanet eden paganistler sizi.</t>
  </si>
  <si>
    <t>1468248302508552201</t>
  </si>
  <si>
    <t>@drfahrettinkoca Sana artık güvenmiyorum. Bakan olarak da görmek istemiyorum. Tek yön biletini al nereye istersen git.</t>
  </si>
  <si>
    <t>1468248268178169858</t>
  </si>
  <si>
    <t>@drfahrettinkoca 30 ile aşıyı yeterince sokamadigin icin vaka sayıları düşük. Sen 30 ilin yakasını birak bir bok olmaz</t>
  </si>
  <si>
    <t>1468247661375537159</t>
  </si>
  <si>
    <t>@drfahrettinkoca Millet uyandı sen kendini yırtsan da artık zor işin</t>
  </si>
  <si>
    <t>1468244003166507021</t>
  </si>
  <si>
    <t>@drfahrettinkoca siz hala o mevzudami kaldiniz sayin bakanim. sahi ise yaramadigi aciklanan vebintihar dozunda verd… https://t.co/e3o5BW5GCC</t>
  </si>
  <si>
    <t>1468243599393447941</t>
  </si>
  <si>
    <t>@drfahrettinkoca Biz ailecek aşılarımızı yaptırdık . Ona rağmen korkuyoruz bu aşısızlar korkusuz heralde 🧐</t>
  </si>
  <si>
    <t>1468241037063770116</t>
  </si>
  <si>
    <t>@drfahrettinkoca Hayret ben 10.000 vaka bekliyordum</t>
  </si>
  <si>
    <t>1468234270577676291</t>
  </si>
  <si>
    <t>@drfahrettinkoca Deccalın neferliğini yapmaya devam edin.</t>
  </si>
  <si>
    <t>1468231373576183813</t>
  </si>
  <si>
    <t>@drfahrettinkoca Ağam bizle eylenir 🥳 Sayın Bakanım farkındayım Küreselcilerin baskılarına boyun eğmeden süreci aps… https://t.co/QvRFIDJu2A</t>
  </si>
  <si>
    <t>1468230871991861267</t>
  </si>
  <si>
    <t>@drfahrettinkoca https://t.co/nWV3ccJiJJ</t>
  </si>
  <si>
    <t>1468230864081461260</t>
  </si>
  <si>
    <t>@drfahrettinkoca Bakan bey siz milleti aptal mı zannediyorsunuz, birincisi halkı değil ilaç firmasını korumayı terc… https://t.co/Z6R5sEQ9Hj</t>
  </si>
  <si>
    <t>1468230534518218762</t>
  </si>
  <si>
    <t>@drfahrettinkoca https://t.co/hUL2KF4vRt</t>
  </si>
  <si>
    <t>1468230444936273924</t>
  </si>
  <si>
    <t>@drfahrettinkoca 7👉Zaten felaket tellalı Mehmet Ceylan canlı yayında Aşılılar ın mikrobu aşısızlara bulaştırdığını… https://t.co/Ft4QweyMQS</t>
  </si>
  <si>
    <t>1468227991343968267</t>
  </si>
  <si>
    <t>@drfahrettinkoca Pcr ve Ulkede ruhsat almamış biontech sıvılarından kimler cebine euroları doldurdu sayın bakan?</t>
  </si>
  <si>
    <t>1468226788652458001</t>
  </si>
  <si>
    <t>@drfahrettinkoca Hastanelerde bir çok sağlıkçı ihtiyacı var. Müjdesini verdiğiniz alımlar tam olarak ne zaman olacak?</t>
  </si>
  <si>
    <t>1469023424781725700</t>
  </si>
  <si>
    <t>@drfahrettinkoca Hastalığın yok dicek kadar az olduğu ida ediliyor son bahar dan berri üç tanığım vefat etti ve etr… https://t.co/2gPKxyTDCX</t>
  </si>
  <si>
    <t>1469012110222966784</t>
  </si>
  <si>
    <t>@drfahrettinkoca https://t.co/qSO8cgTQ6d</t>
  </si>
  <si>
    <t>1468994117044690951</t>
  </si>
  <si>
    <t>@drfahrettinkoca https://t.co/pXWiUIC267</t>
  </si>
  <si>
    <t>1468992606264778753</t>
  </si>
  <si>
    <t>@drfahrettinkoca https://t.co/ni0PPKnYFD</t>
  </si>
  <si>
    <t>1468992378950279168</t>
  </si>
  <si>
    <t>@drfahrettinkoca mutluluk duymanizin sebebi ya pihtidan ya kalpten 1 kisi daha gidecek hesaplari mi yapmaniz acaba.</t>
  </si>
  <si>
    <t>1468987838301716491</t>
  </si>
  <si>
    <t>@drfahrettinkoca https://t.co/5mDR2yY99e</t>
  </si>
  <si>
    <t>1468958952201207815</t>
  </si>
  <si>
    <t>@drfahrettinkoca https://t.co/IgQnFW8tEj</t>
  </si>
  <si>
    <t>1468956302726483971</t>
  </si>
  <si>
    <t>@drfahrettinkoca https://t.co/rP0yW04DHZ</t>
  </si>
  <si>
    <t>1468912319535144961</t>
  </si>
  <si>
    <t>@drfahrettinkoca BİZDEKİ TARİKATLAR VE CEMAATLER NERDESİNİZ  ‼️👇‼️  Katolik Rahip Edward Meeks:   "Hiçbir dünyevi k… https://t.co/qFumzaNXLU</t>
  </si>
  <si>
    <t>1468911929049636868</t>
  </si>
  <si>
    <t>@drfahrettinkoca https://t.co/93PQk6Qsc0</t>
  </si>
  <si>
    <t>1468910495881207818</t>
  </si>
  <si>
    <t>@drfahrettinkoca https://t.co/M15dRbcIXK</t>
  </si>
  <si>
    <t>1468910403132563456</t>
  </si>
  <si>
    <t>@drfahrettinkoca dayin bakanım aşı tablosunun yerine haritayi korona tablosunu yayınlarmiziniz korona bitmemiş aşı… https://t.co/3Twr96kmlE</t>
  </si>
  <si>
    <t>1468707244468588546</t>
  </si>
  <si>
    <t>@drfahrettinkoca @drfahrettinkoca @RTErdogan  siz nasıl insanlarsınız hayatımızı kararttınız gençliğimizi  kanımızı… https://t.co/OAWspOInIJ</t>
  </si>
  <si>
    <t>1469774256699551752</t>
  </si>
  <si>
    <t>@drfahrettinkoca @drfahrettinkoca @RTErdogan  siz nasıl insanlarsınız hayatımızı kararttınız gençliğimizi  kanımızı… https://t.co/EgLaeANxLc</t>
  </si>
  <si>
    <t>1469772090748424192</t>
  </si>
  <si>
    <t>@drfahrettinkoca Büyük harfiniz açık kalmış. Cereyan yapıp üşütmeyin.</t>
  </si>
  <si>
    <t>1469769285144883208</t>
  </si>
  <si>
    <t>@drfahrettinkoca nkü ilahiyat fakültesinde muhammet okudan  öğrencimiz koronadan vefat etti !!! Korona olam sınıfla… https://t.co/cKXfkT31AE</t>
  </si>
  <si>
    <t>1469237899417767938</t>
  </si>
  <si>
    <t>@drfahrettinkoca Şimdi yapacağınız tek şey;Der Spiegel dergisine konuşan Şahin, "Eğer Omicron varyantı yayılmaya de… https://t.co/15fe9uNtg5</t>
  </si>
  <si>
    <t>1469220245655199744</t>
  </si>
  <si>
    <t>@drfahrettinkoca Hayatınız yalan biontechin sahibi neden olmadi hala</t>
  </si>
  <si>
    <t>1468004182154256388</t>
  </si>
  <si>
    <t>@drfahrettinkoca Ne yazdığını da bilmiyor bu artık.asilanmayinca artış olmuyor ya üzülmüş paşam.Allah bu uyanışı in… https://t.co/RKY2V7wkSY</t>
  </si>
  <si>
    <t>1468003332061118464</t>
  </si>
  <si>
    <t>@drfahrettinkoca Allah Allah hadiya biz mi mutlu oluyorduk,bizim niye haberimiz yok bundan .</t>
  </si>
  <si>
    <t>1468002154757644290</t>
  </si>
  <si>
    <t>@drfahrettinkoca Aşı olmayanı asla aşı yapamayacağını kabullen  ve sus artık aşı bakanı değil sağlık bakanısın geçt… https://t.co/tyNimEDYwr</t>
  </si>
  <si>
    <t>1468001799344906242</t>
  </si>
  <si>
    <t>@drfahrettinkoca Sayın bakanım şehit ilhan varank devlet hastanesinde hastalara sağlık çalışanların davranışları bi… https://t.co/hufuCrM25S</t>
  </si>
  <si>
    <t>1467999020182384641</t>
  </si>
  <si>
    <t>@drfahrettinkoca ABD Başkanı'nın aşı zorlaması 50 eyalette yasadışı ilan edildi ve engellendi.  https://t.co/M5ImMDYw4s</t>
  </si>
  <si>
    <t>1467995814379327501</t>
  </si>
  <si>
    <t>@drfahrettinkoca #GENOCIDESOYKIRIM  Bilemiyorum... minicik şırınga... https://t.co/X8rO58EdXS</t>
  </si>
  <si>
    <t>1467995283783135233</t>
  </si>
  <si>
    <t>@drfahrettinkoca Sn.Bakan şaka gibisiniz sahipsizMilletinSırtınaBinmiş AşıdaAşı demekten başka bildiğiniz hiç bir ş… https://t.co/b892Z453pw</t>
  </si>
  <si>
    <t>1467995066023165952</t>
  </si>
  <si>
    <t>@drfahrettinkoca Acil tedavi edilmeniz lazım. Aşının tedavi ettiğini düşünmeniz ve insanları olmayan bir şeye inand… https://t.co/1z62pUbv5i</t>
  </si>
  <si>
    <t>1467994176042242051</t>
  </si>
  <si>
    <t>@drfahrettinkoca Sen şunu imzalama bende gelip aşı olacağım madem bu kadar bu sıvıya güveniyor halkı düşünüyorsan s… https://t.co/WN9D3unEBk</t>
  </si>
  <si>
    <t>1467993896819073024</t>
  </si>
  <si>
    <t>@drfahrettinkoca Kısır döngünün içinde olduğunu anlayanlar canını sokakta bulmadı!2.yada3.olur mu? Siz olur muydunu… https://t.co/0T8uctb17R</t>
  </si>
  <si>
    <t>1467986881526829057</t>
  </si>
  <si>
    <t>@drfahrettinkoca Sizin yerinizde ben olsam ki asla olmak istemem ! Allah korusun ... mutluluk duymam.</t>
  </si>
  <si>
    <t>1467986235050405891</t>
  </si>
  <si>
    <t>1467983428989632519</t>
  </si>
  <si>
    <t>@drfahrettinkoca Aşı önemini koruyor derken şöyle bir şey mi  https://t.co/KBm253FEB0</t>
  </si>
  <si>
    <t>1467983340582096902</t>
  </si>
  <si>
    <t>@drfahrettinkoca https://t.co/UTTCSdkL44 Allah için bu yavrunun sesini duyan çıkmaz mı?</t>
  </si>
  <si>
    <t>1467982644701016064</t>
  </si>
  <si>
    <t>@drfahrettinkoca Insanların aşıya güveni sarsılmış durumda, ne bekliyorsunuz?</t>
  </si>
  <si>
    <t>1467981774617776131</t>
  </si>
  <si>
    <t>@drfahrettinkoca İnsanlar yakınlarının aşıdan vefat ettiklerini gördükçe aşıdan kaçıyor bu sonuç gayet normal bence</t>
  </si>
  <si>
    <t>1467981419603533835</t>
  </si>
  <si>
    <t>@drfahrettinkoca Bakanım şu mavi yere Bi tıkla  Allah rızası için    (((((( #PfizerHesapVer ))))))</t>
  </si>
  <si>
    <t>1467980514376261635</t>
  </si>
  <si>
    <t>@drfahrettinkoca İlluminati, ne yapmayı düşündüklerini gösteren bir kart yayınladı. Her yerde üyeleri var. Bizimle… https://t.co/QUimyIJl6C</t>
  </si>
  <si>
    <t>1467980367240048645</t>
  </si>
  <si>
    <t>@drfahrettinkoca Ne diyorsun 😂😂</t>
  </si>
  <si>
    <t>1467980212570886144</t>
  </si>
  <si>
    <t>@drfahrettinkoca %75 lere yaklaşmışsanız baya uslanmayan insan var demektir. Allah basiret, feraset versin. Bu yapt… https://t.co/pBPU4v3Ip3</t>
  </si>
  <si>
    <t>1467979811356397576</t>
  </si>
  <si>
    <t>@drfahrettinkoca Sağlık bakanlığı bilim kurulu nerede neden önlem alınmıyor</t>
  </si>
  <si>
    <t>1467978164081156100</t>
  </si>
  <si>
    <t>@drfahrettinkoca Bu kadar sık aşıdan bahsetmen aşıyı da kendini de değersizleştirdi.</t>
  </si>
  <si>
    <t>1467977409723084801</t>
  </si>
  <si>
    <t>@drfahrettinkoca BAKANİM BİNLERCE TWİT ATTİK YETER ARTIK GENÇLER OLARAK ÇOK YORULDUK YALVARİYORUM DUYUN BİZİ ARTİK… https://t.co/GKe6tRdLmY</t>
  </si>
  <si>
    <t>1467976625077768192</t>
  </si>
  <si>
    <t>@drfahrettinkoca omikron için üretilecek aşının siparişini geçtiniz mi sayın Bakanım. gene biz yaya kalmayalım.</t>
  </si>
  <si>
    <t>1467976115243343872</t>
  </si>
  <si>
    <t>@drfahrettinkoca FDA neden pfizerin sonuçlarına  2076 ya kadar gizlenme istedi federal mahkemeden? Neyi gizliyorlar… https://t.co/KMfDY7KjCp</t>
  </si>
  <si>
    <t>1467975859948724227</t>
  </si>
  <si>
    <t>@drfahrettinkoca Aşılanma oranı %75 in altında olan Bu 30 ilde vaka sayısı da en düşük. Körmüsünüz yoksa başka bir… https://t.co/Wm54HFn730</t>
  </si>
  <si>
    <t>1467974978251407360</t>
  </si>
  <si>
    <t>@drfahrettinkoca Uyanda balığa gidek Fahrettin bey.  Millet çoktan uyandı.</t>
  </si>
  <si>
    <t>1467974825209696257</t>
  </si>
  <si>
    <t>@drfahrettinkoca önemini korudğu için vaka sayısı artmış durumda...hayır matematik mi bilmiyorsunuz diyecem ama o kadar  da olamaz yani...</t>
  </si>
  <si>
    <t>1467974756221784068</t>
  </si>
  <si>
    <t>@drfahrettinkoca https://t.co/QohCD6TBkf</t>
  </si>
  <si>
    <t>1467974619881783303</t>
  </si>
  <si>
    <t>@drfahrettinkoca Dün kayınbabamla konusuyoruz niye vurulmuyonuz dedi. Dedim ki baba sen vuruldun olmadın ben vurulm… https://t.co/CxSNrYYuYq</t>
  </si>
  <si>
    <t>1467974095660847112</t>
  </si>
  <si>
    <t>@drfahrettinkoca bu tablo yalan degil burda sadece aşısız vakalar yazılıyor</t>
  </si>
  <si>
    <t>1467973729561022469</t>
  </si>
  <si>
    <t>@drfahrettinkoca Millet salak değil. Okuyor, araştırıyor.. Deneysel sıvıların neye sebebiyet verdiği gayet açık. İl… https://t.co/JI2HCMN0g7</t>
  </si>
  <si>
    <t>1467972585992466432</t>
  </si>
  <si>
    <t>@drfahrettinkoca Allah aşkına yeter artık...Bırakın insanlara manevi tazyiki..Koca koca insanlar kendi kararını ver… https://t.co/G1HCH2hLeW</t>
  </si>
  <si>
    <t>1467971131403558918</t>
  </si>
  <si>
    <t>@drfahrettinkoca Küresel ilaç şirketi PFİZER veya başka bir şirkettede görev almış bir doktor, Bilim Kurulu'nda gör… https://t.co/T3jsrdJqlL</t>
  </si>
  <si>
    <t>1467968569191370763</t>
  </si>
  <si>
    <t>@drfahrettinkoca Siz ve Milli eğitim bakanı Mahmut Özer şu bilim kurulunun çatısı altından çıkın ve Çocukların ve V… https://t.co/7JJpiNkrT9</t>
  </si>
  <si>
    <t>1467966228169961482</t>
  </si>
  <si>
    <t>@drfahrettinkoca Önce sinovacı övdünüz. Sonra bir doz biontech dediniz, sonra iki doz, şimdi üç doz. Omricon için y… https://t.co/oxJB3Tx2MN</t>
  </si>
  <si>
    <t>1467964190547660811</t>
  </si>
  <si>
    <t>@drfahrettinkoca Organ kaçakçılarıda doktor hatırlatırım. https://t.co/GoQZAJxdej</t>
  </si>
  <si>
    <t>1467964099363749889</t>
  </si>
  <si>
    <t>@drfahrettinkoca Boğaz kaşıntısı🤏 https://t.co/8fDgvxdBDh</t>
  </si>
  <si>
    <t>1467963495870255116</t>
  </si>
  <si>
    <t>@drfahrettinkoca Oturun siz? Belki enjektörler hareket eder insafa gelip</t>
  </si>
  <si>
    <t>1467962625267011592</t>
  </si>
  <si>
    <t>@drfahrettinkoca Kendi adına konuş! kimsenin mutlu olduğu yok. Zorbalıkla insanları aşıyla,okuluyla, işiyle tehdit… https://t.co/B1Ur7UAWGf</t>
  </si>
  <si>
    <t>1467962147288326150</t>
  </si>
  <si>
    <t>@drfahrettinkoca üniversitelerde isteğe bağlı eğitim mutlaka gelmelidir 1-2 ders için yurtlarda bu kadar büyük kala… https://t.co/ga7GMFbSSE</t>
  </si>
  <si>
    <t>1467962004539334665</t>
  </si>
  <si>
    <t>@drfahrettinkoca Size ve MEB bakanına inat oluyor olabilirmi .Sayın Ziya bakanımız zamanında herkes olmuştu.Siz ayn… https://t.co/K4wasiD70m</t>
  </si>
  <si>
    <t>1467961794132156419</t>
  </si>
  <si>
    <t>@drfahrettinkoca Çocukları unutamazsınız harcayamazsınız #KabineZKusağıOnlineİstiyor</t>
  </si>
  <si>
    <t>1467961606453743618</t>
  </si>
  <si>
    <t>@drfahrettinkoca Aşı’lar başınızı yesin,yalan’larınızda boğulun.</t>
  </si>
  <si>
    <t>1467961458013126662</t>
  </si>
  <si>
    <t>@drfahrettinkoca Yakamızı bi bırak mahvettin hoca</t>
  </si>
  <si>
    <t>1467961269894492166</t>
  </si>
  <si>
    <t>@drfahrettinkoca Hani Maske?  Hani Mesafe?   3. DOZ $IVI OLAN VATANDAŞTAN KAPALI ALANDA MASKE VE MESAFE İSTEYEN PLA… https://t.co/5bGonO1KeZ</t>
  </si>
  <si>
    <t>1467959803477647362</t>
  </si>
  <si>
    <t>@drfahrettinkoca Sen aşı olmadın ki bunu ben çok iyi biliyorum</t>
  </si>
  <si>
    <t>1467958830042603525</t>
  </si>
  <si>
    <t>@drfahrettinkoca Artık insanlar uyandı</t>
  </si>
  <si>
    <t>1467958346816888854</t>
  </si>
  <si>
    <t>@drfahrettinkoca Benin görevim ALLAH CC verdiği bünyeme sayıp çıkmak  ve İblisin çocuklarının emir etti ne olduğu b… https://t.co/1fuepbKeyZ</t>
  </si>
  <si>
    <t>1467958092579094530</t>
  </si>
  <si>
    <t>@drfahrettinkoca Bu sayıya , işiyle ekmeğiyle tehdit ettiğiniz insanların zoraki aşılanmasıyla ulaştınız . Yani zal… https://t.co/YSjfFT8Pip</t>
  </si>
  <si>
    <t>1467957977630007296</t>
  </si>
  <si>
    <t>@drfahrettinkoca Çünkü o sıvıları alan sağlıklı insanların çoğu hastalandılar canı ile uğraşıyorlar bengi başer min… https://t.co/iCqUgxGKEU</t>
  </si>
  <si>
    <t>1467957942053916683</t>
  </si>
  <si>
    <t>@drfahrettinkoca #uzaktaneğitim</t>
  </si>
  <si>
    <t>1467957854598537221</t>
  </si>
  <si>
    <t>@drfahrettinkoca Allah rızası için bekletiğiniz yetr yayınlayın</t>
  </si>
  <si>
    <t>1467957491002654727</t>
  </si>
  <si>
    <t>@drfahrettinkoca Sabaha bile sabrım yok Kılavuz gelsin</t>
  </si>
  <si>
    <t>1467957346865405953</t>
  </si>
  <si>
    <t>@drfahrettinkoca Bi susmadın ya!</t>
  </si>
  <si>
    <t>1467957268645875717</t>
  </si>
  <si>
    <t>@drfahrettinkoca Kılavuzu şimdi istiyorum bakanım</t>
  </si>
  <si>
    <t>1467957238509850635</t>
  </si>
  <si>
    <t>@drfahrettinkoca Atama yapın bittik beklemekten</t>
  </si>
  <si>
    <t>1467957136353382405</t>
  </si>
  <si>
    <t>@drfahrettinkoca Bir yılan hikayesine dönen gençliğimiz kimin ellerine düştü? @drfahrettinkoca #40BinAtamayiYapKilicdaroglu</t>
  </si>
  <si>
    <t>1467957128669372416</t>
  </si>
  <si>
    <t>1467957022310162437</t>
  </si>
  <si>
    <t>1467956995303120906</t>
  </si>
  <si>
    <t>@drfahrettinkoca Senin gibi bir saglık bakanım oldugu icin........ Bir insan bu kadar hain olur</t>
  </si>
  <si>
    <t>1467956885248782361</t>
  </si>
  <si>
    <t>@drfahrettinkoca Yakında vakalar patlayacak bence şuanda da patlamış durumda ama o zaman geldigin de saklayamayacaksınız</t>
  </si>
  <si>
    <t>1467956884678320132</t>
  </si>
  <si>
    <t>@drfahrettinkoca bakan bey bi baksana burda ne var... https://t.co/p2oaDFMcPE</t>
  </si>
  <si>
    <t>1467956747189039117</t>
  </si>
  <si>
    <t>@drfahrettinkoca Minicik ufacık pıtırcık küçücük pıhtılar yapan aşılar mı bizi mutlu ediyormuş vallaha ağır konuşma… https://t.co/RKeSXcRvZO</t>
  </si>
  <si>
    <t>1467956671007928327</t>
  </si>
  <si>
    <t>@drfahrettinkoca Alemlerin Rabbi olan Allah'tan baskasindan korkmuyoruz ! ... Küreselciler Hakk'a karsi kaybedecekler...</t>
  </si>
  <si>
    <t>1467956567068786700</t>
  </si>
  <si>
    <t>@drfahrettinkoca Sayın bakanım Pandemide gece gündüz 7/24 çalışıp tüm Sağlık çalışanlarına yardımcı olan hastane bi… https://t.co/Kd54wzSh9K</t>
  </si>
  <si>
    <t>1467956565114302478</t>
  </si>
  <si>
    <t>@drfahrettinkoca @saglikbakanligi Olmamızı istediğiniz şey bu mu?@RTErdogan; https://t.co/0bAuOrP7Ff</t>
  </si>
  <si>
    <t>1467956421522305025</t>
  </si>
  <si>
    <t>@drfahrettinkoca 666 cı köpeklerin ürettiği aşıları vuruluyor diye neden mutlu olayım şu bir gerçekki aşılama azaldıkça vakalar DÜŞÜYOR</t>
  </si>
  <si>
    <t>1467956322670989314</t>
  </si>
  <si>
    <t>@drfahrettinkoca Turistler gelecek diye mayıs ayı içinde 6 bin veya 7 bin vaka sayılarına düşeriz Allah'ın izniyle.… https://t.co/W2DLMjiaBI</t>
  </si>
  <si>
    <t>1467956015228411916</t>
  </si>
  <si>
    <t>@drfahrettinkoca Sayın bakanım Pandemide gece gündüz 7/24 çalışan hastane bilgi işlem personelleri sizce kadroyu ha… https://t.co/hhRdcHqRJW</t>
  </si>
  <si>
    <t>1467955918927183886</t>
  </si>
  <si>
    <t>@drfahrettinkoca Sağlıkçi ataması gibiyse yandık.</t>
  </si>
  <si>
    <t>1467955908001030156</t>
  </si>
  <si>
    <t>@drfahrettinkoca Biz artık kovid haritası değil branş dağılımı görmek istiyoruz #40BinAtamayiYapKilicdaroglu</t>
  </si>
  <si>
    <t>1467955708561956870</t>
  </si>
  <si>
    <t>@drfahrettinkoca BİZİ NASIL GÖRMÜYORSUNUZ #40BinAtamayiYapKilicdaroglu</t>
  </si>
  <si>
    <t>1467955448355733522</t>
  </si>
  <si>
    <t>@drfahrettinkoca Bakanım @drfahrettinkoca yer yerinden oynuyor siz nerdesiniz? Neden açıklama yapıp bekleyen sağlık… https://t.co/hcV2cbk5bL</t>
  </si>
  <si>
    <t>1467954281567424513</t>
  </si>
  <si>
    <t>@drfahrettinkoca Devamlı mutasyona uğrayan bir  Virüs.. Aşı nasıl koruyor.?</t>
  </si>
  <si>
    <t>1467954234394042372</t>
  </si>
  <si>
    <t>@drfahrettinkoca Minik minik pıhtılar, ara sıra bazen olan kalp krizleri ve insanların çok şükür beyinlerini kullan… https://t.co/OBubJaa30m</t>
  </si>
  <si>
    <t>1467954227825762312</t>
  </si>
  <si>
    <t>@drfahrettinkoca Bakanım Allah rızası için duyun yollarda ölmemizmi gerekiyor gündem olmamız için 696'lı 4D'li işçi… https://t.co/HgBuPstqKl</t>
  </si>
  <si>
    <t>1467954218430611461</t>
  </si>
  <si>
    <t>@drfahrettinkoca Sayın fahrettin koca aşı yaptırın dediniz anneme aşı yaptır dım 1 hafta sonra annemi kaybettim siz… https://t.co/V6U7AyJH93</t>
  </si>
  <si>
    <t>1467953848862056461</t>
  </si>
  <si>
    <t>@drfahrettinkoca Bu tablo neyi ifade ediyor sayın bakan, aradaki fark 12.60 kat. Sebebini açıklarmısın? https://t.co/ny8NakgIY5</t>
  </si>
  <si>
    <t>1467953439602888708</t>
  </si>
  <si>
    <t>@drfahrettinkoca Aşı olanların hakkını birileri gasp ediyor ve biz sadece üzülüyoruz. Neden kalıcı önlemler artık d… https://t.co/J2FcQgtGwj</t>
  </si>
  <si>
    <t>1467953386104541188</t>
  </si>
  <si>
    <t>@drfahrettinkoca Aşı önemini korumuyor yalannn! #kabineuzaktaneğitimsart</t>
  </si>
  <si>
    <t>1467953182236155904</t>
  </si>
  <si>
    <t>@drfahrettinkoca HES uygulamasını tamamen kaldırmalısınız. HAYAT EVE SIĞMAZ SIĞMADI SIĞMAYACAK  İNSANIZ BİZ, ROBOT… https://t.co/uL1UPM8SF5</t>
  </si>
  <si>
    <t>1467952987339382786</t>
  </si>
  <si>
    <t>@drfahrettinkoca Hiçbir işe yaramadığı gibi insanlar arasında tartışmalara sebep olan ANLAMSIZ MASKE MECBURİYETİ de… https://t.co/mOul7yTiIq</t>
  </si>
  <si>
    <t>1467952949246758914</t>
  </si>
  <si>
    <t>@drfahrettinkoca Sayin @drfahrettinkoca  hocam 6 gun oldu Covid+ cikan kizim icin sagolsun ne gelen vaaarr ne de so… https://t.co/jWkzZcmK9H</t>
  </si>
  <si>
    <t>1467952919198806030</t>
  </si>
  <si>
    <t>@drfahrettinkoca Yok öyle bir görevimiz herkes önce kendi sağlığından sorumludur ne demiş atalarımız önce Can sonra… https://t.co/nwwhEd5MO4</t>
  </si>
  <si>
    <t>1467952673525751812</t>
  </si>
  <si>
    <t>@drfahrettinkoca Sayın bakan @drfahrettinkoca siz bu aşıyı bu kadar anlatıyorsunuz tamam da hep elde var 0 olmuyor… https://t.co/4AH5LrV9lA</t>
  </si>
  <si>
    <t>1467952655230279680</t>
  </si>
  <si>
    <t>@drfahrettinkoca Hala ne yüzle insanlara aşı diye yazabiliyorsunuz hayret ya. Insanları ölüme götürüyorsunuz ve mah… https://t.co/v6YXueSRht</t>
  </si>
  <si>
    <t>1467952634241945601</t>
  </si>
  <si>
    <t>@drfahrettinkoca Sürekli bi varyant uydurduğunuz hastalığın aşısını nasıl bulupta millete kitliyorsunuz ?… https://t.co/2ikRNsWqgK</t>
  </si>
  <si>
    <t>1467952454985818116</t>
  </si>
  <si>
    <t>@drfahrettinkoca Benim görevim sınavdan yüksek almaktı, saatlerce 90 puanla atama için sosyal medyada yalvarıp hakk… https://t.co/ZBBxCkNpu0</t>
  </si>
  <si>
    <t>1467952319727820801</t>
  </si>
  <si>
    <t>@drfahrettinkoca Ne kadar muhtacız farkındasınız dimi ? Başımıza geleceklerin farkında ola ola mesleğimizin başına… https://t.co/v2Gmj9UkjX</t>
  </si>
  <si>
    <t>1467952231567798272</t>
  </si>
  <si>
    <t>@drfahrettinkoca 2 doz biontech 1 doz grip aşısı 1 doz da zatürre aşısı oldum 3 kere hastalandım bir sene içinde ve… https://t.co/LLS2jhR7pN</t>
  </si>
  <si>
    <t>1467952203486871552</t>
  </si>
  <si>
    <t>@drfahrettinkoca @saglikbakanligi Bu PFİZER  belgelerinde  kimin ismi geçiyor  koca iyi bak bakayım https://t.co/pj2OXlylPy</t>
  </si>
  <si>
    <t>1467952150567391233</t>
  </si>
  <si>
    <t>@drfahrettinkoca Kalp krizinden ölen neden 1 tane; Suriyeli Afgan yok Neden onlara aşı mecburiyeti yok Bakın inatla… https://t.co/Z9TPrIDwOd</t>
  </si>
  <si>
    <t>1467951902746894344</t>
  </si>
  <si>
    <t>@drfahrettinkoca Aşıdan ölen sakat kalan ömür boyu kan sulandırıcı kullanmak zorunda kalanların....haritasınıda yay… https://t.co/r1fQyWELVQ</t>
  </si>
  <si>
    <t>1467951690431315975</t>
  </si>
  <si>
    <t>@drfahrettinkoca @saglikbakanligi Sağlıkçılar bile  sistemin ilaç kartellerinin  eline geçtiğini  #DSÖ  denen  sağl… https://t.co/UXtSfS845u</t>
  </si>
  <si>
    <t>1467951183855763458</t>
  </si>
  <si>
    <t>@drfahrettinkoca En az ve en çok aşılanan illerde durum.   (Kaynak: Sağlık Bakanlığı verileri) https://t.co/yOuvCxojkF</t>
  </si>
  <si>
    <t>1467950985784049676</t>
  </si>
  <si>
    <t>@drfahrettinkoca https://t.co/T17IQurTnr</t>
  </si>
  <si>
    <t>1467950931488776192</t>
  </si>
  <si>
    <t>@drfahrettinkoca Lütfen kalp krizlerinden ölenler için birisi yorum yapsın Takdir i ilahidir sözü eskide kaldı aynı… https://t.co/WwyrZBpIwt</t>
  </si>
  <si>
    <t>1467950921644752897</t>
  </si>
  <si>
    <t>@drfahrettinkoca https://t.co/DdgjZtOpxy</t>
  </si>
  <si>
    <t>1467950713435209736</t>
  </si>
  <si>
    <t>@drfahrettinkoca Allah belanı versin senin,sen insan bile degilsin</t>
  </si>
  <si>
    <t>1467950312325632003</t>
  </si>
  <si>
    <t>@drfahrettinkoca Ölüme terk etmeyin bizi #kabineuzaktaneğitimsart</t>
  </si>
  <si>
    <t>1467950153722220544</t>
  </si>
  <si>
    <t>@drfahrettinkoca Acaba sizde 1500 kişilik okulda 8 saat maskeyle 40 m²'lik ortamda durup toplu taşımalara üst üste… https://t.co/WZZV1EeqxR</t>
  </si>
  <si>
    <t>1467950150098247683</t>
  </si>
  <si>
    <t>@drfahrettinkoca #hükümetistifa #ErkenSeçim #AKPVarsa</t>
  </si>
  <si>
    <t>1467950141755871236</t>
  </si>
  <si>
    <t>@drfahrettinkoca Özellikle sıvı alanlar uyandı.Oyun ortada 2017de cavit19 testlerini aldınız, neden? Neden pzrın öl… https://t.co/LXIaHvk2bL</t>
  </si>
  <si>
    <t>1467949961195278337</t>
  </si>
  <si>
    <t>@drfahrettinkoca Aşı olmayan lar adına herkes mutlu sayın aşı bakanı aşı sonrası kalp krizi geçirenleri açıklayın h… https://t.co/nYDNpT64Qj</t>
  </si>
  <si>
    <t>1467949779724427266</t>
  </si>
  <si>
    <t>@drfahrettinkoca Sağlık ataması için neyi bekliyorsunuz? Bunca insan atama bekliyor, kılavuz için daha ne kadar bekleyecekler?</t>
  </si>
  <si>
    <t>1467949705963450379</t>
  </si>
  <si>
    <t>@drfahrettinkoca https://t.co/TbMJ5nc4F5</t>
  </si>
  <si>
    <t>1467949609846722560</t>
  </si>
  <si>
    <t>@drfahrettinkoca Hiç kimse benim için kobay faresi olmak zorunda değil. Ben de hiç kimse için kobay faresi olmak zo… https://t.co/778yWE9FHl</t>
  </si>
  <si>
    <t>1467949573855395841</t>
  </si>
  <si>
    <t>@drfahrettinkoca https://t.co/gPWKYgI284</t>
  </si>
  <si>
    <t>1467949493589061642</t>
  </si>
  <si>
    <t>@drfahrettinkoca Sesimize kulak veren Sayın Genel Başkan   @kilicdarogluk  ’ na çok teşekkür ederiz. Sağlıkta atama… https://t.co/zi8W9DxcMW</t>
  </si>
  <si>
    <t>1467949466246389763</t>
  </si>
  <si>
    <t>@drfahrettinkoca Geç bunları ⏭</t>
  </si>
  <si>
    <t>1467949420150984705</t>
  </si>
  <si>
    <t>@drfahrettinkoca Ciddi artışlarin olmaması derken neyi kastediosunuz🤔🤔🤔🤔</t>
  </si>
  <si>
    <t>1467949419924443140</t>
  </si>
  <si>
    <t>@drfahrettinkoca Küresel Şeytani Üst Aklın Beslemesi İnsan Düşmanı Medyanın Yaptığı Habere Bak!  Maske Takılmadığı… https://t.co/IvskST2ySr</t>
  </si>
  <si>
    <t>1467949378589626377</t>
  </si>
  <si>
    <t>@drfahrettinkoca Minicik pıhtılar için lafın yok mu bakan efendi</t>
  </si>
  <si>
    <t>1467949351091724292</t>
  </si>
  <si>
    <t>@drfahrettinkoca Çok şükür, bu daha iyi günleriniz daha da düşecek. Çünkü insanlar ne kadar sussa da etraflarindaki… https://t.co/Eg5fg0aGfA</t>
  </si>
  <si>
    <t>1467949093934837760</t>
  </si>
  <si>
    <t>@drfahrettinkoca Çevremde duyuyorum 3. Doz aşı olmuş bir akrabamız 75 yaşında erkek biontech olmuş aşıdan sonra fen… https://t.co/i1cOcmavfF</t>
  </si>
  <si>
    <t>1467949058081935360</t>
  </si>
  <si>
    <t>@drfahrettinkoca https://t.co/49lO19UeVx</t>
  </si>
  <si>
    <t>1467948553096024079</t>
  </si>
  <si>
    <t>@drfahrettinkoca https://t.co/azPhKgNsMA</t>
  </si>
  <si>
    <t>1467948522662158341</t>
  </si>
  <si>
    <t>@drfahrettinkoca Yine iğne twetlerine başladığınıza göre kaldığınız yerden devam,hergün aşı ve ilaç skandalı var si… https://t.co/zXOGaHUTuf</t>
  </si>
  <si>
    <t>1467948522385424398</t>
  </si>
  <si>
    <t>@drfahrettinkoca https://t.co/o2Dki3u3V3</t>
  </si>
  <si>
    <t>1467948457340121091</t>
  </si>
  <si>
    <t>@drfahrettinkoca https://t.co/9rJc3b1F6w</t>
  </si>
  <si>
    <t>1467948413614440448</t>
  </si>
  <si>
    <t>@drfahrettinkoca https://t.co/DvMXBpY0Q3</t>
  </si>
  <si>
    <t>1467948356316147715</t>
  </si>
  <si>
    <t>@drfahrettinkoca Kamera nerde el saklayacam. https://t.co/H3ErrlFHKQ</t>
  </si>
  <si>
    <t>1467948343313772545</t>
  </si>
  <si>
    <t>@drfahrettinkoca Sizin öve öve bitiremediğjniz ruhsatsız,üreticisinin bile sorumluluk almadığı sıvılara 1. ci doz'd… https://t.co/D8C6Bbyp4L</t>
  </si>
  <si>
    <t>1467948340499394567</t>
  </si>
  <si>
    <t>@drfahrettinkoca https://t.co/Y0e9eoy3HC</t>
  </si>
  <si>
    <t>1467948325345402880</t>
  </si>
  <si>
    <t>@drfahrettinkoca https://t.co/wOS139s24E</t>
  </si>
  <si>
    <t>1467948291732262912</t>
  </si>
  <si>
    <t>@drfahrettinkoca Sana inat aşı olmıycaz aşı aşı yeter be aşı olanda ölüyor herşeyiniz yalan.kobay faresi yaptınız m… https://t.co/NGr2n6KGHx</t>
  </si>
  <si>
    <t>1467948286002839563</t>
  </si>
  <si>
    <t>@drfahrettinkoca https://t.co/PFH2oLj3PA</t>
  </si>
  <si>
    <t>1467948266922852352</t>
  </si>
  <si>
    <t>@drfahrettinkoca https://t.co/gvMcbPiQV4</t>
  </si>
  <si>
    <t>1467948251018059777</t>
  </si>
  <si>
    <t>@drfahrettinkoca Bunu aşağıdaki zavallımıyız diyen zat diyor. Aşı dediği şey ise sonuçlarını bilmediği aşı, yani bu… https://t.co/WFlKCZpehl</t>
  </si>
  <si>
    <t>1467948246316290055</t>
  </si>
  <si>
    <t>@drfahrettinkoca https://t.co/rLSuQoLbcQ</t>
  </si>
  <si>
    <t>1467948232789614598</t>
  </si>
  <si>
    <t>@drfahrettinkoca Öğretmenler az grib bile olsa çocukları okula gönderin dediğinde sinirden deliye döndüm. Ne demek… https://t.co/x3GRWXv6Jj</t>
  </si>
  <si>
    <t>1467948171741614080</t>
  </si>
  <si>
    <t>@drfahrettinkoca Yalanci sahtekarlar sizii.  Sıvı olan insanlar patır patır dökülüyor siz halá sıvı diyorsunuz,  ka… https://t.co/hnufbAOu9j</t>
  </si>
  <si>
    <t>1467948072290471941</t>
  </si>
  <si>
    <t>@drfahrettinkoca Bana şunu açıklayın.  Sabah erkenden gidip aşı olacam. https://t.co/hb46AqVy1o</t>
  </si>
  <si>
    <t>1467948065059487750</t>
  </si>
  <si>
    <t>@drfahrettinkoca pıhtıcıklar daha tehlikeli</t>
  </si>
  <si>
    <t>1467948057828503553</t>
  </si>
  <si>
    <t>@drfahrettinkoca A$ı nasıl önemini koruyor? 2 doz a$ı olmuş bir kişi nasıl oluyorda tekrar cor-ona oluyor  bunun aç… https://t.co/ZGztZPAqsx</t>
  </si>
  <si>
    <t>1467947999200481290</t>
  </si>
  <si>
    <t>@drfahrettinkoca Mutlaka aşı olalım   lutfen</t>
  </si>
  <si>
    <t>1467947562451804163</t>
  </si>
  <si>
    <t>@drfahrettinkoca Twit atmak için sn. Cumhurbaşkanından izin aldınız mı?</t>
  </si>
  <si>
    <t>1467947554847535108</t>
  </si>
  <si>
    <t>@drfahrettinkoca Şebek Fahrettin, karaktersiz Fahrettin, koltuk için onurunu satan Fahrettin, yalaka Fahrettin istifani ver orantısız herif</t>
  </si>
  <si>
    <t>1467947453534068743</t>
  </si>
  <si>
    <t>@drfahrettinkoca Bugün sınıfta toplantı vardı maskesiz gelen velilerle aynı ortamda üstelik kapalı ortamda durduk 2… https://t.co/mGMzYwjgOz</t>
  </si>
  <si>
    <t>1467947435850969090</t>
  </si>
  <si>
    <t>@drfahrettinkoca Yanlış hatırlamıyorsam ikinci doz ok.üçüncü doza geçtiler diyordunuz sanki bundan birkac ay önce</t>
  </si>
  <si>
    <t>1467947343542632451</t>
  </si>
  <si>
    <t>@drfahrettinkoca Peki mavi olan illerde neden tedbirler gevşetilimiyor 9 saat maske ile çalışan var isyan ediyor he… https://t.co/tm0wWo78AQ</t>
  </si>
  <si>
    <t>1467947152588607493</t>
  </si>
  <si>
    <t>@drfahrettinkoca NEDEN 2017 DE TEST KİTİ ALINDI ? https://t.co/stmTR9cI76</t>
  </si>
  <si>
    <t>1467947143369474049</t>
  </si>
  <si>
    <t>@drfahrettinkoca Sen büyük harflerle yaziyorsun ya ben de sen anlayasin diye yaziyorum BİZ AŞİ OLMAYACAĞİZ..ÇATLA PATLA!!!</t>
  </si>
  <si>
    <t>1467947119810129920</t>
  </si>
  <si>
    <t>@drfahrettinkoca Aşılama attıkça vakalar roketliyor sayın bakan. Hani Sinovac işe yarıyordu, hani dayattığınız hapl… https://t.co/U1QPQGFGMK</t>
  </si>
  <si>
    <t>1467947116047781900</t>
  </si>
  <si>
    <t>@drfahrettinkoca Virüs senden daha daha karakterli bir tutum sergiliyor Fahrettin onurun için istifa et</t>
  </si>
  <si>
    <t>1467947063287721989</t>
  </si>
  <si>
    <t>@drfahrettinkoca https://t.co/zKP9sYsu0h</t>
  </si>
  <si>
    <t>1467947040613322754</t>
  </si>
  <si>
    <t>@drfahrettinkoca Yoooo</t>
  </si>
  <si>
    <t>1467946897402957824</t>
  </si>
  <si>
    <t>@drfahrettinkoca Siz de haklısınız. Şimdi toplumun bir kısmında böyle sevimli hipertansif yanıtlar, tatlı ritim boz… https://t.co/OxLZJLfbP5</t>
  </si>
  <si>
    <t>1467946353380794369</t>
  </si>
  <si>
    <t>@drfahrettinkoca Ne sevinmesi be! O sıvılar yüzünden ülkede sağlıklı insan kalmadı. Biz çok üzgünüz. Sevinen sadece sizsiniz.</t>
  </si>
  <si>
    <t>1467946034458509314</t>
  </si>
  <si>
    <t>@drfahrettinkoca Aaaaa neden olabilir acaba ???</t>
  </si>
  <si>
    <t>1467945918641102849</t>
  </si>
  <si>
    <t>@drfahrettinkoca Bencede mutluluk verici millet sizin yalan söylediğinizi her gün tutarsızlıklarınızı gördü milleti… https://t.co/MfJwSYyyfO</t>
  </si>
  <si>
    <t>1467945757185658881</t>
  </si>
  <si>
    <t>@drfahrettinkoca İlkokul sıralarında gelip kolunuzu açın derlerdi, aşı yaparlardı, ne ne aşısı olduğunu bilirdik, n… https://t.co/CR4XLfMQsp</t>
  </si>
  <si>
    <t>1467945629271867393</t>
  </si>
  <si>
    <t>@drfahrettinkoca Siz izin vermeden aşı olur muyum? Aşkolsun.</t>
  </si>
  <si>
    <t>1467945559537463306</t>
  </si>
  <si>
    <t>@drfahrettinkoca Madem bu kadar önemli bunca aşıya neden bu kadar artış?? Yatacak yeriniz yok sizin, bok yoluna öld… https://t.co/ijs3zsZUZc</t>
  </si>
  <si>
    <t>1467945449973854210</t>
  </si>
  <si>
    <t>@drfahrettinkoca #Kabinezkusagionlineistiyor</t>
  </si>
  <si>
    <t>1467945269350256646</t>
  </si>
  <si>
    <t>@drfahrettinkoca La havle vela kuvvete illabillahulazim!!!!</t>
  </si>
  <si>
    <t>1467945232302223360</t>
  </si>
  <si>
    <t>@drfahrettinkoca demekki aşı bi boka yaramıyormuş demek istiyorsunuz galiba</t>
  </si>
  <si>
    <t>1467945171862044672</t>
  </si>
  <si>
    <t>@drfahrettinkoca yeter ama başliycam aşına da maskene de ha...insanları bir rahat bırakın artık nedir bu dayatma ne… https://t.co/Av8cgq4R8s</t>
  </si>
  <si>
    <t>1467945090278645765</t>
  </si>
  <si>
    <t>@drfahrettinkoca Aşı dediğiniz şeytan sıvısının önemi sadece sizin zihininizdedir. Millet uyandı Size iyi uykular.</t>
  </si>
  <si>
    <t>1467944889375670272</t>
  </si>
  <si>
    <t>@drfahrettinkoca Bari bizim 3. Doz öne çekilse de biz aşımızı olsak. Bireysel bakıyor vatandaş artık. Kovid oldum n… https://t.co/r5czXwFTFA</t>
  </si>
  <si>
    <t>1467944768294510597</t>
  </si>
  <si>
    <t>@drfahrettinkoca https://t.co/HyzOBARad1</t>
  </si>
  <si>
    <t>1467944495115350024</t>
  </si>
  <si>
    <t>@drfahrettinkoca https://t.co/Bx7V9nqlAG</t>
  </si>
  <si>
    <t>1467944420565790731</t>
  </si>
  <si>
    <t>@drfahrettinkoca Dün okul yoktu 20k alti vaka bugun okul vardi tekrar 20k oldu https://t.co/pDtQvfiUQN</t>
  </si>
  <si>
    <t>1467944114700394505</t>
  </si>
  <si>
    <t>@drfahrettinkoca #40BinAtamayiYapKilicdaroglu atama istiyoruz @drfahrettinkoca beklemekten yorulduk</t>
  </si>
  <si>
    <t>1467944019040911364</t>
  </si>
  <si>
    <t>@drfahrettinkoca 🖕</t>
  </si>
  <si>
    <t>1467943739914137612</t>
  </si>
  <si>
    <t>@drfahrettinkoca Şu Tunus'a Tūrkiye'den giden yolcu meselesi ne olacak? O kişi Türkiye'de kimlerle temas etmiş taki… https://t.co/r279zU3ICj</t>
  </si>
  <si>
    <t>1467943300246167555</t>
  </si>
  <si>
    <t>@drfahrettinkoca Hala okullarla ilgili tek bir açıklamanız bile yok.Çocuklarımız maske dışında önlemsiz bir şekilde… https://t.co/CwFMWXIMM2</t>
  </si>
  <si>
    <t>1467943120184741889</t>
  </si>
  <si>
    <t>@drfahrettinkoca Sayın  Bakan Kendi adina konuş ben şahsen üzülüyorum aşı bulunsaydı kimseye onam formu imzalatmazd… https://t.co/XwCiIjCNW8</t>
  </si>
  <si>
    <t>1467942824767369218</t>
  </si>
  <si>
    <t>@drfahrettinkoca Korumayan aşının ne önemi olacak kı, aksine bulaşı artırıyor</t>
  </si>
  <si>
    <t>1467942808589905924</t>
  </si>
  <si>
    <t>@drfahrettinkoca 187 vefat az mı? 20 bin vaka az mı? gelin düşürelim, ONLINE EĞİTİM YAPIN BAKIN NASIL DÜŞÜYOR GEÇEN… https://t.co/2TiztIbJcI</t>
  </si>
  <si>
    <t>1467942379638472707</t>
  </si>
  <si>
    <t>@drfahrettinkoca https://t.co/MEBuO6htb7</t>
  </si>
  <si>
    <t>1467942300810629125</t>
  </si>
  <si>
    <t>@drfahrettinkoca SAĞLIKÇILAR KILAVUZ BEKLİYOR  @kilicdarogluk @drfahrettinkoca #40BinAtamayiYapKilicdaroglu</t>
  </si>
  <si>
    <t>1467941931405742080</t>
  </si>
  <si>
    <t>@drfahrettinkoca Okulu online yap</t>
  </si>
  <si>
    <t>1467941878700068870</t>
  </si>
  <si>
    <t>@drfahrettinkoca nefes alamıyorum okulda 8 ders fazla  yıl olmuş 2021 hala 8 ders var çok verimsiz çünkü fazla ve g… https://t.co/FMttfjoNNK</t>
  </si>
  <si>
    <t>1467941758000676869</t>
  </si>
  <si>
    <t>@drfahrettinkoca Artık şu aşılama oranını tüm nufusa göre verinde gerçekleri görelim</t>
  </si>
  <si>
    <t>1467941678371721228</t>
  </si>
  <si>
    <t>@drfahrettinkoca nefes alamıyorum 8 DERS VAR YAHU! Derdo olduk bu sene iyice odaklanamıyoruz #kabineuzaktaneğitimşart</t>
  </si>
  <si>
    <t>1467941279925424129</t>
  </si>
  <si>
    <t>1467941275877978118</t>
  </si>
  <si>
    <t>@drfahrettinkoca bizim tagimizi görüyorsanız bir sinyal verin, orda mısınız? iki ay oldu derdo olduk, hergün derdim… https://t.co/kPNfJMNnJl</t>
  </si>
  <si>
    <t>1467941025679384579</t>
  </si>
  <si>
    <t>@drfahrettinkoca Sn.Bakan mevcut sağlık sistemi uçuruyor bizi. Temaslı biri olarak filyasyon ekibinden rapor ve pcr… https://t.co/T01XoXXz7J</t>
  </si>
  <si>
    <t>1467940802810810371</t>
  </si>
  <si>
    <t>@drfahrettinkoca 2023e kadar bekleyeceğiz galiba biz bu online eğitimi bizi görmeyen bakanlardan ne bekliyoruz ki ?#kabineuzaktaneğitimşart</t>
  </si>
  <si>
    <t>1467940305177657344</t>
  </si>
  <si>
    <t>@drfahrettinkoca Yap bi güzellik hiç değilse şu maske saçmalığına son ver artık...</t>
  </si>
  <si>
    <t>1467940272650829830</t>
  </si>
  <si>
    <t>@drfahrettinkoca Tedbir yok ama bu suskunluk ve tedbirsizlikten ölenlerin hesabını Allah'a vermek  var.</t>
  </si>
  <si>
    <t>1467940257412927492</t>
  </si>
  <si>
    <t>@drfahrettinkoca Aşılama oranı hala çok yüksek. Uyanmayan çok fazla insan var hala. İşe yaramadığını anlamak için n… https://t.co/umHBTr5Sro</t>
  </si>
  <si>
    <t>1467940232133758981</t>
  </si>
  <si>
    <t>@drfahrettinkoca Aylarca hatta yıllarca emek veren, hâla atamasını yapmadığınız binlerce gencin sadece umudunu, hev… https://t.co/j4LBouvfLD</t>
  </si>
  <si>
    <t>1467940111564353543</t>
  </si>
  <si>
    <t>@drfahrettinkoca Kılavuzu istiyoruz  @drfahrettinkoca #40BinAtamayiYapKilicdaroglu</t>
  </si>
  <si>
    <t>1467940077317799937</t>
  </si>
  <si>
    <t>@drfahrettinkoca Çok şükür millet uyanmaya başlamış</t>
  </si>
  <si>
    <t>1467940042869981186</t>
  </si>
  <si>
    <t>@drfahrettinkoca Demek ki millet korona hipnozundan uyanmaya başlamış...</t>
  </si>
  <si>
    <t>1467939844861177861</t>
  </si>
  <si>
    <t>@drfahrettinkoca Tahmini ne zaman mesleğimi yapıyor olurum? #40BinAtamayiYapKilicdaroglu</t>
  </si>
  <si>
    <t>1467939440026918913</t>
  </si>
  <si>
    <t>@drfahrettinkoca Ajidan sonra bazı insanlar böyle sürpriz ile karşılaşıyoruz diyor. Yalan mı söylüyor aydınlatır mı… https://t.co/5eq07w5nI8</t>
  </si>
  <si>
    <t>1467939364718231552</t>
  </si>
  <si>
    <t>@drfahrettinkoca https://t.co/Qzjh9BIHes</t>
  </si>
  <si>
    <t>1467939254437298190</t>
  </si>
  <si>
    <t>@drfahrettinkoca Şu doktorlarınizi takip edin lütfen .. insan hayatı kimlerin elinde https://t.co/XCP72ZIBoy</t>
  </si>
  <si>
    <t>1467939121335316493</t>
  </si>
  <si>
    <t>@drfahrettinkoca bakanım sen şimdi hiç mi görmüyorsun bu TAGLERİ? Hiç mi?  HİÇ? HİÇ?? #kabineuzaktaneğitimşart</t>
  </si>
  <si>
    <t>1467939082055602176</t>
  </si>
  <si>
    <t>@drfahrettinkoca Karakter her bireyde bulunmaz.... Vatandaş senin yüzünden bu halde...  Seni sucluyorum çıkardığın… https://t.co/TO8I2BQzJi</t>
  </si>
  <si>
    <t>1467938965932105737</t>
  </si>
  <si>
    <t>@drfahrettinkoca Düsünmem gerek asiyi</t>
  </si>
  <si>
    <t>1467938784440422412</t>
  </si>
  <si>
    <t>@drfahrettinkoca Sende yalanını koruyorsun.. Olanlarda mecburiyetten oldu zaten size inan kalmadı maalesef</t>
  </si>
  <si>
    <t>1467938713766445080</t>
  </si>
  <si>
    <t>@drfahrettinkoca Tesadüfe bak sen. Aşılama hızı düştükçe ölüm hızı da düşmeye başladı.</t>
  </si>
  <si>
    <t>1467938672582569993</t>
  </si>
  <si>
    <t>@drfahrettinkoca @drfahrettinkoca “aşı”demeyeceksiniz, “aşı adayı” diyeceksiniz</t>
  </si>
  <si>
    <t>1467938569314615309</t>
  </si>
  <si>
    <t>@drfahrettinkoca okulda nefes alamıyorum  TEDBİR ÖNLEM ONLINE EĞİTİM!!!!!! ACİL! #kabineuzaktaneğitimşart</t>
  </si>
  <si>
    <t>1467938400456130564</t>
  </si>
  <si>
    <t>@drfahrettinkoca nefes alamıyorum okulda HELP! #kabineuzaktaneğitimşart</t>
  </si>
  <si>
    <t>1467938234843992071</t>
  </si>
  <si>
    <t>@drfahrettinkoca https://t.co/yAJD3U4RLU</t>
  </si>
  <si>
    <t>1467938178501861384</t>
  </si>
  <si>
    <t>@drfahrettinkoca 18 yaş üstü nüfusun%81 i 2 doz aşılı hlaa 20bin vaka 187 vefat sayısı açıklanıyor. Tahmini aşılar nzman ise yarar :)</t>
  </si>
  <si>
    <t>1467938144666460161</t>
  </si>
  <si>
    <t>@drfahrettinkoca okulda nefes alamıyorum #kabineuzaktaneğitimşart</t>
  </si>
  <si>
    <t>1467938131093643269</t>
  </si>
  <si>
    <t>@drfahrettinkoca Adem oğlu çiğ süt emerek büyümeye başlar.Bebek  iken aşılar başlar.Virüslerden korunmak için. Salg… https://t.co/DBaP0ZAq2T</t>
  </si>
  <si>
    <t>1467938070880215047</t>
  </si>
  <si>
    <t>1467938066874748933</t>
  </si>
  <si>
    <t>@drfahrettinkoca Aşıyı boşver bakan bey millet aç aç ekonimden haber ver millet ne ile beslenecek aşıyla karnini do… https://t.co/DQKtG7HPAr</t>
  </si>
  <si>
    <t>1467938042791010310</t>
  </si>
  <si>
    <t>@drfahrettinkoca Eğer bu doğruysa gerçekten yazıklar olsun https://t.co/hr5KxgKSBA</t>
  </si>
  <si>
    <t>1467937654255853570</t>
  </si>
  <si>
    <t>@drfahrettinkoca dünya sağlık kompleksi mahvettiniz okullar açılınca diyor siz 20 bin kim inanıyor ayıp ya milleti… https://t.co/T1Yr7cfwsK</t>
  </si>
  <si>
    <t>1467937593165639681</t>
  </si>
  <si>
    <t>@drfahrettinkoca Böylemi koruyor? https://t.co/4S5O6ZYzad</t>
  </si>
  <si>
    <t>1467937589902647299</t>
  </si>
  <si>
    <t>@drfahrettinkoca Şu kadar aşı olunursa kurtulacağız, bu kadar aşı olunursa normale döneceğiz gibi şeyler söyleniyor… https://t.co/IAALz4ygaP</t>
  </si>
  <si>
    <t>1467937400513089540</t>
  </si>
  <si>
    <t>@drfahrettinkoca Zorla, milletin ekmeği ile tehdit ederek, pcr işkencesi ile aşı vurdurdun. Kendi verilerin mavi ol… https://t.co/yerVwELYTb</t>
  </si>
  <si>
    <t>1467937344611356684</t>
  </si>
  <si>
    <t>@drfahrettinkoca sizler bu milletin sorunlarını çözmek için varsınız, biz milletiz siz bizim vekilimizsiniz EGEMENL… https://t.co/2gGYRSY9tu</t>
  </si>
  <si>
    <t>1467937328555606023</t>
  </si>
  <si>
    <t>@drfahrettinkoca Buraya kadarmış başka aşı yok köylü gözünü açtı kanımca</t>
  </si>
  <si>
    <t>1467937146791243781</t>
  </si>
  <si>
    <t>@drfahrettinkoca @saglikbakanligi Aşıların zararlarını bildiğiniz halde insanları olume suruklediniz. Pfizer ile an… https://t.co/HpUaj4RSHS</t>
  </si>
  <si>
    <t>1467936946626441224</t>
  </si>
  <si>
    <t>@drfahrettinkoca sizleri biz var ettik. siz bizi hiç takmıyorsunuz #kabineuzaktaneğitimşart</t>
  </si>
  <si>
    <t>1467936937856151553</t>
  </si>
  <si>
    <t>@drfahrettinkoca Kapat okulu</t>
  </si>
  <si>
    <t>1467936937604534286</t>
  </si>
  <si>
    <t>@drfahrettinkoca siz bizi hiç takmıyorsunuz #kabineuzaktaneğitimşart</t>
  </si>
  <si>
    <t>1467936804645093384</t>
  </si>
  <si>
    <t>@drfahrettinkoca @saglikbakanligi Aşıların zararlarını bildiğiniz halde insanları olume suruklediniz. Pfizer ile an… https://t.co/dpYiPAXPhX</t>
  </si>
  <si>
    <t>1467936753340358670</t>
  </si>
  <si>
    <t>@drfahrettinkoca Bu oranlara ve  Türkiye adına çok sevindim 👍👍👍  Çok şükür millet uyanmaya başladı, neüdüğü belirsi… https://t.co/ozdbvu5eCH</t>
  </si>
  <si>
    <t>1467936653876420610</t>
  </si>
  <si>
    <t>@drfahrettinkoca Neden diye aynaya bakıp sormalisin?Yanlış adresten soruyorsun?</t>
  </si>
  <si>
    <t>1467936653402591240</t>
  </si>
  <si>
    <t>@drfahrettinkoca İşimi kaybetmemek için ilk doz oldum,ikinci doza kadar gene test vermeye gideceğim,48 saatte bir,i… https://t.co/qxf5rTMsxW</t>
  </si>
  <si>
    <t>1467936282462588933</t>
  </si>
  <si>
    <t>@drfahrettinkoca Şu anlık mı önemini koruyor ? Duuu</t>
  </si>
  <si>
    <t>1467935883890511875</t>
  </si>
  <si>
    <t>@drfahrettinkoca Bakan Bey haklı, 3 doz aşılı olmama rağmen bir haftadır öksürükten ciğerim söküldü. Aşısız olsaydı… https://t.co/PvKd9pVf9y</t>
  </si>
  <si>
    <t>1467935732467654662</t>
  </si>
  <si>
    <t>@drfahrettinkoca 2 veya 3 doz %100 olunca ne olacak...  Bitecekmi?  Kuran'a el basarak  İşin burasını anlatırmısınız.... NÇ</t>
  </si>
  <si>
    <t>1467935573793026049</t>
  </si>
  <si>
    <t>@drfahrettinkoca @saglikbakanligi O AŞI HÜVİYETİ kazanmamış DENEYSEL SIVILARdan mutluluk duyan "HEPİMİZ" kim(ler) a… https://t.co/p5XX0w3BFr</t>
  </si>
  <si>
    <t>1467935537348718597</t>
  </si>
  <si>
    <t>@drfahrettinkoca İş yerleri maskeleri bile kaldırdı, aşılılar hastanelerde aşısızlar da yakalanma bile yok bakanım.… https://t.co/yw6WxVac3L</t>
  </si>
  <si>
    <t>1467935373019992066</t>
  </si>
  <si>
    <t>@drfahrettinkoca Artık hissizleştik.</t>
  </si>
  <si>
    <t>1467935283048026112</t>
  </si>
  <si>
    <t>@drfahrettinkoca Yeter artık herkes bıktı biz maskeyle her gün okula gidip o 3 kuraka uymaktan yorulduk her gün yen… https://t.co/nOdTfwGE1s</t>
  </si>
  <si>
    <t>1467934822479839244</t>
  </si>
  <si>
    <t>@drfahrettinkoca üniversitelere online eğitim tedirginiz #kabineuzaktaneğitimşart</t>
  </si>
  <si>
    <t>1467934610067701764</t>
  </si>
  <si>
    <t>@drfahrettinkoca aşı hakkımızı verin, 3. doz aşıları açın!</t>
  </si>
  <si>
    <t>1467934499191369728</t>
  </si>
  <si>
    <t>@drfahrettinkoca ALLAH BELANI VERSİNN İNŞALLAH. Aşı yaptıkça vakalar artıyor. Hani yüzde 60 asilaninca bağışıklık olacakti.</t>
  </si>
  <si>
    <t>1467934475074121733</t>
  </si>
  <si>
    <t>@drfahrettinkoca 3. aşı randevularımızı açın artık</t>
  </si>
  <si>
    <t>1467934407797489670</t>
  </si>
  <si>
    <t>@drfahrettinkoca Sayın @drfahrettinkoca iki yıldır #tıbbicihaz firmalarına cehrnnemi yaşatıyorsunuz. 2020 ve 2021 a… https://t.co/5S5r69KZxW</t>
  </si>
  <si>
    <t>1467934374456958978</t>
  </si>
  <si>
    <t>@drfahrettinkoca Yaaa yemin ederim kafayı yiyecem neden bu reva görülen çile anlamıyorjm bakanım yapmayın ne olursu… https://t.co/XlklbnIpoc</t>
  </si>
  <si>
    <t>1467934352009015298</t>
  </si>
  <si>
    <t>@drfahrettinkoca 3. AŞI randevularımızı niçin açmıyorsunuz ? AÇIN! İsteyenler aşılarını olsun. yeter</t>
  </si>
  <si>
    <t>1467934333486960642</t>
  </si>
  <si>
    <t>@drfahrettinkoca omicron ülkemizde yok dediniz gevşek kuralsız saldım çayıra davrandınız OKULLARDA KİMSE MASKE TAKM… https://t.co/dpNpSQuQtg</t>
  </si>
  <si>
    <t>1467934044138745856</t>
  </si>
  <si>
    <t>@drfahrettinkoca Kendi adınıza konuşun. Ne aşımsı olunmasına sevindik ne de şimdi olunmamasına üzülüyoruz.</t>
  </si>
  <si>
    <t>1467934043417231367</t>
  </si>
  <si>
    <t>@drfahrettinkoca BAKANLAR ALOOO #kabineuzaktaneğitimsart</t>
  </si>
  <si>
    <t>1467933426422538246</t>
  </si>
  <si>
    <t>@drfahrettinkoca @saglikbakanligi Pandemi yok gibi ! Kayseri şehir Hastanesi'nin Acil bölümüne kızımın burnuna yaba… https://t.co/CSOhBzeZFB</t>
  </si>
  <si>
    <t>1467933389869273089</t>
  </si>
  <si>
    <t>@drfahrettinkoca Turkiyeda huzurevlerinde binlerce yasli 2. biontech asisini beklerken sizin asidan bahsedebilmeniz… https://t.co/AQQP048Dhw</t>
  </si>
  <si>
    <t>1467933270713241606</t>
  </si>
  <si>
    <t>@drfahrettinkoca Kanal d aşılar omicrona karşı etkisiz açıklaması yaptı ve her ülkeden aşı pasaportu protestolarını… https://t.co/f7z9MGu4GN</t>
  </si>
  <si>
    <t>1467933249276100609</t>
  </si>
  <si>
    <t>@drfahrettinkoca Milletin aklıyla dalga geçmeyi bırakın artık</t>
  </si>
  <si>
    <t>1467933133182017536</t>
  </si>
  <si>
    <t>@drfahrettinkoca AÇIN AŞI RANDEVULARINI O ZAMAN NE DURUYORSUNUZ? ONLİNE EĞİTİM YOK, AŞI YOK, HAVALANDIRMA YOK!!!! Ö… https://t.co/z61cFI3sdm</t>
  </si>
  <si>
    <t>1467932965435064324</t>
  </si>
  <si>
    <t>@drfahrettinkoca Dünya basını mahkeme kararıyla ifşa etmek zorunda kaldıkları , gizli aşı belgeleriyle çalkalanırke… https://t.co/QBz6dD8aYH</t>
  </si>
  <si>
    <t>1467932632000438277</t>
  </si>
  <si>
    <t>@drfahrettinkoca Üzülmeye gerek yok. Herkes ektiğini biçer.Siz değil,biz üzülüyoruz. Tedbirsizlikler yüzünden çocuk… https://t.co/046KS1ypMk</t>
  </si>
  <si>
    <t>1467932557958332422</t>
  </si>
  <si>
    <t>@drfahrettinkoca bugün çok fena nefes darlığı yaşadım. 8 ders , artı yol otobüs derken günde 10 saat maskeyle boğul… https://t.co/YZOqgo0PWT</t>
  </si>
  <si>
    <t>1467932368442953732</t>
  </si>
  <si>
    <t>@drfahrettinkoca Doğru bilgilendirme yapmıyorsun</t>
  </si>
  <si>
    <t>1467932282946215939</t>
  </si>
  <si>
    <t>@drfahrettinkoca Pihticik neoldu 🤣</t>
  </si>
  <si>
    <t>1467932218509168640</t>
  </si>
  <si>
    <t>@drfahrettinkoca İyi haber, insanlar uyanıyor!!</t>
  </si>
  <si>
    <t>1467932128721747984</t>
  </si>
  <si>
    <t>@drfahrettinkoca Yapma artık bakanım bırak şu aşı işini bir halta yaramıyor niye bu kadar ısrar ediyorsunuz anlamıy… https://t.co/22YVtCjgHq</t>
  </si>
  <si>
    <t>1467932088280268805</t>
  </si>
  <si>
    <t>@drfahrettinkoca Aşı oranı arttıkça neden vaka oranı artıyor yada az aşılı illerde neden vaka oranıda az billinsel… https://t.co/ZkvzU4y327</t>
  </si>
  <si>
    <t>1467932045401890818</t>
  </si>
  <si>
    <t>@drfahrettinkoca İşimizi kaybetmemek işin Her hafta zorunlu dediğiniz o lanet olası çubuğu burnumuza sokturmak zoru… https://t.co/TI3VkQ6und</t>
  </si>
  <si>
    <t>1467932024031883274</t>
  </si>
  <si>
    <t>@drfahrettinkoca her akşam tweet atarak olmuyor bu işler başkan</t>
  </si>
  <si>
    <t>1467931962652471312</t>
  </si>
  <si>
    <t>@drfahrettinkoca insanız biz insanca şartlarda yaşamak hakkımız ölüme ter ettiniz #kabineuzaktaneğitimşart</t>
  </si>
  <si>
    <t>1467931889906319365</t>
  </si>
  <si>
    <t>@drfahrettinkoca Fahrettin koca’man yalancı</t>
  </si>
  <si>
    <t>1467931625728192513</t>
  </si>
  <si>
    <t>@drfahrettinkoca 6 ARALIK 2020 AŞI YOK! TEST SAYISI:174.761 VAKA SAYISI:30.402 HASTA SAYISI:6.093 ÖLÜM:195  6 ARALI… https://t.co/ypKCA7ciDD</t>
  </si>
  <si>
    <t>1467931488406622214</t>
  </si>
  <si>
    <t>@drfahrettinkoca Peki sayın bakanım acaba gerek muhalefetin gerek iktidar partisi nin mitinglerinde bulaşmayan hast… https://t.co/XL46OhWI95</t>
  </si>
  <si>
    <t>1467931448049078273</t>
  </si>
  <si>
    <t>@drfahrettinkoca Sn. Bakanım maalesef bugün beni hayretler içerisinde bırakmış olan tek cümleyi ileteceğim size. “H… https://t.co/iNwCc11Emi</t>
  </si>
  <si>
    <t>1467931349193568271</t>
  </si>
  <si>
    <t>@drfahrettinkoca Türkiye ne güzel bir memleket.Bence tüm dünyadaki sıvı karşıtları bu ülkeye yerleşmeli.Mutlu,mesut… https://t.co/8rkV31uaQX</t>
  </si>
  <si>
    <t>1467931308127047680</t>
  </si>
  <si>
    <t>@drfahrettinkoca Olmayınca olmuyor işte, boşver gitsin. Elalemin derdi senimi gerdi, takma kafana.</t>
  </si>
  <si>
    <t>1467931065360728066</t>
  </si>
  <si>
    <t>@drfahrettinkoca nerede aşı? Açın da olalım 3. dozu yeter aşı yok, online eğitim kararı yok sınıfta havalandırma yo… https://t.co/2s0giZLOPZ</t>
  </si>
  <si>
    <t>1467931059396431873</t>
  </si>
  <si>
    <t>@drfahrettinkoca Daha fazla insanı aşılatmakla sizin mutlu olacagınız kesin de bir aşı olanlara sormak lazım mutlu oldular mı gercekten!</t>
  </si>
  <si>
    <t>1467930882975621126</t>
  </si>
  <si>
    <t>@drfahrettinkoca Aşı hiç bir zaman dopal bağısıklıktan daha önemli olmadı sadece insanlar aşı mümessilleri tarafınd… https://t.co/S9IhCv7jin</t>
  </si>
  <si>
    <t>1467930626028359681</t>
  </si>
  <si>
    <t>@drfahrettinkoca tazminat alacağım akciğerim hasta olursa 8 ders maskeye mecbur bırakmak ne demek! insanız biz insa… https://t.co/0FDYQ3VpZu</t>
  </si>
  <si>
    <t>1467930437867692032</t>
  </si>
  <si>
    <t>@drfahrettinkoca %75 oranına gelmemiş 30 ilimizi kutluyorum. Bu adamın yalanlarına kanmayın</t>
  </si>
  <si>
    <t>1467930390480527366</t>
  </si>
  <si>
    <t>@drfahrettinkoca Bakanım geldik uyanın</t>
  </si>
  <si>
    <t>1467930095650316295</t>
  </si>
  <si>
    <t>@drfahrettinkoca Yaşlılara neden 4 doz aşıları yaptirmiyorsunuz ???</t>
  </si>
  <si>
    <t>1467930059868717060</t>
  </si>
  <si>
    <t>@drfahrettinkoca He he Dr he he..</t>
  </si>
  <si>
    <t>1467929770054848515</t>
  </si>
  <si>
    <t>@drfahrettinkoca simdi ciddi artişlarin olmamasi uzuntu verici yazmis 😒</t>
  </si>
  <si>
    <t>1467929760785436685</t>
  </si>
  <si>
    <t>@drfahrettinkoca Hala inatla aşı korur diyorsunuz tedbir olmadan hiç bir halta yaramaz o aşınız daha neyi anlamıyor… https://t.co/1l7OCzpEyB</t>
  </si>
  <si>
    <t>1467929675594973189</t>
  </si>
  <si>
    <t>@drfahrettinkoca Haydin başka kapıya. Pazarlamacılara taviz yok!!!</t>
  </si>
  <si>
    <t>1467929508821016576</t>
  </si>
  <si>
    <t>@drfahrettinkoca Sayın bakan size inanmıyorum. Aşı ve PCR dayatması yüzünden işimden atıldım.size hakkımı helal etm… https://t.co/G9gJDDI2NR</t>
  </si>
  <si>
    <t>1467929379426738176</t>
  </si>
  <si>
    <t>@drfahrettinkoca Âşı kendini koruyamıyor aşı olanların hepsi artık ağır geçiriyor umalım ki aşı olanlara bir şeyler olmasın</t>
  </si>
  <si>
    <t>1467929349605232641</t>
  </si>
  <si>
    <t>@drfahrettinkoca Aşılamayı durdurun. Maskeleri kaldırın. Vakalar düşmezse söz veriyorum bende aşı olucam.</t>
  </si>
  <si>
    <t>1467929317690822662</t>
  </si>
  <si>
    <t>@drfahrettinkoca #kronikhastalaraidariizin @saglikbakanligi @sagliklicozum @meb @mebimdestek @TC_icisleri</t>
  </si>
  <si>
    <t>1467929093878558727</t>
  </si>
  <si>
    <t>@drfahrettinkoca Türkiyede sekont testi yani mutasyon testi oranı 10.000’de 5 Bu oran ingilterede yüzde26 Bizim mut… https://t.co/g61AiI8BHm</t>
  </si>
  <si>
    <t>1467928974957416456</t>
  </si>
  <si>
    <t>@drfahrettinkoca İstediğiniz vakaların düşmesi değilmi aşılama düştükçe vakalaarda düşüyor. Daha ne istiyorsunuz. İşinize gelmedimi.</t>
  </si>
  <si>
    <t>1467928866467504135</t>
  </si>
  <si>
    <t>@drfahrettinkoca Maske sacmalığı bitsin artık bir halta yaramıyor korkunun senbolü sadece</t>
  </si>
  <si>
    <t>1467928490318217220</t>
  </si>
  <si>
    <t>@drfahrettinkoca Sayın Bakan günde 30-40bin kişi aşı oluyor.Demek oluyor ki, ülkemizde aşılama durdu.Yeni varyant A… https://t.co/WptVcpSKRu</t>
  </si>
  <si>
    <t>1467928340036210705</t>
  </si>
  <si>
    <t>@drfahrettinkoca Sana kim inanır her sözün yalan dolan. Her şeyiniz Film fırıldak.</t>
  </si>
  <si>
    <t>1467928332176183300</t>
  </si>
  <si>
    <t>@drfahrettinkoca Şimdi aşılanmada ciddi artışların olmaması, sonunda jeton düştü anlamına geliyor😄</t>
  </si>
  <si>
    <t>1467928214630764545</t>
  </si>
  <si>
    <t>@drfahrettinkoca Siz önce yaşlıların hemde hiç bir semptomu olmayan yaşlıların üzerinden covid oyunu oynamayın ya b… https://t.co/rOy667TjbX</t>
  </si>
  <si>
    <t>1467928003611086849</t>
  </si>
  <si>
    <t>@drfahrettinkoca Sözde bilim kurulu bengicik halkla dalga geciyo. Aşı minik minnoş pıhtilar atabilirmiş miyokardit… https://t.co/mbQ5zR15sV</t>
  </si>
  <si>
    <t>1467927426667851791</t>
  </si>
  <si>
    <t>@drfahrettinkoca Yalan bakanı bir soru cevap alamıyacak kadar televizyona çıkmaktan korkan küresel kuklalar Allah k… https://t.co/PaE7LmwpTG</t>
  </si>
  <si>
    <t>1467927393331470340</t>
  </si>
  <si>
    <t>@drfahrettinkoca Burdan tüm Türkiye'ye sesleniyorum artık hepiniz aşı olun da nolur kurtulalım şu mevzudan. Atama işine geçelim artık 😂</t>
  </si>
  <si>
    <t>1467927227602186240</t>
  </si>
  <si>
    <t>1467927108265689100</t>
  </si>
  <si>
    <t>@drfahrettinkoca Bir Erdoğan'dan korktuğun kadar 80 milyon insandan korkmuyorsun değil mi Fahrettin? Keşke o sesin… https://t.co/IS63qSmsfl</t>
  </si>
  <si>
    <t>1467927089546514433</t>
  </si>
  <si>
    <t>@drfahrettinkoca Bizi duymayan sahip çıkmayan bir bakanımız var maalesef alım haberi üzerinden bir ay geçti hala bir sessizlik</t>
  </si>
  <si>
    <t>1467927016192331781</t>
  </si>
  <si>
    <t>@drfahrettinkoca Sayın @kilicdarogluk duydu bizi siz duymadınız @drfahrettinkoca @gozdekirisciogl @halis_aygun</t>
  </si>
  <si>
    <t>1467926992968462349</t>
  </si>
  <si>
    <t>@drfahrettinkoca Pandemi sureci boyunca online egitim istiyoruz</t>
  </si>
  <si>
    <t>1467926933530976261</t>
  </si>
  <si>
    <t>@drfahrettinkoca Auzef sınavları online olsun vakalar çok</t>
  </si>
  <si>
    <t>1467926908113461254</t>
  </si>
  <si>
    <t>@drfahrettinkoca Hiç aşı olmadım. Covido da olmadım Yoksa Superman mıyım</t>
  </si>
  <si>
    <t>1467926880825319427</t>
  </si>
  <si>
    <t>@drfahrettinkoca Aşı bir işe yaramıyor su enjekte etseniz yemin ediyorum daha fazla katkısı olur. Şu okulları lütfe… https://t.co/DDnpsohCZh</t>
  </si>
  <si>
    <t>1467926872474402816</t>
  </si>
  <si>
    <t>@drfahrettinkoca aşı karşıtları gelin bu seferlik delikanlı olun ve aşının insanları öldürdüğüne dair bir kanıt gös… https://t.co/Lyo4vENIQ2</t>
  </si>
  <si>
    <t>1467926865813905426</t>
  </si>
  <si>
    <t>@drfahrettinkoca Ama vakalar da azalıyor aşılama hızı azalınca? Böylesi daha iyi değil mi sayın Bakan? Yoksa asıl a… https://t.co/TXPgHyhFSV</t>
  </si>
  <si>
    <t>1467926865180610563</t>
  </si>
  <si>
    <t>@drfahrettinkoca Online egitim istiyoruz</t>
  </si>
  <si>
    <t>1467926800835747841</t>
  </si>
  <si>
    <t>@drfahrettinkoca Lutfen biz ogrencilere secim hakki taniyin inline istiyoruz</t>
  </si>
  <si>
    <t>1467926755914694665</t>
  </si>
  <si>
    <t>@drfahrettinkoca Bı yadan atamasini yapmadiginiz saglikcilar haykiriyor bi yandan ayrım yapıldığına inanan sağlıkçı… https://t.co/15rspzM2bH</t>
  </si>
  <si>
    <t>1467926737912745987</t>
  </si>
  <si>
    <t>@drfahrettinkoca Omicron, omicron u duydunuz mu? Ülkeler teker teker kapanıyor haberiniz var mı? Tedbir ve kısıtlam… https://t.co/CtYvs6uJA6</t>
  </si>
  <si>
    <t>1467926726890110979</t>
  </si>
  <si>
    <t>@drfahrettinkoca artık kılavuzu branş dağılımını yayınlayın sn bakanım.. #ösym #halis_aygun</t>
  </si>
  <si>
    <t>1467926717993992195</t>
  </si>
  <si>
    <t>@drfahrettinkoca Sayın bakanım ögrencilerin sesini duyun. #KabineZKusağıOnlineİstiyor</t>
  </si>
  <si>
    <t>1467926616445751298</t>
  </si>
  <si>
    <t>@drfahrettinkoca Bir sağlık bakanı düşünün hemde siyasete en uzak makam. O makama bile güvenilmiyor artık.</t>
  </si>
  <si>
    <t>1467926104287715331</t>
  </si>
  <si>
    <t>@drfahrettinkoca ?????</t>
  </si>
  <si>
    <t>1467926102836457474</t>
  </si>
  <si>
    <t>@drfahrettinkoca Lan bi siktirgit</t>
  </si>
  <si>
    <t>1467926021018210306</t>
  </si>
  <si>
    <t>@drfahrettinkoca Sen ve senin tayfana asla güvenmiyoruz https://t.co/Ck0UYU67Fo</t>
  </si>
  <si>
    <t>1467925940403642375</t>
  </si>
  <si>
    <t>@drfahrettinkoca Yoo ben mutluluk duymadım hiç. Aksine üzülüyordum, sonra inşaAllah ben yanılıyorumdur diyordum.</t>
  </si>
  <si>
    <t>1467925836976246792</t>
  </si>
  <si>
    <t>@drfahrettinkoca Şey bakanım #saglikcılargrevde olduğu için aşılama oranı biraz düşebilir biraz</t>
  </si>
  <si>
    <t>1467925799697358850</t>
  </si>
  <si>
    <t>@drfahrettinkoca Tek dediğiniz aşı... Aşı bu kadar koruyorsa siz neden online toplantı yapıyorsunuz? Aşı korumuyors… https://t.co/SdliDByaYb</t>
  </si>
  <si>
    <t>1467925692360892422</t>
  </si>
  <si>
    <t>@drfahrettinkoca Sayın bakanım hemşireler entübü döneminde çocukların dan ayrı kaldılar vürüslü hastalarla uğraştıl… https://t.co/Fkrt42ieQp</t>
  </si>
  <si>
    <t>1467925673801134081</t>
  </si>
  <si>
    <t>@drfahrettinkoca Guya binlerce testi hergun nerede ve kimlere yapiyrsunuz  Hic akli mantığı olan yokmu bu sayilar d… https://t.co/qOIophkOdW</t>
  </si>
  <si>
    <t>1467925668860157956</t>
  </si>
  <si>
    <t>@drfahrettinkoca Haftasonu geçti yine yirmilere çıktık #kabineuzaktaneğitimsart</t>
  </si>
  <si>
    <t>1467925645653118985</t>
  </si>
  <si>
    <t>1467925571049037835</t>
  </si>
  <si>
    <t>@drfahrettinkoca Halk pcr siz aşısız memleketine gidemezken,ülkeye aşısız testsiz turistmi sokuyorsunuz ? https://t.co/jDdjwKovBo</t>
  </si>
  <si>
    <t>1467925509132664838</t>
  </si>
  <si>
    <t>@drfahrettinkoca Fahrettin Koca. Sende farkındamısın Aşılama hızı düştüğünde ölüm sayıları da azalıyor. Aşı ve PCR… https://t.co/KNaRExVC3v</t>
  </si>
  <si>
    <t>1467925451045810187</t>
  </si>
  <si>
    <t>@drfahrettinkoca SEN YERLİ DEĞİLSİN.</t>
  </si>
  <si>
    <t>1467925374000640007</t>
  </si>
  <si>
    <t>@drfahrettinkoca #40BinAtamayiYapKilicdaroglu @drfahrettinkoca</t>
  </si>
  <si>
    <t>1467924821589774343</t>
  </si>
  <si>
    <t>@drfahrettinkoca Aşı işe yarasaydı vaka sayısı sıfır olurdu demek aşı işe yaramıyor ki vaka sayıları artıyor</t>
  </si>
  <si>
    <t>1467924774605230080</t>
  </si>
  <si>
    <t>@drfahrettinkoca Bekliyoruz bitmesini Allah cc izni ile dua ediyoruz inanarak O güce güveniyoruz sizde bize inanın… https://t.co/PDpPvFqBJ5</t>
  </si>
  <si>
    <t>1467924766518661132</t>
  </si>
  <si>
    <t>@drfahrettinkoca Aşılanmak görev değildir!!!! Ağzından çıkanı kulağın duymalı sayın bakan, bireyin topluma karşı bö… https://t.co/FC8Hn1cwwd</t>
  </si>
  <si>
    <t>1467924674705252357</t>
  </si>
  <si>
    <t>@drfahrettinkoca Aşı aşı da çift doz aşımızı olduk ve işten eve evden işe bide tarlaya giden biri olarak nasıl yaka… https://t.co/OS1gItQSYs</t>
  </si>
  <si>
    <t>1467924587304341508</t>
  </si>
  <si>
    <t>@drfahrettinkoca Suyun kaynamaya basladı hadı insAllahhh</t>
  </si>
  <si>
    <t>1467924583877689354</t>
  </si>
  <si>
    <t>@drfahrettinkoca Sayende gözüm açıldı yeni digan bebeğime dahi asi yaptirmiyorum keşke 11 yıl önce sağlık bakanı ol… https://t.co/TjJK0opPOT</t>
  </si>
  <si>
    <t>1467924576155934723</t>
  </si>
  <si>
    <t>@drfahrettinkoca https://t.co/ZqOhIFrwN3</t>
  </si>
  <si>
    <t>1467924258353565701</t>
  </si>
  <si>
    <t>@drfahrettinkoca Ne söyledin şimdi ? Para puldan bahsettin mi? Sağlık bakanısın ...</t>
  </si>
  <si>
    <t>1467924185196417035</t>
  </si>
  <si>
    <t>@drfahrettinkoca Aşı değil insanları denek olarak kullandığınız ve sorumluluk dahi almadığınız bir SIVI  Aşıya aşı… https://t.co/4Z04Y8XBcN</t>
  </si>
  <si>
    <t>1467924151218413570</t>
  </si>
  <si>
    <t>@drfahrettinkoca Aşılama durma noktasına geldi ona paralel vaka ve ölüm sayıları da azaldı.Matematik aslında size h… https://t.co/ML99avLsEa</t>
  </si>
  <si>
    <t>1467924002895286279</t>
  </si>
  <si>
    <t>@drfahrettinkoca Aşılilar bulastiriyor hastalığı bırakın bu oyunu artık neyden besleniyorsaniz!!!!!</t>
  </si>
  <si>
    <t>1467923999908933636</t>
  </si>
  <si>
    <t>@drfahrettinkoca Ya bir günde aşı demeyin,Bu kadar yan etki varken aşı demeyin yeter. Siz sağlık bakanı değilmiydiniz?</t>
  </si>
  <si>
    <t>1467923890898976781</t>
  </si>
  <si>
    <t>@drfahrettinkoca VİRÜS ÖNEMİNİ HALA KORUYOR! Ülkenin ekonomisinin sorunlarını öğrencilere yıkamazsınız. Kapanma yap… https://t.co/LDAzXZLmDv</t>
  </si>
  <si>
    <t>1467923890869518345</t>
  </si>
  <si>
    <t>@drfahrettinkoca Doktorlar , sağlıkçılar grevde haberin olsun. Sağlık Bakanlığı "covid aşı merkezi" değildir.</t>
  </si>
  <si>
    <t>1467923797823086592</t>
  </si>
  <si>
    <t>1467923654235557888</t>
  </si>
  <si>
    <t>@drfahrettinkoca Bundan siz mutlu oluyordunuz Keymen ve Atabay ilaç şirketlerine ortak bakan bey,noldu işler kesat heralde ?</t>
  </si>
  <si>
    <t>1467923614129348614</t>
  </si>
  <si>
    <t>@drfahrettinkoca A$ı, a$ı olanları korumazken önemini nasıl koruyor😅 Çok şakacısın bakanımızın asistanı😅</t>
  </si>
  <si>
    <t>1467923509171179521</t>
  </si>
  <si>
    <t>@drfahrettinkoca Kılavuz nerdeee? Bi cevap verin artık ya valla sabır taşı olsa çatlardı</t>
  </si>
  <si>
    <t>1467923452078211080</t>
  </si>
  <si>
    <t>@drfahrettinkoca Eğer aşına güveniyosan çıkarsın tv ye farklı fikirleri olan dr. Larda karşına oturur. Onlar sorar… https://t.co/JiSSWgLj2C</t>
  </si>
  <si>
    <t>1467923450681561092</t>
  </si>
  <si>
    <t>@drfahrettinkoca Yanımızda omicron var girdi girecek misafir gibi halen birşey yok gerçekten pes! #kabineuzaktaneğitimsart</t>
  </si>
  <si>
    <t>1467923304753291266</t>
  </si>
  <si>
    <t>@drfahrettinkoca Bir insanin onceligi ailesine ve kendisine olan sorumlulugu ve gorevleridir. Tek bir doz bile olma… https://t.co/ex9WH82kSb</t>
  </si>
  <si>
    <t>1467923234028929025</t>
  </si>
  <si>
    <t>@drfahrettinkoca @saglikbakanligi #kabineuzaktaneğitimşart</t>
  </si>
  <si>
    <t>1467923226017898496</t>
  </si>
  <si>
    <t>@drfahrettinkoca Sayın bakan aşılama az olan yerlerde virüs neden çok az</t>
  </si>
  <si>
    <t>1467923127611142150</t>
  </si>
  <si>
    <t>@drfahrettinkoca İnsanlar kalp krizinden patır patır ölüyor kalp krizine aşıların sebep olduğunu biliyorsunuz tabi,… https://t.co/ZPAWX2oYrz</t>
  </si>
  <si>
    <t>1467922873948020751</t>
  </si>
  <si>
    <t>@drfahrettinkoca Yahu tek doz %70 işi bitirir dedin bitirmedi,2 doz %75 tamam dedin 50 tane il 75 i geçti yine bitm… https://t.co/nrlaJ7MpI0</t>
  </si>
  <si>
    <t>1467922632423186434</t>
  </si>
  <si>
    <t>@drfahrettinkoca 34 yaşında ki abim kalp krizi geçirip miyokardit olunca da mutluluk duydunuz mu bakan bey ! Gelin… https://t.co/HlM4w2DtgU</t>
  </si>
  <si>
    <t>1467922626232336384</t>
  </si>
  <si>
    <t>@drfahrettinkoca https://t.co/LAdAVtAnEB</t>
  </si>
  <si>
    <t>1467922511451107337</t>
  </si>
  <si>
    <t>@drfahrettinkoca Bundan bakınca böyle görünüyorsunuz 😀😃 https://t.co/4UV2N5Upmm</t>
  </si>
  <si>
    <t>1467922450100936705</t>
  </si>
  <si>
    <t>@drfahrettinkoca Sağlıkçılarıma şiddet uyguluyolarrrr diye nara atan 666 fahri İşte senin o sağlıkçılarından bazıla… https://t.co/gCcGwt792I</t>
  </si>
  <si>
    <t>1467922321356767241</t>
  </si>
  <si>
    <t>1467922073788030980</t>
  </si>
  <si>
    <t>@drfahrettinkoca https://t.co/GyLePpgGnT</t>
  </si>
  <si>
    <t>1467922018960089095</t>
  </si>
  <si>
    <t>@drfahrettinkoca At yalanı bizde yedik zaten he  #kabineuzaktaneğitimsart</t>
  </si>
  <si>
    <t>1467921887426752519</t>
  </si>
  <si>
    <t>@drfahrettinkoca Aşı zorunlumu değilmi zorunlu değilse neden işten atılmalar var? Tehditler var pcr kabul etmeyen f… https://t.co/VRMNTDz8Uz</t>
  </si>
  <si>
    <t>1467921795214974980</t>
  </si>
  <si>
    <t>@drfahrettinkoca Tv dekiler aşılımı ? neden maske takmıyorlar ? Aşılı halk neden hala maseke takıyor ? https://t.co/EHDwce6rqp</t>
  </si>
  <si>
    <t>1467921741620125697</t>
  </si>
  <si>
    <t>@drfahrettinkoca Fahrettin bı essegi o koltuğa oturtsak daha başarılı bir profil sergiler senin kulaklarında uzun ama başarı sifir</t>
  </si>
  <si>
    <t>1467921662138007554</t>
  </si>
  <si>
    <t>@drfahrettinkoca Olmayacağız fareddincim… Daha fazla çırpınma sende çırpındıkça batıyosun</t>
  </si>
  <si>
    <t>1467921574321864704</t>
  </si>
  <si>
    <t>@drfahrettinkoca Hastalığı ve bulaştırmayı engellemiyen hiö bir İşe yaramıyan sıvıların neresi önemli acaba?</t>
  </si>
  <si>
    <t>1467921561210527744</t>
  </si>
  <si>
    <t>@drfahrettinkoca Sayın bakanım Ordu ile Şanlıurfa aşı durumunu nasıl değerlendiriyorsunuz? Sizin için önemli olan aşı miktarı mı?</t>
  </si>
  <si>
    <t>1467921555745394689</t>
  </si>
  <si>
    <t>@drfahrettinkoca Kısaca millatin size ve aşınıza güveni kalmamış artık. Millet aşı'nın değil aşının derdinde. Arada… https://t.co/0RpRdjnYRg</t>
  </si>
  <si>
    <t>1467921523751231494</t>
  </si>
  <si>
    <t>@drfahrettinkoca Tabi banka bey çok koruyor tabiiiiiiii kime kandırıyorsunuz Deney sivisi adı  üstünde pardonn ne korumasi</t>
  </si>
  <si>
    <t>1467921518361559045</t>
  </si>
  <si>
    <t>@drfahrettinkoca Vallaha helal olsun karamanoğullarının osmanlıya direnişi gibi aynı bölge şimdide aşıya direniyor.… https://t.co/0ZMW2Bw0bH</t>
  </si>
  <si>
    <t>1467921500904828930</t>
  </si>
  <si>
    <t>@drfahrettinkoca Lütfen şu Kılavuzu verin artık Lütfen şu Kılavuzu verin artık Lütfen şu Kılavuzu verin artık Lütfe… https://t.co/VXAFQCtKFg</t>
  </si>
  <si>
    <t>1467921494089023491</t>
  </si>
  <si>
    <t>@drfahrettinkoca Sayın Bakanım yeni varyant Omicron ülkemiz de tespit edildi mi acaba? Eğer tespit edildi ise ne için paylaşılmıyor?</t>
  </si>
  <si>
    <t>1467921329378705418</t>
  </si>
  <si>
    <t>@drfahrettinkoca Veriler onurun kadar eksik Fahrettin seni bakan yapan sistemin aq</t>
  </si>
  <si>
    <t>1467921290178830342</t>
  </si>
  <si>
    <t>@drfahrettinkoca Twit aşırı sevinç içeriyor.. "Aşıda ciddi artışların olmaması üzüntü verici" demiş sağlık bakanımı… https://t.co/ejIpD3vm9Q</t>
  </si>
  <si>
    <t>1467921226819592197</t>
  </si>
  <si>
    <t>@drfahrettinkoca SAĞLIK YÖNETİMİNE atama istiyoruz lütfen sayın bakanım https://t.co/Lr07FHjY3Z</t>
  </si>
  <si>
    <t>1467921058737106956</t>
  </si>
  <si>
    <t>@drfahrettinkoca Hasta etme önemini mi?</t>
  </si>
  <si>
    <t>1467920926469668865</t>
  </si>
  <si>
    <t>@drfahrettinkoca Bakan bey bir kere de demedin ki çıkın güneşte D vitamini depolayın, çörekotu yağı, kekik yağı kul… https://t.co/7UxFoMTaCL</t>
  </si>
  <si>
    <t>1467920845171478532</t>
  </si>
  <si>
    <t>@drfahrettinkoca Bakanım klavuz</t>
  </si>
  <si>
    <t>1467920840264241156</t>
  </si>
  <si>
    <t>@drfahrettinkoca Arkadaşlar Aşı bey konuşuyor</t>
  </si>
  <si>
    <t>1467920746521452553</t>
  </si>
  <si>
    <t>@drfahrettinkoca Yeter https://t.co/Qxm6NBwcaL zaman doyacaksınız?</t>
  </si>
  <si>
    <t>1467920738829152264</t>
  </si>
  <si>
    <t>@drfahrettinkoca SAĞLIK YÖNETİMİ mezunları olarak hakkımızı istiyoruz sayın bakanım https://t.co/FJk3aZy8MU</t>
  </si>
  <si>
    <t>1467920733041004550</t>
  </si>
  <si>
    <t>@drfahrettinkoca Bakanım kılavuz gelse de biz de mutluluk duysak</t>
  </si>
  <si>
    <t>1467920637796798466</t>
  </si>
  <si>
    <t>@drfahrettinkoca Avrupa'da aşılama oranı yükselmesi vaka ve ölüm oranlarına yansıyor. Vaka ve ölüm sayıları da artıyor.</t>
  </si>
  <si>
    <t>1467920595606245381</t>
  </si>
  <si>
    <t>@drfahrettinkoca Sıvı yaptırmayalar Küçük pıhtıcıklarla niye ölmüyosunuz diyo 666 fahri https://t.co/RfN4RTs6OC</t>
  </si>
  <si>
    <t>1467920575989432323</t>
  </si>
  <si>
    <t>@drfahrettinkoca https://t.co/zQG1F47XgA</t>
  </si>
  <si>
    <t>1467920535065710594</t>
  </si>
  <si>
    <t>@drfahrettinkoca Aşı oranının yüksek olduğu yerde vaka oranı yüksek aşı oranının düşük olduğu yerde vaka oranı düşü… https://t.co/aMXJomUr7f</t>
  </si>
  <si>
    <t>1467920476865445892</t>
  </si>
  <si>
    <t>@drfahrettinkoca Muş'da görev yapıyoruz hastaneyi bk götürüyor sayın bakanım annem kanser tedavisi görüyor muş devl… https://t.co/YlQYIjvPWF</t>
  </si>
  <si>
    <t>1467920457697579015</t>
  </si>
  <si>
    <t>@drfahrettinkoca SAĞLIK YÖNETİMİNE kadro verilsin artık yeter https://t.co/tmhK4jwCeO</t>
  </si>
  <si>
    <t>1467920430275215361</t>
  </si>
  <si>
    <t>@drfahrettinkoca Çok ilginç bir hükümetiniz var sayın bakan dünya da vakalar artar iken kapanmalar başlamış iken bi… https://t.co/Ze6wF7S6eR</t>
  </si>
  <si>
    <t>1467920419579699202</t>
  </si>
  <si>
    <t>@drfahrettinkoca Bırakın artık şu covidi.13 aydır sağlıkçılari oyalıyorsunuz .gelsin artık şu #atama</t>
  </si>
  <si>
    <t>1467920355868164100</t>
  </si>
  <si>
    <t>@drfahrettinkoca Böyle küçük minik falan değil, Ciddi yan etkilerden dolayı veya aşılı oldukları halde hastalandıkl… https://t.co/nqd8AvlXMF</t>
  </si>
  <si>
    <t>1467920283860447238</t>
  </si>
  <si>
    <t>@drfahrettinkoca https://t.co/QHyZ2jIvoy</t>
  </si>
  <si>
    <t>1467920268446384135</t>
  </si>
  <si>
    <t>@drfahrettinkoca Yalnızca covid_19 tablo bakanı #SağlıkçıGrevde</t>
  </si>
  <si>
    <t>1467920216202133504</t>
  </si>
  <si>
    <t>@drfahrettinkoca Bir daha KPSS’ye çalışmama sebep olan başta siz ve diğer kurumlara hakkımı helal etmiyorum. 80+ pu… https://t.co/vmp4uoWHLi</t>
  </si>
  <si>
    <t>1467920145939148810</t>
  </si>
  <si>
    <t>@drfahrettinkoca Eee asi vuruluyorda noluyor ne vaka bitiyor ne ölümler..</t>
  </si>
  <si>
    <t>1467920136673898500</t>
  </si>
  <si>
    <t>@drfahrettinkoca SAĞLIK YÖNETİMİ mezunları LİYAKAT istiyor sayın bakanım https://t.co/E0L7os98Mn</t>
  </si>
  <si>
    <t>1467920103731871748</t>
  </si>
  <si>
    <t>@drfahrettinkoca Keşke sizi hayatımızdan çıkarmak Twitter'da engellemek kadar hızlı çabuk ve kolay olsaydı. Ama nap… https://t.co/C7hmbEHwH2</t>
  </si>
  <si>
    <t>1467920034357985287</t>
  </si>
  <si>
    <t>@drfahrettinkoca Bu aşı karşıtlarının saçma sapan uyduruk nedenlerine inanan ve aşı olmayan çok değerli bir insanı… https://t.co/s7z7qwdn49</t>
  </si>
  <si>
    <t>1467920012186984452</t>
  </si>
  <si>
    <t>@drfahrettinkoca Ortalık yıkıldı #saglikcılargrevde . 1 yıldır atama istedik sizden görmediniz bizi. Bazen Mars'ta… https://t.co/EPRAI0U54w</t>
  </si>
  <si>
    <t>1467919961301696517</t>
  </si>
  <si>
    <t>@drfahrettinkoca iyi izleyin bu videoyu https://t.co/tWmV7J4h8R</t>
  </si>
  <si>
    <t>1467919937553539082</t>
  </si>
  <si>
    <t>@drfahrettinkoca Hani adalet hani SAĞLIK YÖNETİMİNE atama sayın bakanım</t>
  </si>
  <si>
    <t>1467919842527301645</t>
  </si>
  <si>
    <t>@drfahrettinkoca Allah cehenneme ödün etsin sizi  sağlığımızı  ekonomimizi  ruhumu  işimizi tahrip ettinizzzz  iki yüzlü sahtekârlar</t>
  </si>
  <si>
    <t>1467919815662784515</t>
  </si>
  <si>
    <t>@drfahrettinkoca Ben aşısız daha mutluyum. Minik pıhtı mı atıyorum yoksa diye kendimi dinlesem depresanlara başlarım.</t>
  </si>
  <si>
    <t>1467919783052124174</t>
  </si>
  <si>
    <t>@drfahrettinkoca 5-11 yas icin asi ne zaman baslayacak</t>
  </si>
  <si>
    <t>1467919765457014793</t>
  </si>
  <si>
    <t>@drfahrettinkoca Aşılılar niye maske takıyor hâlâ.Aşı çok bu kadar koruyor madem aşı olan maske takması.Ha pardon e… https://t.co/2uzbUh1e96</t>
  </si>
  <si>
    <t>1467919753050271745</t>
  </si>
  <si>
    <t>@drfahrettinkoca Siz Sağlık Bakanı Değil Yalan Bakanlığısınız Bunu Herkes Artık Biliyor Zahmet Edip Açıklamayın ALL… https://t.co/e8NXjcW9iL</t>
  </si>
  <si>
    <t>1467919686138478609</t>
  </si>
  <si>
    <t>@drfahrettinkoca SAĞLIK YÖNETİMİNE atama atama atama atama atama atama atama atama atama atama atama atama atama at… https://t.co/6tJb4PBnnE</t>
  </si>
  <si>
    <t>1467919658481336320</t>
  </si>
  <si>
    <t>@drfahrettinkoca Bakanım hala duymamnıza çok şaşırıyorum duymak görmek isteyen duyup görüyor  @kilicdarogluk… https://t.co/w73lrLTqp5</t>
  </si>
  <si>
    <t>1467919537521713152</t>
  </si>
  <si>
    <t>@drfahrettinkoca @saglikbakanligi Siz, hepiniz gerçekten bizimle dalga geçiyorsunuz. #fahrettinkocaistifa… https://t.co/eupEqNWL5b</t>
  </si>
  <si>
    <t>1467919392629575680</t>
  </si>
  <si>
    <t>@drfahrettinkoca Sen niçin üzülüyorsun? Sıvılar işe yaramadığı için mi? Millet artık sana inanmadığı için mi? Zaten… https://t.co/z9Jh1Ialsy</t>
  </si>
  <si>
    <t>1467919384471556113</t>
  </si>
  <si>
    <t>@drfahrettinkoca Yok ya pfizerin gizli belgesi bir sağlıkçı tarafından yayınlandı yalancısınız biz herşeyin farkınd… https://t.co/HluX1Z5YiP</t>
  </si>
  <si>
    <t>1467919336283287553</t>
  </si>
  <si>
    <t>@drfahrettinkoca SAĞLIK YÖNETİMİ ne atama atama atama atama atama atama atama atama atama atama atama atama atama a… https://t.co/06II6fFsNd</t>
  </si>
  <si>
    <t>1467919315626299395</t>
  </si>
  <si>
    <t>@drfahrettinkoca Bu kadar süründürdünüz bizi Klavuzu verin artık. Ve  Size hakkımız helal değildir...</t>
  </si>
  <si>
    <t>1467919203911049223</t>
  </si>
  <si>
    <t>@drfahrettinkoca Türkiye ne hale geliyor, sen bir aşı derdindesin kimsin sen? neye mutlu oluyorsun</t>
  </si>
  <si>
    <t>1467919189197438984</t>
  </si>
  <si>
    <t>@drfahrettinkoca Sağlık bakanı ne kadar aktif Twitter kullanıcısı</t>
  </si>
  <si>
    <t>1467919037711765514</t>
  </si>
  <si>
    <t>@drfahrettinkoca SAĞLIK YÖNETİMİ mezunlarını görün artık sayın bakanım https://t.co/grGS04e9dC</t>
  </si>
  <si>
    <t>1467918949551640579</t>
  </si>
  <si>
    <t>@drfahrettinkoca Sn.Koca, üzüntü belirtmenizle keşke aşılanma oranı artsaydı. Kapalı ortamlara girişlerde kesinlikl… https://t.co/c46b75KYDL</t>
  </si>
  <si>
    <t>1467918940546519043</t>
  </si>
  <si>
    <t>@drfahrettinkoca sayın bakan! Pfizer ile ilgili GERÇEKLER internete düştü. Hala nasıl olur da işe yaramayan bir aşı… https://t.co/5ZbFSAMuzP</t>
  </si>
  <si>
    <t>1467918911010226185</t>
  </si>
  <si>
    <t>@drfahrettinkoca Önce Turuncu illere seslenin</t>
  </si>
  <si>
    <t>1467918858489053184</t>
  </si>
  <si>
    <t>@drfahrettinkoca Aşı önemini koruyor da siz kaybettiniz her şeyi.orda olmanız da bize üzüntü veriyor</t>
  </si>
  <si>
    <t>1467918858065428485</t>
  </si>
  <si>
    <t>@drfahrettinkoca Sayın Bakanım 13 aydır atama bekliyoruz kılavuzu derhal yayınlanmalı sabrımız kalmadı artık  #40BinAtamayiYapKilicdaroglu</t>
  </si>
  <si>
    <t>1467918830395604992</t>
  </si>
  <si>
    <t>@drfahrettinkoca Artık alım tweeti mi atsanız  #40BinAtamayiYapKilicdaroglu</t>
  </si>
  <si>
    <t>1467918787471159298</t>
  </si>
  <si>
    <t>@drfahrettinkoca Klavuz hakkında tek ve net bir cümle yeter. Gerisi yalan</t>
  </si>
  <si>
    <t>1467918784371568641</t>
  </si>
  <si>
    <t>@drfahrettinkoca #KabinedenOnlineEğitimBekliyoruz</t>
  </si>
  <si>
    <t>1467918758589222913</t>
  </si>
  <si>
    <t>@drfahrettinkoca SAĞLIK YÖNETİMİ mezunları hakkını istiyor atama istiyor sayın bakanım https://t.co/1IBLVVKtoy</t>
  </si>
  <si>
    <t>1467918746744508419</t>
  </si>
  <si>
    <t>@drfahrettinkoca Kılavuzun açıklanması daha önemli gibi geliyor corona ile savaşım bitti de atamaya dayanacak gücüm kalmadı☹</t>
  </si>
  <si>
    <t>1467918739324682250</t>
  </si>
  <si>
    <t>@drfahrettinkoca (Olunması gereken 3. ve 4. dozlarda %80 aşılanmış olma ORANLARINI  topyekün yakalamsak DA,can kayı… https://t.co/4zhSG4eRuO</t>
  </si>
  <si>
    <t>1467918738435588101</t>
  </si>
  <si>
    <t>@drfahrettinkoca Mecbur inanmak durumunda olanlar ve inanmış gibi yapanlar harici size inanan ve sözlerinize itimat… https://t.co/AF0xJAoeAt</t>
  </si>
  <si>
    <t>1467918698505777162</t>
  </si>
  <si>
    <t>@drfahrettinkoca Sen sadece kendi cebini ve hastanelerini düşünen bir bakansin</t>
  </si>
  <si>
    <t>1467918695058087949</t>
  </si>
  <si>
    <t>@drfahrettinkoca Utanmıyor musunuz gerçekten atama için kimlere yalvarıyoruz onlar bile bizi takıp cevap veriyorlar… https://t.co/LWDdEQh4Rx</t>
  </si>
  <si>
    <t>1467918694517030913</t>
  </si>
  <si>
    <t>@drfahrettinkoca HasssssssbinAllah</t>
  </si>
  <si>
    <t>1467918690943447042</t>
  </si>
  <si>
    <t>@drfahrettinkoca Küçük yerlerde de 6 kişi tamamlanmadığında aşı yapmıyorlar. Biz sizi arayacağız deyip gonderiyorla… https://t.co/ftOHtqKwgH</t>
  </si>
  <si>
    <t>1467918688246501381</t>
  </si>
  <si>
    <t>@drfahrettinkoca Artık bizi atayın bizi görün lütfen #40BinAtamayiYapKilicdaroglu</t>
  </si>
  <si>
    <t>1467918677748105217</t>
  </si>
  <si>
    <t>@drfahrettinkoca Patladın fahrettin amca insanlar uyandı artık kendi tablonuzda bile kendinizi deşifre ediyonuz aşı… https://t.co/ulFehUYFY9</t>
  </si>
  <si>
    <t>1467918665081364480</t>
  </si>
  <si>
    <t>@drfahrettinkoca 28 yaşında bir hayat gelecek kurabilmek  için bu atamayı bekliyorum ve artık sabır kalmadı</t>
  </si>
  <si>
    <t>1467918632852275202</t>
  </si>
  <si>
    <t>@drfahrettinkoca NE DEMEK..HASTANEYE YÜRÜYEREK GİREN İNSANLAR TABUTLA ÇIKTI.. NEDEN. 666 LI ÖDEMELER AKSAMASIN İÇİN… https://t.co/QrE6Jn7QoX</t>
  </si>
  <si>
    <t>1467918584454295560</t>
  </si>
  <si>
    <t>@drfahrettinkoca Ciddiyim dalga geçmeyin lütfen.Arh + kan grubum.Böbrek hastası olan varsa belirli bir ücret karşıl… https://t.co/Z6sw5fqZgC</t>
  </si>
  <si>
    <t>1467918559783407618</t>
  </si>
  <si>
    <t>@drfahrettinkoca Yeter artık hergün hergün burda sizden hakkımız olanı istemekten bıktık. Klavuz u verrrrrrr</t>
  </si>
  <si>
    <t>1467918496805924875</t>
  </si>
  <si>
    <t>@drfahrettinkoca Aşının en az olduğu yerler aynı zamanda vakanın en az görüldüğü iller neden?</t>
  </si>
  <si>
    <t>1467918453042520066</t>
  </si>
  <si>
    <t>@drfahrettinkoca Şu K. Maraş'a biraz ısrar etseniz, yöneticileri sıkıştırsanız çok iyi olacak</t>
  </si>
  <si>
    <t>1467918329654517760</t>
  </si>
  <si>
    <t>@drfahrettinkoca Aşıdan başka bişey atmıyosun bakanım şurda aylardır kahrolan binlerce genç var bugün yarın diyip o… https://t.co/tHi0Kulf3h</t>
  </si>
  <si>
    <t>1467918289074589701</t>
  </si>
  <si>
    <t>@drfahrettinkoca Stresten kaygıdan atanamamaktan birçogumuzda sağlık sorunları başladı bizi artık görmezden gelmeyin</t>
  </si>
  <si>
    <t>1467918253200707588</t>
  </si>
  <si>
    <t>@drfahrettinkoca Ben bu kadar değersiz hissetmedim hayatımda. Birkaç saatlik toplantı online, haftada 8 dersim yüz… https://t.co/FTJRtDvkuN</t>
  </si>
  <si>
    <t>1467918251766210569</t>
  </si>
  <si>
    <t>@drfahrettinkoca Vaka sayılarının gerçeği yansıtmadığını hepimiz biliyoruz lütfen artık uzaktan eğitime geçelim #kabineuzaktaneğitimşart</t>
  </si>
  <si>
    <t>1467918234351546378</t>
  </si>
  <si>
    <t>1467918231805571078</t>
  </si>
  <si>
    <t>@drfahrettinkoca Ne kadar aşı okadar ÖLÜM</t>
  </si>
  <si>
    <t>1467918214059409426</t>
  </si>
  <si>
    <t>1467918193612455936</t>
  </si>
  <si>
    <t>@drfahrettinkoca Bir gün aşıdan başka bir gün maske mesafe temizlik kurallarından diğer bir gün kapalı ortamlardan… https://t.co/B7QphhHowQ</t>
  </si>
  <si>
    <t>1467918184430845956</t>
  </si>
  <si>
    <t>@drfahrettinkoca Peki asi sayisini artirmak icin neden biseyler yapilmiyor. Uzulerek mi artirmayi planliyorsunuz?</t>
  </si>
  <si>
    <t>1467918158069702662</t>
  </si>
  <si>
    <t>@drfahrettinkoca https://t.co/oixq4UPRut https://t.co/sr0KgHEeoj https://t.co/d9X3A5mAym https://t.co/41Aj1ybB7Q… https://t.co/mLNkIDk9n8</t>
  </si>
  <si>
    <t>1467918146082328584</t>
  </si>
  <si>
    <t>@drfahrettinkoca https://t.co/oixq4UPRut https://t.co/sr0KgHEeoj https://t.co/d9X3A5mAym https://t.co/41Aj1ybB7Q… https://t.co/oKLN61DIGB</t>
  </si>
  <si>
    <t>1467918103824769038</t>
  </si>
  <si>
    <t>@drfahrettinkoca Sayın Bakan, açıktan aşı aleyhtarlığı yapan bunca hekimi yanlışlayamıyorsanız, aşı sayısı artmıyor… https://t.co/BFdgYIYuxi</t>
  </si>
  <si>
    <t>1467918092227555332</t>
  </si>
  <si>
    <t>@drfahrettinkoca Nedenini kendinize sorun sayın bakanım.  Zira, Aşıların sonunun gelmeyeceğini Çift aşılıların da a… https://t.co/kfZR26bsQO</t>
  </si>
  <si>
    <t>1467918049311342598</t>
  </si>
  <si>
    <t>@drfahrettinkoca 40 binlik alımda SAĞLIK YÖNETİMİ bölümü de yer alsın sayın bakanım https://t.co/GrTybOiF2l</t>
  </si>
  <si>
    <t>1467918048728387588</t>
  </si>
  <si>
    <t>@drfahrettinkoca https://t.co/oixq4UPRut https://t.co/sr0KgHEeoj https://t.co/d9X3A5mAym https://t.co/41Aj1ybB7Q… https://t.co/4PeS03PJHu</t>
  </si>
  <si>
    <t>1467918012325978120</t>
  </si>
  <si>
    <t>@drfahrettinkoca Enflasyondan ne korur sayın koca yüzde 5 zam korur mu kis geliyor açıkta kaldık biraz doncaz gibi</t>
  </si>
  <si>
    <t>1467918001584414725</t>
  </si>
  <si>
    <t>@drfahrettinkoca https://t.co/oixq4UPRut https://t.co/sr0KgHEeoj https://t.co/d9X3A5mAym https://t.co/41Aj1ybB7Q… https://t.co/9e22neQUpF</t>
  </si>
  <si>
    <t>1467917977202966530</t>
  </si>
  <si>
    <t>@drfahrettinkoca #tıbbicihaz #tedarikdurdu umurunuzda mı ?????</t>
  </si>
  <si>
    <t>1467917958085287942</t>
  </si>
  <si>
    <t>@drfahrettinkoca https://t.co/sr0KgHEeoj https://t.co/d9X3A5mAym https://t.co/41Aj1ybB7Q https://t.co/w7rZ1FvIlK… https://t.co/XDvbtuUVxw</t>
  </si>
  <si>
    <t>1467917943686238224</t>
  </si>
  <si>
    <t>@drfahrettinkoca Atama için az kaldı sabredin demiştiniz sayın bakanım daha çok mu bekleyeceğiz @drfahrettinkoca… https://t.co/2mzC7SrPCP</t>
  </si>
  <si>
    <t>1467917936606294021</t>
  </si>
  <si>
    <t>@drfahrettinkoca Bu atamayı beklemek ders çalışmaktan daha zormuş..</t>
  </si>
  <si>
    <t>1467917916591083522</t>
  </si>
  <si>
    <t>@drfahrettinkoca 40 binlik alımda SAĞLIK YÖNETİMİ bölümü de yer alsın sayın bakanım https://t.co/kiRVnDuOLt</t>
  </si>
  <si>
    <t>1467917883799965709</t>
  </si>
  <si>
    <t>@drfahrettinkoca Yakinda hastaneler de cokecek o zaman nasil yalan söyleyeceksiniz ki</t>
  </si>
  <si>
    <t>1467917806490599428</t>
  </si>
  <si>
    <t>@drfahrettinkoca Filim Kurulu ile Bilim Kurulu PİŞTİ  OLMUŞ  😀😃 😉 https://t.co/GELMqnf5rd</t>
  </si>
  <si>
    <t>1467917788723486725</t>
  </si>
  <si>
    <t>@drfahrettinkoca Aşı önemini koruyor öyle mi kime göre? neye gore? Evet bu işin önemi olan bir kesim kim servetini… https://t.co/FOt9K4X0rg</t>
  </si>
  <si>
    <t>1467917787834294278</t>
  </si>
  <si>
    <t>@drfahrettinkoca Bu hikayede yanan sen olacaksın demedi deme</t>
  </si>
  <si>
    <t>1467917781303762945</t>
  </si>
  <si>
    <t>@drfahrettinkoca MİLLET UYANIN  https://t.co/qxeaIIZTJr</t>
  </si>
  <si>
    <t>1467917763922567180</t>
  </si>
  <si>
    <t>@drfahrettinkoca Kılavuz yayınlansın gençlerin umudu sönmesin</t>
  </si>
  <si>
    <t>1467917721400713221</t>
  </si>
  <si>
    <t>@drfahrettinkoca 40 binlik alımda SAĞLIK YÖNETİMİ bölümü de yer alsın sayın bakanım https://t.co/qvs4BFMfY4</t>
  </si>
  <si>
    <t>1467917715180601353</t>
  </si>
  <si>
    <t>@drfahrettinkoca Hastanede çalışan Hbys bilgi işlem personelleri halen kadrosuz sayın bakanım. Hastanelerdeki tüm y… https://t.co/8tZBwekLcg</t>
  </si>
  <si>
    <t>1467917713049849856</t>
  </si>
  <si>
    <t>@drfahrettinkoca Artik gercek rakamlarla cikar misiniz</t>
  </si>
  <si>
    <t>1467917707463077897</t>
  </si>
  <si>
    <t>@drfahrettinkoca Sayın bakan olacaksamda olmam neden mi bugun kapalı ortamlarda kalmayın diyorsunuz el kadar cocukl… https://t.co/DKs0BKKxE6</t>
  </si>
  <si>
    <t>1467917698814431235</t>
  </si>
  <si>
    <t>@drfahrettinkoca Bi hatirlatma yapalim. İnsanlar ölüyor tedbir yok https://t.co/maS9wFkm8u</t>
  </si>
  <si>
    <t>1467917647014612992</t>
  </si>
  <si>
    <t>1467917618212397062</t>
  </si>
  <si>
    <t>@drfahrettinkoca Atama kılavuzunu yayınlayın @drfahrettinkoca  #40BinAtamayiYapKilicdaroglu</t>
  </si>
  <si>
    <t>1467917607055540225</t>
  </si>
  <si>
    <t>@drfahrettinkoca 40 binlik alımda SAĞLIK YÖNETİMİ bölümü de yer alsın sayın bakanım https://t.co/IrfcV7Ar4V</t>
  </si>
  <si>
    <t>1467917581080219648</t>
  </si>
  <si>
    <t>@drfahrettinkoca Şu vakalar en az 60 bin vardır. #kabineuzaktaneğitimşart</t>
  </si>
  <si>
    <t>1467917538797535239</t>
  </si>
  <si>
    <t>@drfahrettinkoca Sesli gülüyorum. Açılan Pfizer dosyaları insanlara sıvının ne kaa önemli olduğunu… https://t.co/FuETR6lxNx</t>
  </si>
  <si>
    <t>1467917527569289216</t>
  </si>
  <si>
    <t>@drfahrettinkoca Binlerce hatta aileleri ile birlikte sayıları milyonları bulan bu insanların feryadını nasıl duyma… https://t.co/LMTX6eXh7A</t>
  </si>
  <si>
    <t>1467917492295249934</t>
  </si>
  <si>
    <t>1467917490902687749</t>
  </si>
  <si>
    <t>@drfahrettinkoca Atama kılavuzunu yayınlayınız @drfahrettinkoca  #40BinAtamayiYapKilicdaroglu</t>
  </si>
  <si>
    <t>1467917471764168708</t>
  </si>
  <si>
    <t>@drfahrettinkoca 40 binlik alımda SAĞLIK YÖNETİMİ bölümü de yer alsın sayın bakanım https://t.co/ikmZ0nAvja</t>
  </si>
  <si>
    <t>1467917454844256259</t>
  </si>
  <si>
    <t>@drfahrettinkoca Yazmayı unuttum, sizi üzmek bizim için sevinç kaynağıdır. Uzun zamandır, siz de bu milleti üzüyorsunuz.</t>
  </si>
  <si>
    <t>1467917431091961860</t>
  </si>
  <si>
    <t>@drfahrettinkoca Sayın bakan bugün annemi devlet hastanesi nöroloji bölümüne muayne icin götürdüm.devletin doktoru… https://t.co/Wii0wx2KMP</t>
  </si>
  <si>
    <t>1467917415493345288</t>
  </si>
  <si>
    <t>1467917371562147840</t>
  </si>
  <si>
    <t>1467917357049954308</t>
  </si>
  <si>
    <t>@drfahrettinkoca 3.dozu erkene çekin omicron yayılıyor..!!</t>
  </si>
  <si>
    <t>1467917334308397056</t>
  </si>
  <si>
    <t>1467917333947731975</t>
  </si>
  <si>
    <t>@drfahrettinkoca 18 yaş üstünün %82’si iki doz aşılı ve hala aşı önemini koruyor mu :)</t>
  </si>
  <si>
    <t>1467917329170378758</t>
  </si>
  <si>
    <t>@drfahrettinkoca Sayın bakanım v gençliği bu belirsizlik mahvetti önümüzdeki günlerde ösyme merkezi ataması var onl… https://t.co/gdKr8MnS7W</t>
  </si>
  <si>
    <t>1467917313794093059</t>
  </si>
  <si>
    <t>@drfahrettinkoca milleti işinden etttiniz hesao vereceksınız yargılanacaksınız...davalar sızı beklıyor merak etmeyın</t>
  </si>
  <si>
    <t>1467917309809418251</t>
  </si>
  <si>
    <t>@drfahrettinkoca 40 binlik alımda SAĞLIK YÖNETİMİ bölümü de yer alsın sayın bakanım https://t.co/voQsa74CA8</t>
  </si>
  <si>
    <t>1467917280893886466</t>
  </si>
  <si>
    <t>1467917214296723456</t>
  </si>
  <si>
    <t>@drfahrettinkoca Neden mutluluk duyuyorsun. Yoksa her aşı için komisyon mu alıyorsun.</t>
  </si>
  <si>
    <t>1467917212849741825</t>
  </si>
  <si>
    <t>@drfahrettinkoca 40 binlik alımda SAĞLIK YÖNETİMİ bölümü de yer alsın sayın bakanım https://t.co/yrXCXuskjm</t>
  </si>
  <si>
    <t>1467917140237946885</t>
  </si>
  <si>
    <t>@drfahrettinkoca Sağlıkçılar atama kılavuzunu bekliyor daha fazla bekletmeyiniz @drfahrettinkoca  #40BinAtamayiYapKilicdaroglu</t>
  </si>
  <si>
    <t>1467917087939170320</t>
  </si>
  <si>
    <t>@drfahrettinkoca vakaları gizle yeni varyantı gizle online toplantı yap kendi üniversitene online seçenek hakkı sun… https://t.co/i9sKF4aSGh</t>
  </si>
  <si>
    <t>1467917083279302660</t>
  </si>
  <si>
    <t>@drfahrettinkoca Sayin bakanım ben 2 asimida haziran temmuz aylarinda oldum.şimdi  Arabistandayim burdada 1.doz oxf… https://t.co/WCyIcgIrEy</t>
  </si>
  <si>
    <t>1467917056867770373</t>
  </si>
  <si>
    <t>@drfahrettinkoca Neden inatla, HES kodu yerine AŞI kodu uygulaması getirmiyorsunuz ? Siz de biliyorsunuz mecburiyet… https://t.co/XaUvVMS7o9</t>
  </si>
  <si>
    <t>1467917003419705348</t>
  </si>
  <si>
    <t>@drfahrettinkoca 40 binlik alımda SAĞLIK YÖNETİMİ bölümü de yer alsın sayın bakanım https://t.co/x6meqA46mP</t>
  </si>
  <si>
    <t>1467916974340587529</t>
  </si>
  <si>
    <t>@drfahrettinkoca Bu kadar saibelerden sonra ve bilim kurulu bile artık işi tamamen size yıkmısken insanlar uyandı s… https://t.co/9g46ks5hQf</t>
  </si>
  <si>
    <t>1467916965813661698</t>
  </si>
  <si>
    <t>@drfahrettinkoca @saglikbakanligi Aşı olacak adam mı kaldı? Milletin gözü açılmadan kandırdıklarınızın hepsi aşı ol… https://t.co/Oa2mfQsXvm</t>
  </si>
  <si>
    <t>1467916953914204167</t>
  </si>
  <si>
    <t>@drfahrettinkoca Milletin yakasından düşün artık..Kimsenin ne güveni,ne de inancı var salgınınıza</t>
  </si>
  <si>
    <t>1467916947614543884</t>
  </si>
  <si>
    <t>@drfahrettinkoca Yüksek tansiyon hastası olmak istemiyorsanız , kalbinize veya beyninize minik minik pıhtılar atsın… https://t.co/kXD6DOae8y</t>
  </si>
  <si>
    <t>1467916938626146309</t>
  </si>
  <si>
    <t>1467916906170617861</t>
  </si>
  <si>
    <t>@drfahrettinkoca peki ya atama??</t>
  </si>
  <si>
    <t>1467916894611124231</t>
  </si>
  <si>
    <t>@drfahrettinkoca 40 binlik alımda SAĞLIK YÖNETİMİ bölümü de yer alsın sayın bakanım https://t.co/v7WKno92bU</t>
  </si>
  <si>
    <t>1467916818857832452</t>
  </si>
  <si>
    <t>@drfahrettinkoca https://t.co/G4Z5kC8gJp</t>
  </si>
  <si>
    <t>1467916802474840070</t>
  </si>
  <si>
    <t>1467916773253128208</t>
  </si>
  <si>
    <t>@drfahrettinkoca Deney sivisindan kaybettiğimiz yakınlarımız arkadaşlarımız varken hiç mutlu olmadık.  Bu nasıl bir… https://t.co/ugtNgQQumZ</t>
  </si>
  <si>
    <t>1467916761551015947</t>
  </si>
  <si>
    <t>@drfahrettinkoca Günlerdir atama klavuz gündemi nasıl oluyorda bu kadar tepkisiz kalıyorsunuz bakanım lütfen yapın artık bir güzellik</t>
  </si>
  <si>
    <t>1467916694681178126</t>
  </si>
  <si>
    <t>@drfahrettinkoca #tedarikdurdu sayın bakmayan görmeyen aylardır #tıbbicihaz sektörünün feryadını işitmeyen bakanım… https://t.co/uhEyr7d1kV</t>
  </si>
  <si>
    <t>1467916670245167110</t>
  </si>
  <si>
    <t>@drfahrettinkoca 40 binlik alımda SAĞLIK YÖNETİMİ bölümü de yer alsın sayın bakanım https://t.co/ZsBHkf2teA</t>
  </si>
  <si>
    <t>1467916667674152964</t>
  </si>
  <si>
    <t>@drfahrettinkoca Hep ha geldi,ha gelecek diyorum ama bugün gelse bile çok kırıldık artık.Salgın var ortalıkta ve ge… https://t.co/NQiG3XpkXN</t>
  </si>
  <si>
    <t>1467916657280626692</t>
  </si>
  <si>
    <t>@drfahrettinkoca Atama kılavuzunu yayınlayın artık @drfahrettinkoca  #40BinAtamayiYapKilicdaroglu</t>
  </si>
  <si>
    <t>1467916636569145344</t>
  </si>
  <si>
    <t>@drfahrettinkoca Acaba sayılar belli ise klavuzu açıklamak neden bu kadar zor sayın bakan . Sinir hastası ettin milleti.</t>
  </si>
  <si>
    <t>1467916591534854155</t>
  </si>
  <si>
    <t>@drfahrettinkoca Klavuz ?</t>
  </si>
  <si>
    <t>1467916570664050691</t>
  </si>
  <si>
    <t>@drfahrettinkoca Avrupada bizimle benzer nüfuslu, neredeyse aşılarını tamamlamış ve tedbir uygulayan ülkelerde vaka… https://t.co/Rt37qhJJes</t>
  </si>
  <si>
    <t>1467916559624675329</t>
  </si>
  <si>
    <t>@drfahrettinkoca 40 binlik alımda SAĞLIK YÖNETİMİ bölümü de yer alsın sayın bakanım https://t.co/bDXokmflDz</t>
  </si>
  <si>
    <t>1467916545674575872</t>
  </si>
  <si>
    <t>@drfahrettinkoca EVETT AŞI ÖNEMİNİ KORUYOR. 2025 TE TURKIYE NÜFUSU NE PLANLANMIS GORMEK LAZIM... https://t.co/wT8glCyJgW</t>
  </si>
  <si>
    <t>1467916523058700295</t>
  </si>
  <si>
    <t>@drfahrettinkoca Allah sizi kahretsin sürüm sürüm süründürsün bizleri süründürdüğünüz gibi</t>
  </si>
  <si>
    <t>1467916491500789775</t>
  </si>
  <si>
    <t>@drfahrettinkoca Madem vakalar bu kadar düşük bu kadar güveniyoruz bu sayılara o zaman maske zorunluluğunu kaldırın… https://t.co/wcEMxEwQLQ</t>
  </si>
  <si>
    <t>1467916480062922757</t>
  </si>
  <si>
    <t>@drfahrettinkoca #kabineuzaktaneğitimşart ölüyoruz bizi duyun artıkkkkk !!!!!!</t>
  </si>
  <si>
    <t>1467916467782012936</t>
  </si>
  <si>
    <t>@drfahrettinkoca Milleti hiç suçlamayın Avrupa'da salgın yönetimi nasıl , alınan önlemler ve tedbirler ne sekil de… https://t.co/D9UdXrsEzs</t>
  </si>
  <si>
    <t>1467916439982071815</t>
  </si>
  <si>
    <t>@drfahrettinkoca Sayın bakan senle beraber gidelim ikimizde aynı aşıdan olalım  razı mısın,en azından aşının reklamı olsun diye kabul edin</t>
  </si>
  <si>
    <t>1467916437721436161</t>
  </si>
  <si>
    <t>@drfahrettinkoca 40 binlik alımda SAĞLIK YÖNETİMİ bölümü de yer alsın sayın bakanım https://t.co/Oxfy9C8agT</t>
  </si>
  <si>
    <t>1467916406771568645</t>
  </si>
  <si>
    <t>@drfahrettinkoca firindan yeni cikmis yalan tablosu oh mis citir citir yenir</t>
  </si>
  <si>
    <t>1467916360420401155</t>
  </si>
  <si>
    <t>@drfahrettinkoca Ağzından klavuzla ilgili birşeyler çıksın sayın bakanim</t>
  </si>
  <si>
    <t>1467916350479872022</t>
  </si>
  <si>
    <t>@drfahrettinkoca Çocuklar nerede covid testi olabiliyor. Neden covid testi yapılan hastanelerin tümünde çocuklar covid testi olamıyor?</t>
  </si>
  <si>
    <t>1467916272725856266</t>
  </si>
  <si>
    <t>@drfahrettinkoca Aşılamanın yüksek olduğu illerde vaka sayılarının da yüksek olmasına dair mantıklı bir açıklamanız var mıdır sayın bakan.</t>
  </si>
  <si>
    <t>1467916261371826177</t>
  </si>
  <si>
    <t>@drfahrettinkoca 40 binlik alımda SAĞLIK YÖNETİMİ bölümü de yer alsın sayın bakanım https://t.co/emZqjTfRlv</t>
  </si>
  <si>
    <t>1467916249887825922</t>
  </si>
  <si>
    <t>@drfahrettinkoca https://t.co/iDGDCHkykN</t>
  </si>
  <si>
    <t>1467916247220248577</t>
  </si>
  <si>
    <t>@drfahrettinkoca 40 binlik alımda SAĞLIK YÖNETİMİ bölümü de yer alsın sayın bakanım https://t.co/md03bewliU</t>
  </si>
  <si>
    <t>1467916128307621896</t>
  </si>
  <si>
    <t>@drfahrettinkoca Allah rızası için hergün çıkıp aşı olun demeyin. İsteyen olur steyen olmaz. İnsanlarda psikoloji falan kalmadı artık.</t>
  </si>
  <si>
    <t>1467916054152232964</t>
  </si>
  <si>
    <t>@drfahrettinkoca Temcit pilavı gibi aşı..Aşı olacak olan bile vazgeçer.Peki Omicron ne durumda..Halen🙈🙉🙊 morundasın… https://t.co/SlGnIrxA5o</t>
  </si>
  <si>
    <t>1467916034673942529</t>
  </si>
  <si>
    <t>@drfahrettinkoca En çok da bu işten para 💸💰💸💰 kazananlar seviniyor galiba . Siz önce aşının yan etkileri ve ölümlerinin raporunu yayınlayın.</t>
  </si>
  <si>
    <t>1467916017934426113</t>
  </si>
  <si>
    <t>@drfahrettinkoca 40 binlik alımda SAĞLIK YÖNETİMİ bölümü de yer alsın sayın bakanım https://t.co/TqXh2i6f2k</t>
  </si>
  <si>
    <t>1467915969809068032</t>
  </si>
  <si>
    <t>@drfahrettinkoca O zaman hepsini kendiniz vurun mutlu olun sizi tutan mı var</t>
  </si>
  <si>
    <t>1467915918554673163</t>
  </si>
  <si>
    <t>@drfahrettinkoca EVET AŞI ÖNEMİNİ KORUYOR  😀😃 https://t.co/RzkVTAXPMr</t>
  </si>
  <si>
    <t>1467915914993668096</t>
  </si>
  <si>
    <t>@drfahrettinkoca Senin yalanlarına inanan kalmadı vazgeç bu aşı sevdasından</t>
  </si>
  <si>
    <t>1467915910023454721</t>
  </si>
  <si>
    <t>@drfahrettinkoca Ciddi artışların olmamasinin sebebi sizce ne olabilir demekki sıvılardan kimse fayda görmedi yan e… https://t.co/AvN1RZRWIG</t>
  </si>
  <si>
    <t>1467915905820733447</t>
  </si>
  <si>
    <t>@drfahrettinkoca Sayın Bakanım, 1.doz aşısını yapanlar yüzde 90 oldu neden hala bitmedi peki ? yoksa aşılar işe yar… https://t.co/EVUTuWwOUh</t>
  </si>
  <si>
    <t>1467915881959284737</t>
  </si>
  <si>
    <t>@drfahrettinkoca Aşıyla neyi çözdünüz de hala konusuyorsunuz hersey daha beter oldu.bizi salak yetine koyamazsınız!!</t>
  </si>
  <si>
    <t>1467915872211771395</t>
  </si>
  <si>
    <t>@drfahrettinkoca Fahrettin anla artık mızrak çuvala sığmıyor yalaninizla birlikte cehennem olup gidin. Yanlış tedav… https://t.co/Pt8uVxB4Yl</t>
  </si>
  <si>
    <t>1467915862904500227</t>
  </si>
  <si>
    <t>@drfahrettinkoca 40 binlik alımda SAĞLIK YÖNETİMİ bölümü de yer alsın sayın bakanım https://t.co/ySTNMsxgWz</t>
  </si>
  <si>
    <t>1467915857141579785</t>
  </si>
  <si>
    <t>@drfahrettinkoca Atama bekliyoruz. Gözümüz kulağımız sizde. Ne zaman bitecek bu suskunluk? @drfahrettinkoca</t>
  </si>
  <si>
    <t>1467915854377541638</t>
  </si>
  <si>
    <t>@drfahrettinkoca Her postun altına bu gifi atasım geliyor bakanım 🤣 değişik bir varyant bulaştı galiba bana 😅 https://t.co/1kOE7J5ztp</t>
  </si>
  <si>
    <t>1467915841639432194</t>
  </si>
  <si>
    <t>@drfahrettinkoca Dağ duydu taş duydu sen bizi duymadın bakanım.. @drfahrettinkoca</t>
  </si>
  <si>
    <t>1467915722433179652</t>
  </si>
  <si>
    <t>@drfahrettinkoca Sana gerek kalmadı bakan bey Amca halledecek kılavuzu .</t>
  </si>
  <si>
    <t>1467915721971838980</t>
  </si>
  <si>
    <t>@drfahrettinkoca Tam 1 aydır kılavuz bekliyoruz!!!</t>
  </si>
  <si>
    <t>1467915718821875719</t>
  </si>
  <si>
    <t>@drfahrettinkoca Aşı olduktan sonra kalbimde sıkıntılar oluşmaya başladı bunun sorumlusu sizsiniz...</t>
  </si>
  <si>
    <t>1467915712488517633</t>
  </si>
  <si>
    <t>@drfahrettinkoca 40 binlik alımda SAĞLIK YÖNETİMİ de yer alsın sayın bakanım https://t.co/bYNgfUmFRB</t>
  </si>
  <si>
    <t>1467915657211752455</t>
  </si>
  <si>
    <t>@drfahrettinkoca @drfahrettinkoca hani demiştiniz ya 40 bin atama olacak diye 3 kere de tarih verdiniz söz verdiniz… https://t.co/iMZkaSLCL6</t>
  </si>
  <si>
    <t>1467915632381509634</t>
  </si>
  <si>
    <t>@drfahrettinkoca Sinirli olmayı geçtim artık, çok KIRGINIM ÇOK. Binlerce insan sesimizi duyurmaya çalışıyoruz aylar… https://t.co/EoZNjftEx8</t>
  </si>
  <si>
    <t>1467915618422865926</t>
  </si>
  <si>
    <t>@drfahrettinkoca UYANIN https://t.co/9aEI2fu0pN</t>
  </si>
  <si>
    <t>1467915616950661128</t>
  </si>
  <si>
    <t>@drfahrettinkoca Pandemi varmis😊</t>
  </si>
  <si>
    <t>1467915609484763138</t>
  </si>
  <si>
    <t>@drfahrettinkoca Sadeci biri sunu aciklasın vaka 20 bin ken nasıl 25 bin ilesen oluyo</t>
  </si>
  <si>
    <t>1467915588966268933</t>
  </si>
  <si>
    <t>@drfahrettinkoca Aşı kadar değerimiz yok ya bizede yazıklar olsun @drfahrettinkoca</t>
  </si>
  <si>
    <t>1467915583836635152</t>
  </si>
  <si>
    <t>@drfahrettinkoca He bu arada sizin yüzünüzden işimden oldum. İki cihanda elim yakanızda olacak. Bu dünyanın diğer t… https://t.co/jjsYzG3S1x</t>
  </si>
  <si>
    <t>1467915576504950795</t>
  </si>
  <si>
    <t>@drfahrettinkoca Süresiz 4b.liler kadro bekliyor</t>
  </si>
  <si>
    <t>1467915557433483270</t>
  </si>
  <si>
    <t>@drfahrettinkoca UYANIN MİLLET NÖRONLARIMIZA BİYO CİHAZLARI NEYLE NEDEN VE NİÇİN BAĞLIYCAKLAR DÜŞÜNÜN https://t.co/RLzEX7vIhh</t>
  </si>
  <si>
    <t>1467915548197593093</t>
  </si>
  <si>
    <t>@drfahrettinkoca Vakalar ve ölüm sayılarını yazarken çok düşünüyor musunuz omicron varyantı geldigin de ki bence ge… https://t.co/kwNHI8jUmB</t>
  </si>
  <si>
    <t>1467915534859649028</t>
  </si>
  <si>
    <t>@drfahrettinkoca SAĞLIK YÖNETİMİ bölümü 58 yıllık köklü bir bölüm olmasına rağmen neden kadro verilmiyor sayın baka… https://t.co/hphveGJBYQ</t>
  </si>
  <si>
    <t>1467915500986548229</t>
  </si>
  <si>
    <t>@drfahrettinkoca İller bazında ölüm rakamlarını da verseniz?😉Aşılamada en düşük illerden birisi Şanlıurfa ama vaka… https://t.co/E1g7KihSI2</t>
  </si>
  <si>
    <t>1467915494955044867</t>
  </si>
  <si>
    <t>@drfahrettinkoca Aşı bakanım ben olmuyorum 1. De olmadım zaten 😂😂😂</t>
  </si>
  <si>
    <t>1467915388839153669</t>
  </si>
  <si>
    <t>@drfahrettinkoca Atama yapmayın!!! Acelemiz yok</t>
  </si>
  <si>
    <t>1467915353825099786</t>
  </si>
  <si>
    <t>@drfahrettinkoca Sayın bakanım öğrencileri sırf aşı var diye böylesine tedbirsizlik içinde riske atamazsınız lütfen… https://t.co/nJuT6rDzoM</t>
  </si>
  <si>
    <t>1467915342479511557</t>
  </si>
  <si>
    <t>@drfahrettinkoca Beyefendi 20-30bin arası vakayı 180-210 arası ölümleri stabil oldu kontrolü kolaylaştırıyor diye i… https://t.co/t7gralmrLB</t>
  </si>
  <si>
    <t>1467915338973130761</t>
  </si>
  <si>
    <t>@drfahrettinkoca yalan dolan aynen</t>
  </si>
  <si>
    <t>1467915338658557952</t>
  </si>
  <si>
    <t>@drfahrettinkoca Aşınında bi etkisi yok neyin peşindesin bakanım, sol cenah olsaydık cevap verirdin.</t>
  </si>
  <si>
    <t>1467915323634589700</t>
  </si>
  <si>
    <t>@drfahrettinkoca Bi bitmedin yeter... çakma salgın ayagına ülkeye yaptıgınız eziyet,</t>
  </si>
  <si>
    <t>1467915320472051714</t>
  </si>
  <si>
    <t>@drfahrettinkoca Hocam çocukları koruduğunuz zamanlar bizde mutluluk duyuyorduk.Şimdi ise üzüntü  duymuyoruz daha g… https://t.co/X03VGHpsDr</t>
  </si>
  <si>
    <t>1467915144315523077</t>
  </si>
  <si>
    <t>@drfahrettinkoca Omicron var Omicron okulları toplu bulunulan kapalı yerleri kapat artık hasta olduk topluca yeter</t>
  </si>
  <si>
    <t>1467915065299185664</t>
  </si>
  <si>
    <t>@drfahrettinkoca SAYIN BAKAN BOŞVERIN BIZI DUYMAYIN ATAMA YAPMAYIN DELI OLALIM PSIKOLOJIMIZ BOZULSUN YAPMAYIN YAPMAYIN</t>
  </si>
  <si>
    <t>1467915064560787456</t>
  </si>
  <si>
    <t>@drfahrettinkoca Aşıların bir işe yaramadığını halk gördü. Siz zaten biliyorsunuz. ?????????</t>
  </si>
  <si>
    <t>1467915021048975364</t>
  </si>
  <si>
    <t>@drfahrettinkoca Anlaşılan işler kesat. Üzüldüm sizin adınıza</t>
  </si>
  <si>
    <t>1467915018805161995</t>
  </si>
  <si>
    <t>@drfahrettinkoca Kesin Varyant ülkede şuan aynı korkmada yaptığınız gibi ilk yayılmasını bekliyorsunuz… https://t.co/8FzXXlvPD7</t>
  </si>
  <si>
    <t>1467914945891377160</t>
  </si>
  <si>
    <t>@drfahrettinkoca 5-11 yaş arası çocuklara aşı hakkını açin lütfen. Test sayınız yetersiz ,hala verileri şeffaf şeki… https://t.co/tJGJrAvPXp</t>
  </si>
  <si>
    <t>1467914941361537025</t>
  </si>
  <si>
    <t>@drfahrettinkoca https://t.co/uZYEDklknr</t>
  </si>
  <si>
    <t>1467914932800954378</t>
  </si>
  <si>
    <t>@drfahrettinkoca KILAVUZ İSTİYORUZ KILAVUZ İSTİYORUZ KILAVUZ İSTİYORUZ KILAVUZ İSTİYORUZ KILAVUZ İSTİYORUZ KILAVUZ… https://t.co/I0uhKdWthg</t>
  </si>
  <si>
    <t>1467914922835292166</t>
  </si>
  <si>
    <t>@drfahrettinkoca Aşı olsa ne değişecek? Yine yayılım sürüyor. Yine etkilenen etkileniyor. Tedbir olmazsa aşı da iş görmüyor maalesef.</t>
  </si>
  <si>
    <t>1467914899628167169</t>
  </si>
  <si>
    <t>@drfahrettinkoca Aşı oluyoruz, yan etkilerinden paçayı sıyırıp hayatta kalabilirsek, maskeyle devam ediyoruz. Coron… https://t.co/TMmqXgSerp</t>
  </si>
  <si>
    <t>1467914892694929415</t>
  </si>
  <si>
    <t>@drfahrettinkoca Bakanım şeytanın insanoğluna karşı savaşı son buluyor kul uyandı şeytanın son çırpınışları sen hal… https://t.co/RMZgL7nelF</t>
  </si>
  <si>
    <t>1467914882070810630</t>
  </si>
  <si>
    <t>@drfahrettinkoca Anadolu irfanı galip gelecek..!! Millet size inanmıyor artık..!!</t>
  </si>
  <si>
    <t>1467914879763984385</t>
  </si>
  <si>
    <t>@drfahrettinkoca Bu kadar da görmezden gelinmez sn bakan</t>
  </si>
  <si>
    <t>1467914831281991688</t>
  </si>
  <si>
    <t>@drfahrettinkoca 3. doz 12 m da kaldigina gore bu iş bitmiştir.</t>
  </si>
  <si>
    <t>1467914825103720449</t>
  </si>
  <si>
    <t>@drfahrettinkoca Kılavuz yayınlamayı unuttunuz sanırım ama haklısınız 1 yılı geçti son kılavuzun üstünden hatırlaması biraz güç olabilir</t>
  </si>
  <si>
    <t>1467914806271397888</t>
  </si>
  <si>
    <t>@drfahrettinkoca AŞI ÖNEMİNİ YİTİRDİ.Ciddi artışların olmaması insanlığın uyanmasından kaynaklanıyor.Kendi vatandaş… https://t.co/1taU8VSh2I</t>
  </si>
  <si>
    <t>1467914798721601545</t>
  </si>
  <si>
    <t>@drfahrettinkoca Ya ben inanamıyorum keşke başka bi döneme denk gelseydik bu kadar uğraşmadan atanabilseydik...herk… https://t.co/xag2npjUL7</t>
  </si>
  <si>
    <t>1467914789984817153</t>
  </si>
  <si>
    <t>@drfahrettinkoca Yıllardır insanlar aşıylamı sağlığını koruyor millet ekmek bulamıyo insanlar kalp krizinden ölüyor… https://t.co/rgXEXYMPNz</t>
  </si>
  <si>
    <t>1467914762285690891</t>
  </si>
  <si>
    <t>@drfahrettinkoca Okula değil ölüme gidiyoruz!!! #kabineuzaktaneğitimsart</t>
  </si>
  <si>
    <t>1467914754941493251</t>
  </si>
  <si>
    <t>@drfahrettinkoca Daha çok üzüleceksin Fahrettin</t>
  </si>
  <si>
    <t>1467914739607126024</t>
  </si>
  <si>
    <t>@drfahrettinkoca Hakkımız olanı alacağız</t>
  </si>
  <si>
    <t>1467914712134336517</t>
  </si>
  <si>
    <t>@drfahrettinkoca https://t.co/qxeaIJ0ryZ</t>
  </si>
  <si>
    <t>1467914709609644032</t>
  </si>
  <si>
    <t>@drfahrettinkoca Cidden artık yayınlanmasın ya. Söylemesiler, açıklamasınlar vakaları. Artık cidden üzülüyorum vaka… https://t.co/D1bxGj9bW2</t>
  </si>
  <si>
    <t>1467914661383319557</t>
  </si>
  <si>
    <t>@drfahrettinkoca Her gün gündemdeyiz Ama gündem biz değiliz Ne yazık @drfahrettinkoca @RTErdogan @kilicdarogluk #40BinAtamayiYapKilicdaroglu</t>
  </si>
  <si>
    <t>1467914659189694467</t>
  </si>
  <si>
    <t>@drfahrettinkoca Kilavuz nerde</t>
  </si>
  <si>
    <t>1467914622246268932</t>
  </si>
  <si>
    <t>@drfahrettinkoca Hergün toplu taşıma kullanıyorum maskesiz binenler var her yer çok kalabalık okul çıkışları kalaba… https://t.co/AX1MLOUShQ</t>
  </si>
  <si>
    <t>1467914615048839172</t>
  </si>
  <si>
    <t>@drfahrettinkoca Kaça sattın ?</t>
  </si>
  <si>
    <t>1467914600729485314</t>
  </si>
  <si>
    <t>@drfahrettinkoca Aşı = Fon  Mutluluk duyarsınız tabi  Olmayınca sağlık falan kaybettik diye değil fon kaybettik üzülüyorsunuz</t>
  </si>
  <si>
    <t>1467914590839349257</t>
  </si>
  <si>
    <t>@drfahrettinkoca Nerde kılavuz</t>
  </si>
  <si>
    <t>1467914579418259466</t>
  </si>
  <si>
    <t>@drfahrettinkoca https://t.co/DXDdkuNfq6</t>
  </si>
  <si>
    <t>1467914565530923019</t>
  </si>
  <si>
    <t>1467914549030498310</t>
  </si>
  <si>
    <t>@drfahrettinkoca İmdaaaaat diye bağırmak istiyorum kılavuz nerede bakanım @drfahrettinkoca</t>
  </si>
  <si>
    <t>1467914539291353099</t>
  </si>
  <si>
    <t>@drfahrettinkoca Her gün gündemdeyiz. Twitter, Sağlık Bakanı olsaydı kesin kılavuzu anında açıklardı.  #40BinAtamayiYapKilicdaroglu</t>
  </si>
  <si>
    <t>1467914522438639626</t>
  </si>
  <si>
    <t>@drfahrettinkoca Ya kılavuz kılavuz kılavuz</t>
  </si>
  <si>
    <t>1467914520760827912</t>
  </si>
  <si>
    <t>@drfahrettinkoca Bakanım kendi alanınızda ki insanları daha ne kadar görmezden geleceksiniz acaba. 1 aydır kılavuz bekliyoruz !!!</t>
  </si>
  <si>
    <t>1467914499436990465</t>
  </si>
  <si>
    <t>@drfahrettinkoca Aşı dediğin tetanos gibi etkili olana kuduz alışı gibi etkili olana denir #BilimKuruluOEğrencilerOnlineİstiyor</t>
  </si>
  <si>
    <t>1467914491480489993</t>
  </si>
  <si>
    <t>@drfahrettinkoca Aşıya verdiğiniz önemin binde birini sağlıkçı içinde keşke gösterseniz. #40BinAtamayiYapKilicdaroglu</t>
  </si>
  <si>
    <t>1467914488204734469</t>
  </si>
  <si>
    <t>@drfahrettinkoca 1 Ay kılavuz mu beklenir bakanım insaf insaf insaf  #40BinAtamayiYapKilicdaroglu</t>
  </si>
  <si>
    <t>1467914470282469384</t>
  </si>
  <si>
    <t>@drfahrettinkoca Bizi bu bataklıktan kurtarın artık #kabineuzaktaneğitimsart https://t.co/3SasMd82S9</t>
  </si>
  <si>
    <t>1467914457254961156</t>
  </si>
  <si>
    <t>@drfahrettinkoca Pandemide devam zorunluluğu olmamalı #kabineuzaktaneğitimşart https://t.co/wyPls0BPDb</t>
  </si>
  <si>
    <t>1467914456105684998</t>
  </si>
  <si>
    <t>@drfahrettinkoca Daha da artacak o vakalar göreceksiniz</t>
  </si>
  <si>
    <t>1467914453731708932</t>
  </si>
  <si>
    <t>@drfahrettinkoca Atama bekleyen binlerce sağlıkçı, göreve başlamak için 1 yıldır atama bekliyor. Çok kez sözler ver… https://t.co/yMG1wP3IyP</t>
  </si>
  <si>
    <t>1467914448446889986</t>
  </si>
  <si>
    <t>@drfahrettinkoca İnsanları ancak zehirliyorsunuz deneysel sıvılarla gün gelecek yargılanacaksınız.</t>
  </si>
  <si>
    <t>1467914442717474835</t>
  </si>
  <si>
    <t>@drfahrettinkoca Aşı virüs için olsaydı şu ne hastalık ne varyant olurdu hala milleti ne yerine koyuyorsaniz artık yeter işin tadı kaçtı..</t>
  </si>
  <si>
    <t>1467914435541057537</t>
  </si>
  <si>
    <t>@drfahrettinkoca Sayın bakanım, Tıpta Uzmanlık Sınavı’nda yapılacak değişiklikleri öğrenmeyi merakla bekliyoruz. Saygılar</t>
  </si>
  <si>
    <t>1467914427425042442</t>
  </si>
  <si>
    <t>@drfahrettinkoca Kendi okulunuzda isteğe bağlı yapma sebebiniz nedir diğer öğrenciler de online istiyor</t>
  </si>
  <si>
    <t>1467914405287497737</t>
  </si>
  <si>
    <t>@drfahrettinkoca Şu gün bugün diye diye ömrümüzü bitirdiniz giden bizim umutlarımız oldu @drfahrettinkoca… https://t.co/yp5oRmlkk4</t>
  </si>
  <si>
    <t>1467914403349737484</t>
  </si>
  <si>
    <t>@drfahrettinkoca Derdinizin sağlık olmadığıni biliyoruz yeni dünya düzeni salgın değil insalnlik kontrol altına alı… https://t.co/tL9bjG92RE</t>
  </si>
  <si>
    <t>1467914396739514372</t>
  </si>
  <si>
    <t>@drfahrettinkoca Suan da yalnizca kendi etrafimda en az 10 kisi covid olmus durumda. Ben 1 haftadir kendime gelemed… https://t.co/0jG5UpxqJb</t>
  </si>
  <si>
    <t>1467914382625673223</t>
  </si>
  <si>
    <t>@drfahrettinkoca Aramazsanız bulamazsınız tabii bizi aptal yerine koymayı bırakın artık #KabineUzaktanEğitimŞart https://t.co/vw5xh2FwE6</t>
  </si>
  <si>
    <t>1467914375075876866</t>
  </si>
  <si>
    <t>@drfahrettinkoca Aşı olun minicik pıhtılardan, minicik kalp krizinden ölün,minicik beyin felci geçirin. https://t.co/2cIG6V7O74</t>
  </si>
  <si>
    <t>1467914374266425345</t>
  </si>
  <si>
    <t>@drfahrettinkoca Birilerinin bizi görüyor duyuyor olması derdimizi dile getireceğini söylemesi bir nebze olsa da fe… https://t.co/QVWQYByzyz</t>
  </si>
  <si>
    <t>1467914255106195463</t>
  </si>
  <si>
    <t>@drfahrettinkoca Sen hala ne alışından bahsediyorsun ile yaramaz bişeyi millete sunup durmayı kes</t>
  </si>
  <si>
    <t>1467914223154085891</t>
  </si>
  <si>
    <t>@drfahrettinkoca Kendi adına konuş, Biz mutlu değil üzülüyoruz.. Sen şunu söyle 9 ay önce bulunmuş aşı adayları del… https://t.co/6NaBM4FexT</t>
  </si>
  <si>
    <t>1467914213884637196</t>
  </si>
  <si>
    <t>@drfahrettinkoca Yalan konuşuyorsun. Asla mutlu olmadık, lanet ettik hatta yaptıklarına. Bundan sonra da bu lanet y… https://t.co/ux7m1ZJGjJ</t>
  </si>
  <si>
    <t>1467914179977875457</t>
  </si>
  <si>
    <t>@drfahrettinkoca @saglikbakanligi Aşı önemini koruduğu için mi aşılama oranının en düşük olduğu Doğu illerinde vaka sayısı en düşük çıkıyor?</t>
  </si>
  <si>
    <t>1467914177226420228</t>
  </si>
  <si>
    <t>@drfahrettinkoca Corona testi omicron tespit edemiyor diyorlar açıklama yapın</t>
  </si>
  <si>
    <t>1467914167227228164</t>
  </si>
  <si>
    <t>@drfahrettinkoca Klavuzun başına ne geldi cidden çok merak ediyom öldü mü  kaldı mı @drfahrettinkoca… https://t.co/xlTQEfeR6p</t>
  </si>
  <si>
    <t>1467914145366425611</t>
  </si>
  <si>
    <t>@drfahrettinkoca Yine aynı hikaye sn bakan geç artık bunlari  paylaşmayı level atla şimdi aşı oldukdan sonra sağlığ… https://t.co/PQLrdlFT2u</t>
  </si>
  <si>
    <t>1467914134452903944</t>
  </si>
  <si>
    <t>@drfahrettinkoca Hepimizin sağlığını düşünen bakanımız vardı o zamanlar mutluyduk. Artık cocuklarımızı ve bizi önemsememeniz üzüntü verici.</t>
  </si>
  <si>
    <t>1467914125611253773</t>
  </si>
  <si>
    <t>@drfahrettinkoca https://t.co/pVHkRth8qY</t>
  </si>
  <si>
    <t>1467914102010007557</t>
  </si>
  <si>
    <t>@drfahrettinkoca Artık mesleğimizin başına geçip sahadakilerin yükünü hafifletelim.Bu saglikci açığını kapatmanın v… https://t.co/kHQtcI93gf</t>
  </si>
  <si>
    <t>1467914093826826246</t>
  </si>
  <si>
    <t>@drfahrettinkoca Ne kadar tuhaf ki en tedbirli disiplinli ülkeler bile şuan omicron virüsünden dolayı daha da tedbi… https://t.co/P7deSEReWp</t>
  </si>
  <si>
    <t>1467914080996442112</t>
  </si>
  <si>
    <t>@drfahrettinkoca İliklerime kadar nefret ettim bu sistemden Kılavuz.</t>
  </si>
  <si>
    <t>1467914073941712904</t>
  </si>
  <si>
    <t>@drfahrettinkoca Benim yasamami bu kadar düşünüyorsanız sayın bakanım işsizim bana iş verin  o zaman gerçekten beni… https://t.co/1lyCCh3d3d</t>
  </si>
  <si>
    <t>1467914068145152004</t>
  </si>
  <si>
    <t>@drfahrettinkoca “ SİZ İZİN VERMEDEN SÖYLER MİYİM EFENDİM “   #40BinAtamayiYapKilicdaroglu</t>
  </si>
  <si>
    <t>1467914053326675974</t>
  </si>
  <si>
    <t>@drfahrettinkoca https://t.co/VyMRaHA1Jt</t>
  </si>
  <si>
    <t>1467914050524758017</t>
  </si>
  <si>
    <t>@drfahrettinkoca Sözünüzde durun bakan bey söz verdiğiniz atamayı bu yıl içinde yapın</t>
  </si>
  <si>
    <t>1467914046489997322</t>
  </si>
  <si>
    <t>@drfahrettinkoca Kılavuzu istiyoruz. Net bir açıklama istiyoruz. 1 senedir bekliyoruz. Gerçekten tüm atama bekleyen… https://t.co/Uqcv10Q33U</t>
  </si>
  <si>
    <t>1467914038327885838</t>
  </si>
  <si>
    <t>@drfahrettinkoca İyide çiddi artışları olmaması üzüntü verici derken yoğun bakımı vaka artışımı ölüm artışımı yoksa… https://t.co/fgHjWGdevV</t>
  </si>
  <si>
    <t>1467914033470881795</t>
  </si>
  <si>
    <t>@drfahrettinkoca 5 dk 196 yorum kılavuuuuz</t>
  </si>
  <si>
    <t>1467914022834130945</t>
  </si>
  <si>
    <t>@drfahrettinkoca Bu yüzden olabilir mi ? https://t.co/eNGqcdUQnA</t>
  </si>
  <si>
    <t>1467913953590366208</t>
  </si>
  <si>
    <t>@drfahrettinkoca Bizi rahat bırakın #kabineuzaktaneğitimsart</t>
  </si>
  <si>
    <t>1467913945516326921</t>
  </si>
  <si>
    <t>@drfahrettinkoca Allah için online. #kabinedenonlinesart  #kabineuzaktaneğitimşart</t>
  </si>
  <si>
    <t>1467913942072709126</t>
  </si>
  <si>
    <t>@drfahrettinkoca Bu hafta klavuz verin #40BinAtamayiYapKilicdaroglu</t>
  </si>
  <si>
    <t>1467913922162446351</t>
  </si>
  <si>
    <t>@drfahrettinkoca Koyun can derdinde,kasap et derdinde.Millet aşı denen sıvıdan ölüyordu zaten.Şimdi de acından ölecek.</t>
  </si>
  <si>
    <t>1467913911706005520</t>
  </si>
  <si>
    <t>@drfahrettinkoca Sayın bakan artık yapın şu atamayı bu saatten sonra alacağınız maaşlarıda tekrar psikologlara vere… https://t.co/7ouqUu0Euw</t>
  </si>
  <si>
    <t>1467913908920983552</t>
  </si>
  <si>
    <t>@drfahrettinkoca Hocam sizde saglikcisiniz duyun sesimizi gerçekten tükenme noktasına geldik kılavuzu yayınlayın ar… https://t.co/tQTXduuBDe</t>
  </si>
  <si>
    <t>1467913882438184970</t>
  </si>
  <si>
    <t>@drfahrettinkoca Hayır</t>
  </si>
  <si>
    <t>1467913872661168139</t>
  </si>
  <si>
    <t>@drfahrettinkoca Artık gundeminizde biz mi olsak diyorum sayın @drfahrettinkoca biraz da atama bekleyen sağlıkçılar… https://t.co/sFJ7o4eIpy</t>
  </si>
  <si>
    <t>1467913868794023946</t>
  </si>
  <si>
    <t>@drfahrettinkoca Bakiyorum da yine kabine öncesi ve kabine bitiminde her zaman birbirine yakın rakamlar var</t>
  </si>
  <si>
    <t>1467913860728373248</t>
  </si>
  <si>
    <t>@drfahrettinkoca Bu hafta klavuzu görelim</t>
  </si>
  <si>
    <t>1467913860569042944</t>
  </si>
  <si>
    <t>@drfahrettinkoca İstediğimizi alana kadar buradayız. #kabineuzaktaneğitimsart</t>
  </si>
  <si>
    <t>1467913799340630024</t>
  </si>
  <si>
    <t>@drfahrettinkoca Avrupa bas bas bağırıyor omicron aşıya karşı dirençli diye.Biotench ciosu yeni bir aşıya ihtiyacım… https://t.co/M1f3uldKs4</t>
  </si>
  <si>
    <t>1467913777958031365</t>
  </si>
  <si>
    <t>@drfahrettinkoca Ben sevinmiyorum en çok aşı yaptığınız Ordu daki vaka sayısına bakın birde en az aşı oranı olan Ş.… https://t.co/poFVsVO2Sh</t>
  </si>
  <si>
    <t>1467913776955600898</t>
  </si>
  <si>
    <t>@drfahrettinkoca Her şeyi gizliyorsunuz omicronu,vakaları,ölümleri hiç utanmıyor musunuz biraz şeffaf olun şeffaf… https://t.co/DXjVPayBle</t>
  </si>
  <si>
    <t>1467913769078640650</t>
  </si>
  <si>
    <t>@drfahrettinkoca #TBMM  sağlık kontrolü yapın https://t.co/bKIew3XrCb</t>
  </si>
  <si>
    <t>1467913764993474566</t>
  </si>
  <si>
    <t>@drfahrettinkoca Hepimiz toptan ölelim de rahatlayın ya #kabinedenonlinesart</t>
  </si>
  <si>
    <t>1467913736589611010</t>
  </si>
  <si>
    <t>@drfahrettinkoca Yine bir takım rakamlar yazılmış 30, 2, 75 falan...reis ensenden belirip "rakam verdi mi?, rakam v… https://t.co/WteUmhSQeg</t>
  </si>
  <si>
    <t>1467913718734413830</t>
  </si>
  <si>
    <t>@drfahrettinkoca Bırakın aşıyı sayın bakan, 20 aydır tıbbi cihazın ödemesini neden yapmıyorsunuz @drfahrettinkoca… https://t.co/Yb3TU4m3xX</t>
  </si>
  <si>
    <t>1467913713478946816</t>
  </si>
  <si>
    <t>1467913703181987840</t>
  </si>
  <si>
    <t>@drfahrettinkoca Kimse aşı olmuyor.. Gidişat kötü..</t>
  </si>
  <si>
    <t>1467913661117345807</t>
  </si>
  <si>
    <t>@drfahrettinkoca Sayın Bakan Ben okumaktan bıktım bu gençler yazmaktan bıkmadı. Ata da şu gençleri rahatlasınlar.</t>
  </si>
  <si>
    <t>1467913653961826315</t>
  </si>
  <si>
    <t>@drfahrettinkoca Bakanım lütfen kılavuzu yayınlar mısınız</t>
  </si>
  <si>
    <t>1467913652539904002</t>
  </si>
  <si>
    <t>@drfahrettinkoca #UYANINMİLLET UYANIN OKUYUN OKUTUN ANLATIN RETWEET EDİN ULAŞTIRIN DÜŞÜNÜN https://t.co/poFufCcI5a</t>
  </si>
  <si>
    <t>1467913649666891779</t>
  </si>
  <si>
    <t>@drfahrettinkoca Yasaklar gelsinOkullar hibrit eğitim yada hafta sonu eğitim sistemi yapın bir sınıfta 40 kişiyiz n… https://t.co/syOekaPdua</t>
  </si>
  <si>
    <t>1467913633334181898</t>
  </si>
  <si>
    <t>@drfahrettinkoca Allah rızası için yardım edin lütfen çok zor durumdayım en sonunda böbreğimi satıcam nolursunuz ev… https://t.co/paMR87cynX</t>
  </si>
  <si>
    <t>1467913613994299393</t>
  </si>
  <si>
    <t>@drfahrettinkoca Yurtlarda rezil oluyoruz ve siz bunu görmemezlikten geliyorsunuz</t>
  </si>
  <si>
    <t>1467913595283456011</t>
  </si>
  <si>
    <t>@drfahrettinkoca Bakanim biz kılavuz için neyi bekliyoruz Allah aşkına @drfahrettinkoca</t>
  </si>
  <si>
    <t>1467913594109050883</t>
  </si>
  <si>
    <t>@drfahrettinkoca URFA YI AŞILAMAYINDA OLMADIKÇA VERİ DÜŞÜYOR GURURUMUZ ....</t>
  </si>
  <si>
    <t>1467913555802472456</t>
  </si>
  <si>
    <t>@drfahrettinkoca Mini mini pıhtılarını da al git! Gerçekten PIHTIK!</t>
  </si>
  <si>
    <t>1467913554481328133</t>
  </si>
  <si>
    <t>@drfahrettinkoca Öyle ya da böyle o kararı vereceksiniz</t>
  </si>
  <si>
    <t>1467913548412170241</t>
  </si>
  <si>
    <t>@drfahrettinkoca 20k vaka + her gün en az 200 ölümü nasıl normalleştirebildiniz? Sizin aileniz değil diye mi bu rah… https://t.co/BKqWoXBzHD</t>
  </si>
  <si>
    <t>1467913540103245833</t>
  </si>
  <si>
    <t>@drfahrettinkoca #40BinAtamayiYapKilicdaroglu ,</t>
  </si>
  <si>
    <t>1467913538832375813</t>
  </si>
  <si>
    <t>@drfahrettinkoca Bu covid ne akıllı yav her gün 20 bin vaka yapiyor maşallah #kabineuzaktaneğitimsart</t>
  </si>
  <si>
    <t>1467913536613629953</t>
  </si>
  <si>
    <t>@drfahrettinkoca Sayın Koca! Oysaki bir gece vakti şeffaflık vurgusuyla yola çıkmıştınız! Şimdi geldiğiniz noktada… https://t.co/uVV3adxals</t>
  </si>
  <si>
    <t>1467913534302474240</t>
  </si>
  <si>
    <t>@drfahrettinkoca Aşı yaptırmadım hiç test yaptırmadım hiç covid olmadım :)</t>
  </si>
  <si>
    <t>1467913530590572555</t>
  </si>
  <si>
    <t>@drfahrettinkoca Ciddi artışlar derken sayın bakanim neyi kastettiniz. Vaka sayılarında ciddi artışların olmamasinami uzuldunuz.</t>
  </si>
  <si>
    <t>1467913513217794055</t>
  </si>
  <si>
    <t>1467913506808909825</t>
  </si>
  <si>
    <t>@drfahrettinkoca Bugünkü konuşma metni bu muydu?</t>
  </si>
  <si>
    <t>1467913503138795526</t>
  </si>
  <si>
    <t>@drfahrettinkoca Omicron için geçerli değil şu anki aşı. Napıcaz???? #kabinedenonlinesart</t>
  </si>
  <si>
    <t>1467913499603083264</t>
  </si>
  <si>
    <t>@drfahrettinkoca Dün ne güzel 20 binin altındaydı ama bugün kabine olmadı boşa gitti. Neyse canım haftaya pazar yin… https://t.co/n8s4BbHHPf</t>
  </si>
  <si>
    <t>1467913497312911370</t>
  </si>
  <si>
    <t>@drfahrettinkoca Biz size sesizimi duyurmaya çalışırken siz kulak tıkıyorsunuz biz ülkenin geleceğiyiz sağlıklı eği… https://t.co/9RtVLif1BR</t>
  </si>
  <si>
    <t>1467913494867722257</t>
  </si>
  <si>
    <t>1467913476932874243</t>
  </si>
  <si>
    <t>@drfahrettinkoca Cidden  bu mu sn bakan ülke çalkalanıyor atama diye diyecekleriniz bu kadar mı görün bizi artik</t>
  </si>
  <si>
    <t>1467913474974138375</t>
  </si>
  <si>
    <t>@drfahrettinkoca @drfahrettinkoca  aidsli kan verilip ölüme sebebiyet verdikten sonra mahkemeyi kazanıyorsunuz 1 mi… https://t.co/07fYlpeEdm</t>
  </si>
  <si>
    <t>1467913459778129920</t>
  </si>
  <si>
    <t>@drfahrettinkoca Bu kadar insan söylediğiniz şeyi yapmanız için günlerdir twit atıyor dünya duydu siz oralı bile ol… https://t.co/YEVFNNIEww</t>
  </si>
  <si>
    <t>1467913451528134656</t>
  </si>
  <si>
    <t>@drfahrettinkoca Nasıl vurdumduymaz olduun sen geçen seneki bakan gitti bu sene farklı bi insan oldun vay be</t>
  </si>
  <si>
    <t>1467913451473412099</t>
  </si>
  <si>
    <t>@drfahrettinkoca Klavuz ne zaman gelecek</t>
  </si>
  <si>
    <t>1467913447383912460</t>
  </si>
  <si>
    <t>@drfahrettinkoca Hiç mi umurunuzda değiliz. Twitterda yatıp kalkıyoruz. Yeter artık</t>
  </si>
  <si>
    <t>1467913413284278283</t>
  </si>
  <si>
    <t>@drfahrettinkoca UYANIN MİLLEET 666 LI LUCİFERLERE ESİR OLMADAN UYANIN ARTIK https://t.co/ACPYmtXWZQ</t>
  </si>
  <si>
    <t>1467913397052350473</t>
  </si>
  <si>
    <t>@drfahrettinkoca TCK 77 insanlığa karşı işlenen suçlar kapsamında zaman aşımı yoktur... Allah büyük... 🇹🇷🇹🇷🇹🇷</t>
  </si>
  <si>
    <t>1467913374004662273</t>
  </si>
  <si>
    <t>@drfahrettinkoca Klavuz istiyoruz artık</t>
  </si>
  <si>
    <t>1467913373148975104</t>
  </si>
  <si>
    <t>@drfahrettinkoca #40BinAtamayiYapKilicdaroglu</t>
  </si>
  <si>
    <t>1467913349170139149</t>
  </si>
  <si>
    <t>@drfahrettinkoca ONLİNE eğitim istiyoruz canımıza tak etti yeter #kabineuzaktaneğitimsart</t>
  </si>
  <si>
    <t>1467913347832193028</t>
  </si>
  <si>
    <t>@drfahrettinkoca Devam zorunluluğunu kaldırın #kabineuzaktaneğitimşart</t>
  </si>
  <si>
    <t>1467913317482172416</t>
  </si>
  <si>
    <t>@drfahrettinkoca Yalan söylemek senin için gülmek kadar kolay değil mi ? https://t.co/Ocy3yMBW8Y</t>
  </si>
  <si>
    <t>1467913277862825987</t>
  </si>
  <si>
    <t>@drfahrettinkoca Ya siz neyin peşindesiniz? Ölüyoruz biz burda. Neden duyan yok</t>
  </si>
  <si>
    <t>1467913266856968192</t>
  </si>
  <si>
    <t>@drfahrettinkoca Olay sizin twitleriniz altinda dilencilik tarafına evrilmis...  Özetinde aşı olmayana kısıtlamayı… https://t.co/4eSrQWaaIq</t>
  </si>
  <si>
    <t>1467913265837744128</t>
  </si>
  <si>
    <t>@drfahrettinkoca Sayın bakan size atamayı yaptırmayan şey nedir?</t>
  </si>
  <si>
    <t>1467913252927680514</t>
  </si>
  <si>
    <t>@drfahrettinkoca Allahim kılavuz nolur ya</t>
  </si>
  <si>
    <t>1467913205905297413</t>
  </si>
  <si>
    <t>@drfahrettinkoca #onlineEgitimTalepEdiyoruz</t>
  </si>
  <si>
    <t>1467913195880865802</t>
  </si>
  <si>
    <t>@drfahrettinkoca Online eğitim ver ya da önlem alın, yeter be, yeter artık.</t>
  </si>
  <si>
    <t>1467913179208556551</t>
  </si>
  <si>
    <t>@drfahrettinkoca AŞI AŞI AŞI AŞI yeter Allah belasını versin aşının artık ATAMA İSTİYORUZ ATAMA @kilicdarogluk</t>
  </si>
  <si>
    <t>1467913167573594124</t>
  </si>
  <si>
    <t>@drfahrettinkoca Artık insanarın yalanlarınıza inanmıyor olması sizi üzdü mü? Hani şu 8 er tane içirdiğiniz malum h… https://t.co/pQtb0Mb4vW</t>
  </si>
  <si>
    <t>1467913145016533000</t>
  </si>
  <si>
    <t>@drfahrettinkoca Kamuya beş bin fizyoterapist alımı olsun artık bakanım</t>
  </si>
  <si>
    <t>1467913107905425412</t>
  </si>
  <si>
    <t>@drfahrettinkoca https://t.co/At3Puu3HxW</t>
  </si>
  <si>
    <t>1467913101706248199</t>
  </si>
  <si>
    <t>@drfahrettinkoca BUNA DUR DEYİN ARTI</t>
  </si>
  <si>
    <t>1467913101165187082</t>
  </si>
  <si>
    <t>@drfahrettinkoca Atama KOCA bir yalan oldu kılavuz nerde neden susuyorsunuz kılavuz için 9 gün vaktiniz olduğunun bilincinde misiniz ?</t>
  </si>
  <si>
    <t>1467913101072904198</t>
  </si>
  <si>
    <t>@drfahrettinkoca Her zamanki gibi  bugün de bizi duymadınız #40BinAtamayiYapKilicdaroglu</t>
  </si>
  <si>
    <t>1467913080437116928</t>
  </si>
  <si>
    <t>@drfahrettinkoca Bakanım yine çok yaratıcı twetler atmışsınız  #40BinAtamayiYapKilicdaroglu</t>
  </si>
  <si>
    <t>1467913073432440835</t>
  </si>
  <si>
    <t>@drfahrettinkoca Bakanım Lütfen Kılavuz Gelsin Lütfen</t>
  </si>
  <si>
    <t>1467913071461126155</t>
  </si>
  <si>
    <t>@drfahrettinkoca Kılavuz gelsin #40BinAtamayiYapKilicdaroglu</t>
  </si>
  <si>
    <t>1467913067250044935</t>
  </si>
  <si>
    <t>@drfahrettinkoca Kim mutluluk duymuş anlamadım ki😃</t>
  </si>
  <si>
    <t>1467913063693262851</t>
  </si>
  <si>
    <t>@drfahrettinkoca OLEN KİSİ SAYISI BİR UCAK KADAR</t>
  </si>
  <si>
    <t>1467913057946980361</t>
  </si>
  <si>
    <t>@drfahrettinkoca Ben inanıyorum</t>
  </si>
  <si>
    <t>1467913053798817801</t>
  </si>
  <si>
    <t>1467913036975550467</t>
  </si>
  <si>
    <t>@drfahrettinkoca Omicron bile bizim ülkeyi pas geçmiş yaa  #kabineuzaktaneğitimsart</t>
  </si>
  <si>
    <t>1467913027043446792</t>
  </si>
  <si>
    <t>@drfahrettinkoca Tabi, tabi canım....</t>
  </si>
  <si>
    <t>1467912991102443521</t>
  </si>
  <si>
    <t>@drfahrettinkoca Klavuzzzzzzzz</t>
  </si>
  <si>
    <t>1467912983053484040</t>
  </si>
  <si>
    <t>@drfahrettinkoca tatil değil online eğitim istiyoruz #kabineuzaktaneğitimsart</t>
  </si>
  <si>
    <t>1467912974958477317</t>
  </si>
  <si>
    <t>@drfahrettinkoca Hadi git be</t>
  </si>
  <si>
    <t>1467912968910295043</t>
  </si>
  <si>
    <t>@drfahrettinkoca Atama, önemini yitirdi mi?</t>
  </si>
  <si>
    <t>1467912968511840266</t>
  </si>
  <si>
    <t>@drfahrettinkoca Kılavuz ??????</t>
  </si>
  <si>
    <t>1467912962065281025</t>
  </si>
  <si>
    <t>@drfahrettinkoca Hangi hastalık daha fazla insan öldürmüş🤔 https://t.co/j37QMNE1OT</t>
  </si>
  <si>
    <t>1467912954922291205</t>
  </si>
  <si>
    <t>@drfahrettinkoca Başkası aşı olunca kimse mutlu olmuyor</t>
  </si>
  <si>
    <t>1467912952871280644</t>
  </si>
  <si>
    <t>1467912949595525131</t>
  </si>
  <si>
    <t>@drfahrettinkoca YAZİK GÜNAH BE</t>
  </si>
  <si>
    <t>1467912949473984528</t>
  </si>
  <si>
    <t>@drfahrettinkoca Yalan tablomuz nerede kaldı diyorduk sayın bakanım, teşekkürler :)</t>
  </si>
  <si>
    <t>1467912945275482117</t>
  </si>
  <si>
    <t>@drfahrettinkoca Kemal kılıçdaroğlu halledecek kılavuzu inşallah. Siz mesaj atmaya devam edin.</t>
  </si>
  <si>
    <t>1467912943618740234</t>
  </si>
  <si>
    <t>@drfahrettinkoca Ne demiş ünlü filozof ibrahim tatlıses “söz namustur.”</t>
  </si>
  <si>
    <t>1467912940972122119</t>
  </si>
  <si>
    <t>@drfahrettinkoca #saglikcılargrevde</t>
  </si>
  <si>
    <t>1467912940456189958</t>
  </si>
  <si>
    <t>@drfahrettinkoca Kılavuz nerde sayın bakanım</t>
  </si>
  <si>
    <t>1467912918608105474</t>
  </si>
  <si>
    <t>@drfahrettinkoca KILAVUZ BEKLİYORUZ @drfahrettinkoca  #40BinAtamayiYapKilicdaroglu</t>
  </si>
  <si>
    <t>1467912915483344899</t>
  </si>
  <si>
    <t>@drfahrettinkoca YA ONLİNE YA İSTİFA</t>
  </si>
  <si>
    <t>1467912900740268035</t>
  </si>
  <si>
    <t>@drfahrettinkoca https://t.co/7SCqt75T3F</t>
  </si>
  <si>
    <t>1467912887981256705</t>
  </si>
  <si>
    <t>@drfahrettinkoca Atama yapın artikkkk</t>
  </si>
  <si>
    <t>1467912876476280838</t>
  </si>
  <si>
    <t>@drfahrettinkoca SAĞLIKÇILAR KILAVUZU BİR İKİ HAFTADIR DEĞİL KOCA BİR YILDIR BEKLİYOR,</t>
  </si>
  <si>
    <t>1467912876136570880</t>
  </si>
  <si>
    <t>@drfahrettinkoca OKULA DEĞİL VİRÜS OLMAYA GİDİYORUZ</t>
  </si>
  <si>
    <t>1467912867630493700</t>
  </si>
  <si>
    <t>@drfahrettinkoca SAĞLIKÇILAR KILAVUZU BİR İKİ HAFTADIR DEĞİL KOCA BİR YILDIR BEKLİYOR.</t>
  </si>
  <si>
    <t>1467912860491829251</t>
  </si>
  <si>
    <t>@drfahrettinkoca #kabinedenonlinesart</t>
  </si>
  <si>
    <t>1467912850895167495</t>
  </si>
  <si>
    <t>@drfahrettinkoca Madem öyle kendi okulundaki öğrencilere de aşı yaptır tamamen yüz yüzeye geç nasıl fikir ? #kabineuzaktaneğitimşart</t>
  </si>
  <si>
    <t>1467912849930477573</t>
  </si>
  <si>
    <t>@drfahrettinkoca SAĞLIKÇILAR KILAVUZU BİR İKİ HAFTADIR DEĞİL KOCA BİR YILDIR BEKLİYOR</t>
  </si>
  <si>
    <t>1467912845434228744</t>
  </si>
  <si>
    <t>@drfahrettinkoca Kılavuz Allah aşkına kılavuz ya</t>
  </si>
  <si>
    <t>1467912835074527233</t>
  </si>
  <si>
    <t>@drfahrettinkoca lütfen Kılavuz Ne Zaman Gelecek Net Bir Tarih İsteyiniz . Yolun Açık Olsun Demokrat Amca Alacağını… https://t.co/YIeNXKw8sC</t>
  </si>
  <si>
    <t>1467912818162814985</t>
  </si>
  <si>
    <t>1467912816086687745</t>
  </si>
  <si>
    <t>@drfahrettinkoca KILAVUZ BEKLİYORUZ!! @drfahrettinkoca  #40BinAtamayiYapKilicdaroglu</t>
  </si>
  <si>
    <t>1467912815184912387</t>
  </si>
  <si>
    <t>@drfahrettinkoca Çağrımıza kulak astığınız için teşekkür ederiz. 800 binden fazla sağlık bölümü mezunu Sağlık Bakan… https://t.co/zqBl8Z2nrM</t>
  </si>
  <si>
    <t>1467912811330392068</t>
  </si>
  <si>
    <t>1467912799447916551</t>
  </si>
  <si>
    <t>@drfahrettinkoca Devlet tarafından yürütülen aşı yönergelerine uymadıkları için vatandaşları cezalandırmak bilimin… https://t.co/5b6dtosH0w</t>
  </si>
  <si>
    <t>1467912797757526018</t>
  </si>
  <si>
    <t>@drfahrettinkoca Yalan tabloyu yayınlama artık istersen kimse inanmıyor çünkü</t>
  </si>
  <si>
    <t>1467912787523686401</t>
  </si>
  <si>
    <t>@drfahrettinkoca lütfen Kılavuz Ne Zaman Gelecek Net Bir Tarih İsteyiniz . Yolun Açık Olsun Demokrat Amca Alacağını… https://t.co/KfNCQdbJkA</t>
  </si>
  <si>
    <t>1467912783660474378</t>
  </si>
  <si>
    <t>@drfahrettinkoca VAKALAR ARTICAK İMDATTT</t>
  </si>
  <si>
    <t>1467912783048151044</t>
  </si>
  <si>
    <t>@drfahrettinkoca Ne istediysek vermediniz.Koskoca 1 senede 1 atama dahi yapamadınız.Herkese zam yapılırken bizi gör… https://t.co/SpM9TIAlCF</t>
  </si>
  <si>
    <t>1467912780669935627</t>
  </si>
  <si>
    <t>@drfahrettinkoca @saglikbakanligi Yaşancısın</t>
  </si>
  <si>
    <t>1467912774512783363</t>
  </si>
  <si>
    <t>@drfahrettinkoca Online eğitim istiyoruz bakanım lütfen</t>
  </si>
  <si>
    <t>1467912768326098947</t>
  </si>
  <si>
    <t>@drfahrettinkoca KAMUYA BEŞ BİN FİZYOTERAPİST ALIMI</t>
  </si>
  <si>
    <t>1467912763179778057</t>
  </si>
  <si>
    <t>@drfahrettinkoca Kılavuzu neden yayınlamıyorsunuz bakanım @drfahrettinkoca</t>
  </si>
  <si>
    <t>1467912754153627657</t>
  </si>
  <si>
    <t>@drfahrettinkoca Kılavuzu bekliyoruz bir an evvel bekliyoruz  bakanım</t>
  </si>
  <si>
    <t>1467912751515377665</t>
  </si>
  <si>
    <t>@drfahrettinkoca Omicron varyanti Turkiye de yokmus sayin bakanim.</t>
  </si>
  <si>
    <t>1467912735740547077</t>
  </si>
  <si>
    <t>@drfahrettinkoca KILAVUZ BEKLİYORUZ BAKANIM KILAVUZZZZ @drfahrettinkoca   #40BinAtamayiYapKilicdaroglu</t>
  </si>
  <si>
    <t>1467912733995720708</t>
  </si>
  <si>
    <t>@drfahrettinkoca Yeter aşı aşı aşı artık KILAVUZ BEKLİYORUZ SAYIN BAKANIM #40BinAtamayiYapKilicdaroglu</t>
  </si>
  <si>
    <t>1467912731617550338</t>
  </si>
  <si>
    <t>@drfahrettinkoca Herkes duydu bi siz duymadınız! Kılavuz nerde ?</t>
  </si>
  <si>
    <t>1467912728518049793</t>
  </si>
  <si>
    <t>@drfahrettinkoca Kılavuz nerde bakanım</t>
  </si>
  <si>
    <t>1467912727947583498</t>
  </si>
  <si>
    <t>@drfahrettinkoca Z kuşağı yalan tablosuna bakıyor #kabineuzaktaneğitimsart https://t.co/vKfcAAVQQF</t>
  </si>
  <si>
    <t>1467912721521905666</t>
  </si>
  <si>
    <t>@drfahrettinkoca üniversitelere online eğitim</t>
  </si>
  <si>
    <t>1467912713783369733</t>
  </si>
  <si>
    <t>@drfahrettinkoca Kılıçdaroğlu duydu sesimizi #Kılıcdaroğlu</t>
  </si>
  <si>
    <t>1467912711598137345</t>
  </si>
  <si>
    <t>@drfahrettinkoca Sağlık bakanı olarak güvenilirliğinizi kaybetmekten memnun musunuz gerçekten kimse inanmıyor payla… https://t.co/A3HavsXM9H</t>
  </si>
  <si>
    <t>1467912709555507202</t>
  </si>
  <si>
    <t>@drfahrettinkoca https://t.co/JLkiUXH2iE</t>
  </si>
  <si>
    <t>1467912704274976780</t>
  </si>
  <si>
    <t>@drfahrettinkoca Siz de artık su kilavuzu yayinlayin ya ne ailemizle aramiz kaldi ne dostumuzla saflikciyiz psikolo… https://t.co/CstV62cRBQ</t>
  </si>
  <si>
    <t>1467912702622318593</t>
  </si>
  <si>
    <t>@drfahrettinkoca AŞI İŞE YARAMIYOR KABUL EDİN ARTIK #kabineuzaktaneğitimşart</t>
  </si>
  <si>
    <t>1467912675816521729</t>
  </si>
  <si>
    <t>@drfahrettinkoca Uzaktan eğitim istiyoruz sayın bakanım hergün hastalanıyoruz</t>
  </si>
  <si>
    <t>1467912671840423936</t>
  </si>
  <si>
    <t>@drfahrettinkoca DOLARI YAHUDILER KALDIRIYO TAYIP GITSIN ZAYIF KILIÇDAROĞLU GELSIN SÖMÜRGE</t>
  </si>
  <si>
    <t>1468327720627183616</t>
  </si>
  <si>
    <t>1468285278146240513</t>
  </si>
  <si>
    <t>@drfahrettinkoca Ben göğüse randevu alamadıktan sonra sürekli özele para bayıldıktan sonra bu sayıların şovların bi önemi yok</t>
  </si>
  <si>
    <t>1469088618325200899</t>
  </si>
  <si>
    <t>@drfahrettinkoca Paramedikte yığılma ne olacak bunca mezunu ne yapacaksınız? Özel hastanede bile iş bulamıyoruz. Sa… https://t.co/LPnLDJTZ6s</t>
  </si>
  <si>
    <t>1468980873101987844</t>
  </si>
  <si>
    <t>@drfahrettinkoca https://t.co/E6qY7G60mv</t>
  </si>
  <si>
    <t>1468912356063424514</t>
  </si>
  <si>
    <t>@drfahrettinkoca Bu gidişle o araçların hastaları ulaştırabileceği hekimleri bulamayacaksınız bakanım #SonHekimGitmeden</t>
  </si>
  <si>
    <t>1468695463515807752</t>
  </si>
  <si>
    <t>@drfahrettinkoca 38 MASALLAH ALLAH DEVLETIMIZE ZEVAL VERMESIN INSALLAH 🤲🏻</t>
  </si>
  <si>
    <t>1468661445994889225</t>
  </si>
  <si>
    <t>@drfahrettinkoca @drfahrettinkoca @RTErdogan  siz nasıl insanlarsınız hayatımızı kararttınız gençliğimizi  kanımızı… https://t.co/hw76Muk3Ya</t>
  </si>
  <si>
    <t>1469772197237563404</t>
  </si>
  <si>
    <t>@drfahrettinkoca 1 senedir benim hayatımı çaldınız,  günlerimi heba ettiniz. Ne soranlara cevap verebiliyorum Ne de… https://t.co/bnTKKL8Zih</t>
  </si>
  <si>
    <t>1469335898722652160</t>
  </si>
  <si>
    <t>@drfahrettinkoca Engelli SAĞLIKÇYA 4senedr sınav yapıp neden alım yapmadnz EKPSS ATAMASI yapılmayacak bakanlıkları… https://t.co/OqymdNqXLD</t>
  </si>
  <si>
    <t>1469272128923086849</t>
  </si>
  <si>
    <t>@drfahrettinkoca Dicle üniversitesi Hastanesinde ultrasyona 2ay sonraya gün veriyorlar sonra alt katta 160 TL ye öz… https://t.co/G92QsBqf6a</t>
  </si>
  <si>
    <t>1469201555358470145</t>
  </si>
  <si>
    <t>@drfahrettinkoca #BagkurTescilMagdurları 🇹🇷 Yillardir ülkemize hizmetlerde bulunduk Yaşlandık,elden ayaktan düştük… https://t.co/miAF3klUgV</t>
  </si>
  <si>
    <t>1467978125699162116</t>
  </si>
  <si>
    <t>1467976853721960457</t>
  </si>
  <si>
    <t>@drfahrettinkoca İnşallah onlarda istifa edip gitmez sayın bakan bu gidişlere bir dur diyin artık</t>
  </si>
  <si>
    <t>1467969553518977025</t>
  </si>
  <si>
    <t>@drfahrettinkoca Sayın bakan @drfahrettinkoca annemi ibn-i sina hastanesi acil servise getirdim. Sabahın 8’inden be… https://t.co/60XVKnuNMY</t>
  </si>
  <si>
    <t>1467967505394286596</t>
  </si>
  <si>
    <t>@drfahrettinkoca Uçan kuşa bile twiti var bakanın ama kılavuza yok çıldıracam resmen bi yılı geçti atama</t>
  </si>
  <si>
    <t>1467965422842621956</t>
  </si>
  <si>
    <t>@drfahrettinkoca Sizin bengi baser pihtisinin memet ceyhanin ve bilimkurulu denilen vergilerimizin carcur edildigin… https://t.co/55IQvqcV1L</t>
  </si>
  <si>
    <t>1467946528618729478</t>
  </si>
  <si>
    <t>@drfahrettinkoca Kılavuz peki</t>
  </si>
  <si>
    <t>1467945076076728322</t>
  </si>
  <si>
    <t>@drfahrettinkoca Engelliye en duyarsız sizsiniz sn bakanım hepimiz çırpınıyoruz 4yıldır puanlarımız yanmasın diye… https://t.co/CziBxNm9bt</t>
  </si>
  <si>
    <t>1467936827533402122</t>
  </si>
  <si>
    <t>@drfahrettinkoca Engelliye en duyarsız sizsiniz sn bakanım hepimiz çırpınıyoruz yüksek puanlarımız yanmasın diye… https://t.co/bx52yGrHFb</t>
  </si>
  <si>
    <t>1467936698722136067</t>
  </si>
  <si>
    <t>@drfahrettinkoca Engelliye en duyarsız sizsiniz sn bakanım hepimiz çırpınıyoruz yüksek puanlarımız yanmasın diye… https://t.co/XWOm2FPLfT</t>
  </si>
  <si>
    <t>1467936648583434248</t>
  </si>
  <si>
    <t>@drfahrettinkoca Engelli SAĞLIKÇI sesini duyun yardım edin 4 yıldır yüksek puanla kadro bekliyoruz mesleklerimizi y… https://t.co/hIghIrJ9ra</t>
  </si>
  <si>
    <t>1467936015344152577</t>
  </si>
  <si>
    <t>@drfahrettinkoca Engelli SAĞLIKÇI sesini duyun yardım edin 4 yıldır yüksek puanla kadro bekliyoruz mesleklerimizi y… https://t.co/bVo7CDEOcK</t>
  </si>
  <si>
    <t>1467935995156967426</t>
  </si>
  <si>
    <t>@drfahrettinkoca Engelli SAĞLIKÇI sesini duyun yardım edin 4 yıldır yüksek puanla kadro bekliyoruz mesleklerimizi y… https://t.co/c60rq9rbmZ</t>
  </si>
  <si>
    <t>1467935954958753794</t>
  </si>
  <si>
    <t>@drfahrettinkoca Aldığı #tıbbicihaz malzemelerinin parasını ödemeyen bakanlar olarak tarihe geçeceksiniz… https://t.co/NciZ6QwWgs</t>
  </si>
  <si>
    <t>1467935100453240833</t>
  </si>
  <si>
    <t>@drfahrettinkoca İNSANIZ BİZ!!! #kabineuzaktaneğitimşart</t>
  </si>
  <si>
    <t>1467931482794700806</t>
  </si>
  <si>
    <t>@drfahrettinkoca Atama yok ki @drfahrettinkoca</t>
  </si>
  <si>
    <t>1467929074177818625</t>
  </si>
  <si>
    <t>@drfahrettinkoca Ciddiyim dalga geçmeyin lütfen.Arh + kan grubum.Böbrek hastası olan varsa belirli bir ücret karşıl… https://t.co/CDXEmsHg0N</t>
  </si>
  <si>
    <t>1467928350823956483</t>
  </si>
  <si>
    <t>@drfahrettinkoca #tıbbicihaz o uçan kaçan ambulanslara tedarik sağlayamaz halde.Aya gitseniz ne fayda.!!!</t>
  </si>
  <si>
    <t>1467928330171305986</t>
  </si>
  <si>
    <t>@drfahrettinkoca Kashmir will be free by the mercy of Allah SWT before Ghazwa e Hind happens. Imam Al-Mahdi will sa… https://t.co/Kg8Tgfhw48</t>
  </si>
  <si>
    <t>1467925085570826243</t>
  </si>
  <si>
    <t>@drfahrettinkoca Dr.bir çocuğa ağrı için ilâç  yazmış,devlet ödemiyormuş bunu,eczane 400 tl demiş,muadilini sormuş,… https://t.co/d03VKX9Fh4</t>
  </si>
  <si>
    <t>1467922964561735685</t>
  </si>
  <si>
    <t>@drfahrettinkoca https://t.co/r9PP7wWnTW</t>
  </si>
  <si>
    <t>1467918007464771585</t>
  </si>
  <si>
    <t>@drfahrettinkoca Tebrikler başkanım</t>
  </si>
  <si>
    <t>1467916287816908807</t>
  </si>
  <si>
    <t>@drfahrettinkoca Siz, acından ölse bir zeytini isteyemeyecek kadar onurlu insanları, üstelik evladıyla sınanan insa… https://t.co/Pm44QA3QOi</t>
  </si>
  <si>
    <t>1467914699043975168</t>
  </si>
  <si>
    <t>@drfahrettinkoca Ama #tıbbicihaz firmalarına ödeme yapacak bütçe kalmıyor sayın bakanım</t>
  </si>
  <si>
    <t>1467914117491081217</t>
  </si>
  <si>
    <t>@drfahrettinkoca Atama istiyoruz #40BinAtamayiYapKilicdaroglu</t>
  </si>
  <si>
    <t>1467913786350878720</t>
  </si>
  <si>
    <t>1467913721670479877</t>
  </si>
  <si>
    <t>@drfahrettinkoca #40BinAtamayiYapKilicdaroglu klavuz</t>
  </si>
  <si>
    <t>1467913686564196368</t>
  </si>
  <si>
    <t>1467913578049122311</t>
  </si>
  <si>
    <t>@drfahrettinkoca Sayın bakanım atama bekliyoruz</t>
  </si>
  <si>
    <t>1467643480432418819</t>
  </si>
  <si>
    <t>@drfahrettinkoca Ölüyoruz  sayın koca</t>
  </si>
  <si>
    <t>1467642786627436545</t>
  </si>
  <si>
    <t>@drfahrettinkoca https://t.co/FsQUfte3Qt</t>
  </si>
  <si>
    <t>1467632483663589382</t>
  </si>
  <si>
    <t>@drfahrettinkoca https://t.co/XwVHiMzIFn</t>
  </si>
  <si>
    <t>1467632438222462981</t>
  </si>
  <si>
    <t>@drfahrettinkoca https://t.co/PIHfhZDUso</t>
  </si>
  <si>
    <t>1467632413916512260</t>
  </si>
  <si>
    <t>@drfahrettinkoca https://t.co/u94zHoTJPa</t>
  </si>
  <si>
    <t>1467632391267180544</t>
  </si>
  <si>
    <t>@drfahrettinkoca Hala masal anlatıyorsun UYANDIK !!!sen aşını ol kendini koru işin ucunu da sakın bırakma tedbirden… https://t.co/94Zwk6o6En</t>
  </si>
  <si>
    <t>1467632155845091333</t>
  </si>
  <si>
    <t>@drfahrettinkoca https://t.co/8AysjzFCM2</t>
  </si>
  <si>
    <t>1467631777867042829</t>
  </si>
  <si>
    <t>@drfahrettinkoca https://t.co/eMK4ZNRoIJ</t>
  </si>
  <si>
    <t>1467631488090914819</t>
  </si>
  <si>
    <t>@drfahrettinkoca Kalp krizi, günlük vaka sayısı istiyoruz!!! AŞILARINIZ ın kalp krizi yada beyin kanamasından öldür… https://t.co/SJBC9Uyyda</t>
  </si>
  <si>
    <t>1467628188310380546</t>
  </si>
  <si>
    <t>@drfahrettinkoca KALP KRİZİNDEN ÖLEN GENÇLERLE, MAHŞERDE KAVUŞURSUNUZ İNŞALKAH, BUNLAR TESADÜF DEĞİLSE,</t>
  </si>
  <si>
    <t>1467627864384327681</t>
  </si>
  <si>
    <t>@drfahrettinkoca 5. Doz nezaman x pro varyantı çıktığı zama  n gene olmayacağım aşı</t>
  </si>
  <si>
    <t>1467627257908842504</t>
  </si>
  <si>
    <t>@drfahrettinkoca Sayın Bakanım bugün sizin sayfanızda yer alan pcr numune alma prosedurunuzu hatırlatarak boğaz sur… https://t.co/qD1JYN8BGn</t>
  </si>
  <si>
    <t>1467626276336906249</t>
  </si>
  <si>
    <t>@drfahrettinkoca 20.000 altına düşmek bir başarı mı bence tartışılır sanki 20 kişiden bahsedermiş gibi konuşuluyor</t>
  </si>
  <si>
    <t>1467625245955825664</t>
  </si>
  <si>
    <t>@drfahrettinkoca gayet mantıklı bence de 23 aralıkta  avrupa noel tatiline giriyor güvenli bölge olmakta fayda var .</t>
  </si>
  <si>
    <t>1467624868720033794</t>
  </si>
  <si>
    <t>@drfahrettinkoca Vaka sayısı insanlar uyandığı ve artık aşı olmadığı için düşüyor.Sizde bulunduğunuz kurumdan düşec… https://t.co/P9cj8DzPkS</t>
  </si>
  <si>
    <t>1467624808154345475</t>
  </si>
  <si>
    <t>@drfahrettinkoca 20 binin altında tutulmak için bi 5 bin test az yapılmış bakanım ya siz filyasyonu takip etmiyosun… https://t.co/EdjL0etOwD</t>
  </si>
  <si>
    <t>1467624054706290693</t>
  </si>
  <si>
    <t>@drfahrettinkoca Kaldirin testler vaka maka kalmaz 😁😁</t>
  </si>
  <si>
    <t>1467622846734213129</t>
  </si>
  <si>
    <t>@drfahrettinkoca @drfahrettinkoca sayın Cumhurbaşkanımızın sağlık sisteminde 20 yıldır verdiği bu emekleri birileri… https://t.co/l1ZjAjeK41</t>
  </si>
  <si>
    <t>1467622803348283398</t>
  </si>
  <si>
    <t>@drfahrettinkoca Sayın bakanım,14 aylık çocuğumun eli yandı Ankara GATA ya acil götürdüm.Tarafima verilen cevap;  b… https://t.co/BaJEe03U2K</t>
  </si>
  <si>
    <t>1467621653161160707</t>
  </si>
  <si>
    <t>@drfahrettinkoca Allah önce sizden kurtarsın bu milleti 2 yıldır aynı terane</t>
  </si>
  <si>
    <t>1467621098145697792</t>
  </si>
  <si>
    <t>@drfahrettinkoca Vaka sayıları aşılarla değil bilakis aşıya, hastaneye ve doktorlara olan güvensizliğin artması ve… https://t.co/jcEfjR0wKF</t>
  </si>
  <si>
    <t>1467620399689129985</t>
  </si>
  <si>
    <t>@drfahrettinkoca Rte gazetecilere ne dedi ne dedii   Fahrettin 😂🤣 Ben olsam basardım istifayı  😂</t>
  </si>
  <si>
    <t>1467618057820512257</t>
  </si>
  <si>
    <t>@drfahrettinkoca Yalaniniz batsın https://t.co/kgsLmkawIo</t>
  </si>
  <si>
    <t>1467617934222757898</t>
  </si>
  <si>
    <t>@drfahrettinkoca https://t.co/0LfyfsBdG5</t>
  </si>
  <si>
    <t>1467616351506341892</t>
  </si>
  <si>
    <t>@drfahrettinkoca İki hafta çok önemli bence istifa edin artık, iki hafta içerisinde!!!</t>
  </si>
  <si>
    <t>1467615805449900039</t>
  </si>
  <si>
    <t>@drfahrettinkoca Yüksek puanlarla atanamayan diyetisyenlere bir çözüm üretin artık bu kadar üniversitede beslenme b… https://t.co/L5fAQ93toq</t>
  </si>
  <si>
    <t>1467615554768879630</t>
  </si>
  <si>
    <t>@drfahrettinkoca Diyetisyenler atanamıyor sayın bakan ne üniversiteler alıma çıkıyor ne sağlık bakanlığı bünyesinde… https://t.co/IOK5eYBZil</t>
  </si>
  <si>
    <t>1467614884078698498</t>
  </si>
  <si>
    <t>@drfahrettinkoca https://t.co/N5uPXClhCk</t>
  </si>
  <si>
    <t>1467614029308964874</t>
  </si>
  <si>
    <t>@drfahrettinkoca KILAVUZZZZZ</t>
  </si>
  <si>
    <t>1467613921066594309</t>
  </si>
  <si>
    <t>@drfahrettinkoca Havalar soğudu.Sınıflarda havalandırma yok.Pencereler sürekli açık.Ders yaparken donuyoruz.Çocukla… https://t.co/LTWqovndlI</t>
  </si>
  <si>
    <t>1467609509317255171</t>
  </si>
  <si>
    <t>@drfahrettinkoca İngiltere sağlık bakanı bu süreçte halkımızın bir kısmı hasta olacak,bir kısmı olmayacak,bir kısmı… https://t.co/yBW8zjRcgC</t>
  </si>
  <si>
    <t>1467608618321256455</t>
  </si>
  <si>
    <t>@drfahrettinkoca Hangi uğraştan hangi özveriden söz ediyorsunuz sayın bakanım.Hiç bir tedbir yok.pandeminin başları… https://t.co/XCAuPmpx6U</t>
  </si>
  <si>
    <t>1467608236123729931</t>
  </si>
  <si>
    <t>@drfahrettinkoca Yalancısınız net. Bl ugrasiniz yok sadece yalan bilgilerle goz boyamaya calisiyorsunuz ama karsini… https://t.co/a0xrGqusBC</t>
  </si>
  <si>
    <t>1467607312919576585</t>
  </si>
  <si>
    <t>@drfahrettinkoca Havalar güzel gidi, ondandır dayı.</t>
  </si>
  <si>
    <t>1467607149916348417</t>
  </si>
  <si>
    <t>@drfahrettinkoca #PfizerMasaları bunlara kimler ortak olduysa hesabı sorulsun</t>
  </si>
  <si>
    <t>1467607044106694660</t>
  </si>
  <si>
    <t>@drfahrettinkoca Ev halkından 2 çocuk pozitif.Anne okulda çalışan hizmetli.çocukların testi pozitif çıkınca anneye… https://t.co/rGbc20Zj7O</t>
  </si>
  <si>
    <t>1467606721929568258</t>
  </si>
  <si>
    <t>@drfahrettinkoca Where is Imam Al-Mahdi? Are we not living in the times mentioned by Prophet Muhammad SAW? The time… https://t.co/fWodW74ye6</t>
  </si>
  <si>
    <t>1467606558934593536</t>
  </si>
  <si>
    <t>@drfahrettinkoca aşı olmak hastalığa yakalanmaya engel olmadığı için vaka sayısının düşmesine de bir katkısı olmaya… https://t.co/Gn5JFVfqVv</t>
  </si>
  <si>
    <t>1467606190813290502</t>
  </si>
  <si>
    <t>@drfahrettinkoca https://t.co/Wmk4WAWDg6</t>
  </si>
  <si>
    <t>1467605667330633738</t>
  </si>
  <si>
    <t>@drfahrettinkoca 1 2 3 4 yetmedi her 15 günde bir aşılayın insanları.Aşi olanlar covit oluyor. Asıli olanlar covit… https://t.co/bvhPds8VVD</t>
  </si>
  <si>
    <t>1467604889144602629</t>
  </si>
  <si>
    <t>@drfahrettinkoca Dolar 14.8 oldu bakanim atama bekliyoruz ne yapacagimizi sasirdik yapim atamamizi bu kadar insani… https://t.co/4U3RvlRXPD</t>
  </si>
  <si>
    <t>1467604480615190530</t>
  </si>
  <si>
    <t>@drfahrettinkoca https://t.co/2Wbx1wCB9C</t>
  </si>
  <si>
    <t>1467603014034853897</t>
  </si>
  <si>
    <t>@drfahrettinkoca Yazın aşılanma vardi vakalar artıyordu,  grip sezonu kış vakti  sayilar düşüyor   çelişki</t>
  </si>
  <si>
    <t>1467602953494216708</t>
  </si>
  <si>
    <t>@drfahrettinkoca Allah im ıslahı mümkün değilse Kahhar ismininle kahret</t>
  </si>
  <si>
    <t>1467602655388262400</t>
  </si>
  <si>
    <t>@drfahrettinkoca Bu durum aşıdan kaynaklimi yoksa kapanmalar olmadığı için mi... süreç normallesiyor olabilirmi...</t>
  </si>
  <si>
    <t>1467602615026528265</t>
  </si>
  <si>
    <t>@drfahrettinkoca Bakanım,okullarda devam zorunluluklarından dolayı kimse PCR yaptırmıyor.Herkes hasta ama kimin Cov… https://t.co/7G13v7t5E0</t>
  </si>
  <si>
    <t>1467601344206942211</t>
  </si>
  <si>
    <t>@drfahrettinkoca doğru diyosunuz bu başarı sadece hekimlere ait ötekileştirdiğiniz (diğer sağlık personeli) nin hiç… https://t.co/dp3oFULsxW</t>
  </si>
  <si>
    <t>1467601127118151690</t>
  </si>
  <si>
    <t>@drfahrettinkoca Tabi canım</t>
  </si>
  <si>
    <t>1467601019601313799</t>
  </si>
  <si>
    <t>@drfahrettinkoca Nolur bugün klavuzu açıklayın bakanım nolur dayanacak gücümüz kalmadı tükendik psikolojimiz yerle bir oldu bizide  düşünün</t>
  </si>
  <si>
    <t>1467600292049043460</t>
  </si>
  <si>
    <t>@drfahrettinkoca #BirlikteyizYasamaDokunuyoruz</t>
  </si>
  <si>
    <t>1467600252719046664</t>
  </si>
  <si>
    <t>1467599979783069707</t>
  </si>
  <si>
    <t>@drfahrettinkoca offf saka mi bu ya cildiriyorum</t>
  </si>
  <si>
    <t>1467599930751598615</t>
  </si>
  <si>
    <t>@drfahrettinkoca Sıvalama oranınız düştükçe yada insanlar bilinçlendikçe vakalar düşüyor. Sıvı işine girmeseydiniz… https://t.co/T7hAd3ajn7</t>
  </si>
  <si>
    <t>1467599804125655053</t>
  </si>
  <si>
    <t>@drfahrettinkoca Esila ölümcül SMA TİP1 Hastası Tedavi Ücreti 2.157.000$  Kampanyamız Valilik Onaylıdır  Valilik On… https://t.co/oS0bTBSu6K</t>
  </si>
  <si>
    <t>1467599381897654272</t>
  </si>
  <si>
    <t>@drfahrettinkoca 3 diyince inanıyoruz "5"</t>
  </si>
  <si>
    <t>1467598613236916224</t>
  </si>
  <si>
    <t>@drfahrettinkoca 20bin hasta normal mi kendinizi mi kandırıyorsunuz bizi mi kandırıyorsunuz bu vefatlar ne olacak a… https://t.co/mR6hPCKl7g</t>
  </si>
  <si>
    <t>1467598366548889608</t>
  </si>
  <si>
    <t>@drfahrettinkoca Hergün TV kanallarında basında sözde çakma profesör,doktorlar,bilim kurulu sizlere soruyorum covid… https://t.co/M1ttSXNPxD</t>
  </si>
  <si>
    <t>1467597300579160065</t>
  </si>
  <si>
    <t>@drfahrettinkoca Ötekileştirdiğiniz sağlık çalışanları için HEMŞİRELER ve TÜM SAĞLIK PROFESYONELLERİ SENDİKASI… https://t.co/g0aGMPNqkx</t>
  </si>
  <si>
    <t>1467597195574718466</t>
  </si>
  <si>
    <t>@drfahrettinkoca Baya gerçekçi puhahah</t>
  </si>
  <si>
    <t>1467597185143517197</t>
  </si>
  <si>
    <t>@drfahrettinkoca Bide ne hikmetse kabineden 1 gün önce vaka düşük kabineden sonra yukseliyor</t>
  </si>
  <si>
    <t>1467596808197181440</t>
  </si>
  <si>
    <t>@drfahrettinkoca Evet bunun için 15 dakika ile büyük uğraş veriyosunuz sizler katilsiniz bu kadar insan hakkını hel… https://t.co/28p3XTy99T</t>
  </si>
  <si>
    <t>1467596624419602432</t>
  </si>
  <si>
    <t>@drfahrettinkoca Sayın bakanım istifa etmek isteyen hekimin diploması iptal edilsin, milletin vergileriyle okuyup m… https://t.co/6J3aP2eokB</t>
  </si>
  <si>
    <t>1467596526444851217</t>
  </si>
  <si>
    <t>@drfahrettinkoca @drfahrettinkoca Sayın Koca vakalar 20 Binin Altına Sadece Tabloda Düşüyor ;)</t>
  </si>
  <si>
    <t>1467596053851557891</t>
  </si>
  <si>
    <t>@drfahrettinkoca Sayın bakan, okullarda kaydedeğer hiç bir önlem almadınız, 40 kişilik sınıflarda çocuklar üst üste… https://t.co/AP4pKUYgsQ</t>
  </si>
  <si>
    <t>1467596002836242438</t>
  </si>
  <si>
    <t>@drfahrettinkoca Pazar olduğu için. Yarın yine geçer</t>
  </si>
  <si>
    <t>1467595861907628035</t>
  </si>
  <si>
    <t>@drfahrettinkoca Yapmayın ya komik oluyorsunuz artık</t>
  </si>
  <si>
    <t>1467595696211640321</t>
  </si>
  <si>
    <t>@drfahrettinkoca Yalan. .</t>
  </si>
  <si>
    <t>1467595694169116674</t>
  </si>
  <si>
    <t>@drfahrettinkoca #Hekimlerhaklarınıistiyor ve siz hala harita boyuyorsunuz</t>
  </si>
  <si>
    <t>1467594972602019843</t>
  </si>
  <si>
    <t>@drfahrettinkoca #Hekimlerhaklarınıistiyor bakanım. Covide karşı savasan hekim bulamayacaksaniz hala bizi görmezden gelirseniz</t>
  </si>
  <si>
    <t>1467594736143941640</t>
  </si>
  <si>
    <t>@drfahrettinkoca Sanlıurfa En az aşılama oranına sahip ve Vaka sayısı yüzbinde sadece 37 ama Ordu %85 aşılı olmasın… https://t.co/5VYDDm76S9</t>
  </si>
  <si>
    <t>1467594554455040002</t>
  </si>
  <si>
    <t>@drfahrettinkoca Bugün bakanlığımızın yok saydığı, değersizleştirdiği, ötekileştirdiği o onurlu mesleklerimizin dip… https://t.co/gTWqybeqbB</t>
  </si>
  <si>
    <t>1467594336003108865</t>
  </si>
  <si>
    <t>@drfahrettinkoca @drfahrettinkoca @saglikbakanligi @BilimKurulu_ @ttborgtr aşılı olup ölenlerin otopsi yapılmıyormu… https://t.co/mZNu9PwpzS</t>
  </si>
  <si>
    <t>1467594309591617542</t>
  </si>
  <si>
    <t>@drfahrettinkoca KILAVUZ VARDI BİZİM Bİ AMA NOLDU?</t>
  </si>
  <si>
    <t>1467593820233687045</t>
  </si>
  <si>
    <t>@drfahrettinkoca sayın bakanım unutmayalım günlerden pazar 20 binin altına düşmesi normal birde hafta ici bakın vak… https://t.co/kWfHlhZ3nK</t>
  </si>
  <si>
    <t>1467593394075615234</t>
  </si>
  <si>
    <t>@drfahrettinkoca Sayın bakan ne oldu da 1 vaka varken kapatıp şimdi sayısı belirsiz hastalık ortada gezerken online… https://t.co/qo4rFu0B6x</t>
  </si>
  <si>
    <t>1467593136834854916</t>
  </si>
  <si>
    <t>@drfahrettinkoca https://t.co/x5NBsANQk6</t>
  </si>
  <si>
    <t>1467592974645305358</t>
  </si>
  <si>
    <t>@drfahrettinkoca Bunlar gerçek falan değil inanmıyoruz</t>
  </si>
  <si>
    <t>1467592318752546816</t>
  </si>
  <si>
    <t>@drfahrettinkoca tüm gelişmiş ülkelerde herkes hasta kimsenin dikkat etmedi bizim ülkede 20 binin altındamış şaka g… https://t.co/TugSSrpRqO</t>
  </si>
  <si>
    <t>1467589650005078026</t>
  </si>
  <si>
    <t>@drfahrettinkoca Bırakın bu palavraları. Kim inanıyor</t>
  </si>
  <si>
    <t>1467589531109105673</t>
  </si>
  <si>
    <t>@drfahrettinkoca Velilir ilk okulara elini kolunu sallayarak giriyor hiç tedbir yok hiç kimse denetleme yapmıyor sonumuzu bekliyoruz</t>
  </si>
  <si>
    <t>1467589088618422272</t>
  </si>
  <si>
    <t>@drfahrettinkoca sayın Bakanım böyle bir sağlık sistemi yok olamaz ben babannemi hiç bir hastaneye yatıramıyorum  t… https://t.co/6oI1hnSCGB</t>
  </si>
  <si>
    <t>1467588718504644611</t>
  </si>
  <si>
    <t>@drfahrettinkoca @saglikbakanligi Hekimler görevinin başında. Sağlık sen, hekimleri temsil etmiyor. https://t.co/BaswYUpY9B</t>
  </si>
  <si>
    <t>1467588606504144896</t>
  </si>
  <si>
    <t>@drfahrettinkoca Hafta sonları hep düşük</t>
  </si>
  <si>
    <t>1467588237099245587</t>
  </si>
  <si>
    <t>@drfahrettinkoca Yaz oraya 10 bin kim ne diyecek 😁</t>
  </si>
  <si>
    <t>1467587507885854733</t>
  </si>
  <si>
    <t>@drfahrettinkoca Sizin sızan belgelerden haberiniz yok sanırım.ahh tabiri var.amannn ne olacak ki 85 milyon çok fazla biraz insin değil mi</t>
  </si>
  <si>
    <t>1467587138464137227</t>
  </si>
  <si>
    <t>@drfahrettinkoca Sayın Bakan bu iki cani, hala doktor diploması, taşıyacak mı? Siz bu işin parçası değilseniz neden… https://t.co/L1Qy2Baaul</t>
  </si>
  <si>
    <t>1467587046873120768</t>
  </si>
  <si>
    <t>@drfahrettinkoca Online</t>
  </si>
  <si>
    <t>1467586876135682050</t>
  </si>
  <si>
    <t>@drfahrettinkoca https://t.co/pMsczjvxu8</t>
  </si>
  <si>
    <t>1467586329357737984</t>
  </si>
  <si>
    <t>@drfahrettinkoca https://t.co/2hOx0PjAxj</t>
  </si>
  <si>
    <t>1467586134582693895</t>
  </si>
  <si>
    <t>@drfahrettinkoca ✨ tAdBir ✨</t>
  </si>
  <si>
    <t>1467586048452861952</t>
  </si>
  <si>
    <t>@drfahrettinkoca Bu tabloyu inanmıyoruz .</t>
  </si>
  <si>
    <t>1467585191757684740</t>
  </si>
  <si>
    <t>@drfahrettinkoca Bizi mahvettiniz sırada kaç hayat var kaç çocuk kaç genç var vaka nasıl düşüyor çıkmayacakmı ortay… https://t.co/N572TJu51b</t>
  </si>
  <si>
    <t>1467585000275070985</t>
  </si>
  <si>
    <t>@drfahrettinkoca Biz çakmaları değil halkının yanında gerçek profesörleri dinliyoruz. Aşı şirketlerinin Fonlamışlar… https://t.co/S3GnDUOQAH</t>
  </si>
  <si>
    <t>1467584835137019905</t>
  </si>
  <si>
    <t>@drfahrettinkoca Yazık bilime ve verilere inanmıyorsunuz da, iki tane şarlatanın sosyal medyada reyting uğruna yayd… https://t.co/rIjnSC52hS</t>
  </si>
  <si>
    <t>1467584760100929537</t>
  </si>
  <si>
    <t>@drfahrettinkoca Bakanim artik haritayi yenileme zamani geldi Ülkenin %70 i aşılandi artik bu korkuyu bitirelim</t>
  </si>
  <si>
    <t>1467584566890270730</t>
  </si>
  <si>
    <t>@drfahrettinkoca #KabineZKusağıOnlineİstiyor https://t.co/gkyQNWHNUR</t>
  </si>
  <si>
    <t>1467584422971166726</t>
  </si>
  <si>
    <t>@drfahrettinkoca Fahrettin yawsagi doguru bilgelri ver insan ol lan</t>
  </si>
  <si>
    <t>1467584388057731077</t>
  </si>
  <si>
    <t>@drfahrettinkoca Dolar Türküsü'nü dinlediniz mi? Abone olarak destek verebilirsiniz.  https://t.co/WiTcOx1Pcj</t>
  </si>
  <si>
    <t>1467584369057570816</t>
  </si>
  <si>
    <t>@drfahrettinkoca Kasada para olmadığı açıkladığınız yalan vaka tablosundan o kadar net anlaşılıyor ki Kapanmamak kı… https://t.co/YElwVkyaqh</t>
  </si>
  <si>
    <t>1467584064953724931</t>
  </si>
  <si>
    <t>@drfahrettinkoca https://t.co/39r1ydpZnF</t>
  </si>
  <si>
    <t>1467583933441269771</t>
  </si>
  <si>
    <t>@drfahrettinkoca Gerçek vaka ve ölüm oranlarıni açıklayın 2 aydır vakalar ve hergün aynı bu kadar kişi mi test yaptırıyor gelde inan buna</t>
  </si>
  <si>
    <t>1467582994571567129</t>
  </si>
  <si>
    <t>1467582820231090186</t>
  </si>
  <si>
    <t>@drfahrettinkoca Eyyyyy almanya tadbirimizi kıskanma</t>
  </si>
  <si>
    <t>1467581779406213125</t>
  </si>
  <si>
    <t>@drfahrettinkoca Ölüme sebebiyet verdiklerini bilerek insanları sıvıladılar ve siz de destek oluyorsunuz..#PfizerMaşaları  hesap verecek</t>
  </si>
  <si>
    <t>1467581762100473859</t>
  </si>
  <si>
    <t>@drfahrettinkoca #kabinezkusağıonlineistiyor</t>
  </si>
  <si>
    <t>1467581646090162177</t>
  </si>
  <si>
    <t>@drfahrettinkoca Bakanım atama ne oldu klavuz neden gelmedi ?</t>
  </si>
  <si>
    <t>1467581526409945094</t>
  </si>
  <si>
    <t>@drfahrettinkoca Milletle alay mı ediyorsunuz? Vaka yoğunluğunun en çok olduğu yerler aşılamanın en yoğun olduğu ye… https://t.co/dOC7f38pp2</t>
  </si>
  <si>
    <t>1467581105238855682</t>
  </si>
  <si>
    <t>@drfahrettinkoca vakalarının en az 100 bin olduğunu herkez buluyo kandirmayin milleti</t>
  </si>
  <si>
    <t>1467580325563875330</t>
  </si>
  <si>
    <t>@drfahrettinkoca İfşalar geliyor tek tek sayın Bakan siz hala uyuyun.... https://t.co/kk8uoTzwQI</t>
  </si>
  <si>
    <t>1467579890765643779</t>
  </si>
  <si>
    <t>@drfahrettinkoca Ben aşı olduğum halde maskeyi hala takıyorum ama bir çok kişide nasıl olsa aşı olduk deyip maske t… https://t.co/9a8mJt5t7h</t>
  </si>
  <si>
    <t>1467579562468990991</t>
  </si>
  <si>
    <t>@drfahrettinkoca Aşısız insanlara tehdit ve farklı uygulamalar yaparak hastanelerde felç ölüm ve sakatlanmalara seb… https://t.co/teyXzoqSGv</t>
  </si>
  <si>
    <t>1467579376116150286</t>
  </si>
  <si>
    <t>@drfahrettinkoca Taviz vereli 2 sene oldu , taviz vermeyen arkadaşları üstümüze mi salacaksın. Alayı gelsin, bundan… https://t.co/8P1BkvI1ys</t>
  </si>
  <si>
    <t>1467579081994772482</t>
  </si>
  <si>
    <t>@drfahrettinkoca Usta pazar günü olduğu için düşüyor. Yarın buyur</t>
  </si>
  <si>
    <t>1467578134350471168</t>
  </si>
  <si>
    <t>@drfahrettinkoca Yaa yeter artık bi bırak bu milletin yakasını</t>
  </si>
  <si>
    <t>1467578039215267850</t>
  </si>
  <si>
    <t>@drfahrettinkoca Tadbirden taviz veririz ama TEDBİRDEN vermeyiz... O tedbir de senden, kurulundan ve yancılarından… https://t.co/66W4JvLwTa</t>
  </si>
  <si>
    <t>1467578009964224519</t>
  </si>
  <si>
    <t>@drfahrettinkoca Bunlarıda görseniz anlatsanız at gözlüğü takmışlar size gidiyorsunuz. Sahipleriniz mi? https://t.co/u1MPbTKZb8</t>
  </si>
  <si>
    <t>1467577621546512389</t>
  </si>
  <si>
    <t>@drfahrettinkoca Haydi yarın okullarda Omicron partisi başlasın.Igili varyantın hızla yayıldığı biliniyor ama bizde… https://t.co/GoZff4YiNn</t>
  </si>
  <si>
    <t>1467577411378237450</t>
  </si>
  <si>
    <t>@drfahrettinkoca #BirBiontechYalanıYaz dım ; fahrettin kuddusi hazretleri 😆 https://t.co/0EYfXyKrkL</t>
  </si>
  <si>
    <t>1467577406990999564</t>
  </si>
  <si>
    <t>@drfahrettinkoca Allah belasını veresiceler</t>
  </si>
  <si>
    <t>1467577401349746698</t>
  </si>
  <si>
    <t>@drfahrettinkoca Olmazsak ne olacak? Ondan haber verin! Hapse mi atacaksınız? Öldürecek misiniz ?</t>
  </si>
  <si>
    <t>1467577274040045568</t>
  </si>
  <si>
    <t>@drfahrettinkoca Doğru rakamları yayınlar mısınız acaba</t>
  </si>
  <si>
    <t>1467576011516563457</t>
  </si>
  <si>
    <t>@drfahrettinkoca Geçen hafta hasta oldum haatahaneye gitsem beni entube ederdiniz hiç bir şey yapmadım 3 günde iglestim</t>
  </si>
  <si>
    <t>1467575738744426498</t>
  </si>
  <si>
    <t>@drfahrettinkoca Eğitim en öncelikli çizgimiz denilerek okullar açıldı sanki hiç salgın yok gibi 2019 öncesi şartla… https://t.co/6meSprdJ0c</t>
  </si>
  <si>
    <t>1467575623233294344</t>
  </si>
  <si>
    <t>@drfahrettinkoca OMİCRON varyantı yüzünden ülkeler sınırları kapatıyor, tedbir ve önlem alıyor, sokağa çıkma yasağı… https://t.co/7r9o65xaqx</t>
  </si>
  <si>
    <t>1467575474478067714</t>
  </si>
  <si>
    <t>@drfahrettinkoca Yapay zeka konuştu yine😂😂😂</t>
  </si>
  <si>
    <t>1467574916375527425</t>
  </si>
  <si>
    <t>@drfahrettinkoca yeme bizi</t>
  </si>
  <si>
    <t>1467574888085000193</t>
  </si>
  <si>
    <t>@drfahrettinkoca Kocaman adam utanmadan yalan söylüyor, yazık çok yazık..</t>
  </si>
  <si>
    <t>1467574564171436040</t>
  </si>
  <si>
    <t>@drfahrettinkoca Hemen aşı olalım. Kalpten gidelim. Canımızı sokakta bulmuşuz zaten. Pfizer bile aşısını bu kadar s… https://t.co/I4DYeNp3gQ</t>
  </si>
  <si>
    <t>1467574380662247431</t>
  </si>
  <si>
    <t>@drfahrettinkoca AŞI lari kaldir bak vakalar nasil düşüyor</t>
  </si>
  <si>
    <t>1467573989455319040</t>
  </si>
  <si>
    <t>@drfahrettinkoca Aşı işi yalan dolan</t>
  </si>
  <si>
    <t>1467573183918358541</t>
  </si>
  <si>
    <t>@drfahrettinkoca Beyler bayanlar uyanin. Saglik yada bilim ne derseniz. Kuresel bir terorist grup var. Ulkelere boy… https://t.co/ik8rLKN1ZW</t>
  </si>
  <si>
    <t>1467573156831727616</t>
  </si>
  <si>
    <t>@drfahrettinkoca Ben inandim sahsen</t>
  </si>
  <si>
    <t>1467573117287604224</t>
  </si>
  <si>
    <t>@drfahrettinkoca Bugün pazar diyedir o yarın 20 binlerle devam ederiz</t>
  </si>
  <si>
    <t>1467573068629487624</t>
  </si>
  <si>
    <t>@drfahrettinkoca Yalancılar….. 🤮🤮🤮🤮🤮🤮🤮</t>
  </si>
  <si>
    <t>1467572940464087044</t>
  </si>
  <si>
    <t>@drfahrettinkoca Yerin dibine girsin   Asınız  adınız sandınız söhretiniz yediniz bitirdiniz ülkeyi   Olmuyo yapamı… https://t.co/zPjO8Orypy</t>
  </si>
  <si>
    <t>1467572909635948555</t>
  </si>
  <si>
    <t>@drfahrettinkoca Yabancı ülkeler kıskanıyor değil mi evet çok kıskanıyor çünkü onların böyle bir sağlık bakanı yok… https://t.co/4J6xdwnGoL</t>
  </si>
  <si>
    <t>1467572844192219143</t>
  </si>
  <si>
    <t>@drfahrettinkoca Siz inandıysanız hadi bizde inanalım</t>
  </si>
  <si>
    <t>1467572710561746947</t>
  </si>
  <si>
    <t>@drfahrettinkoca Sayın bakanım.Vakaların bu seviyelerde ama başka bi virüs yada farkedilmeyen bi Vartanyan olması s… https://t.co/ios0ZoADgs</t>
  </si>
  <si>
    <t>1467572704819695634</t>
  </si>
  <si>
    <t>@drfahrettinkoca Bakan bey başarılı değilsiniz şimdiye kadar bitmeyen şimdiden sonra mı biter Allah aşkına</t>
  </si>
  <si>
    <t>1467572603288231945</t>
  </si>
  <si>
    <t>@drfahrettinkoca 7 / 24  saat Twitter de tiwit atmak için mi maaş alıyorsunuz ? Aşı aşı aşı Televizyon da haberler… https://t.co/xFXSfdTCra</t>
  </si>
  <si>
    <t>1467572592999649282</t>
  </si>
  <si>
    <t>@drfahrettinkoca Kula kul olup alçalma Gel tövbe et müslüman ol</t>
  </si>
  <si>
    <t>1467572568316166149</t>
  </si>
  <si>
    <t>@drfahrettinkoca Hem miting yapın hemde "tadbir" deyin. Yok öyle dünya</t>
  </si>
  <si>
    <t>1467572566336450564</t>
  </si>
  <si>
    <t>@drfahrettinkoca Siz bizlerle çocuklarla gençlerle daha nekadar dalga geçeceksiniz siz bir an önce istifa edin Türk… https://t.co/MsO35yxgc8</t>
  </si>
  <si>
    <t>1467572342339559424</t>
  </si>
  <si>
    <t>@drfahrettinkoca Matematik bilen insanlar. Bu sacmaligi daha cabuk farketmeliydi. Ama cogu populizmin uykusunda</t>
  </si>
  <si>
    <t>1467571918496833537</t>
  </si>
  <si>
    <t>@drfahrettinkoca Sayın bakanım bizde güç kaldı mı hiç merak ediyor musunuz? Mitivasyonumuzu düşürecek bir sürü şey… https://t.co/uH1eKxRUwa</t>
  </si>
  <si>
    <t>1467571767216640009</t>
  </si>
  <si>
    <t>@drfahrettinkoca Lan bari beli etmeden yapin boku çıkmaya başladı bu işin ya hakinla yap yada defol git</t>
  </si>
  <si>
    <t>1467571703169622025</t>
  </si>
  <si>
    <t>@drfahrettinkoca Pfizer ın abd de görülen dava dosyaları yayınlandı... Türkiye de de insanları denek olarak kullana… https://t.co/1TyJGfGTKV</t>
  </si>
  <si>
    <t>1467571472768147456</t>
  </si>
  <si>
    <t>@drfahrettinkoca :D</t>
  </si>
  <si>
    <t>1467571355038142471</t>
  </si>
  <si>
    <t>1467571214738759681</t>
  </si>
  <si>
    <t>@drfahrettinkoca Vatana ve insanlığa ihanet https://t.co/f7797J9PBN</t>
  </si>
  <si>
    <t>1467570972219912195</t>
  </si>
  <si>
    <t>@drfahrettinkoca Vaka sayısı düşüyor düşmesine ölüm sayısı yüksek ölüm sayısı.! 2 sene arasındaki fark aşılı dönemd… https://t.co/KMWlRjeOIl</t>
  </si>
  <si>
    <t>1467570862303887365</t>
  </si>
  <si>
    <t>@drfahrettinkoca https://t.co/mcQP2jSDuI</t>
  </si>
  <si>
    <t>1467570847196004366</t>
  </si>
  <si>
    <t>@drfahrettinkoca Her varyanta niye aynı aşı? Bunlar etkisizse niye devam? Amaç ne sayın bakan?</t>
  </si>
  <si>
    <t>1467570789570555904</t>
  </si>
  <si>
    <t>@drfahrettinkoca https://t.co/P5LzJjRRXz</t>
  </si>
  <si>
    <t>1467570755844120586</t>
  </si>
  <si>
    <t>@drfahrettinkoca 5 ARALIK 2020 AŞI YOK! TEST SAYISI:178.903 VAKA SAYISI:31.896 HASTA SAYISI:6.128 ÖLÜM:196  5 ARALI… https://t.co/TajoU0XAB6</t>
  </si>
  <si>
    <t>1467570470035902468</t>
  </si>
  <si>
    <t>@drfahrettinkoca Yalan tablosu...</t>
  </si>
  <si>
    <t>1467569828563193857</t>
  </si>
  <si>
    <t>@drfahrettinkoca Uğraşlar bir mitingle son buluyor</t>
  </si>
  <si>
    <t>1467569195789529094</t>
  </si>
  <si>
    <t>@drfahrettinkoca Hafta sonu vaka sayıları düşüyor, birkaç aydır bu böyle. Kış aylarının gelmesi, yeni varyant gibi… https://t.co/OxqBJrDyyX</t>
  </si>
  <si>
    <t>1467568819585626132</t>
  </si>
  <si>
    <t>@drfahrettinkoca Sayın Fahrettin bey #HepimiziÖlümeSürüklüyorsunuz</t>
  </si>
  <si>
    <t>1467568744029372426</t>
  </si>
  <si>
    <t>@drfahrettinkoca Hadi atıyorsunuz da bu kadar da olmaz yav inanan bile inanmaz artık  #KabineZKusağıOnlineİstiyor</t>
  </si>
  <si>
    <t>1467568729659695109</t>
  </si>
  <si>
    <t>@drfahrettinkoca Uğraşan bir kişi aranıyor,etrafıma bakıyorum veee yok....</t>
  </si>
  <si>
    <t>1467568675599306759</t>
  </si>
  <si>
    <t>@drfahrettinkoca Kimse teste gitmiyomu ? Vah vahh</t>
  </si>
  <si>
    <t>1467568625770975236</t>
  </si>
  <si>
    <t>@drfahrettinkoca Hükümet yavaş yavaş plandemi yalanindan çekilmeye çalışıyor. Kur atakları da biraz küresel çetenin… https://t.co/rD1bnmmIEM</t>
  </si>
  <si>
    <t>1467568527251058691</t>
  </si>
  <si>
    <t>@drfahrettinkoca Evet fahrettinciğim tabi canim öyledir he canim he</t>
  </si>
  <si>
    <t>1467568372292464647</t>
  </si>
  <si>
    <t>@drfahrettinkoca Bekliyorduk 20 binin altına düşürmenizi. Artık anlıyoruz #kabinezkusağıonlineistiyor</t>
  </si>
  <si>
    <t>1467568268529573894</t>
  </si>
  <si>
    <t>@drfahrettinkoca bayağı DÜŞÜRMÜŞSÜNÜZ bakanım. Yemiyoruz artık bunları gerçek vakaları yazın oraya.</t>
  </si>
  <si>
    <t>1467568261235716102</t>
  </si>
  <si>
    <t>@drfahrettinkoca Büyük uğraşlar derken neyi kastediyoruz tam olarak? #Aralık</t>
  </si>
  <si>
    <t>1467568230562738187</t>
  </si>
  <si>
    <t>@drfahrettinkoca Bence   hemen varyant görülen ülkelerle girişleri kapamalıyız ve tedbirlere devam etmeliyiz! Güney… https://t.co/Sjpo3t2IWL</t>
  </si>
  <si>
    <t>1467568182252744707</t>
  </si>
  <si>
    <t>@drfahrettinkoca 🙄🙄</t>
  </si>
  <si>
    <t>1467568181141192711</t>
  </si>
  <si>
    <t>@drfahrettinkoca Bari sıfır kişi yapın olsun bitsin ya #kabinezkusağıonlineistiyor</t>
  </si>
  <si>
    <t>1467568142964641804</t>
  </si>
  <si>
    <t>@drfahrettinkoca Eğitim en öncelikli çizgimiz denilerek okullar açıldı sanki hiç salgın yok gibi 2019 öncesi şartla… https://t.co/Eo3Spv6SL1</t>
  </si>
  <si>
    <t>1467568131983949831</t>
  </si>
  <si>
    <t>@drfahrettinkoca Düşmüyor düşürüyorsunuz  #kabinezkuşağıonlineistiyor</t>
  </si>
  <si>
    <t>1467568033497554944</t>
  </si>
  <si>
    <t>@drfahrettinkoca Bunu, Bebkler üzerinde ašï denenidk diyeni Bilim kurulunda tutup, neden siyasi demeç veriyorsunuz… https://t.co/zwgEsUJA4O</t>
  </si>
  <si>
    <t>1467567656446349325</t>
  </si>
  <si>
    <t>@drfahrettinkoca Ziyaaaaaaa</t>
  </si>
  <si>
    <t>1467567315696951305</t>
  </si>
  <si>
    <t>@drfahrettinkoca 🤔🤔🤔🤔🤔</t>
  </si>
  <si>
    <t>1467567262899097601</t>
  </si>
  <si>
    <t>@drfahrettinkoca TADBİR ne ola acaba? Yeni bir corona mücadele biçimi galiba.......Eğer biz virüsü görmezden gelirs… https://t.co/KdURdyyYj9</t>
  </si>
  <si>
    <t>1467566976079994884</t>
  </si>
  <si>
    <t>@drfahrettinkoca Başka ülkeyle karıştırılma ihtimali bile daha inandırıcı.</t>
  </si>
  <si>
    <t>1467566925404422156</t>
  </si>
  <si>
    <t>@drfahrettinkoca 1 günde vakası düşen tek ülke biziz</t>
  </si>
  <si>
    <t>1467566840201289734</t>
  </si>
  <si>
    <t>@drfahrettinkoca Üniversiteler online.</t>
  </si>
  <si>
    <t>1467566774312964096</t>
  </si>
  <si>
    <t>@drfahrettinkoca Bunu yapan doktorlar suç işliyor sizde buna göz yumuyorsunuz https://t.co/T7ItdxwO3J</t>
  </si>
  <si>
    <t>1467566772228349955</t>
  </si>
  <si>
    <t>@drfahrettinkoca https://t.co/e94TRJ9ZuE Kçete plandemi a..ş..ı soykırımına karşı çıkan değerli avukatım bu belge ö… https://t.co/B7f4LnzLxL</t>
  </si>
  <si>
    <t>1467566752737509377</t>
  </si>
  <si>
    <t>@drfahrettinkoca Bakan  @drfahrettinkoca Fahrettin Koca'nın bizi gördüğü yok Bakan Mahmut Özer'in bizi gördüğü yok… https://t.co/f8cfntvlJo</t>
  </si>
  <si>
    <t>1467566750539649027</t>
  </si>
  <si>
    <t>@drfahrettinkoca 😂🤣</t>
  </si>
  <si>
    <t>1467566481407983617</t>
  </si>
  <si>
    <t>@drfahrettinkoca Vaka sayilarininda enflasyon rakamlarından farki yok https://t.co/8uGmzwSkCL</t>
  </si>
  <si>
    <t>1467566360058343434</t>
  </si>
  <si>
    <t>@drfahrettinkoca Yalan tablosu.</t>
  </si>
  <si>
    <t>1467566319168110605</t>
  </si>
  <si>
    <t>@drfahrettinkoca Her kabine toplantısı olacağı zaman düşük oluyor nedense şaka gibisin az salla inanalım</t>
  </si>
  <si>
    <t>1467566211491942407</t>
  </si>
  <si>
    <t>@drfahrettinkoca Sağlığımız sizin gibilere kaldıysa omicrona gerek yok sizin gibilerin kayıtsızlığı yeter.  #drfahrettinkocaistifa</t>
  </si>
  <si>
    <t>1467566123096891395</t>
  </si>
  <si>
    <t>@drfahrettinkoca 😅😂🤣</t>
  </si>
  <si>
    <t>1467566031388524554</t>
  </si>
  <si>
    <t>@drfahrettinkoca Şu vakalar en az 60 bin vardır. #kabinezkusağıonlineistiyor</t>
  </si>
  <si>
    <t>1467566008806301702</t>
  </si>
  <si>
    <t>@drfahrettinkoca Bu rakamlar hep planlı işliyor</t>
  </si>
  <si>
    <t>1467565936945291265</t>
  </si>
  <si>
    <t>@drfahrettinkoca Sadece verdiğiniz 40 bin atamanın kılavuzunu istiyoruz @drfahrettinkoca @RTErdogan  #FKUyumaNerede40BinAtama</t>
  </si>
  <si>
    <t>1467565896667480067</t>
  </si>
  <si>
    <t>1467565830103879688</t>
  </si>
  <si>
    <t>@drfahrettinkoca Artık baydı yalanlarınız.. Sürekli uydurduğunuz yalanın, üstünü örme çabasıyla, yeni varyantlar uy… https://t.co/S6syK0FNnW</t>
  </si>
  <si>
    <t>1467565707231731723</t>
  </si>
  <si>
    <t>@drfahrettinkoca Artık oyalanmak için vakit kalmadı kılavuzun bu hafta gelmesi şart @drfahrettinkoca  #FKUyumaNerede40BinAtama</t>
  </si>
  <si>
    <t>1467565703461064708</t>
  </si>
  <si>
    <t>@drfahrettinkoca -:Söz verilip yayınlanmayan sağlık bakanlığı kılavuzunu bekliyoruz. @drfahrettinkoca #FKUyumaNerede40BinAtama</t>
  </si>
  <si>
    <t>1467565607260504064</t>
  </si>
  <si>
    <t>@drfahrettinkoca @saglikbakanligi O sıvıların bir çok hastalığa hatta ölüme sebebiyet verdiği pfizerin Teksas’ta ka… https://t.co/TPUxeEw6FY</t>
  </si>
  <si>
    <t>1467565571994800140</t>
  </si>
  <si>
    <t>1467565521621114890</t>
  </si>
  <si>
    <t>@drfahrettinkoca Tüm Avrupa'da vaka sayıları artarken Türkiye'de düşüyor. Çok ilginç.  #kabinezkusağıonlineistiyor</t>
  </si>
  <si>
    <t>1467565499609497601</t>
  </si>
  <si>
    <t>@drfahrettinkoca Turizm sezonuna hazirlik basladi mi</t>
  </si>
  <si>
    <t>1467565413441712128</t>
  </si>
  <si>
    <t>@drfahrettinkoca Ölüm sayıları aynı,umurunuzda bile değil</t>
  </si>
  <si>
    <t>1467565276657078282</t>
  </si>
  <si>
    <t>@drfahrettinkoca @atilla_yayla Hani aşılama oranı %70 I geçince salgın bitecekti? Milleti salak yerine koyduğun yet… https://t.co/pmo6gfwOpe</t>
  </si>
  <si>
    <t>1467565073707241479</t>
  </si>
  <si>
    <t>@drfahrettinkoca 20 binin üzerine çıksa da bisey değişmiyorki. Ne önlem ne tedbir ne de kısıtlama . Artık aşı var d… https://t.co/mDhWOzw1Mc</t>
  </si>
  <si>
    <t>1467564912000090123</t>
  </si>
  <si>
    <t>@drfahrettinkoca Kabine öncesi ısmarlama sekilde vakaları dusurelim,göze batmasın. Omicron ülkeyi ele geçirince mı… https://t.co/UGwggLMlSU</t>
  </si>
  <si>
    <t>1467564904878071810</t>
  </si>
  <si>
    <t>@drfahrettinkoca Sayin bakan doğru verileri paylasin ülkemizde OMICRON varyanti var ve suan bir cok kişide covid 19… https://t.co/tWAsXmNF0a</t>
  </si>
  <si>
    <t>1467564858724036609</t>
  </si>
  <si>
    <t>@drfahrettinkoca Bütün kafeler ,kahveler ,avm ler maskesiz dolu bakanım ... Herkes çok özverili ,nazar değmesin❗</t>
  </si>
  <si>
    <t>1467564697956274180</t>
  </si>
  <si>
    <t>@drfahrettinkoca Peki atama bekleyen sağlık çalışanları ne olacak?İvedilikle kılavuzun yayınlanmasını istiyoruz.</t>
  </si>
  <si>
    <t>1467564661986017286</t>
  </si>
  <si>
    <t>@drfahrettinkoca Sayın Bakanım; hergün siz aşı uyarısı yapmaktan bizde sosyal mesafenin asla sağlanamadığı kapalı o… https://t.co/SSvMKdZ9to</t>
  </si>
  <si>
    <t>1467564529538244622</t>
  </si>
  <si>
    <t>@drfahrettinkoca Ne özveri ne özveri dışarda maske takan bile yok okullar desen maşallahı var gerçekten bu  tablanu… https://t.co/nKNS8sRmHo</t>
  </si>
  <si>
    <t>1467564156366774285</t>
  </si>
  <si>
    <t>@drfahrettinkoca EYWGWGWHWHWHWHWHWHWH</t>
  </si>
  <si>
    <t>1467563972450832393</t>
  </si>
  <si>
    <t>@drfahrettinkoca Tokat il aşılanma oranının virgülden sonrası gözükmüyor. Grafik tasarımcı beceriksiz sanırım.… https://t.co/2NUCeOIkku</t>
  </si>
  <si>
    <t>1467563835800399875</t>
  </si>
  <si>
    <t>@drfahrettinkoca Sayın bakan doktorlar neden sürekli istifa edip gidiyor doktorsuz kalacağız korkusu var bende artık</t>
  </si>
  <si>
    <t>1467563724236070930</t>
  </si>
  <si>
    <t>@drfahrettinkoca Tadbir derken</t>
  </si>
  <si>
    <t>1467563557176987649</t>
  </si>
  <si>
    <t>@drfahrettinkoca ARTIK COVİD DEĞİL GRİP DEYİP, TEST SAÇMALIĞINI DA BIRAKTIĞIN GÜN HER ŞEY BİTER. DSÖ REZALETİN BAŞ SEBEBİ.</t>
  </si>
  <si>
    <t>1467563370169749507</t>
  </si>
  <si>
    <t>@drfahrettinkoca Yıl başında 3 günlük sokağa çıkma yasağı ilan edildi</t>
  </si>
  <si>
    <t>1467563354554351628</t>
  </si>
  <si>
    <t>@drfahrettinkoca https://t.co/QueV0yaigL</t>
  </si>
  <si>
    <t>1467563201155981315</t>
  </si>
  <si>
    <t>@drfahrettinkoca Herkes dikkat etse bu virüs bian önce hemencecik gider ülkemizden ama kimse dikkat etmiyor</t>
  </si>
  <si>
    <t>1467563179962257409</t>
  </si>
  <si>
    <t>@drfahrettinkoca Ne özverisi ne uğraşı gerçek vaka sayılarını vermediğini nenem bile biliyor</t>
  </si>
  <si>
    <t>1467563170000736260</t>
  </si>
  <si>
    <t>@drfahrettinkoca Ya Allah aşkına hani hedeflenen 5000 bin vaka sayısı ne oldu acilen kısıtlamaları geri getirin baş… https://t.co/eOT0ojGydo</t>
  </si>
  <si>
    <t>1467563031714578440</t>
  </si>
  <si>
    <t>@drfahrettinkoca Ne yapıyoruz tam olarak ?</t>
  </si>
  <si>
    <t>1467563027650256898</t>
  </si>
  <si>
    <t>@drfahrettinkoca Sayın bakanım altın kelebek ödülleri programında ne maske ne mesafe ünlü olmaları kurallı çiğnemel… https://t.co/ohU5XcKBqW</t>
  </si>
  <si>
    <t>1467563006380982277</t>
  </si>
  <si>
    <t>@drfahrettinkoca Yakinda dsö biraz baski yapica gercek veriler cikar aman neyse</t>
  </si>
  <si>
    <t>1467562968590307331</t>
  </si>
  <si>
    <t>@drfahrettinkoca Gene günlük rutin şaka</t>
  </si>
  <si>
    <t>1467562808778924033</t>
  </si>
  <si>
    <t>@drfahrettinkoca 6 eylulden beri bi tik oynamadi vakalar karsinizda beyinsiz biri bile olsa anlar eifnsdjjwbdhebdje</t>
  </si>
  <si>
    <t>1467562616990191621</t>
  </si>
  <si>
    <t>@drfahrettinkoca https://t.co/eLtfeT8A0q</t>
  </si>
  <si>
    <t>1467562380481765377</t>
  </si>
  <si>
    <t>@drfahrettinkoca 1 yıldır atanamıyoruz YEMİNİME KUR'AN #SAGLİGAATAMA</t>
  </si>
  <si>
    <t>1467562294141988865</t>
  </si>
  <si>
    <t>@drfahrettinkoca Bizi oyalayıp durmayın hakkımız olan atamayı verin @drfahrettinkoca    #FKUyumaNerede40BinAtama</t>
  </si>
  <si>
    <t>1467562276282585096</t>
  </si>
  <si>
    <t>@drfahrettinkoca https://t.co/4i3q7C14Jk</t>
  </si>
  <si>
    <t>1467562126311137285</t>
  </si>
  <si>
    <t>@drfahrettinkoca Virüs bitmedi daha ama insanlar yokmuş gibi davranıyo insanların bilinçlenmesi lazım</t>
  </si>
  <si>
    <t>1467562124817928193</t>
  </si>
  <si>
    <t>@drfahrettinkoca Bebeklere aşı yapıp ortada gezen ve pfizerdan ödül alan doktorumsulari meslekten men etmedigin sür… https://t.co/XpmEMBcpef</t>
  </si>
  <si>
    <t>1467562098431606786</t>
  </si>
  <si>
    <t>@drfahrettinkoca 19 binlere kadar indiyse(!) ben maske işini falan bırakıyorum</t>
  </si>
  <si>
    <t>1467562091825532929</t>
  </si>
  <si>
    <t>@drfahrettinkoca https://t.co/Di4tk1AtAI</t>
  </si>
  <si>
    <t>1467561913194369028</t>
  </si>
  <si>
    <t>@drfahrettinkoca adam dalga geçiyor gerçi uyuyan bir halkla kim dalga geçmez ki helal Fahrettin koca 😂🤩</t>
  </si>
  <si>
    <t>1467561803022581771</t>
  </si>
  <si>
    <t>@drfahrettinkoca vaka sayılarını düşüremediniz. okullarda riski azaltamadınız. başarısızsınız.  #kabinezkuşağıonlineistiyor</t>
  </si>
  <si>
    <t>1467561426164371462</t>
  </si>
  <si>
    <t>@drfahrettinkoca hani sosyal mesafe hani maske? aldığınız tedbirler bunlar mı. burdan çıkan öğrenciler yarın okulla… https://t.co/yBUyUF4sLo</t>
  </si>
  <si>
    <t>1467561346208354304</t>
  </si>
  <si>
    <t>@drfahrettinkoca Günlük yalan tablosu</t>
  </si>
  <si>
    <t>1467561312918159369</t>
  </si>
  <si>
    <t>@drfahrettinkoca ne zaman gerçeklerden bahsedeceksiniz</t>
  </si>
  <si>
    <t>1467561243871485954</t>
  </si>
  <si>
    <t>@drfahrettinkoca Artik yarin 6k ya iner herhalde</t>
  </si>
  <si>
    <t>1467561033422323715</t>
  </si>
  <si>
    <t>@drfahrettinkoca Aşı olma urfa lütfen allah rozası için olma Sayın bakan değişik değişik haritalarla insanları aşıl… https://t.co/f2wEArpdfv</t>
  </si>
  <si>
    <t>1467561011595075590</t>
  </si>
  <si>
    <t>@drfahrettinkoca Vallahi ne çok emek ile dusurduk vaka sayılarını.Allah aşkına ne yaptınız?Emir mi aldınız dusur di… https://t.co/Dg6D9sKhGq</t>
  </si>
  <si>
    <t>1467560964530876417</t>
  </si>
  <si>
    <t>@drfahrettinkoca Bu sayı araştırılmalı her  yanımız pozitif vaka</t>
  </si>
  <si>
    <t>1467560827372855302</t>
  </si>
  <si>
    <t>@drfahrettinkoca Yarın hastahaneler açıkmı biri bişey desin</t>
  </si>
  <si>
    <t>1467560821274386434</t>
  </si>
  <si>
    <t>@drfahrettinkoca Tamam tadvirlenden taviz vermeyiz😂😂😂😂</t>
  </si>
  <si>
    <t>1467560738193653765</t>
  </si>
  <si>
    <t>@drfahrettinkoca Why are mask not worn in schools and university in the uk? In turkey, mask are worn in schools.</t>
  </si>
  <si>
    <t>1467560681851564046</t>
  </si>
  <si>
    <t>@drfahrettinkoca Aşı olduğum günden beri kendimi iyi hissetmiyorum.</t>
  </si>
  <si>
    <t>1467560285724680210</t>
  </si>
  <si>
    <t>@drfahrettinkoca Komik</t>
  </si>
  <si>
    <t>1467560204057432065</t>
  </si>
  <si>
    <t>1467560141704867841</t>
  </si>
  <si>
    <t>@drfahrettinkoca Bu nesil sizi, sağlıkçı yılı denilen dönemde 1 yıl boyunca atama yapmayan Sağlık bakanı olarak hat… https://t.co/fO6OWVDqEE</t>
  </si>
  <si>
    <t>1467560047953731589</t>
  </si>
  <si>
    <t>@drfahrettinkoca Toplantini yuzyuze yap o zaman</t>
  </si>
  <si>
    <t>1467559743464124426</t>
  </si>
  <si>
    <t>@drfahrettinkoca test sayısını 400bine çıkarırsak vaka sayısı da ARTAR, değil mi sayın bakan??</t>
  </si>
  <si>
    <t>1467559734593175563</t>
  </si>
  <si>
    <t>@drfahrettinkoca Abi saka misiniz butun dunya panikte nasil dusebilir gercekten aklimalmiyor</t>
  </si>
  <si>
    <t>1467559601151303683</t>
  </si>
  <si>
    <t>@drfahrettinkoca @saglikbakanligi Tedbir yazalım lütfen.😉😊</t>
  </si>
  <si>
    <t>1467559383051689990</t>
  </si>
  <si>
    <t>@drfahrettinkoca Sözde aşıyı olunca da sözde pozitif vaka olma ihtimali yok mu? Bu sözde salgın ve sözde argümanlar… https://t.co/RfgY4ego2P</t>
  </si>
  <si>
    <t>1467559259940470788</t>
  </si>
  <si>
    <t>@drfahrettinkoca Günün yalan tablosu vaow</t>
  </si>
  <si>
    <t>1467559224179896326</t>
  </si>
  <si>
    <t>@drfahrettinkoca Kimse uğraş vermiyor bence. Düşüş varsa aşı sayesinde olabilir belki</t>
  </si>
  <si>
    <t>1467559100825358340</t>
  </si>
  <si>
    <t>@drfahrettinkoca HAFTA SONU BAKANIM OKULLAR YOK BAKANIM TABIKI 20K ALTINA DÜŞER YARIN 22K ÜSTÜ GELECEK NET.</t>
  </si>
  <si>
    <t>1467558883216482305</t>
  </si>
  <si>
    <t>@drfahrettinkoca https://t.co/9MiWFgWeUZ</t>
  </si>
  <si>
    <t>1467558852182917130</t>
  </si>
  <si>
    <t>@drfahrettinkoca PCR testlerini yapmayın, güvenilirliği olmayan aşıları zorlamayın, bukağıları(bezleri) insanların… https://t.co/IVIvZ41Xh2</t>
  </si>
  <si>
    <t>1467558750508797960</t>
  </si>
  <si>
    <t>@drfahrettinkoca Aşı bakanı hemen aşılarımızı olalım diyor sanıyorum ki elimde kalacak diye korkuyor❗</t>
  </si>
  <si>
    <t>1467558746654388226</t>
  </si>
  <si>
    <t>@drfahrettinkoca 🇹🇷🇹🇷🇹🇷🇹🇷🌍🌍🌍👏👏👏🤲🤲🤲🤲</t>
  </si>
  <si>
    <t>1467558670393294849</t>
  </si>
  <si>
    <t>@drfahrettinkoca İnsanlar gözünü açıp aşı denen zehri olmamaya başladı ve vakalar düşmeye başladı.</t>
  </si>
  <si>
    <t>1467558350569279497</t>
  </si>
  <si>
    <t>@drfahrettinkoca https://t.co/vsKp8JeH3i</t>
  </si>
  <si>
    <t>1467558194964799499</t>
  </si>
  <si>
    <t>1467558062051495944</t>
  </si>
  <si>
    <t>@drfahrettinkoca Omicron varyantı girdiğinde bakalım nasıl olacak acaba? Tedbir yok birşey yok.? #Kabinezkusagionlineistiyor</t>
  </si>
  <si>
    <t>1467557562115633153</t>
  </si>
  <si>
    <t>@drfahrettinkoca Yaw he he özveriymis uğraşmış masal anlatma</t>
  </si>
  <si>
    <t>1467557442741538824</t>
  </si>
  <si>
    <t>@drfahrettinkoca Sıfır test sıfır vaka…</t>
  </si>
  <si>
    <t>1467557435598684172</t>
  </si>
  <si>
    <t>@drfahrettinkoca #Kabinezkusagionlineistiyor YETER ARTIK DUYUN BİZİ YETERR❗️❗️</t>
  </si>
  <si>
    <t>1467557152520904709</t>
  </si>
  <si>
    <t>@drfahrettinkoca Bir açıklama yapacak mısınız #hekimlerhaklariniistiyor</t>
  </si>
  <si>
    <t>1467557097097281546</t>
  </si>
  <si>
    <t>@drfahrettinkoca At yalanını …..</t>
  </si>
  <si>
    <t>1467556900870963205</t>
  </si>
  <si>
    <t>@drfahrettinkoca Tamam ikna oldum hemen gidip oluyorum</t>
  </si>
  <si>
    <t>1467556800413290502</t>
  </si>
  <si>
    <t>@drfahrettinkoca Bu vaka sadece İstanbul’da çıkıyordur eminim  #kabinezkuşağıonlineistiypr</t>
  </si>
  <si>
    <t>1467556746898116608</t>
  </si>
  <si>
    <t>@drfahrettinkoca Daha 20 bin üzerine çıkmaz vaka kışı böyle geçiririz bu Almanya aşıyı bulan adamlar 70 bin Avrupad… https://t.co/B0FfTxO5cI</t>
  </si>
  <si>
    <t>1467556374049660930</t>
  </si>
  <si>
    <t>@drfahrettinkoca Kılavuz Kılavuz Kılavuz Kılavuz Kılavuz Kılavuz Kılavuz Kılavuz Kılavuz Kılavuz Kılavuz Kılavuz Kı… https://t.co/xCFCoGKNSf</t>
  </si>
  <si>
    <t>1467556308379480071</t>
  </si>
  <si>
    <t>@drfahrettinkoca 10 haftadır aşı arttıkça vaka artıyor. Rakamlar size ait.En az aşı olan illerde vaka her hafta düş… https://t.co/U6lDbaOwsG</t>
  </si>
  <si>
    <t>1467556204897607680</t>
  </si>
  <si>
    <t>@drfahrettinkoca Sıvılanmaya giden olmadığından olmasın sakın</t>
  </si>
  <si>
    <t>1467556167530561536</t>
  </si>
  <si>
    <t>@drfahrettinkoca Bugün bir kez daha siz atama icin umut verip ortadan kayboldunuz icin söz verip tutmadığınız icin… https://t.co/hjsML2wFcS</t>
  </si>
  <si>
    <t>1467555992003039233</t>
  </si>
  <si>
    <t>@drfahrettinkoca bu kasar testi kim veriyor günde 350.000 nedir ya :) sakamisiniz ey halk ? burnunuz aksa testemi kosuyorsunuz anlamadim</t>
  </si>
  <si>
    <t>1467555934276833280</t>
  </si>
  <si>
    <t>@drfahrettinkoca https://t.co/zfVrogw48R</t>
  </si>
  <si>
    <t>1467555926664261645</t>
  </si>
  <si>
    <t>@drfahrettinkoca sizin tek biliminiz aşı olmuş çok gözümden düştünüz çok :)</t>
  </si>
  <si>
    <t>1467555694979211268</t>
  </si>
  <si>
    <t>@drfahrettinkoca Aşılama durma noktasına geldiğinden dolayı vakalar düşüyor olmasın?  :D millette çözdü artık ne ol… https://t.co/bPEPDnRWLv</t>
  </si>
  <si>
    <t>1467555529203630086</t>
  </si>
  <si>
    <t>@drfahrettinkoca pantene altın kelebek ödülüne gidecek misiniz sn.bakanım?</t>
  </si>
  <si>
    <t>1467555428120858630</t>
  </si>
  <si>
    <t>@drfahrettinkoca Allah Belanı Versin  #OnlineİstiyoruzOkulaGitmiyoruz</t>
  </si>
  <si>
    <t>1467555382155481088</t>
  </si>
  <si>
    <t>@drfahrettinkoca hangi aşımızı pardon ya zaten %81 Olmus oran daha ne aşısı be kardesim sakamisiniz</t>
  </si>
  <si>
    <t>1467555374375092224</t>
  </si>
  <si>
    <t>@drfahrettinkoca Sayın bakanım Kasım ayı içiersinde branşlar açıklamış oluruz demiştiniz hala beklemedyeiz ne kılavuz kaldı ne atama galiba</t>
  </si>
  <si>
    <t>1467555305479409666</t>
  </si>
  <si>
    <t>@drfahrettinkoca Tweet atmaya devam.Sakın işe yarayacak bir tedbir almayın.</t>
  </si>
  <si>
    <t>1467555228711018499</t>
  </si>
  <si>
    <t>@drfahrettinkoca Allah size yardım ederse, sizi yenecek yoktur. Eğer sizi yardımsız bırakırsa, ondan sonra size kim… https://t.co/HOIfdvkIEJ</t>
  </si>
  <si>
    <t>1467555223791181828</t>
  </si>
  <si>
    <t>@drfahrettinkoca Aynen öyle bakanım</t>
  </si>
  <si>
    <t>1467555034342821895</t>
  </si>
  <si>
    <t>@drfahrettinkoca Ya Koca, sen gerçekten bu rakamlara inanıyormusun? Yoksa sahte kabadayı senin kulağını çekip rakam… https://t.co/yyNtAMFPcs</t>
  </si>
  <si>
    <t>1467554860493152257</t>
  </si>
  <si>
    <t>@drfahrettinkoca Biliyorum satır satır okuyorsun yorumları…</t>
  </si>
  <si>
    <t>1467554174976118785</t>
  </si>
  <si>
    <t>@drfahrettinkoca Sayıları Tüik paylaşıyor heralde</t>
  </si>
  <si>
    <t>1467554149936074753</t>
  </si>
  <si>
    <t>@drfahrettinkoca Ne aşıymış arkadaş her derde, her mutasyona, her varyanta deva, olmayan pişman, olan bin pişman.</t>
  </si>
  <si>
    <t>1467554034529746951</t>
  </si>
  <si>
    <t>@drfahrettinkoca O değilde omikron ne zaman sınırı geçiyor sınırda bekletiliyor muş dediler</t>
  </si>
  <si>
    <t>1467553961741803528</t>
  </si>
  <si>
    <t>@drfahrettinkoca Bakan bey gene sadece algı gene dağ fare doğurdu.SMA lu çocuklara gene  bir şey yok.Gerçekten hiç… https://t.co/hdtRGyybTg</t>
  </si>
  <si>
    <t>1467553770045382663</t>
  </si>
  <si>
    <t>@drfahrettinkoca 666 fahrettin yargılanmayacaklarına güvence vererek Nasıl bütün milleti kobay yaptın Zaten zamanın… https://t.co/AcaZzYy5iX</t>
  </si>
  <si>
    <t>1467553629171298311</t>
  </si>
  <si>
    <t>@drfahrettinkoca Aşı Bakanlığı Küresel Çaptaki görevini layığıyla yerine getirmektedir.Pardon Sağlık bakanlığı.</t>
  </si>
  <si>
    <t>1467553465941606410</t>
  </si>
  <si>
    <t>@drfahrettinkoca Sayın bakanım Osmaniye Kadirli ilçesinde günlük vaka sayısı 100 kişinin üzerinde sadece 90 bin nüf… https://t.co/YSkmlchcfR</t>
  </si>
  <si>
    <t>1467553410513833985</t>
  </si>
  <si>
    <t>@drfahrettinkoca amaç özel hastanelere yönlendirmek mi? https://t.co/upYIZf4YSo</t>
  </si>
  <si>
    <t>1467553381073960962</t>
  </si>
  <si>
    <t>@drfahrettinkoca Sayın bakanım durum daha kötüye gitmeden gerçek rakamları açıklayın yoksa yüzlerce insanımızın hay… https://t.co/yp2atzjFWj</t>
  </si>
  <si>
    <t>1467553350191362052</t>
  </si>
  <si>
    <t>@drfahrettinkoca Dediginiz sıvıyı olanlar grip olup hastanede yanlis tedaviden ölüyor!!! Yalanci sahtekarlar sizii</t>
  </si>
  <si>
    <t>1467553306268553217</t>
  </si>
  <si>
    <t>@drfahrettinkoca Korkarımki talimatla bu verileri söylüyorsunuz? Birilerinin yüzünden devletin  kurumunda olan siz… https://t.co/xZRr2kp1PE</t>
  </si>
  <si>
    <t>1467553037807935498</t>
  </si>
  <si>
    <t>@drfahrettinkoca Ayy yeterrrrrrrr, 2 sene oldu lutfen artik rahat birakin insanlari</t>
  </si>
  <si>
    <t>1467553011350310925</t>
  </si>
  <si>
    <t>@drfahrettinkoca Seçim yaklaşıyor vakalarda düşüyor Tebrikler...</t>
  </si>
  <si>
    <t>1467552917607571464</t>
  </si>
  <si>
    <t>@drfahrettinkoca Sakamisiniz bunun sebebi çoğunluk zaten hasta oldu ve iyileşti sukur ...Bu böyle gidip duracak tek… https://t.co/DA7XsCBnn9</t>
  </si>
  <si>
    <t>1467552859529125904</t>
  </si>
  <si>
    <t>@drfahrettinkoca Sizin kati bir şekilde reddetiğiniz ancak Allah inancı olan herkezin ve tıp okumuş tüm sağlık sekt… https://t.co/O1XpehqaT0</t>
  </si>
  <si>
    <t>1467552836909162500</t>
  </si>
  <si>
    <t>@drfahrettinkoca AŞI OLANLARIN DURUMU ÖYLE DEMİYOR. SEN DSÖ DEĞİL, ÜLKENİN BAKANISIN.</t>
  </si>
  <si>
    <t>1467552673209765894</t>
  </si>
  <si>
    <t>@drfahrettinkoca #ACİL. Saygıdeğer,Bakanım.  Sağlık kurulu raporu ile ilaç alanların süresi yıl sonunda bitiyormuş.… https://t.co/cWlsBKtGES</t>
  </si>
  <si>
    <t>1467552459132395530</t>
  </si>
  <si>
    <t>@drfahrettinkoca Çok uğraştınız sayın bakan valla gece gündüz!!aşı olmayanlara yaptırımlar yaptınız ,aşı karşıtları… https://t.co/fvsJmpBEku</t>
  </si>
  <si>
    <t>1467552402153021440</t>
  </si>
  <si>
    <t>@drfahrettinkoca @saglikbakanligi Teşekkürler COVİD bakanim</t>
  </si>
  <si>
    <t>1467552380942180366</t>
  </si>
  <si>
    <t>@drfahrettinkoca La oğlum aşılama azaldı vakalarda azaldı 😉 bırak şu inadı kaldır yasakları.✍️</t>
  </si>
  <si>
    <t>1467552367637843981</t>
  </si>
  <si>
    <t>@drfahrettinkoca İlaç satıcısı,harita boyacısı 666 fahri cevap ver https://t.co/RIYaVnwlnf</t>
  </si>
  <si>
    <t>1467552324566585345</t>
  </si>
  <si>
    <t>@drfahrettinkoca Oyuna devam sıfırla direkt .</t>
  </si>
  <si>
    <t>1467552039290945544</t>
  </si>
  <si>
    <t>@drfahrettinkoca #Kabinezkusagionlineistiyor  ALLAH SİZİ BİLDİGİ GIBI YAPA HEMİ YALANCILSR SİZİ</t>
  </si>
  <si>
    <t>1467551863893643270</t>
  </si>
  <si>
    <t>@drfahrettinkoca https://t.co/TSitnlV52J</t>
  </si>
  <si>
    <t>1467551799783706628</t>
  </si>
  <si>
    <t>@drfahrettinkoca Bill in sıvısı çok önemli Küçücük çocukları ,gençleri,yaşlıları sağlık diye öldürmek Siz sağlıkçı… https://t.co/c4GFibBpbe</t>
  </si>
  <si>
    <t>1467551721685671940</t>
  </si>
  <si>
    <t>@drfahrettinkoca Aşılı olanlar da birbir ölmeye basladı. DSÖ denen şeytani yapı ile işbirliği yapmanın  hesabını sa… https://t.co/kaE1ohD9rf</t>
  </si>
  <si>
    <t>1467551686780665860</t>
  </si>
  <si>
    <t>@drfahrettinkoca Sayın koca kapalı alanları kapatmazsanız bu omicron varıyanyından sonra vaka sayısını 30000 altında göremezsin</t>
  </si>
  <si>
    <t>1467551616144494594</t>
  </si>
  <si>
    <t>@drfahrettinkoca Ya yeter YETER!!! Sizin yüzünüzden psikolojim altüst oldu. Ne istiyorsunuz bizden? Rahat bırakın a… https://t.co/G2GOwcUtyJ</t>
  </si>
  <si>
    <t>1467551466294595586</t>
  </si>
  <si>
    <t>@drfahrettinkoca Oohhoo! Yırtmışız.  Rahat olalım.</t>
  </si>
  <si>
    <t>1467551381825462291</t>
  </si>
  <si>
    <t>@drfahrettinkoca Okullar kapalı olsa vakalar artar ztn 👍</t>
  </si>
  <si>
    <t>1467551145975504902</t>
  </si>
  <si>
    <t>@drfahrettinkoca Sayıları tuikten mi aldınız sayın bakanım sayıların düşmesinin sebebi yarınki kabine toplantısı mı… https://t.co/X2pPuEwJ33</t>
  </si>
  <si>
    <t>1467551096243732484</t>
  </si>
  <si>
    <t>@drfahrettinkoca Verdiğiniz verilerle bile vaka sayısı çok yüksek ama sanki her şey bitmiş ve normale dönülmüş gibi… https://t.co/I0truUJdiA</t>
  </si>
  <si>
    <t>1467551091613212677</t>
  </si>
  <si>
    <t>@drfahrettinkoca Vakalar düşse ne olcak yazın yine turistleri sokacanız ülkeye bence olduğumuz yerde kalalım hiç gerek yok aşıya maşıya</t>
  </si>
  <si>
    <t>1467550765602512898</t>
  </si>
  <si>
    <t>@drfahrettinkoca Bakan bey Omicron varyantının Güney Afrikada Artışı ve Ölümlerdeki düşüşü gösteren resmi grafik.1.… https://t.co/bgEfHfoCB3</t>
  </si>
  <si>
    <t>1467550735856541698</t>
  </si>
  <si>
    <t>@drfahrettinkoca Sinovac sonrası Biontech aşısı olanlara 2. Biontech hakkını açmayışınız hangi veriye dayanıyor? Bu… https://t.co/SQFyY68d0h</t>
  </si>
  <si>
    <t>1467550578310107142</t>
  </si>
  <si>
    <t>@drfahrettinkoca Pfizer belgelerinde çıkan hastaneler ve doktorlar tarafından  hastalarda yapılan ilaç denemeleri h… https://t.co/VhlgQzLOAM</t>
  </si>
  <si>
    <t>1467550421845749765</t>
  </si>
  <si>
    <t>@drfahrettinkoca hem sağlık hem de eğitimde BAŞARISIZSINIZ!! #kabinezkuşağıonlineistiyor</t>
  </si>
  <si>
    <t>1467550419626958857</t>
  </si>
  <si>
    <t>@drfahrettinkoca Test sayısı düşünce vaka da düşüyor. Testi 370 bin yapıp vakaya öyle bakın.</t>
  </si>
  <si>
    <t>1467550149689987078</t>
  </si>
  <si>
    <t>@drfahrettinkoca %90 aşılandı daha istiyosun soykırımcı fahri Çocuklar,gençler düşüp ölürken Siz ölümsüzler Halayla… https://t.co/lIuEYM3v8a</t>
  </si>
  <si>
    <t>1467550140277960706</t>
  </si>
  <si>
    <t>@drfahrettinkoca Artık gribim diye teste gitmiyor kimse maske mesafe hak getire ölen olsun umurunuzda değil 2 amcam… https://t.co/mVOrpLgwWm</t>
  </si>
  <si>
    <t>1467550056056299525</t>
  </si>
  <si>
    <t>@drfahrettinkoca Online eğitim gelmek zorunda zorunda zorunda zorundaaaaaaaaaaa ! Anlayın artık bu kadar insanları… https://t.co/qOhLtoyGsb</t>
  </si>
  <si>
    <t>1467549978918850571</t>
  </si>
  <si>
    <t>@drfahrettinkoca Meali; ‘zehirleyemediklerimiz, aranızda henüz öldüremediklerimiz  var hemen sıvılarınızı olun! Tal… https://t.co/rO1UUig64l</t>
  </si>
  <si>
    <t>1467549977387970564</t>
  </si>
  <si>
    <t>@drfahrettinkoca HES uygulamasını tamamen kaldırmalısınız. HAYAT EVE SIĞMAZ SIĞMADI SIĞMAYACAK  İNSANIZ BİZ, ROBOT… https://t.co/xYYmaotPDV</t>
  </si>
  <si>
    <t>1467549951014100995</t>
  </si>
  <si>
    <t>@drfahrettinkoca Hiçbir işe yaramadığı gibi insanlar arasında tartışmalara sebep olan ANLAMSIZ MASKE MECBURİYETİ de… https://t.co/mUnoyvYY3a</t>
  </si>
  <si>
    <t>1467549898778288136</t>
  </si>
  <si>
    <t>@drfahrettinkoca Allah belanı versin dedikçe  zevke  geliyorsun faho senin mücadeleni eşşekler kovalasın sahtekar herif</t>
  </si>
  <si>
    <t>1467549874044481546</t>
  </si>
  <si>
    <t>@drfahrettinkoca Hala aşı diyorsun Allah korkusu yok ben anladım</t>
  </si>
  <si>
    <t>1467549821649268741</t>
  </si>
  <si>
    <t>@drfahrettinkoca eğitimde yeni düzenleme istiyoruz. merak etmeyin ekonomiyi çok düzelteceğiz, siz şu okulları hibri… https://t.co/xdqeY4vlbi</t>
  </si>
  <si>
    <t>1467549766183788544</t>
  </si>
  <si>
    <t>@drfahrettinkoca İyi de hastanelerde yer yok! BURSA !</t>
  </si>
  <si>
    <t>1467549735577956362</t>
  </si>
  <si>
    <t>@drfahrettinkoca Sayın bakanım artık vaka sayısı değil de atama sayısı duysak artık bıktık beklemekten @drfahrettinkoca 3</t>
  </si>
  <si>
    <t>1467549731341705231</t>
  </si>
  <si>
    <t>@drfahrettinkoca Y</t>
  </si>
  <si>
    <t>1467549429834166273</t>
  </si>
  <si>
    <t>@drfahrettinkoca Istanbul maviye yaklasıyor 👍</t>
  </si>
  <si>
    <t>1467549398402011144</t>
  </si>
  <si>
    <t>@drfahrettinkoca Çanakaledeki dedelerimize bakin bide torunlarina yaziklar olsun böyle devam aptal olmaya devam</t>
  </si>
  <si>
    <t>1467549375467601921</t>
  </si>
  <si>
    <t>@drfahrettinkoca 19.357 bir an dolar kuru sandım . Ülkede dolar düşmüyor ama vaka sayıları düşüyor</t>
  </si>
  <si>
    <t>1467549152418672654</t>
  </si>
  <si>
    <t>@drfahrettinkoca Aşı olmayanlar dışarı çıkmamalı</t>
  </si>
  <si>
    <t>1467549098832244749</t>
  </si>
  <si>
    <t>@drfahrettinkoca Yalan söylüyorsunuz. Test yalan! Aşı yalan! Pandemi yalan! Bir tek gerçek var o da yalanla insan k… https://t.co/hralP3Awbn</t>
  </si>
  <si>
    <t>1467549046596382725</t>
  </si>
  <si>
    <t>@drfahrettinkoca tabdir #Kabinezkusagionlineistiyor</t>
  </si>
  <si>
    <t>1467549026404950025</t>
  </si>
  <si>
    <t>@drfahrettinkoca @saglikbakanligi —Söz verilip yayınlanmayan sağlık bakanlığı kılavuzunu bekliyoruz.… https://t.co/bmYJnzILxz</t>
  </si>
  <si>
    <t>1467548983551737860</t>
  </si>
  <si>
    <t>@drfahrettinkoca @saglikbakanligi (Söz verilip yayınlanmayan sağlık bakanlığı kılavuzunu bekliyoruz.… https://t.co/aJtRM4vh7K</t>
  </si>
  <si>
    <t>1467548965176496143</t>
  </si>
  <si>
    <t>@drfahrettinkoca Bitti artık kimse ilgilenmiyor 😁</t>
  </si>
  <si>
    <t>1467548957542916097</t>
  </si>
  <si>
    <t>@drfahrettinkoca @drfahrettinkoca #FKUyumaNerede40BinAtama</t>
  </si>
  <si>
    <t>1467548950865616899</t>
  </si>
  <si>
    <t>@drfahrettinkoca @saglikbakanligi -/:Söz verilip yayınlanmayan sağlık bakanlığı kılavuzunu bekliyoruz.… https://t.co/WTHPoigJDh</t>
  </si>
  <si>
    <t>1467548947476586503</t>
  </si>
  <si>
    <t>@drfahrettinkoca Bir siktor git artık</t>
  </si>
  <si>
    <t>1467548944318271494</t>
  </si>
  <si>
    <t>@drfahrettinkoca @saglikbakanligi :;Söz verilip yayınlanmayan sağlık bakanlığı kılavuzunu bekliyoruz.… https://t.co/n71EWUy6va</t>
  </si>
  <si>
    <t>1467548925422931970</t>
  </si>
  <si>
    <t>@drfahrettinkoca @saglikbakanligi -:Söz verilip yayınlanmayan sağlık bakanlığı kılavuzunu bekliyoruz.… https://t.co/8b5jgSrbAx</t>
  </si>
  <si>
    <t>1467548907676786698</t>
  </si>
  <si>
    <t>@drfahrettinkoca @saglikbakanligi /Söz verilip yayınlanmayan sağlık bakanlığı kılavuzunu bekliyoruz.… https://t.co/35DF0xSTmz</t>
  </si>
  <si>
    <t>1467548890723495940</t>
  </si>
  <si>
    <t>@drfahrettinkoca @saglikbakanligi -Söz verilip yayınlanmayan sağlık bakanlığı kılavuzunu bekliyoruz.… https://t.co/KxXevpRxj0</t>
  </si>
  <si>
    <t>1467548876282417157</t>
  </si>
  <si>
    <t>@drfahrettinkoca @saglikbakanligi ..Söz verilip yayınlanmayan sağlık bakanlığı kılavuzunu bekliyoruz.… https://t.co/baA5cO1FtW</t>
  </si>
  <si>
    <t>1467548861799579648</t>
  </si>
  <si>
    <t>@drfahrettinkoca Sayın bakanım Allah inancınız varmı merak ediyorum cidden ama</t>
  </si>
  <si>
    <t>1467548861052903425</t>
  </si>
  <si>
    <t>@drfahrettinkoca @saglikbakanligi .Söz verilip yayınlanmayan sağlık bakanlığı kılavuzunu bekliyoruz.… https://t.co/KwVb9jK8w6</t>
  </si>
  <si>
    <t>1467548844342792193</t>
  </si>
  <si>
    <t>@drfahrettinkoca @saglikbakanligi Söz verilip yayınlanmayan sağlık bakanlığı kılavuzunu bekliyoruz.… https://t.co/VBvZk0yjNB</t>
  </si>
  <si>
    <t>1467548826181451776</t>
  </si>
  <si>
    <t>@drfahrettinkoca OKULLARI ONLINE YAP YETER ARTIK</t>
  </si>
  <si>
    <t>1467548812063522816</t>
  </si>
  <si>
    <t>@drfahrettinkoca Soykırımcı fahri sussana Dünyada 2 ci bi bakan söyleyin Zırt pırt tivitırda harita,rakam açıklayıp… https://t.co/4AM0f7thFc</t>
  </si>
  <si>
    <t>1467548762130325507</t>
  </si>
  <si>
    <t>@drfahrettinkoca Aşı mı düşürdü vaka sayılarını yalanlar mı ?</t>
  </si>
  <si>
    <t>1467548756283473923</t>
  </si>
  <si>
    <t>@drfahrettinkoca Sayın bakanım artık vaka sayısı değil de atama sayısı duysak artık bıktık beklemekten @drfahrettinkoca 2</t>
  </si>
  <si>
    <t>1467548587462643716</t>
  </si>
  <si>
    <t>@drfahrettinkoca Sayın bakanım artık vaka sayısı değil de atama sayısı duysak artık bıktık beklemekten @drfahrettinkoca 1</t>
  </si>
  <si>
    <t>1467548541799313413</t>
  </si>
  <si>
    <t>@drfahrettinkoca #Kabinezkusagionlineistiyor bizi görmezden gelemezsiniz!!!</t>
  </si>
  <si>
    <t>1467548497121525765</t>
  </si>
  <si>
    <t>@drfahrettinkoca Sayın sağlık bakanım, sizde bir Dr olarak trafik kazazedesi vatandaş acil serviste kırık kolu alçı… https://t.co/fk7RqCl9zk</t>
  </si>
  <si>
    <t>1467548457116307461</t>
  </si>
  <si>
    <t>@drfahrettinkoca Sayın bakanım artık vaka sayısı değil de atama sayısı duysak artık bıktık beklemekten @drfahrettinkoca a</t>
  </si>
  <si>
    <t>1467548385930526720</t>
  </si>
  <si>
    <t>@drfahrettinkoca Sayın bakanım artık vaka sayısı değil de atama sayısı duysak artık bıktık beklemekten @drfahrettinkoca ..</t>
  </si>
  <si>
    <t>1467548338203639814</t>
  </si>
  <si>
    <t>@drfahrettinkoca Korkarım kurul toplantısına kadar on binin altına düşer. Kusura bakmayın ama ben bunu yemedim</t>
  </si>
  <si>
    <t>1467548294305959936</t>
  </si>
  <si>
    <t>@drfahrettinkoca 19 kasım da tat koku kaybı ve halsizlik ile test verdim negatif cıktı. Dün tekrar tat koku gidince… https://t.co/tJxnJu5LWr</t>
  </si>
  <si>
    <t>1467548210109587458</t>
  </si>
  <si>
    <t>@drfahrettinkoca Sayın bakanım artık vaka sayısı değil de atama sayısı duysak artık bıktık beklemekten @drfahrettinkoca .</t>
  </si>
  <si>
    <t>1467548174160216073</t>
  </si>
  <si>
    <t>@drfahrettinkoca TAMAM ŞİMDİ GERÇEK TABLOYU PAYLAŞIN.</t>
  </si>
  <si>
    <t>1467548100537593862</t>
  </si>
  <si>
    <t>@drfahrettinkoca Sayın bakanım artık vaka sayısı değil de atama sayısı duysak artık bıktık beklemekten @drfahrettinkoca</t>
  </si>
  <si>
    <t>1467548097131814914</t>
  </si>
  <si>
    <t>@drfahrettinkoca Hangi tedbirler olduğunu anlatır mısınız biraz sınıflarda mesafe yok, düzenli temizlik ve havaland… https://t.co/fdT3R00Fko</t>
  </si>
  <si>
    <t>1467547927837032456</t>
  </si>
  <si>
    <t>@drfahrettinkoca Salgın malgın yok. Salgın olsa bile tıbbi zorbalık dayatmaya hakkınız yok. O sıvıları hiçbir koşul… https://t.co/BbN9onpjSR</t>
  </si>
  <si>
    <t>1467547845037371399</t>
  </si>
  <si>
    <t>@drfahrettinkoca Şu günlük 350 bin testin hangi hastanelerde yapıldığını bize gösterseniz de bilsek.  Toplam hastan… https://t.co/gip8baLVpS</t>
  </si>
  <si>
    <t>1467547836476805131</t>
  </si>
  <si>
    <t>@drfahrettinkoca 25 Kasımdaki konuşmanızda sağlık personeli ihtiyacımız büyüyerek devam etmektedir diyorsunuz 1 yıl… https://t.co/2rez2GNcNL</t>
  </si>
  <si>
    <t>1467547718042243074</t>
  </si>
  <si>
    <t>@drfahrettinkoca He hee görürsem söz söylerim..</t>
  </si>
  <si>
    <t>1467547575343538178</t>
  </si>
  <si>
    <t>@drfahrettinkoca Pourquoi mentez-vous, Monsieur le Ministre?</t>
  </si>
  <si>
    <t>1467547527964729349</t>
  </si>
  <si>
    <t>@drfahrettinkoca Yalanını sevsinler yalansız dönmüyor dünya</t>
  </si>
  <si>
    <t>1467547315305070596</t>
  </si>
  <si>
    <t>@drfahrettinkoca Aşı aşı deyip durmayın, aşılı kaç kişi zorunlu izolasyona alındı bunu bi açıklayın herkes bilsin.… https://t.co/jq4YSLvoNg</t>
  </si>
  <si>
    <t>1467547232807313416</t>
  </si>
  <si>
    <t>@drfahrettinkoca Bu vakalar düşmesi hep ekonomi yüzünden  .:/</t>
  </si>
  <si>
    <t>1467547165367144454</t>
  </si>
  <si>
    <t>@drfahrettinkoca Gerçek tabloyu açıklayın</t>
  </si>
  <si>
    <t>1467546937553526784</t>
  </si>
  <si>
    <t>@drfahrettinkoca Seni gidi aşı pazarlamacısı, hemen aşı satmaya devam ediyosun lakin unuttuğun birşey var insanlar… https://t.co/7mc2WBrgBE</t>
  </si>
  <si>
    <t>1467546300174458880</t>
  </si>
  <si>
    <t>@drfahrettinkoca hav hav</t>
  </si>
  <si>
    <t>1467546281694449673</t>
  </si>
  <si>
    <t>@drfahrettinkoca @saglikbakanligi Farketmez kalem sizin elinizde.istedigniz gibi oynuyoruz.bizde yedik</t>
  </si>
  <si>
    <t>1467546253198303234</t>
  </si>
  <si>
    <t>@drfahrettinkoca Yaşattığınızı yaşamadan ölmeyin nokta. @drfahrettinkoca</t>
  </si>
  <si>
    <t>1467546187733651460</t>
  </si>
  <si>
    <t>@drfahrettinkoca Vakaların düşmesi için tek sey aşı değil okulları görüyorsunuz kalabalığı ve kapalı alanı sonra sa… https://t.co/IVl4TWUDmZ</t>
  </si>
  <si>
    <t>1467546176887136269</t>
  </si>
  <si>
    <t>@drfahrettinkoca Bu arada görevlileriniz bana Favir bıraktı suratına fırlattım . Siz böyle ne dediği belirsiz adaml… https://t.co/gVNF6mFQT6</t>
  </si>
  <si>
    <t>1467546054455447567</t>
  </si>
  <si>
    <t>@drfahrettinkoca Bravo sayın Fahrettin bey yarın vaka sayılarını 10 a düşürebilirsiniz @drfahrettinkoca</t>
  </si>
  <si>
    <t>1467545932975722496</t>
  </si>
  <si>
    <t>@drfahrettinkoca Engelli sağlıkçılar 4 yıldır verilmeyen kadrolara atanmak istiyor. BİZİ DUYMAYANLAR UTANSIN 🇹🇷🇹🇷🇹🇷… https://t.co/AllRjLj1z3</t>
  </si>
  <si>
    <t>1467545931151294466</t>
  </si>
  <si>
    <t>@drfahrettinkoca Omega geliyor süper varyant ona karşıda etkilidir bu  Sana inanan mı kaldı mı hala  Herkes gribe k… https://t.co/DmRI6tqOdS</t>
  </si>
  <si>
    <t>1467545838486372353</t>
  </si>
  <si>
    <t>@drfahrettinkoca Engelli sağlıkçılar 4 yıldır verilmeyen kadrolara atanmak istiyor🇹🇷🇹🇷🇹🇷🇹🇷🇹🇷🇹🇷🇹🇷🇹🇷🇹🇷🇹🇷🇹🇷🇹🇷🇹🇷🇹🇷🇹🇷🇹🇷… https://t.co/9FuWOhoS4f</t>
  </si>
  <si>
    <t>1467545778449272835</t>
  </si>
  <si>
    <t>@drfahrettinkoca Ha düşmüş mü ne güzel ne güzel yüz yıl sonra biter süreç gelecek nesiller de sizi rahmetli anar .</t>
  </si>
  <si>
    <t>1467545735856070665</t>
  </si>
  <si>
    <t>@drfahrettinkoca Bakanım birseyler yapın lütfen doktorlarımız gidiyor onlar olmadan ne yapacagız saglık sistemimi o… https://t.co/51r4Jrf4Go</t>
  </si>
  <si>
    <t>1467545711747244034</t>
  </si>
  <si>
    <t>@drfahrettinkoca Engelli sağlıkçılar 4 yıldır verilmeyen kadrolara atanmak istiyor🇹🇷🇹🇷🇹🇷🇹🇷🇹🇷🇹🇷🇹🇷🇹🇷🇹🇷🇹🇷🇹🇷🇹🇷🇹🇷🇹🇷🇹🇷🇹🇷… https://t.co/kC0El5yhtY</t>
  </si>
  <si>
    <t>1467545662552223758</t>
  </si>
  <si>
    <t>@drfahrettinkoca Engelli sağlıkçılar 4 yıldır verilmeyen kadrolara atanmak istiyor🇹🇷🇹🇷🇹🇷🇹🇷🇹🇷🇹🇷🇹🇷🇹🇷🇹🇷🇹🇷🇹🇷🇹🇷🇹🇷🇹🇷🇹🇷🇹🇷… https://t.co/sR34ORMrGJ</t>
  </si>
  <si>
    <t>1467545562916573186</t>
  </si>
  <si>
    <t>@drfahrettinkoca Gerçek tabloda 60 bin en az. Koca yalancı</t>
  </si>
  <si>
    <t>1467545518578585606</t>
  </si>
  <si>
    <t>@drfahrettinkoca Her yerde seçim propogandası yapılıyor  ve şu kadar kişi topladık diye övünülüyor sen hiç kendini… https://t.co/2Wck5NVx3W</t>
  </si>
  <si>
    <t>1467545504854818819</t>
  </si>
  <si>
    <t>@drfahrettinkoca Gerçek vakaları açıklayın artık rezilsiniz #Kabinezkusagionlineistiyor</t>
  </si>
  <si>
    <t>1467545440417632263</t>
  </si>
  <si>
    <t>@drfahrettinkoca @saglikbakanligi Yılbaşı tatili (kış turizmi)  geliyor diye mi ?</t>
  </si>
  <si>
    <t>1467545372411277317</t>
  </si>
  <si>
    <t>@drfahrettinkoca 🤬</t>
  </si>
  <si>
    <t>1467545278676885508</t>
  </si>
  <si>
    <t>@drfahrettinkoca Hafta sonu diye öyle</t>
  </si>
  <si>
    <t>1467545190789492736</t>
  </si>
  <si>
    <t>@drfahrettinkoca Ankaraya deniz gelir de sağlıkçıya kılavuz gelir mi bilinmez  @drfahrettinkoca  #FKUyumaNerede40BinAtama</t>
  </si>
  <si>
    <t>1467545140524847106</t>
  </si>
  <si>
    <t>@drfahrettinkoca Başka bi isin yok dimi sade bu her aksam bu twiti atmak artik senmisin bot mu orasi da mechul!!</t>
  </si>
  <si>
    <t>1467545120480313351</t>
  </si>
  <si>
    <t>@drfahrettinkoca Biz sizden izinsiz söyler miyim efendim diyen bir bakan istemiyoruz @drfahrettinkoca biz öğrencisi… https://t.co/EhOS6hDebO</t>
  </si>
  <si>
    <t>1467545027056476165</t>
  </si>
  <si>
    <t>@drfahrettinkoca Evet çok uğraş veriyorsunuz düşürmek için yazık size</t>
  </si>
  <si>
    <t>1467545002058342410</t>
  </si>
  <si>
    <t>@drfahrettinkoca Ne aşısı bakanım sen inanıyormusun bu aşıların işe yaradığına kayın peder 2 doz biontek oldu yoğun… https://t.co/5h2O6qV4Sc</t>
  </si>
  <si>
    <t>1467544899528572931</t>
  </si>
  <si>
    <t>@drfahrettinkoca Sayın bakan sayıları siz düşürüyorsunuz sıkıntı orada reelde böyle bir şey yok o sayının 5 katı va… https://t.co/0Qz6f6bOy6</t>
  </si>
  <si>
    <t>1467544752816013315</t>
  </si>
  <si>
    <t>@drfahrettinkoca Türkiye de 1 yıldır sağlıkçı ataması yapılmıyor!!!  @drfahrettinkoca  #FKUyumaNerede40BinAtama</t>
  </si>
  <si>
    <t>1467544730812784656</t>
  </si>
  <si>
    <t>@drfahrettinkoca Corona ilaçlarının ve aşıların yan etkilerini deşifre etmeyen doktorlarında canı cehenneme..  Coro… https://t.co/FwH7KyclqH</t>
  </si>
  <si>
    <t>1467544672620929032</t>
  </si>
  <si>
    <t>@drfahrettinkoca Bu tablo doğruysa bende Monaco prensiyim #KabineZKusağıOnlineİstiyor</t>
  </si>
  <si>
    <t>1467544625883795466</t>
  </si>
  <si>
    <t>@drfahrettinkoca Artık kimse koronaya inanmıyor</t>
  </si>
  <si>
    <t>1467544593361219592</t>
  </si>
  <si>
    <t>@drfahrettinkoca OLMAYAN TEDBİRLERLE bile düşüş varsa da ne bileyim yaniii.</t>
  </si>
  <si>
    <t>1467544496112123914</t>
  </si>
  <si>
    <t>@drfahrettinkoca Nasıl düştü ne yaptınız farklı olarak?</t>
  </si>
  <si>
    <t>1467544478827302914</t>
  </si>
  <si>
    <t>@drfahrettinkoca Sayın bakan kesinlikle kişiliğinize ve insanlığınıza bir lafım yok çünkü gerçekte iyi biri olduğun… https://t.co/Yqu0Yi0TBn</t>
  </si>
  <si>
    <t>1467544477535551488</t>
  </si>
  <si>
    <t>@drfahrettinkoca Buna artık kadir bile inanmaz</t>
  </si>
  <si>
    <t>1467544386544275458</t>
  </si>
  <si>
    <t>@drfahrettinkoca https://t.co/TgRjH9QWzc</t>
  </si>
  <si>
    <t>1467544331733159936</t>
  </si>
  <si>
    <t>@drfahrettinkoca Aşı koruyorsa toplantınızı yüzyüze yapın.Oturduğum yerden bende tweet atarım https://t.co/XLcOmVj6GA</t>
  </si>
  <si>
    <t>1467544329803685891</t>
  </si>
  <si>
    <t>@drfahrettinkoca Hala bu paylaşımın gerçek olduğuna inanamıyorum bu tedbirsizliği büyük uğraş  ve çaba olarak görme… https://t.co/5ZjKikZ1N8</t>
  </si>
  <si>
    <t>1467544308408541191</t>
  </si>
  <si>
    <t>@drfahrettinkoca Bir tane anket açsanız çok iyi olacak belki o zaman kendiniz görürsünüz. Devam zorunluluğunu kaldı… https://t.co/QOTm88i4wn</t>
  </si>
  <si>
    <t>1467544269019922432</t>
  </si>
  <si>
    <t>@drfahrettinkoca Bakan bey yeter artık bu kadar yalancı olmayın kendinizi yalandan bir başarıya bağlamayın insanlar… https://t.co/KCTMJ20gNE</t>
  </si>
  <si>
    <t>1467544249520566278</t>
  </si>
  <si>
    <t>@drfahrettinkoca Avrupa o kadar tedbir alıyor Vakaları yinede yüksek Türkiye’de hiçbir önlem yok ama Vakalar düşüyo… https://t.co/9us1f3R3Fn</t>
  </si>
  <si>
    <t>1467544226024112137</t>
  </si>
  <si>
    <t>@drfahrettinkoca Yarın Bi 23-25 Arası olur</t>
  </si>
  <si>
    <t>1467544183846100998</t>
  </si>
  <si>
    <t>@drfahrettinkoca Yasaklar gelsinBakanım artık havalar soğudu sınıflar kalabalık bir sınıfta 40 kişiyiz nefes almak… https://t.co/Oi6Gmha3UK</t>
  </si>
  <si>
    <t>1467544152191688716</t>
  </si>
  <si>
    <t>@drfahrettinkoca İlk zamanlar Aşılama hızı le orantılı olarak vakalar çok artmıştı. Geçenlerde Aşılamanın azalmasın… https://t.co/Tui7rYSXPU</t>
  </si>
  <si>
    <t>1467544151336095751</t>
  </si>
  <si>
    <t>@drfahrettinkoca Fahrettin bey aşılanan ve ölen çok eşimiz dostumuz var, artık milleti aptal yerine koymayın. Su ısındı haberiniz olsun</t>
  </si>
  <si>
    <t>1467544136446353419</t>
  </si>
  <si>
    <t>@drfahrettinkoca Şehirlerde herkes iç içe lakin otobüse binerse hes a$ı ...! Otobüse binincemi oluyor 😂</t>
  </si>
  <si>
    <t>1467544114921099269</t>
  </si>
  <si>
    <t>@drfahrettinkoca Olacaksa olsun olmayacaksa yolumuza bakalim artık. Doğru düzgün alım yapılmadı zaten yapılacak ola… https://t.co/Vm6ter9J4h</t>
  </si>
  <si>
    <t>1467544047241900032</t>
  </si>
  <si>
    <t>@drfahrettinkoca Hiç bir şeyin düştüğü falan yok sayın Koca. Bu sadece sizin oluşturduğunuz yalan düzenin bir sonuc… https://t.co/fRJleU3MNv</t>
  </si>
  <si>
    <t>1467543904471953413</t>
  </si>
  <si>
    <t>@drfahrettinkoca ARKADAŞLAR HASTANELERDEN UZAK DURUN.. ÇÜNKÜ Corona değil, ilaçlar ve aşılar ile öldürülüyoruz. Siz… https://t.co/s2iGS9UD3d</t>
  </si>
  <si>
    <t>1467543886163808263</t>
  </si>
  <si>
    <t>@drfahrettinkoca Pazartesi kabine oldugu için yerini hazırlıyorki okular kapanmasin</t>
  </si>
  <si>
    <t>1467543792773472257</t>
  </si>
  <si>
    <t>@drfahrettinkoca Ne güzel düşürüyorsunuz maşallah</t>
  </si>
  <si>
    <t>1467543782434430977</t>
  </si>
  <si>
    <t>@drfahrettinkoca Ne uğraşından bahsediyorsunuz siz ya ? Bizim aklımızla dalga mı geçiyorsunuz  #kabinezkusağıonlineistiyor</t>
  </si>
  <si>
    <t>1467543774377172995</t>
  </si>
  <si>
    <t>@drfahrettinkoca vaka sayılarını düşürmek mi :D</t>
  </si>
  <si>
    <t>1467543666881351687</t>
  </si>
  <si>
    <t>@drfahrettinkoca Pcr nin mucidi bile benim testim virüs tespitinde kullanılamaz demiş, Ayrıca ülkenin tamamına yakı… https://t.co/fojd3vhOS7</t>
  </si>
  <si>
    <t>1467543637022154753</t>
  </si>
  <si>
    <t>@drfahrettinkoca #kabinezkusağıonlineistiyor Ah bakanım ah</t>
  </si>
  <si>
    <t>1467543578742247432</t>
  </si>
  <si>
    <t>@drfahrettinkoca Atma ziyaaa</t>
  </si>
  <si>
    <t>1467543507359436808</t>
  </si>
  <si>
    <t>@drfahrettinkoca Allah aşkına artık şu alımı gerçekleştirin vallahi canımızdan bezdik!! @drfahrettinkoca</t>
  </si>
  <si>
    <t>1467543469258420231</t>
  </si>
  <si>
    <t>@drfahrettinkoca Neymiş uğraş ve özveri istiyor dimii eğer ki ta başından beri uğraşlarınızı vatandaşların lehine k… https://t.co/MEI1CUyW0h</t>
  </si>
  <si>
    <t>1467543259127898121</t>
  </si>
  <si>
    <t>@drfahrettinkoca Hangi "büyük uğraşlar ve özveri" abi şaka mı lan? Ülkede tedbir yok hangi uğraştan bahsediyorsunuz… https://t.co/balJRfmNAk</t>
  </si>
  <si>
    <t>1467543236738789377</t>
  </si>
  <si>
    <t>1467543101774483461</t>
  </si>
  <si>
    <t>@drfahrettinkoca Bu kadar yayilmisken hastalik 8 yasindaki cocuguma kadar gelmisken sayilar nasil dusuyor? Gercekten merak ediyorum😔</t>
  </si>
  <si>
    <t>1467543101015265280</t>
  </si>
  <si>
    <t>@drfahrettinkoca 18 yaş üstü %82 aşılı.  Hesaplarınıza göre çoktan bitmeliydi bu iş.  Bağışıklığı güçlendirme çağrısında bulunun.</t>
  </si>
  <si>
    <t>1467542962729013248</t>
  </si>
  <si>
    <t>@drfahrettinkoca Aşı yok. Maalesef ben dördüncü aşı olduğum halde eşim olamıyor</t>
  </si>
  <si>
    <t>1467542859733680135</t>
  </si>
  <si>
    <t>@drfahrettinkoca Kimden izin aldığını biliyoruz.</t>
  </si>
  <si>
    <t>1467542831900381188</t>
  </si>
  <si>
    <t>@drfahrettinkoca Hatay şu anda patlamış durumda tüm tanıdıklarım covid 19</t>
  </si>
  <si>
    <t>1467542783154180099</t>
  </si>
  <si>
    <t>@drfahrettinkoca Hahahahah bu tabloya sadece gülünür 20 bin altina dusmedi düşürüldü #KabineZKusağıOnlineİstiyor</t>
  </si>
  <si>
    <t>1467542752560922628</t>
  </si>
  <si>
    <t>@drfahrettinkoca Hergün taviz vererek bu tabloya dahil olmuyorum. Çünkü test yoksa korona da yok.</t>
  </si>
  <si>
    <t>1467542687557554194</t>
  </si>
  <si>
    <t>@drfahrettinkoca Gerekiyor dendi iyide yazık değilmi zaten negatif iki gün sonra pozitife mi dönecek bir kit in bol… https://t.co/2oEN3kHppx</t>
  </si>
  <si>
    <t>1467542663062867968</t>
  </si>
  <si>
    <t>@drfahrettinkoca Size aşı twiti atmanız için kota koydular galiba</t>
  </si>
  <si>
    <t>1467542516522430464</t>
  </si>
  <si>
    <t>1467542487854108687</t>
  </si>
  <si>
    <t>1467542447689453580</t>
  </si>
  <si>
    <t>@drfahrettinkoca Kalıcı olması için her günün pazar günü olması gerekiyor!</t>
  </si>
  <si>
    <t>1467542419314987012</t>
  </si>
  <si>
    <t>@drfahrettinkoca Sayın bakanım saçma bir uygulamanın düzeltilmesi için yazıyorum covid. Testim pozitif çıktı 8 günd… https://t.co/AabQk8fie6</t>
  </si>
  <si>
    <t>1467542395025858565</t>
  </si>
  <si>
    <t>@drfahrettinkoca Büyük uğraş ve özverimi??? Siz sabahları hiç İstanbul’da toplu taşıma kullandınızmı burjuva bakanı… https://t.co/cprHMrgwiV</t>
  </si>
  <si>
    <t>1467542294454841349</t>
  </si>
  <si>
    <t>@drfahrettinkoca KILAVUZ bekliyoruz bakanım  #FKUyumaNerede40BinAtama</t>
  </si>
  <si>
    <t>1467541995824594949</t>
  </si>
  <si>
    <t>@drfahrettinkoca Sırf okulları kapanmasın ekonomi ayakta kalsın diye öğrencileri öldürüyorlar yazıklar olsun hakkımız size helal değildir</t>
  </si>
  <si>
    <t>1467541956532314118</t>
  </si>
  <si>
    <t>@drfahrettinkoca Bune aq bende inandım</t>
  </si>
  <si>
    <t>1467541937079173124</t>
  </si>
  <si>
    <t>@drfahrettinkoca https://t.co/bwEr6neOru</t>
  </si>
  <si>
    <t>1467541904468365321</t>
  </si>
  <si>
    <t>@drfahrettinkoca Dün favipiraviri günde 8+8 içirenler, bugün bu ilaç işe yaramıyor diyor.  Fakat biz bunların dayat… https://t.co/D1PpksUbRe</t>
  </si>
  <si>
    <t>1467541860335947790</t>
  </si>
  <si>
    <t>@drfahrettinkoca ya hocam neyi diretiyorsunuz anlamıyorum ki valla psikolojim bozuldu #KabineZKusağıOnlineİstiyor</t>
  </si>
  <si>
    <t>1467541852391936006</t>
  </si>
  <si>
    <t>@drfahrettinkoca Modern tıbba güvenim kalmadı. Bundan sonra hap bile içmem heralde. Modern tıbbın aşılarına da güvenmiyorum ilaçlarına da.</t>
  </si>
  <si>
    <t>1467541801565396998</t>
  </si>
  <si>
    <t>@drfahrettinkoca Yazın veya kışa doğru vakalar 30 bine çıkmasın kış gelince de herkes kapalı alanlarda 20 binin aşa… https://t.co/Sazcd3kqIm</t>
  </si>
  <si>
    <t>1467541740886315010</t>
  </si>
  <si>
    <t>@drfahrettinkoca Aşılama yavaşlayınca vakalar azalmaya başladı. Özveri dediğiniz bu.</t>
  </si>
  <si>
    <t>1467541630202884097</t>
  </si>
  <si>
    <t>@drfahrettinkoca Her yer mavi mavi masaAllah. Vaka ve ölüm sayılarında değişim sıfır! Millet maviye boyadı, siz de… https://t.co/qmUUEdYt8r</t>
  </si>
  <si>
    <t>1467541483012173824</t>
  </si>
  <si>
    <t>@drfahrettinkoca Vaka sayısıyla aşının ne alakasi var.</t>
  </si>
  <si>
    <t>1467541480181047300</t>
  </si>
  <si>
    <t>@drfahrettinkoca Vakalari daha da düşürmek için aşıyı zorunlu hale getirmeniz lazım</t>
  </si>
  <si>
    <t>1467541473738510338</t>
  </si>
  <si>
    <t>@drfahrettinkoca Aşı olmayacağım (ASLA OLMAYACAĞIM ) Varsayalım oldum  Aşıdan sonra TEDBİRİN 👇👇👇  A şkım  M eleğim  K elebeğim  Ne tedbiri</t>
  </si>
  <si>
    <t>1467541358961385477</t>
  </si>
  <si>
    <t>1467541316770926599</t>
  </si>
  <si>
    <t>@drfahrettinkoca Cumhurbaşkanımızın izni varmı peki 🤔🤔</t>
  </si>
  <si>
    <t>1467541300832620559</t>
  </si>
  <si>
    <t>@drfahrettinkoca Artık bırakın bu işleri.... https://t.co/gsFxTJjWUn</t>
  </si>
  <si>
    <t>1467541269132021762</t>
  </si>
  <si>
    <t>@drfahrettinkoca Atama bekliyoruz hala</t>
  </si>
  <si>
    <t>1467541262785986576</t>
  </si>
  <si>
    <t>@drfahrettinkoca Allah yardımcınız olsun inşallah sayın bakan</t>
  </si>
  <si>
    <t>1467541083794124800</t>
  </si>
  <si>
    <t>@drfahrettinkoca Herşey yalan rakamlar yalan</t>
  </si>
  <si>
    <t>1467541075027968002</t>
  </si>
  <si>
    <t>@drfahrettinkoca Sayın KOCA; Bu video hakkındaki yorumunuz nedir 👇  https://t.co/7zCjfKhGcz</t>
  </si>
  <si>
    <t>1467540937329025024</t>
  </si>
  <si>
    <t>@drfahrettinkoca https://t.co/C9bWGNsSdA</t>
  </si>
  <si>
    <t>1467540932522389506</t>
  </si>
  <si>
    <t>@drfahrettinkoca Bi sal artık. Kimse inanmıyor. %80 aşılamışsın biz %20 Devam İnanmıyoruz artık Size.</t>
  </si>
  <si>
    <t>1467540906987474947</t>
  </si>
  <si>
    <t>@drfahrettinkoca https://t.co/2H1O32U4jN</t>
  </si>
  <si>
    <t>1467540906463178764</t>
  </si>
  <si>
    <t>@drfahrettinkoca https://t.co/XdO7KcWj2O</t>
  </si>
  <si>
    <t>1467540878688497670</t>
  </si>
  <si>
    <t>@drfahrettinkoca Valla sayın bakan siz sağlık bakanı değil cavit bakanı oldunuz artık.</t>
  </si>
  <si>
    <t>1467540855712006146</t>
  </si>
  <si>
    <t>@drfahrettinkoca Kadro cetvelinde Sağlık yönetimi bölümü adı ve kodu(4597) olmadığı için atanamıyoruz.Firsat eşitli… https://t.co/MqeoTgBsQZ</t>
  </si>
  <si>
    <t>1467540816935755781</t>
  </si>
  <si>
    <t>@drfahrettinkoca Evet büyük uğraş ve özveri ! Tedbirsiz bir şekilde yaşamak büyük uğraş ve özveri… https://t.co/ALsHzhERS1</t>
  </si>
  <si>
    <t>1467540816063340550</t>
  </si>
  <si>
    <t>@drfahrettinkoca Biz de çok uğraştım puanlarimizi aldik bir senedir tam sizden atama bekliyoruz biz napalım bakanım… https://t.co/qSyUYKOr9x</t>
  </si>
  <si>
    <t>1467540770861289481</t>
  </si>
  <si>
    <t>@drfahrettinkoca Sizin istifa zamanınız çoktan geldi #YökMebİstifa #KabineZKusağıOnlineİstiyor #yenidenonlineğitim</t>
  </si>
  <si>
    <t>1467540744877617155</t>
  </si>
  <si>
    <t>@drfahrettinkoca Kadro cetvelinde Sağlık yönetimi bölümü adı ve kodu(4597) olmadığı için atanamıyoruz.Firsat eşitli… https://t.co/WK3AuuHIFh</t>
  </si>
  <si>
    <t>1467540693933506560</t>
  </si>
  <si>
    <t>@drfahrettinkoca Bir yıl dan daha fazla oldu ve sürekli hizmet olan sağlık kurumlarına bir tane bile sağlıkçı atama… https://t.co/DeZnQWJgiI</t>
  </si>
  <si>
    <t>1467540630482169868</t>
  </si>
  <si>
    <t>@drfahrettinkoca Kadro cetvelinde Sağlık yönetimi bölümü adı ve kodu(4597) olmadığı için atanamıyoruz.Firsat eşitli… https://t.co/OTdjpNCW7t</t>
  </si>
  <si>
    <t>1467540565189353474</t>
  </si>
  <si>
    <t>@drfahrettinkoca Klavuz klavuz ve klavuz</t>
  </si>
  <si>
    <t>1467540512827752461</t>
  </si>
  <si>
    <t>@drfahrettinkoca Paranin kopegi</t>
  </si>
  <si>
    <t>1467540510793424896</t>
  </si>
  <si>
    <t>@drfahrettinkoca Bu tabloya inanan var mı cidden</t>
  </si>
  <si>
    <t>1467540498458021900</t>
  </si>
  <si>
    <t>@drfahrettinkoca Neden hâlâ bize bir cevap vermiyorsunuz ? Kılavuzu istiyoruz #FKUyumaNerede40BinAtama</t>
  </si>
  <si>
    <t>1467540450731085825</t>
  </si>
  <si>
    <t>@drfahrettinkoca İnsanlar aşı olmayı bıraktı, bu yüzden düşüyor olabilir..</t>
  </si>
  <si>
    <t>1467540449879642117</t>
  </si>
  <si>
    <t>@drfahrettinkoca Omicron!?</t>
  </si>
  <si>
    <t>1467540327196237830</t>
  </si>
  <si>
    <t>@drfahrettinkoca Ya defol git be adam. Annem hasta tedavi bile edilmiyor pcr vermediği için sen hala aşı diyorsun burada ya</t>
  </si>
  <si>
    <t>1467540325900169221</t>
  </si>
  <si>
    <t>@drfahrettinkoca @drfahrettinkoca  Uzaktan eğitim acil</t>
  </si>
  <si>
    <t>1467540257927307266</t>
  </si>
  <si>
    <t>@drfahrettinkoca Tabloyu saklamayın gerçekleri gösterin hafta sonu olduğu için vakalar düşüyor</t>
  </si>
  <si>
    <t>1467540130055561217</t>
  </si>
  <si>
    <t>1467540120454803467</t>
  </si>
  <si>
    <t>1467540091577020430</t>
  </si>
  <si>
    <t>@drfahrettinkoca Keyfine göre düşür yuksel ne ala memelekt ya</t>
  </si>
  <si>
    <t>1467540072190857228</t>
  </si>
  <si>
    <t>@drfahrettinkoca 3 ay sonra bir ilk:Şanlıurfa yine şaşırtmadı https://t.co/ZaWTRLzyp7</t>
  </si>
  <si>
    <t>1467540069984743436</t>
  </si>
  <si>
    <t>@drfahrettinkoca #istifa et ve bu necip milletin kanina girmekten vazgeç! @tcbestepe bu ise dur de</t>
  </si>
  <si>
    <t>1467540019850186757</t>
  </si>
  <si>
    <t>@drfahrettinkoca Herkes kapalı mekanlarda vaka düşüyor. Bunun dönemsel politika olduğunu anlamayan kalmadı sanırım.</t>
  </si>
  <si>
    <t>1467539850274349063</t>
  </si>
  <si>
    <t>@drfahrettinkoca Tebrikler adamlar daşak geçiyor siz hal begenin ölmek çocuk oyuncagi degil</t>
  </si>
  <si>
    <t>1467539781823475714</t>
  </si>
  <si>
    <t>@drfahrettinkoca Uğraşa uğraşa rakamlarda indi peki gerçekte</t>
  </si>
  <si>
    <t>1467539761250373633</t>
  </si>
  <si>
    <t>@drfahrettinkoca Aşılama hızı düştükçe wakalar da hızla düşmeye başladı dicektiniz galiba insanlar bunu anlamıcak k… https://t.co/SPa2QWFoU4</t>
  </si>
  <si>
    <t>1467539741369376779</t>
  </si>
  <si>
    <t>@drfahrettinkoca Özveriyle düşüyor. Az test yapmakla düşmüyor(!) dikkatinizi çekerim😂</t>
  </si>
  <si>
    <t>1467539733823860740</t>
  </si>
  <si>
    <t>@drfahrettinkoca İnandırıcı değil?</t>
  </si>
  <si>
    <t>1467539583269224449</t>
  </si>
  <si>
    <t>@drfahrettinkoca Sayın bakan neden biz hep twit atıyoruz kpss dönemi sonami erdi artık twit dönemini başladı ne zam… https://t.co/yADrTqwmJ2</t>
  </si>
  <si>
    <t>1467539548649541634</t>
  </si>
  <si>
    <t>@drfahrettinkoca Öyle tavizler veriyorlar ki... Avrupa gibi katı olamadık şu konularda.</t>
  </si>
  <si>
    <t>1467539507859886094</t>
  </si>
  <si>
    <t>@drfahrettinkoca Plandemi..  Avat, 'tadbir'den taviz vermemeliyiz.. https://t.co/Gs3EVcEWMV</t>
  </si>
  <si>
    <t>1467539499374759951</t>
  </si>
  <si>
    <t>@drfahrettinkoca Kapali alanda uzun vakit geçirmeyin diyorsunuz ama okullar ne olacak sınıflar  kapalı alan ve kalabalik degilmi</t>
  </si>
  <si>
    <t>1467539497126711305</t>
  </si>
  <si>
    <t>@drfahrettinkoca Hayır daha nasıl anlatabiliriz nasıl seslenebiliriz klavuz verin bu kadar görmezden gelinmez bu ka… https://t.co/PZrInVrhMr</t>
  </si>
  <si>
    <t>1467539452226686980</t>
  </si>
  <si>
    <t>@drfahrettinkoca Aşı düşünmekten gerçekten diğer rahatsızlıkları unuttunuz...neyse aşı stoğu bitmedi belli ki...ama… https://t.co/IUV9ofScZo</t>
  </si>
  <si>
    <t>1467539427035652098</t>
  </si>
  <si>
    <t>@drfahrettinkoca Ayrıca online Eğitimi okulları kapatmak gibi düşünen zihniyetinizi anlamıyorum..nerde bu MEB bakanı..ne iş yapar</t>
  </si>
  <si>
    <t>1467539299608449031</t>
  </si>
  <si>
    <t>@drfahrettinkoca 40 binlik alımda SAĞLIK YÖNETİMİ de yer alsın sayın bakanım https://t.co/nezu1joLd4</t>
  </si>
  <si>
    <t>1467539291895218178</t>
  </si>
  <si>
    <t>@drfahrettinkoca Sayın @drfahrettinkoca artık kılavuzu görmek istiyoruz</t>
  </si>
  <si>
    <t>1467539279928770569</t>
  </si>
  <si>
    <t>@drfahrettinkoca Çok merak ettim sonra ne oldu 😂😂  https://t.co/9pcD2DkFpy</t>
  </si>
  <si>
    <t>1467539240418529281</t>
  </si>
  <si>
    <t>@drfahrettinkoca #hükümetistifa #ErkenSeçim  #BirBiontechYalanıYaz Adalet Bakanı</t>
  </si>
  <si>
    <t>1467539218473922572</t>
  </si>
  <si>
    <t>@drfahrettinkoca QEFWGHEGBT VİRÜS BİTMİŞ</t>
  </si>
  <si>
    <t>1467539207233155078</t>
  </si>
  <si>
    <t>@drfahrettinkoca Maşallah ya çok düşmüş vakalar bakanım 👏👏   Helal ya</t>
  </si>
  <si>
    <t>1467539186123251715</t>
  </si>
  <si>
    <t>@drfahrettinkoca 40 binlik alımda SAĞLIK YÖNETİMİ de yer alsın sayın bakanım https://t.co/gp9KR4F5S5</t>
  </si>
  <si>
    <t>1467539185972256772</t>
  </si>
  <si>
    <t>@drfahrettinkoca Bir şeyi aramamak, onu yok etmiyor sayın bakanım. Covid var ve her zamankinden fazla hem de.</t>
  </si>
  <si>
    <t>1467539131744014341</t>
  </si>
  <si>
    <t>@drfahrettinkoca Yemein ederim ki adam bizi salak yerine koyuyor yaw Türk mileti kendine gel artık</t>
  </si>
  <si>
    <t>1467539108667052037</t>
  </si>
  <si>
    <t>@drfahrettinkoca Yazıklar olsun yuzbinlerce genç sizden haber bekliyo siz ise dalga geçer gibi görmezden geliyorsunuz</t>
  </si>
  <si>
    <t>1467539088995717126</t>
  </si>
  <si>
    <t>@drfahrettinkoca Online yapmamakta kararlısınız anladık fakat başka alternatifler ver..yarım gün okul yada hibrit .… https://t.co/HxroKWMxxV</t>
  </si>
  <si>
    <t>1467539040815751183</t>
  </si>
  <si>
    <t>@drfahrettinkoca Tadbir ne olaki</t>
  </si>
  <si>
    <t>1467539009807208460</t>
  </si>
  <si>
    <t>@drfahrettinkoca Sayin Bakanim demekki sizin o cok övdüğunuz sivilar bir ise yaramiyor muş</t>
  </si>
  <si>
    <t>1467539006103695361</t>
  </si>
  <si>
    <t>@drfahrettinkoca Pcr = Vaka Vaka = Aşşı Aşşı = Ölüm  Maske + Hes kodu = Kölelik zinciri Bu denklem yıkıldığı zaman… https://t.co/ectcASIKSc</t>
  </si>
  <si>
    <t>1467539003373142016</t>
  </si>
  <si>
    <t>@drfahrettinkoca biri de çıkıp demiyor ki; "sayın bakan milyonlarca insanı iğnelediniz ama rakamlar hala aynı? bu i… https://t.co/Cbn8kckWsJ</t>
  </si>
  <si>
    <t>1467538983999660036</t>
  </si>
  <si>
    <t>@drfahrettinkoca İzin almadan asla söylemem....bu cümle</t>
  </si>
  <si>
    <t>1467538848569774084</t>
  </si>
  <si>
    <t>@drfahrettinkoca Dur tahmin edeyim yarın 18.657 vaka puahahahahah #Kabinezkusagionlineistiyor</t>
  </si>
  <si>
    <t>1467538811588689928</t>
  </si>
  <si>
    <t>@drfahrettinkoca Sayın Bakan bu kadar zor değil. Excel ci arkadaşa söyleyin formülleri değiştirsin. Nasıl olsa 2 yı… https://t.co/GbWGg7Z0Yn</t>
  </si>
  <si>
    <t>1467538778893991936</t>
  </si>
  <si>
    <t>@drfahrettinkoca Senin gibi okumamıs aklı ermeyen ötlek kişiler olursa daha çok ölüm bekleriz</t>
  </si>
  <si>
    <t>1467538750263767044</t>
  </si>
  <si>
    <t>@drfahrettinkoca BRANŞ + KILAVUZ BEKLİYORUZ  #FKUyumaNerede40BinAtama</t>
  </si>
  <si>
    <t>1467538667011035139</t>
  </si>
  <si>
    <t>@drfahrettinkoca - 2020/14 atamasından bu güne 365 gün geçti atama nerede? - 2 temmuzda 2-3 ay içerisinde dediniz 5… https://t.co/ZkftRtYn7s</t>
  </si>
  <si>
    <t>1467538664641245185</t>
  </si>
  <si>
    <t>@drfahrettinkoca Biliyordum 19 bin olacağını #hekimleristifaediyor #kabinezkuşağıonlineistiyor</t>
  </si>
  <si>
    <t>1467538647343902720</t>
  </si>
  <si>
    <t>@drfahrettinkoca Sayın bakan atamaya ihtiyac yokmu sahadakıler yorulmuyormu</t>
  </si>
  <si>
    <t>1467538626686996482</t>
  </si>
  <si>
    <t>@drfahrettinkoca Kılavuz gelck mi</t>
  </si>
  <si>
    <t>1467538601646956557</t>
  </si>
  <si>
    <t>@drfahrettinkoca A$$I olmuyoruz. Olanlar yetmiyor mu..</t>
  </si>
  <si>
    <t>1467538585222098949</t>
  </si>
  <si>
    <t>@drfahrettinkoca Aşılama durunca hastalik azalmaya mi başladi yoksa</t>
  </si>
  <si>
    <t>1467538575185092616</t>
  </si>
  <si>
    <t>@drfahrettinkoca https://t.co/i3A3ILoYrm</t>
  </si>
  <si>
    <t>1467538554846912512</t>
  </si>
  <si>
    <t>@drfahrettinkoca Lütfen üniversitelere online eğitim duyun sesimizi   #kabinezkuşağıonlineistiyor</t>
  </si>
  <si>
    <t>1467538530155040768</t>
  </si>
  <si>
    <t>@drfahrettinkoca 40 binlik alımda SAĞLIK YÖNETİMİ de yer alsın sayın bakanım https://t.co/QFntnRjmbA</t>
  </si>
  <si>
    <t>1467538529572040721</t>
  </si>
  <si>
    <t>@drfahrettinkoca Bu ne akdbakbdakdbakfhajf</t>
  </si>
  <si>
    <t>1467538527919525889</t>
  </si>
  <si>
    <t>@drfahrettinkoca Benim aşım bunlar sayın bakanım https://t.co/QLw4gfUEsH</t>
  </si>
  <si>
    <t>1467538493828124672</t>
  </si>
  <si>
    <t>@drfahrettinkoca Günler geçti  Haftalar geçti  Aylar geçti  Hatta yıl bile geçti  Ama sağlık bakanlığı çıkıp bir at… https://t.co/DpLV1lu0rw</t>
  </si>
  <si>
    <t>1467538486521696268</t>
  </si>
  <si>
    <t>@drfahrettinkoca Vaka sayılarını inşallah Tüik  den almamışsınızdır.</t>
  </si>
  <si>
    <t>1467538457589391363</t>
  </si>
  <si>
    <t>@drfahrettinkoca Sen kafanı takma Haziran gelsin düşer zaten ne yoruyorsun kendini.her gün yalan söylemekte zor.</t>
  </si>
  <si>
    <t>1467538445061046277</t>
  </si>
  <si>
    <t>@drfahrettinkoca Olalım olalım da kac tane olucaz? İlk doz aşı koruma, 2. Doz hatırlatma, 3. Doz işi garantiye alma… https://t.co/AUgr3S5pFd</t>
  </si>
  <si>
    <t>1467538441537830914</t>
  </si>
  <si>
    <t>@drfahrettinkoca NEDEN ISRARLA BİZİ GÖRMÜYORSUNUZ #FKOyalamaKılavuzuYayınla</t>
  </si>
  <si>
    <t>1467538419324706819</t>
  </si>
  <si>
    <t>@drfahrettinkoca 200000 nüfuslü ilçemde bile vaka sayısı Türkiye vaka sayısının 1/4 kadar..herkes covid +….acilen tedbir alınmalı</t>
  </si>
  <si>
    <t>1467538384734334982</t>
  </si>
  <si>
    <t>@drfahrettinkoca Hepimizi rezil rüsva ettiniz HAKLILAR DEDİNİZ üzerinden 1 ay geçti ve zaten 12 aydır atama bekliyo… https://t.co/kIQuuQuPVV</t>
  </si>
  <si>
    <t>1467538379004911620</t>
  </si>
  <si>
    <t>@drfahrettinkoca COVİT 19 ,3dozdan vaz geçtik grip aşıları bile henüz çıkmadı ,kış bitti zamanı geçti malisef riskl… https://t.co/sSSIp41tFs</t>
  </si>
  <si>
    <t>1467538373581709323</t>
  </si>
  <si>
    <t>@drfahrettinkoca E bu komik de değil ki</t>
  </si>
  <si>
    <t>1467538359560122378</t>
  </si>
  <si>
    <t>@drfahrettinkoca CEVAPSIZ KALMASIN SORULAR #FKUyumaNerede40BinAtama</t>
  </si>
  <si>
    <t>1467538343361757189</t>
  </si>
  <si>
    <t>@drfahrettinkoca 40 binlik alımda SAĞLIK YÖNETİMİ de yer alsın sayın bakanım https://t.co/JmRLBHkzXw</t>
  </si>
  <si>
    <t>1467538342464081925</t>
  </si>
  <si>
    <t>@drfahrettinkoca Bakanım çok dikkat çekiyor biraz daha yavaş yavaş düşürün 1000 tane ne demek bir günde bakın belli… https://t.co/DGCfpEEN4o</t>
  </si>
  <si>
    <t>1467538318791426063</t>
  </si>
  <si>
    <t>@drfahrettinkoca İnşallah hep düşer ama anlamadığım husus aşı oranı düşük olan illerde vaka sayısı az örnek Urfa ve… https://t.co/zqfDoZ78L3</t>
  </si>
  <si>
    <t>1467538296070971396</t>
  </si>
  <si>
    <t>@drfahrettinkoca Elhamdulillah  Masallah Ya Şafi Ya Şafi Ya Şafi</t>
  </si>
  <si>
    <t>1467538267528650761</t>
  </si>
  <si>
    <t>@drfahrettinkoca TÜİK mi yayınladı verileri?</t>
  </si>
  <si>
    <t>1467538258368344069</t>
  </si>
  <si>
    <t>@drfahrettinkoca 40 binlik alımda SAĞLIK YÖNETİMİ de yer alsın sayın bakanım https://t.co/YeLuUEBXuv</t>
  </si>
  <si>
    <t>1467538214156181507</t>
  </si>
  <si>
    <t>@drfahrettinkoca Bakanın işi de zor. içinden gelenleri net şekilde söylemiyor. Yılın 365 günü her farkı cümleler kuruyor.</t>
  </si>
  <si>
    <t>1467538199971049476</t>
  </si>
  <si>
    <t>@drfahrettinkoca Salı günü 5 k ya iner :)</t>
  </si>
  <si>
    <t>1467538125488594944</t>
  </si>
  <si>
    <t>@drfahrettinkoca Sağlıklıyım çünkü Modern Tıbbın sahte tıp olduğunu çok iyi biliyorum ve onun aşılarını reddediyoru… https://t.co/hKKBGbxQZI</t>
  </si>
  <si>
    <t>1467538124775514119</t>
  </si>
  <si>
    <t>@drfahrettinkoca Aşı olmayın maskelerinizi yakın. Bakın 6 ay sonra ortada pandemi falan kalmayacak. Aşılılar ve aşı… https://t.co/m3f7rJUfwU</t>
  </si>
  <si>
    <t>1467538115988496384</t>
  </si>
  <si>
    <t>@drfahrettinkoca Şaka mısınız aşının az olduğu Doğu illerinde vakalar az aşının çok olduğu illerde vakalar patlamış… https://t.co/fdBFJjz96J</t>
  </si>
  <si>
    <t>1467538106232541186</t>
  </si>
  <si>
    <t>@drfahrettinkoca Son bir ayda aşılama neredeyse durma noktasına geldi ne tesadüftür ki vaka ve ölüm sayıları da aza… https://t.co/e4ImXJRWHH</t>
  </si>
  <si>
    <t>1467538092651421702</t>
  </si>
  <si>
    <t>@drfahrettinkoca 40 binlik alımda SAĞLIK YÖNETİMİ de yer alsın sayın bakanım https://t.co/3yXUXX3WCo</t>
  </si>
  <si>
    <t>1467538081293164544</t>
  </si>
  <si>
    <t>@drfahrettinkoca Benim aşım bunlar bakanım</t>
  </si>
  <si>
    <t>1467538060774682632</t>
  </si>
  <si>
    <t>@drfahrettinkoca @drfahrettinkoca  arkadaşlar üniversite öğrencileri kovid beyin apsesi yaşıyor deniliyor çeşitli h… https://t.co/Z6mX6Yhuut</t>
  </si>
  <si>
    <t>1467538051454881797</t>
  </si>
  <si>
    <t>@drfahrettinkoca Olmayacaz olanlar bin pişman</t>
  </si>
  <si>
    <t>1467538032085585924</t>
  </si>
  <si>
    <t>@drfahrettinkoca Görün artık bizi bakanım #FKUyumaNerede40BinAtama</t>
  </si>
  <si>
    <t>1467538020584890369</t>
  </si>
  <si>
    <t>@drfahrettinkoca Via fake news</t>
  </si>
  <si>
    <t>1467537992587911180</t>
  </si>
  <si>
    <t>@drfahrettinkoca E yok artık tüm dünyada omicron çıkıyor vaka artıyor ama bizde olmayan önlemler ile vaka düşüyor y… https://t.co/sDiq1Y8Lxq</t>
  </si>
  <si>
    <t>1467537919535730689</t>
  </si>
  <si>
    <t>@drfahrettinkoca Sayın bakan bu kadar bizi duymuyor musunuz?sahada olanlar tükendi!atama bekleyenler… https://t.co/cbKujGLlBU</t>
  </si>
  <si>
    <t>1467537877152276490</t>
  </si>
  <si>
    <t>@drfahrettinkoca Aşı olmayin nekadar aşı okadar ÖLÜM</t>
  </si>
  <si>
    <t>1467537856021237764</t>
  </si>
  <si>
    <t>@drfahrettinkoca ortada olmayan bir salgin icin hala onlem hasretiyle yanan tutusan vatan hainleri var. kardesim se… https://t.co/inrmAiwy7D</t>
  </si>
  <si>
    <t>1467537840770854924</t>
  </si>
  <si>
    <t>@drfahrettinkoca Söz değil icraat bekliyoruz #FKUyumaNerede40BinAtama</t>
  </si>
  <si>
    <t>1467537838535237633</t>
  </si>
  <si>
    <t>@drfahrettinkoca Hangi uğraş hangi özveri sayın bakanım.. millet gün gün geziyor, parti üstüne parti yapıyor.. biz… https://t.co/FHi0I1aDMh</t>
  </si>
  <si>
    <t>1467537825973342210</t>
  </si>
  <si>
    <t>@drfahrettinkoca Her yer tıka basa dolu at yalanı ölenlerin yakınlarının vebalinde boğulun</t>
  </si>
  <si>
    <t>1467537794046246918</t>
  </si>
  <si>
    <t>@drfahrettinkoca Sadece olduğum üniveriste full virüslü bu sayılar tamamen yalan</t>
  </si>
  <si>
    <t>1467537781610229761</t>
  </si>
  <si>
    <t>@drfahrettinkoca Ne özverisi ne önlemi dalga mı geçiyorsun metrobüste insanlar üstüste gidiyor hahahahhaha hala özv… https://t.co/OjXZ9mpeeJ</t>
  </si>
  <si>
    <t>1467537772684709891</t>
  </si>
  <si>
    <t>@drfahrettinkoca Yersen tabi</t>
  </si>
  <si>
    <t>1467537761049714689</t>
  </si>
  <si>
    <t>@drfahrettinkoca https://t.co/39KRyxAwEB</t>
  </si>
  <si>
    <t>1467537741407735816</t>
  </si>
  <si>
    <t>@drfahrettinkoca Verileri TÜİK ten mi aldınız</t>
  </si>
  <si>
    <t>1467537736366276615</t>
  </si>
  <si>
    <t>@drfahrettinkoca Sayın bakanım sizi tebrik ediyorum güzel bir başarı yakaladık ama yılbaşı geliyor ve özellikle kap… https://t.co/K4qbvUgSBF</t>
  </si>
  <si>
    <t>1467537716099309569</t>
  </si>
  <si>
    <t>@drfahrettinkoca 😂😂</t>
  </si>
  <si>
    <t>1467537671765516288</t>
  </si>
  <si>
    <t>@drfahrettinkoca Aşı bakanı verdiğin verilere kimse inanmıyor. Avrupa coronadan alarm durumunda bizim ülkede herşey… https://t.co/xOBOMWqGh3</t>
  </si>
  <si>
    <t>1467537637296807940</t>
  </si>
  <si>
    <t>@drfahrettinkoca Hangi tedbir ve özveri?</t>
  </si>
  <si>
    <t>1467537629419819012</t>
  </si>
  <si>
    <t>@drfahrettinkoca Reis O Tabloyu Ben 4 DK Da Yaparım Orayada İstediğim Vaka Sayısını Yazarım 😉</t>
  </si>
  <si>
    <t>1467537609165619207</t>
  </si>
  <si>
    <t>@drfahrettinkoca #yks2022 MATEMATİK GEOMETRİ YKS AYT TYT LGS KPSS ALES DGS KONU ANLATIMLARI SORU COZUMLERI DENEME C… https://t.co/2tQzWNCLvo</t>
  </si>
  <si>
    <t>1467537597186646021</t>
  </si>
  <si>
    <t>@drfahrettinkoca İstifaaaaaaa etmenin zamanı geldi bence</t>
  </si>
  <si>
    <t>1467537581860605954</t>
  </si>
  <si>
    <t>@drfahrettinkoca 6 yaşında oğlumu okula gönderiyorum, tek koruyucu maske! Hiç içim elvermiyor  Her an herşey olacak diye.</t>
  </si>
  <si>
    <t>1467537563976187908</t>
  </si>
  <si>
    <t>@drfahrettinkoca Sizden izinsiz bişe söyler miyim efendim</t>
  </si>
  <si>
    <t>1467537546196537346</t>
  </si>
  <si>
    <t>@drfahrettinkoca Tadbir mi tedbir mi</t>
  </si>
  <si>
    <t>1467537538487365636</t>
  </si>
  <si>
    <t>@drfahrettinkoca Ziyadesiyle ziyan olduk! #FKUyumaNerede40BinAtama</t>
  </si>
  <si>
    <t>1467537529100505093</t>
  </si>
  <si>
    <t>@drfahrettinkoca Kılavuzu gören duyan var mı? Kayboldu galiba Bu kadar zaman yayımlanmasının başka açıklaması olama… https://t.co/pf6RckVEq1</t>
  </si>
  <si>
    <t>1467537527951273986</t>
  </si>
  <si>
    <t>@drfahrettinkoca #maske #mesafe uymayanlar #covid zaten en yakınızdan bulaşıyor</t>
  </si>
  <si>
    <t>1467537525778563072</t>
  </si>
  <si>
    <t>@drfahrettinkoca 40 binlik alımda SAĞLIK YÖNETİMİ de yer alsın sayın bakanım https://t.co/5YbtNxdyOM</t>
  </si>
  <si>
    <t>1467537510414831622</t>
  </si>
  <si>
    <t>@drfahrettinkoca Inanmak istemiyorum inanmak istemiyorum inanmak istemiyorum</t>
  </si>
  <si>
    <t>1467537508879773701</t>
  </si>
  <si>
    <t>@drfahrettinkoca Vaka ve ölüm sayıları saklanıyor</t>
  </si>
  <si>
    <t>1467537507155853316</t>
  </si>
  <si>
    <t>@drfahrettinkoca Bu hafta da kılavuz ile ilgili bir gelişme yaşanmazsa sabrımız tükenecek ve farklı arayışlara gire… https://t.co/ssiN7axXG9</t>
  </si>
  <si>
    <t>1467537506493210635</t>
  </si>
  <si>
    <t>@drfahrettinkoca Okullardaki 40 dakikalık ara kalkmalı lütfen bunun için daha nekadar haykırmamız gerekiyor ☹ bir anne çağrısı..</t>
  </si>
  <si>
    <t>1467537493696335877</t>
  </si>
  <si>
    <t>@drfahrettinkoca Hasta olmayan kalmadı onun için düşüyor olabilir...</t>
  </si>
  <si>
    <t>1467537491628638208</t>
  </si>
  <si>
    <t>@drfahrettinkoca Gerekirse her gün gündem oluruz hakkımızı alana kadar @drfahrettinkoca  #FKUyumaNerede40BinAtama</t>
  </si>
  <si>
    <t>1467537485777485829</t>
  </si>
  <si>
    <t>@drfahrettinkoca Aşılama düştüğü için vakalar düşüyor. Anlayın artık şunu. Hiçmi istatistikten anlayan biri yok kur… https://t.co/jQbF6pYF8d</t>
  </si>
  <si>
    <t>1467537483202277385</t>
  </si>
  <si>
    <t>@drfahrettinkoca Bakanim aslinda yasaklara gore ve su anki yasam tarzimiza bakilirsa (yeni varyantlara yakalanmazsa… https://t.co/YBYx08GYTA</t>
  </si>
  <si>
    <t>1467537477648977926</t>
  </si>
  <si>
    <t>@drfahrettinkoca Yıl bitti yıl Biz halen bir umut atama peşindeyiz Hepimizin emeğine yazık ettiniz @drfahrettinkoca… https://t.co/oAyngj0CD6</t>
  </si>
  <si>
    <t>1467537464730558468</t>
  </si>
  <si>
    <t>@drfahrettinkoca Vaka sayısı 20 binin altına düşmüş, kapanma diyen arkadaşlar artık susar herhalde..</t>
  </si>
  <si>
    <t>1467537445709357063</t>
  </si>
  <si>
    <t>@drfahrettinkoca En kötü ihtimal bile belirsizlikten iyi, branş dağılımını verin bari önümüze bakalım sn bakanım @drfahrettinkoca</t>
  </si>
  <si>
    <t>1467537442693689346</t>
  </si>
  <si>
    <t>@drfahrettinkoca Umutlarımızı elimizden aldınız Söz verip tutmadınız Artık yetmez mi Kılavuzu yayınlamak için neyi… https://t.co/A9BSm7gzTU</t>
  </si>
  <si>
    <t>1467537421139169288</t>
  </si>
  <si>
    <t>@drfahrettinkoca DİKKAT ❗❗❗BUBİR SUÇ DUYURUSUDUR❗❗❗ @fettahtamince  ye ait @sembolinsaat geçirdiği iş kazası sonucu… https://t.co/J22t1PUu1L</t>
  </si>
  <si>
    <t>1467537414809915396</t>
  </si>
  <si>
    <t>@drfahrettinkoca Bu kadarıda fazla ama , insanları salak yerine koyar gibi vaka sayısı paylaşıyorsunuz</t>
  </si>
  <si>
    <t>1467537403497926663</t>
  </si>
  <si>
    <t>@drfahrettinkoca Avrupa bizi kıskanıyordur kesin 😂 Turist aksın diye doları/euroyu harlıyorsunuz ama kapıları bir k… https://t.co/StMEnXov9E</t>
  </si>
  <si>
    <t>1467537401409011712</t>
  </si>
  <si>
    <t>@drfahrettinkoca Söz ağızdan çıktı tarihe bakar mısınız sayın @drfahrettinkoca @gozdekirisciogl… https://t.co/PMQ6wjpn9n</t>
  </si>
  <si>
    <t>1467537400138289155</t>
  </si>
  <si>
    <t>@drfahrettinkoca Hangi çaba ve özveri ile yahu?  Tweet atmaya harcadığınız enerjiyi çare üretmeye verseniz vakalar… https://t.co/m5QnaXty6G</t>
  </si>
  <si>
    <t>1467537398208806913</t>
  </si>
  <si>
    <t>@drfahrettinkoca Umudumu kestim ben aralıktan. Sıra ocakta</t>
  </si>
  <si>
    <t>1467537383465885708</t>
  </si>
  <si>
    <t>@drfahrettinkoca Sağlık Bakanlığı'nın Türkiye Cumhuriyeti tarihinde bu kadar kötü duruma düştüğü görülmemiştir. Alt… https://t.co/YdHqNAcBCT</t>
  </si>
  <si>
    <t>1467537378931879937</t>
  </si>
  <si>
    <t>@drfahrettinkoca 40 binlik alımda SAĞLIK YÖNETİMİ de yer alsın sayın bakanım https://t.co/IAFWlOPWdw</t>
  </si>
  <si>
    <t>1467537357901598735</t>
  </si>
  <si>
    <t>@drfahrettinkoca Sağlıkçılar hicbir zaman bu denli mağdur olmamıştı heleki   Sağlıkçı yılında 1 yıldır yapılmayan a… https://t.co/Tti3Hmw5Ub</t>
  </si>
  <si>
    <t>1467537356970504210</t>
  </si>
  <si>
    <t>@drfahrettinkoca 800 bin sağlık mezunu genç 2021 yılını unutmayacak @drfahrettinkoca @suayipbirinci… https://t.co/PmI3iIngw8</t>
  </si>
  <si>
    <t>1467537335566974977</t>
  </si>
  <si>
    <t>@drfahrettinkoca Arkadaşlar beğenmeyin yalan dolan şeyler</t>
  </si>
  <si>
    <t>1467537326003867652</t>
  </si>
  <si>
    <t>@drfahrettinkoca Klavuz nerede? Suya mı düştü?Suyu nek mi içti? İnek dağa mı kaçtı? Dağ mı yandı? Nerede klavuz!!!!… https://t.co/M4Cng5THZM</t>
  </si>
  <si>
    <t>1467537314830327808</t>
  </si>
  <si>
    <t>@drfahrettinkoca bütün dünya da vakalar patladı biz de niye olmadı ? aşıya felan bağlı demeyin çünkü öyle bişey yok.</t>
  </si>
  <si>
    <t>1467537312473047049</t>
  </si>
  <si>
    <t>@drfahrettinkoca Gerçek tabloyu yayınla artik</t>
  </si>
  <si>
    <t>1467537312405991425</t>
  </si>
  <si>
    <t>@drfahrettinkoca Hani bize verilen sözler bir iki haftaya birkaç gün içinde bu ay içinde diye diye yıl bitti bakanı… https://t.co/mqWqXUJKlB</t>
  </si>
  <si>
    <t>1467537291405111299</t>
  </si>
  <si>
    <t>@drfahrettinkoca Sesimizi herkes duydu.  Sayın @drfahrettinkoca hariç. #FKUyumaNerede40BinAtama https://t.co/9A24etieMS</t>
  </si>
  <si>
    <t>1467537268990689285</t>
  </si>
  <si>
    <t>@drfahrettinkoca Yalan söyleme artık kimse inanmıyor zaten sal sende hadi lütfen</t>
  </si>
  <si>
    <t>1467537259574530067</t>
  </si>
  <si>
    <t>@drfahrettinkoca Yalan yalan yalan</t>
  </si>
  <si>
    <t>1467537249034293259</t>
  </si>
  <si>
    <t>@drfahrettinkoca 25 gün sonra 2022 ye gireceğiz ve hala ilk atamayı almak için tweet atıyoruz. Atama ile ilgili o k… https://t.co/PnWXqGGRGK</t>
  </si>
  <si>
    <t>1467537246798684161</t>
  </si>
  <si>
    <t>@drfahrettinkoca Bizim umutlarimiz bitti de sizin ertelemeleriniz bitmedi !! Ha bide yil bitti bitecek… https://t.co/uXJlekPtYW</t>
  </si>
  <si>
    <t>1467537223281262598</t>
  </si>
  <si>
    <t>@drfahrettinkoca 40 binlik alımda SAĞLIK YÖNETİMİ de yer alsın sayın bakanım https://t.co/4wMsEd6TCF</t>
  </si>
  <si>
    <t>1467537210589298688</t>
  </si>
  <si>
    <t>@drfahrettinkoca Üç yüz altmış beş günüm yandı ha yandı, yandı ha yandı  Bir senemde bir ATAMA için yandı ha yandı… https://t.co/E7abJhQADh</t>
  </si>
  <si>
    <t>1467537201990938627</t>
  </si>
  <si>
    <t>1467537169527058437</t>
  </si>
  <si>
    <t>@drfahrettinkoca 25 gün sonra 2022 ye gireceğiz ve hala ilk atamayı almak için tweet atıyoruz. Atama ile ilgili o k… https://t.co/zogAANL1Ed</t>
  </si>
  <si>
    <t>1467537095417909256</t>
  </si>
  <si>
    <t>@drfahrettinkoca HERKES DUYSUN koskoca sağlık bakanlığı sağlıkçısına manevi soykırım yapıyor. Hakkını vermiyor, yap… https://t.co/UqkFjAKG5Y</t>
  </si>
  <si>
    <t>1467537073628454917</t>
  </si>
  <si>
    <t>@drfahrettinkoca Hala inandığımızı sanıyor knk sen atmasan bile herkes tahmin ediyor zaten</t>
  </si>
  <si>
    <t>1467537072856649735</t>
  </si>
  <si>
    <t>@drfahrettinkoca Ne özverisi memlekette covid geçirmeyen kalmadı zaten</t>
  </si>
  <si>
    <t>1467537061670526984</t>
  </si>
  <si>
    <t>@drfahrettinkoca 40 binlik alımda SAĞLIK YÖNETİMİ de yer alsın sayın bakanım https://t.co/WWCwPR6p8o</t>
  </si>
  <si>
    <t>1467537046088601606</t>
  </si>
  <si>
    <t>@drfahrettinkoca Râhman ve Rahîm Rabbimiz Sağlık  verirsiniz inşaAllah Rabbimiz şükürler olsun daima ve Merhamed ol… https://t.co/ZawIVG6oJ4</t>
  </si>
  <si>
    <t>1467537045379821570</t>
  </si>
  <si>
    <t>@drfahrettinkoca https://t.co/vLZl5R1ghw</t>
  </si>
  <si>
    <t>1467536996872687622</t>
  </si>
  <si>
    <t>@drfahrettinkoca Ordu hem asi oraninda zirvede, hem de vaka oraninda 🤔</t>
  </si>
  <si>
    <t>1467536993592778752</t>
  </si>
  <si>
    <t>@drfahrettinkoca 3.asi icin neden 6.ayi bekliyorsunuz.Neden maskeyi zorunlu hale getirmiyorsunuz...!</t>
  </si>
  <si>
    <t>1467536975955693573</t>
  </si>
  <si>
    <t>@drfahrettinkoca Kılavuzzzzzz</t>
  </si>
  <si>
    <t>1467536969479634944</t>
  </si>
  <si>
    <t>1467536923971534853</t>
  </si>
  <si>
    <t>@drfahrettinkoca Seni bu twitti atabilmek için iznin varmi yaa ? Yür git alla askina 2 aydir 20 23 26 28 bin oluyo… https://t.co/dpa9dlOreu</t>
  </si>
  <si>
    <t>1467536906837794824</t>
  </si>
  <si>
    <t>@drfahrettinkoca Bakan Bey, kafanızı yastığa koydugunuzda rahat uyuyabiliyor musunuz? ? Zira ben uyuyamiyorum da  bi sorayım dedim</t>
  </si>
  <si>
    <t>1467536891222372356</t>
  </si>
  <si>
    <t>1467536853544882179</t>
  </si>
  <si>
    <t>@drfahrettinkoca 40 binlik alımda SAĞLIK YÖNETİMİ de yer alsın sayın bakanım https://t.co/5HghTORvJw</t>
  </si>
  <si>
    <t>1467536842413195270</t>
  </si>
  <si>
    <t>@drfahrettinkoca Aylardır hayallerimizle oynuyorsunuz sayın bakanım. Görevinin başına geçmek için can atan gençleri… https://t.co/pQDmSvpaTc</t>
  </si>
  <si>
    <t>1467536840001478664</t>
  </si>
  <si>
    <t>@drfahrettinkoca Bakanım kılavuz istiyoruz artıkkkkk @drfahrettinkoca   #FKUyumaNerede40BinAtama</t>
  </si>
  <si>
    <t>1467536836553752588</t>
  </si>
  <si>
    <t>@drfahrettinkoca Inandirici degil</t>
  </si>
  <si>
    <t>1467536834938953733</t>
  </si>
  <si>
    <t>@drfahrettinkoca gunluk rutin saka</t>
  </si>
  <si>
    <t>1467536824642027524</t>
  </si>
  <si>
    <t>@drfahrettinkoca Online eğitim için kararlıyız . #KabineZKusağıOnlineİstiyor</t>
  </si>
  <si>
    <t>1467536811404795911</t>
  </si>
  <si>
    <t>@drfahrettinkoca Gözün aydın hadi maskeleri atalım</t>
  </si>
  <si>
    <t>1467536782191431682</t>
  </si>
  <si>
    <t>@drfahrettinkoca İnsanlara sözler verdiniz tutmadınız. Umut verdiniz kayboldunuz. Nerede kılavuz nerede atama ?</t>
  </si>
  <si>
    <t>1467536773827936263</t>
  </si>
  <si>
    <t>@drfahrettinkoca Artık tabloyu yayınlamanız gerek yok. Ulkede covit bitmiş.Aklımızla dalga geçmeyi bırakın artık.Ya… https://t.co/JZPE9G9lpZ</t>
  </si>
  <si>
    <t>1467536771793707011</t>
  </si>
  <si>
    <t>@drfahrettinkoca Git ya bi ileri iki geri. 3 aydır aynı tablo.  #Kabinezkusagionlineistiyor  #yenidenonlineeğitim</t>
  </si>
  <si>
    <t>1467536748146221062</t>
  </si>
  <si>
    <t>@drfahrettinkoca Kılavuz #FKUyumaNerede40BinAtama</t>
  </si>
  <si>
    <t>1467536729339011072</t>
  </si>
  <si>
    <t>@drfahrettinkoca Sayın Bakan, Bütün Ülkeler Yeniden Kapanmaya Gidiyor. Aşının Çözüm Olmadığını Siz Daha iyi Biliyor… https://t.co/KRPAF7rwPe</t>
  </si>
  <si>
    <t>1467536728600858631</t>
  </si>
  <si>
    <t>@drfahrettinkoca Sayın bakanım bu sayılarla kimi kandırdığınızı sanıyorsunuz umarım yarın online eğitim gelir kabin… https://t.co/AXgVo79CM6</t>
  </si>
  <si>
    <t>1467536726679826434</t>
  </si>
  <si>
    <t>@drfahrettinkoca Sayın Bakan, TUİK’e başvurun O’nlar bırakın yirmi binin altını, binin altına bile düşürürler.</t>
  </si>
  <si>
    <t>1467536724389769219</t>
  </si>
  <si>
    <t>@drfahrettinkoca Sayın bakan çok çok çok savunduğu biontech verileri Adamların kendi verisi. Nedir bu aşı fantazisi… https://t.co/gO7g5l40Ki</t>
  </si>
  <si>
    <t>1467536719373348875</t>
  </si>
  <si>
    <t>@drfahrettinkoca Aşı olmayanlara Avrupa gibi sert tedbirler alınmadığı sürece bu rakamlar böyle devam edecek gibi…</t>
  </si>
  <si>
    <t>1467536718140260360</t>
  </si>
  <si>
    <t>@drfahrettinkoca İnandık knk</t>
  </si>
  <si>
    <t>1467536704739414018</t>
  </si>
  <si>
    <t>@drfahrettinkoca 40 binlik alımda SAĞLIK YÖNETİMİ de yer alsın sayın bakanım https://t.co/7AMn119qio</t>
  </si>
  <si>
    <t>1467536692982816775</t>
  </si>
  <si>
    <t>@drfahrettinkoca Omicron var omicron! Test kitleri yakalayamiyor okulları acil online eğitim olarak devam ettir ne… https://t.co/VT8OikY6Mo</t>
  </si>
  <si>
    <t>1467536648154066948</t>
  </si>
  <si>
    <t>@drfahrettinkoca Atama da bizim mücadele kararlılığımıza mı bağlı #FKUyumaNerede40BinAtama</t>
  </si>
  <si>
    <t>1467536645226438656</t>
  </si>
  <si>
    <t>@drfahrettinkoca Çocuklar covid testi yapılan hastanelerde test olamıyor. Bu durumun düzelmesi gerekiyor.</t>
  </si>
  <si>
    <t>1467536642198097942</t>
  </si>
  <si>
    <t>@drfahrettinkoca Okullar için tedbir almadınız,5-11 yaşa  aşı hakkını açmadiniz veya test zorunluluğu getirmediniz,… https://t.co/ZlW7Il71sf</t>
  </si>
  <si>
    <t>1467536642059776004</t>
  </si>
  <si>
    <t>@drfahrettinkoca PUHAHAHAHAHAHAHAHHAHAHAHAHHA ALLAH BİR DESEN ANCA ONA İNANIRIM</t>
  </si>
  <si>
    <t>1467536632647720964</t>
  </si>
  <si>
    <t>@drfahrettinkoca Hafta sonu etkisi yarın 20binin üzerine tekrar çıkar merak etmeyin</t>
  </si>
  <si>
    <t>1467536616575094798</t>
  </si>
  <si>
    <t>@drfahrettinkoca Yılbaşında RUS turistler gidince VAKA sayısı artar.. onlar gelene kadar iner! VAKA sayısı düşerken… https://t.co/rfGDWh6zym</t>
  </si>
  <si>
    <t>1467536581225496595</t>
  </si>
  <si>
    <t>@drfahrettinkoca Biz atamayı almaya kararlıyız bize artık hakkımız olan atamayı verin #FKUyumaNerede40BinAtama</t>
  </si>
  <si>
    <t>1467536577953943561</t>
  </si>
  <si>
    <t>@drfahrettinkoca Pandemi bitmiş hayırlı olsun</t>
  </si>
  <si>
    <t>1467536565232615428</t>
  </si>
  <si>
    <t>@drfahrettinkoca SAĞLIKÇILAR KILAVUZU BİR İKİ HAFTADIR DEĞİL KOCA BİR YILDIR BEKLİYORi</t>
  </si>
  <si>
    <t>1467536561139027971</t>
  </si>
  <si>
    <t>@drfahrettinkoca SAĞLIKÇILAR KILAVUZU BİR İKİ HAFTADIR DEĞİL KOCA BİR YILDIR BEKLİYORş</t>
  </si>
  <si>
    <t>1467536547096506377</t>
  </si>
  <si>
    <t>@drfahrettinkoca SAĞLIKÇILAR KILAVUZU BİR İKİ HAFTADIR DEĞİL KOCA BİR YILDIR BEKLİYORl</t>
  </si>
  <si>
    <t>1467536530931875840</t>
  </si>
  <si>
    <t>@drfahrettinkoca 25 Kasımdaki konuşmanızda sağlık personeli ihtiyacımız büyüyerek devam etmektedir diyorsunuz 1 yıl… https://t.co/S8bQE9cGYf</t>
  </si>
  <si>
    <t>1467536530004717571</t>
  </si>
  <si>
    <t>@drfahrettinkoca Pandemi meraklısı değiliz fakat tüm ülkeler önlemler almaya tekrardan başladı,maske kısıtlaması ka… https://t.co/MLLVmGYj41</t>
  </si>
  <si>
    <t>1467536524837326855</t>
  </si>
  <si>
    <t>@drfahrettinkoca Omicron ne zaman gelecek?</t>
  </si>
  <si>
    <t>1467536519086972939</t>
  </si>
  <si>
    <t>@drfahrettinkoca SAĞLIKÇILAR KILAVUZU BİR İKİ HAFTADIR DEĞİL KOCA BİR YILDIR BEKLİYORk</t>
  </si>
  <si>
    <t>1467536517606346758</t>
  </si>
  <si>
    <t>@drfahrettinkoca Famivolu bırakalı azaldı sanki</t>
  </si>
  <si>
    <t>1467536514997497875</t>
  </si>
  <si>
    <t>@drfahrettinkoca K L A V U Z Bekliyoruz</t>
  </si>
  <si>
    <t>1467536506034212880</t>
  </si>
  <si>
    <t>@drfahrettinkoca SAĞLIKÇILAR KILAVUZU BİR İKİ HAFTADIR DEĞİL KOCA BİR YILDIR BEKLİYORj</t>
  </si>
  <si>
    <t>1467536503370915840</t>
  </si>
  <si>
    <t>@drfahrettinkoca 40 binlik alımda SAĞLIK YÖNETİMİ de yer alsın https://t.co/ds0iBbugTq</t>
  </si>
  <si>
    <t>1467536498228662278</t>
  </si>
  <si>
    <t>@drfahrettinkoca https://t.co/ZbBBriTK0k</t>
  </si>
  <si>
    <t>1467536496639029255</t>
  </si>
  <si>
    <t>@drfahrettinkoca tv haber kanallarında 20binin altına düşüremiyoruz daha deltayı atlatamadık omicron gelirse çok sı… https://t.co/Fls2n78mm1</t>
  </si>
  <si>
    <t>1467536493740711940</t>
  </si>
  <si>
    <t>@drfahrettinkoca SAĞLIKÇILAR KILAVUZU BİR İKİ HAFTADIR DEĞİL KOCA BİR YILDIR BEKLİYORh</t>
  </si>
  <si>
    <t>1467536489458413573</t>
  </si>
  <si>
    <t>@drfahrettinkoca Bir gün önce 21 bin olan vaka sayısı nasıl oluyrda bir gün SONRA 20bin altına düşüyor ya</t>
  </si>
  <si>
    <t>1467536475671646219</t>
  </si>
  <si>
    <t>@drfahrettinkoca SAĞLIKÇILAR KILAVUZU BİR İKİ HAFTADIR DEĞİL KOCA BİR YILDIR BEKLİYORf</t>
  </si>
  <si>
    <t>1467536475264798732</t>
  </si>
  <si>
    <t>@drfahrettinkoca Seve seve inicen 10 binin altına millet gözünü açtı inesiye kadar bir iki saf Türk ü de kandırırsı… https://t.co/Dp5H8uWkdO</t>
  </si>
  <si>
    <t>1467536472093990912</t>
  </si>
  <si>
    <t>1467536466289082373</t>
  </si>
  <si>
    <t>@drfahrettinkoca Sayın Koca! Vaka ve ölüm sayılarını saklama konusunda uzman oldunuz!! Bu enerjinizi salgınla mücad… https://t.co/0J54Jw9SLS</t>
  </si>
  <si>
    <t>1467536462971383814</t>
  </si>
  <si>
    <t>@drfahrettinkoca SAĞLIKÇILAR KILAVUZU BİR İKİ HAFTADIR DEĞİL KOCA BİR YILDIR BEKLİYORs</t>
  </si>
  <si>
    <t>1467536460991672320</t>
  </si>
  <si>
    <t>@drfahrettinkoca Allah aşkına aşılama durduğu veya yavaşladığı için vaka sayıları düşüyor olabilirmi acaba</t>
  </si>
  <si>
    <t>1467536459183771650</t>
  </si>
  <si>
    <t>@drfahrettinkoca SAĞLIKÇILAR KILAVUZU BİR İKİ HAFTADIR DEĞİL KOCA BİR YILDIR BEKLİYORa</t>
  </si>
  <si>
    <t>1467536444688322567</t>
  </si>
  <si>
    <t>@drfahrettinkoca Sayın bakanım, nezaket çağrısı ile olacak gibi görünmüyor. Rijit ve kalıcı çözümler kaçınılmaz görünüyor.</t>
  </si>
  <si>
    <t>1467536442247233540</t>
  </si>
  <si>
    <t>@drfahrettinkoca SAĞLIKÇILAR KILAVUZU BİR İKİ HAFTADIR DEĞİL KOCA BİR YILDIR BEKLİYORü</t>
  </si>
  <si>
    <t>1467536429953789957</t>
  </si>
  <si>
    <t>@drfahrettinkoca Yüz yüze eğitim zorunluluktan çıkmalı tercih olmalı yoksa böyle binlerce öğrenci ölüme gidecek bir… https://t.co/QFh3tkzcoB</t>
  </si>
  <si>
    <t>1467536420592050182</t>
  </si>
  <si>
    <t>@drfahrettinkoca SAĞLIKÇILAR KILAVUZU BİR İKİ HAFTADIR DEĞİL KOCA BİR YILDIR BEKLİYORğ</t>
  </si>
  <si>
    <t>1467536416364281863</t>
  </si>
  <si>
    <t>@drfahrettinkoca Tadbir değil tedbir sayın bakan</t>
  </si>
  <si>
    <t>1467536412178272263</t>
  </si>
  <si>
    <t>@drfahrettinkoca şakalar komiklikler #KabineZKusağıOnlineİstiyor</t>
  </si>
  <si>
    <t>1467536408260792320</t>
  </si>
  <si>
    <t>@drfahrettinkoca SAĞLIKÇILAR KILAVUZU BİR İKİ HAFTADIR DEĞİL KOCA BİR YILDIR BEKLİYORp</t>
  </si>
  <si>
    <t>1467536393715032072</t>
  </si>
  <si>
    <t>@drfahrettinkoca Tüm tedbirler tamam Harita mavi tamam</t>
  </si>
  <si>
    <t>1467536387008307201</t>
  </si>
  <si>
    <t>@drfahrettinkoca Allah belanızı versin.</t>
  </si>
  <si>
    <t>1467536381245374465</t>
  </si>
  <si>
    <t>@drfahrettinkoca SAĞLIKÇILAR KILAVUZU BİR İKİ HAFTADIR DEĞİL KOCA BİR YILDIR BEKLİYORo</t>
  </si>
  <si>
    <t>1467536379961872389</t>
  </si>
  <si>
    <t>@drfahrettinkoca Bu adamı  istifa ettirmeyen biz halkada yazıklar olsun, almanyada 65 bin vaka var ama götüm götüm… https://t.co/MM1osp5kZl</t>
  </si>
  <si>
    <t>1467536378892275713</t>
  </si>
  <si>
    <t>@drfahrettinkoca Neyin aşısı sen bizle dalgamı geçiyorsun, @drfahrettinkoca  Aşılar kaç ay önceki aşılar,yeni çıkan… https://t.co/tq8q8CESDG</t>
  </si>
  <si>
    <t>1467536368482107395</t>
  </si>
  <si>
    <t>@drfahrettinkoca SAĞLIKÇILAR KILAVUZU BİR İKİ HAFTADIR DEĞİL KOCA BİR YILDIR BEKLİYORu</t>
  </si>
  <si>
    <t>1467536365285949450</t>
  </si>
  <si>
    <t>@drfahrettinkoca Sağlık yönetimine atama istiyoruz https://t.co/hUcizeaoDQ</t>
  </si>
  <si>
    <t>1467536359229472771</t>
  </si>
  <si>
    <t>@drfahrettinkoca SAĞLIKÇILAR KILAVUZU BİR İKİ HAFTADIR DEĞİL KOCA BİR YILDIR BEKLİYORy</t>
  </si>
  <si>
    <t>1467536350928900098</t>
  </si>
  <si>
    <t>@drfahrettinkoca SAĞLIKÇILAR KILAVUZU BİR İKİ HAFTADIR DEĞİL KOCA BİR YILDIR BEKLİYORt</t>
  </si>
  <si>
    <t>1467536336924119047</t>
  </si>
  <si>
    <t>@drfahrettinkoca Bakanım doğru tablo gösterirseniz seviniriz</t>
  </si>
  <si>
    <t>1467536332306141191</t>
  </si>
  <si>
    <t>@drfahrettinkoca ya ne ığraşı maskeyi serbest bırak bak nasıl düşüyor vakaa sayısı , testi paralı  yap bak nasıl düşüyor vakaa</t>
  </si>
  <si>
    <t>1467536325075161088</t>
  </si>
  <si>
    <t>@drfahrettinkoca Buna ancak kendiniz inanırsınız Avrupa tedbir alıyor sizin güçünüz yok vakaları düşük göstererek e… https://t.co/nHxCGsBQaJ</t>
  </si>
  <si>
    <t>1467536324806721543</t>
  </si>
  <si>
    <t>@drfahrettinkoca SAĞLIKÇILAR KILAVUZU BİR İKİ HAFTADIR DEĞİL KOCA BİR YILDIR BEKLİYORr</t>
  </si>
  <si>
    <t>1467536322806128642</t>
  </si>
  <si>
    <t>@drfahrettinkoca Valla ben bu işi anlamadım aşı var ama hala pozitif vakaa yüksek</t>
  </si>
  <si>
    <t>1467536311078858752</t>
  </si>
  <si>
    <t>@drfahrettinkoca SAĞLIKÇILAR KILAVUZU BİR İKİ HAFTADIR DEĞİL KOCA BİR YILDIR BEKLİYORe</t>
  </si>
  <si>
    <t>1467536309027811340</t>
  </si>
  <si>
    <t>@drfahrettinkoca SAĞLIKÇILAR KILAVUZU BİR İKİ HAFTADIR DEĞİL KOCA BİR YILDIR BEKLİYORw</t>
  </si>
  <si>
    <t>1467536294305804300</t>
  </si>
  <si>
    <t>@drfahrettinkoca SAĞLIKÇILAR KILAVUZU BİR İKİ HAFTADIR DEĞİL KOCA BİR YILDIR BEKLİYORq</t>
  </si>
  <si>
    <t>1467536279206301704</t>
  </si>
  <si>
    <t>@drfahrettinkoca SAĞLIKÇILAR KILAVUZU BİR İKİ HAFTADIR DEĞİL KOCA BİR YILDIR BEKLİYOR0</t>
  </si>
  <si>
    <t>1467536264119398403</t>
  </si>
  <si>
    <t>@drfahrettinkoca 5k ya düşmüştü delta geldi 19k da omigron gelir 100k olur günlük</t>
  </si>
  <si>
    <t>1467536262131298306</t>
  </si>
  <si>
    <t>@drfahrettinkoca SAĞLIKÇILAR KILAVUZU BİR İKİ HAFTADIR DEĞİL KOCA BİR YILDIR BEKLİYOR9</t>
  </si>
  <si>
    <t>1467536248248184837</t>
  </si>
  <si>
    <t>@drfahrettinkoca SAĞLIKÇILAR KILAVUZU BİR İKİ HAFTADIR DEĞİL KOCA BİR YILDIR BEKLİYOR8</t>
  </si>
  <si>
    <t>1467536230351048706</t>
  </si>
  <si>
    <t>@drfahrettinkoca Olmayan kalmadı neredeyse zaten, olmayan azınlık  kişi de aşılı olup ayakta atlatıyor ( grip sanıyor kendini )..</t>
  </si>
  <si>
    <t>1467536218757943301</t>
  </si>
  <si>
    <t>@drfahrettinkoca SAĞLIKÇILAR KILAVUZU BİR İKİ HAFTADIR DEĞİL KOCA BİR YILDIR BEKLİYOR7</t>
  </si>
  <si>
    <t>1467536213355732998</t>
  </si>
  <si>
    <t>@drfahrettinkoca Mesala nasıl bir uğraş pek belli olmuyor</t>
  </si>
  <si>
    <t>1467536210042048518</t>
  </si>
  <si>
    <t>@drfahrettinkoca Bilmez miyiz bakanım? Bu sağ olsun büyük yardımı dokundu. https://t.co/EUYI8Cw3Lu</t>
  </si>
  <si>
    <t>1467536197803298818</t>
  </si>
  <si>
    <t>@drfahrettinkoca Ben size hakkımı helal etmiyorum.</t>
  </si>
  <si>
    <t>1467536197123780620</t>
  </si>
  <si>
    <t>@drfahrettinkoca Tuik mi acikliyor bu rakamlari da</t>
  </si>
  <si>
    <t>1467536194879647744</t>
  </si>
  <si>
    <t>@drfahrettinkoca SAĞLIKÇILAR KILAVUZU BİR İKİ HAFTADIR DEĞİL KOCA BİR YILDIR BEKLİYOR5</t>
  </si>
  <si>
    <t>1467536174411665412</t>
  </si>
  <si>
    <t>@drfahrettinkoca Bakanım vaka sayılarının düşebilmesi için sahada yeterli personel de olmalı,ama sahadaki sağlıkçı… https://t.co/x3KwKdnVSb</t>
  </si>
  <si>
    <t>1467536164534079495</t>
  </si>
  <si>
    <t>@drfahrettinkoca SAĞLIKÇILAR KILAVUZU BİR İKİ HAFTADIR DEĞİL KOCA BİR YILDIR BEKLİYOR4</t>
  </si>
  <si>
    <t>1467536156736827398</t>
  </si>
  <si>
    <t>@drfahrettinkoca ŞAKKACİĞ</t>
  </si>
  <si>
    <t>1467536156472582151</t>
  </si>
  <si>
    <t>@drfahrettinkoca Bu tablodaki verilerin kaç aydır önlemleri gevşettiğinizden beri bu kadar sabit olması hiç inandır… https://t.co/43ZGNm6I8G</t>
  </si>
  <si>
    <t>1467536155503640579</t>
  </si>
  <si>
    <t>@drfahrettinkoca 3 aydır 180 ile 220 arasındaki tüm sayılarda başarılı bir istatistik yakaladınız. Bravo. Nasıl yap… https://t.co/0qAqf8hxbO</t>
  </si>
  <si>
    <t>1467536150491545603</t>
  </si>
  <si>
    <t>@drfahrettinkoca Millet aç ,Bir kelam yok.Asi aşı asi bu ne yaaa...</t>
  </si>
  <si>
    <t>1467536148994142220</t>
  </si>
  <si>
    <t>@drfahrettinkoca online eğitime mecbur kalacaksınız yakında. bu ne tedbirsizlik, ne duyarsızlık, yeter artık #kabinezkuşağıonlineistiyor</t>
  </si>
  <si>
    <t>1467536144359378948</t>
  </si>
  <si>
    <t>@drfahrettinkoca SAĞLIKÇILAR KILAVUZU BİR İKİ HAFTADIR DEĞİL KOCA BİR YILDIR BEKLİYOR3</t>
  </si>
  <si>
    <t>1467536140441993224</t>
  </si>
  <si>
    <t>@drfahrettinkoca Yahu bakan çok başarılısınız. Topu topuna 195 kişi vefat etmiş.</t>
  </si>
  <si>
    <t>1467536135773691909</t>
  </si>
  <si>
    <t>@drfahrettinkoca Bu tabloya hala inanan var mı ?</t>
  </si>
  <si>
    <t>1467536131566809091</t>
  </si>
  <si>
    <t>@drfahrettinkoca SAĞLIKÇILAR KILAVUZU BİR İKİ HAFTADIR DEĞİL KOCA BİR YILDIR BEKLİYOR2</t>
  </si>
  <si>
    <t>1467536123614449674</t>
  </si>
  <si>
    <t>@drfahrettinkoca Test sayısı az farketmediniz sanırım sayın bakanim</t>
  </si>
  <si>
    <t>1467536110339383298</t>
  </si>
  <si>
    <t>@drfahrettinkoca Bakanım bu verdiğiniz sayılara çok inanıyoruz. Tıpkı "Fazla uzamayacak", "2-3 ay içinde" gibi ifad… https://t.co/ExPSDVDyQI</t>
  </si>
  <si>
    <t>1467536108410097664</t>
  </si>
  <si>
    <t>@drfahrettinkoca SAĞLIKÇILAR KILAVUZU BİR İKİ HAFTADIR DEĞİL KOCA BİR YILDIR BEKLİYOR1</t>
  </si>
  <si>
    <t>1467536105482465280</t>
  </si>
  <si>
    <t>@drfahrettinkoca Sağlık yönetimine kadro verilsin artık https://t.co/6Oiu1iN8hl</t>
  </si>
  <si>
    <t>1467536101489397766</t>
  </si>
  <si>
    <t>1467536087245627394</t>
  </si>
  <si>
    <t>@drfahrettinkoca Kılavuz Kılavuz Kılavuz Kılavuz Kılavuz Kılavuz Kılavuz Kılavuz Kılavuz Kılavuz Kılavuz Kılavuz Kı… https://t.co/LMvHcOrxnS</t>
  </si>
  <si>
    <t>1467536071005200386</t>
  </si>
  <si>
    <t>1467536070392922118</t>
  </si>
  <si>
    <t>@drfahrettinkoca Bıkmadın değil mi hiç bir işe yaramayan bu ruhsatsız aşıların reklamını yapmaktan! 😡 😡 😡</t>
  </si>
  <si>
    <t>1467536058363613188</t>
  </si>
  <si>
    <t>1467536050457305091</t>
  </si>
  <si>
    <t>@drfahrettinkoca DSÖ başı ve sen kuklasiniz ilumaniticiler sizi aşinizi olmayacağım zorlayın bakiyim https://t.co/AUNi3jFVLn</t>
  </si>
  <si>
    <t>1467536050277003281</t>
  </si>
  <si>
    <t>@drfahrettinkoca Bu gözler kılavuz görmek ister bakan bey #FKUyumaNerede40BinAtama</t>
  </si>
  <si>
    <t>1467536024146427906</t>
  </si>
  <si>
    <t>@drfahrettinkoca inan kaldı mı buna</t>
  </si>
  <si>
    <t>1467535948791566339</t>
  </si>
  <si>
    <t>@drfahrettinkoca Ayyyyy kılavuzzzzz kılavuzzzzzzzzzzzzzzzz 🙄</t>
  </si>
  <si>
    <t>1467535948372189192</t>
  </si>
  <si>
    <t>@drfahrettinkoca iki gün sonra OMİCRON VAR DİYE DUYURURSUNUZ. Hep umut hep umut</t>
  </si>
  <si>
    <t>1467535947541712898</t>
  </si>
  <si>
    <t>@drfahrettinkoca "size sormadan sayı açıklarmıyım efendim!"</t>
  </si>
  <si>
    <t>1467535946476404742</t>
  </si>
  <si>
    <t>1467535943137701889</t>
  </si>
  <si>
    <t>@drfahrettinkoca Sağlık yönetimine atama https://t.co/DVKk04lVRt</t>
  </si>
  <si>
    <t>1467535936867213313</t>
  </si>
  <si>
    <t>@drfahrettinkoca Kılavuz Kılavuz Kılavuz Kılavuz Kılavuz Kılavuz Kılavuz Kılavuz Kılavuz Kılavuz Kılavuz Kılavuz Kı… https://t.co/MtcrsYoJPz</t>
  </si>
  <si>
    <t>1467535902608138254</t>
  </si>
  <si>
    <t>@drfahrettinkoca Ne zaman kabine toplantısı yaklaşıyor o zaman vakalar düşüyor. Bu virüs 22bin sayısını çok seviyor… https://t.co/f37svTQ4LU</t>
  </si>
  <si>
    <t>1467535876397879303</t>
  </si>
  <si>
    <t>@drfahrettinkoca Vaka sayıları bu kadar yüksekken ve 5. Dalga geliyorken neden kapalıda kalan mahkumlar düşünülmüyo… https://t.co/U0wJRozig7</t>
  </si>
  <si>
    <t>1467535870463025158</t>
  </si>
  <si>
    <t>@drfahrettinkoca Bu ne inattır Allah aşkına @drfahrettinkoca  #FKUyumaNerede40BinAtama</t>
  </si>
  <si>
    <t>1467535869867347981</t>
  </si>
  <si>
    <t>@drfahrettinkoca Okullar kapansınnnnn !!!!</t>
  </si>
  <si>
    <t>1467535869368279047</t>
  </si>
  <si>
    <t>@drfahrettinkoca Kılavuz,</t>
  </si>
  <si>
    <t>1467535862674202625</t>
  </si>
  <si>
    <t>@drfahrettinkoca Üniversitelere online eğitim gelsin</t>
  </si>
  <si>
    <t>1467535858232401922</t>
  </si>
  <si>
    <t>1467535846790283264</t>
  </si>
  <si>
    <t>@drfahrettinkoca Tadbir nedur ulaa🤔</t>
  </si>
  <si>
    <t>1467535844554596357</t>
  </si>
  <si>
    <t>@drfahrettinkoca Sahtesiniz sahtekarsiniz tek gercek virus medyadir https://t.co/DlkXHrcYC6</t>
  </si>
  <si>
    <t>1467535834006052868</t>
  </si>
  <si>
    <t>1467535831166590976</t>
  </si>
  <si>
    <t>@drfahrettinkoca #yenidenonlineğitim</t>
  </si>
  <si>
    <t>1467535826334760960</t>
  </si>
  <si>
    <t>1467535821792329732</t>
  </si>
  <si>
    <t>@drfahrettinkoca Allah aşkına kılavuz Gelsin Sayın Bakanım</t>
  </si>
  <si>
    <t>1467535812489318401</t>
  </si>
  <si>
    <t>1467535808441851906</t>
  </si>
  <si>
    <t>@drfahrettinkoca Millî aşımız geliyor mu</t>
  </si>
  <si>
    <t>1467535805602480128</t>
  </si>
  <si>
    <t>@drfahrettinkoca Sağlık yönetimine atama https://t.co/rIscE3lCru</t>
  </si>
  <si>
    <t>1467535804306231301</t>
  </si>
  <si>
    <t>@drfahrettinkoca Aşılar Omicron varyantına etkisiz buna karşı ne diyeceksiniz? Korona virüs 2 yaşında. Binlerce mut… https://t.co/UOSsPYUw2W</t>
  </si>
  <si>
    <t>1467535802947276800</t>
  </si>
  <si>
    <t>@drfahrettinkoca Artik bitsin yaa mahvolduk  Başladığı gibi bitsin Bitmeyecekse de biz bittik zaten</t>
  </si>
  <si>
    <t>1467535797154979842</t>
  </si>
  <si>
    <t>1467535791022915592</t>
  </si>
  <si>
    <t>@drfahrettinkoca Ya kapanma olsun komple bitsi n sonra hayat normale döner bu kadar basit #onlineEgitimTalepEdiyoruz</t>
  </si>
  <si>
    <t>1467535775206150147</t>
  </si>
  <si>
    <t>@drfahrettinkoca Sağlıkçı yılı bittiyse normal bir yıla geçebilir miyiz. Çünkü sağlıkçı yılında sağlıkçılara atama… https://t.co/oxfPRnYebI</t>
  </si>
  <si>
    <t>1467535771867488256</t>
  </si>
  <si>
    <t>@drfahrettinkoca Ekonominin düzelmesi için salgın tiyatrosunu bitirin artık küresel çetelerin oyuncağı olmayın</t>
  </si>
  <si>
    <t>1467535769841680389</t>
  </si>
  <si>
    <t>1467535762694545413</t>
  </si>
  <si>
    <t>@drfahrettinkoca Bu hafta da kılavuz ile ilgili bir gelişme yaşanmazsa sabrımız tükenecek ve farklı arayışlara gire… https://t.co/CaTWEYG18t</t>
  </si>
  <si>
    <t>1467535754352078857</t>
  </si>
  <si>
    <t>@drfahrettinkoca Aşılama oranı düştükçe vaka sayısı da düşüyor,neden acaba?</t>
  </si>
  <si>
    <t>1467535745460146186</t>
  </si>
  <si>
    <t>@drfahrettinkoca Lütfen kılavuzdan taviz vermeyiniz sayın bakan</t>
  </si>
  <si>
    <t>1467535744885526542</t>
  </si>
  <si>
    <t>1467535743044231177</t>
  </si>
  <si>
    <t>@drfahrettinkoca Zerre inancım yok size.</t>
  </si>
  <si>
    <t>1467535729505062918</t>
  </si>
  <si>
    <t>@drfahrettinkoca Millet, başka dertlerden coronayı çok takmıyor  sanırım</t>
  </si>
  <si>
    <t>1467535716389425157</t>
  </si>
  <si>
    <t>@drfahrettinkoca Sınıflar 60 kişi önlem al önlem</t>
  </si>
  <si>
    <t>1467535716049641476</t>
  </si>
  <si>
    <t>@drfahrettinkoca SAKA MISIN</t>
  </si>
  <si>
    <t>1467535710425075716</t>
  </si>
  <si>
    <t>@drfahrettinkoca Zort</t>
  </si>
  <si>
    <t>1467535709422731271</t>
  </si>
  <si>
    <t>1467535707916939268</t>
  </si>
  <si>
    <t>@drfahrettinkoca GÜZEL YALAN :d</t>
  </si>
  <si>
    <t>1467535706453123073</t>
  </si>
  <si>
    <t>@drfahrettinkoca Başaracağız إِن شَاء اللّٰه</t>
  </si>
  <si>
    <t>1467535694105038856</t>
  </si>
  <si>
    <t>@drfahrettinkoca Gerçek vakaları deseniz keşke inandırıcı olmuyor</t>
  </si>
  <si>
    <t>1467535682709164037</t>
  </si>
  <si>
    <t>@drfahrettinkoca Kılavuzu bekliyoruz bakanım</t>
  </si>
  <si>
    <t>1467535654368260102</t>
  </si>
  <si>
    <t>@drfahrettinkoca Keşke atama için de kararlı olsaydınız 800 bin genç 1 yıldır gelecek kaygısı çekiyor… https://t.co/ZNK1hlJLDX</t>
  </si>
  <si>
    <t>1467535652958912512</t>
  </si>
  <si>
    <t>@drfahrettinkoca Kılavuz nerede kaldı yıl bitiyor?</t>
  </si>
  <si>
    <t>1467535642125033477</t>
  </si>
  <si>
    <t>@drfahrettinkoca Kılavuz lütfen arktik bakanım</t>
  </si>
  <si>
    <t>1467535636391469070</t>
  </si>
  <si>
    <t>@drfahrettinkoca 2 biontec olana 3. aşı açıldı bilen var mı?</t>
  </si>
  <si>
    <t>1467535633874886664</t>
  </si>
  <si>
    <t>@drfahrettinkoca Kılavuz acilen açıklanmalı daha fazla bekleyecek sabrımız kalmadı</t>
  </si>
  <si>
    <t>1467535632335572996</t>
  </si>
  <si>
    <t>@drfahrettinkoca Atamaa nerde yaa   #FKUyumaNerede40BinAtama</t>
  </si>
  <si>
    <t>1467535629982572559</t>
  </si>
  <si>
    <t>@drfahrettinkoca Kılavuz nerde sayın bakan kılavuz</t>
  </si>
  <si>
    <t>1467535619882635267</t>
  </si>
  <si>
    <t>@drfahrettinkoca Kılavuzla ilgili tweet ne zaman gelecek?? @drfahrettinkoca</t>
  </si>
  <si>
    <t>1467535607387889664</t>
  </si>
  <si>
    <t>@drfahrettinkoca Tüik mi sayıyor</t>
  </si>
  <si>
    <t>1467535605974319106</t>
  </si>
  <si>
    <t>@drfahrettinkoca Bir bıyıklı bu gün seçim kaybetti, duydun değil mi?</t>
  </si>
  <si>
    <t>1467535594800693255</t>
  </si>
  <si>
    <t>@drfahrettinkoca Okullar Kapanmalı</t>
  </si>
  <si>
    <t>1467535592380669957</t>
  </si>
  <si>
    <t>@drfahrettinkoca Bu ancak siz inanırsınız diyeceğim de bence siz de inanmıyorsunuz😏</t>
  </si>
  <si>
    <t>1467535564052344840</t>
  </si>
  <si>
    <t>@drfahrettinkoca Kılavuz bekliyoruz!!! @drfahrettinkoca  #FKUyumaNerede40BinAtama</t>
  </si>
  <si>
    <t>1467535544024506369</t>
  </si>
  <si>
    <t>@drfahrettinkoca Kılavuz yarın gelsin bıktık artık bakanım #FKUyumaNerede40BinAtama</t>
  </si>
  <si>
    <t>1467535541914812426</t>
  </si>
  <si>
    <t>@drfahrettinkoca Tamam inandim</t>
  </si>
  <si>
    <t>1467535527540924418</t>
  </si>
  <si>
    <t>1467535526165200902</t>
  </si>
  <si>
    <t>@drfahrettinkoca Neyin büyük uğraşı kendiliğinden gidiyor zaten tedbirler</t>
  </si>
  <si>
    <t>1467535524260982787</t>
  </si>
  <si>
    <t>@drfahrettinkoca Gene günlük rutin şakanı yaptın ha şakaci #KabineZKuşağıOnlineİstiyor</t>
  </si>
  <si>
    <t>1467535505223041034</t>
  </si>
  <si>
    <t>@drfahrettinkoca Bu tabloya inanan kaç kişi kaldı gerçekten?</t>
  </si>
  <si>
    <t>1467535504207982598</t>
  </si>
  <si>
    <t>@drfahrettinkoca Bakanım, aşı olmayanların sosyal hayati kısıtlasın.  Aşısızlara özel marketler belirlenip orda alışveriş yapsınlar</t>
  </si>
  <si>
    <t>1467535494850523148</t>
  </si>
  <si>
    <t>@drfahrettinkoca Klavyede düşürmek zor olmasa gerek aq</t>
  </si>
  <si>
    <t>1467535492031860739</t>
  </si>
  <si>
    <t>@drfahrettinkoca Bakanın okullar kapanmalı seneye daha temiz bir hayat için kapansın</t>
  </si>
  <si>
    <t>1467535492010942476</t>
  </si>
  <si>
    <t>@drfahrettinkoca Tadbirden taviz vermiyoruz heyecan yapma</t>
  </si>
  <si>
    <t>1467535483009916930</t>
  </si>
  <si>
    <t>@drfahrettinkoca Haberimiz yokmuş gibi davranınca gidiyor heralde.</t>
  </si>
  <si>
    <t>1467535475783217156</t>
  </si>
  <si>
    <t>@drfahrettinkoca KILAVUZZZ</t>
  </si>
  <si>
    <t>1467535474021519367</t>
  </si>
  <si>
    <t>@drfahrettinkoca aynen</t>
  </si>
  <si>
    <t>1467535457160511488</t>
  </si>
  <si>
    <t>@drfahrettinkoca yaw hocam ne aşısı</t>
  </si>
  <si>
    <t>1467535450843889664</t>
  </si>
  <si>
    <t>@drfahrettinkoca GÜZEL BURSA VE ULUDAĞ MANZARASI https://t.co/hABdVYqtB7</t>
  </si>
  <si>
    <t>1467535441108811777</t>
  </si>
  <si>
    <t>@drfahrettinkoca Yav he</t>
  </si>
  <si>
    <t>1467535438286049291</t>
  </si>
  <si>
    <t>@drfahrettinkoca Klavuzz</t>
  </si>
  <si>
    <t>1467535435467563010</t>
  </si>
  <si>
    <t>@drfahrettinkoca Çok şükür</t>
  </si>
  <si>
    <t>1467535434544824329</t>
  </si>
  <si>
    <t>@drfahrettinkoca Hahahahahahah</t>
  </si>
  <si>
    <t>1467535430321070081</t>
  </si>
  <si>
    <t>@drfahrettinkoca Klavuz beklenmekte</t>
  </si>
  <si>
    <t>1467535418350616576</t>
  </si>
  <si>
    <t>@drfahrettinkoca https://t.co/bXUgZRGKLA</t>
  </si>
  <si>
    <t>1468328308211339266</t>
  </si>
  <si>
    <t>@drfahrettinkoca Vakalar düşmez maske uygulaması yok oda kalktı görev yapması gerekenler başta takmıyor birde karan… https://t.co/JwB34nnXw3</t>
  </si>
  <si>
    <t>1468307008721936388</t>
  </si>
  <si>
    <t>@drfahrettinkoca #Sondakika 🟠 Z kuşağı  #kabinezkuşağıonlineistiyor tagı ile MEB ve YÖK'e sesleniyor .   Duyun şu ö… https://t.co/chqXUgZRCq</t>
  </si>
  <si>
    <t>1468299769005158410</t>
  </si>
  <si>
    <t>@drfahrettinkoca Komedi show</t>
  </si>
  <si>
    <t>1468290393930452995</t>
  </si>
  <si>
    <t>1468285406571642891</t>
  </si>
  <si>
    <t>@drfahrettinkoca Vaka sayısının düşmesinde hemşirenin hiç etkisi emeği yok galiba sizin duruşunuz bunu sergiliyor b… https://t.co/9Gi4Afid98</t>
  </si>
  <si>
    <t>1468282276337393664</t>
  </si>
  <si>
    <t>@drfahrettinkoca Atama bekleyen çocuklarımızın psikolojileri bozuldu Sn.Bakanım. Açıklayın artık şu KLAVUZU.</t>
  </si>
  <si>
    <t>1468261935275728910</t>
  </si>
  <si>
    <t>@drfahrettinkoca https://t.co/O7XN1MjWY6</t>
  </si>
  <si>
    <t>1468230887431151624</t>
  </si>
  <si>
    <t>@drfahrettinkoca https://t.co/yyAmJcb8SQ</t>
  </si>
  <si>
    <t>1468230473042337811</t>
  </si>
  <si>
    <t>@drfahrettinkoca Vakalar turistler geleceği zaman düşmüyor muydu?</t>
  </si>
  <si>
    <t>1468666032348876807</t>
  </si>
  <si>
    <t>@drfahrettinkoca @drfahrettinkoca @RTErdogan  siz nasıl insanlarsınız hayatımızı kararttınız gençliğimizi  kanımızı… https://t.co/Hgb5IrQPby</t>
  </si>
  <si>
    <t>1469772222885765123</t>
  </si>
  <si>
    <t>@drfahrettinkoca Planlı düşürüp bitirin emri geldi mi? 60 binlere nasıl çıkardığınızı gòrdük.</t>
  </si>
  <si>
    <t>1469769559934648324</t>
  </si>
  <si>
    <t>@drfahrettinkoca Sayın bakanım Bucak devlet hastanesinde testim. Pozitif çıktı ama hiç bir belirtim yok tekrar test… https://t.co/NQe0ap3rVv</t>
  </si>
  <si>
    <t>1469351418427588618</t>
  </si>
  <si>
    <t>@drfahrettinkoca Ev yapımı</t>
  </si>
  <si>
    <t>1467965125147697161</t>
  </si>
  <si>
    <t>@drfahrettinkoca Ay ben sizi unutmuşum 🙄kimse takmıyor ondan vakalar da düşüş var 💁🏻‍♀️</t>
  </si>
  <si>
    <t>1467963283407843335</t>
  </si>
  <si>
    <t>@drfahrettinkoca Fahooooooooooo</t>
  </si>
  <si>
    <t>1467948968080560133</t>
  </si>
  <si>
    <t>@drfahrettinkoca Aşağılık kompleksi sende kalıcı olarak ödem yapmış Fahrettin hadi istifani ver senden kutulalim lan</t>
  </si>
  <si>
    <t>1467948420094701568</t>
  </si>
  <si>
    <t>@drfahrettinkoca İstifa et Fahrettin verdiğin bilgiler onurun kadar eksik, karakterin kadar yanlış</t>
  </si>
  <si>
    <t>1467947942069821440</t>
  </si>
  <si>
    <t>@drfahrettinkoca Hangi özveri?</t>
  </si>
  <si>
    <t>1467939875081097225</t>
  </si>
  <si>
    <t>@drfahrettinkoca ALLAH icin kac para verdiler millete asi diyip durman icin soyle gidip olucam.  Soylemezsende asi… https://t.co/nV3gA2RJTs</t>
  </si>
  <si>
    <t>1467931652399767552</t>
  </si>
  <si>
    <t>@drfahrettinkoca Sayın bakan bu illerde aşılama oranı yüzde 80lerin üzerinde olmasına ragmen nasıl olur da bu sekil… https://t.co/e1EIElPtr9</t>
  </si>
  <si>
    <t>1467632315933212674</t>
  </si>
  <si>
    <t>@drfahrettinkoca Hayla okullar açık ne diyelim</t>
  </si>
  <si>
    <t>1467616954408218625</t>
  </si>
  <si>
    <t>@drfahrettinkoca Hala kısıtlamalar gelmezse vakalar artmaya devam edecek minubusler tıklım tıklım</t>
  </si>
  <si>
    <t>1467605862197956616</t>
  </si>
  <si>
    <t>@drfahrettinkoca Kimsenin ilgilendiği yok. Başta sıvılılar en yakın zamanda #PfizerMaşaları  'ndan hesap soracak.Ma… https://t.co/I128tB2hT7</t>
  </si>
  <si>
    <t>1467605162290257922</t>
  </si>
  <si>
    <t>1467600275515088900</t>
  </si>
  <si>
    <t>@drfahrettinkoca Halen kimse sana demiyormu sayın bakan bu usite bir terslik var diye. Osmaniye de aşı oranı yüzde… https://t.co/2FJ66fjfR8</t>
  </si>
  <si>
    <t>1467595843582763017</t>
  </si>
  <si>
    <t>@drfahrettinkoca 2 hafta oldu yine Adana! Lütfen artık önlemler alınsın.</t>
  </si>
  <si>
    <t>1467593882418429959</t>
  </si>
  <si>
    <t>@drfahrettinkoca Bunun sebebi sınav sorularını bile zamanında salona getiremeyen AÖF sınavları olabilir mi? Pozitif… https://t.co/l4FIhx2wNi</t>
  </si>
  <si>
    <t>1467593163300872199</t>
  </si>
  <si>
    <t>@drfahrettinkoca Aşı oranı yüksek olan illerde vakaların yüksek olması sizce ne olabilir? Bunların % kaçı eksik doz… https://t.co/cwzVl53hyF</t>
  </si>
  <si>
    <t>1467589534560964619</t>
  </si>
  <si>
    <t>@drfahrettinkoca Peki bu iller aşı bakımından başarılıydı hani aşı korurdu ne olduda artıyor sn bakan</t>
  </si>
  <si>
    <t>1467585497589497863</t>
  </si>
  <si>
    <t>@drfahrettinkoca #KabineZKusağıOnlineİstiyor https://t.co/IFudufskgu</t>
  </si>
  <si>
    <t>1467584487567548418</t>
  </si>
  <si>
    <t>@drfahrettinkoca Fahrettin bu illerin aşılama oranı da çok yüksek. Niye değişik değişik konuşuyorsun.</t>
  </si>
  <si>
    <t>1467583353830453248</t>
  </si>
  <si>
    <t>@drfahrettinkoca #KabineZKusagiOnlineİstiyor</t>
  </si>
  <si>
    <t>1467581744174059527</t>
  </si>
  <si>
    <t>@drfahrettinkoca Her insana şiddetle tavsiye ettiğiniz sıvıların insan sağlığına yarar değilde zarar verdiği ( sizl… https://t.co/uug1JLYXB7</t>
  </si>
  <si>
    <t>1467575721455403018</t>
  </si>
  <si>
    <t>@drfahrettinkoca listedeki şehirler arasından en düşük aşı oranı %77.2’yle adana. urfa, mardin, batman, siirt, diya… https://t.co/2Eco7u708E</t>
  </si>
  <si>
    <t>1467571844203094017</t>
  </si>
  <si>
    <t>@drfahrettinkoca Atma ziya atma  Halkı aldatan cennetin kokusunu bile almazlar.hadis. Gel tövbe et müslüman ol Kula… https://t.co/oiqnjbVDoR</t>
  </si>
  <si>
    <t>1467568937894305800</t>
  </si>
  <si>
    <t>@drfahrettinkoca burdurdaki öğrenci otobüslerini görseniz sebebini çok iyi anlardınız ben en son arkaya doğru ilerl… https://t.co/LwrwkBCbRm</t>
  </si>
  <si>
    <t>1467566396011945988</t>
  </si>
  <si>
    <t>@drfahrettinkoca Sizin tayfa fişlenmiş. Artık yavaş yavaş sende yol al. Yoksa bütün sıvılar sana doğru.. Anladın se… https://t.co/hcUw5Qw0hK</t>
  </si>
  <si>
    <t>1467563951693127690</t>
  </si>
  <si>
    <t>1467562402984173575</t>
  </si>
  <si>
    <t>@drfahrettinkoca Mahmut Özer, bizim için ne yenilik yaptınız? HİÇ!! öğretmenler hasta öğrenciler hasta öğrencilerin… https://t.co/uryyGPQ6dt</t>
  </si>
  <si>
    <t>1467560437273317377</t>
  </si>
  <si>
    <t>1467558873607327744</t>
  </si>
  <si>
    <t>1467558293803577362</t>
  </si>
  <si>
    <t>1467558253454405632</t>
  </si>
  <si>
    <t>@drfahrettinkoca Bu illerin sıvılanma oranı yüksek. Peki bu illerde vaka sayılarının artmasının sebebi nedir? Sıvıl… https://t.co/wEU31xiP6S</t>
  </si>
  <si>
    <t>1467555959572770832</t>
  </si>
  <si>
    <t>@drfahrettinkoca Sayın koca bu illerin aşılanma oranlarına da baktınmı hiç. Matematik bilmiyorsan söyleyeyim. Arala… https://t.co/RpD0wFpqFv</t>
  </si>
  <si>
    <t>1467545889065652230</t>
  </si>
  <si>
    <t>@drfahrettinkoca Hayret Zonguldak nerde ya</t>
  </si>
  <si>
    <t>1467544755659812866</t>
  </si>
  <si>
    <t>@drfahrettinkoca Kılavuz biz yazmaktan yoruldk</t>
  </si>
  <si>
    <t>1467539437450145797</t>
  </si>
  <si>
    <t>1467538575331897353</t>
  </si>
  <si>
    <t>@drfahrettinkoca Gel bakayim buraya ne dedin sen? Rakam verdin mi ne dedin sen ?Rakam verdi mi size ? ne dedi size ?</t>
  </si>
  <si>
    <t>1467535840490442755</t>
  </si>
  <si>
    <t>@drfahrettinkoca KILAVUZU AÇIKLAYIN ARTIK YETER SABRIMIZ KALDI VİCDAN BİRAZ YA BİRAZ VİCDAN 1 AY OLDU ATAMA YAPILAC… https://t.co/kokK3Buda8</t>
  </si>
  <si>
    <t>1467535067153055753</t>
  </si>
  <si>
    <t>@drfahrettinkoca GRİP AŞISINI TEDARİK EDİNİZ.</t>
  </si>
  <si>
    <t>1468285635995840519</t>
  </si>
  <si>
    <t>1468285497785126921</t>
  </si>
  <si>
    <t>@drfahrettinkoca https://t.co/aXFa3iLCil</t>
  </si>
  <si>
    <t>1468230903566671885</t>
  </si>
  <si>
    <t>@drfahrettinkoca https://t.co/5DoNE8rTDc</t>
  </si>
  <si>
    <t>1468230494089269255</t>
  </si>
  <si>
    <t>@drfahrettinkoca @drfahrettinkoca @RTErdogan  siz nasıl insanlarsınız hayatımızı kararttınız gençliğimizi  kanımızı… https://t.co/R5br9aj7o6</t>
  </si>
  <si>
    <t>1469772249171439617</t>
  </si>
  <si>
    <t>@drfahrettinkoca Sayın bakanım bu diş hastanelerine neden randevu alamıyoruz lütfen buna da bi çözüm bulun .Özellik… https://t.co/usVGilnBCq</t>
  </si>
  <si>
    <t>1469314142922289159</t>
  </si>
  <si>
    <t>@drfahrettinkoca Engelli SAĞLIKÇYA 4senedr sınav yapıp neden alım yapmadnz EKPSS ATAMASI yapılmayacak bakanlıkları… https://t.co/rRANmFuAt3</t>
  </si>
  <si>
    <t>1469272283478999042</t>
  </si>
  <si>
    <t>@drfahrettinkoca Engelli SAĞLIKÇYA 4senedr sınav yapıp neden alım yapmadnz EKPSS ATAMASI yapılmayacak bakanlıkları… https://t.co/jEhkVS5NtY</t>
  </si>
  <si>
    <t>1469272222225383435</t>
  </si>
  <si>
    <t>@drfahrettinkoca Şimdi yapacağınız tek şey;Der Spiegel dergisine konuşan Şahin, "Eğer Omicron varyantı yayılmaya de… https://t.co/s8dLAFvz87</t>
  </si>
  <si>
    <t>1469220293663207424</t>
  </si>
  <si>
    <t>@drfahrettinkoca @saglikbakanligi Teknoloji çağında Mhr'seden Devlet hastanelerinin Dahiliye bölümünden randevu alamıyoruz.</t>
  </si>
  <si>
    <t>1467960170626093056</t>
  </si>
  <si>
    <t>@drfahrettinkoca Nasıl yalan soyleyim artık tarih olcak millete soruyor</t>
  </si>
  <si>
    <t>1467620795908243457</t>
  </si>
  <si>
    <t>1467619045440634881</t>
  </si>
  <si>
    <t>@drfahrettinkoca niye verileri metin olarak paylaşmıyorsunuz? biz görme engelliler resim ve görsel metinleriokumakt… https://t.co/ecBs0E5Vqk</t>
  </si>
  <si>
    <t>1467618562495983617</t>
  </si>
  <si>
    <t>@drfahrettinkoca İzmirin sayısı ne hikmetse aylardır aynı hiç değişmez mi yahu bari yalanda olsa üç aşşağı beş yuka… https://t.co/iqipKqLjhp</t>
  </si>
  <si>
    <t>1467613429297000456</t>
  </si>
  <si>
    <t>@drfahrettinkoca Corona değil, ilaçlar ve aşılar ile öldürülüyoruz. Siz hiç evinde coronadan ölen birisini gördünüz… https://t.co/3T40p1DCCt</t>
  </si>
  <si>
    <t>1467609626195775497</t>
  </si>
  <si>
    <t>@drfahrettinkoca Ne oldu senin o meşhur aşıların hiçbir işe yaramıyor mu artık, yoksa çöp mü oldular 😅</t>
  </si>
  <si>
    <t>1467609145641680908</t>
  </si>
  <si>
    <t>@drfahrettinkoca Sayın bakanım; Aşı taraftarı biri olarak istirham ediyorum. Elinizde aşı olmanın olumlu etkilerini… https://t.co/pZRawIQ4s9</t>
  </si>
  <si>
    <t>1467608078229164041</t>
  </si>
  <si>
    <t>1467600209823907858</t>
  </si>
  <si>
    <t>@drfahrettinkoca Kış geldi okullarda virüsten dolayı camlar açılıyor biz de hasta oluyoruz her hasta olduğumuzda bu… https://t.co/6cPXc7u7DA</t>
  </si>
  <si>
    <t>1467594729156222984</t>
  </si>
  <si>
    <t>@drfahrettinkoca Şimdi benim kalın kafama girmeyen olay; aşılanmanın en az olduğu yerlerde vaka sayıları dibe vurmu… https://t.co/8EJioqZcui</t>
  </si>
  <si>
    <t>1467585838724915205</t>
  </si>
  <si>
    <t>@drfahrettinkoca Bakanim Tunceli ve Ordu da bi gariplik yokmu aşılanma oranlari olan resimle bunu kiyasliyorum akli… https://t.co/1HIVvlYkY4</t>
  </si>
  <si>
    <t>1467585392614510603</t>
  </si>
  <si>
    <t>@drfahrettinkoca Bir süre önce mavi kategoriye geçtiği için iltifatınıza mazhar olan yerler değil mi bunlar?</t>
  </si>
  <si>
    <t>1467580952423669763</t>
  </si>
  <si>
    <t>@drfahrettinkoca Aşılanma hızı düştükçe vaka sayıları da düşüyor.</t>
  </si>
  <si>
    <t>1467578819217444864</t>
  </si>
  <si>
    <t>@drfahrettinkoca Aşı olmayan Güneydoğu illerinde neden vaka sayısı bu kadar az, bilen varsa yazsın lütfen.</t>
  </si>
  <si>
    <t>1467578117103439873</t>
  </si>
  <si>
    <t>@drfahrettinkoca Bu tabloda bi gariplik var sanki</t>
  </si>
  <si>
    <t>1467574730697891844</t>
  </si>
  <si>
    <t>@drfahrettinkoca Canım doğum...💃 aklınızı sevem 👏👏👏</t>
  </si>
  <si>
    <t>1467573128360562705</t>
  </si>
  <si>
    <t>@drfahrettinkoca https://t.co/OozbyL1N4p</t>
  </si>
  <si>
    <t>1467572682099204097</t>
  </si>
  <si>
    <t>1467572671114362883</t>
  </si>
  <si>
    <t>@drfahrettinkoca Türkçe kelimeler bitti de mi insidans'a kaldık?</t>
  </si>
  <si>
    <t>1467571093049384978</t>
  </si>
  <si>
    <t>@drfahrettinkoca Hekimlik mesleğini ysp koyası haline getiren sendikanın hamlelerini kınıyoruz. Hekimlik mesleği iç… https://t.co/nggHW1FBs0</t>
  </si>
  <si>
    <t>1467564642163884032</t>
  </si>
  <si>
    <t>1467561939240898562</t>
  </si>
  <si>
    <t>1467558149074956290</t>
  </si>
  <si>
    <t>@drfahrettinkoca Vakaların en az olduğu iller aşılamanın en az olduğu   illerdir dikkat edilirse aşı korumuyor aksi… https://t.co/ypId7Qc05i</t>
  </si>
  <si>
    <t>1467554770772758535</t>
  </si>
  <si>
    <t>@drfahrettinkoca Çukurovaya kiran girecek. İstanbuldan bile fazlayiz.</t>
  </si>
  <si>
    <t>1467552776968359944</t>
  </si>
  <si>
    <t>@drfahrettinkoca Haberi olmadan paylasmadin dimi?</t>
  </si>
  <si>
    <t>1467549808693030912</t>
  </si>
  <si>
    <t>@drfahrettinkoca Antalya ve Muğla'daki son Ruslar da denizden çıksın da oraya da bir 300 400 yazılsın artık.</t>
  </si>
  <si>
    <t>1467546737971806214</t>
  </si>
  <si>
    <t>@drfahrettinkoca Veriler çooook tutarsız, güven vermiyor. Sağlık Bakanlığı bunu nasıl görmez ve sorgulamaz? Ayrıca… https://t.co/VAdZsjOsSG</t>
  </si>
  <si>
    <t>1467541016756563970</t>
  </si>
  <si>
    <t>@drfahrettinkoca Kılavuz atama e kılavuz z peki</t>
  </si>
  <si>
    <t>1467538777509871616</t>
  </si>
  <si>
    <t>@drfahrettinkoca Bütün ülke Covid'den kırılıyor. Turizm bölgeleri hariç. Neden acaba?</t>
  </si>
  <si>
    <t>1467538676716609541</t>
  </si>
  <si>
    <t>1467538597465186309</t>
  </si>
  <si>
    <t>@drfahrettinkoca Bu belirsizlik artık son bulsun #FKUyumaNerede40BinAtama</t>
  </si>
  <si>
    <t>1467537109816946689</t>
  </si>
  <si>
    <t>@drfahrettinkoca Açıklama bekliyoruz #FKOyalamaKılavuzuYayınla</t>
  </si>
  <si>
    <t>1467536898226851840</t>
  </si>
  <si>
    <t>@drfahrettinkoca Kılavuzz #FKOyalamaKılavuzuYayınla</t>
  </si>
  <si>
    <t>1467536840584536064</t>
  </si>
  <si>
    <t>@drfahrettinkoca Grip aşısı nerede.</t>
  </si>
  <si>
    <t>1468285766212239366</t>
  </si>
  <si>
    <t>1468285712621518857</t>
  </si>
  <si>
    <t>@drfahrettinkoca https://t.co/PJPhKHDc0R</t>
  </si>
  <si>
    <t>1468230920293470211</t>
  </si>
  <si>
    <t>@drfahrettinkoca Sayın sağlık bakanim benve ailem iki yıldır dislerimizden muane olamıyor urz koviti bosverin önce… https://t.co/NFTlG9RLK3</t>
  </si>
  <si>
    <t>1468677620514660366</t>
  </si>
  <si>
    <t>@drfahrettinkoca @drfahrettinkoca @RTErdogan  siz nasıl insanlarsınız hayatımızı kararttınız gençliğimizi  kanımızı… https://t.co/hyRNdOgmKi</t>
  </si>
  <si>
    <t>1469772280028930052</t>
  </si>
  <si>
    <t>@drfahrettinkoca Artık hastenelere bi baksanız mı acaba bakanım diş hastenelerinden randevu alınamıyor sebebi ise c… https://t.co/Ywoq6TtpEQ</t>
  </si>
  <si>
    <t>1469341607547781131</t>
  </si>
  <si>
    <t>@drfahrettinkoca 8.</t>
  </si>
  <si>
    <t>1468000460963553281</t>
  </si>
  <si>
    <t>@drfahrettinkoca Bakanın kovitten daha beter sağlık sistemi muhtemelen haberiniz yok çevrenizdeki yalakalarinda hab… https://t.co/oeHpY9Dp5N</t>
  </si>
  <si>
    <t>1467952493783138311</t>
  </si>
  <si>
    <t>@drfahrettinkoca Farkında mıyız artık maske uyarısı yapmıyor</t>
  </si>
  <si>
    <t>1467633995525599243</t>
  </si>
  <si>
    <t>@drfahrettinkoca Fahrettin by şu an çoluk çocuk herkes uyuz hastalığı olmuş vaziyetteyiz lütfen uyuz hastalığı için aşı üretilsin</t>
  </si>
  <si>
    <t>1467610279672532996</t>
  </si>
  <si>
    <t>@drfahrettinkoca #KabineZKusağıOnlineİstiyor https://t.co/fgkwH9xA1A</t>
  </si>
  <si>
    <t>1467584638478688267</t>
  </si>
  <si>
    <t>@drfahrettinkoca Kapalı ortamı havalandır demişsin, dışarda havadar yerde niye niye maskeye zorluyorsunuz ya. Ölünc… https://t.co/Oi6GmMvDfj</t>
  </si>
  <si>
    <t>1467573644159336452</t>
  </si>
  <si>
    <t>@drfahrettinkoca 40 bin atama nerde daha ne kadar bekliyecez @drfahrettinkoca</t>
  </si>
  <si>
    <t>1467554741261590531</t>
  </si>
  <si>
    <t>@drfahrettinkoca Aşısızlara özel tedbir uygulamasınız  ..@drfahrettinkoca</t>
  </si>
  <si>
    <t>1467549923734392835</t>
  </si>
  <si>
    <t>@drfahrettinkoca Sayın Bakan en azından 1.dönem sonuna kadar online eğitime geçilsin. Çocuklarımızın sağlığı önemli değil mi?</t>
  </si>
  <si>
    <t>1467548630076825606</t>
  </si>
  <si>
    <t>@drfahrettinkoca Omicron Varyantı gelcek aq kapa okulları</t>
  </si>
  <si>
    <t>1467540570545475591</t>
  </si>
  <si>
    <t>@drfahrettinkoca Bugün Ankara Keçiören'den Demetevlere dolmuşla gittim. İlk duraktan bindiğim için dolmuş boştu ama… https://t.co/tvfQIjceGU</t>
  </si>
  <si>
    <t>1467539936211615744</t>
  </si>
  <si>
    <t>@drfahrettinkoca Grip aşısı nerede sn. Bakan</t>
  </si>
  <si>
    <t>1468285930905681924</t>
  </si>
  <si>
    <t>1468285829542039562</t>
  </si>
  <si>
    <t>@drfahrettinkoca https://t.co/RN1C0vfhqW</t>
  </si>
  <si>
    <t>1468230941969719304</t>
  </si>
  <si>
    <t>@drfahrettinkoca İnsan hasta olur artık devamlı aynı şeyleri yazmaktan</t>
  </si>
  <si>
    <t>1468646793579741192</t>
  </si>
  <si>
    <t>@drfahrettinkoca Butun egitim baslamis! Atilan tvite bak! Turkiyeyi geri goturmeye kesin niyetli bir zihin! Cahil c… https://t.co/WlKeCgV2Lw</t>
  </si>
  <si>
    <t>1467280911192494089</t>
  </si>
  <si>
    <t>@drfahrettinkoca VAKA SAYILARINIZ YALAN</t>
  </si>
  <si>
    <t>1467280269484953600</t>
  </si>
  <si>
    <t>@drfahrettinkoca Hemen istifa etmeliyiz. Palyaçolar kurulunu hemen lağvetmeliyiz. Hemen pandemiyi bitirmeliyiz. Nor… https://t.co/A0Nn1EQ5Zb</t>
  </si>
  <si>
    <t>1467278298300534784</t>
  </si>
  <si>
    <t>@drfahrettinkoca Bu dediklerini her kış yapıyorduk yine yapıyoruz. Deneysel sıvı hariç. Biz kobay değiliz #PfizerHesapVer</t>
  </si>
  <si>
    <t>1467277726784622599</t>
  </si>
  <si>
    <t>@drfahrettinkoca Duydunuz mu bilmem Pfizer olayi patladi ABD de ? Ne asisi yahu ? Bence artik tweet atmayin Olay pa… https://t.co/GWI8bG1UIN</t>
  </si>
  <si>
    <t>1467276991988748289</t>
  </si>
  <si>
    <t>@drfahrettinkoca Aşın sana kalsın fahro istemez 😉</t>
  </si>
  <si>
    <t>1467275991592669187</t>
  </si>
  <si>
    <t>@drfahrettinkoca Online eğitim istiyoruz fahrettin bey.</t>
  </si>
  <si>
    <t>1467275208717664258</t>
  </si>
  <si>
    <t>@drfahrettinkoca Bak geberiyus ne demis varmi böyle bir söylemi sayin bakanim 🤠🤠</t>
  </si>
  <si>
    <t>1467274099357630472</t>
  </si>
  <si>
    <t>@drfahrettinkoca Hocam ben alpcan koronavirüs ne zaman bitecek diye her gün dua ediyorum ve korkuyorum 🙏🙏🙏</t>
  </si>
  <si>
    <t>1467272057096269824</t>
  </si>
  <si>
    <t>@drfahrettinkoca Mitinglerde millet kol kola ne maske ne mesafe var gerçeğin ne olduğunu sizde biliyorsunuz yeter a… https://t.co/1wRY5NEOqC</t>
  </si>
  <si>
    <t>1467271560750895106</t>
  </si>
  <si>
    <t>@drfahrettinkoca Sana değil Canan Karatay a güveniriz biz .</t>
  </si>
  <si>
    <t>1467269176775557125</t>
  </si>
  <si>
    <t>@drfahrettinkoca Mevsim şartlarından değil, atamasız biten "Sağlıkçı Yılı"ndan sonuçlar var.  Kapalı mekan dediğini… https://t.co/1hCEt317Ja</t>
  </si>
  <si>
    <t>1467269153115586561</t>
  </si>
  <si>
    <t>@drfahrettinkoca Kapalı ortam ile maskeli olarak dışarıda gezmenin ne farkı war ..!</t>
  </si>
  <si>
    <t>1467268832159051778</t>
  </si>
  <si>
    <t>@drfahrettinkoca Yazın marmariste 200 metrekare alanda 30 kişi denize girerken sahillerin kaynadığı yerlerde hastal… https://t.co/tNlWEVhn3P</t>
  </si>
  <si>
    <t>1467268513412825091</t>
  </si>
  <si>
    <t>@drfahrettinkoca 2 yıldır bize temizliği öğretiuor daha dün siz söylemeden söylermiyim dediğiniz röportajda insanla… https://t.co/KjQ7El7BKO</t>
  </si>
  <si>
    <t>1467267848049508352</t>
  </si>
  <si>
    <t>@drfahrettinkoca #kabinezkusağıonlineistiyor  Artık bu milletin hiçbir ferdî ölmesin .</t>
  </si>
  <si>
    <t>1467267026653749251</t>
  </si>
  <si>
    <t>@drfahrettinkoca Zaten 300 milyona indircekseniz dünya nüfusunu, bıraksanıza son zamanlarımızda güzel güzel yaşayalım.</t>
  </si>
  <si>
    <t>1467266968050929673</t>
  </si>
  <si>
    <t>@drfahrettinkoca Her hafta 1500’e yakın insan ölüyor ve siz sadece tavsiye ile yetiniyorsunuz şaka mı bu??!!görevin… https://t.co/6tpJ5YWBpx</t>
  </si>
  <si>
    <t>1467266961033904135</t>
  </si>
  <si>
    <t>@drfahrettinkoca En başta" Bugün covidten bir hastamı kaybettim" diyerek çok uzuldugunuzu soylemistiniz. Artık üzül… https://t.co/eXw2tsfRke</t>
  </si>
  <si>
    <t>1467265682735837189</t>
  </si>
  <si>
    <t>@drfahrettinkoca Bu cocuklar bizim! Hem biz hem de onlar #kabinezkusağıonlineistiyor</t>
  </si>
  <si>
    <t>1467265052944347138</t>
  </si>
  <si>
    <t>@drfahrettinkoca Bunu devam zorunluluğu yaptığınız okullar için mi diyorsunuz? #Kabinezkuşağıonlineistiyor</t>
  </si>
  <si>
    <t>1467264861738569731</t>
  </si>
  <si>
    <t>@drfahrettinkoca hayaller sosyal mesafe gerçekler : 25 metrekare öğretmenler odasında 20 kişi veya daha fazla oluyoruz.</t>
  </si>
  <si>
    <t>1467264736123400197</t>
  </si>
  <si>
    <t>@drfahrettinkoca Bu akşam doğum günü partisindeydik zaten akrabalarımla hep görüşüyoruz,arkadaşlarımla da... çok öl… https://t.co/xe53vA3gtZ</t>
  </si>
  <si>
    <t>1467264544573734917</t>
  </si>
  <si>
    <t>@drfahrettinkoca Istifa edin. Yonetemiyorsunuz! Size ancak istifa yakışır!</t>
  </si>
  <si>
    <t>1467264294266015748</t>
  </si>
  <si>
    <t>@drfahrettinkoca Bir çocuk doktoru olarak empati sıfır! Vicdan https://t.co/wvqm8lRDxTık iyi niyet göremiyorum.Nedi… https://t.co/c4TXVeF59l</t>
  </si>
  <si>
    <t>1467263329576099846</t>
  </si>
  <si>
    <t>@drfahrettinkoca Birde hastanelerde covit servislerindeki hijyeni görseniz keşke vc ler temizlenmiyor her yer pisli… https://t.co/Af4VtWji00</t>
  </si>
  <si>
    <t>1467261597680865284</t>
  </si>
  <si>
    <t>@drfahrettinkoca Okullar kış şartlarında nasıl havalansın?Dışarısı buz.60 kişi 35 m2lik alanda 50-60 kişi dipdibe 8… https://t.co/oJWLwpNezi</t>
  </si>
  <si>
    <t>1467260424496295944</t>
  </si>
  <si>
    <t>@drfahrettinkoca Sayın bakanım AÖF  Final sınavları ocak ayında yüz yüze olarak yapılacak. Ne yazıki  yılın en soğu… https://t.co/xbd1cSq2tR</t>
  </si>
  <si>
    <t>1467260368896630787</t>
  </si>
  <si>
    <t>@drfahrettinkoca Tepkimiz ve sizin tepkinizin özeti.. #kabinezkuşağıonlineistiyor @BilimKurulu_ @tcmeb @RTErdogan… https://t.co/80ZZRmN6PV</t>
  </si>
  <si>
    <t>1467260171508404224</t>
  </si>
  <si>
    <t>@drfahrettinkoca Tüm halk sessizce işaret fişeği in yakılacağı günü bekler gibi sessiz sizde farkındasınız kandırıl… https://t.co/gUUKxoibHE</t>
  </si>
  <si>
    <t>1467259965949763593</t>
  </si>
  <si>
    <t>@drfahrettinkoca 228 ölü ne demek ya allah ailelerine sabır versin</t>
  </si>
  <si>
    <t>1467258280644911112</t>
  </si>
  <si>
    <t>@drfahrettinkoca Sn bakan artık yetti.! kapalı ortam diyorsun .! metrolar vs tıka basa.! bir tek havalandırmalı tiy… https://t.co/ypvbOpXod7</t>
  </si>
  <si>
    <t>1467257788174905353</t>
  </si>
  <si>
    <t>1467256910709772293</t>
  </si>
  <si>
    <t>@drfahrettinkoca Aşı olanlar hafif atlatıyor gelde anlat birilerine onlar grip dahi olmayanlar sanırım covid19 neki🤭</t>
  </si>
  <si>
    <t>1467256545549369349</t>
  </si>
  <si>
    <t>@drfahrettinkoca kapali alani havalandirinca tamam. ama acik havada dolasirken aman tanriiim maskesiz geziyoooo 😱😱</t>
  </si>
  <si>
    <t>1467256501446266884</t>
  </si>
  <si>
    <t>@drfahrettinkoca Aşılardan sonra ölüm artıyor sayın bakan neden acaba 🤔</t>
  </si>
  <si>
    <t>1467256396949434371</t>
  </si>
  <si>
    <t>@drfahrettinkoca Hocam şuan yatağınızda uyuyorsanız inşallah aniden uyanırsınız çünkü ben uyuyamıyorum , nedeni ise… https://t.co/9tczXfqSco</t>
  </si>
  <si>
    <t>1467256067902033925</t>
  </si>
  <si>
    <t>@drfahrettinkoca Ne dedi o diyesim geldi 😃</t>
  </si>
  <si>
    <t>1467254650982313994</t>
  </si>
  <si>
    <t>@drfahrettinkoca #hekimleristifaediyor bakanim</t>
  </si>
  <si>
    <t>1467254622649729038</t>
  </si>
  <si>
    <t>@drfahrettinkoca Reisten izin aldın deme bu tweet'i atarken☝️</t>
  </si>
  <si>
    <t>1467253942912524302</t>
  </si>
  <si>
    <t>@drfahrettinkoca @saglikbakanligi Sayin bakan saat 21 de izmir behcetUz cocuk hasta. Ateşli 4 yasinda kizimi getird… https://t.co/4DthPil7CO</t>
  </si>
  <si>
    <t>1467252993984716804</t>
  </si>
  <si>
    <t>@drfahrettinkoca 12 yaş altı ciddi risk altında!9 saat okulda yani sizin dediğiniz gibi kapalı alanda önlemsiz!Cani… https://t.co/tESB7z30bf</t>
  </si>
  <si>
    <t>1467252518371696654</t>
  </si>
  <si>
    <t>@drfahrettinkoca Bütün yollar bir şekilde aşıya çıkıyor nedense🤣</t>
  </si>
  <si>
    <t>1467252324263514113</t>
  </si>
  <si>
    <t>@drfahrettinkoca Bakanım, Omicrona karşı aşı işe yaramıyor. Hangi aşıyı olacağız? Yurtlarda, okullarda hangi kapalı… https://t.co/xaHLzb9Pwh</t>
  </si>
  <si>
    <t>1467251628973641734</t>
  </si>
  <si>
    <t>@drfahrettinkoca Sayın bakan, aşı yaptırmadım, yaptırmayacağım da. Geçen ay kovid pozitif oldum. Verilen ilacı kull… https://t.co/VRU0YXUyn5</t>
  </si>
  <si>
    <t>1467251224022073352</t>
  </si>
  <si>
    <t>@drfahrettinkoca Sayın Bakan; kıymanın kilosu olmuş 80 TL… deneysel sıvı yerine et dağıtsanız da protein alsak fena… https://t.co/qeWQaTva4o</t>
  </si>
  <si>
    <t>1467251218892349444</t>
  </si>
  <si>
    <t>@drfahrettinkoca Bakanım 1 ay yakindir dis hastanesin randevu almaya calisyorum aldigim randevuda iptal diye mesaj… https://t.co/wGJTEqrH7I</t>
  </si>
  <si>
    <t>1467251104027193350</t>
  </si>
  <si>
    <t>@drfahrettinkoca Çocuk diyoruz çocuk!Onlar kapalı ortamda hem de hergün!Yok saymakta ne demek.Kendinize gelin artık… https://t.co/l3g0sasQ6v</t>
  </si>
  <si>
    <t>1467250447325057027</t>
  </si>
  <si>
    <t>@drfahrettinkoca Saraydan bi izin alın bari c.tesi -pazar kapanılsın ,az da olsa etki etmişti. Yoksa vefat sayısı d… https://t.co/NXj8yzzlb3</t>
  </si>
  <si>
    <t>1467250382275588099</t>
  </si>
  <si>
    <t>1467250342840745990</t>
  </si>
  <si>
    <t>@drfahrettinkoca Für medizinisches Deutsch folgen Sie bitte https://t.co/nx6Aq2uB7o</t>
  </si>
  <si>
    <t>1467249812634574852</t>
  </si>
  <si>
    <t>@drfahrettinkoca Yav güzel kardeşim kalabalık ortam diyorsun ben okulda 11 saat ders işliyorum üstelik 40 kişiyle s… https://t.co/J0Q3mBtpai</t>
  </si>
  <si>
    <t>1467249450867376137</t>
  </si>
  <si>
    <t>@drfahrettinkoca 🌍🇹🇷🤲🤲🤲🤲</t>
  </si>
  <si>
    <t>1467248829300883456</t>
  </si>
  <si>
    <t>@drfahrettinkoca Yoğun bakımda yatan hastalarınız için,hasta yakınlarına bilgi vermek üzere bi banko kurabildiniz m… https://t.co/nNSVnLFm2P</t>
  </si>
  <si>
    <t>1467248208984293379</t>
  </si>
  <si>
    <t>@drfahrettinkoca Nasıl bi kilavuz muş be sır gibi saklanıyor bide sağlıkçı yılıymış</t>
  </si>
  <si>
    <t>1467248022568509453</t>
  </si>
  <si>
    <t>@drfahrettinkoca 3. Doz sıramız gelmedi gelse yaptıracağız bakanım</t>
  </si>
  <si>
    <t>1467248020022571017</t>
  </si>
  <si>
    <t>@drfahrettinkoca Ülke genelindeki tüm doktorlar Hipokrat yeminlerini gözden geçirmeli!</t>
  </si>
  <si>
    <t>1467247494056792068</t>
  </si>
  <si>
    <t>@drfahrettinkoca Malum kış geldi ve oranlar yeniden yükselecek. Eğitimin online olması herkes için daha sağlıklı de… https://t.co/kW1eb7sApA</t>
  </si>
  <si>
    <t>1467246301482041345</t>
  </si>
  <si>
    <t>1467244717687541762</t>
  </si>
  <si>
    <t>@drfahrettinkoca yaaaa kesss artıkkk! dus yakamızdan utanmaz arlanmaz</t>
  </si>
  <si>
    <t>1467243514073387012</t>
  </si>
  <si>
    <t>@drfahrettinkoca Aşıyı yaptırdıktan sonra insanlar zarar görürse de siz tanimazsiniz, olur biter değil mi?</t>
  </si>
  <si>
    <t>1467241247815442438</t>
  </si>
  <si>
    <t>@drfahrettinkoca Ne dedi</t>
  </si>
  <si>
    <t>1467240905614798850</t>
  </si>
  <si>
    <t>@drfahrettinkoca Valla ben sağlığımı korumanın yolunu buldum .Sağlık Bakanı ,Filim Kurulu ve TTB algılarından kafam… https://t.co/kUtbXjWujC</t>
  </si>
  <si>
    <t>1467240588366032899</t>
  </si>
  <si>
    <t>@drfahrettinkoca Milleti rahat bırakın</t>
  </si>
  <si>
    <t>1467239608865939460</t>
  </si>
  <si>
    <t>@drfahrettinkoca Sayın bakanım bırakın artık şu her akşam tweet atma işini. Her akşam illa yazmak maksadı ile tweet… https://t.co/SpsfGzKBDI</t>
  </si>
  <si>
    <t>1467239332608200715</t>
  </si>
  <si>
    <t>@drfahrettinkoca Birde Covid izinlerinin kaldırılmasına karşı tek kelime etmemiştiniz</t>
  </si>
  <si>
    <t>1467238321734705158</t>
  </si>
  <si>
    <t>@drfahrettinkoca #Kabinezkusagionlineistiyor  @tcmeb  @drfahrettinkoca</t>
  </si>
  <si>
    <t>1467238105900064778</t>
  </si>
  <si>
    <t>@drfahrettinkoca Siz halka verdiğiniz tavsiyenin farkındamısınız.?? Hem uzun süre kapalı ortamlarda bulunmayın diyo… https://t.co/M6Mf3KBb3e</t>
  </si>
  <si>
    <t>1467237690341003279</t>
  </si>
  <si>
    <t>@drfahrettinkoca Geçen sene yüzyüze eğitim diye ortalığı yıkan öğrenciler şimdi uzaktan eğitim diyor noldu çok merak ettim</t>
  </si>
  <si>
    <t>1467237511818797062</t>
  </si>
  <si>
    <t>@drfahrettinkoca Sayın bakanım şu hekimleri ne hallere düşürdünüz.. hekimleri kimler savunacak..</t>
  </si>
  <si>
    <t>1467236707196186632</t>
  </si>
  <si>
    <t>@drfahrettinkoca Evet okullarda camları açık tutalım götümüz donsun sayın bakanım kömür bedava ya yakarız yaaa 😅</t>
  </si>
  <si>
    <t>1467236253657702405</t>
  </si>
  <si>
    <t>@drfahrettinkoca Hemen yaptırıyoruz sayın bakan,siz istifa ettiğiniz gün yaptıracağız!</t>
  </si>
  <si>
    <t>1467235918528626688</t>
  </si>
  <si>
    <t>@drfahrettinkoca Bu oyunun bitmesine çok az kaldı bakalım film nasıl bitecek hiç iyi gözükmüyor iyi niyetli olsamda</t>
  </si>
  <si>
    <t>1467235356844175360</t>
  </si>
  <si>
    <t>@drfahrettinkoca Hocam korku, korkulanı çeker. Çıkın artık şu dünyeviğinizden. Siz de biliyor ve deneyimliyorsunuz… https://t.co/yVp4C1HsOR</t>
  </si>
  <si>
    <t>1467234277813272578</t>
  </si>
  <si>
    <t>@drfahrettinkoca Şunu yazarken çok afedersiniz utanmadınız mı? Okulların açık olduğu salgın döneminde biri en güven… https://t.co/Cu96qiGY3b</t>
  </si>
  <si>
    <t>1467232812797513728</t>
  </si>
  <si>
    <t>@drfahrettinkoca Kukla</t>
  </si>
  <si>
    <t>1467232089166729220</t>
  </si>
  <si>
    <t>@drfahrettinkoca Okullar kapat ya</t>
  </si>
  <si>
    <t>1467232062805524491</t>
  </si>
  <si>
    <t>@drfahrettinkoca Atama ne zaman sayın bakanım?</t>
  </si>
  <si>
    <t>1467231672894726154</t>
  </si>
  <si>
    <t>@drfahrettinkoca #Kabinezkusagionlineistiyor ONLİNE EĞİTİM ŞART</t>
  </si>
  <si>
    <t>1467231314768191498</t>
  </si>
  <si>
    <t>@drfahrettinkoca Kapali yada kalabalik yerlerde nasıl kaçınalım. İşten cikiyorum metro tıka basa sabah desen aynı b… https://t.co/tAJNwtcS1I</t>
  </si>
  <si>
    <t>1467231292421025798</t>
  </si>
  <si>
    <t>1467231192399462404</t>
  </si>
  <si>
    <t>@drfahrettinkoca Kapalı ortamdan uzak durmak mı bu nasıl mümkün olacak onu da anlatır mısınız?Çocuklarını 40 kişili… https://t.co/KopPZWa0G3</t>
  </si>
  <si>
    <t>1467230120440209418</t>
  </si>
  <si>
    <t>@drfahrettinkoca #KabineZKuşağıOnlineİstiyor</t>
  </si>
  <si>
    <t>1467229937576914945</t>
  </si>
  <si>
    <t>@drfahrettinkoca Online eğitim istiyoruz #kabinezkusagionlineistiyor</t>
  </si>
  <si>
    <t>1467229224809414663</t>
  </si>
  <si>
    <t>@drfahrettinkoca Hareketliliğin ve bulaşin en çok olduğu yerleri okulları kapatarak vakaları ölümleri azaltmak vark… https://t.co/C1I3tzhxeM</t>
  </si>
  <si>
    <t>1467228593436639238</t>
  </si>
  <si>
    <t>@drfahrettinkoca okullar virüsten yıkılıyor kalk bi gez okulları</t>
  </si>
  <si>
    <t>1467227703409528835</t>
  </si>
  <si>
    <t>@drfahrettinkoca Kronik rahatsızlığı olanlara grip aşısı olma hakkı ne zaman tanınacak?</t>
  </si>
  <si>
    <t>1467227455010353160</t>
  </si>
  <si>
    <t>@drfahrettinkoca Millet aşı değil aş istiyor aş durdurun bu zamları</t>
  </si>
  <si>
    <t>1467226783921709068</t>
  </si>
  <si>
    <t>@drfahrettinkoca Kapalı ve kalabalık yerler yani okullar yurtlar pazartesi uzaktan eğitime geciyoruz sanirim uzun s… https://t.co/ouicgnMqGg</t>
  </si>
  <si>
    <t>1467226489003417600</t>
  </si>
  <si>
    <t>@drfahrettinkoca Artık kimse inanmıyor bence zaman kaybı...</t>
  </si>
  <si>
    <t>1467226411572285442</t>
  </si>
  <si>
    <t>@drfahrettinkoca Klavuzla alakalı tweet atmışmı diye bakıp Lanet Covid tablosunu görünce ben.… https://t.co/dBylP7X2fe</t>
  </si>
  <si>
    <t>1467225223959306249</t>
  </si>
  <si>
    <t>@drfahrettinkoca Turkovac aşısı çıktı mı, çıkacak mı?Net zaman söyler misiniz? Aşısız biri mezkur aşıyı ne zaman ya… https://t.co/ySHEpfHpXS</t>
  </si>
  <si>
    <t>1467225092870520842</t>
  </si>
  <si>
    <t>@drfahrettinkoca Çok uzadı mevsim hazan oldu</t>
  </si>
  <si>
    <t>1467224068772532237</t>
  </si>
  <si>
    <t>@drfahrettinkoca Şaka mısınız ya ??  #SağlıkcıyıOyalamaYılı  #FKOyalamaKılavuzuYayınla  #FKocaYeterUmutAsıladığın https://t.co/ClYJxcwYHC</t>
  </si>
  <si>
    <t>1467223967001989120</t>
  </si>
  <si>
    <t>@drfahrettinkoca Kapanma gelsin</t>
  </si>
  <si>
    <t>1467223675703382020</t>
  </si>
  <si>
    <t>@drfahrettinkoca İSTİFA ET. KAPANMALAR OLMAYACAK.</t>
  </si>
  <si>
    <t>1467223617314430980</t>
  </si>
  <si>
    <t>@drfahrettinkoca Binamızdakiler komple korona oldu ağır geçirenler var.cümleten Allah yardımcımız olsun</t>
  </si>
  <si>
    <t>1467223496413655047</t>
  </si>
  <si>
    <t>@drfahrettinkoca Kapalı kalabalık ortamları yani hareketliliğin ve bulaşin en çok olduğu yerleri okulları açık tutu… https://t.co/DtFvdR6Vl7</t>
  </si>
  <si>
    <t>1467223301441441792</t>
  </si>
  <si>
    <t>@drfahrettinkoca BU DÖNEMDE SEN TAMAMEN SUSMALISIN ! EN GÜZEL TEDBİR SENİN SUSMAN OLACAK...</t>
  </si>
  <si>
    <t>1467223044703854604</t>
  </si>
  <si>
    <t>@drfahrettinkoca Önemli olan kalp temizliği. Müslümanın temizliği. Malesef kirlisin kirli</t>
  </si>
  <si>
    <t>1467222901308936198</t>
  </si>
  <si>
    <t>@drfahrettinkoca ORTALIK UYUZ VAKASI İLE KIRILIYOR. ORTADA İLAÇ YOK. SİZ DAHA COVİD YALANINA DEVAM EDİYORSUNUZ. TAR… https://t.co/lRyrYsuaF8</t>
  </si>
  <si>
    <t>1467222778038345739</t>
  </si>
  <si>
    <t>@drfahrettinkoca Yetti gayri bir günde  talimat almadan doktorluğunuzu yapın bütün saygımızı kaybettik.</t>
  </si>
  <si>
    <t>1467222007381172225</t>
  </si>
  <si>
    <t>@drfahrettinkoca Hadi ya …</t>
  </si>
  <si>
    <t>1467221678610694146</t>
  </si>
  <si>
    <t>@drfahrettinkoca En başarılı standupci sizsiniz bakanım mizah anlayışınız super #KabineZKusağıOnlineİstiyor</t>
  </si>
  <si>
    <t>1467221115940614160</t>
  </si>
  <si>
    <t>@drfahrettinkoca 20.000 vaka he.hiç bir tedbir kısıtlama olmadan hemde.dünyada başka bi ülke varmı acaba tedbirsiz… https://t.co/gZ9q7AVhHe</t>
  </si>
  <si>
    <t>1467221028535422976</t>
  </si>
  <si>
    <t>@drfahrettinkoca Okulları kapat. #Kabinezkusagionlineistiyor</t>
  </si>
  <si>
    <t>1467220455400562689</t>
  </si>
  <si>
    <t>@drfahrettinkoca Hiç bir günlük covid verisine inanmadığımız gibi maaş zammınada inanmamıştık iyiki inanmamışız dok… https://t.co/fxaUUSams5</t>
  </si>
  <si>
    <t>1467220347342802956</t>
  </si>
  <si>
    <t>1467219496708579332</t>
  </si>
  <si>
    <t>@drfahrettinkoca 5-11 yaşa neden aşı tanımlaması yok neden ?</t>
  </si>
  <si>
    <t>1467219376818601998</t>
  </si>
  <si>
    <t>@drfahrettinkoca Yurtta dört kişilik odada , yüzlerce kişinin olduğu bu yemekhanelerde bu dediklerinizi nasıl yapac… https://t.co/CEkbEPbtrl</t>
  </si>
  <si>
    <t>1467218571919044613</t>
  </si>
  <si>
    <t>@drfahrettinkoca Sayın bakan biz temizliğin imanın yarısı olduğuna inanan müslümanlarız sizin bize temizliği öğretm… https://t.co/wbkrUqm83X</t>
  </si>
  <si>
    <t>1467217569463603202</t>
  </si>
  <si>
    <t>@drfahrettinkoca 0+0 elde var 0 siz bile gün geçtikçe bir önceki sözlerinizi kendiniz çürütüyorsunuz . Siz artık sa… https://t.co/0WX6oXrQ5h</t>
  </si>
  <si>
    <t>1467216636344217603</t>
  </si>
  <si>
    <t>@drfahrettinkoca https://t.co/QBD0izqd9B</t>
  </si>
  <si>
    <t>1467216465392713730</t>
  </si>
  <si>
    <t>@drfahrettinkoca https://t.co/txUoFWldbk</t>
  </si>
  <si>
    <t>1467216423416217606</t>
  </si>
  <si>
    <t>@drfahrettinkoca https://t.co/aoT9qz27MR</t>
  </si>
  <si>
    <t>1467216268466044931</t>
  </si>
  <si>
    <t>@drfahrettinkoca Sık sık havalandırmak kapalı ortamda bulunmamak çözüm değil sizde biliyorsunuz.  Soğuk hava akımın… https://t.co/rMowgvDOkv</t>
  </si>
  <si>
    <t>1467216122290352129</t>
  </si>
  <si>
    <t>@drfahrettinkoca #hekimleristifaediyor bakanim. Hekim kalmazsa covid de bitmez</t>
  </si>
  <si>
    <t>1467215999363690502</t>
  </si>
  <si>
    <t>@drfahrettinkoca #HekimlerİstifaEdiyor  sayin bakan. Siz hala neler diyorsunuz.</t>
  </si>
  <si>
    <t>1467215787463225344</t>
  </si>
  <si>
    <t>@drfahrettinkoca Faz çalışması bitmemiş sıvılarla insanlara zarar veriyorsunuz..Bu asil milleti kobay olarak kullan… https://t.co/5Mdd4jPLGo</t>
  </si>
  <si>
    <t>1467215621691744260</t>
  </si>
  <si>
    <t>@drfahrettinkoca Pfizer Biontech'in virüsü kanda /40 cogalttigi yazıyor ifşa olan belgelerde.   Soğuk havayla berab… https://t.co/lt4XBsJWry</t>
  </si>
  <si>
    <t>1467215430536376326</t>
  </si>
  <si>
    <t>@drfahrettinkoca https://t.co/L03QINmtng</t>
  </si>
  <si>
    <t>1467215213040705541</t>
  </si>
  <si>
    <t>@drfahrettinkoca https://t.co/cnc9a0lOlr</t>
  </si>
  <si>
    <t>1467214895305441286</t>
  </si>
  <si>
    <t>@drfahrettinkoca Neden Türkiye'de  aşıdan ölüm oldu demediniz?   #PfizerHesapVer  #Pfizergate https://t.co/e1OYCk1m77</t>
  </si>
  <si>
    <t>1467214746382487558</t>
  </si>
  <si>
    <t>@drfahrettinkoca https://t.co/JwZB1FGSbq</t>
  </si>
  <si>
    <t>1467214726979461122</t>
  </si>
  <si>
    <t>@drfahrettinkoca Kimse aşı olmuyor artık bu planda tutmadi üniversiteler online olsun milletin aşı olmasını bekleyemeyecegiz</t>
  </si>
  <si>
    <t>1467214713226514434</t>
  </si>
  <si>
    <t>@drfahrettinkoca https://t.co/1axN4a5jq2</t>
  </si>
  <si>
    <t>1467214560939630598</t>
  </si>
  <si>
    <t>@drfahrettinkoca https://t.co/pdJe3WcByy</t>
  </si>
  <si>
    <t>1467214542082121731</t>
  </si>
  <si>
    <t>@drfahrettinkoca https://t.co/pAwTvrJ82x https://t.co/0FlhzT9ooB</t>
  </si>
  <si>
    <t>1467214345104936961</t>
  </si>
  <si>
    <t>@drfahrettinkoca Bunu yazmadan önce Erdoğan'dan izin aldınız mı?</t>
  </si>
  <si>
    <t>1467214185247518723</t>
  </si>
  <si>
    <t>@drfahrettinkoca Ne geçiyor hatta ne geçecek elinize insanların hayatını tehlikeye atarak hergün yüzlerce insanın ö… https://t.co/Wr0STntfR0</t>
  </si>
  <si>
    <t>1467214167102967816</t>
  </si>
  <si>
    <t>@drfahrettinkoca Bu arada Pfzier öldürücü olduğunu bildiği  halde bile bile insanları kobay olarak kullanmaktan cez… https://t.co/3YHqj2QnEq</t>
  </si>
  <si>
    <t>1467214004456247307</t>
  </si>
  <si>
    <t>@drfahrettinkoca https://t.co/VOdspnKsQ7</t>
  </si>
  <si>
    <t>1467213930372251653</t>
  </si>
  <si>
    <t>@drfahrettinkoca https://t.co/jCVsUTniQW</t>
  </si>
  <si>
    <t>1467213810012508163</t>
  </si>
  <si>
    <t>@drfahrettinkoca https://t.co/2RfLmBRo6M</t>
  </si>
  <si>
    <t>1467213786226515970</t>
  </si>
  <si>
    <t>@drfahrettinkoca 45 50 kişilik sınıflarda soğuk havada 40 dk derste sınıfı  nasıl havalandiralim? İkiye bölmeyi dah… https://t.co/VG86Auo4Wh</t>
  </si>
  <si>
    <t>1467213733701328897</t>
  </si>
  <si>
    <t>@drfahrettinkoca https://t.co/50mKSKS2TH</t>
  </si>
  <si>
    <t>1467213501869576204</t>
  </si>
  <si>
    <t>@drfahrettinkoca Fahrettin bey, bunlar gerçek rakamlar değil. Sizde biliyorsunuz..diyelim ki gerçek o zaman salgın… https://t.co/7nndEpaVIv</t>
  </si>
  <si>
    <t>1467213030127804425</t>
  </si>
  <si>
    <t>@drfahrettinkoca #hekimleristifaediyor Zeki ve sabırlı insanlar. Tabi sabır da bir yere kadar</t>
  </si>
  <si>
    <t>1467212985743593476</t>
  </si>
  <si>
    <t>@drfahrettinkoca İnsanların hayatını hiçe sayarsanız dalga geçer gibi hem kapalı ortamlarda kalmayın hemde eğitime… https://t.co/hmFP9xuXqy</t>
  </si>
  <si>
    <t>1467212858073272324</t>
  </si>
  <si>
    <t>@drfahrettinkoca Pcr testinden vazgeçin diyoruz, bir-çok uzmanda söylüyor..iki çocuğum test yaptı biri negatif diğe… https://t.co/GAO1SzhsK5</t>
  </si>
  <si>
    <t>1467212404937433093</t>
  </si>
  <si>
    <t>1467212340152127495</t>
  </si>
  <si>
    <t>@drfahrettinkoca Bakan pfizer için 90 günde 1200 kişi hayatını kaybetti diyorlar kafamızı karistiriyorlar açıklama yapmalısınız</t>
  </si>
  <si>
    <t>1467211796557799430</t>
  </si>
  <si>
    <t>1467211343216455681</t>
  </si>
  <si>
    <t>@drfahrettinkoca https://t.co/W4bn0uLZNU</t>
  </si>
  <si>
    <t>1467211149527728129</t>
  </si>
  <si>
    <t>@drfahrettinkoca Sayın bakanım siniflarda kapali ortam #kabinezkusağıonlineistiyor</t>
  </si>
  <si>
    <t>1467211067411546113</t>
  </si>
  <si>
    <t>@drfahrettinkoca Söylediklerimiz ancak davranislarimizla destklendiginde br anlam kazanir.Kalabalik yerlerde uzun s… https://t.co/ymve7QCSUr</t>
  </si>
  <si>
    <t>1467210961522241542</t>
  </si>
  <si>
    <t>@drfahrettinkoca yurtlarda ve okullarda bu nasil olacak sayin bakan allahtan korkun yeter artik uzaktan egitim kara… https://t.co/UzdTdwjWZv</t>
  </si>
  <si>
    <t>1467210447254339591</t>
  </si>
  <si>
    <t>@drfahrettinkoca Okulların kapalı ortamda uzun süre durulan bir yer olduğunu biliyorsunuz değil mi??? Temizliğe ise… https://t.co/4H4yJJVhQH</t>
  </si>
  <si>
    <t>1467210433731993613</t>
  </si>
  <si>
    <t>@drfahrettinkoca Bakın bu dediğinizde haklısınız. Terli terli rüzgara çıktım , sonra emniyete gittim orda kaptım. A… https://t.co/stAHtZEkyP</t>
  </si>
  <si>
    <t>1467210420830228490</t>
  </si>
  <si>
    <t>@drfahrettinkoca #Kabinezkusagionlineistiyor  ölüyoruz</t>
  </si>
  <si>
    <t>1467208916949995529</t>
  </si>
  <si>
    <t>1467208876915363847</t>
  </si>
  <si>
    <t>@drfahrettinkoca Siz televizyonlara çıkıp virüs haberi yapmayın ertesi gün virüs biter yeter artık canımıza tak etti</t>
  </si>
  <si>
    <t>1467208849031581696</t>
  </si>
  <si>
    <t>@drfahrettinkoca Sayın bakanım 2 aşı oldum 3.asi için randevu alamiyorum</t>
  </si>
  <si>
    <t>1467208820845907971</t>
  </si>
  <si>
    <t>@drfahrettinkoca Bu mevsimlerde grip,soğuk alğınlığı,fatanjit, solumumyolu enfeksiyonları,yıllardır vardı BUNDAN SO… https://t.co/6azNlzoPcS</t>
  </si>
  <si>
    <t>1467208602813440001</t>
  </si>
  <si>
    <t>@drfahrettinkoca Yalancısınız hepinize hakkım haram olsun #kabinezkusağıonlineistiyor</t>
  </si>
  <si>
    <t>1467208590712844290</t>
  </si>
  <si>
    <t>@drfahrettinkoca Allah aşkına aşılarında bir halta yaramadigini iyi biliyor sunuz ama hala asi da diretiyorsunuz ül… https://t.co/GrctIE8NHh</t>
  </si>
  <si>
    <t>1467208189779361797</t>
  </si>
  <si>
    <t>@drfahrettinkoca Okullar açık alan galiba</t>
  </si>
  <si>
    <t>1467207872044056582</t>
  </si>
  <si>
    <t>@drfahrettinkoca Temiz hava sart dogru Lakin pazarlamacı edasıyla aşıyıda araya kaynattın #YeterKocaAdam</t>
  </si>
  <si>
    <t>1467207749574529024</t>
  </si>
  <si>
    <t>@drfahrettinkoca Hala aşı diyor yaaa Allah akıl fikir versin, şaka gibi</t>
  </si>
  <si>
    <t>1467207708466110473</t>
  </si>
  <si>
    <t>@drfahrettinkoca İlk covid çıktığında size çok acımıştım kızaran uykusuz gözlerinize ama artık acımıyorum çünkü siz… https://t.co/lpfjPiw30o</t>
  </si>
  <si>
    <t>1467207497568112643</t>
  </si>
  <si>
    <t>@drfahrettinkoca https://t.co/QjRg1l5338</t>
  </si>
  <si>
    <t>1467207220681134087</t>
  </si>
  <si>
    <t>@drfahrettinkoca Sayın bakanım okullar kapalı alan Cafe restoranlar kışın kapalı alan bunlar insanlar soğukta nered… https://t.co/oIn0TM31tg</t>
  </si>
  <si>
    <t>1467207121515290635</t>
  </si>
  <si>
    <t>@drfahrettinkoca Twitter ortamında virüsten arınmak üzereyiz normal hayata koşuyoruz süper.</t>
  </si>
  <si>
    <t>1467206650687897606</t>
  </si>
  <si>
    <t>@drfahrettinkoca Sayın bakan ülke olarak o kadar pisliğe batmış Ken</t>
  </si>
  <si>
    <t>1467206321040769030</t>
  </si>
  <si>
    <t>@drfahrettinkoca ONLİNE EĞİTİM ŞART! ÖĞRENCİLER RİSK TAŞIYOR.</t>
  </si>
  <si>
    <t>1467206266703560717</t>
  </si>
  <si>
    <t>@drfahrettinkoca https://t.co/AzUokrWMJv</t>
  </si>
  <si>
    <t>1467206148038266888</t>
  </si>
  <si>
    <t>@drfahrettinkoca Kısıtlamalar geri geliyor hayırlı olsun bakalım</t>
  </si>
  <si>
    <t>1467205929544339461</t>
  </si>
  <si>
    <t>@drfahrettinkoca Okul çıkışlarını bakmalısınız</t>
  </si>
  <si>
    <t>1467205835440992261</t>
  </si>
  <si>
    <t>@drfahrettinkoca İşler kesat tabi aşı sektöründe satışlar yavaşladı müşteri bulmakta zorlanıyo senin küreselci efen… https://t.co/B5Ysw3GBX5</t>
  </si>
  <si>
    <t>1467205736690241540</t>
  </si>
  <si>
    <t>@drfahrettinkoca Aşı aşı aşı ama hergün 200 can gidiyor ama hiç bir kısıtlama yok #ölüyoruz</t>
  </si>
  <si>
    <t>1467205602019528708</t>
  </si>
  <si>
    <t>@drfahrettinkoca Bakanım sayılar her gün düşüyor maşallah 🧿😂😂</t>
  </si>
  <si>
    <t>1467205561397694471</t>
  </si>
  <si>
    <t>@drfahrettinkoca Bence bunları yapmayalım,zaten açlıktan ölcez</t>
  </si>
  <si>
    <t>1467205485287940106</t>
  </si>
  <si>
    <t>@drfahrettinkoca hariçten gazel atması kolay tabi. ağzına kadar dolu (gerçekten) otobüslerden tutun kalabalık sınıf… https://t.co/4xohEEuWW8</t>
  </si>
  <si>
    <t>1467205257029632011</t>
  </si>
  <si>
    <t>@drfahrettinkoca "kapalı yerlede kalabalık ortamlarda uzun süre bulunmamalıyız" 8 saat aynı sınıfta 40 dk ders göre… https://t.co/KheU0SecG6</t>
  </si>
  <si>
    <t>1467205156601278469</t>
  </si>
  <si>
    <t>@drfahrettinkoca Kapalı yer dedin akla gelen ilk yer okul ve otobüs ama bulunmaktan kaçınmıyoruz sizler bizi bile b… https://t.co/0y4ViYyadY</t>
  </si>
  <si>
    <t>1467205111395065859</t>
  </si>
  <si>
    <t>@drfahrettinkoca 👏👏Çok şükür bu sefer MASKE dememiş Bakan bey.</t>
  </si>
  <si>
    <t>1467204605771714560</t>
  </si>
  <si>
    <t>@drfahrettinkoca @saglikbakanligi Omikron 5-11 yaşları etkiliyormuş lütfen aşı</t>
  </si>
  <si>
    <t>1467204536884465672</t>
  </si>
  <si>
    <t>@drfahrettinkoca Kalabalık ortamlarda uzun süre bulunmaktan kaçının deyip yüz yüze eğitim konusunda ısrarcı olmanız… https://t.co/B4x2UjBeay</t>
  </si>
  <si>
    <t>1467204426217791490</t>
  </si>
  <si>
    <t>@drfahrettinkoca İllerin Aşılanma yüzdelerinin hemen altına vaka sayılarını da yazsaydınız tabloyu herkes daha iyi… https://t.co/MP8emIiIfU</t>
  </si>
  <si>
    <t>1467204265131196416</t>
  </si>
  <si>
    <t>@drfahrettinkoca Sayın Bakanım cafeler tıklım tıklım dolu mesafe olayı bitti DİYANET İŞLERİ BAŞKANI camilerdeki mes… https://t.co/RdME3awmDg</t>
  </si>
  <si>
    <t>1467203878663958531</t>
  </si>
  <si>
    <t>@drfahrettinkoca 🤦‍♀️🤦‍♀️🤦‍♀️</t>
  </si>
  <si>
    <t>1467203865497980932</t>
  </si>
  <si>
    <t>@drfahrettinkoca İnsanlar çalışması tamamlanmamış aşıyı olurken,riski kabul ediyor ve herhangi çıkabilecek yan etki… https://t.co/7Jaml10tC8</t>
  </si>
  <si>
    <t>1467203851774218241</t>
  </si>
  <si>
    <t>1467203532403138572</t>
  </si>
  <si>
    <t>@drfahrettinkoca Aşı işe yarıyorsa maskeye gerek yok, maske işe yarıyorsa aşıya gerek yok. İkiside çalışmıyor.    V… https://t.co/3xqtIESNFV</t>
  </si>
  <si>
    <t>1467203152676016131</t>
  </si>
  <si>
    <t>@drfahrettinkoca Sayın bakanım toplu taşımada 18 dolmuşta 33 -34 geliyoruz buna izin vermeyin lütfen</t>
  </si>
  <si>
    <t>1467202935499235334</t>
  </si>
  <si>
    <t>@drfahrettinkoca Sabah 8 den akşam 5e kadar kapalı ortamdayız neden acaba</t>
  </si>
  <si>
    <t>1467202795556249600</t>
  </si>
  <si>
    <t>@drfahrettinkoca Sayın Bakan,  Hepimizin çıkartması gereken sonuçlar var değil mi ?  Sizlerin de var !!!  Uzun süre… https://t.co/ju1Q35zRwK</t>
  </si>
  <si>
    <t>1467202777856290817</t>
  </si>
  <si>
    <t>@drfahrettinkoca Kaç mevsimdir ATAMA bekleyenleri nezaman duyup göreceksiniz</t>
  </si>
  <si>
    <t>1467202328327557127</t>
  </si>
  <si>
    <t>@drfahrettinkoca Hem kapali ortamlarda bulunmayın diyorsunuz hem de okullari acik tutuyorsunuz??!!!</t>
  </si>
  <si>
    <t>1467202276490190856</t>
  </si>
  <si>
    <t>@drfahrettinkoca 6 aralıkta onlie eğitim gelmesini istiyoruz görün artık bizi kaç tane öğretmen müdür vefat etti öğ… https://t.co/zcf2KRJaW0</t>
  </si>
  <si>
    <t>1467202220982775815</t>
  </si>
  <si>
    <t>@drfahrettinkoca 6 aralık onlie eğitim bekkiyoruz duyun sesimiziiiiiiii #Kabinezkusagionlineistiyor</t>
  </si>
  <si>
    <t>1467201699840462857</t>
  </si>
  <si>
    <t>@drfahrettinkoca Muayne olamıyoruz artık daha covid geçireli 1 ay olmadı üşüttüm diyorum covid acile yönlendiriliyo… https://t.co/XSSTZwiRRe</t>
  </si>
  <si>
    <t>1467201608689885198</t>
  </si>
  <si>
    <t>@drfahrettinkoca Onlie eğitim her öğrencinin hakkıdır #kabinezkusağıonlineistiyor</t>
  </si>
  <si>
    <t>1467201431035957259</t>
  </si>
  <si>
    <t>@drfahrettinkoca Bugün tam 4 ay oldu,  vakalar : 23.000 -27.000 Ölüm : 200 - 250 Her konuda olduğu gibi, coronada d… https://t.co/92mBPmwQdI</t>
  </si>
  <si>
    <t>1467201406021087243</t>
  </si>
  <si>
    <t>@drfahrettinkoca Sağlımız için onlie istiyoruz #Kabinezkusagionlineistiyor</t>
  </si>
  <si>
    <t>1467201253088407556</t>
  </si>
  <si>
    <t>@drfahrettinkoca Uzun süreli olarak sınıfta bulunmazsak konuları kaçırıyoruz ve sadece kışın değil yaz aylarından b… https://t.co/eimSmGK8Xu</t>
  </si>
  <si>
    <t>1467201250810908679</t>
  </si>
  <si>
    <t>@drfahrettinkoca Covid bi şekilde biter de #hekimleristifaediyor  ona bi çare bulun. Göz boyamayı insanları kandırmayı bırakın</t>
  </si>
  <si>
    <t>1467201209085927439</t>
  </si>
  <si>
    <t>@drfahrettinkoca Gerçkten bizim yerimizde olsaydınız nabardınız acaba ordan oturduğunuz yerden konusmak kolay öğren… https://t.co/Uw0L80Ripu</t>
  </si>
  <si>
    <t>1467201118124089346</t>
  </si>
  <si>
    <t>1467200992315854848</t>
  </si>
  <si>
    <t>@drfahrettinkoca https://t.co/eDRInvhc2z</t>
  </si>
  <si>
    <t>1467200972736892932</t>
  </si>
  <si>
    <t>@drfahrettinkoca https://t.co/pJbbSo1DXi</t>
  </si>
  <si>
    <t>1467200937500585988</t>
  </si>
  <si>
    <t>@drfahrettinkoca @saglikbakanligi #hekimleristifaediyor etmeyip ne yapacak doktor düşmanı bir yönetim ve halkla.</t>
  </si>
  <si>
    <t>1467200850779066369</t>
  </si>
  <si>
    <t>@drfahrettinkoca Onlie eğitim istiyoyırz kimse maske mesafeye dikkat eden yok hala toplu alanlarda bulunmayın diyos… https://t.co/UpCIHtx65s</t>
  </si>
  <si>
    <t>1467200835407040512</t>
  </si>
  <si>
    <t>@drfahrettinkoca Hâlâ kapalı, kalabalık ortamlarda uzun süre kalmayın diyor ne diyebiliriz ki cidden diyecek söz yo… https://t.co/WoVXojPJuz</t>
  </si>
  <si>
    <t>1467200780327399427</t>
  </si>
  <si>
    <t>1467200728552910858</t>
  </si>
  <si>
    <t>@drfahrettinkoca #hekimleristifaediyor sayın bakan bundan sonra covidle tek başınıza mücadele edersiniz.</t>
  </si>
  <si>
    <t>1467200490341605384</t>
  </si>
  <si>
    <t>@drfahrettinkoca Hala KAPALI ORTAM DİYORSUNUZ ŞAKA MIIIIIIIII</t>
  </si>
  <si>
    <t>1467200148128387082</t>
  </si>
  <si>
    <t>@drfahrettinkoca Okula gidis donuste Otobusler, metrolar, kapali ortam onu ne yapacagiz??</t>
  </si>
  <si>
    <t>1467199832636989441</t>
  </si>
  <si>
    <t>@drfahrettinkoca Son cümleye kadar şaşkınlık içerisindeydim maske ve aşı kelimesi geçmiyor die sonunda mıçmışsınız yine içinizdekini...</t>
  </si>
  <si>
    <t>1467199796817584129</t>
  </si>
  <si>
    <t>@drfahrettinkoca Günün yalan tablosu açıklanmış</t>
  </si>
  <si>
    <t>1467199680077606913</t>
  </si>
  <si>
    <t>@drfahrettinkoca Deli gibi taglara destek veriyoruz gündem oluyoruz pat diye düşüyoruz online istiyoruz sesimizi duyun</t>
  </si>
  <si>
    <t>1467199618798788615</t>
  </si>
  <si>
    <t>@drfahrettinkoca Okul kapali ortamdir, onu ne yapacagiz ???</t>
  </si>
  <si>
    <t>1467199618261917700</t>
  </si>
  <si>
    <t>1467199432928210951</t>
  </si>
  <si>
    <t>@drfahrettinkoca Halâ yüzyüze eğitim diyorsunuz bakanım Allah aşkına başka bir Türkiye de mi yaşıyoruz biz  vakalar… https://t.co/5WvwRVhl07</t>
  </si>
  <si>
    <t>1467199307354976260</t>
  </si>
  <si>
    <t>@drfahrettinkoca Sayın bakanım mevsimsel griplerde test yaptırdığımızda da sonuç pozitif çıkma ihtimali nedir böyle… https://t.co/7542tUtmPj</t>
  </si>
  <si>
    <t>1467198985890897930</t>
  </si>
  <si>
    <t>@drfahrettinkoca https://t.co/kpLu7X95Ei   Pfizer ile ilgili belgeler burada.. Açıklama yapar mısınız?</t>
  </si>
  <si>
    <t>1467198951241797635</t>
  </si>
  <si>
    <t>@drfahrettinkoca İi ben gitmiom o zaman okula knks</t>
  </si>
  <si>
    <t>1467198848829464588</t>
  </si>
  <si>
    <t>@drfahrettinkoca Ağam biziynen eyleniyirr</t>
  </si>
  <si>
    <t>1467198848770707466</t>
  </si>
  <si>
    <t>@drfahrettinkoca Bakanım 13 aydır bekliyoruz artık alıma çıkın lütfen kocaman bir seneyi alımsız kapanacak eğer 10… https://t.co/VZoHrZhYBc</t>
  </si>
  <si>
    <t>1467198737894236174</t>
  </si>
  <si>
    <t>@drfahrettinkoca Aynen öyle bakanım temiz ortamda bulunalım ve maske mesafe temizlik kurallarına  uyalım ve aşı olalım</t>
  </si>
  <si>
    <t>1467198612035805188</t>
  </si>
  <si>
    <t>@drfahrettinkoca #hekimleristifaediyor !!!</t>
  </si>
  <si>
    <t>1467198491617378311</t>
  </si>
  <si>
    <t>@drfahrettinkoca Bir gün asi demesen ölür müsün ya</t>
  </si>
  <si>
    <t>1467198410172346375</t>
  </si>
  <si>
    <t>@drfahrettinkoca Yalan tablosu bunu herkes biliyor #Kabinezkusagionlineistiyor</t>
  </si>
  <si>
    <t>1467198283382669320</t>
  </si>
  <si>
    <t>@drfahrettinkoca Haa şu influenza mı, kış geldi yok olan gripte geri geldi herhalde bakan bey! Grip yok dediniz bu… https://t.co/16a1Pd8057</t>
  </si>
  <si>
    <t>1467198119838371842</t>
  </si>
  <si>
    <t>@drfahrettinkoca Kapalı cezaevindeki mahkumların canının kıymeti yok mu lütfen mecliste bundan bahsedin onca mahkumun canı tehlikede</t>
  </si>
  <si>
    <t>1467197941999931396</t>
  </si>
  <si>
    <t>@drfahrettinkoca Sayın bakanım @drfahrettinkoca engeli sağlıkçılar olarak mağduruz Sağlık bakanlığı biz engeli sağl… https://t.co/rbZvNXGjS3</t>
  </si>
  <si>
    <t>1467197633399820289</t>
  </si>
  <si>
    <t>@drfahrettinkoca Kapalı yerden uzak durun diyorsunuz okulları ne yapacağız şaka gibi dimi</t>
  </si>
  <si>
    <t>1467197343430815744</t>
  </si>
  <si>
    <t>@drfahrettinkoca Pcr testini icat eden kisi bu testler sizin hasta olup olmadiginizi belirlemez dedi. Ertesi gün ev… https://t.co/DXLVUlmprU</t>
  </si>
  <si>
    <t>1467197247033069576</t>
  </si>
  <si>
    <t>@drfahrettinkoca AK PARTİLİLER VE TÜM VATANSEVERLER!  Kuşkuları, kuruntuları, önyargıları bir kenara bırakın. Fitne… https://t.co/EPTKcVwe4C</t>
  </si>
  <si>
    <t>1467197146730573824</t>
  </si>
  <si>
    <t>@drfahrettinkoca TUZAĞI EN İNCE AYRINTISINA KADAR ELLE TUTULUR GÖZLE GÖRÜLÜR BELGELER DE DAHİL OLMAK ÜZERE SİZLERE… https://t.co/5C8G0zkfT8</t>
  </si>
  <si>
    <t>1467197132209799172</t>
  </si>
  <si>
    <t>@drfahrettinkoca Kapalı alanı havalandırın açık alanda maske takıp karbondioksit soluyun bu ne perhiz ...</t>
  </si>
  <si>
    <t>1467197130863427588</t>
  </si>
  <si>
    <t>@drfahrettinkoca Bakanım herkes bir şey diyor lütfen sizin agzinizdan bu ay atama olacağını duyalım kılavuzu yayınl… https://t.co/WaMp5MfaAY</t>
  </si>
  <si>
    <t>1467197033366921219</t>
  </si>
  <si>
    <t>@drfahrettinkoca Okulları kapatın artık</t>
  </si>
  <si>
    <t>1467196917973147658</t>
  </si>
  <si>
    <t>@drfahrettinkoca Ölümcül bir pandemi varmış sn bakan, iktidarı muhalefeti mitinglerde geziyor! Bu nasıl salgın! Par… https://t.co/yRHHoQNQ7v</t>
  </si>
  <si>
    <t>1467196866613886978</t>
  </si>
  <si>
    <t>@drfahrettinkoca Bu bir şaka demi ironi 8 saat her türlü okulda 1000 den fazla kişinin arasında hastalanır siniz</t>
  </si>
  <si>
    <t>1467196819302137859</t>
  </si>
  <si>
    <t>@drfahrettinkoca #kabinezkusağıonlineistiyor  istiyoruz</t>
  </si>
  <si>
    <t>1467196817821831168</t>
  </si>
  <si>
    <t>@drfahrettinkoca Okullarda kapalı kalıyoruz kapalı ortam oluyor havalar soğuk cam açamıyoruz herkes bitişik oturuyo… https://t.co/vR2kucLzpW</t>
  </si>
  <si>
    <t>1467196377667186696</t>
  </si>
  <si>
    <t>@drfahrettinkoca Kapalı ortamı havalandir açık havada maske tak... Oh kafa mis gibi...  😀😃</t>
  </si>
  <si>
    <t>1467196369123397632</t>
  </si>
  <si>
    <t>@drfahrettinkoca https://t.co/4OoZgze1DT</t>
  </si>
  <si>
    <t>1467196161509543940</t>
  </si>
  <si>
    <t>@drfahrettinkoca Sayın Bakanım, yurtta ve üniversitede nasıl kapalı ortamdan kaçınalım mantıklı bir açıklamasını yapın bizde bilelim</t>
  </si>
  <si>
    <t>1467196090931982348</t>
  </si>
  <si>
    <t>@drfahrettinkoca 20.000 HXLZBDLDHDKCJSLDHKD YALANINIZI SİZİN BEN YATACAK YERİNİZ YOK</t>
  </si>
  <si>
    <t>1467195919724646403</t>
  </si>
  <si>
    <t>@drfahrettinkoca Sayın bakanım,camilerde namazlar da sosyal mesafe kaldırıldı.Haberiniz olsun</t>
  </si>
  <si>
    <t>1467195481554132999</t>
  </si>
  <si>
    <t>@drfahrettinkoca Bakanım merkezi alım yetişti Allah rızası için son haftaya girdik lütfen yayınlayın şu kılavuzu</t>
  </si>
  <si>
    <t>1467195428076761109</t>
  </si>
  <si>
    <t>@drfahrettinkoca Dalga geçtiğinizi düşünüyorum. "Kapalı yerlerde kalabalık ortamlarda uzun süre bulunmaktan kaçınma… https://t.co/RQydr7mbdL</t>
  </si>
  <si>
    <t>1467195387337445379</t>
  </si>
  <si>
    <t>@drfahrettinkoca Bu saatten sonra siz(ler), "Histoplasma Capsulatum"u, kamu oyuna korona diye yediremezsiniz!</t>
  </si>
  <si>
    <t>1467195377602502656</t>
  </si>
  <si>
    <t>@drfahrettinkoca Sayın bakan ne anlatıyosun ya biz oraları geçeli çok oldu</t>
  </si>
  <si>
    <t>1467195020298100736</t>
  </si>
  <si>
    <t>@drfahrettinkoca Okullarda? Okulların bitmeyen yemekhane sıralarında ne yapalım mesela sayın bakan?</t>
  </si>
  <si>
    <t>1467194796720721924</t>
  </si>
  <si>
    <t>@drfahrettinkoca Uzaktan eğitim</t>
  </si>
  <si>
    <t>1467194574418419712</t>
  </si>
  <si>
    <t>@drfahrettinkoca Sayın @drfahrettinkoca atama bekleyen sağlıkçılar maddi manevi tükendi. Artık kılavuzu açıklayın lütfen 🙌</t>
  </si>
  <si>
    <t>1467194564352135177</t>
  </si>
  <si>
    <t>1467194533217804294</t>
  </si>
  <si>
    <t>@drfahrettinkoca Toplu taşıma araçları çok kalabalık okul çıkışları kalabalık korkuyoruz avmler çok kalabalık nasıl… https://t.co/dTEUZmFFZM</t>
  </si>
  <si>
    <t>1467194317567668229</t>
  </si>
  <si>
    <t>@drfahrettinkoca Kaynana mısınız, sağlık bakanı mısınız allasen...</t>
  </si>
  <si>
    <t>1467193757426663431</t>
  </si>
  <si>
    <t>@drfahrettinkoca Fahrettin Koca istifa et artık resmen aşı şirketlerine pazarlama yapıyorsunuz ülkede o sıvılar olm… https://t.co/ZmgzPmGB5w</t>
  </si>
  <si>
    <t>1467193513381187588</t>
  </si>
  <si>
    <t>@drfahrettinkoca Kapalı ortamlara okullar dahil mi ????</t>
  </si>
  <si>
    <t>1467193503046414343</t>
  </si>
  <si>
    <t>@drfahrettinkoca Acaba kendi yazdığınızı anlıyor musunuz? Merak ediyorum bence en kısa zamanda istifa etmelisiniz a… https://t.co/B42COq4XpN</t>
  </si>
  <si>
    <t>1467193378089705483</t>
  </si>
  <si>
    <t>@drfahrettinkoca Geçin bunları. Millet kalp krizinden gidiyor siz hala aynı nakaratı tekrarlıyorsunuz. Sayın cumhur… https://t.co/9VAwBacR5h</t>
  </si>
  <si>
    <t>1467193281163505664</t>
  </si>
  <si>
    <t>@drfahrettinkoca Online istiyoruz bakanım #Kabinezkusagionlineistiyor</t>
  </si>
  <si>
    <t>1467193276134535175</t>
  </si>
  <si>
    <t>@drfahrettinkoca Her gün 200  insan ölüyor herşey normalmış gibi davranıyorsunuz yeter artık önlem alın</t>
  </si>
  <si>
    <t>1467193223928070148</t>
  </si>
  <si>
    <t>@drfahrettinkoca Bir kere de gerçek hastalara odaklansak mı acaba? Kaç farklı tür çocuk hastalığı olduğu konusunda… https://t.co/VMXHsKQdfX</t>
  </si>
  <si>
    <t>1467193121960337409</t>
  </si>
  <si>
    <t>@drfahrettinkoca Ve saglik bakanina olan tüm inancimiz bitmisdir</t>
  </si>
  <si>
    <t>1467193086585487362</t>
  </si>
  <si>
    <t>@drfahrettinkoca #Kabinezkusagionlineistiyor  @drfahrettinkoca  Sayın bakan siz böyle yapmaya devam edin sandıkta y… https://t.co/ptKCCPD9B3</t>
  </si>
  <si>
    <t>1467192950815924230</t>
  </si>
  <si>
    <t>@drfahrettinkoca Bu dünyada yaşamıyor galiba bu adam prifizer davaları açıklandı gizli belgeler çıktı 90 günde 1200… https://t.co/qxx5ybz6D2</t>
  </si>
  <si>
    <t>1467192907799146496</t>
  </si>
  <si>
    <t>@drfahrettinkoca Yakanday7nim bakan. Bize bu acıyı yaşatanların başında idaresinde sen olduğun için, bu dünya da da… https://t.co/xyx1R9805j</t>
  </si>
  <si>
    <t>1467192740735815683</t>
  </si>
  <si>
    <t>@drfahrettinkoca https://t.co/f2yW4gjqnh</t>
  </si>
  <si>
    <t>1467192629632905225</t>
  </si>
  <si>
    <t>@drfahrettinkoca Senin aşıdan başka bir işin yok aşıcı bakan. Tarihe Alıcı Başı diye geçeceksin. Bırak ta normal ha… https://t.co/fqCNknvCBX</t>
  </si>
  <si>
    <t>1467192455888052230</t>
  </si>
  <si>
    <t>@drfahrettinkoca https://t.co/JKrWZbYyG1</t>
  </si>
  <si>
    <t>1467192405514407941</t>
  </si>
  <si>
    <t>@drfahrettinkoca Virüs şuan kimsenin umrunda degil sayın bakan, sizde artık ısrarcı olmayın bence. İnsanlar şu an h… https://t.co/onuCzQqTdo</t>
  </si>
  <si>
    <t>1467192385172082688</t>
  </si>
  <si>
    <t>@drfahrettinkoca Sen benüm sesimi öyle yada böyle duyacaksın bakan. Beni mahkemeye verene kadar seninle uğraşacağım… https://t.co/KewNlD62NA</t>
  </si>
  <si>
    <t>1467191604314316803</t>
  </si>
  <si>
    <t>@drfahrettinkoca Sayın Fahrettin koca yemin ederiz ki bu ülkede kimse sizin tablo ve verinize, söylediklerinize inn… https://t.co/Aamtaez1F4</t>
  </si>
  <si>
    <t>1467191547326304260</t>
  </si>
  <si>
    <t>@drfahrettinkoca Bu kapalı yerlere okullar dahil mi ?</t>
  </si>
  <si>
    <t>1467191431269863434</t>
  </si>
  <si>
    <t>@drfahrettinkoca Okullar kapalı alan ve 40 kişi sayın bakan ??</t>
  </si>
  <si>
    <t>1467191198808948742</t>
  </si>
  <si>
    <t>@drfahrettinkoca @gokhanozoguz lütfen biz annelerin sesini duyun sesimizi duyurun utanmadan sıkılmadan kapalı ortam… https://t.co/mkRyGxBt8q</t>
  </si>
  <si>
    <t>1467191096015044618</t>
  </si>
  <si>
    <t>@drfahrettinkoca Söylesene neden özellikle Şehir hastanelerindeki Dr lar, Proflar kaçıp gidiyor??  Hangi oyunun içi… https://t.co/tX5Y9AHbn9</t>
  </si>
  <si>
    <t>1467191058840932363</t>
  </si>
  <si>
    <t>@drfahrettinkoca Sende artık affını iste, hergün uçak dolusu insan yaşamını yitiriyor ve kameralar önünde patronun… https://t.co/NpsNnHo6Lt</t>
  </si>
  <si>
    <t>1467190880331309057</t>
  </si>
  <si>
    <t>@drfahrettinkoca Allah aşkına öğretmenlerimiz doktorlarımız velilerimiz nerdesiniz okulların hastanelerin çocukları… https://t.co/ohNu165ypo</t>
  </si>
  <si>
    <t>1467190615658094596</t>
  </si>
  <si>
    <t>@drfahrettinkoca #KabineZKusağıOnlineİstiyor</t>
  </si>
  <si>
    <t>1467190509412225028</t>
  </si>
  <si>
    <t>@drfahrettinkoca Bizden vazgectiniz çocuklara acıyın #KabineZKusağıOnlineİstiyor</t>
  </si>
  <si>
    <t>1467190296077389828</t>
  </si>
  <si>
    <t>@drfahrettinkoca Avm ve her yerde yemek yerken maske yok gezerken maskeli. Bu ne yaman çelişki annne</t>
  </si>
  <si>
    <t>1467190236702724105</t>
  </si>
  <si>
    <t>@drfahrettinkoca Sayın bakanım biz okullarda sabahtan akşama kadar kalabalık sınıflarda kalıyoruz</t>
  </si>
  <si>
    <t>1467190140242173963</t>
  </si>
  <si>
    <t>@drfahrettinkoca Almışsın gene sazı eline  Fahrettin. düşünki eşin sana 1 ay boyunca aynı yemeği yedirdi kendini na… https://t.co/9LaopR1mud</t>
  </si>
  <si>
    <t>1467190101486804996</t>
  </si>
  <si>
    <t>@drfahrettinkoca Sayın bakanım Atama sözünüz ne oldu kasım ayı içerisinde branşlar açıklarız dediniz  oda olmadı</t>
  </si>
  <si>
    <t>1467190081815523331</t>
  </si>
  <si>
    <t>@drfahrettinkoca Hasta senin anan olsaydı, 7radaki yoğ bkm uzmanı dr izine gidermiydi? Sana da haftanın 3 günü bize… https://t.co/sJHCokhvE3</t>
  </si>
  <si>
    <t>1467189985875013642</t>
  </si>
  <si>
    <t>@drfahrettinkoca Oturun siz çıkarın 😏</t>
  </si>
  <si>
    <t>1467189872272289794</t>
  </si>
  <si>
    <t>@drfahrettinkoca Ne güzel söylediniz, açın aşıları, 5-11 yaşa aşı tanımlayın, okullara havalandırma yapın, sınıflar… https://t.co/KARIb7BpX1</t>
  </si>
  <si>
    <t>1467189834758426624</t>
  </si>
  <si>
    <t>@drfahrettinkoca Evet çocuklaaar okuldan eve gidince ellerimizi en az 30 sn sabunla yıkıyoruz Parmak aralarını iyic… https://t.co/lS0Xnl4nFM</t>
  </si>
  <si>
    <t>1467189652520058882</t>
  </si>
  <si>
    <t>1467189626343501826</t>
  </si>
  <si>
    <t>@drfahrettinkoca Bi günde doğru bir sey söyleyin</t>
  </si>
  <si>
    <t>1467189593086869509</t>
  </si>
  <si>
    <t>@drfahrettinkoca Atama kılavuzu nerdeee</t>
  </si>
  <si>
    <t>1467189529182457858</t>
  </si>
  <si>
    <t>@drfahrettinkoca Çocukları okul bahçesinde ders işletelim mi ne dersiniz ? Kapalı ortamdan böylelikle uzak dururlar… https://t.co/Vm85tV25ux</t>
  </si>
  <si>
    <t>1467189522022776846</t>
  </si>
  <si>
    <t>@drfahrettinkoca Şu tabloya bakınca içimizin açılması gerekiyordu halbuki.👇 @drfahrettinkoca @RTErdogan… https://t.co/qkXnpsgrob</t>
  </si>
  <si>
    <t>1467189494633963520</t>
  </si>
  <si>
    <t>@drfahrettinkoca Sayın Bakan hayatımda ağır grip 1-2 kez geçirdim ve onlardada hastaneye gitmeden bildiğimiz yöntem… https://t.co/UJmuUs4xtp</t>
  </si>
  <si>
    <t>1467189345954242562</t>
  </si>
  <si>
    <t>@drfahrettinkoca Kapalı alanları havalandırıp, havalı alanda maske takıyoruz. Kara komedi bu olsa gerek. https://t.co/P2wP20H9kn</t>
  </si>
  <si>
    <t>1467189290727878660</t>
  </si>
  <si>
    <t>@drfahrettinkoca Yoğun bakım uzmanın nasıl olur da 2 ay izne gider servisi nöbetçilere bırakarak?? Hala Ank Şeh Has… https://t.co/0F9tCUC4jo</t>
  </si>
  <si>
    <t>1467189278715297797</t>
  </si>
  <si>
    <t>@drfahrettinkoca Bizim tablomuz iç karartan türden. 👇 @drfahrettinkoca @RTErdogan   #SağlıkçıyıOyalamaYılı https://t.co/CSFr3G3WHf</t>
  </si>
  <si>
    <t>1467189077850087432</t>
  </si>
  <si>
    <t>@drfahrettinkoca lafın sonuna  aşıyı sokuşturdun yine😅😅</t>
  </si>
  <si>
    <t>1467188955581923333</t>
  </si>
  <si>
    <t>1467188867128340487</t>
  </si>
  <si>
    <t>@drfahrettinkoca Temizlik derken önlem derken ? Kapalı ortamdan uzak durun derken ? Allah aşkına sizde ne vicdan ne… https://t.co/ajS60cJRZB</t>
  </si>
  <si>
    <t>1467188814594691072</t>
  </si>
  <si>
    <t>@drfahrettinkoca Sn.Bakan aşı aralığı süreleri biraz daha kısaltılsa? 2 doz snovac +1 doz biontect olanlara, 6 sonr… https://t.co/OsSleluL0R</t>
  </si>
  <si>
    <t>1467188778951393292</t>
  </si>
  <si>
    <t>@drfahrettinkoca Sağlık yönetimi mezunları kpssden 100 alsa  bile  kendi unvanıyla atama yapılmıyor.  Sağlık yöneti… https://t.co/jmlqbn286I</t>
  </si>
  <si>
    <t>1467188764539817993</t>
  </si>
  <si>
    <t>@drfahrettinkoca Kılavuz nerde bakanım??????. @drfahrettinkoca @RTErdogan   #SağlıkçıyıOyalamaYılı https://t.co/CSFr3G3WHf</t>
  </si>
  <si>
    <t>1467188749083856909</t>
  </si>
  <si>
    <t>@drfahrettinkoca Aklınız çıkııyor, Dr. lar dan, hemşirelerden, sağlık çalışanlarından vs. Hiç aklınıza geliyormu, h… https://t.co/d2CPsVaOA3</t>
  </si>
  <si>
    <t>1467188614455042048</t>
  </si>
  <si>
    <t>@drfahrettinkoca Çok acil ılgilenmeniz gereken başka haritalarda var . @drfahrettinkoca 👇 @RTErdogan… https://t.co/YQbUk1TM1c</t>
  </si>
  <si>
    <t>1467188605676396553</t>
  </si>
  <si>
    <t>@drfahrettinkoca "Aşınızı yaptırın" emrivakiliğinden "aşılarımızı yaptırmalıyız" söylemine gećmek de olumlu bir gel… https://t.co/xgHjdbXuFE</t>
  </si>
  <si>
    <t>1467188527435812864</t>
  </si>
  <si>
    <t>@drfahrettinkoca Aşılar ile varyant yapılıyor ve bu kısır döngü hiç bitmesin isteniyor olabilir mi acaba?</t>
  </si>
  <si>
    <t>1467188523631620107</t>
  </si>
  <si>
    <t>@drfahrettinkoca Şu haritayla da ilgilenseniz ya artık!!! Sağlık bakanımmm @drfahrettinkoca 👇 @RTErdogan… https://t.co/KGb1duiYUP</t>
  </si>
  <si>
    <t>1467188401279492109</t>
  </si>
  <si>
    <t>@drfahrettinkoca Yaşlı bakım evlerinin sık sık denetlenmesi lazım o halde sayın bakanım havasız ortamlarda yan yana… https://t.co/KAFs17qCZj</t>
  </si>
  <si>
    <t>1467188206789660675</t>
  </si>
  <si>
    <t>@drfahrettinkoca Yalan Tablosu Yazın 30 Binler de Olan Vaka Kışın 20 Bin Gelde İnan Ya</t>
  </si>
  <si>
    <t>1467188178645921794</t>
  </si>
  <si>
    <t>@drfahrettinkoca Sarılıktan tetanoza bütün aşılarımızı yaptırdık hocam rahat olun bide şu biontech AŞI RUHSATI alıp… https://t.co/UjhzvBED54</t>
  </si>
  <si>
    <t>1467188174279565317</t>
  </si>
  <si>
    <t>@drfahrettinkoca Şu harita haddinden fazla renksiz değil mi bakanım ???????? 👇 @drfahrettinkoca @RTErdogan… https://t.co/EeChIircZy</t>
  </si>
  <si>
    <t>1467188056671375362</t>
  </si>
  <si>
    <t>@drfahrettinkoca kis mevsiminde herzaman hastalik ve grip tarzi enfeksiyon riskleri artar. bu yuzyillardir boyledir… https://t.co/rKhrolddVT</t>
  </si>
  <si>
    <t>1467188041571868677</t>
  </si>
  <si>
    <t>@drfahrettinkoca #kabinezkuşağıonlineistiyor  Gelse burda sosyal mesafeli dur.Bilim kurulu siz neden 20 kişi toplan… https://t.co/ta7Iotm80X</t>
  </si>
  <si>
    <t>1467187908364980235</t>
  </si>
  <si>
    <t>@drfahrettinkoca Sağlık yönetimi görev ve meslek tanımı bekliyor   @RTErdogan  @drfahrettinkoca  @DrRecepAkdag… https://t.co/sERtF9f8M5</t>
  </si>
  <si>
    <t>1467187823367405575</t>
  </si>
  <si>
    <t>@drfahrettinkoca Ilgilenmeniz gereken başka haritalarda var👇 @drfahrettinkoca @RTErdogan   #SağlıkçıyıOyalamaYılı https://t.co/CSFr3G3WHf</t>
  </si>
  <si>
    <t>1467187761513914377</t>
  </si>
  <si>
    <t>@drfahrettinkoca Biz halimizden memnunuz bize dokunma!! bir yıl önce normal hayata geçtik evet oksijen ve D vitamin… https://t.co/LAgKwrRT0x</t>
  </si>
  <si>
    <t>1467187755100909568</t>
  </si>
  <si>
    <t>@drfahrettinkoca Bakanım artık saglık yönetimi bölümünü de görün, yıllarca çabaladık emek verdik hiç olmamaktansa a… https://t.co/ZZKFO8Ck6n</t>
  </si>
  <si>
    <t>1467187707348725762</t>
  </si>
  <si>
    <t>@drfahrettinkoca Eliniz değmişken şu haritayı da renklendirsek ya bakanım? @drfahrettinkoca @RTErdogan… https://t.co/ibtCGB3VqC</t>
  </si>
  <si>
    <t>1467187436878974978</t>
  </si>
  <si>
    <t>@drfahrettinkoca Kışın KAPALI ALANLAR KALABALIKLAR RİSKLİ EVET @tcmeb bunun farkına ne zaman varır ? Daha kaç can g… https://t.co/1XN2KI0tTF</t>
  </si>
  <si>
    <t>1467187339810295815</t>
  </si>
  <si>
    <t>@drfahrettinkoca Aman ha oksijen almayın karbondioksit soluyun yoksa kimse inanmaz salgın olduğuna .Maske takın ki… https://t.co/Wyn91ZiioO</t>
  </si>
  <si>
    <t>1467187295891697664</t>
  </si>
  <si>
    <t>@drfahrettinkoca KAPALİ ALANLARDA UZUN SURE ( OKULLAR ACİK HAVA YERLERİDİR :D)</t>
  </si>
  <si>
    <t>1467187204489367561</t>
  </si>
  <si>
    <t>@drfahrettinkoca Şu an hizli trenle istanbuldan ankaraya seyahat etmekteyim..Yanimdaki sakalli yaratik maskesiz...s… https://t.co/LdD9ILkFsJ</t>
  </si>
  <si>
    <t>1467187162017894409</t>
  </si>
  <si>
    <t>@drfahrettinkoca Kendi mesleğini icra etmek isteyen sağlık yönetimi mezunlarınin en büyük engeli kadro cetvelinde a… https://t.co/IND6dBAlfr</t>
  </si>
  <si>
    <t>1467187142216634372</t>
  </si>
  <si>
    <t>1467187138311639047</t>
  </si>
  <si>
    <t>@drfahrettinkoca Üniversitede 3 saat boyunca 70 kişilik sınıflarda blok ders görmek dışında hiç bir problem yok ayn… https://t.co/T4v7eAHnIF</t>
  </si>
  <si>
    <t>1467187129461755908</t>
  </si>
  <si>
    <t>@drfahrettinkoca Bakanım tüm illerimizi mavilesek mi @drfahrettinkoca @RTErdogan   #SağlıkçıyıOyalamaYılı https://t.co/CSFr3G3WHf</t>
  </si>
  <si>
    <t>1467187089540268041</t>
  </si>
  <si>
    <t>@drfahrettinkoca Lütfen aşı deyip durmayın 😉 https://t.co/I3St5MP8Cm</t>
  </si>
  <si>
    <t>1467187080585433096</t>
  </si>
  <si>
    <t>@drfahrettinkoca Sağlık Yönetimi bölümü 58 yıldır var olan bir gerçek. Sağlık Yönetimi mezunlarına 58 yıl boyunca k… https://t.co/rCwbJ557Rw</t>
  </si>
  <si>
    <t>1467187060507303943</t>
  </si>
  <si>
    <t>@drfahrettinkoca Ha TÜİK rakamlari,ha sağlık bakanlığı rakamlari.  2 sene geçmiş,toplum belki herkes hastalığı zate… https://t.co/QeC4EACXpo</t>
  </si>
  <si>
    <t>1467187052898889734</t>
  </si>
  <si>
    <t>@drfahrettinkoca 5-11 yaş aşılamayı başlatın artık.Okula giden çocuklarımızı aşı dışında nasıl koruyacağız peki?… https://t.co/fqHbFoy5hl</t>
  </si>
  <si>
    <t>1467186963509874696</t>
  </si>
  <si>
    <t>@drfahrettinkoca Kış mevsiminde kapalı alanlarda ve kalabalıklarda BULUNMAMALIYIZ evet  Ama siz bunu bize değil @tcmeb iletmelisiniz !</t>
  </si>
  <si>
    <t>1467186929393414152</t>
  </si>
  <si>
    <t>@drfahrettinkoca Adaletsizlik lerden sizin de çıkarmanız gereken dersler var</t>
  </si>
  <si>
    <t>1467186832001675269</t>
  </si>
  <si>
    <t>@drfahrettinkoca bu haritayı da mavi yapmaya davet ediyoruz eliniz değmışken. . @drfahrettinkoca @RTErdogan… https://t.co/UqAe5RRZfA</t>
  </si>
  <si>
    <t>1467186768839598081</t>
  </si>
  <si>
    <t>@drfahrettinkoca Aşilariniz bir işe yaramıyor  anlayın artık düşün yakamizdan</t>
  </si>
  <si>
    <t>1467186736077889536</t>
  </si>
  <si>
    <t>@drfahrettinkoca Koca seneyi atamasız geçirmiş olmamızdan çıkarmamız gereken sonuçlar da var. İnsanların sabrını da… https://t.co/vgRabK13iN</t>
  </si>
  <si>
    <t>1467186640506523655</t>
  </si>
  <si>
    <t>@drfahrettinkoca 5-11 yaş için aşı şart. Çocuklar okulda nasıl korunsun?</t>
  </si>
  <si>
    <t>1467186543576162305</t>
  </si>
  <si>
    <t>@drfahrettinkoca İki şeyin elden gitmeden değerini takdir etmek zordur; sağlık ve gençlik.… https://t.co/VXZ4BWYBJt</t>
  </si>
  <si>
    <t>1467186465155297284</t>
  </si>
  <si>
    <t>@drfahrettinkoca Cam açınca; VİRÜS BİTMİŞ OLMUYOR.  BULAŞ BİTMİYOR.  TEDBİR ALINMALI TEDBİR.</t>
  </si>
  <si>
    <t>1467186430946557963</t>
  </si>
  <si>
    <t>@drfahrettinkoca @drfahrettinkoca @tcbestepe @tcmeb @RTErdogan @BilimKurulu_ @mehmetceyhan23 @bengibaser Kapalı ort… https://t.co/zWQu3bqjqu</t>
  </si>
  <si>
    <t>1467186120551186434</t>
  </si>
  <si>
    <t>@drfahrettinkoca Cam mı açalım ? Siz açın o camı.  Akıl vermeyin artık TEDBİR ALIN TEDBİR.</t>
  </si>
  <si>
    <t>1467185937297948677</t>
  </si>
  <si>
    <t>@drfahrettinkoca Toplumun nerdeyse %90'ını aşıladınız tehditle. Ama hala salgın bitmedi. Artık hafif ölmek için aşı… https://t.co/bFlHAqFCcu</t>
  </si>
  <si>
    <t>1467185790216282123</t>
  </si>
  <si>
    <t>@drfahrettinkoca 3 gündür aşı teşvik twete atmıyordunuz. Özlemiştik.</t>
  </si>
  <si>
    <t>1467185626080550913</t>
  </si>
  <si>
    <t>@drfahrettinkoca Bulunduğumuz kapalı ortamları havalandıralım. Ama ağzımızda maske verdiğimiz karbondioksiti geri ç… https://t.co/O6EjP1oA03</t>
  </si>
  <si>
    <t>1467185485403541506</t>
  </si>
  <si>
    <t>@drfahrettinkoca kapa okullari</t>
  </si>
  <si>
    <t>1467185482639491079</t>
  </si>
  <si>
    <t>@drfahrettinkoca Ne yapmamızı ÖNERİRSİNİZ?  Okula uçarak mı gidelim? Dersleri Bahçede mi yapalım? Kalabalıklardan v… https://t.co/aESB3IiPal</t>
  </si>
  <si>
    <t>1467185426507173893</t>
  </si>
  <si>
    <t>@drfahrettinkoca Peki ya kapalı alanlarda kalmak zorundaysak? Üniversitelerin online eğitime geçmesi gerekiyor acilen!!</t>
  </si>
  <si>
    <t>1467185321976676358</t>
  </si>
  <si>
    <t>1467185155509047308</t>
  </si>
  <si>
    <t>@drfahrettinkoca Bakanım atama ne zaman @drfahrettinkoca</t>
  </si>
  <si>
    <t>1467185131978903569</t>
  </si>
  <si>
    <t>@drfahrettinkoca Aşı yokken de insanlar hafif atlatiyordu hatta 70 yaş üstü hastalarden alkışlarla taburcu oluyordu… https://t.co/PZHFkhENe8</t>
  </si>
  <si>
    <t>1467185127130284040</t>
  </si>
  <si>
    <t>@drfahrettinkoca OKULLAAAAR</t>
  </si>
  <si>
    <t>1467185071740362755</t>
  </si>
  <si>
    <t>@drfahrettinkoca Para falan konuşma yanlışlık reis çok kızar sonra</t>
  </si>
  <si>
    <t>1467185070586961921</t>
  </si>
  <si>
    <t>@drfahrettinkoca Bakanım bizde sizi bu haritayı mavi yapmaya davet ediyoruz. . @drfahrettinkoca @RTErdogan… https://t.co/M776Nb7iW1</t>
  </si>
  <si>
    <t>1467185018665582598</t>
  </si>
  <si>
    <t>@drfahrettinkoca Bu haritayı mavi yapmanız da bizim için hayati önem sahip @drfahrettinkoca #SağlıkçıyıOyalamaYılı https://t.co/CSFr3G3WHf</t>
  </si>
  <si>
    <t>1467184920065974280</t>
  </si>
  <si>
    <t>@drfahrettinkoca Avm ler tıklım tıklım öyle ordam söylemekle olmuyor bu işler sayın bakan</t>
  </si>
  <si>
    <t>1467184852768284680</t>
  </si>
  <si>
    <t>@drfahrettinkoca Kapalı yerlerde uzun süre bulunmayın diyorsanız, 9 yaşındaki aşısız oğlumu o zaman ben sizin de bu… https://t.co/KwljSisu0B</t>
  </si>
  <si>
    <t>1467184789463740425</t>
  </si>
  <si>
    <t>@drfahrettinkoca Sizi bu haritayı mavi yapmaya davet ediyoruz. @drfahrettinkoca #SağlıkçıyıOyalamaYılı https://t.co/CSFr3G3WHf</t>
  </si>
  <si>
    <t>1467184703002320901</t>
  </si>
  <si>
    <t>@drfahrettinkoca Bu haritayı mavilendirin de bizde sevinelim @drfahrettinkoca #SağlıkçıyıOyalamaYılı https://t.co/CSFr3G3WHf</t>
  </si>
  <si>
    <t>1467184611985924101</t>
  </si>
  <si>
    <t>@drfahrettinkoca Bu konu ile ilgili açıklama yapar mısınız?  Ülkemizde aşı sonrası kaç kişi vefat etti. Sorumluları… https://t.co/PwWffOCh0H</t>
  </si>
  <si>
    <t>1467184423632310284</t>
  </si>
  <si>
    <t>@drfahrettinkoca Valla bakan bey 36 saate bir sonuc  çıkmıyor hasta hasta ise gidiyoruz ya pozitifsek</t>
  </si>
  <si>
    <t>1467184354204004352</t>
  </si>
  <si>
    <t>@drfahrettinkoca Nasıl? Köpek gibi mi? https://t.co/yx42x5gFdc</t>
  </si>
  <si>
    <t>1467184285522317318</t>
  </si>
  <si>
    <t>@drfahrettinkoca Kılavuz nerde bakanımmm?    #SağlıkçıyıOyalamaYılı</t>
  </si>
  <si>
    <t>1467184182405345286</t>
  </si>
  <si>
    <t>@drfahrettinkoca 5-11 yaş aşılarını açın</t>
  </si>
  <si>
    <t>1467184169839124485</t>
  </si>
  <si>
    <t>@drfahrettinkoca Ölüm rakamlara bak, Allahım bize yardim et.</t>
  </si>
  <si>
    <t>1467184086108233745</t>
  </si>
  <si>
    <t>@drfahrettinkoca Allah sizinde o zehirlerinde belasını versin.Abim sizin zehirleriniz yüzünden 34 yaşında kalp kriz… https://t.co/WWIjcDKzFH</t>
  </si>
  <si>
    <t>1467184026519801857</t>
  </si>
  <si>
    <t>@drfahrettinkoca Yere batsın sağlıkçı yılı. Atamasız yıl bitti. Emeği geçenlere yazıklar olsun. @drfahrettinkoca #SağlıkçıyıOyalamaYılı</t>
  </si>
  <si>
    <t>1467183974128705541</t>
  </si>
  <si>
    <t>@drfahrettinkoca Oyalamak deyin,kandırmak deyin, hakkını vermemek yada gaspetmek deyin,sürekli yalan söylemek deyin… https://t.co/idE7tKspBX</t>
  </si>
  <si>
    <t>1467183907334467586</t>
  </si>
  <si>
    <t>@drfahrettinkoca Sağlıkçı Yılında bile yüzümüz gülmedi. @drfahrettinkoca @RTErdogan #SağlıkçıyıOyalamaYılı https://t.co/pl9LAl4OKV</t>
  </si>
  <si>
    <t>1467183878758666240</t>
  </si>
  <si>
    <t>@drfahrettinkoca Çalıştık emek verdik böyle rezil bi yıl görülmedi. yıl geçti yüksek puanlarla evde kan kusuyoruz s… https://t.co/NGlbW5Ulkl</t>
  </si>
  <si>
    <t>1467183854679216131</t>
  </si>
  <si>
    <t>@drfahrettinkoca Lafa gelince nasıl da gururla söylüyorsunuz 40 BİN SAĞLIKÇI ATANACAK diye. Daha atama yapılmadan i… https://t.co/SrPVQOrBwI</t>
  </si>
  <si>
    <t>1467183827080695808</t>
  </si>
  <si>
    <t>@drfahrettinkoca HAKKIM SİZE HELAL DEGİLDİR Sn. @drfahrettinkoca !</t>
  </si>
  <si>
    <t>1467183813302407169</t>
  </si>
  <si>
    <t>@drfahrettinkoca Kılavuza ne yaptınız? @drfahrettinkoca #SağlıkçıyıOyalamaYılı</t>
  </si>
  <si>
    <t>1467183797103902722</t>
  </si>
  <si>
    <t>@drfahrettinkoca Bakanım bizde sizi bu haritayı mavi yapmaya davet ediyoruz. @drfahrettinkoca #SağlıkçıyıOyalamaYılı https://t.co/CSFr3G3WHf</t>
  </si>
  <si>
    <t>1467183775926861829</t>
  </si>
  <si>
    <t>@drfahrettinkoca Hani o verdiğin sözler? @drfahrettinkoca   #SağlıkçıyıOyalamaYılı https://t.co/zQS4rVrB7T</t>
  </si>
  <si>
    <t>1467183754913497089</t>
  </si>
  <si>
    <t>@drfahrettinkoca Ogretmenim günlük 8 saat 35 40 kişilik sınıflarda ders yapıyoruz cami açsak çocuklar üşüyor acmasak havasız.kapali</t>
  </si>
  <si>
    <t>1467183725322584065</t>
  </si>
  <si>
    <t>@drfahrettinkoca Tükendik  Bizleri bu belirsizlikler içinde bırakarak çok ahımızı aldınız  Bir açıklama bile yapmıy… https://t.co/Ve0GGKCjj0</t>
  </si>
  <si>
    <t>1467183703881404423</t>
  </si>
  <si>
    <t>@drfahrettinkoca Mevsimin şartlarımı varmış? Kaçmış mesela 1.Aşı 2.Maske 3.Mesafe 4. Aşı 5.Aşı 6 7 8 9 10 11 12 Aşı… https://t.co/3V6djpKnoB</t>
  </si>
  <si>
    <t>1467183698382667789</t>
  </si>
  <si>
    <t>@drfahrettinkoca Sınıfı nasıl havalandiracagim bu soğukta, havalandırma mi var, sınıf 40 kisi. Saçma sapan akıl verme</t>
  </si>
  <si>
    <t>1467183693626286085</t>
  </si>
  <si>
    <t>@drfahrettinkoca Bunda nerde adelet , evet sağlıkçı yılı @drfahrettinkoca sağlıkçı Yıl'dı , tükendi bittii.. #SağlıkçıyıOyalamaYılı</t>
  </si>
  <si>
    <t>1467183676454801412</t>
  </si>
  <si>
    <t>@drfahrettinkoca Bizim bir gün yaşadığımız sıkıntıları siz bir saat çekseydiniz bir dk daha beklemezdiniz hem klavu… https://t.co/Q7wePMfVvW</t>
  </si>
  <si>
    <t>1467183648877203461</t>
  </si>
  <si>
    <t>@drfahrettinkoca Oyalama politikalarına bir an  önce son verip somut adımlar atın. Yıl bitmeden kılavuzu yayınlayın… https://t.co/fIMbcppIRk</t>
  </si>
  <si>
    <t>1467183609601798145</t>
  </si>
  <si>
    <t>@drfahrettinkoca Bize neden bu kadar acele ediyosunuz diye soracağınıza , kendinize neden bu kadar yavaşız diye sor… https://t.co/k39MvjJNhh</t>
  </si>
  <si>
    <t>1467183580505952268</t>
  </si>
  <si>
    <t>@drfahrettinkoca Tüm kamuda atama yapıldı, sağlık çalışanları beklemede. #SağlıkçıyıOyalamaYılı</t>
  </si>
  <si>
    <t>1467183546771116044</t>
  </si>
  <si>
    <t>@drfahrettinkoca Temmuz ayından beri sağlığa atama konuşuluyor ama  bir senedir olan tablo bu!… https://t.co/90yJyOxfhn</t>
  </si>
  <si>
    <t>1467183527783550976</t>
  </si>
  <si>
    <t>@drfahrettinkoca Ayıptır yazıktır günahtır Allah'tan korkun onca ölen sağlikcinin anısına saygınız olsun bunca insa… https://t.co/kQZSXZwYTM</t>
  </si>
  <si>
    <t>1467183509173411848</t>
  </si>
  <si>
    <t>@drfahrettinkoca Dünya Sağlık Örgütü'ne 2021 yılı "Sağlıkçı Yılı" ilan edilmesini teklif edip kendi ülkesinde sağlı… https://t.co/S0F6HSlPz4</t>
  </si>
  <si>
    <t>1467183489762172929</t>
  </si>
  <si>
    <t>@drfahrettinkoca Eylül bile geç diyorduk Aralık olmuş şaka gibi ama gerçek  @drfahrettinkoca  #SağlıkçıyıOyalamaYılı</t>
  </si>
  <si>
    <t>1467183472578027524</t>
  </si>
  <si>
    <t>@drfahrettinkoca Bir değil iki değil üç değil tam tamına 13 aydir atama bekliyoruz hazırlıkları bu KOSKOCA 13 AYDA… https://t.co/qzdi49eKha</t>
  </si>
  <si>
    <t>1467183455092027396</t>
  </si>
  <si>
    <t>@drfahrettinkoca 40 bin sağlıkçı dediniz cumhurbaşkanım müjde sizden geldi ancak kılavuz hala gelmedi lütfen duyun… https://t.co/r0DwhBMvML</t>
  </si>
  <si>
    <t>1467183454160830478</t>
  </si>
  <si>
    <t>@drfahrettinkoca Öğrencilerin KAPALI ALANLARDA KALABALIKLARDA VE TOPLU TAŞIMALARDA olduğundan haberiniz yok mu?</t>
  </si>
  <si>
    <t>1467183226607345664</t>
  </si>
  <si>
    <t>@drfahrettinkoca Hocam sizde şunu iyi biliniz,NE İNSANÎ NE EĞİTİM HAKKIMIZDAN TAVİZ VERMEYECEĞİZ BOYLE BİLİNE, iyi akşamlar.</t>
  </si>
  <si>
    <t>1467183173817843716</t>
  </si>
  <si>
    <t>@drfahrettinkoca Kapalı, kalabalık ortam = Okul?</t>
  </si>
  <si>
    <t>1467183149000146945</t>
  </si>
  <si>
    <t>@drfahrettinkoca Mevsim şartlarından çıkardığımız sonuç ==&amp;gt; Ekonomik Pandemi.... 😛</t>
  </si>
  <si>
    <t>1467182857504317449</t>
  </si>
  <si>
    <t>@drfahrettinkoca Bakanım naptınız bize😔,atama var dediniz atamadınız, sağlıkçı yılı ilan ettiniz sağlıkçının hakkını görmezden geldiniz</t>
  </si>
  <si>
    <t>1467182846121021450</t>
  </si>
  <si>
    <t>@drfahrettinkoca Siz gidin aşınızı olun, tavsiyelerinizi de kendinize  saklayın. Kimse sizin köleniz değil. Sağlığı… https://t.co/avp05IDAa8</t>
  </si>
  <si>
    <t>1467182841951932420</t>
  </si>
  <si>
    <t>@drfahrettinkoca Kışın kapı pencere mi açalım ısıtmak için uğraşıyoruz ERZURUM'dan selamlar</t>
  </si>
  <si>
    <t>1467182839007485960</t>
  </si>
  <si>
    <t>@drfahrettinkoca Sanki siz yaptirdiniz mi sayın Bakan</t>
  </si>
  <si>
    <t>1467182833651404805</t>
  </si>
  <si>
    <t>@drfahrettinkoca Öğrenciler İçin Tedbir Nedir? Cam Açın mı?</t>
  </si>
  <si>
    <t>1467182798675005445</t>
  </si>
  <si>
    <t>@drfahrettinkoca Kapalı ortamlarda sayılmıyor zaten sıkış tıkış otobüsler, oturacak yer bile olmayan sınıflar , 6 k… https://t.co/slVfilaPom</t>
  </si>
  <si>
    <t>1467182730752544770</t>
  </si>
  <si>
    <t>@drfahrettinkoca Turizm işi bitti tabi vakalar artmaya başladı.Yil başı geliyor millet eğlence yapacak tabi. PARDON… https://t.co/d4mRJHssbZ</t>
  </si>
  <si>
    <t>1467182699681136641</t>
  </si>
  <si>
    <t>@drfahrettinkoca Ama 666 fahri ülkeyi kobay cehennemine çevirdiği için Ölüm ilaçlarıyla zaten öldürmeye alışık oldu… https://t.co/PMAmWj5Urg</t>
  </si>
  <si>
    <t>1467182650007986178</t>
  </si>
  <si>
    <t>@drfahrettinkoca OKULLAAAAAR???</t>
  </si>
  <si>
    <t>1467182480738635776</t>
  </si>
  <si>
    <t>@drfahrettinkoca Sayin AŞI BAKANI asilarin zararlarini nasil saklandigi raporu gormuyormusun bunlar apacik goz onun… https://t.co/X4OrTgs2fL</t>
  </si>
  <si>
    <t>1467182270276685834</t>
  </si>
  <si>
    <t>@drfahrettinkoca En büyük Risk Sizin gibi İnsanların canına kasteden hainlerdir.😡😡😡😡😡 https://t.co/ej6ewZqQWK</t>
  </si>
  <si>
    <t>1467182260742983686</t>
  </si>
  <si>
    <t>@drfahrettinkoca Her ne kadar duymazdan gelsenizde bizi duydugunuzu biliyoruz hakkımızi klavuzu verin artk sene ile… https://t.co/xTlCsnz32Z</t>
  </si>
  <si>
    <t>1467182223950598145</t>
  </si>
  <si>
    <t>@drfahrettinkoca 3.doz için 6 ayı dolması şartı erkene alınmalı, omicron hızla yayılıyor..!</t>
  </si>
  <si>
    <t>1467182180677914628</t>
  </si>
  <si>
    <t>@drfahrettinkoca Sayın bakan, yüzyüze eğitim zorunluyken bunları nasıl yapalım.Hem kapalı alanda bulunma zorunluluğ… https://t.co/9y7aQm80OV</t>
  </si>
  <si>
    <t>1467182096062029825</t>
  </si>
  <si>
    <t>@drfahrettinkoca @saglikbakanligi Hocam TUİK e göremi bu rakamlar ?</t>
  </si>
  <si>
    <t>1467182043956187139</t>
  </si>
  <si>
    <t>@drfahrettinkoca Bu virüs ve uydurma DSÖ tedavileri ile fırsatçılara da ortam sağlandı. Sağlık gıda ve ekonomiyi vu… https://t.co/7SHkRMH13V</t>
  </si>
  <si>
    <t>1467182011735580677</t>
  </si>
  <si>
    <t>@drfahrettinkoca Ya hu kılavuzuda yaz bi gun</t>
  </si>
  <si>
    <t>1467181937622233095</t>
  </si>
  <si>
    <t>@drfahrettinkoca Vallahi şaşkınım gözlerime inanamıyorum artık. Risk var evet bunu bizde biliyoruz. Ne bekliyoruz o… https://t.co/kCCxW16AND</t>
  </si>
  <si>
    <t>1467181904164184075</t>
  </si>
  <si>
    <t>@drfahrettinkoca Sayın Bakan onu bunu bırak da bu sene kim şampiyon olur ? Netice de bu paylaşımların ciddiyeti kalmadı bunu sorayım bari...</t>
  </si>
  <si>
    <t>1467181615466090506</t>
  </si>
  <si>
    <t>@drfahrettinkoca Geç bunları. Aşılamayı zorunlu hale getir. 5-11 yaş aşılamasını başlat. Sağlık çalışanların maddi… https://t.co/XnckolXF8p</t>
  </si>
  <si>
    <t>1467181405113356290</t>
  </si>
  <si>
    <t>@drfahrettinkoca Kapalı alanlarda kalabalıklarda toplu taşımalarda RİSK VAR NE BEKLİYORUZ ŞU AN TAM OLARAK BİZ ?</t>
  </si>
  <si>
    <t>1467181354739589121</t>
  </si>
  <si>
    <t>@drfahrettinkoca Doktorların moralini bozdunuz 40 yaşındakiler dahi almanca kurslarına gitmeye başladı</t>
  </si>
  <si>
    <t>1467181340617588739</t>
  </si>
  <si>
    <t>@drfahrettinkoca Evetttt Alicann napiyorduk bu sahsın soylediklerinin tam tersini,bu cuce degil, Allahin gücüne guv… https://t.co/rbnjjQ9vsF</t>
  </si>
  <si>
    <t>1467181297852465152</t>
  </si>
  <si>
    <t>@drfahrettinkoca https://t.co/BzcofoSqHI</t>
  </si>
  <si>
    <t>1467181294228549634</t>
  </si>
  <si>
    <t>@drfahrettinkoca İlginçliğe bakar mısın kapalı ortamlarda uzun süre bulunmayın diyip okulların açık olması nasıl bir ikilemdir</t>
  </si>
  <si>
    <t>1467181179715481603</t>
  </si>
  <si>
    <t>@drfahrettinkoca Sayın bakanım insanları toplu alanara girmeyin diye uyarıyorsunuz.AÖF sınavlarını toplu sınıflarda… https://t.co/Us8lXV5koN</t>
  </si>
  <si>
    <t>1467181051348934667</t>
  </si>
  <si>
    <t>@drfahrettinkoca Evet çoluk çocuk asilarimizi yaptırdık zorunlu olmayınca evden çıkmıyoruz ama 50 kişilik sınıf 40… https://t.co/hlhr2ESeWe</t>
  </si>
  <si>
    <t>1467181027714121740</t>
  </si>
  <si>
    <t>@drfahrettinkoca Biz biliyoruz bunları. Genel olarak alınması gereken önlemler. Hemen herkes yapıyor bunu. O yüzden… https://t.co/X2jMmBvCuL</t>
  </si>
  <si>
    <t>1467180998010060802</t>
  </si>
  <si>
    <t>@drfahrettinkoca Kaç tane aşı yaptırmalıyız sayın bakan 1.2.3.4.....kaç???Aşı olanlar bile artık size güvenmiyor inanmıyor</t>
  </si>
  <si>
    <t>1467180808763023370</t>
  </si>
  <si>
    <t>@drfahrettinkoca Covid daha bitmedi mi ya vallaha ben unuttum gitti geçim derdine düstük.faturalar kira ay sonunu n… https://t.co/iaLpea7EcD</t>
  </si>
  <si>
    <t>1467180774524960772</t>
  </si>
  <si>
    <t>@drfahrettinkoca 4 ARALIK 2020 AŞI YOK! TEST SAYISI:194.435 VAKA SAYISI:32.736 HASTA SAYISI:6.903 ÖLÜM:193  4 ARALI… https://t.co/1hdofXM72q</t>
  </si>
  <si>
    <t>1467180693881081857</t>
  </si>
  <si>
    <t>@drfahrettinkoca Sevgili hocam biz gayet Iyiyiz çok şükür ultra herşey aynen devam. 3 gün doğum günü kutladık herke… https://t.co/zIUtcoQKq2</t>
  </si>
  <si>
    <t>1467180562632880128</t>
  </si>
  <si>
    <t>@drfahrettinkoca O halde piyasaya grip asisi verin...</t>
  </si>
  <si>
    <t>1467180505976213504</t>
  </si>
  <si>
    <t>@drfahrettinkoca Sn bakan, her gün 200 üzerinde kayıp var! Sizden temizlik tavsiyeleri dinleyip duruyoruz. Lafınızı… https://t.co/zOMlL2tIK1</t>
  </si>
  <si>
    <t>1467180395091345416</t>
  </si>
  <si>
    <t>@drfahrettinkoca Bes yas alti cocuklar ,amikrona karsi,asi olmayan ebeveynlerden,korumak gerekiyorsa ,okula giden c… https://t.co/toGQx7lOK9</t>
  </si>
  <si>
    <t>1467180380902117387</t>
  </si>
  <si>
    <t>@drfahrettinkoca 👏👏👏👏👏👏harika yalanlarınız sadece gülüyorum artık</t>
  </si>
  <si>
    <t>1467180318457319436</t>
  </si>
  <si>
    <t>@drfahrettinkoca Okuldaki cocuklarimiz ne yapsın peki?</t>
  </si>
  <si>
    <t>1467180289709547528</t>
  </si>
  <si>
    <t>@drfahrettinkoca Sayın Bakanım,kapalı ortamlarda bulunmayalim diyorsunuz biz öğretmenler kalabalık sınıflarda bulun… https://t.co/fOosR7zFKK</t>
  </si>
  <si>
    <t>1467180266154303494</t>
  </si>
  <si>
    <t>@drfahrettinkoca Siz bizden usanmadiniz mı ya #SağlıkçıyıOyalamaYılı</t>
  </si>
  <si>
    <t>1467180251482673165</t>
  </si>
  <si>
    <t>@drfahrettinkoca Okullarda pencereleri açarsak soğuktan hastalanacağız, pencereleri kapatırsak da virüsten öleceğiz… https://t.co/WAOHeiN3m6</t>
  </si>
  <si>
    <t>1467180114513432591</t>
  </si>
  <si>
    <t>@drfahrettinkoca Aşı korumuyorsa napacaz? Nereye kadar aşilanacagiz? Ne zaman vazgececeksiniz? Hepimiz aşı manyagi olunca kim kazanacak?</t>
  </si>
  <si>
    <t>1467179883877085186</t>
  </si>
  <si>
    <t>@drfahrettinkoca Risk almamak için deneme aşamasındaki bu sıvıları olmamak daha mantıklı sonuçta yan etki riski çok… https://t.co/S78TpvGaPz</t>
  </si>
  <si>
    <t>1467179871537348614</t>
  </si>
  <si>
    <t>@drfahrettinkoca Çok üzücü yazık !  Kapalı alanların VE kalabalıkların risk teşkil ettiğini söyleyip HİÇBİR ÖNLEM ALMAMAK.</t>
  </si>
  <si>
    <t>1467179721972670466</t>
  </si>
  <si>
    <t>@drfahrettinkoca Risk arttı diyorsunuz çocukları kalabalık sınıflarda eğitime çağırıyorsunuz #uzaktaneğitim</t>
  </si>
  <si>
    <t>1467179354480390146</t>
  </si>
  <si>
    <t>@drfahrettinkoca Teşekkür ederim. Bir aşı bakanı kolay yetişmiyor.</t>
  </si>
  <si>
    <t>1467179349258518546</t>
  </si>
  <si>
    <t>@drfahrettinkoca Fahrettin bey bugün aşı olalım demedi, girip bi bakayım iyi mi diye düşünürken yine hayatın o olağ… https://t.co/K9nFu9oG4L</t>
  </si>
  <si>
    <t>1467179237698424835</t>
  </si>
  <si>
    <t>@drfahrettinkoca okullar en güvenli yer diyorsunuz peki kendinizle çeliştiğinizin farkında mısınız hem kapalı ortam… https://t.co/gSqCIviqeA</t>
  </si>
  <si>
    <t>1467178926569107459</t>
  </si>
  <si>
    <t>@drfahrettinkoca Doz yarisinda geride kalan vatandaşlar unutmamalıdır ki 4 doz  yaptıran 3 doz yaptıranda her zaman… https://t.co/x9WGHMBIgT</t>
  </si>
  <si>
    <t>1467178660843212808</t>
  </si>
  <si>
    <t>@drfahrettinkoca https://t.co/DsLD4JeQrM</t>
  </si>
  <si>
    <t>1467178649296281602</t>
  </si>
  <si>
    <t>@drfahrettinkoca Hem kalabalık ortamlara girmeyin diyorsunuz hem uzaktan eğitim hakkı vermeyip çocuklarımızı saatle… https://t.co/oL9ve7IUID</t>
  </si>
  <si>
    <t>1467178566496534534</t>
  </si>
  <si>
    <t>@drfahrettinkoca Cezaevlerinde Bunu Nasıl Yapacaklar Bakanım ? Az Daha Bizi de Geri Cezaevlerine Alıyordunuz.. Ceza… https://t.co/KsDDtyiZTp</t>
  </si>
  <si>
    <t>1467178500373327877</t>
  </si>
  <si>
    <t>@drfahrettinkoca İlk 90 Gün 42.086 Kişi Ölen 1223 Kurtarılamayan 11.361 (Nedemek?) ve Bilinmeyen 9.400 Fakat Hala R… https://t.co/dBobIXQYry</t>
  </si>
  <si>
    <t>1467178495877033991</t>
  </si>
  <si>
    <t>@drfahrettinkoca Kilavusss</t>
  </si>
  <si>
    <t>1467178440201805825</t>
  </si>
  <si>
    <t>@drfahrettinkoca Okulu kapa o zaman</t>
  </si>
  <si>
    <t>1467178439006470155</t>
  </si>
  <si>
    <t>@drfahrettinkoca Sayın bakan bu   pfzer belgelerinde çıkan hastaneler ve doktorlar hakkında bir işlem yapilacakmı m… https://t.co/qq5ocwpwzl</t>
  </si>
  <si>
    <t>1467178417070170116</t>
  </si>
  <si>
    <t>@drfahrettinkoca Ya okullarda napalım yurtlarda 1000 kişilik yerde yemekhanelerde ne yapalım abi sen nasıl bir baka… https://t.co/JYdRBORMKv</t>
  </si>
  <si>
    <t>1467178351123173378</t>
  </si>
  <si>
    <t>@drfahrettinkoca mesela 8 saat boyunca sınıflarda durmamalıyız yazın hadi cam falan açıyorduk kış geldi şimdi ne ya… https://t.co/9lEplWQNHw</t>
  </si>
  <si>
    <t>1467178332114542599</t>
  </si>
  <si>
    <t>@drfahrettinkoca Tamam aşılandık fakat bu aşılanma daha nekadar sürecek bilginiz vardır herhalde...son aşılar kaç yıl sonra son bulacak</t>
  </si>
  <si>
    <t>1467178300737044481</t>
  </si>
  <si>
    <t>@drfahrettinkoca Kimsenin şu verileri görmeye tahammülü kalmadı. #Kabinezkusagionlineistiyor</t>
  </si>
  <si>
    <t>1467178096918990852</t>
  </si>
  <si>
    <t>@drfahrettinkoca MahkumaAF SözünVarMHP  Covid can almaya devam ediyor kapalı ceza evinde mahkumlar ölüme terkedildi… https://t.co/RhMVbJynfy</t>
  </si>
  <si>
    <t>1467178085569150980</t>
  </si>
  <si>
    <t>@drfahrettinkoca Gene günlük rutin şakanı yaptın şakacii okullar da herkes hasta hiç biyerde önlem falan yok sizede #oymoyyok</t>
  </si>
  <si>
    <t>1467178070436155396</t>
  </si>
  <si>
    <t>@drfahrettinkoca #Kabinezkusagionlineistiyor uzaktan eğitim öğrencinin hakkıdır ‼️</t>
  </si>
  <si>
    <t>1467178035426344964</t>
  </si>
  <si>
    <t>@drfahrettinkoca HES uygulamasını tamamen kaldırmalısınız. HAYAT EVE SIĞMAZ SIĞMADI SIĞMAYACAK  İNSANIZ BİZ, ROBOT… https://t.co/zXaP16rFZN</t>
  </si>
  <si>
    <t>1467178023891972105</t>
  </si>
  <si>
    <t>@drfahrettinkoca Hiçbir işe yaramadığı gibi insanlar arasında tartışmalara sebep olan ANLAMSIZ MASKE MECBURİYETİ de… https://t.co/3OEZmN6k2a</t>
  </si>
  <si>
    <t>1467177988135526405</t>
  </si>
  <si>
    <t>@drfahrettinkoca Bakanım havalar soğuk yabancı ülkelerin hepsi şu anda yasak var lütfen okullarla hibrit eğitim yad… https://t.co/niT8dXEyt5</t>
  </si>
  <si>
    <t>1467177980212527109</t>
  </si>
  <si>
    <t>@drfahrettinkoca Uzun lafın kısası; okullarda burada yazılan lıyız/liyiz lerin hiçbiri mümkün değil. İyi akşamlar… https://t.co/1bmX0fpde3</t>
  </si>
  <si>
    <t>1467177968703258632</t>
  </si>
  <si>
    <t>@drfahrettinkoca Bizde aynı şey söylüyoruz. 🤷‍♂️ Kapalı alanlarda kalabalıklarda toplu taşımalarda risk altındayız.… https://t.co/W4nhvdXtBr</t>
  </si>
  <si>
    <t>1467177931252326401</t>
  </si>
  <si>
    <t>@drfahrettinkoca Şu bilim kuruluna bir tane matematikçi alın. Aşıların işe yarayıp yaramadığını istatiksel olarak f… https://t.co/G021a51eVZ</t>
  </si>
  <si>
    <t>1467177929008369666</t>
  </si>
  <si>
    <t>@drfahrettinkoca Insanlarin artik test yapmaya dahi gitmediğini düşünüyorum</t>
  </si>
  <si>
    <t>1467177910746464257</t>
  </si>
  <si>
    <t>@drfahrettinkoca uzaktan eğitim gelmesi şart her ne kadar kapatmıcaz desenizde vakalar gerçeği yansıtmıyor vakalar… https://t.co/ek4i6mVCsm</t>
  </si>
  <si>
    <t>1467177896305430538</t>
  </si>
  <si>
    <t>@drfahrettinkoca bakanim bos yapmayin allah askina ya ne uzun sure durmasi benim okula giderken ki otobus-metro yol… https://t.co/sGEbggUMYO</t>
  </si>
  <si>
    <t>1467177821499973638</t>
  </si>
  <si>
    <t>@drfahrettinkoca Ben ce direk bu tabloyu kaldir boşuna yalan atmak zoeunda kaliyorsunuz ylanalara devam Türk halki slaak ya devam ke</t>
  </si>
  <si>
    <t>1467177780119060481</t>
  </si>
  <si>
    <t>@drfahrettinkoca Yemin ederim aklımı kaçırcam. Mevsim şartlarından çıkarttığımız sonuç, mecbur kaldık, umarım ölmey… https://t.co/jm2FdTNc7P</t>
  </si>
  <si>
    <t>1467177773626179590</t>
  </si>
  <si>
    <t>@drfahrettinkoca TATİL DEĞİL UZAKTAN EĞİTİM İSTİYORUZ !!!</t>
  </si>
  <si>
    <t>1467177745327308802</t>
  </si>
  <si>
    <t>@drfahrettinkoca UZAKTAN EĞİTİM!</t>
  </si>
  <si>
    <t>1467177585025204238</t>
  </si>
  <si>
    <t>@drfahrettinkoca 30 binden 20 bine düşmemiz İ M K A N S I Z  #kabinezkuşağıonlineistiyor</t>
  </si>
  <si>
    <t>1467177458571042817</t>
  </si>
  <si>
    <t>@drfahrettinkoca 5-11 yaş arası için aşı ne zaman getirilecek?</t>
  </si>
  <si>
    <t>1467177426967044101</t>
  </si>
  <si>
    <t>@drfahrettinkoca ONLİNE EĞİTİM İSTİYORUZ!!! SAĞLIKLI BİR EĞİTİM!!! @drfahrettinkoca</t>
  </si>
  <si>
    <t>1467177372680085508</t>
  </si>
  <si>
    <t>1467177358327259138</t>
  </si>
  <si>
    <t>@drfahrettinkoca Aşılar tamam da 45 kişi sınıflari ne yapsak acaba havalandırma mi o ne ola ki</t>
  </si>
  <si>
    <t>1467177349154283520</t>
  </si>
  <si>
    <t>@drfahrettinkoca o kadar ülke kapanmaya gitmiş,birsürü tedbir almalarına rağmen vakaları 40-50k, bizim 0 tedbir ülk… https://t.co/rDGnCJuVSQ</t>
  </si>
  <si>
    <t>1467177281726599175</t>
  </si>
  <si>
    <t>@drfahrettinkoca Riskin olmadığı dönemlerde aşıyı yavaş yavaş mı olmalıyız? Aşılamanın yüksek olduğu illerde vaka s… https://t.co/amgYEgzyJm</t>
  </si>
  <si>
    <t>1467177279155494916</t>
  </si>
  <si>
    <t>@drfahrettinkoca Sınıflar amfiler? Hava soğuk cam da açılamıyor</t>
  </si>
  <si>
    <t>1467177278132174850</t>
  </si>
  <si>
    <t>@drfahrettinkoca @saglikbakanligi Mersin şehir hastanesi babami olume terk etiler bakanim dūyun bu sesimizi babam a… https://t.co/4acoxr8IPA</t>
  </si>
  <si>
    <t>1467177188965457930</t>
  </si>
  <si>
    <t>@drfahrettinkoca Cidden anlam veremiyorum. Bizim yurtta temizlikçi yok ya, oda arkadaşlarım hijyenden çok çok uzakl… https://t.co/HpdzT084vT</t>
  </si>
  <si>
    <t>1467177176684503042</t>
  </si>
  <si>
    <t>1467177175963115520</t>
  </si>
  <si>
    <t>@drfahrettinkoca Bizi oyalamayı bırakın artık!!  #SağlıkçıOyalamaYılı</t>
  </si>
  <si>
    <t>1467177091019980802</t>
  </si>
  <si>
    <t>@drfahrettinkoca Türk insanı senden temizlik mi öğrenecek? Sen halının altına supurdugun pisliklerin bir temizle önce</t>
  </si>
  <si>
    <t>1467176990243442695</t>
  </si>
  <si>
    <t>@drfahrettinkoca Okullarda nasıl olacak bu sayın bakan lütfen bi fikriniz varsa söyleyin</t>
  </si>
  <si>
    <t>1467176945733484544</t>
  </si>
  <si>
    <t>@drfahrettinkoca Öyleyse pislik yuvası CO2 zehirlenmesi yapan maskeleri çöpe atıp havalandırın arkadaşlar ...</t>
  </si>
  <si>
    <t>1467176931997147157</t>
  </si>
  <si>
    <t>@drfahrettinkoca Hööyttt!!!</t>
  </si>
  <si>
    <t>1467176910916571140</t>
  </si>
  <si>
    <t>@drfahrettinkoca Okullarda sınıflar kapatılıyor. Aileler topluca hasta. Nasıl oluyor sayılar hergün düşüyor?</t>
  </si>
  <si>
    <t>1467176874937888772</t>
  </si>
  <si>
    <t>@drfahrettinkoca Az önce hastanenizdeydim güzelmiş :) ama aşıya karşıyım sayın bakan acaba diyorum bu ilaçları verm… https://t.co/wPFAkAU4Sd</t>
  </si>
  <si>
    <t>1467176862631829504</t>
  </si>
  <si>
    <t>@drfahrettinkoca Bakanım harbi diyorum ne kullanıyor iseniz günlük olarak bende kullanmak istiyorum 🙏🏼</t>
  </si>
  <si>
    <t>1467176832260788231</t>
  </si>
  <si>
    <t>@drfahrettinkoca Ne güzel diyorsunuz bakanım kapalı alanlarda durmayın biz okullarda 7saat boyunca sınıflar dayız h… https://t.co/uGfUrX26Ql</t>
  </si>
  <si>
    <t>1467176796705726471</t>
  </si>
  <si>
    <t>@drfahrettinkoca Olm dalgamı geçiyorsunuz okullar açık ve kapalı ortamlarda durmayın diyorsunuz.</t>
  </si>
  <si>
    <t>1467176751231078404</t>
  </si>
  <si>
    <t>@drfahrettinkoca ⏩ SAĞLIKÇILAR SN. BAKANA DERDİNİ ANLATMAYA ÇALIŞIRKEN ‼️ BANA YAKLAŞMA))‼️🇹🇷😇… https://t.co/NabM5dJbwJ</t>
  </si>
  <si>
    <t>1467176749800828930</t>
  </si>
  <si>
    <t>@drfahrettinkoca -Kapalı yerlerde kalabalık ortamlarda uzun süre bulunmaktan kaçınmalıyız. -Bulunduğumuz kapalı ort… https://t.co/jL1Rn6TnGE</t>
  </si>
  <si>
    <t>1467176728955080711</t>
  </si>
  <si>
    <t>1467176681693712391</t>
  </si>
  <si>
    <t>@drfahrettinkoca Şaka mı? Yurt hayatı kapalı ortam değil mi? Kime yönelik konuşuyorsunuz?!!! Tedbir alabilsek alaca… https://t.co/Xv7OTUeKw0</t>
  </si>
  <si>
    <t>1467176673128984576</t>
  </si>
  <si>
    <t>@drfahrettinkoca Bundan önceki mevsim şartları mevsimsel hastalıklar aynıydı. Neden hiç grip aşılarndan söz edip ya… https://t.co/Y013W7yO3C</t>
  </si>
  <si>
    <t>1467176670192967681</t>
  </si>
  <si>
    <t>@drfahrettinkoca cidden inanmamızı mı bekliyo bu #KabineZKusağıOnlineİstiyor</t>
  </si>
  <si>
    <t>1467176661087100932</t>
  </si>
  <si>
    <t>@drfahrettinkoca Tedbir bu mu CAM AÇIN???</t>
  </si>
  <si>
    <t>1467176636600750086</t>
  </si>
  <si>
    <t>1467176623543889922</t>
  </si>
  <si>
    <t>@drfahrettinkoca Uzaktan eğitim istiyoruz #Kabinezkusagionlineistiyor</t>
  </si>
  <si>
    <t>1467176603826409483</t>
  </si>
  <si>
    <t>@drfahrettinkoca https://t.co/oixq4UPRut https://t.co/sr0KgHEeoj https://t.co/d9X3A5mAym https://t.co/41Aj1ybB7Q… https://t.co/CiDYD6AAVp</t>
  </si>
  <si>
    <t>1467176589003788293</t>
  </si>
  <si>
    <t>@drfahrettinkoca aşı aralık sürelerini azaltmak sizin işiniz. 3. Pfizer için insanları 6 ay beklemek zorunda bırakm… https://t.co/LyeL3pwceG</t>
  </si>
  <si>
    <t>1467176566941753349</t>
  </si>
  <si>
    <t>@drfahrettinkoca Avmleri kapatsana</t>
  </si>
  <si>
    <t>1467176565855432707</t>
  </si>
  <si>
    <t>@drfahrettinkoca https://t.co/oixq4UPRut https://t.co/sr0KgHEeoj https://t.co/d9X3A5mAym https://t.co/41Aj1ybB7Q… https://t.co/0dZin5w2QX</t>
  </si>
  <si>
    <t>1467176549581479943</t>
  </si>
  <si>
    <t>@drfahrettinkoca OKULLAR KALABALIK DEĞİL Mİ ACABA? ÜNİVERSİTELER PEKİ ONLAR KALABALIK DEĞİL Mİ?</t>
  </si>
  <si>
    <t>1467176548579131394</t>
  </si>
  <si>
    <t>@drfahrettinkoca Aylardır kapalı alanlarda kalabalıklarda toplu taşımalarda ya virüs oluyoruz ya virüsü yayıyoruz b… https://t.co/FwvHe4UQKG</t>
  </si>
  <si>
    <t>1467176537007050759</t>
  </si>
  <si>
    <t>@drfahrettinkoca Biz sonucumuzu çıkardık sen merak etme. Herkes yapması gerekeni biliyor.</t>
  </si>
  <si>
    <t>1467176534876332041</t>
  </si>
  <si>
    <t>@drfahrettinkoca https://t.co/oixq4UPRut https://t.co/sr0KgHEeoj https://t.co/d9X3A5mAym https://t.co/41Aj1ybB7Q… https://t.co/TMaNcXfhkv</t>
  </si>
  <si>
    <t>1467176512499687425</t>
  </si>
  <si>
    <t>@drfahrettinkoca Mesela okullar ? Çocuklar ne yapacak? O zaman yap ders saatlerini 20-25 dk.. çözüm mü? Hayır!</t>
  </si>
  <si>
    <t>1467176437983633413</t>
  </si>
  <si>
    <t>@drfahrettinkoca Kapalı ortamda uzun süre bulunmamalıyız derken??? 8 saat sınıfta duruyoruz!!! Neyin tedbiri bu?</t>
  </si>
  <si>
    <t>1467176363375349765</t>
  </si>
  <si>
    <t>@drfahrettinkoca üniversitelere online eğitim gelsin #kabinezkuşağıonlineistiyor</t>
  </si>
  <si>
    <t>1467176348779225088</t>
  </si>
  <si>
    <t>@drfahrettinkoca https://t.co/sr0KgHEeoj https://t.co/d9X3A5mAym https://t.co/41Aj1ybB7Q https://t.co/w7rZ1FvIlK… https://t.co/tdRcPzgOQI</t>
  </si>
  <si>
    <t>1467176344727572488</t>
  </si>
  <si>
    <t>@drfahrettinkoca Hayatın yalan</t>
  </si>
  <si>
    <t>1467176330164850699</t>
  </si>
  <si>
    <t>@drfahrettinkoca Okullar?</t>
  </si>
  <si>
    <t>1467176322720014336</t>
  </si>
  <si>
    <t>@drfahrettinkoca MahkumaAF SözünVarMHP🇹🇷  @dbdevletbahceli  Verin artık ceza indirimi ni ayrım yapmayın yok infaz y… https://t.co/h8FIwetCdw</t>
  </si>
  <si>
    <t>1467176202788122626</t>
  </si>
  <si>
    <t>@drfahrettinkoca Grip aşısı 160 tl olmuş</t>
  </si>
  <si>
    <t>1467176201496272901</t>
  </si>
  <si>
    <t>@drfahrettinkoca Kalabalık yere gitmeyin diyorsunuz bugün oynanan Ts maçının stad girişinde binlerce seyirsi sıfır… https://t.co/oAJgxVHBql</t>
  </si>
  <si>
    <t>1467176176405954573</t>
  </si>
  <si>
    <t>@drfahrettinkoca Bakanım nasil kacalim kapalu ortamlardan sınıflar 40 kisi cam acsak deli gibi üşüyüp grip olcaz kaçamıyoruz</t>
  </si>
  <si>
    <t>1467176121288515594</t>
  </si>
  <si>
    <t>1467176039860387846</t>
  </si>
  <si>
    <t>1467176026610491395</t>
  </si>
  <si>
    <t>@drfahrettinkoca Sayın bakan Gülden Akşit in 3 doz aşı olmasına rağmen kovitten hayatını kaybettiği söyleniyor doğrumu!!!</t>
  </si>
  <si>
    <t>1467176014660911114</t>
  </si>
  <si>
    <t>1467176013612429322</t>
  </si>
  <si>
    <t>@drfahrettinkoca #kabinezkusağıonlineistiyor  #Kabinezkusagionlineistiyor</t>
  </si>
  <si>
    <t>1467176008587563013</t>
  </si>
  <si>
    <t>@drfahrettinkoca Syn bakan kapalı alanlarda kendi istegimizle durmuyoruz okulu zorunlu tutuyorsunuz ya hani siz  in… https://t.co/snbmtlGYkI</t>
  </si>
  <si>
    <t>1467176008239493128</t>
  </si>
  <si>
    <t>1467176006628917255</t>
  </si>
  <si>
    <t>1467175999792156683</t>
  </si>
  <si>
    <t>@drfahrettinkoca SAĞLIKÇILAR KILAVUZU BİR İKİ HAFTADIR DEĞİL KOCA BİR YILDIR BEKLİYORı</t>
  </si>
  <si>
    <t>1467175986630479878</t>
  </si>
  <si>
    <t>1467175971828731905</t>
  </si>
  <si>
    <t>1467175957966565382</t>
  </si>
  <si>
    <t>1467175944376967172</t>
  </si>
  <si>
    <t>@drfahrettinkoca yurtlar mikrop yuvası.yurt temizliği devletin sorumluluğundaydı ancak herzaman ki gibi sözde önlem… https://t.co/olbcIIdWzE</t>
  </si>
  <si>
    <t>1467175932863684612</t>
  </si>
  <si>
    <t>1467175931026493448</t>
  </si>
  <si>
    <t>1467175916078088203</t>
  </si>
  <si>
    <t>1467175899313414146</t>
  </si>
  <si>
    <t>@drfahrettinkoca Syn bakanım böyle kalabalık ortamda uzaklasın diyorsunuz ceza evindekiler ne yapsın tek tek ölmele… https://t.co/5xuHCxJJQL</t>
  </si>
  <si>
    <t>1467175893126758401</t>
  </si>
  <si>
    <t>1467175888802529280</t>
  </si>
  <si>
    <t>@drfahrettinkoca Bizi salak yerine koymayı bırakın artık. Şu yazdığınız yazı ile yaptığınız işin hiçbir mantıklı aç… https://t.co/KWe06daK1w</t>
  </si>
  <si>
    <t>1467175881516929026</t>
  </si>
  <si>
    <t>1467175880703229954</t>
  </si>
  <si>
    <t>@drfahrettinkoca Hiç @şı olmadım  Çok şükür  Sağlıklı bir hayatım var  Maske kullanmadım  Beynim ve kalbim  Çalışıy… https://t.co/CIhM8RtGIw</t>
  </si>
  <si>
    <t>1467175876177674250</t>
  </si>
  <si>
    <t>1467175867310907396</t>
  </si>
  <si>
    <t>1467175862223183879</t>
  </si>
  <si>
    <t>1467175844401631238</t>
  </si>
  <si>
    <t>1467175826395484172</t>
  </si>
  <si>
    <t>1467175822926782476</t>
  </si>
  <si>
    <t>@drfahrettinkoca Yansıtılan tablo buysa gerçeğini tasavvur dahi edemiyorum vaziyet çok çok kötü, derhal saniye kayb… https://t.co/DV4tRM3wjN</t>
  </si>
  <si>
    <t>1467175819642613766</t>
  </si>
  <si>
    <t>@drfahrettinkoca SAĞLIKÇILAR KILAVUZU BİR İKİ HAFTADIR DEĞİL KOCA BİR YILDIR BEKLİYOR6</t>
  </si>
  <si>
    <t>1467175809232384007</t>
  </si>
  <si>
    <t>1467175793717510146</t>
  </si>
  <si>
    <t>1467175776818802688</t>
  </si>
  <si>
    <t>@drfahrettinkoca Okulda neden uzun sure durarak kendinizle celişiyorsunuz bakanim?</t>
  </si>
  <si>
    <t>1467175766005796864</t>
  </si>
  <si>
    <t>1467175760687415310</t>
  </si>
  <si>
    <t>1467175755201355779</t>
  </si>
  <si>
    <t>1467175743494963201</t>
  </si>
  <si>
    <t>1467175726201942022</t>
  </si>
  <si>
    <t>@drfahrettinkoca Aşılama azaldı diyorsunuz   Almanya, avrupa bile patladı..  Bizde önlem olarak sadece 12den sonra… https://t.co/a33Lse1Qxf</t>
  </si>
  <si>
    <t>1467175716425015296</t>
  </si>
  <si>
    <t>1467175701988188172</t>
  </si>
  <si>
    <t>@drfahrettinkoca https://t.co/E4dxpvDsRu Burada gördüğümüz şey, büyük ilaçların pazarlama ve ürün satışı biliminin… https://t.co/hKBFoJinha</t>
  </si>
  <si>
    <t>1467175646166192132</t>
  </si>
  <si>
    <t>@drfahrettinkoca Bir kere cevaplarsan çorap söküğü gibi gerisi gelecek ve bütün oyun açığa çıkacak değil mi? Yüzüğü… https://t.co/5FyImbIYyx</t>
  </si>
  <si>
    <t>1467175565132193804</t>
  </si>
  <si>
    <t>@drfahrettinkoca #kabinezkuşağıonlineistiyor  #kabinezkuşağıonlineistiyor</t>
  </si>
  <si>
    <t>1467175528994070528</t>
  </si>
  <si>
    <t>@drfahrettinkoca #KabineZKusağıOnlineİstiyor  Sizce okulların sınıfları havalandiriliyor mu? Herşey teoride uygulam… https://t.co/0cDomwtroC</t>
  </si>
  <si>
    <t>1467175520722894852</t>
  </si>
  <si>
    <t>@drfahrettinkoca Ve maske takmamalıyız, ve denek olmamalıyız,ve Pfizer  bilin kurulu  hesap ver demeliyiz.</t>
  </si>
  <si>
    <t>1467175518244163585</t>
  </si>
  <si>
    <t>@drfahrettinkoca TEK YOL HAVALANDIRMAMI TEK SORUN BUMU YANI 40 50 KISILIK SINIFLARDA HAVALANDIRMA OLSA NE OLUR OLMA… https://t.co/rscereOAWF</t>
  </si>
  <si>
    <t>1467175517094825988</t>
  </si>
  <si>
    <t>@drfahrettinkoca #kabinezkuşağıonlineistiyor #kabinezkuşağıonlineistiyor</t>
  </si>
  <si>
    <t>1467175507166994436</t>
  </si>
  <si>
    <t>@drfahrettinkoca Sağlık kuruluşunda tedaviye başlamadan önce COVİD testi aranmadan  onlarca tahlil, test yapılıyor,… https://t.co/Fe2HvKMJIG</t>
  </si>
  <si>
    <t>1467175466570235906</t>
  </si>
  <si>
    <t>1467175450120269828</t>
  </si>
  <si>
    <t>@drfahrettinkoca E nerde aşı nerdee? 5-11 yaş için neyi bekliyorsunuz? Hâlâ başvuruda bulunmamışsınız?</t>
  </si>
  <si>
    <t>1467175386190651397</t>
  </si>
  <si>
    <t>@drfahrettinkoca #kabinezkuşağıonlineistiyor</t>
  </si>
  <si>
    <t>1467175347493945351</t>
  </si>
  <si>
    <t>@drfahrettinkoca Hocam neden vakarda aşı aşısız oranı yok ???  Biraz gerçekçi olsanın</t>
  </si>
  <si>
    <t>1467175324303699969</t>
  </si>
  <si>
    <t>@drfahrettinkoca Saçılan belgeleri gördün mü efendi. Kaç kişi ölmüş aşıdan ?😡</t>
  </si>
  <si>
    <t>1467175302560428036</t>
  </si>
  <si>
    <t>@drfahrettinkoca Pandemide online egitim çocuklarımızın hakkıdır. Her kademeye online egitim istiyoruz. #Kabinezkuşağıonlineistiyor</t>
  </si>
  <si>
    <t>1467175298198343681</t>
  </si>
  <si>
    <t>@drfahrettinkoca Saglikcilar iş bırakıyor ödenmeyen haklarımızı istiyoruz aşı uygulaması aksayinca mi anlasilacaz sayın bakanım</t>
  </si>
  <si>
    <t>1467175158171541511</t>
  </si>
  <si>
    <t>@drfahrettinkoca Bir de klavuzu hemen yayınlamalıyız değil mi bakan !!! @drfahrettinkoca</t>
  </si>
  <si>
    <t>1467175116903747586</t>
  </si>
  <si>
    <t>@drfahrettinkoca O listedeki vefat  edenlerden biri olsaydım da bu rezil günleri görmeseydim. Bunu bile dedirttiniz artık.</t>
  </si>
  <si>
    <t>1467175094552301584</t>
  </si>
  <si>
    <t>@drfahrettinkoca Günde 500 kişi mi ölmeli tedbir için bakanım</t>
  </si>
  <si>
    <t>1467175061660577803</t>
  </si>
  <si>
    <t>@drfahrettinkoca 363 yorumun 1 tanesinde sizi öven bir yorum sizi seven bir kişi görmedim. Kendizi sorgulamanın vakti geldi de geçiyor bile</t>
  </si>
  <si>
    <t>1467174989589843970</t>
  </si>
  <si>
    <t>@drfahrettinkoca Nekadar çok ölüm var #kabinezkusağıonlineistiyor</t>
  </si>
  <si>
    <t>1467174867799842821</t>
  </si>
  <si>
    <t>@drfahrettinkoca Aşı olmayacağız , çocuklara da DOKUNMAYACAKSINIZ https://t.co/K8qjpG3MRo</t>
  </si>
  <si>
    <t>1467174850565447684</t>
  </si>
  <si>
    <t>@drfahrettinkoca Okullar söz konusu olunca kör sağır dilsiz oluyorlar anlamdım gitti 🤷‍♀️</t>
  </si>
  <si>
    <t>1467174758592790537</t>
  </si>
  <si>
    <t>@drfahrettinkoca gel bunu yurdun yemekhanesinde söyle</t>
  </si>
  <si>
    <t>1467174733884055560</t>
  </si>
  <si>
    <t>@drfahrettinkoca @drfahrettinkoca kılavuz nerede sayın bakan ?</t>
  </si>
  <si>
    <t>1467174669698613249</t>
  </si>
  <si>
    <t>@drfahrettinkoca Nasıl görmezden geliyorsunuz gerçekten aklım almıyor @drfahrettinkoca</t>
  </si>
  <si>
    <t>1467174663247867908</t>
  </si>
  <si>
    <t>@drfahrettinkoca A$hı yaptırınca noloyor 😂😂😂 sen şakamısın.millet uyandııııı insanlar daha mahkeme kararı ile açıkl… https://t.co/iFbTo6FXag</t>
  </si>
  <si>
    <t>1467174630926520326</t>
  </si>
  <si>
    <t>@drfahrettinkoca Şu deneysel sıvıyı katmasaydınız sözünüze katılacaktım..</t>
  </si>
  <si>
    <t>1467174626648375303</t>
  </si>
  <si>
    <t>@drfahrettinkoca Bilim Kurulu Toplantıları virüsten dolayı Online Yapılıyor ama okullar yüz yüze eğitime devam ediy… https://t.co/DmXHFhOqjJ</t>
  </si>
  <si>
    <t>1467174581639294978</t>
  </si>
  <si>
    <t>@drfahrettinkoca Sayın bakan yayınladığınız tabloda en yüksek vaka oranları mavi yani aşı oranı yüksek,en düşük ora… https://t.co/JrgmOuo477</t>
  </si>
  <si>
    <t>1467174534872768517</t>
  </si>
  <si>
    <t>@drfahrettinkoca Calisanlar 12 saat mecburi taktigi maskeyi zevki sefa icin gezmeye gelen insanlar 1 saat taktiklar… https://t.co/72DNUX9Cyl</t>
  </si>
  <si>
    <t>1467174506737328129</t>
  </si>
  <si>
    <t>@drfahrettinkoca Ciddi misin şaka mı yapıyorsun anlamadım ahıra büyük baş hayvanı sokar gibi sınıflara öğrencileri… https://t.co/DZDDPshgjp</t>
  </si>
  <si>
    <t>1467174480825008141</t>
  </si>
  <si>
    <t>@drfahrettinkoca Kışın 80 kişilik amfilerde donarak ders işleyin koronadan olmasında soğuktan ölün gerisi bizi ilgi… https://t.co/98euc0ysDw</t>
  </si>
  <si>
    <t>1467174406275444736</t>
  </si>
  <si>
    <t>@drfahrettinkoca Ya böyle çelişkili açıklamalar size ne kazandırıyor kapalı ortamlarda nasıl bulunmasın bu çocuklar… https://t.co/sw6QHJg85o</t>
  </si>
  <si>
    <t>1467174347035095061</t>
  </si>
  <si>
    <t>@drfahrettinkoca Sn. Bakan, bu verilerden Sn. Cumhurbaşkanının haberi var mı 🤣😂😅</t>
  </si>
  <si>
    <t>1467174333525151754</t>
  </si>
  <si>
    <t>@drfahrettinkoca Online eğitim istiyoruz bakanım HAYAT EVE SIĞAR  #kabinezkuşağıonlineistiyor</t>
  </si>
  <si>
    <t>1467174323630788608</t>
  </si>
  <si>
    <t>@drfahrettinkoca E çocuklar dersi bahçede mi işlesin o zaman..?</t>
  </si>
  <si>
    <t>1467174322238279684</t>
  </si>
  <si>
    <t>@drfahrettinkoca Yav bizi bi bırak bi bırak Allah aşkına. Pandemi mandemi artık bu yalana inanmıyoz. Millet ekmeğinin derdinde!</t>
  </si>
  <si>
    <t>1467174317448388612</t>
  </si>
  <si>
    <t>@drfahrettinkoca Aşıyı niye yaptıralım turuncu bölge en düşük vaka 😂</t>
  </si>
  <si>
    <t>1467174242009681925</t>
  </si>
  <si>
    <t>@drfahrettinkoca Bakanım hala bizi görmeyecek misiniz biz size ne yaptık  @drfahrettinkoca @gozdekirisciogl</t>
  </si>
  <si>
    <t>1467174237186273290</t>
  </si>
  <si>
    <t>@drfahrettinkoca Vaka sayilarindan biri de bugun  esim bu gurur bizim bu gurur hepimizin 👏🏻 2 senedir kaçiyoruz bu… https://t.co/hRGharpUYO</t>
  </si>
  <si>
    <t>1467174237131653120</t>
  </si>
  <si>
    <t>@drfahrettinkoca https://t.co/fLJiNix0Wi</t>
  </si>
  <si>
    <t>1467174236288602114</t>
  </si>
  <si>
    <t>@drfahrettinkoca Allah oyunlarını, yalanlarını, vahşetini, zehirini bizzat sana çevirsin!</t>
  </si>
  <si>
    <t>1467174184602247177</t>
  </si>
  <si>
    <t>@drfahrettinkoca Tweetinizde okulları tarif ediyorsunuz sn bakan..bir de zorunlu…aşı çıkmayan yada aşı yaptırmak is… https://t.co/J6S3UwvssC</t>
  </si>
  <si>
    <t>1467174140973039617</t>
  </si>
  <si>
    <t>@drfahrettinkoca Sayın bakanım, #türkovac çıkış tarihi belli değil. Aşı ile ilgili birimi aradım, telefonlar çalışm… https://t.co/883Qzllve5</t>
  </si>
  <si>
    <t>1467174078880661505</t>
  </si>
  <si>
    <t>@drfahrettinkoca yurt odalarının temizliği ve dezenfektesini sağlamalısınız o halde.öğrenciler odaları temizlemek z… https://t.co/QwGbdd25i9</t>
  </si>
  <si>
    <t>1467174056302718985</t>
  </si>
  <si>
    <t>@drfahrettinkoca sansür.. okul niye açık o zaman</t>
  </si>
  <si>
    <t>1467173972265553931</t>
  </si>
  <si>
    <t>@drfahrettinkoca Bunlar tamamen hikaye uygulamada kimse kurallara uymuyor ne denetleyen var ne yaptırım bugün ÖSYM… https://t.co/Xcx6GzOb2d</t>
  </si>
  <si>
    <t>1467173926111432712</t>
  </si>
  <si>
    <t>@drfahrettinkoca Tek kaldığımız kapalı ortam Toplu taşıma bakanım Onun dışında hiçbir sıkıntı yok....</t>
  </si>
  <si>
    <t>1467173909141368833</t>
  </si>
  <si>
    <t>@drfahrettinkoca Okullar zaten kapalı ortamlar biz mi bilmiyoruz bunu BEN BU YÖNETİMDEN HİÇ BİRŞEY ANLAMADIM KLAVUZ… https://t.co/E977vtBLlg</t>
  </si>
  <si>
    <t>1467173829831282689</t>
  </si>
  <si>
    <t>@drfahrettinkoca Doğru söyle utanmasan 0 vaka yazıcaksın değil mi 😁 @drfahrettinkoca  #kabinezkuşağıonlineistiyor</t>
  </si>
  <si>
    <t>1467173822293942275</t>
  </si>
  <si>
    <t>@drfahrettinkoca 🤦‍♂️🤦‍♂️🤦‍♂️🤦‍♂️🤦‍♂️🤦‍♂️🤦‍♂️🤦‍♂️🤦‍♂️🤦‍♂️🤦‍♂️🤦‍♂️🤦‍♂️🤦‍♂️🤦‍♂️🤦‍♂️🤦‍♂️🤦‍♂️🤦‍♂️🤦‍♂️🤦‍♂️🤦‍♂️🤦‍♂️🤦‍♂️… https://t.co/ZbiVIUld83</t>
  </si>
  <si>
    <t>1467173748474269701</t>
  </si>
  <si>
    <t>@drfahrettinkoca Tika basa dolu alisveris merkezleri ve maskesiz gezen yemek katlarida cafelerde oturan insanlar va… https://t.co/lw5zrkjiwZ</t>
  </si>
  <si>
    <t>1467173730874966021</t>
  </si>
  <si>
    <t>@drfahrettinkoca Kendi üniversitenize online olması için seçenek sunmayı  biliyosunuz biz niye online mı yüz yüzemi… https://t.co/WkxNNcCx96</t>
  </si>
  <si>
    <t>1467173700755722246</t>
  </si>
  <si>
    <t>@drfahrettinkoca Sağlık çalışanlarına adanan yılda, sağlık çalışanlarını Doktorlar ve diğerleri olarak ayırmamaliyiz.</t>
  </si>
  <si>
    <t>1467173697614233600</t>
  </si>
  <si>
    <t>@drfahrettinkoca 19 bin e 1 adım kaldı yarına 19 bin bekliyoruz  ayrıca yıl başına kadar inş  bitiyor salgın😉  omic… https://t.co/HuGvD21rjC</t>
  </si>
  <si>
    <t>1467173691075215364</t>
  </si>
  <si>
    <t>@drfahrettinkoca Kardeşim biz OKULA GİDİYORUZ OKULA nasıl kalabalık kapalı ortamlardan uzaklaşalim</t>
  </si>
  <si>
    <t>1467173656451338240</t>
  </si>
  <si>
    <t>@drfahrettinkoca KILAVUZ KILAVUZ KILAVUZ KILAVUZ KILAVUZ #SağlıkçıyıOyalamaYılı</t>
  </si>
  <si>
    <t>1467173588688117766</t>
  </si>
  <si>
    <t>@drfahrettinkoca Kış günü kalabalık sınıflar da nasıl sık havalandıracan,camı açacan grip kapalı tutucan virüs, siz… https://t.co/lLpgwflrCf</t>
  </si>
  <si>
    <t>1467173535726673923</t>
  </si>
  <si>
    <t>@drfahrettinkoca @tek_vatan__ Aynen</t>
  </si>
  <si>
    <t>1467173533818269700</t>
  </si>
  <si>
    <t>@drfahrettinkoca Ölüm ilaçlarını vermeye devam etmeliyiz Ölüm aşılarını 1,2,3,4..&amp;amp; devam etmeliyiz Soykırımcıları,i… https://t.co/zikHhFzCZK</t>
  </si>
  <si>
    <t>1467173533440638978</t>
  </si>
  <si>
    <t>@drfahrettinkoca Ölüm ilaçlarını vermeye devam etmeliyiz Ölüm aşılarını 1,2,3,4..&amp;amp; devam etmeliyiz Soykırımcıları,i… https://t.co/HtKg50zmIP</t>
  </si>
  <si>
    <t>1467173530890559494</t>
  </si>
  <si>
    <t>@drfahrettinkoca Koskoca bir yalan bu tobla</t>
  </si>
  <si>
    <t>1467173511521308675</t>
  </si>
  <si>
    <t>@drfahrettinkoca Ülke elden gidiyyyeeeehh.</t>
  </si>
  <si>
    <t>1467173494463029249</t>
  </si>
  <si>
    <t>@drfahrettinkoca Kapalı ortamların okullar, yurtlar, toplu taşımalar olduğunu çocuklarımızın bu kurumlarda mecburen… https://t.co/EEvLZJHcRs</t>
  </si>
  <si>
    <t>1467173456663961605</t>
  </si>
  <si>
    <t>@drfahrettinkoca KAPALI YERLERDE UZUN SÜRE BULUNMAKTAN KAÇINMALIYIZ DERKEN ?  GÜNÜMÜZÜN NEREDEYSE TAMAMINI OKULDA G… https://t.co/Fak8z0jMqU</t>
  </si>
  <si>
    <t>1467173428281151489</t>
  </si>
  <si>
    <t>@drfahrettinkoca Valla sizde bir sonuç çıkartabilseniz keşke.</t>
  </si>
  <si>
    <t>1467173412808314880</t>
  </si>
  <si>
    <t>@drfahrettinkoca Görün artık bizi dayanacak sabrımız kalmadı bu akşam gelsin branş dağılımı #SağlıkçıyıOyalamaYılı</t>
  </si>
  <si>
    <t>1467173395825672194</t>
  </si>
  <si>
    <t>@drfahrettinkoca Yorgunuz sayın bakan @drfahrettinkoca kılavuzu yayınlamayacak mısınız? #Sağlıkcıoyalamayılı</t>
  </si>
  <si>
    <t>1467173383909650439</t>
  </si>
  <si>
    <t>@drfahrettinkoca Hangi kalabalık ortamdan bahsediyorsunuz okullarmi ulaşım araçlarımi sokaklar caddelermi ya temizl… https://t.co/X61kfurWS6</t>
  </si>
  <si>
    <t>1467173378880589830</t>
  </si>
  <si>
    <t>@drfahrettinkoca https://t.co/aoQAuLMCJk</t>
  </si>
  <si>
    <t>1467173361923117056</t>
  </si>
  <si>
    <t>@drfahrettinkoca yuhhh yuhhh susmadın ba</t>
  </si>
  <si>
    <t>1467173328507052047</t>
  </si>
  <si>
    <t>@drfahrettinkoca Atama ne zaman artık sağlıkçılar tükendi sabır kalmadı @drfahrettinkoca</t>
  </si>
  <si>
    <t>1467173266179637255</t>
  </si>
  <si>
    <t>@drfahrettinkoca BAKANIM BİZ AŞILARI YAPTIRDIK, SİZ DE LÜTFEN İSTEĞE BAĞLI ONLİNE EĞİTİM HAKKINI TANIYIN ÜNİVERSİTELERE</t>
  </si>
  <si>
    <t>1467173194088001547</t>
  </si>
  <si>
    <t>@drfahrettinkoca Evet bütün derdimiz bu.</t>
  </si>
  <si>
    <t>1467173184537563138</t>
  </si>
  <si>
    <t>@drfahrettinkoca Evet aynen öyle yapıyoruz 100 kişiden fazla olan yerlerde çok durmuyoruz maske deseniz üst üste 4… https://t.co/4dFVakrsHi</t>
  </si>
  <si>
    <t>1467173163352170501</t>
  </si>
  <si>
    <t>@drfahrettinkoca Öğrencilerin sesini neden duymuyor görmüyorsunuz. Maskeyle otobüslerde dersliklerde nefes alamıyor… https://t.co/bLojc4H10B</t>
  </si>
  <si>
    <t>1467173148210745357</t>
  </si>
  <si>
    <t>@drfahrettinkoca Bakan, artık bizimle dalga geçtiğinize eminim. Sınıfım 41 kişi, 7 saat boyunca kapalı ortamda kalı… https://t.co/f1lKVAzUJI</t>
  </si>
  <si>
    <t>1467173088429232138</t>
  </si>
  <si>
    <t>@drfahrettinkoca Hic gelmeyecek gibi..</t>
  </si>
  <si>
    <t>1467173026882109440</t>
  </si>
  <si>
    <t>@drfahrettinkoca Mesela sınıfta dimi sayın bakanım. 1 günde 12 saat ders. Kapalı ortam 35 kişi 🙄</t>
  </si>
  <si>
    <t>1467173007118540814</t>
  </si>
  <si>
    <t>@drfahrettinkoca İnanılır gibi değil bu ifadeleriniz! 50 kişilik küçücük sınıflara balık istifi tıkıştırdığınız çoc… https://t.co/4vP5Fv8UZb</t>
  </si>
  <si>
    <t>1467173005990182917</t>
  </si>
  <si>
    <t>@drfahrettinkoca Bakanım, bizim kılavuz vardı oralarda bir yerlerde #SağlıkçıyıOyalamaYılı</t>
  </si>
  <si>
    <t>1467172999526858755</t>
  </si>
  <si>
    <t>@drfahrettinkoca Sabah 8 akşam 17.30 okulda kırk kişilik sınıflarda ders işleyen çocuklar nolcak peki??</t>
  </si>
  <si>
    <t>1467172971412398088</t>
  </si>
  <si>
    <t>@drfahrettinkoca K I L A V U Z    İ S T İ Y O R U Z !</t>
  </si>
  <si>
    <t>1467172935928533002</t>
  </si>
  <si>
    <t>@drfahrettinkoca Evden çıkmıyoruz ki bakanım 7/24 sizi takip ediyoruz belki bizim KILAVUZ dan bir haber verirsiniz diye 😔😔</t>
  </si>
  <si>
    <t>1467172905561821190</t>
  </si>
  <si>
    <t>@drfahrettinkoca Ha bu hafta ha yarın diye diye bir senem bekleyerek gecti. Teşekkürler @drfahrettinkoca  #Sağlıkcıoyalamayılı</t>
  </si>
  <si>
    <t>1467172892299436032</t>
  </si>
  <si>
    <t>@drfahrettinkoca İnanmıyoruz boş yapmayın</t>
  </si>
  <si>
    <t>1467172862209495049</t>
  </si>
  <si>
    <t>@drfahrettinkoca Söyledikleriniz ne kadar çelişkili...... keşke söylemek istediklerimi Şuraya yazabilcek cesaretim… https://t.co/NP8ag4g969</t>
  </si>
  <si>
    <t>1467172819071123466</t>
  </si>
  <si>
    <t>@drfahrettinkoca Abooo bu nasıl yalan la #Kabinezkusagionlineistiyor</t>
  </si>
  <si>
    <t>1467172783746691082</t>
  </si>
  <si>
    <t>@drfahrettinkoca allah askına artık kılavuzu yayınlayın nolur</t>
  </si>
  <si>
    <t>1467172782807072768</t>
  </si>
  <si>
    <t>@drfahrettinkoca Reisin toplu açılışlarını bence yasaklayın az insanda gelse bulaş riski çok fazla</t>
  </si>
  <si>
    <t>1467172776490549255</t>
  </si>
  <si>
    <t>@drfahrettinkoca Ne yapalım 15 dakikada bir dersten mi çıkalım. Sonuçta kapalı ve kalabalık ortam</t>
  </si>
  <si>
    <t>1467172766323560453</t>
  </si>
  <si>
    <t>@drfahrettinkoca Birakin rakamları bu hastalik bitmeyecek.olen olecek kalan kalacak.asi olan olucak olmayan ölecek...</t>
  </si>
  <si>
    <t>1467172680466116610</t>
  </si>
  <si>
    <t>@drfahrettinkoca Okullarda bu dedikleriniz hiç uygulanmıyor, nasıl olacak acaba?  Bu rahat, ve hiç bir yere varamay… https://t.co/y7YyjYOppt</t>
  </si>
  <si>
    <t>1467172641127739401</t>
  </si>
  <si>
    <t>@drfahrettinkoca Günün şartlarından hepimizin çıkarması gereken sonuçlar var.bulundugumuz durum için atama yapmalıs… https://t.co/DtwWgNrudO</t>
  </si>
  <si>
    <t>1467172614980489216</t>
  </si>
  <si>
    <t>@drfahrettinkoca artık kimse sizi ciddiye almıyor sayın bakanım.</t>
  </si>
  <si>
    <t>1467172586589143043</t>
  </si>
  <si>
    <t>@drfahrettinkoca Doğruya senin umrunda değil ölen kalan 228 kişinin vebali senin üzerine olsun ne diyim ki başka</t>
  </si>
  <si>
    <t>1467172586555641868</t>
  </si>
  <si>
    <t>@drfahrettinkoca Sayın bakan tencereler de pişen aş yok siz hala aşı diyin bakalim</t>
  </si>
  <si>
    <t>1467172578267738117</t>
  </si>
  <si>
    <t>@drfahrettinkoca #bakıyorumda Sağlık kurumları SAĞLIK YÖNETİMİ mezunlarıyla güzel. @drfahrettinkoca meslek tanımımı… https://t.co/U32oq5yGRS</t>
  </si>
  <si>
    <t>1467172551810031616</t>
  </si>
  <si>
    <t>@drfahrettinkoca Ne dedi ne dedi ?!!!</t>
  </si>
  <si>
    <t>1467172540397367306</t>
  </si>
  <si>
    <t>@drfahrettinkoca Evimi bok götürüyor, sokaklarda ve işte kısacası hep boklu yerleri tercih ediyorum</t>
  </si>
  <si>
    <t>1467172535238340618</t>
  </si>
  <si>
    <t>@drfahrettinkoca kılavuz ne zaman gelecek</t>
  </si>
  <si>
    <t>1467172505198772234</t>
  </si>
  <si>
    <t>@drfahrettinkoca Yani cidden yaptıklarınızda hiç tutarlı bir şey yok atama var dedin yok zam var dedin yok eee acaba tutar tarafın var mı ?</t>
  </si>
  <si>
    <t>1467172501293838340</t>
  </si>
  <si>
    <t>@drfahrettinkoca Bugün İzmir de HAK ARAYAN , HALK SAĞLIĞINI önceleyen “çalışanlarınız” güzel bir döviz hazırlamışla… https://t.co/5jnXTAiQtL</t>
  </si>
  <si>
    <t>1467172445245386763</t>
  </si>
  <si>
    <t>@drfahrettinkoca Malatya Turgut Özal tıp merkezi 4D Kamu işçileri Asgari Ücret Almaya devam ediyor.Maaşa gelince Sa… https://t.co/MnhiNfLXPp</t>
  </si>
  <si>
    <t>1467172412986998787</t>
  </si>
  <si>
    <t>@drfahrettinkoca Fahrettin dedeyle masal saati😇</t>
  </si>
  <si>
    <t>1467172397979774983</t>
  </si>
  <si>
    <t>@drfahrettinkoca Kime diyorsak hee ç #SağlıkçıyıOyalamaYılı</t>
  </si>
  <si>
    <t>1467172393869316104</t>
  </si>
  <si>
    <t>@drfahrettinkoca Sayın Bakanım; vaka ve ölü sayıları artmasına rağmen, sizin onca çabanıza rağmen, AÖF Sınavları 27… https://t.co/6ZrwZkjAys</t>
  </si>
  <si>
    <t>1467172363183788036</t>
  </si>
  <si>
    <t>@drfahrettinkoca Neden ısrarla bizi duymak istemiyorsunuz sayın bakanım @drfahrettinkoca sağlık yönetimi bu kadar m… https://t.co/a4TpukWhHQ</t>
  </si>
  <si>
    <t>1467172325258891268</t>
  </si>
  <si>
    <t>@drfahrettinkoca Atama atama atama atama anlatabildik mi?</t>
  </si>
  <si>
    <t>1467172266689585159</t>
  </si>
  <si>
    <t>@drfahrettinkoca Ya bu neyin umursuzluğu. Biz kılavuz diye burda kendimizi yırtıyoruz ama siz bi bizi görmüyorsunz.… https://t.co/oM7u5C4TiO</t>
  </si>
  <si>
    <t>1467172263132807168</t>
  </si>
  <si>
    <t>@drfahrettinkoca Bir daha aşı yaptırmak mı? Duymamış olayım.Aşıdan sonra Antibiyoktikte 2.kutuya geçtim.Diğer ilaçl… https://t.co/nQlWFda9w6</t>
  </si>
  <si>
    <t>1467172246540144648</t>
  </si>
  <si>
    <t>1467172214520926213</t>
  </si>
  <si>
    <t>@drfahrettinkoca Kapalı ortamlarda uzun süre durmaktan kaçınmak için çocuklarımızın ders saatleri ve süreleri de az… https://t.co/pKdcSkRc3U</t>
  </si>
  <si>
    <t>1467172187752869893</t>
  </si>
  <si>
    <t>@drfahrettinkoca Siz bence  tatile çıkın çok iyi gelecek türkiye ye bir ay gelmeyin döndüğünüzde inanın covid diye illet kalmamış olacak</t>
  </si>
  <si>
    <t>1467172184762290177</t>
  </si>
  <si>
    <t>@drfahrettinkoca Sayın bakanım kapalı yerlerde de durmamamız gerektiğini belirtiyorsınuz  fakat daha dün İst. Bahçe… https://t.co/ByWHZ1Lh89</t>
  </si>
  <si>
    <t>1467172184221261832</t>
  </si>
  <si>
    <t>1467172166051508232</t>
  </si>
  <si>
    <t>@drfahrettinkoca Kilavuz bakanım</t>
  </si>
  <si>
    <t>1467172140671815684</t>
  </si>
  <si>
    <t>1467172115304665090</t>
  </si>
  <si>
    <t>@drfahrettinkoca Ya atama ne oldu yapmayacaksın herhalde madem yapmayacaksın neden millete yalan söyleyip oyalıyors… https://t.co/lTYJuMcaB0</t>
  </si>
  <si>
    <t>1467172109529100292</t>
  </si>
  <si>
    <t>@drfahrettinkoca Son hafta bizim için eğer kılavuz bu hafta gelmezse ocağa kalacak bizi daha çok bekletmeyin… https://t.co/ZeTaESsSmK</t>
  </si>
  <si>
    <t>1467172107071201280</t>
  </si>
  <si>
    <t>@drfahrettinkoca Aşı yaptır diyorsun da, aşının sorumluluğunu neden almıyorsun. Çok iyi birşey ise, sorumluluğu üstüne al bakalım.</t>
  </si>
  <si>
    <t>1467172085931859969</t>
  </si>
  <si>
    <t>@drfahrettinkoca 228 can dile ne kadar kolay dimi ?bugun 228 eve ates dustu bunun vebalinin altında kalacaksınız sa… https://t.co/cCsR924o0K</t>
  </si>
  <si>
    <t>1467172082417082375</t>
  </si>
  <si>
    <t>@drfahrettinkoca Cumhurbaşkanımızdan izin alın da kılavuzu yayınlayın hadi</t>
  </si>
  <si>
    <t>1467172076482179072</t>
  </si>
  <si>
    <t>1467172074670206980</t>
  </si>
  <si>
    <t>@drfahrettinkoca Öz vatanımızda Suriyeliler görmedi bu muameleyi. Kendi vatandaşına ilgilenmenizi lazım. Benim gönl… https://t.co/N6HKW5Jni0</t>
  </si>
  <si>
    <t>1467172073671909379</t>
  </si>
  <si>
    <t>1467172071239294988</t>
  </si>
  <si>
    <t>@drfahrettinkoca 12 yaş altınada aşılar açılsın.</t>
  </si>
  <si>
    <t>1467172066306760709</t>
  </si>
  <si>
    <t>1467172039580659723</t>
  </si>
  <si>
    <t>@drfahrettinkoca Komik bakan,bittimi fıkra bukadarmı</t>
  </si>
  <si>
    <t>1467172010862206976</t>
  </si>
  <si>
    <t>1467172005099225099</t>
  </si>
  <si>
    <t>@drfahrettinkoca Ağzından laf alabilene aşk olsun bakanim. Yahu bi  brans tweeti veyahut kilavuz tweeti atmak cokmu zorrr</t>
  </si>
  <si>
    <t>1467171960207650818</t>
  </si>
  <si>
    <t>1467171931254407168</t>
  </si>
  <si>
    <t>@drfahrettinkoca Bu nedir Allah aşkına?Kapalı ortamdan uzak durun deyip okulları ve öğrenci yurtlarını kaderine ter… https://t.co/oNyLTT2OpF</t>
  </si>
  <si>
    <t>1467171926430916612</t>
  </si>
  <si>
    <t>@drfahrettinkoca SMA'li cocuklara verdiginiz sozleri tutmadiniz... Yazik degil mi ?</t>
  </si>
  <si>
    <t>1467171922962268166</t>
  </si>
  <si>
    <t>@drfahrettinkoca Tüm kademelerde online eğitime geçilmeli #Kabinezkusagionlineistiyor</t>
  </si>
  <si>
    <t>1467171919002841097</t>
  </si>
  <si>
    <t>1467171914640764930</t>
  </si>
  <si>
    <t>@drfahrettinkoca okulda kapali ortamda 10 saat sizin icin nasil en saglikli yer olabiliyo akil alniyor gercekten sizi samimi bulmuyoruz</t>
  </si>
  <si>
    <t>1467171909846634497</t>
  </si>
  <si>
    <t>@drfahrettinkoca #bakıyorumda 40 binlik alımda SAĞLIK YÖNETİMİ bölümüne yer vermemişsiniz . neden @drfahrettinkoca… https://t.co/VW063wE274</t>
  </si>
  <si>
    <t>1467171772181233677</t>
  </si>
  <si>
    <t>@drfahrettinkoca AS OTO'DAN SELAMLAR https://t.co/8r6I0Gozn0</t>
  </si>
  <si>
    <t>1467171723573448715</t>
  </si>
  <si>
    <t>@drfahrettinkoca Okulda zaten bahçede ders işliyoruz aq</t>
  </si>
  <si>
    <t>1467171700399919105</t>
  </si>
  <si>
    <t>@drfahrettinkoca Günlük yalan tablosu bide salgının ilk başlarında herkes bu adamı övüyordu. Şuan tam bir kolpaci</t>
  </si>
  <si>
    <t>1467171695777751057</t>
  </si>
  <si>
    <t>@drfahrettinkoca https://t.co/VWpic46L75</t>
  </si>
  <si>
    <t>1467171695614218246</t>
  </si>
  <si>
    <t>@drfahrettinkoca Şaka gibisiniz kapalı alan diyorsunuz her gün tehlikeye attığınız binlerce öğrencilere sanki siz riske atmıyormuşsuz gibi.</t>
  </si>
  <si>
    <t>1467171695215661064</t>
  </si>
  <si>
    <t>@drfahrettinkoca Sağlıkçıların bu kadar yıprandığı bir dönemde atamayı hemen yapmalıyız @drfahrettinkoca!!!</t>
  </si>
  <si>
    <t>1467171692715941895</t>
  </si>
  <si>
    <t>@drfahrettinkoca Çocuklar 8 saat kalabalık bir şekilde sınıfta yüzyüze eğitim görüyorlar.Onlar bu kalabalık ortamda… https://t.co/50kxIz1qTv</t>
  </si>
  <si>
    <t>1467171688332894212</t>
  </si>
  <si>
    <t>@drfahrettinkoca 5-11 yaş aşı hakkı bekliyoruz…(isteyen veliler için…) Ayrıca 3. Doz aşılarımızı olmak istiyoruz…</t>
  </si>
  <si>
    <t>1467171678048374786</t>
  </si>
  <si>
    <t>@drfahrettinkoca Dayanamıyoruz artıkk hiçbir heves bırakmadınız bizde hâlâ da sessiz kalmaya devam ediyorsunuz… https://t.co/u63W0WZkKg</t>
  </si>
  <si>
    <t>1467171648373772291</t>
  </si>
  <si>
    <t>@drfahrettinkoca Kişi kendinden bilir kişiyi. Kendisinin yapmadığı herşeyi yazmış. Temizlik imandandır canım, sana… https://t.co/QlX6ExS4ge</t>
  </si>
  <si>
    <t>1467171591356399624</t>
  </si>
  <si>
    <t>@drfahrettinkoca Ve sağlık bakanına inanmamalıyız</t>
  </si>
  <si>
    <t>1467171569013342218</t>
  </si>
  <si>
    <t>@drfahrettinkoca Demin turşu suyu aşımın 297 dozu aldım😀</t>
  </si>
  <si>
    <t>1467171565850800132</t>
  </si>
  <si>
    <t>@drfahrettinkoca Bir bitmedin bir susmadın bir vazgeçmedin</t>
  </si>
  <si>
    <t>1467171555729883136</t>
  </si>
  <si>
    <t>@drfahrettinkoca Mevsim şartlarından hepimizin çıkarması gereken ATAMA ocağa kalmaması @drfahrettinkoca #SağlıkcıyıOyalamaYılı</t>
  </si>
  <si>
    <t>1467171524843130880</t>
  </si>
  <si>
    <t>@drfahrettinkoca O değilde başganım , Bulunduğumuz kapalı ortamları sık sık havalandırırken, oksijone muhtaçkan, so… https://t.co/GoIs8OdTUt</t>
  </si>
  <si>
    <t>1467171439589605376</t>
  </si>
  <si>
    <t>@drfahrettinkoca Aşı olduk Kötülük var ise aşı yapan kimse Kiyamet sabah da Cehennem den cikma sin inşaAllah.</t>
  </si>
  <si>
    <t>1467171418408464385</t>
  </si>
  <si>
    <t>@drfahrettinkoca Kapalı ortamların okullar yurtlar üniversiteler toplu taşımalar olduğunu bizim oralarda mecburen d… https://t.co/NrHUCIXXD4</t>
  </si>
  <si>
    <t>1467171408883163136</t>
  </si>
  <si>
    <t>@drfahrettinkoca Okul zaten en kalabalık yer hele yurtta 3.000 kisi var bi odada 4 kisi var nasıl uzaklaşacaz</t>
  </si>
  <si>
    <t>1467171407205441542</t>
  </si>
  <si>
    <t>@drfahrettinkoca Bu haritada 2. Aşidan 6 ay gecip aşi olmayanlari kapsiyor mu?</t>
  </si>
  <si>
    <t>1467171361323995137</t>
  </si>
  <si>
    <t>1467171313391394824</t>
  </si>
  <si>
    <t>@drfahrettinkoca Sayın bakanım fırça yedinki yine habersiz açıklaman dan sonra</t>
  </si>
  <si>
    <t>1467171290062757890</t>
  </si>
  <si>
    <t>@drfahrettinkoca Kapali ortamlarda uzun süre kalmayin dersin ama günde 8 saat öğrencileri okullara tikarsin destans… https://t.co/ZqdRHvjwtU</t>
  </si>
  <si>
    <t>1467171274606661640</t>
  </si>
  <si>
    <t>@drfahrettinkoca bakanım atama yapmak için neyi bekliyorsunuz acaba ölmemizi mi @drfahrettinkoca @gozdekirisciogl</t>
  </si>
  <si>
    <t>1467171259532386308</t>
  </si>
  <si>
    <t>@drfahrettinkoca Sma tedavisi yine mi yok😥😥</t>
  </si>
  <si>
    <t>1467171258739609601</t>
  </si>
  <si>
    <t>@drfahrettinkoca Okullar açık ortammı??</t>
  </si>
  <si>
    <t>1467171258135719942</t>
  </si>
  <si>
    <t>@drfahrettinkoca Çıkardığım tek sonuç Sağlık bakanlığının küreselcilerin hizmetinde olduğu.</t>
  </si>
  <si>
    <t>1467171235876515848</t>
  </si>
  <si>
    <t>@drfahrettinkoca Sopayı çıkartırtmayın aşınızı olun yan etki ölümmüş ne olacak rezil etmeyin bizi</t>
  </si>
  <si>
    <t>1467171235830378504</t>
  </si>
  <si>
    <t>@drfahrettinkoca Halkın gündemi artık covid değil, zamlar ve geçim sıkıntısı.</t>
  </si>
  <si>
    <t>1467171215949373443</t>
  </si>
  <si>
    <t>@drfahrettinkoca Kılavuzumuzu yayınlayın artık YETER @drfahrettinkoca  #SağlıkçıyıOyalamaYılı https://t.co/axozoWYcnr</t>
  </si>
  <si>
    <t>1467171215873912840</t>
  </si>
  <si>
    <t>@drfahrettinkoca Sağlık ordusuna taze kan gerek. Lütfen klavuzu yayınlayın artık</t>
  </si>
  <si>
    <t>1467171199759355910</t>
  </si>
  <si>
    <t>@drfahrettinkoca #bakıyorumda SAĞLIK YÖNETİMİ bölümüne çare olmaya hiç niyetiniz yok @drfahrettinkoca @FOXhaber</t>
  </si>
  <si>
    <t>1467171132948328453</t>
  </si>
  <si>
    <t>@drfahrettinkoca Aylardır insanları atama olacak diye oyaladınız. Sağlıkcı yılı dediniz atama bile yapmadınız. Artı… https://t.co/fnpFdU0XPN</t>
  </si>
  <si>
    <t>1467171117890691081</t>
  </si>
  <si>
    <t>@drfahrettinkoca Peki 60 kişilik sınıflarda 8 saat mecbur bulunuluyor inatla azaltmıyorsunuz ya da uzaktan eğitime… https://t.co/nMZiVt7DbT</t>
  </si>
  <si>
    <t>1467171110840147968</t>
  </si>
  <si>
    <t>@drfahrettinkoca ne söyledi? ne söyledi? bişey söyledi mi? Maaşlarla ilgili bişey söyledimi :))</t>
  </si>
  <si>
    <t>1467171101356793856</t>
  </si>
  <si>
    <t>@drfahrettinkoca Az kaldı sabredin demiştiniz sabrımız tükendi artık kılavuzumuzu ivedikle yayınlayın… https://t.co/GKiqvRGnrG</t>
  </si>
  <si>
    <t>1467171078208471054</t>
  </si>
  <si>
    <t>@drfahrettinkoca Yaramaz çocuk naber</t>
  </si>
  <si>
    <t>1467171065537437700</t>
  </si>
  <si>
    <t>@drfahrettinkoca Kapalı ortamları havalandirmalıyız, açık havaya çıkınca maske takmalıyız🥴</t>
  </si>
  <si>
    <t>1467171056511295495</t>
  </si>
  <si>
    <t>@drfahrettinkoca Gözünü seveyim hocam mevsim şartlarını birakında hayat şartlarına bir adepte olun herkes işsiz her… https://t.co/1L33e3zOhE</t>
  </si>
  <si>
    <t>1467171056393887750</t>
  </si>
  <si>
    <t>@drfahrettinkoca Kılavuzumuz nerde Allah aşkına bir yılı geçti neyi bekliyosunuz hala @drfahrettinkoca</t>
  </si>
  <si>
    <t>1467171035476893697</t>
  </si>
  <si>
    <t>@drfahrettinkoca KILAVUZ KILAVUZ KILAVUZ KILAVUZ KILAVUZ KILAVUZ KILAVUZ</t>
  </si>
  <si>
    <t>1467171030611472390</t>
  </si>
  <si>
    <t>@drfahrettinkoca Niye sayılar 0 değil gel buraya gel .</t>
  </si>
  <si>
    <t>1467171025653833734</t>
  </si>
  <si>
    <t>@drfahrettinkoca #GeliyorGelmekteOlan #MilliGörüş  #PfizerHesapVer #hükümetistifa #ErkenSeçim https://t.co/ZihZefRKwG</t>
  </si>
  <si>
    <t>1467171000731250691</t>
  </si>
  <si>
    <t>@drfahrettinkoca KILAVUZ KILAVUZ KILAVUZ KILAVUZ KILAVUZ</t>
  </si>
  <si>
    <t>1467170998835453953</t>
  </si>
  <si>
    <t>@drfahrettinkoca Bakanım kalabalık diyorsunuz her gün toplu taşımalar tıklım tıklım yurtlar derseniz aynı şekilde e… https://t.co/kLmrQS74lz</t>
  </si>
  <si>
    <t>1467170976395841537</t>
  </si>
  <si>
    <t>@drfahrettinkoca Kaç gündür Sağlıkçılar gündemde nasıl bu kadar görmezden gelebiliyorsunuz? Kılavuz bekliyoruz… https://t.co/CQzq9vqeYE</t>
  </si>
  <si>
    <t>1467170976328785923</t>
  </si>
  <si>
    <t>@drfahrettinkoca KILAVUZ KILAVUZ KILAVUZ KILAVUZ KILAVUZ KILAVUZZ</t>
  </si>
  <si>
    <t>1467170972813996041</t>
  </si>
  <si>
    <t>@drfahrettinkoca Kadro cetvelinde Sağlık yönetimi bölümü adı ve kodu(4597) olmadığı için atanamıyoruz Firsat eşitli… https://t.co/2CnQKSZkcp</t>
  </si>
  <si>
    <t>1467170971442462730</t>
  </si>
  <si>
    <t>@drfahrettinkoca KILAVUZ KILAVUZ KILAVUZ KILAVUZ KILAVUZZ KILAVUZ</t>
  </si>
  <si>
    <t>1467170953742503944</t>
  </si>
  <si>
    <t>@drfahrettinkoca Açlıkdan ölen insana önce yemek verilir siz önce milletin karnını doyurun</t>
  </si>
  <si>
    <t>1467170948239474693</t>
  </si>
  <si>
    <t>@drfahrettinkoca KILAVUZ KILAVUZ KILAVUZ KILAVUZZ KILAVUZ KILAVUZ</t>
  </si>
  <si>
    <t>1467170927314186246</t>
  </si>
  <si>
    <t>@drfahrettinkoca Yani dersleri bahçede mi yapalım? 8 de başlayıp mrslek lşselerinde 17 kadar ders var. Sınılarda 30… https://t.co/F2RCrVrxeM</t>
  </si>
  <si>
    <t>1467170925095362564</t>
  </si>
  <si>
    <t>@drfahrettinkoca #Kabinezkusagionlineistiyor artık yeter sağlık herşeyden önemlidir</t>
  </si>
  <si>
    <t>1467170913028292614</t>
  </si>
  <si>
    <t>@drfahrettinkoca KILAVUZ KILAVUZ KILAVUZZ KILAVUZ KILAVUZ KILAVUZ</t>
  </si>
  <si>
    <t>1467170907860967425</t>
  </si>
  <si>
    <t>@drfahrettinkoca KILAVUZ KILAVUZZ KILAVUZ KILAVUZ KILAVUZ KILAVUZ</t>
  </si>
  <si>
    <t>1467170887183093771</t>
  </si>
  <si>
    <t>@drfahrettinkoca Az kaldı sabredin demiştiniz sabrımız tükendi artık kılavuzumuzu ivedikle yayınlayın… https://t.co/kvP5C3wDEU</t>
  </si>
  <si>
    <t>1467170877510983690</t>
  </si>
  <si>
    <t>@drfahrettinkoca KILAVUZZ KILAVUZ KILAVUZ KILAVUZ KILAVUZ KILAVUZ</t>
  </si>
  <si>
    <t>1467170867578908683</t>
  </si>
  <si>
    <t>@drfahrettinkoca ALLAH RIZASI ICIN ÇOÇUKLARİMİ ICIN GIDA SUT YARDIMI YAPAR MISINIZ DUACINIZ OLURUM ÇOK SEVİNİRLER K… https://t.co/yF93S5fBiW</t>
  </si>
  <si>
    <t>1467170840634609665</t>
  </si>
  <si>
    <t>@drfahrettinkoca KILAVUZ KILAVUZ KILAVUZ KILAVUZ KILAVUZ KILAVUZzzz</t>
  </si>
  <si>
    <t>1467170836134125578</t>
  </si>
  <si>
    <t>@drfahrettinkoca #Kabinezkusagionlineistiyor @erolozvar</t>
  </si>
  <si>
    <t>1467170835391660033</t>
  </si>
  <si>
    <t>@drfahrettinkoca Bu yılı unutanın kalbi kurusun @drfahrettinkoca @gozdekirisciogl @suayipbirinci  #SağlıkçıyıOyalamaYılı</t>
  </si>
  <si>
    <t>1467170833038774272</t>
  </si>
  <si>
    <t>@drfahrettinkoca Salgına karşı elimizde büyük bir  koz var “Yakalanmamak”  Sağlıkçılar atama bekliyor</t>
  </si>
  <si>
    <t>1467170831692410883</t>
  </si>
  <si>
    <t>@drfahrettinkoca Yılın bitmesine son 27 gün ama daha ortada kılavuz yok @drfahrettinkoca @suayipbirinci… https://t.co/gf55l0ohEH</t>
  </si>
  <si>
    <t>1467170820497756160</t>
  </si>
  <si>
    <t>@drfahrettinkoca KILAVUZ KILAVUZ KILAVUZ KILAVUZ KILAVUZ KILAVUZzz</t>
  </si>
  <si>
    <t>1467170816962052096</t>
  </si>
  <si>
    <t>@drfahrettinkoca Aşılar korumuyor. Aşılı olanları da Hasta ediyor. https://t.co/gbkZvpOpsw</t>
  </si>
  <si>
    <t>1467170815405965324</t>
  </si>
  <si>
    <t>@drfahrettinkoca KILAVUZ GELSİN  KILAVUZ GELSİN  KILAVUZ GELSİN  KILAVUZ GELSİN KILAVUZ GELSİN  KILAVUZ GELSİN  KIL… https://t.co/yEfIwKQ76z</t>
  </si>
  <si>
    <t>1467170808405450760</t>
  </si>
  <si>
    <t>@drfahrettinkoca Sayın bakanım salgın hala öldürmeye devam ediyor covıd affı istiyoruz @RTErdogan @dbdevletbahceli MahkumaAF SözünVarMHP</t>
  </si>
  <si>
    <t>1467170808120311809</t>
  </si>
  <si>
    <t>@drfahrettinkoca Hafta da bir çocuğumun okulu karantına oluyor  çocuklar test yaptırmaktan yorulduk artık</t>
  </si>
  <si>
    <t>1467170807671668739</t>
  </si>
  <si>
    <t>@drfahrettinkoca ALLAH RIZASI ICIN ÇOÇUKLARİMİ ICIN GIDA SUT YARDIMI YAPAR MISINIZ DUACINIZ OLURUM ÇOK SEVİNİRLER K… https://t.co/ytiAErWB4e</t>
  </si>
  <si>
    <t>1467170797462732808</t>
  </si>
  <si>
    <t>@drfahrettinkoca KILAVUZ KILAVUZ KILAVUZ KILAVUZ KILAVUZ KILAVUZz</t>
  </si>
  <si>
    <t>1467170797420695560</t>
  </si>
  <si>
    <t>@drfahrettinkoca Lütfennnnn sesimizi duyun artık beklemeye sabrımız kalmadı #SağlıkçıyıOyalamaYılı</t>
  </si>
  <si>
    <t>1467170774926647297</t>
  </si>
  <si>
    <t>@drfahrettinkoca KILAVUZ KILAVUZ KILAVUZ KILAVUZ KILAVUZ KILAVUZ</t>
  </si>
  <si>
    <t>1467170774779846657</t>
  </si>
  <si>
    <t>@drfahrettinkoca Yeter bakanım neyi bekliyorsunuz</t>
  </si>
  <si>
    <t>1467170774641479692</t>
  </si>
  <si>
    <t>@drfahrettinkoca Aşı oranı en yüksek illerden olan Balıkesir, şu an coronadan kırılıyor!</t>
  </si>
  <si>
    <t>1467170762285105159</t>
  </si>
  <si>
    <t>@drfahrettinkoca Ya siz dalga mı geçiyorsunuz. Hangi okul tenha kaç tanesinde havalandırma var. Hiç okul tuvaletine… https://t.co/EwesMtyZIL</t>
  </si>
  <si>
    <t>1467170758044659715</t>
  </si>
  <si>
    <t>1467170757734187014</t>
  </si>
  <si>
    <t>@drfahrettinkoca ALLAH RIZASI ICIN ÇOÇUKLARİMİ ICIN GIDA SUT YARDIMI YAPAR MISINIZ DUACINIZ OLURUM ÇOK SEVİNİRLER K… https://t.co/BuNw1aMoYa</t>
  </si>
  <si>
    <t>1467170747349147655</t>
  </si>
  <si>
    <t>@drfahrettinkoca Uzun süredir atanamamaktan muzdaribiz, kılavuzu yayınlayın @drfahrettinkoca</t>
  </si>
  <si>
    <t>1467170743179956237</t>
  </si>
  <si>
    <t>@drfahrettinkoca Kadro cetvelinde Sağlık yönetimi bölümü adı ve kodu(4597) olmadığı için atanamıyoruz.Firsat eşitli… https://t.co/LPewEQlrQi</t>
  </si>
  <si>
    <t>1467170742022414341</t>
  </si>
  <si>
    <t>@drfahrettinkoca Her tedbire devamsa aşı ne için?</t>
  </si>
  <si>
    <t>1467170731431759874</t>
  </si>
  <si>
    <t>@drfahrettinkoca Kilavzu</t>
  </si>
  <si>
    <t>1467170728017637379</t>
  </si>
  <si>
    <t>@drfahrettinkoca Yılın bitmesine son 27 gün ama daha ortada kılavuz yok @drfahrettinkoca @suayipbirinci… https://t.co/4mYRcjbqGX</t>
  </si>
  <si>
    <t>1467170724838318091</t>
  </si>
  <si>
    <t>@drfahrettinkoca Kadro cetvelinde Sağlık yönetimi bölümü adı ve kodu(4597) olmadığı için atanamıyoruz.Firsat eşitli… https://t.co/G1KljQBSq2</t>
  </si>
  <si>
    <t>1467170708652531719</t>
  </si>
  <si>
    <t>@drfahrettinkoca DİKKAT ❗❗❗BUBİR SUÇ DUYURUSUDUR❗❗❗ @fettahtamince  ye ait @sembolinsaat geçirdiği iş kazası sonucu… https://t.co/n5DpQN3wZY</t>
  </si>
  <si>
    <t>1467170708258238472</t>
  </si>
  <si>
    <t>@drfahrettinkoca Hala temizlik diyorsun yaaa şaka gibi kafayı yemişsiniz bizi de peşinizden götürüyorsunuz aloooo S… https://t.co/kgKpLCTcoP</t>
  </si>
  <si>
    <t>1467170694060457990</t>
  </si>
  <si>
    <t>@drfahrettinkoca SUÇ BİZ DE SİZE İNANIP ATANACAĞIZ DEDİK AİLELERİMİZE</t>
  </si>
  <si>
    <t>1467170692164694018</t>
  </si>
  <si>
    <t>@drfahrettinkoca Bir gün vaka sayısını bir gün vefat sayısını düşünüyorsunuz insanları salak yerine koymayı bırakın… https://t.co/xYrBsxBYpb</t>
  </si>
  <si>
    <t>1467170691409661962</t>
  </si>
  <si>
    <t>@drfahrettinkoca Ya şakamı yapıyorsunuz.  #Kabinezkusagionlineistiyor</t>
  </si>
  <si>
    <t>1467170685864845314</t>
  </si>
  <si>
    <t>@drfahrettinkoca Sayın bakan artık atamaları yapın  #SağlıkçıyıOyalamaYılı</t>
  </si>
  <si>
    <t>1467170680684830728</t>
  </si>
  <si>
    <t>@drfahrettinkoca Kadro cetvelinde Sağlık yönetimi bölümü adı ve kodu(4597) olmadığı için atanamıyoruz.Firsat eşitli… https://t.co/L1PjFgLwMb</t>
  </si>
  <si>
    <t>1467170673760083968</t>
  </si>
  <si>
    <t>@drfahrettinkoca Kapalı ortamda kalmayın diyon bizi sınıfa,okula pansiyona kitliyorsun hep Avrupa özentileri vallah… https://t.co/VCIsdTpaIQ</t>
  </si>
  <si>
    <t>1467170661932142594</t>
  </si>
  <si>
    <t>@drfahrettinkoca Sayın bakanım Korona geçirmiş, kronik hasta ve yaşlılarımız için 3. doz mRNA aşısını 6 ay beklemey… https://t.co/8OCCrPvHrs</t>
  </si>
  <si>
    <t>1467170658803228682</t>
  </si>
  <si>
    <t>@drfahrettinkoca bu mesajınızı önceden Reis"e gösterdiniz mi sayın Bakan? ne olur ne olmaz, uyarmadı demeyin..</t>
  </si>
  <si>
    <t>1467170654319484930</t>
  </si>
  <si>
    <t>@drfahrettinkoca Neden yalan söylediniz doktorlar için ve sağlıkçılar için?</t>
  </si>
  <si>
    <t>1467170649395417093</t>
  </si>
  <si>
    <t>@drfahrettinkoca HAKKİM HARAM ZEHİR OLSUN</t>
  </si>
  <si>
    <t>1467170645146484744</t>
  </si>
  <si>
    <t>@drfahrettinkoca ALLAH RIZASI ICIN ÇOÇUKLARİMİ ICIN GIDA SUT YARDIMI YAPAR MISINIZ DUACINIZ OLURUM ÇOK SEVİNİRLER K… https://t.co/CwInW03o8Q</t>
  </si>
  <si>
    <t>1467170643418484737</t>
  </si>
  <si>
    <t>@drfahrettinkoca Yılın bitmesine son 27 gün ama daha ortada kılavuz yok @drfahrettinkoca @suayipbirinci… https://t.co/UfxCTjVChu</t>
  </si>
  <si>
    <t>1467170628394434563</t>
  </si>
  <si>
    <t>@drfahrettinkoca 45 kişilik sınıfta 8 saat durmak mı evet doğru hareket 👍</t>
  </si>
  <si>
    <t>1467978583939620865</t>
  </si>
  <si>
    <t>@drfahrettinkoca He heeee...çocuklarda dersi açık alanda işliyor zaten...AÖF sınavlarını da online yapmadınız.diyec… https://t.co/o8UtkYFqBJ</t>
  </si>
  <si>
    <t>1467965841681620995</t>
  </si>
  <si>
    <t>@drfahrettinkoca Pfizer belgelerinde 90 günlük deneme süresinde 1200 den fazla aşıya bağlı ölümü ortaya çıkarmış si… https://t.co/H3RtJdQvwf</t>
  </si>
  <si>
    <t>1467953599477125130</t>
  </si>
  <si>
    <t>@drfahrettinkoca Sayın Bakanım SMA hastası olan bebeklerimizin masrafları devlet tarafından karşılansın artık  bebe… https://t.co/8hrkC3ne7l</t>
  </si>
  <si>
    <t>1467552369735094272</t>
  </si>
  <si>
    <t>@drfahrettinkoca Cocuklarimizin elinden tutun , yuregimiz paramparca , sonrasi icin tamam guzel, ama su an aci ceke… https://t.co/4xN2hhpYJ8</t>
  </si>
  <si>
    <t>1468313237351448589</t>
  </si>
  <si>
    <t>@drfahrettinkoca HASTANELER ÇÖKTÜ SAYIN BAKANIM BİR DİŞ CEKTİREMEZ HALE GELDİK BUNU BİR SİYASİ SÖYLEM GÖRMEYİN GERC… https://t.co/7wbGlgpaSh</t>
  </si>
  <si>
    <t>1468839589586653187</t>
  </si>
  <si>
    <t>@drfahrettinkoca Okulda elektrik yok ısıtıcı paneli bozuk çocuklar soğuktan Hasta  oluyor  bu arada su da olmadığı… https://t.co/7fmBr7pn21</t>
  </si>
  <si>
    <t>1468651891018149894</t>
  </si>
  <si>
    <t>@drfahrettinkoca @drfahrettinkoca @RTErdogan  siz nasıl insanlarsınız hayatımızı kararttınız gençliğimizi  kanımızı… https://t.co/jsdDSkKyaf</t>
  </si>
  <si>
    <t>1469772307916857353</t>
  </si>
  <si>
    <t>@drfahrettinkoca Sn Bakan aldığınız karardan Sn Erdoğan ın haberi varmı malum tvler önünde deki  konuşmanız dan anl… https://t.co/O899kAs6Bo</t>
  </si>
  <si>
    <t>1467260083260305408</t>
  </si>
  <si>
    <t>@drfahrettinkoca Çok yerinde doğru bir karar. Tüp bebekte genetik tarama ile sağlıklı embriyo transferi sonucu sağl… https://t.co/C02i1HTswM</t>
  </si>
  <si>
    <t>1467256407800098821</t>
  </si>
  <si>
    <t>@drfahrettinkoca #hekimleristifaediyor bakanim. Yakinda pediatri ve kadin dogum doktoru kalmayacak. Bu tanilari kim… https://t.co/6qbT9FYiI7</t>
  </si>
  <si>
    <t>1467255152696610825</t>
  </si>
  <si>
    <t>1467245038849691658</t>
  </si>
  <si>
    <t>@drfahrettinkoca https://t.co/45f8Dv7NyS</t>
  </si>
  <si>
    <t>1467233866964471811</t>
  </si>
  <si>
    <t>@drfahrettinkoca Tüp bebek niyemis istemiyorum altında başka sebep var  inanmıyoruz senin dediklerine</t>
  </si>
  <si>
    <t>1467231417189171200</t>
  </si>
  <si>
    <t>@drfahrettinkoca 1Mesleğimize olan kavuşma umudumuz bitmedi.Kılavuz içinde başka baharları bekleyecek gücümüz yok b… https://t.co/0OiapWhGP7</t>
  </si>
  <si>
    <t>1467228104133419009</t>
  </si>
  <si>
    <t>@drfahrettinkoca Sağlık Bakanlığı, Aralık 2020’den beri sağlık çalışanı atamadı. 39 branşta 800 bine yakın sağlık ç… https://t.co/yCR12LDouh</t>
  </si>
  <si>
    <t>1467228026857570309</t>
  </si>
  <si>
    <t>@drfahrettinkoca 600 milletv. 17 bakan 1 CB 1 CBY Hepiniz 22 bin liranın üstünde maaş alıyorsunuz,bir ödenek oluştu… https://t.co/ormZvoxsqt</t>
  </si>
  <si>
    <t>1467227203465359367</t>
  </si>
  <si>
    <t>@drfahrettinkoca Fahrettin Hocam =💓🫂 iyiki varsın🤲💖💙😇💐🌸 Rabb'im sana sağlıklı uzun hayırlı bereketli ömürler versin 🤲💖💙😇</t>
  </si>
  <si>
    <t>1467225499814535169</t>
  </si>
  <si>
    <t>@drfahrettinkoca Radyoloji Teknikeri ve diğer tüm branşlar hakkettiği sayıları alması bütün ümidimiz... Kılavuz açı… https://t.co/Gj76hBl0qJ</t>
  </si>
  <si>
    <t>1467223689586434049</t>
  </si>
  <si>
    <t>@drfahrettinkoca İyi guzel bunun icin tesekkur ederiz .Ama zolgensma nerde ???? Siz ,sma bilim kurulu zolgensmanın… https://t.co/Xb6S3wWmJD</t>
  </si>
  <si>
    <t>1467223155341201420</t>
  </si>
  <si>
    <t>@drfahrettinkoca #hekimleristifaediyor bu taramalari yapacak hekim kalmayacak memlekette.</t>
  </si>
  <si>
    <t>1467216239114207241</t>
  </si>
  <si>
    <t>1467207363383992326</t>
  </si>
  <si>
    <t>@drfahrettinkoca Bakanım benim 2 çocuğum genetik taşıyıcı yüzünden engelli doğdu bir 6 yaşına girdi diğeri 3 yaşına… https://t.co/2T4tDYK4SA</t>
  </si>
  <si>
    <t>1467203361657307137</t>
  </si>
  <si>
    <t>@drfahrettinkoca #hekimleristifaediyor nereye kadar yasaklayabilirsiniz çaresine bakın.</t>
  </si>
  <si>
    <t>1467202441531768839</t>
  </si>
  <si>
    <t>@drfahrettinkoca Gen tedavisi ve zolgensma için karar çıkmalı...Çocuklarımızın hayatı 3 kuruş etmeyen ihalecileri z… https://t.co/wDuDLIJW2q</t>
  </si>
  <si>
    <t>1467195585799282692</t>
  </si>
  <si>
    <t>@drfahrettinkoca Sayın bakanim kızım wilson hastasi ilaci 3 aydır yurdişnda gelmiyor lütfen bir çare bulun çocuklar… https://t.co/spYkLfE4Oy</t>
  </si>
  <si>
    <t>1467191328387829767</t>
  </si>
  <si>
    <t>@drfahrettinkoca Yeterki biz bunu isteyelim.İnaniyorum ki hiç kimse buna karşı çıkmayacaktır.iİnaniyorum ki sizler… https://t.co/DGsYVQzRRA</t>
  </si>
  <si>
    <t>1467180823791247362</t>
  </si>
  <si>
    <t>@drfahrettinkoca Sayın bakanım sma hastası  çocuklarımızı devlet olarak kaderiyle başbaşa bırakmamalısınız.Gen teda… https://t.co/3AgT8QnLB0</t>
  </si>
  <si>
    <t>1467180082435350538</t>
  </si>
  <si>
    <t>@drfahrettinkoca Sayın bakanım sağlık yönetimi bölümünün meslek tanımı sorunu ve atama problemi hala çözüme kavuştu… https://t.co/y2NvsPq3YT</t>
  </si>
  <si>
    <t>1467179077761220611</t>
  </si>
  <si>
    <t>@drfahrettinkoca Hocam seni seviyoruz..</t>
  </si>
  <si>
    <t>1467178852371816448</t>
  </si>
  <si>
    <t>@drfahrettinkoca Bugün Güneş bebek de melek olmuş, meleklerin vebali üzerinize olsun Sn. Koca. https://t.co/UyMqwPRbly</t>
  </si>
  <si>
    <t>1467178257254686726</t>
  </si>
  <si>
    <t>@drfahrettinkoca https://t.co/sr0KgHEeoj https://t.co/d9X3A5mAym https://t.co/41Aj1ybB7Q https://t.co/w7rZ1FvIlK… https://t.co/41DHasCJHn</t>
  </si>
  <si>
    <t>1467176391502352390</t>
  </si>
  <si>
    <t>1467175046724694021</t>
  </si>
  <si>
    <t>@drfahrettinkoca #bakıyorumda SAĞLIK YÖNETİMİ  bölümüne sahip çıkacak yok mu  @DrRecepAkdag https://t.co/vlQ9T0M6Ic</t>
  </si>
  <si>
    <t>1467174934845829125</t>
  </si>
  <si>
    <t>@drfahrettinkoca #bakıyorumda SAĞLIK YÖNETİMİ  bölümüne sahip çıkacak yok mu https://t.co/mcIdDMH8Ul</t>
  </si>
  <si>
    <t>1467174548160364553</t>
  </si>
  <si>
    <t>@drfahrettinkoca #bakıyorumda SAĞLIK YÖNETİMİ mezunları hep mağdur bunu duyan yok mu https://t.co/0RssHX0T9u</t>
  </si>
  <si>
    <t>1467173649820094474</t>
  </si>
  <si>
    <t>@drfahrettinkoca #bakıyorumda Sağlık yönetimi bölümü olunca herkes suspus oluyor  @DrRecepAkdag</t>
  </si>
  <si>
    <t>1467173045957795848</t>
  </si>
  <si>
    <t>@drfahrettinkoca #bakıyorumda sağlık yönetimi mezunların sesi duyan yok @drfahrettinkoca @DrRecepAkdag</t>
  </si>
  <si>
    <t>1467172426098348033</t>
  </si>
  <si>
    <t>@drfahrettinkoca Mevcut  SMA hastasi cocuklarin durumu ne olacak ? Bu insanlar cozum bekliyor .</t>
  </si>
  <si>
    <t>1467172368716079109</t>
  </si>
  <si>
    <t>@drfahrettinkoca Evet bu prensen Suriyeli mültecilere yardım yapanlar tarafından görülmedi yok sayıldı bunu ancak s… https://t.co/UvRYPknCbO</t>
  </si>
  <si>
    <t>1467172207231225857</t>
  </si>
  <si>
    <t>@drfahrettinkoca #bakıyorumda Söz konusu Sağlık Yönetimi Bölümü olunca herkes suspus oluyor. 100 binden fazla mezun… https://t.co/arBSH9YLsM</t>
  </si>
  <si>
    <t>1467172068110352389</t>
  </si>
  <si>
    <t>@drfahrettinkoca #bakıyorumda Söz konusu Sağlık Yönetimi Bölümü olunca herkes suspus oluyor. 100 binden fazla mezun… https://t.co/EQ3gqsv2zZ</t>
  </si>
  <si>
    <t>1467172014700089349</t>
  </si>
  <si>
    <t>@drfahrettinkoca #bakıyorumda Söz konusu Sağlık Yönetimi Bölümü olunca herkes suspus oluyor. 100 binden fazla mezun… https://t.co/u8jzvNEW4L</t>
  </si>
  <si>
    <t>1467171565938909190</t>
  </si>
  <si>
    <t>@drfahrettinkoca Kadro cetvelinde Sağlık yönetimi bölümü adı ve kodu(4597) olmadığı için atanamıyoruz.Firsat eşitli… https://t.co/HwvJWnP7jm</t>
  </si>
  <si>
    <t>1467171474893123589</t>
  </si>
  <si>
    <t>@drfahrettinkoca #bakıyorumda Söz konusu Sağlık Yönetimi Bölümü olunca herkes suspus oluyor. 100 binden fazla mezun… https://t.co/NHgTDbKbFa</t>
  </si>
  <si>
    <t>1467171076958523393</t>
  </si>
  <si>
    <t>@drfahrettinkoca #bakıyorumda Söz konusu Sağlık Yönetimi Bölümü olunca herkes suspus oluyor. 100 binden fazla mezun… https://t.co/wFIqrBOvhE</t>
  </si>
  <si>
    <t>1467170956959432709</t>
  </si>
  <si>
    <t>@drfahrettinkoca #bakıyorumda Söz konusu Sağlık Yönetimi Bölümü olunca herkes suspus oluyor. 100 binden fazla mezun… https://t.co/d1J7Ajqsnd</t>
  </si>
  <si>
    <t>1467170854245212161</t>
  </si>
  <si>
    <t>@drfahrettinkoca #bakıyorumda Söz konusu Sağlık Yönetimi Bölümü olunca herkes suspus oluyor. 100 binden fazla mezun… https://t.co/PFK7fRFy8i</t>
  </si>
  <si>
    <t>1467170765162397706</t>
  </si>
  <si>
    <t>@drfahrettinkoca #bakıyorumda Söz konusu Sağlık Yönetimi Bölümü olunca herkes suspus oluyor. 100 binden fazla mezun… https://t.co/V9DbKIcoyv</t>
  </si>
  <si>
    <t>1467170706056220680</t>
  </si>
  <si>
    <t>@drfahrettinkoca #bakıyorumda Söz konusu Sağlık Yönetimi Bölümü olunca herkes suspus oluyor. 100 binden fazla mezun… https://t.co/5E2SHXljpo</t>
  </si>
  <si>
    <t>1467170629564747782</t>
  </si>
  <si>
    <t>@drfahrettinkoca Sayın bakanım,ülkemizin bu covidli günlerinde insanımızın sağlığı için gece gündüz demeden çalışıy… https://t.co/fEAduW3AXV</t>
  </si>
  <si>
    <t>1467984706763472896</t>
  </si>
  <si>
    <t>@drfahrettinkoca @drfahrettinkoca @RTErdogan  siz nasıl insanlarsınız hayatımızı kararttınız gençliğimizi  kanımızı… https://t.co/C3MWUukn5e</t>
  </si>
  <si>
    <t>1469772332730310666</t>
  </si>
  <si>
    <t>@drfahrettinkoca @saglikbakanligi Sayin bakanim zor durumdayiz mersin şehir hastanesinde dun babami ölsundiye tabur… https://t.co/Cabz2X3uIQ</t>
  </si>
  <si>
    <t>1467262397014753280</t>
  </si>
  <si>
    <t>1467245006066962438</t>
  </si>
  <si>
    <t>@drfahrettinkoca okulu kapat dövüşürüm babaannenle</t>
  </si>
  <si>
    <t>1467216801108938752</t>
  </si>
  <si>
    <t>@drfahrettinkoca @saglikbakanligi Sayın bakanım ben ve ailem 16 gün önce koronayı atlattık 3 aşılarımız çıktı  bir… https://t.co/GyVGSDjKgE</t>
  </si>
  <si>
    <t>1467215721465884672</t>
  </si>
  <si>
    <t>@drfahrettinkoca Ne kadar günah... çok üzücü beyanınoz</t>
  </si>
  <si>
    <t>1467205036300242945</t>
  </si>
  <si>
    <t>@drfahrettinkoca https://t.co/xmbYuU8qF4</t>
  </si>
  <si>
    <t>1467181978759929866</t>
  </si>
  <si>
    <t>@drfahrettinkoca 13 ay oldu elinizi vicdanınıza koyun Sayın cumhurbaşkanım  Sayın bakanım  Hakkımız olan istihdamı… https://t.co/dFvYtsVuGv</t>
  </si>
  <si>
    <t>1467181954634297344</t>
  </si>
  <si>
    <t>@drfahrettinkoca 40 bin sağlıkçı dediniz cumhurbaşkanım müjde sizden geldi ancak kılavuz hala gelmedi lütfen duyun… https://t.co/YcCvf3xSvB</t>
  </si>
  <si>
    <t>1467181909675544576</t>
  </si>
  <si>
    <t>@drfahrettinkoca Sayin bakanim mersin sehir hastanesi babami ölume terk ettiler babam evde can çekişiyor Allah için yardim edin</t>
  </si>
  <si>
    <t>1467177771180904449</t>
  </si>
  <si>
    <t>@drfahrettinkoca https://t.co/sr0KgHEMdR https://t.co/d9X3A5n8nU https://t.co/41Aj1yc8Xo https://t.co/w7rZ1Fwgbi… https://t.co/mvl0eD5w2C</t>
  </si>
  <si>
    <t>1467176450633920514</t>
  </si>
  <si>
    <t>@drfahrettinkoca Neden bu yavrularımız Suriye li ler kadar değer görmedi.yada aman covit olmasın diye özel uçakla a… https://t.co/veiaiQ9foX</t>
  </si>
  <si>
    <t>1467173509432586242</t>
  </si>
  <si>
    <t>@drfahrettinkoca Maşallahin var Bakanim sen geldin geleli hastaligida beraber getirdin nasil başardin vallahi merak ediyorum ?</t>
  </si>
  <si>
    <t>1467172148120850437</t>
  </si>
  <si>
    <t>@drfahrettinkoca "Before Ghazwa e Hind, Allah conveyed the news of my dreams to Army chief of Pakistan. Prophet Muh… https://t.co/sXjTQHSZ8p</t>
  </si>
  <si>
    <t>1467956212062846979</t>
  </si>
  <si>
    <t>@drfahrettinkoca Smalı bebekler için ülkemizde tüm tedaviler uygulanmıyor #zolgesmasgkkapsamıngirsin tüm aileler zo… https://t.co/mVwUdBKFQc</t>
  </si>
  <si>
    <t>1468327420310794243</t>
  </si>
  <si>
    <t>@drfahrettinkoca #zolgesmasgkkapsamıngirsin ilaç tedavisi ülkemizde uygulanmıyor. Tüm tedaviler uygulanıyor demişsi… https://t.co/V9LL9mmTdT</t>
  </si>
  <si>
    <t>1468325501240582145</t>
  </si>
  <si>
    <t>1468286048237142025</t>
  </si>
  <si>
    <t>@drfahrettinkoca @saglikbakanligi SAYIN BAKANIM NEREYE GITTI  BIZIM YERLI VE MILLI AŞI</t>
  </si>
  <si>
    <t>1468871400433795072</t>
  </si>
  <si>
    <t>@drfahrettinkoca @drfahrettinkoca @RTErdogan  siz nasıl insanlarsınız hayatımızı kararttınız gençliğimizi  kanımızı… https://t.co/UCosQRj4MZ</t>
  </si>
  <si>
    <t>1469772364493864960</t>
  </si>
  <si>
    <t>@drfahrettinkoca Faz çalismalari bitmeyen asilari olumlu sonuclar alindigi icin siz istediniz biz olduk.. Olumlu so… https://t.co/aQq5W8ui3E</t>
  </si>
  <si>
    <t>1467264332509720584</t>
  </si>
  <si>
    <t>1467244928690499592</t>
  </si>
  <si>
    <t>1467234204664709124</t>
  </si>
  <si>
    <t>@drfahrettinkoca @saglikbakanligi BU çocukların ve ailelerinin ahını nasıl ödeyeceksiniz.O zaman covid aşısı da geç… https://t.co/3OGM5M3twh</t>
  </si>
  <si>
    <t>1467201134167269387</t>
  </si>
  <si>
    <t>@drfahrettinkoca @drfahrettinkoca  yani sma li çocuklarımıza can ve umut olacakmısınız olmayacakmısınız lafı evirip… https://t.co/d6wEaX74OX</t>
  </si>
  <si>
    <t>1467185609320144904</t>
  </si>
  <si>
    <t>@drfahrettinkoca https://t.co/6UiTu9e15B</t>
  </si>
  <si>
    <t>1467185129642680321</t>
  </si>
  <si>
    <t>@drfahrettinkoca İzmir,Tepecik eğitim araştırma Hastanesi'ne kalp damar cerrahisine gittim Varis ameliyatı olmam ge… https://t.co/0OfPzuIOSq</t>
  </si>
  <si>
    <t>1467185127042306055</t>
  </si>
  <si>
    <t>@drfahrettinkoca Bakanlığınız her konuda topu taca atmaktan başka hiçbir şey yapmamaktadır. Süslü laflar boş netice.</t>
  </si>
  <si>
    <t>1467179674543566851</t>
  </si>
  <si>
    <t>@drfahrettinkoca Sayın bakanım ama ben bir çaba görmüyorum ben fikrim böyle çabuk bir şeyler yapılması gerekiyor SM… https://t.co/SU3t7DJVJ9</t>
  </si>
  <si>
    <t>1467179195524648964</t>
  </si>
  <si>
    <t>@drfahrettinkoca Muhammad Qasim Ibn Abdul Karim has seen many dreams in which Allah and Prophet Muhammad (PBUH) adv… https://t.co/AhUFN8lEME</t>
  </si>
  <si>
    <t>1467957134188953601</t>
  </si>
  <si>
    <t>@drfahrettinkoca SMA hastalığı neden yaygınlaşıyor?</t>
  </si>
  <si>
    <t>1467540649209733120</t>
  </si>
  <si>
    <t>@drfahrettinkoca SMA taramasını yeni evli fakat çocuk sahibi olmayan çiftler için de geçerli kilacak mısınız?</t>
  </si>
  <si>
    <t>1468269215551561731</t>
  </si>
  <si>
    <t>@drfahrettinkoca @drfahrettinkoca @RTErdogan  siz nasıl insanlarsınız hayatımızı kararttınız gençliğimizi  kanımızı… https://t.co/8FlewfYBD6</t>
  </si>
  <si>
    <t>1469772388648771588</t>
  </si>
  <si>
    <t>1467244784360247302</t>
  </si>
  <si>
    <t>@drfahrettinkoca Zolgensma ülkemizde karşılanıyorda bizim mi haberimiz yok?</t>
  </si>
  <si>
    <t>1467232345115836418</t>
  </si>
  <si>
    <t>@drfahrettinkoca Yahu tv lerde boy boy ağlaşan aileler hangi ülkede. Utanmadan bir de zulüm kurulu üyelerini alet ediyorsunuz.</t>
  </si>
  <si>
    <t>1467209836987400195</t>
  </si>
  <si>
    <t>@drfahrettinkoca Allah sizi korusun, sahip olduğunuz bilgileri politik nedenlerle halka arz edememenizin engelini k… https://t.co/vHxkydqTtt</t>
  </si>
  <si>
    <t>1467206588440195080</t>
  </si>
  <si>
    <t>@drfahrettinkoca #sağlıkcıyıoyalamayılı kılavuz artık açıklansın</t>
  </si>
  <si>
    <t>1467202608712593416</t>
  </si>
  <si>
    <t>@drfahrettinkoca Yine dolduruşa geliyorsun Sayın Bakan, çevrene dikkat et lütfen.</t>
  </si>
  <si>
    <t>1467195818469990400</t>
  </si>
  <si>
    <t>@drfahrettinkoca Bu bebekler için geç kalınıyor sayın bakanım, en etkili ilaç olduğu iddia edilen zolgensma ne zama… https://t.co/8MpBLfDayo</t>
  </si>
  <si>
    <t>1467191015035621376</t>
  </si>
  <si>
    <t>@drfahrettinkoca Sayın Fahrettin bey gerçekten çabalarını ve vatana hizmetlerini görmemek imkansız….fakat en son gö… https://t.co/9MCfBQJWEL</t>
  </si>
  <si>
    <t>1467188951895138304</t>
  </si>
  <si>
    <t>@drfahrettinkoca https://t.co/ataoclHUed</t>
  </si>
  <si>
    <t>1467188155128369154</t>
  </si>
  <si>
    <t>@drfahrettinkoca Bakanım genetik tedaviyi bir ilacın kısa dönem etkisi ile karşılaştırmamak lazım. Diyelim karşılaş… https://t.co/jDBkG3MFG4</t>
  </si>
  <si>
    <t>1467181237269843974</t>
  </si>
  <si>
    <t>@drfahrettinkoca Açıklama için izin onay aldın mı Koca👶 ?</t>
  </si>
  <si>
    <t>1467179157847261190</t>
  </si>
  <si>
    <t>@drfahrettinkoca Sayın Bakanım 9 milyonu bulan kader mahkum aileler izinlerin uzatılmasıyla ilgili olarak zataliniz… https://t.co/lSW1qChtIB</t>
  </si>
  <si>
    <t>1467176730217623555</t>
  </si>
  <si>
    <t>@drfahrettinkoca Malatya Turgut Özal tıp merkezi 4D Kamu işçileri Asgari Ücret Almaya devam ediyor.Maaşa gelince Sa… https://t.co/AirzaENz6u</t>
  </si>
  <si>
    <t>1467172656810283008</t>
  </si>
  <si>
    <t>@drfahrettinkoca Where is Imam Al-Mahdi? Are we not living in the times mentioned by Prophet Muhammad SAW? The time… https://t.co/10QVzcu8Wz</t>
  </si>
  <si>
    <t>1467958083775176704</t>
  </si>
  <si>
    <t>@drfahrettinkoca Sayin bakanım, engellilerin kullandığı hasta bezi ve sonda katılım ücretleri her ay artıyor. Destek istiyoruz bakanlıktan.</t>
  </si>
  <si>
    <t>1467608782943535104</t>
  </si>
  <si>
    <t>@drfahrettinkoca @Lord_1979 Bu cümleleri kullanırken peki sizler engelliler için bu devlette neler yapıyorsunuz pek… https://t.co/hdxvL2Mk6x</t>
  </si>
  <si>
    <t>1467240972610412554</t>
  </si>
  <si>
    <t>@drfahrettinkoca 🙏🏻👍</t>
  </si>
  <si>
    <t>1467237933648392200</t>
  </si>
  <si>
    <t>@drfahrettinkoca Kılavuz açıklansın artık sayın bakanım. Yüksek ve adil sayılar istiyoruz ☢️👌🏻</t>
  </si>
  <si>
    <t>1467223938950475784</t>
  </si>
  <si>
    <t>@drfahrettinkoca Kpss sağlıkçılarına kadro varken ekpss sağlıkçılarına neden 4 yıldır kadro verilmiyor bu nasıl ayr… https://t.co/LSGDhVmdrJ</t>
  </si>
  <si>
    <t>1467222053753397254</t>
  </si>
  <si>
    <t>@drfahrettinkoca Tweet atmak için izin aldın mı</t>
  </si>
  <si>
    <t>1466915528803504130</t>
  </si>
  <si>
    <t>@drfahrettinkoca Sayın bakanım işitme engellilerin hiç bir hakkı yok gerek işitme cihazında gerek engelli otomobili… https://t.co/W3Xvozms1B</t>
  </si>
  <si>
    <t>1466915200377008140</t>
  </si>
  <si>
    <t>@drfahrettinkoca Atama ne zaman olacak sayın bakanım</t>
  </si>
  <si>
    <t>1466911436278480900</t>
  </si>
  <si>
    <t>@drfahrettinkoca Engelli bacımı önce sürdünüz sonra işten attınız. Önce mobing uygulayana dava açtık mahkemeye de m… https://t.co/ulJMxU85dA</t>
  </si>
  <si>
    <t>1466909661148368896</t>
  </si>
  <si>
    <t>@drfahrettinkoca #PFIZERHhesapVer  #PFIZERHhesapVer</t>
  </si>
  <si>
    <t>1466900969086668800</t>
  </si>
  <si>
    <t>@drfahrettinkoca Kutlamayınız! Engellilerden katılım payını misliyle alan siz... KUTLAMAYINIZ!!!</t>
  </si>
  <si>
    <t>1466896508608000003</t>
  </si>
  <si>
    <t>@drfahrettinkoca https://t.co/OiTvObuFxf</t>
  </si>
  <si>
    <t>1466889272024354820</t>
  </si>
  <si>
    <t>@drfahrettinkoca A'raf suresi 11 ' İblis secde edenlerden olmadı'  Müdessir suresi 30 ' Üzerlerinde 19 vardır '  Ya… https://t.co/gGviGg4nXI</t>
  </si>
  <si>
    <t>1466889242647445505</t>
  </si>
  <si>
    <t>@drfahrettinkoca https://t.co/qdykiBVRF9</t>
  </si>
  <si>
    <t>1466889218022678532</t>
  </si>
  <si>
    <t>@drfahrettinkoca https://t.co/KAxGbuWwKE</t>
  </si>
  <si>
    <t>1466889192978452489</t>
  </si>
  <si>
    <t>@drfahrettinkoca Sizin engeliniz neydide padisah sizi onca ummetin yaninda azarladi ve size itimat etmedi .bir yemi… https://t.co/WGOMsQYKC5</t>
  </si>
  <si>
    <t>1466886485781762052</t>
  </si>
  <si>
    <t>@drfahrettinkoca Pozitif ayrımcılığı geçtik hakkımızı veremediğiniz çok belli sn bakanım bizler 4 yıldır yüksek pua… https://t.co/B1Pi81wnNw</t>
  </si>
  <si>
    <t>1466886342533697537</t>
  </si>
  <si>
    <t>@drfahrettinkoca Pozitif ayrımcılığı geçtik hakkımızı veremediğiniz çok belli sn bakanım bizler 4 yıldır yüksek pua… https://t.co/Zr50yjdEfZ</t>
  </si>
  <si>
    <t>1466886323680296960</t>
  </si>
  <si>
    <t>@drfahrettinkoca Pozitif ayrımcılığı geçtik hakkımızı veremediğiniz çok belli sn bakanım bizler 4 yıldır yüksek pua… https://t.co/j2hyCZND6i</t>
  </si>
  <si>
    <t>1466886299802030086</t>
  </si>
  <si>
    <t>@drfahrettinkoca Fotoğraf Ankara Konur sokak ile Meşrutiyet caddesi kesişiminden çekilmiştir. A.B.Belediyesine mail… https://t.co/DV2aB4ak50</t>
  </si>
  <si>
    <t>1466885756560056323</t>
  </si>
  <si>
    <t>@drfahrettinkoca Sayın kıymetli bakanım, motosiklet ile trafik kazazedesi olası engeli adayı yurttaş olarak. Kırık… https://t.co/uqcJp5XbpW</t>
  </si>
  <si>
    <t>1466884155661340672</t>
  </si>
  <si>
    <t>@drfahrettinkoca Biz, pozitif ayrımcılık demiyoruz Sayın Bakanım, FIRSAT EŞİTLİĞİ diyoruz. Hata, engelli bireylerin… https://t.co/BW3mVTBNb7</t>
  </si>
  <si>
    <t>1466884108450246662</t>
  </si>
  <si>
    <t>@drfahrettinkoca Hekimleri kandıralım da yurtdışına kaçmasınlar diye bir yalan attınız ortaya, yardımcı sağlık pers… https://t.co/GqBtbQg3Hw</t>
  </si>
  <si>
    <t>1466879196605652997</t>
  </si>
  <si>
    <t>@drfahrettinkoca Binlerce sağlık çalışanına sağır dilsiz ve kör olmak engelli olmayı gerektirmiyor görüldüğü gibi.… https://t.co/QBk8n17VDs</t>
  </si>
  <si>
    <t>1466877859440513028</t>
  </si>
  <si>
    <t>@drfahrettinkoca Kadın  ultrasondan geçiyor  günah  anneyim diyor engelleyin    bunları</t>
  </si>
  <si>
    <t>1466876979236511752</t>
  </si>
  <si>
    <t>@drfahrettinkoca https://t.co/0XkmGF6h0w</t>
  </si>
  <si>
    <t>1466876894733819914</t>
  </si>
  <si>
    <t>@drfahrettinkoca 1 yıldır sagliga atama yapmayan,  mujde verip klavuzu dahi hazir edemeyen  Insanlarin hayallerine… https://t.co/GY9gSHvi5m</t>
  </si>
  <si>
    <t>1466876025158213633</t>
  </si>
  <si>
    <t>@drfahrettinkoca Bakanım hekimleri sahipsiz bırakmayın verdiğiniz hakları geri almayın biz umutlanmıştık umut ışığımızı söndürmeyin😢</t>
  </si>
  <si>
    <t>1466874876493504516</t>
  </si>
  <si>
    <t>@drfahrettinkoca Sağlıkta birlik beraberlik ve bütünlüğü bozdunuz Çalışma barışı filan kalmadı mutlu musunuz… https://t.co/NbdlfJbCsX</t>
  </si>
  <si>
    <t>1466870715555237896</t>
  </si>
  <si>
    <t>@drfahrettinkoca Sn bakanım  engellilere su da olduğu gibi elektrikten de indirim bekliyoruz</t>
  </si>
  <si>
    <t>1466869517469229056</t>
  </si>
  <si>
    <t>@drfahrettinkoca Sayın Bakanım size gönderilen yorumları dikkate alıyor musunuz Eğer alıyorsanız yazacaklarımı da d… https://t.co/DX36q2w8L3</t>
  </si>
  <si>
    <t>1466869454759993356</t>
  </si>
  <si>
    <t>@drfahrettinkoca Sayın Bakanım; engelliler hastanelerde rapor alırken çok zorluklar yaşıyorlar. Sıra almak bir dert… https://t.co/hjiV9lQspS</t>
  </si>
  <si>
    <t>1466868199627137028</t>
  </si>
  <si>
    <t>@drfahrettinkoca Kılavuz istiyoruz !!</t>
  </si>
  <si>
    <t>1466868018533781508</t>
  </si>
  <si>
    <t>@drfahrettinkoca 657 sayılı Devlet memurları kanununun 36. Maddesini sizlere hatırlatmak isteriz. Bu ülkede her kon… https://t.co/QB6HQyd31y</t>
  </si>
  <si>
    <t>1466867330613399562</t>
  </si>
  <si>
    <t>@drfahrettinkoca Engelli sağlıkçılar 4 yıldır açılmayan kontenjan mağduru oldu biz engelli sağlıkçılar olarak bizle… https://t.co/xEHtkCOh5Y</t>
  </si>
  <si>
    <t>1466867291824533504</t>
  </si>
  <si>
    <t>@drfahrettinkoca Engelli sağlıkçılar 4 yıldır açılmayan kontenjan mağduru oldu biz engelli sağlıkçılar olarak bizle… https://t.co/TnVFzpXVyy</t>
  </si>
  <si>
    <t>1466867232164700164</t>
  </si>
  <si>
    <t>@drfahrettinkoca Engelli sağlıkçılar 4 yıldır açılmayan kontenjan mağduru oldu biz engelli sağlıkçılar olarak bizle… https://t.co/Ld6dok64KU</t>
  </si>
  <si>
    <t>1466867132935905294</t>
  </si>
  <si>
    <t>@drfahrettinkoca Engelli sağlıkçılar 4 yıldır açılmayan kontenjan mağduru oldu biz engelli sağlıkçılar olarak bizle… https://t.co/QHQuisTXrc</t>
  </si>
  <si>
    <t>1466867090229547011</t>
  </si>
  <si>
    <t>@drfahrettinkoca Engelli sağlıkçılar 4 yıldır açılmayan kontenjan mağduru oldu biz engelli sağlıkçılar olarak bizle… https://t.co/HKcRi4vlH6</t>
  </si>
  <si>
    <t>1466867051746766852</t>
  </si>
  <si>
    <t>@drfahrettinkoca Engelli sağlıkçılar 4 yıldır açılmayan kontenjan mağduru oldu biz engelli sağlıkçılar olarak bizle… https://t.co/rZRWKhUEGo</t>
  </si>
  <si>
    <t>1466866818858078217</t>
  </si>
  <si>
    <t>@drfahrettinkoca Engelli sağlıkçılar 4 yıldır açılmayan kontenjan mağduru oldu biz engelli sağlıkçılar olarak bizle… https://t.co/CTlpg7VA8b</t>
  </si>
  <si>
    <t>1466866776466145282</t>
  </si>
  <si>
    <t>@drfahrettinkoca Sağlam insanları koruyun da engelliye dönüşmesin. Kafadan sakat hayvanlar var aramızda dolaşan has… https://t.co/3w9m62WxLe</t>
  </si>
  <si>
    <t>1466866735546396676</t>
  </si>
  <si>
    <t>@drfahrettinkoca Engelli sağlıkçılar 4 yıldır açılmayan kontenjan mağduru oldu biz engelli sağlıkçılar olarak bizle… https://t.co/Y7qRMw6Yhi</t>
  </si>
  <si>
    <t>1466866710804414480</t>
  </si>
  <si>
    <t>@drfahrettinkoca Engelli sağlıkçılar 4 yıldır açılmayan kontenjan mağduru oldu biz engelli sağlıkçılar olarak bizle… https://t.co/caYnOKpayk</t>
  </si>
  <si>
    <t>1466866671302361091</t>
  </si>
  <si>
    <t>@drfahrettinkoca Engelli sağlıkçılar 4 yıldır açılmayan kontenjan mağduru oldu biz engelli sağlıkçılar olarak bizle… https://t.co/4GeIG1ccPQ</t>
  </si>
  <si>
    <t>1466866639450914820</t>
  </si>
  <si>
    <t>@drfahrettinkoca Engelli sağlıkçılar 4 yıldır açılmayan kontenjan mağduru oldu biz engelli sağlıkçılar olarak bizle… https://t.co/ToIYxNXpw7</t>
  </si>
  <si>
    <t>1466866611995004933</t>
  </si>
  <si>
    <t>@drfahrettinkoca Engelli sağlıkçılar 4 yıldır açılmayan kontenjan mağduru oldu biz engelli sağlıkçılar olarak bizle… https://t.co/cvQi2ZPqh7</t>
  </si>
  <si>
    <t>1466866564939005965</t>
  </si>
  <si>
    <t>@drfahrettinkoca Engelli sağlıkçılar 4 yıldır açılmayan kontenjan mağduru oldu biz engelli sağlıkçılar olarak bizle… https://t.co/Tz6naalIN7</t>
  </si>
  <si>
    <t>1466866538863120390</t>
  </si>
  <si>
    <t>@drfahrettinkoca Sayın bakanım ben 112 de çalışan att yim.gorev sırasında kaza sonucu sol ayagimda engel oluştu.ben… https://t.co/cap1tJVglk</t>
  </si>
  <si>
    <t>1466866501181444098</t>
  </si>
  <si>
    <t>@drfahrettinkoca Engelli sağlıkçılar 4 yıldır açılmayan kontenjan mağduru oldu biz engelli sağlıkçılar olarak bizle… https://t.co/q1Fpih7Omo</t>
  </si>
  <si>
    <t>1466866500577472520</t>
  </si>
  <si>
    <t>@drfahrettinkoca Engelli sağlıkçılar 4 yıldır açılmayan kontenjan mağduru oldu biz engelli sağlıkçılar olarak bizle… https://t.co/QDh282DzwK</t>
  </si>
  <si>
    <t>1466866475445145611</t>
  </si>
  <si>
    <t>@drfahrettinkoca #FKocaYeterUmutAsıladığın</t>
  </si>
  <si>
    <t>1466866255957221379</t>
  </si>
  <si>
    <t>@drfahrettinkoca Sözünü tut artık</t>
  </si>
  <si>
    <t>1466866160088014855</t>
  </si>
  <si>
    <t>@drfahrettinkoca 4 yıla aşkındır engelli sağlıkçılar ataması yapılmıyor binlerce engelli sağlıkçı boşta atama bekli… https://t.co/qcI1aU6hZc</t>
  </si>
  <si>
    <t>1466866031583010818</t>
  </si>
  <si>
    <t>@drfahrettinkoca Aynen aynen o yüzden 3 4 yıldır engelli sağlıkçı alınmı yok. Çok yardımcı oluyorsunuz sağolun</t>
  </si>
  <si>
    <t>1466865988507373568</t>
  </si>
  <si>
    <t>@drfahrettinkoca Bakan sen hayirdr reisin yerin dibine sokuyor hala el pençe divan ya insanda biraz onur olur yazık artık kendiniz olun.</t>
  </si>
  <si>
    <t>1466865660852686850</t>
  </si>
  <si>
    <t>@drfahrettinkoca Bir tek bizim haftamızı kutlamadınız farkında mısınız sayın bakanım @drfahrettinkoca ?? Yetkilerim… https://t.co/TbCHWIGP8C</t>
  </si>
  <si>
    <t>1466865612806885385</t>
  </si>
  <si>
    <t>@drfahrettinkoca Bakanım ATAMA</t>
  </si>
  <si>
    <t>1466864553837355015</t>
  </si>
  <si>
    <t>@drfahrettinkoca Bir  engelli bakan olarak çok güzel bir konuya değinmişsiniz sayın sağlık bakanım. Cumhurbaşkanınd… https://t.co/w9vsKGDGjT</t>
  </si>
  <si>
    <t>1466864102807158791</t>
  </si>
  <si>
    <t>@drfahrettinkoca Sayın Bakanım, kolları sağlam diye göğüsten altı omurilik felçlisi olan hastaya kısmi bağımlı rapo… https://t.co/BlIasVYOhD</t>
  </si>
  <si>
    <t>1466862571810607104</t>
  </si>
  <si>
    <t>@drfahrettinkoca Hekim dışıpesonelin hakkını yediniz</t>
  </si>
  <si>
    <t>1466862208667762690</t>
  </si>
  <si>
    <t>@drfahrettinkoca Ankara sehir hastanesi iskur üzerinden eleman alıyor.Iskur sürecinde resmen psikolojik işkence edi… https://t.co/kuSMBVzvIv</t>
  </si>
  <si>
    <t>1466861750108704775</t>
  </si>
  <si>
    <t>@drfahrettinkoca Ben sağlık bir bireyim ama şimdi engelliyim mutlusun hocam sayın bakanım https://t.co/s3be0nUd8a</t>
  </si>
  <si>
    <t>1466860809603227650</t>
  </si>
  <si>
    <t>@drfahrettinkoca Şuna bi cvp ver Allahsız firavunun torunu! Sen hiç beynine çöp sokturmadın değil mi? Millete niye… https://t.co/ywUJ76Qv8C</t>
  </si>
  <si>
    <t>1466860801986342926</t>
  </si>
  <si>
    <t>@drfahrettinkoca Yatalak hastaların raporlarını evde bakım için gerekli olan raporlarını evde sağlık hizmetleri dok… https://t.co/OkAVbmoHET</t>
  </si>
  <si>
    <t>1466860794600210437</t>
  </si>
  <si>
    <t>@drfahrettinkoca Allahsız Kitapsız herif, deccale hizmet niye sana nasip oldu bi düşün ve istifa et, cehennemin dibine git!</t>
  </si>
  <si>
    <t>1466859964589391872</t>
  </si>
  <si>
    <t>@drfahrettinkoca Kılavuz istiyoruz @drfahrettinkoca  @RTErdogan  #FKOyalamaKılavuzuYayınla</t>
  </si>
  <si>
    <t>1466859792811663366</t>
  </si>
  <si>
    <t>@drfahrettinkoca Evet engelli olmak kusur değil ama engelli olduğum için askere alınmadım engelli olduğum için tica… https://t.co/oxeRcuhroL</t>
  </si>
  <si>
    <t>1466859243726905349</t>
  </si>
  <si>
    <t>@drfahrettinkoca Siz atama bekleyen binlerce sağlıkçınin HAYATİNİ YOK ETTİNİZ. KLAVUZ NERDEEE SENE BİTTİ BİTTİK BİZ BİTİRDİNİZ BİZİ</t>
  </si>
  <si>
    <t>1466858918764756992</t>
  </si>
  <si>
    <t>@drfahrettinkoca Dün bir baba olarak sana acıdım.</t>
  </si>
  <si>
    <t>1466858720349016067</t>
  </si>
  <si>
    <t>@drfahrettinkoca Sayenizde berbat bı seneyi bitiridk klavuz nerde sandığa mi kaldiracaksiniz</t>
  </si>
  <si>
    <t>1466858394082553862</t>
  </si>
  <si>
    <t>@drfahrettinkoca Oyalamayi bırakın klavuzu verin artk sene bitti bitirdiniz bizi</t>
  </si>
  <si>
    <t>1466858235227426827</t>
  </si>
  <si>
    <t>1466858139542822920</t>
  </si>
  <si>
    <t>@drfahrettinkoca Sayın fahrettin koca aşı yaptırın dediniz anneme aşı yaptır dım 1 hafta sonra annemi kaybettim siz… https://t.co/5YHgecr27u</t>
  </si>
  <si>
    <t>1466858025700974595</t>
  </si>
  <si>
    <t>@drfahrettinkoca SMA HASTASI ÇOCUKLARA YARDIM EDİN</t>
  </si>
  <si>
    <t>1466857753033560071</t>
  </si>
  <si>
    <t>@drfahrettinkoca Sayın hocam ben sizler gibi sağlıklı biredim ama şimdi ise engelliyim mutlumusunuz acı çekiyorum https://t.co/ij5qrqxbvr</t>
  </si>
  <si>
    <t>1466857645571285006</t>
  </si>
  <si>
    <t>@drfahrettinkoca Okullar kapat</t>
  </si>
  <si>
    <t>1466857540667465736</t>
  </si>
  <si>
    <t>@drfahrettinkoca Engelli sağlıkçılar 4 yıldır verilmeyen kadrolara atanmak istiyor🇹🇷🇹🇷🇹🇷🇹🇷🇹🇷🇹🇷🇹🇷🇹🇷🇹🇷🇹🇷🇹🇷🇹🇷🇹🇷🇹🇷🇹🇷🇹🇷… https://t.co/phynDx85Qd</t>
  </si>
  <si>
    <t>1466857467019730951</t>
  </si>
  <si>
    <t>@drfahrettinkoca Sağlık bakanı sağlıkçılar hariç her konuda tweet atıyor</t>
  </si>
  <si>
    <t>1466857366452948993</t>
  </si>
  <si>
    <t>@drfahrettinkoca Engelli sağlıkçılar 4 yıldır verilmeyen kadrolara atanmak istiyor🇹🇷🇹🇷🇹🇷🇹🇷🇹🇷🇹🇷🇹🇷🇹🇷🇹🇷🇹🇷🇹🇷🇹🇷🇹🇷🇹🇷🇹🇷🇹🇷… https://t.co/KeAsNbvgfQ</t>
  </si>
  <si>
    <t>1466857363110039561</t>
  </si>
  <si>
    <t>@drfahrettinkoca Sağlık çalışanları şu anlamlı tweetin altını da mahvetti sağolsunlar zaten her gün sağlık devletin… https://t.co/V4I1AF15Rs</t>
  </si>
  <si>
    <t>1466857032422768654</t>
  </si>
  <si>
    <t>@drfahrettinkoca Sayın Bakanım, Kpss 90+ alan 1200  88+ alan 2000 Fizyoterapist atama beklemektedir.</t>
  </si>
  <si>
    <t>1466855332190302219</t>
  </si>
  <si>
    <t>@drfahrettinkoca Sayın Bakanım, Kpss'nin en başarılı meslek grubu olan Fizyoterapistlere 2000 kadro bekliyoruz.</t>
  </si>
  <si>
    <t>1466855008293564417</t>
  </si>
  <si>
    <t>@drfahrettinkoca İstifa</t>
  </si>
  <si>
    <t>1466853578841202689</t>
  </si>
  <si>
    <t>@drfahrettinkoca Eveett sağlık çalışanlarını birbirine düşürdünüz tebrikler baganım</t>
  </si>
  <si>
    <t>1466853488596553738</t>
  </si>
  <si>
    <t>@drfahrettinkoca Bu açıklamayı yaparken izin aldın mı reiz den sayın koca</t>
  </si>
  <si>
    <t>1466851591194136581</t>
  </si>
  <si>
    <t>@drfahrettinkoca #sevimnuricinsesol https://t.co/1JrWpZA5nL</t>
  </si>
  <si>
    <t>1466851353075015683</t>
  </si>
  <si>
    <t>@drfahrettinkoca Sayın bakanım tam da bugün engellilerin istihdamına desteginizi bekliyoruz… https://t.co/fnH4yeoeaz</t>
  </si>
  <si>
    <t>1466851037990510598</t>
  </si>
  <si>
    <t>@drfahrettinkoca Yüzde 62 28/5 maddeden maluliyet roporum var ancak emekli olamıyorum çünkü son hizmet sürem en çok… https://t.co/xHKqFbFdb0</t>
  </si>
  <si>
    <t>1466850754044600323</t>
  </si>
  <si>
    <t>@drfahrettinkoca Sayın bakanım bnm babamda malisef engelli oldu ama bir türlü haklarından yararlanamıyor heryerde e… https://t.co/rAaV583jIG</t>
  </si>
  <si>
    <t>1466850514520494083</t>
  </si>
  <si>
    <t>@drfahrettinkoca Yine diyorum, her zaman da diyeceğim. Irkçılık yalnızca ten rengi ya da dini inanç bağlamında olma… https://t.co/PEGuAHRb9l</t>
  </si>
  <si>
    <t>1466850366432202762</t>
  </si>
  <si>
    <t>@drfahrettinkoca Doltordan en çok nefret edenin ysp olduğunu anladık. Eyvalah</t>
  </si>
  <si>
    <t>1466849068819390470</t>
  </si>
  <si>
    <t>@drfahrettinkoca Sizin Bakanlığını yaptığınız kurumun yegane çalışanları yalnızca doktorlar mı beyfendi? Sizin kuru… https://t.co/PN2DVAKaiK</t>
  </si>
  <si>
    <t>1466849068773220356</t>
  </si>
  <si>
    <t>@drfahrettinkoca Omicron varyantı,tat, koku kaybı, öksürük,burun akması gibi semptomlar göstermiyor.Hastaların tama… https://t.co/TUWRdOZN7D</t>
  </si>
  <si>
    <t>1466848885800939524</t>
  </si>
  <si>
    <t>@drfahrettinkoca Ne zamandır doktorlara kin duygusu gerilemişti iyi yaptınız ya arada bu duyguları uyandırmanız lazım</t>
  </si>
  <si>
    <t>1466848112908058625</t>
  </si>
  <si>
    <t>@drfahrettinkoca Lancet Toplu aşılamanın hastalığı durdurmadığı, ful aşılı insanların hastalanma oranının yükseldiğ… https://t.co/j4M9txVPpt</t>
  </si>
  <si>
    <t>1466847490267914247</t>
  </si>
  <si>
    <t>@drfahrettinkoca Bizi meslekten nefret ettirdiniz. Birbirimize düşürdünüz teşekkürler @drfahrettinkoca en büyük alkış size👏👏👏</t>
  </si>
  <si>
    <t>1466847012872237065</t>
  </si>
  <si>
    <t>@drfahrettinkoca Artık akıl sağlığımı koruyamıyorum sayın bakanım atanmak istiyorum ve siz hala atama yapmamak için… https://t.co/6gL740ZCGn</t>
  </si>
  <si>
    <t>1466846869900906500</t>
  </si>
  <si>
    <t>@drfahrettinkoca SEvimnurun sesine ses olun fahrettin bey duyun bu gencecik kızı #sevimnuricinsesol… https://t.co/WDJwipIsCD</t>
  </si>
  <si>
    <t>1466846867363352578</t>
  </si>
  <si>
    <t>@drfahrettinkoca sayın bakanım  günün anlam ve önemine binayen böyle süslü cümleler güzel oluyor,bol bolda  like al… https://t.co/OW67EQiKGl</t>
  </si>
  <si>
    <t>1466846300973023232</t>
  </si>
  <si>
    <t>@drfahrettinkoca Pfizerdan para karşılığı bizi ilaçlarla,aşılarla öldüren  Kişiler amerikada ifşa olmaya başladı Şu… https://t.co/5KQzuezxZx</t>
  </si>
  <si>
    <t>1466846230965899264</t>
  </si>
  <si>
    <t>@drfahrettinkoca MATEMATİK GEOMETRİ YKS AYT TYT LGS KPSS ALES DGS KONU ANLATIMLARI SORU COZUMLERI DENEME COZUMLERI… https://t.co/THf6AN15HY</t>
  </si>
  <si>
    <t>1466845561060007940</t>
  </si>
  <si>
    <t>@drfahrettinkoca Duvar olsa konuşurdu artık atamadan bi haber verin kılavuzu yayınlayın Cumhurbaşkanı açıkladı alım… https://t.co/CdORUSTuSl</t>
  </si>
  <si>
    <t>1466845464838512660</t>
  </si>
  <si>
    <t>@drfahrettinkoca Ya Allah aşkına yeter ya Bi sayı söylemek bu kadar mı zor bu kadar mı hiçiz gözünüzde</t>
  </si>
  <si>
    <t>1466844796824264720</t>
  </si>
  <si>
    <t>@drfahrettinkoca Sendika bakanlığı. Maaşa zam istemiyoruz . Liyakatsiz sendikalı ebe hemşire att yöneticilere son v… https://t.co/m4wTsgG8YO</t>
  </si>
  <si>
    <t>1466844564296290311</t>
  </si>
  <si>
    <t>@drfahrettinkoca Senin için insanın değeri Deney faresiyle eş 666 fahri Paranı aldığın  Ölüm ilaçlarını sattığın sü… https://t.co/8UNBg4vQjm</t>
  </si>
  <si>
    <t>1466843527485304848</t>
  </si>
  <si>
    <t>@drfahrettinkoca Bu lafları değıl #engellininataması10bin bekliyoruz</t>
  </si>
  <si>
    <t>1466843244592050176</t>
  </si>
  <si>
    <t>@drfahrettinkoca En büyük engel Saglik Bakaninin sağlıkçılara engel olmasi onu nasil aşacaz</t>
  </si>
  <si>
    <t>1466843082452836356</t>
  </si>
  <si>
    <t>@drfahrettinkoca Destek bekliyoruz #sevimnuricinsesol https://t.co/6vlS4IMPcp</t>
  </si>
  <si>
    <t>1466842281001066497</t>
  </si>
  <si>
    <t>@drfahrettinkoca Sayın bakanımız %97 engelli annem için grip aşısının temini için 3 hafta bekledim. Yaklaşık 2 haft… https://t.co/B6llGXLIB4</t>
  </si>
  <si>
    <t>1466842168929177603</t>
  </si>
  <si>
    <t>1466841917505875968</t>
  </si>
  <si>
    <t>@drfahrettinkoca Atılan twetler yapılan sorulan sorular bakanım bizi ne zaman duyacaksınız bir yıldır atama bekliyo… https://t.co/5bQZxyyKW4</t>
  </si>
  <si>
    <t>1466841444841365522</t>
  </si>
  <si>
    <t>@drfahrettinkoca Tam insan yoktur! Olmamıştır,olmayacaktır.</t>
  </si>
  <si>
    <t>1466841233352015876</t>
  </si>
  <si>
    <t>@drfahrettinkoca Aylardır atama bekleyen insanları görmezden geliyorsunuz bu yaptığınız hak mı ? @gozdekirisciogl  @drfahrettinkoca</t>
  </si>
  <si>
    <t>1466840981089796116</t>
  </si>
  <si>
    <t>@drfahrettinkoca Ortez, protez, elektronik engelli aygıtlarındaki yüksek ücretlerin bu yetmiyormuş gibi döviz neden… https://t.co/DPXKaTL9iy</t>
  </si>
  <si>
    <t>1466840938165243905</t>
  </si>
  <si>
    <t>@drfahrettinkoca Engelleri ortadan kaldırmak için çalışan fizyoterapistler atama bekliyor daha fazla engeli ortadan… https://t.co/V4ZWBvcp4X</t>
  </si>
  <si>
    <t>1466840409431236611</t>
  </si>
  <si>
    <t>@drfahrettinkoca Allah aşkına bülteninizde her konu var niye Bir tek atama Yok oysa ki ne sözler vermiştiniz</t>
  </si>
  <si>
    <t>1466840401357283328</t>
  </si>
  <si>
    <t>@drfahrettinkoca Hayallerimizle oynuyorsunuz aylardır sözler verip tutmuyorsunuz bekletmeleriniz sessiz kalmalarını… https://t.co/xn4LRkJQqj</t>
  </si>
  <si>
    <t>1466840128756883456</t>
  </si>
  <si>
    <t>@drfahrettinkoca Sayın bakanım @drfahrettinkoca engeli sağlıkçılar olarak büyük bir sabırsızlıkla kendi mesleğimizi… https://t.co/7TdDpoBUBz</t>
  </si>
  <si>
    <t>1466840088453783555</t>
  </si>
  <si>
    <t>@drfahrettinkoca #tıbbicihaz firmalarına ödeme ne zaman yapılacak?  Sayın bakanım @drfahrettinkoca beyefendi bu ara… https://t.co/Ux4joUG46t</t>
  </si>
  <si>
    <t>1466839955100119054</t>
  </si>
  <si>
    <t>@drfahrettinkoca Sayın bakanım bizde diğer sağlıkçı arkadaşlarımız gibi aynı şartlarda o diplomayı aldık ancak hak… https://t.co/axtfomCwIa</t>
  </si>
  <si>
    <t>1466839627705327618</t>
  </si>
  <si>
    <t>@drfahrettinkoca Yardımcı olun bakanim</t>
  </si>
  <si>
    <t>1466839506150117382</t>
  </si>
  <si>
    <t>@drfahrettinkoca Bakanım bir de sağlık kurulundaki doktorlar rüşvet karsiligin da rapor veriyorlar benim de bunu ka… https://t.co/HZLBCxJeZX</t>
  </si>
  <si>
    <t>1466839344497496064</t>
  </si>
  <si>
    <t>@drfahrettinkoca Sayın bakanım @drfahrettinkoca 4 yıldır biz engeli sağlıkçılar olarak mağduruz Sağlık bakanlığı bi… https://t.co/3nlVdrKB3S</t>
  </si>
  <si>
    <t>1466839331960676367</t>
  </si>
  <si>
    <t>@drfahrettinkoca Yaw bi git, yaşamaya en büyük engel sensin. İki cihânda da hesabını verirsin/veremezsin İnşaallah.</t>
  </si>
  <si>
    <t>1466839154524934153</t>
  </si>
  <si>
    <t>@drfahrettinkoca Engelliye zulmü durdurun artık ! Atanmak ümidiyle EKPSS’ye girdik 4yıldır kadro dahi açmadınız bug… https://t.co/QpwFXMRJav</t>
  </si>
  <si>
    <t>1466838811606982668</t>
  </si>
  <si>
    <t>@drfahrettinkoca Engel kafada olmasın bedendeki engel çok önemli değil</t>
  </si>
  <si>
    <t>1466838718791180291</t>
  </si>
  <si>
    <t>@drfahrettinkoca Engelliye zulmü durdurun artık ! Atanmak ümidiyle EKPSS’ye girdik 4yıldır kadro dahi açmadınız bug… https://t.co/3N5V22S21c</t>
  </si>
  <si>
    <t>1466838685941440515</t>
  </si>
  <si>
    <t>@drfahrettinkoca #3AralıkDünyaEngellilerGünü'nde ÇÖZGER Raporu bulunan down sendromlu, aynı zamanda geçtiğimiz günl… https://t.co/NKjNNZ3lzY</t>
  </si>
  <si>
    <t>1466838352179703812</t>
  </si>
  <si>
    <t>@drfahrettinkoca Evet bugün engellier günü bakanım bizi sadece 3 aralıkta hatirlamayin bakanım bir engelli olarak m… https://t.co/XU7fOUynZ3</t>
  </si>
  <si>
    <t>1466838349562494982</t>
  </si>
  <si>
    <t>@drfahrettinkoca #sevimnuricinsesol lütfen sizlerde destek vererek sevimnur için ses olun ... https://t.co/VZndEoyQhK</t>
  </si>
  <si>
    <t>1466838279098089475</t>
  </si>
  <si>
    <t>@drfahrettinkoca Engelliler için engel olan bakanlıklar var lütfen Sesimizi duyun ENGELLİ Sağlıkçılar Atama Bekliyo… https://t.co/iMAlwOlg8t</t>
  </si>
  <si>
    <t>1466838005377871873</t>
  </si>
  <si>
    <t>@drfahrettinkoca Cidden çok merak ediyorum daha ne kadar sabır edeceksiniz KLAVUZ YAYINLAMAMAK için sayın bakan. Si… https://t.co/VdC1KWtzL3</t>
  </si>
  <si>
    <t>1466837762125008896</t>
  </si>
  <si>
    <t>@drfahrettinkoca Pozitif ayrımcılığı geçtik hakkımızı veremediğiniz çok belli sn bakanım bizler 4 yıldır yüksek pua… https://t.co/cNHWCvKfSp</t>
  </si>
  <si>
    <t>1466837322272587784</t>
  </si>
  <si>
    <t>@drfahrettinkoca Pozitif ayrımcılığı geçtik hakkımızı veremediğiniz çok belli sn bakanım bizler 4 yıldır yüksek pua… https://t.co/KWWjhykrbd</t>
  </si>
  <si>
    <t>1466837254425522180</t>
  </si>
  <si>
    <t>@drfahrettinkoca Pozitif ayrımcılığı geçtik hakkımızı veremediğiniz çok belli sn bakanım bizler 4 yıldır yüksek pua… https://t.co/IYI0VZldpS</t>
  </si>
  <si>
    <t>1466837154445807619</t>
  </si>
  <si>
    <t>@drfahrettinkoca Pozitif ayrımcılığı geçtik hakkımızı veremediğiniz çok belli sn bakanım bizler 4 yıldır yüksek pua… https://t.co/ZUCrV631zk</t>
  </si>
  <si>
    <t>1466837105494138884</t>
  </si>
  <si>
    <t>@drfahrettinkoca Pozitif ayrımcılığı geçtik hakkımızı veremediğiniz çok belli sn bakanım bizler 4 yıldır yüksek pua… https://t.co/XzF8PZSy6V</t>
  </si>
  <si>
    <t>1466837000942755844</t>
  </si>
  <si>
    <t>1466836756452491270</t>
  </si>
  <si>
    <t>@drfahrettinkoca Kılavuz nerede #drfahrettinkoca  #FKOyalamaKılavuzuYayınla</t>
  </si>
  <si>
    <t>1466836749343145988</t>
  </si>
  <si>
    <t>@drfahrettinkoca Kilavuz nerde kilavuz</t>
  </si>
  <si>
    <t>1466836443469393924</t>
  </si>
  <si>
    <t>@drfahrettinkoca Dik durmak sözünde durmak size bayi hatırlatıyor sayın bakanım</t>
  </si>
  <si>
    <t>1466835942371733505</t>
  </si>
  <si>
    <t>@drfahrettinkoca Wolf hirch-horn kromozom bozukluğu % 98 bedenzihinsel engelli çocuğumuz var. Kromozom bozukluğunun… https://t.co/G1hmG6APsz</t>
  </si>
  <si>
    <t>1466835763933421568</t>
  </si>
  <si>
    <t>@drfahrettinkoca Pozitif ayrımcılık istemiyoruz hakkımız olan kadroyu istiyoruz yüz binlerce sağlıkçı alımı yapıldı… https://t.co/Jlb0kurzDn</t>
  </si>
  <si>
    <t>1466835668408090627</t>
  </si>
  <si>
    <t>@drfahrettinkoca https://t.co/9PHqyKqzIx https://t.co/IS5SriVMEy https://t.co/IhJsMFICD6 https://t.co/sSb2I0QBeP… https://t.co/kmkJT6FRFj</t>
  </si>
  <si>
    <t>1466835554218225677</t>
  </si>
  <si>
    <t>@drfahrettinkoca Atama olacakmı</t>
  </si>
  <si>
    <t>1466835351624953865</t>
  </si>
  <si>
    <t>@drfahrettinkoca Let’s join the military and......</t>
  </si>
  <si>
    <t>1466835279541686273</t>
  </si>
  <si>
    <t>@drfahrettinkoca Hasta alt bezi farkı 780 TL olmuş SGK 300 TL ödüyor.bu mu pozitif ayrımcılık</t>
  </si>
  <si>
    <t>1466835212520857600</t>
  </si>
  <si>
    <t>@drfahrettinkoca Bir de görev yapmayi engelleyen haller var ,Dünkü video mesela başkasının yerine yine utandım</t>
  </si>
  <si>
    <t>1466835163812438020</t>
  </si>
  <si>
    <t>1466835018068680717</t>
  </si>
  <si>
    <t>@drfahrettinkoca 13 aydir bekliyoruz. Atama olacakmı</t>
  </si>
  <si>
    <t>1466834826510708741</t>
  </si>
  <si>
    <t>@drfahrettinkoca Sma hastası bebeklere çok haksızlık yaptınız bakanım neden tüm kriteri kaldirmadimiz kampanyası ol… https://t.co/2lylMhE9t8</t>
  </si>
  <si>
    <t>1466834331784130561</t>
  </si>
  <si>
    <t>@drfahrettinkoca Bir senemizi karartiniz 2021 de bitirdik verdiğiniz söz hani nerde klavuz bitirdiniz bizi bitirdin… https://t.co/fNshHEHbqq</t>
  </si>
  <si>
    <t>1466834158219583494</t>
  </si>
  <si>
    <t>@drfahrettinkoca Hiç gündemi üstünüze alınmıyorsunuz sayın bakanım #FKOyalamaKılavuzuYayınla</t>
  </si>
  <si>
    <t>1466834101726498817</t>
  </si>
  <si>
    <t>@drfahrettinkoca Kılavuzu bekliyoruz #FKOyalamaKılavuzuYayınla</t>
  </si>
  <si>
    <t>1466833973091389448</t>
  </si>
  <si>
    <t>@drfahrettinkoca Bir engelli olarak sizden ricam, bu postun hayata geçirilerek engelliler başta olmak üzere tüm sağ… https://t.co/nuvRyVxq1L</t>
  </si>
  <si>
    <t>1466833850282254336</t>
  </si>
  <si>
    <t>@drfahrettinkoca Efendiniz bugün size yemek yeme tuvalete gitme izninizi verdi mi</t>
  </si>
  <si>
    <t>1466833831164583939</t>
  </si>
  <si>
    <t>@drfahrettinkoca Smali bebekler ölüyor ❗❗❗ https://t.co/GVdiifq5Q7</t>
  </si>
  <si>
    <t>1466833727183626244</t>
  </si>
  <si>
    <t>@drfahrettinkoca Engelliler sadece engelli günündeki hatırlanıyo...</t>
  </si>
  <si>
    <t>1466833531817107462</t>
  </si>
  <si>
    <t>@drfahrettinkoca Türkiye'nin önündeki en büyük ENGEL SİZSİNİZ..</t>
  </si>
  <si>
    <t>1466833427534172163</t>
  </si>
  <si>
    <t>@drfahrettinkoca Sayin Bakanim İnsanlarin engelli kalmasinda bebekken yapilan sivilarin yan etkileri nelerdir</t>
  </si>
  <si>
    <t>1466833424036081668</t>
  </si>
  <si>
    <t>@drfahrettinkoca Sağlıkçı bir yıldır kılavuz bekliyor</t>
  </si>
  <si>
    <t>1466833295732269061</t>
  </si>
  <si>
    <t>1466833250547081218</t>
  </si>
  <si>
    <t>1466833232054337543</t>
  </si>
  <si>
    <t>1466833205210845197</t>
  </si>
  <si>
    <t>1466833180057653250</t>
  </si>
  <si>
    <t>@drfahrettinkoca Lan aq engellisi okula kapatsa a</t>
  </si>
  <si>
    <t>1466832726611349509</t>
  </si>
  <si>
    <t>@drfahrettinkoca Sn Bakanım ben engelli bir sağlık çalışanıyım. ünvan değişikliği bizim için zor oluyor. biz pandem… https://t.co/6bZfAtyIPq</t>
  </si>
  <si>
    <t>1466832623922302981</t>
  </si>
  <si>
    <t>@drfahrettinkoca COVİD KARANLIĞI BU DELİLLER ORTAYA ÇIKMADAN BİTMEYECEK!  Özellikle Ak Partili hiçbir milletvekili… https://t.co/MzDSUOTN7J</t>
  </si>
  <si>
    <t>1466832384482062337</t>
  </si>
  <si>
    <t>@drfahrettinkoca Adem nesli ile alay ederek bize içinde bulunduğumuz sonu hazırlıyorlar.   Kendilerinden o kadar em… https://t.co/TUJBvQvQSW</t>
  </si>
  <si>
    <t>1466832365913874434</t>
  </si>
  <si>
    <t>@drfahrettinkoca Kılavuz kılavuz Kılavuz kılavuz Kılavuz kılavuz Kılavuz kılavuz Kılavuz kılavuz Kılavuz kılavuz Kı… https://t.co/tTTATismrR</t>
  </si>
  <si>
    <t>1466832248142012423</t>
  </si>
  <si>
    <t>@drfahrettinkoca Bakanım her şey tamamsa neyi bekliyoruz nedir bu atama bekleyenlerin çektiği çile yetmez mi artık!!! @drfahrettinkoca</t>
  </si>
  <si>
    <t>1466832081837862916</t>
  </si>
  <si>
    <t>@drfahrettinkoca Bos bos konusma bakan! Ne oldugunu cumle alem gordu!!!</t>
  </si>
  <si>
    <t>1466831862685474822</t>
  </si>
  <si>
    <t>@drfahrettinkoca Vicdanınız sağır olmuş yazık #FKOyalamaKılavuzuYayınla</t>
  </si>
  <si>
    <t>1466831794037309445</t>
  </si>
  <si>
    <t>@drfahrettinkoca Önümüzde hafta da kılavuz gelmez ise 2022 e kalıyor  Yeter artık oyalama bitsin kılavuz gelsin… https://t.co/BzWOUJOyql</t>
  </si>
  <si>
    <t>1466831767734788098</t>
  </si>
  <si>
    <t>1466831511030747147</t>
  </si>
  <si>
    <t>@drfahrettinkoca “Çok uzamayacak “ @drfahrettinkoca #FKOyalamaKılavuzuYayınla https://t.co/nNamwfQsuv</t>
  </si>
  <si>
    <t>1466831474099953665</t>
  </si>
  <si>
    <t>1466831400808636420</t>
  </si>
  <si>
    <t>@drfahrettinkoca Bu yazdıklarınıza o kadar çelişiyorsunuz ki,çünkü kendimden biliyorum ne size nede hükümetinize ha… https://t.co/lMmNcBEpqM</t>
  </si>
  <si>
    <t>1466831388842369029</t>
  </si>
  <si>
    <t>1466831310484295688</t>
  </si>
  <si>
    <t>1466831271968096266</t>
  </si>
  <si>
    <t>@drfahrettinkoca Ahh bakanım bir de siz görseniz bizi, duysanız sesimizi @drfahrettinkoca  @gozdekirisciogl… https://t.co/34Y6sAFHsi</t>
  </si>
  <si>
    <t>1466831250216427522</t>
  </si>
  <si>
    <t>@drfahrettinkoca bir tweet de bizim için atar mısınız  #FKOyalamaKılavuzuYayınla</t>
  </si>
  <si>
    <t>1466831241991364612</t>
  </si>
  <si>
    <t>@drfahrettinkoca Kilavuzla ilgili açıklama,  bakanım ..</t>
  </si>
  <si>
    <t>1466831176883224583</t>
  </si>
  <si>
    <t>@drfahrettinkoca 367 gündür atama bekliyoruz. Ben daha ne diyim ki? @drfahrettinkoca #FKOyalamaKılavuzuYayınla</t>
  </si>
  <si>
    <t>1466831155181801487</t>
  </si>
  <si>
    <t>@drfahrettinkoca Psikolojimizle artık oynamayın  @drfahrettinkoca  #FkOyalamaKılavuzuYayınla</t>
  </si>
  <si>
    <t>1466831126610300929</t>
  </si>
  <si>
    <t>@drfahrettinkoca Klavuzun açıklamasını bekliyoruz sn. Bakanim . . .</t>
  </si>
  <si>
    <t>1466831125486133257</t>
  </si>
  <si>
    <t>@drfahrettinkoca Bakanim açıklama yapın kılavuz</t>
  </si>
  <si>
    <t>1466831118825668609</t>
  </si>
  <si>
    <t>@drfahrettinkoca Yav yeter yeter Allah aşkına ağlamaktan gözümde yaş kalmadı yeterrrrrrr klavuzu ver ACİL TİP TEKNİ… https://t.co/UP5FT64jqU</t>
  </si>
  <si>
    <t>1466831112567758850</t>
  </si>
  <si>
    <t>@drfahrettinkoca Bir yandan atama bekliyoruz bir yandan atanmış meslektaşlarımızın  haksızlıklara, şiddete, mobinge… https://t.co/ijIbsszFoH</t>
  </si>
  <si>
    <t>1466831105689104394</t>
  </si>
  <si>
    <t>@drfahrettinkoca Bir yandan atama bekliyoruz bir yandan atanmış meslektaşlarımızın  haksızlıklara, şiddete, mobinge… https://t.co/nFHneGFF9w</t>
  </si>
  <si>
    <t>1466831056313671692</t>
  </si>
  <si>
    <t>@drfahrettinkoca Bakaim Allah aşkına kılavuz gelsin bugün</t>
  </si>
  <si>
    <t>1466831053402914820</t>
  </si>
  <si>
    <t>@drfahrettinkoca Kilavuz Allah aşkına</t>
  </si>
  <si>
    <t>1466831019944910853</t>
  </si>
  <si>
    <t>1466830981852282880</t>
  </si>
  <si>
    <t>@drfahrettinkoca Bize her ay yeni bir söz verip sessizliğe çekiliyorsunuz algı var atama yok bizler eğitimini ve ya… https://t.co/yeHXFa53Xa</t>
  </si>
  <si>
    <t>1466830979096530951</t>
  </si>
  <si>
    <t>@drfahrettinkoca Allah aşkına bizi görün artık kilavuzz</t>
  </si>
  <si>
    <t>1466830951879745544</t>
  </si>
  <si>
    <t>@drfahrettinkoca Sayın bakanım Kasım ayı içerisnde branşlar gelcek atama olacak demiştiniz yine geçiştiriliyoruz sağlıkçılar olarak</t>
  </si>
  <si>
    <t>1466830708228435968</t>
  </si>
  <si>
    <t>@drfahrettinkoca #FKOyalamaKılavuzuYayınla</t>
  </si>
  <si>
    <t>1466830660816060420</t>
  </si>
  <si>
    <t>@drfahrettinkoca Yav yeter yeter Allah aşkına ağlamaktan gözümde yaş kalmadı yeterrrrrrr klavuzu ver ACİL TİP TEKNİ… https://t.co/pmSX5oYYJQ</t>
  </si>
  <si>
    <t>1466830615165165571</t>
  </si>
  <si>
    <t>@drfahrettinkoca Yav yeter yeter Allah aşkına ağlamaktan gözümde yaş kalmadı yeterrrrrrr klavuzu ver ACİL TİP TEKNİ… https://t.co/HOPdY5TcWZ</t>
  </si>
  <si>
    <t>1466830589705740292</t>
  </si>
  <si>
    <t>@drfahrettinkoca Yav yeter yeter Allah aşkına ağlamaktan gözümde yaş kalmadı yeterrrrrrr klavuzu ver ACİL TİP TEKNİ… https://t.co/fz1AcLgp1Y</t>
  </si>
  <si>
    <t>1466830375620071438</t>
  </si>
  <si>
    <t>@drfahrettinkoca Yav yeter yeter Allah aşkına ağlamaktan gözümde yaş kalmadı yeterrrrrrr klavuzu ver ACİL TİP TEKNİ… https://t.co/KvRW7GqCJ7</t>
  </si>
  <si>
    <t>1466830352920555527</t>
  </si>
  <si>
    <t>@drfahrettinkoca Yav yeter yeter Allah aşkına ağlamaktan gözümde yaş kalmadı yeterrrrrrr klavuzu ver ACİL TİP TEKNİ… https://t.co/edyCMvZtud</t>
  </si>
  <si>
    <t>1466830331433136131</t>
  </si>
  <si>
    <t>@drfahrettinkoca Yav yeter yeter Allah aşkına ağlamaktan gözümde yaş kalmadı yeterrrrrrr klavuzu ver ACİL TİP TEKNİ… https://t.co/zZ22vOSWXN</t>
  </si>
  <si>
    <t>1466830310948192269</t>
  </si>
  <si>
    <t>@drfahrettinkoca Yav yeter yeter Allah aşkına ağlamaktan gözümde yaş kalmadı yeterrrrrrr klavuzu ver ACİL TİP TEKNİ… https://t.co/TwmSgajyQJ</t>
  </si>
  <si>
    <t>1466830278299631618</t>
  </si>
  <si>
    <t>@drfahrettinkoca Yav yeter yeter Allah aşkına ağlamaktan gözümde yaş kalmadı yeterrrrrrr klavuzu ver ACİL TİP TEKNİ… https://t.co/tEnugNi8oB</t>
  </si>
  <si>
    <t>1466830251712000007</t>
  </si>
  <si>
    <t>@drfahrettinkoca Keşke MEB bakanı kadar çalışkan ve personelini düşünen bir bakan olabilseydiniz.</t>
  </si>
  <si>
    <t>1466830201401266185</t>
  </si>
  <si>
    <t>@drfahrettinkoca 2021 yılı sağlıkçının hali (Bilo-İlyas Salman) ektedir . #FKOyalamaKılavuzuYayınla https://t.co/LKYfaawKyK</t>
  </si>
  <si>
    <t>1466830068433489931</t>
  </si>
  <si>
    <t>@drfahrettinkoca Benim anlamadığım zaten sayıları belli olan bir alım hakkında neden susuyorsunuz? @drfahrettinkoca… https://t.co/zf4Rwk2P4B</t>
  </si>
  <si>
    <t>1466830044769267716</t>
  </si>
  <si>
    <t>@drfahrettinkoca Meslektaşlarımız daha ne kadar bekleyecek sayın bakanımız,  herkes şuan ikilemde kalmış üniversite… https://t.co/7b6BFBT355</t>
  </si>
  <si>
    <t>1466829999290425350</t>
  </si>
  <si>
    <t>@drfahrettinkoca Bizim bir kılavuz vardı</t>
  </si>
  <si>
    <t>1466829796617461760</t>
  </si>
  <si>
    <t>@drfahrettinkoca aman patrondan onay almadan konuşmayın, sonra çarpıyor valla</t>
  </si>
  <si>
    <t>1466829792339243010</t>
  </si>
  <si>
    <t>@drfahrettinkoca Hayret cümlenin sonunda aşı olun demediniz 😅</t>
  </si>
  <si>
    <t>1466829663645446150</t>
  </si>
  <si>
    <t>@drfahrettinkoca Değerli bakan ne pozitif ne negatif hiçbir ayrımcılık istemiyoruz sadece erişilebilirlik kriterler… https://t.co/RQVCaZe69W</t>
  </si>
  <si>
    <t>1466829602236608521</t>
  </si>
  <si>
    <t>@drfahrettinkoca Amacınız atama yapmayıp ne yapmak allah aşkına yeter ya bıktık  #FKOyalamaKılavuzuYayınla</t>
  </si>
  <si>
    <t>1466829525485072386</t>
  </si>
  <si>
    <t>@drfahrettinkoca Engelinin hakini aramak isteyeni darp etiren sağlık bakanı var</t>
  </si>
  <si>
    <t>1466829411295055875</t>
  </si>
  <si>
    <t>@drfahrettinkoca Kendi personelinin bütçe görüşmesine katılmayan bir bakanı da gördü gözlerimiz. Çok sağolun.</t>
  </si>
  <si>
    <t>1466829406668787719</t>
  </si>
  <si>
    <t>@drfahrettinkoca Neden ısrarla görmezden geliyorsunuz Biz kılavuzu istiyoruz. Bizi oyaladığınız yetmedimi  #FKOyalamaKılavuzuYayınla</t>
  </si>
  <si>
    <t>1466829332786069506</t>
  </si>
  <si>
    <t>@drfahrettinkoca Bakanım engelli sağlıkçıların atamaları ne olacak ? Yapılmayacak mi?</t>
  </si>
  <si>
    <t>1466829329673986051</t>
  </si>
  <si>
    <t>@drfahrettinkoca Klavuz felan beklemeyin gençler sizden alıp doktora verir bunlar  .bizi görmezden geldi hemşireleri hiçe saydı .</t>
  </si>
  <si>
    <t>1466829285205938178</t>
  </si>
  <si>
    <t>@drfahrettinkoca Sağlıkçılar kılavuz bekliyor</t>
  </si>
  <si>
    <t>1466829275911368708</t>
  </si>
  <si>
    <t>@drfahrettinkoca Çabuk kılavuzu yayınlayın sayın @drfahrettinkoca</t>
  </si>
  <si>
    <t>1466829237814448130</t>
  </si>
  <si>
    <t>@drfahrettinkoca Sağlıkçı kılavuz bekliyor</t>
  </si>
  <si>
    <t>1466829236195446787</t>
  </si>
  <si>
    <t>@drfahrettinkoca Sağlık kılavuz bekliyor</t>
  </si>
  <si>
    <t>1466829194206318594</t>
  </si>
  <si>
    <t>1466829149620903949</t>
  </si>
  <si>
    <t>@drfahrettinkoca Kılavuz..</t>
  </si>
  <si>
    <t>1466829122877988865</t>
  </si>
  <si>
    <t>1466829087440310273</t>
  </si>
  <si>
    <t>@drfahrettinkoca Kılavuzzz</t>
  </si>
  <si>
    <t>1466829059044823049</t>
  </si>
  <si>
    <t>1466829036664016904</t>
  </si>
  <si>
    <t>1466829015440838666</t>
  </si>
  <si>
    <t>@drfahrettinkoca https://t.co/LN5JksWQ4I</t>
  </si>
  <si>
    <t>1466828982582759425</t>
  </si>
  <si>
    <t>@drfahrettinkoca Atama bekleyen sağlıkçılar beklemekten yoruldu.  Koskoca BİR YIL atamasız geçti. Onay da alındı ha… https://t.co/VtJRMPyaJx</t>
  </si>
  <si>
    <t>1466828930221064199</t>
  </si>
  <si>
    <t>@drfahrettinkoca Her şeyi zorlaştırmakta üstünüze yok, yapmanız gerekeni tek seferde yapın artık. @drfahrettinkoca… https://t.co/zq8PhfsgfW</t>
  </si>
  <si>
    <t>1466828834767093763</t>
  </si>
  <si>
    <t>@drfahrettinkoca Eee kılavuz?</t>
  </si>
  <si>
    <t>1466828758724321286</t>
  </si>
  <si>
    <t>@drfahrettinkoca sizden izin almadan bişey dermiyim efendim siz izin vermezseniz konuşamam efendim</t>
  </si>
  <si>
    <t>1466828706660372483</t>
  </si>
  <si>
    <t>@drfahrettinkoca Koca bir yıl atamasız bitti kılavuzu neden yayınlamıyor sunuz? #FKOyalamaKılavuzuYayınla</t>
  </si>
  <si>
    <t>1466828699064578056</t>
  </si>
  <si>
    <t>@drfahrettinkoca Kılavuzu bekliyoruz söz verdiniz</t>
  </si>
  <si>
    <t>1466828656261705729</t>
  </si>
  <si>
    <t>@drfahrettinkoca 25 gündür neyi kararlaştıramadınız neyde uzlaşamadınız da bir yıldır bekleyen bunca genci hâlâ dah… https://t.co/L9Gek9sqPh</t>
  </si>
  <si>
    <t>1466828646417637386</t>
  </si>
  <si>
    <t>@drfahrettinkoca Atamaaaaaaaaa bekliyoruz</t>
  </si>
  <si>
    <t>1466828603728015363</t>
  </si>
  <si>
    <t>@drfahrettinkoca ALS icin bir hastanemiz olsa sayın bakanım.</t>
  </si>
  <si>
    <t>1466828580353159178</t>
  </si>
  <si>
    <t>@drfahrettinkoca Her şeyi zorlaştırmakta üstünüze yok, yapmanız gerekeni tek seferde yapın artık. @drfahrettinkoca… https://t.co/0dhTLtLQbl</t>
  </si>
  <si>
    <t>1466828533326569472</t>
  </si>
  <si>
    <t>1466828532575879182</t>
  </si>
  <si>
    <t>@drfahrettinkoca ÖĞRENCİLERİN HAYATINI YOK EDİYORSUNUZ</t>
  </si>
  <si>
    <t>1466828526968098821</t>
  </si>
  <si>
    <t>@drfahrettinkoca https://t.co/JyJ7Sl8HgV</t>
  </si>
  <si>
    <t>1466828523847442435</t>
  </si>
  <si>
    <t>@drfahrettinkoca BAKANIM BUNLARI BİZDE ÖNEMSİYORUZ BİZDE BİLİYORUZ AMA SİZ NEDEN BİZİ GÖRMEZDEN GELİYORSUNUZ BUNU A… https://t.co/MN3nfLwzzq</t>
  </si>
  <si>
    <t>1466828500191563782</t>
  </si>
  <si>
    <t>@drfahrettinkoca #FKOyalamaKılavuzuYayınla BIKTIK USANDIK @gozdekirisciogl</t>
  </si>
  <si>
    <t>1466828483619958787</t>
  </si>
  <si>
    <t>@drfahrettinkoca ATAMA @drfahrettinkoca  @kilicdarogluk @meral_aksener @alibabacan @herkesicinCHP @MHP_Bilgi… https://t.co/JbwbWcePaQ</t>
  </si>
  <si>
    <t>1466828480994238465</t>
  </si>
  <si>
    <t>@drfahrettinkoca TÜM AVRUPA KAPANMAYA GİDERKEN EKONOMİ UĞRUNA CANINI HİÇE SAYDIĞINIZ ÖĞRENCİLERİ DE GÖRÜRSÜNÜZ UMARIM</t>
  </si>
  <si>
    <t>1466828456222724099</t>
  </si>
  <si>
    <t>@drfahrettinkoca https://t.co/5qXKRmHGaD</t>
  </si>
  <si>
    <t>1466828453836165123</t>
  </si>
  <si>
    <t>@drfahrettinkoca DİYETİSYENLERE ÇOK SAYIDA ATAMA BEKLİYORUZ SAYİN BAKANİM 90 üstü puanla ACİKTALAR</t>
  </si>
  <si>
    <t>1466828449117577216</t>
  </si>
  <si>
    <t>@drfahrettinkoca Her şeyi zorlaştırmakta üstünüze yok, yapmanız gerekeni tek seferde yapın artık. @drfahrettinkoca… https://t.co/LojNyIKJm2</t>
  </si>
  <si>
    <t>1466828424216031237</t>
  </si>
  <si>
    <t>@drfahrettinkoca https://t.co/53X5mfxbHy</t>
  </si>
  <si>
    <t>1466828413507887106</t>
  </si>
  <si>
    <t>@drfahrettinkoca Biz bekliyoruz siz de açıklama yapın #FKOyalamaKılavuzuYayınla</t>
  </si>
  <si>
    <t>1466828411926634497</t>
  </si>
  <si>
    <t>@drfahrettinkoca https://t.co/DrSiyfioLG</t>
  </si>
  <si>
    <t>1466828376405155848</t>
  </si>
  <si>
    <t>@drfahrettinkoca Bahsedilen 30bin atamanın acil bir şekilde yapılması gerekir Sn. @drfahrettinkoca @RTErdogan… https://t.co/6hANrGLKnu</t>
  </si>
  <si>
    <t>1466828367580344329</t>
  </si>
  <si>
    <t>@drfahrettinkoca TÜKENDİK TÜKENDİK TÜKENDİK TÜKENDİKÜKENDİK TÜKENDİK TÜKENDİK TÜKENDİKÜKENDİK TÜKENDİK TÜKENDİK TÜK… https://t.co/hYMIMSJKFr</t>
  </si>
  <si>
    <t>1466828364354924546</t>
  </si>
  <si>
    <t>@drfahrettinkoca ATAMAAAA @drfahrettinkoca  @kilicdarogluk @meral_aksener @alibabacan @herkesicinCHP @MHP_Bilgi… https://t.co/Yf1DlKfvDS</t>
  </si>
  <si>
    <t>1466828363042074624</t>
  </si>
  <si>
    <t>@drfahrettinkoca 740 bin sağlıkçı görmezden geliniyor.          Yazık  #FKOyalamaKılavuzuYayınla https://t.co/MnEbnqig2y</t>
  </si>
  <si>
    <t>1466828323959545874</t>
  </si>
  <si>
    <t>@drfahrettinkoca Bıktık klavuz gelsin #FKOyalamaKılavuzuYayınla</t>
  </si>
  <si>
    <t>1466828304242118662</t>
  </si>
  <si>
    <t>@drfahrettinkoca Atama bekleyen binlerce sağlıkçıya gözünüzü kulağınızı kapamayı bırakın artık bir koca yıl oldu bi… https://t.co/DnuRtgSecR</t>
  </si>
  <si>
    <t>1466828299510984712</t>
  </si>
  <si>
    <t>@drfahrettinkoca Bizde sonunda Atama duasına çıkacaz gibi ne diyorsunuz bu duruma ? @drfahrettinkoca… https://t.co/mxLUgwXman</t>
  </si>
  <si>
    <t>1466828299133403136</t>
  </si>
  <si>
    <t>@drfahrettinkoca DİYETİSYENLERE ÇOK SAYIDA ATAMA BEKLİYORUZ SAYİN BAKANİM</t>
  </si>
  <si>
    <t>1466828292590350350</t>
  </si>
  <si>
    <t>@drfahrettinkoca Bakanım Ne yaptınız bize ne yaptınız ahhhhhhhhhh😢😭😭😭 @drfahrettinkoca  #FKOyalamaKılavuzuYayınla https://t.co/JZInhbpfU4</t>
  </si>
  <si>
    <t>1466828276224204806</t>
  </si>
  <si>
    <t>@drfahrettinkoca Psikolojik olarak kendimi bu kadar kötü hissettiğim başka hiç bir dönem olmadı. Sağlık çalışanı ol… https://t.co/Ap3r4F0hm0</t>
  </si>
  <si>
    <t>1466828249254838280</t>
  </si>
  <si>
    <t>@drfahrettinkoca KLAVUZ İSTİYORUZ SAYİN BAKANİM</t>
  </si>
  <si>
    <t>1466828247220600835</t>
  </si>
  <si>
    <t>@drfahrettinkoca “Ah Milena… Bugün yağmur göz kapaklarıma yağıyor.”  Demiş Franz Kafka  Bizim 13 aydır yağıyor o ya… https://t.co/otieOdgmzT</t>
  </si>
  <si>
    <t>1466828220456652801</t>
  </si>
  <si>
    <t>@drfahrettinkoca Sn cb @RTErdogan 40 bin müjdesini verdiniz tarih vermediniz biz beklemek istemiyoruz #FKOyalamaKılavuzuYayınla</t>
  </si>
  <si>
    <t>1466828212605005824</t>
  </si>
  <si>
    <t>@drfahrettinkoca Tahminen ne zaman atama bekleyenler için bi twit gelir bakanım #FKOyalamaKılavuzuYayınla</t>
  </si>
  <si>
    <t>1466828203423584257</t>
  </si>
  <si>
    <t>1466828202932846604</t>
  </si>
  <si>
    <t>1466828183190351878</t>
  </si>
  <si>
    <t>@drfahrettinkoca KILAVUZ KILAVUZ KILAVUZ KILAVUZ KILAVUZ KILAVUZ KILAVUZ KILAVUZ KILAVUZ KILAVUZ KILAVUZ KILAVUZ KI… https://t.co/rjiyq36fvG</t>
  </si>
  <si>
    <t>1466828174541705223</t>
  </si>
  <si>
    <t>@drfahrettinkoca allah aşkına artık bizi görmezden gelmeyin. Ne olursunuz artık şu atama bekleyen sağlıkçıları görü… https://t.co/eaTJHydlmi</t>
  </si>
  <si>
    <t>1466828172343889930</t>
  </si>
  <si>
    <t>@drfahrettinkoca 1 ay oldu alım açıklaması hala klavuz yok, branş dağılımı yok, dalga mı geçiyosunuz ? #FKOyalamaKılavuzuYayınla</t>
  </si>
  <si>
    <t>1466828170368372742</t>
  </si>
  <si>
    <t>@drfahrettinkoca Sermaye ve rant için insanların hayatlarını kararttınız  İnsanların sesine kulak verin önce yaptığ… https://t.co/LWEfpbU2Qk</t>
  </si>
  <si>
    <t>1466828158045507587</t>
  </si>
  <si>
    <t>@drfahrettinkoca 2021 yılı sağlıkçının hali (Bilo-İlyas Salman) ektedir . #FKOyalamaKılavuzuYayınla https://t.co/2OGpRDXH16</t>
  </si>
  <si>
    <t>1466828114785353734</t>
  </si>
  <si>
    <t>@drfahrettinkoca Sabrımız kalmadı daha fazla kılavuz gelsin bir an önce @drfahrettinkoca</t>
  </si>
  <si>
    <t>1466828075413520387</t>
  </si>
  <si>
    <t>@drfahrettinkoca Birkaç ve Müjde kelimelerinden nefret ettim.. @kilicdarogluk @meral_aksener @alibabacan… https://t.co/MK6tZ9dy6Y</t>
  </si>
  <si>
    <t>1466828069692485639</t>
  </si>
  <si>
    <t>1466828055985463306</t>
  </si>
  <si>
    <t>@drfahrettinkoca Sayın @drfahrettinkoca doğru! Engelli olmak kusur değil ama pozitif ayrımcılık yapmayı beceremeyen… https://t.co/yf7FlijJMf</t>
  </si>
  <si>
    <t>1466828049597575168</t>
  </si>
  <si>
    <t>@drfahrettinkoca ÖĞRENCİLER ÖLMEK İSTEMİYOR ONLİNE EĞİTİM İSTİYOR</t>
  </si>
  <si>
    <t>1466827968584593413</t>
  </si>
  <si>
    <t>@drfahrettinkoca KILAVUZ KILAVUZ KILAVUZ KILAVUZ KILAVUZ KILAVUZ KILAVUZ KILAVUZ KILAVUZ KILAVUZ KILAVUZ KILAVUZ KI… https://t.co/Sl61YMODk1</t>
  </si>
  <si>
    <t>1466827967036858369</t>
  </si>
  <si>
    <t>@drfahrettinkoca KILAVUZ KILAVUZ KILAVUZ KILAVUZ KILAVUZ KILAVUZ KILAVUZ KILAVUZ KILAVUZ KILAVUZ KILAVUZ KILAVUZ KI… https://t.co/dBRA1G5TSz</t>
  </si>
  <si>
    <t>1466827930449940482</t>
  </si>
  <si>
    <t>@drfahrettinkoca KILAVUZ KILAVUZ KILAVUZ KILAVUZ KILAVUZ KILAVUZ KILAVUZ KILAVUZ KILAVUZ KILAVUZ KILAVUZ KILAVUZ KI… https://t.co/FZnro8FMqZ</t>
  </si>
  <si>
    <t>1466827917195988992</t>
  </si>
  <si>
    <t>@drfahrettinkoca @drfahrettinkoca @ismgovtr @sagliklicozum @MedicalParkHG 03.11. 21bugün randevu alarak  Bahçelievl… https://t.co/U5CI4IC3xc</t>
  </si>
  <si>
    <t>1466827899722420233</t>
  </si>
  <si>
    <t>@drfahrettinkoca KILAVUZ KILAVUZ KILAVUZ KILAVUZ KILAVUZ KILAVUZ KILAVUZ KILAVUZ KILAVUZ KILAVUZ KILAVUZ KILAVUZ KI… https://t.co/HJokXIdfTx</t>
  </si>
  <si>
    <t>1466827889421258761</t>
  </si>
  <si>
    <t>@drfahrettinkoca Yıl bitiyor sayın bakanım yetmedi mi bu bekleyiş @drfahrettinkoca #FKOyalamaKılavuzuYayınla</t>
  </si>
  <si>
    <t>1466827870513377296</t>
  </si>
  <si>
    <t>@drfahrettinkoca KILAVUZ KILAVUZ KILAVUZ KILAVUZ KILAVUZ KILAVUZ KILAVUZ KILAVUZ KILAVUZ KILAVUZ KILAVUZ KILAVUZ KI… https://t.co/dr5e7iaD2v</t>
  </si>
  <si>
    <t>1466827854491099144</t>
  </si>
  <si>
    <t>@drfahrettinkoca KILAVUZ KILAVUZ KILAVUZ KILAVUZ KILAVUZ KILAVUZ KILAVUZ KILAVUZ KILAVUZ KILAVUZ KILAVUZ KILAVUZ KI… https://t.co/Pqyk1eSkWK</t>
  </si>
  <si>
    <t>1466827826267623428</t>
  </si>
  <si>
    <t>@drfahrettinkoca Artık klavuz gelsin @gozdekirisciogl #FKOyalamaKılavuzuYayınla</t>
  </si>
  <si>
    <t>1466827806751531014</t>
  </si>
  <si>
    <t>1466827775386558474</t>
  </si>
  <si>
    <t>1466827717043703823</t>
  </si>
  <si>
    <t>@drfahrettinkoca ÖĞRENCİLERİN VE AİLELERİNİN HAYATINI RİSKE ATMAKTAN BAŞKA R ŞEY YAPMIYORSUNUZ</t>
  </si>
  <si>
    <t>1466827714988490761</t>
  </si>
  <si>
    <t>@drfahrettinkoca https://t.co/ceV3L5BosL</t>
  </si>
  <si>
    <t>1466827711360421893</t>
  </si>
  <si>
    <t>@drfahrettinkoca KILAVUZ KILAVUZ KILAVUZ KILAVUZ KILAVUZ KILAVUZ KILAVUZ KILAVUZ KILAVUZ KILAVUZ KILAVUZ KILAVUZ KI… https://t.co/hJeHnR6sJx</t>
  </si>
  <si>
    <t>1466827709359738882</t>
  </si>
  <si>
    <t>@drfahrettinkoca Kılavuz bekliyoruz   #FKOyalamaKılavuzuYayınla</t>
  </si>
  <si>
    <t>1466827706838958085</t>
  </si>
  <si>
    <t>@drfahrettinkoca Klavuzu açıklamıycaksanız da bilelim #FKOyalamaKılavuzuYayınla @gozdekirisciogl</t>
  </si>
  <si>
    <t>1466827700513947659</t>
  </si>
  <si>
    <t>@drfahrettinkoca Klavuzuu yayınlayın beklemekten ölecez artık</t>
  </si>
  <si>
    <t>1466827682050711556</t>
  </si>
  <si>
    <t>@drfahrettinkoca KILAVUZ KILAVUZ KILAVUZ KILAVUZ KILAVUZ KILAVUZ KILAVUZ KILAVUZ KILAVUZ KILAVUZ KILAVUZ KILAVUZ KI… https://t.co/LXC71ZAE0f</t>
  </si>
  <si>
    <t>1466827664187170816</t>
  </si>
  <si>
    <t>@drfahrettinkoca KILAVUZ KILAVUZ KILAVUZ KILAVUZ KILAVUZ KILAVUZ KILAVUZ KILAVUZ KILAVUZ KILAVUZ KILAVUZ KILAVUZ KI… https://t.co/1qhzsGELSx</t>
  </si>
  <si>
    <t>1466827633912692741</t>
  </si>
  <si>
    <t>@drfahrettinkoca 740 bin Sağlıkçı Yok Sayılamaz Sayın Bakanım Artık Bizlerde Kılavuz Bekliyoruz.… https://t.co/ogUwznIGrF</t>
  </si>
  <si>
    <t>1466827621480775682</t>
  </si>
  <si>
    <t>@drfahrettinkoca KILAVUZ KILAVUZ KILAVUZ KILAVUZ KILAVUZ KILAVUZ KILAVUZ KILAVUZ KILAVUZ KILAVUZ KILAVUZ KILAVUZ KI… https://t.co/iyHHb1HbhD</t>
  </si>
  <si>
    <t>1466827606431514636</t>
  </si>
  <si>
    <t>@drfahrettinkoca Görmezlikten geldiğiniz her an bu bebek ölüyor. Bakın, duyurun çıkmayan sesi olun  maddi manevi si… https://t.co/ZKPyTeJ25T</t>
  </si>
  <si>
    <t>1466827587691417603</t>
  </si>
  <si>
    <t>@drfahrettinkoca Bu bekleyiş artık son bulsun</t>
  </si>
  <si>
    <t>1466827584130461699</t>
  </si>
  <si>
    <t>@drfahrettinkoca Otizmli cocuklar için hastanelerde özel bölümler açarsınız belki o zaman birlikte var olabiliriz.… https://t.co/wKddIm7mYH</t>
  </si>
  <si>
    <t>1466827583090221061</t>
  </si>
  <si>
    <t>@drfahrettinkoca KILAVUZ KILAVUZ KILAVUZ KILAVUZ KILAVUZ KILAVUZ KILAVUZ KILAVUZ KILAVUZ KILAVUZ KILAVUZ KILAVUZ KI… https://t.co/YzAcGDH375</t>
  </si>
  <si>
    <t>1466827574890356738</t>
  </si>
  <si>
    <t>@drfahrettinkoca Atanmak için klavuz gelsin #FKOyalamaKılavuzuYayınla</t>
  </si>
  <si>
    <t>1466827551398109193</t>
  </si>
  <si>
    <t>@drfahrettinkoca Bir sorum olacak Sayın İstatistik Bakanı; aşıya bağlı yan etki ile kaç kişi engelli oldu?  Teşekkürler...</t>
  </si>
  <si>
    <t>1466827512122589190</t>
  </si>
  <si>
    <t>@drfahrettinkoca Favipiravir yüzünden ölenler için açıklaman niye yokk</t>
  </si>
  <si>
    <t>1466827506300985347</t>
  </si>
  <si>
    <t>@drfahrettinkoca Kabakulak Aşısı: 39 yıl, 711 yan etki   Tetanoz Aşısı: 53 yıl, 15.085 yan etki   Hepatit B Aşısı:… https://t.co/7SJSXYlISV</t>
  </si>
  <si>
    <t>1466827499942391812</t>
  </si>
  <si>
    <t>@drfahrettinkoca Klavuzu açıkla artk #FKOyalamaKılavuzuYayınla</t>
  </si>
  <si>
    <t>1466827461128294401</t>
  </si>
  <si>
    <t>@drfahrettinkoca atama   #FKOyalamaKılavuzuYayınla</t>
  </si>
  <si>
    <t>1466827441104642058</t>
  </si>
  <si>
    <t>@drfahrettinkoca Evet bakanım sıra kılavuzda artık aciklasaniz diykrum</t>
  </si>
  <si>
    <t>1466827419415887880</t>
  </si>
  <si>
    <t>@drfahrettinkoca Bukadar kişiyi görmezden gelmek bu kadar söz verip tutmamak ne yapmaya çalışılıyor anlamiyorz #FKOyalamaKılavuzuYayınla</t>
  </si>
  <si>
    <t>1466827412948365314</t>
  </si>
  <si>
    <t>@drfahrettinkoca Kılavuz istiyoruz #FKOyalamaKılavuzuYayınla</t>
  </si>
  <si>
    <t>1466827383193878530</t>
  </si>
  <si>
    <t>1466827361324830738</t>
  </si>
  <si>
    <t>@drfahrettinkoca Sayenizde biz de engelli olduk. Alış veriş engelli, pazara çıkma engelli, kombi açma engelli, çalı… https://t.co/JSzqRfIuxp</t>
  </si>
  <si>
    <t>1466827338512048135</t>
  </si>
  <si>
    <t>@drfahrettinkoca Kendimizi mi yakalım napalim ne istiyorsun Fahrettin k. #FKOyalamaKılavuzuYayınla</t>
  </si>
  <si>
    <t>1466827315250409482</t>
  </si>
  <si>
    <t>@drfahrettinkoca Kılavuz bakanım..</t>
  </si>
  <si>
    <t>1466827233142710276</t>
  </si>
  <si>
    <t>@drfahrettinkoca @morlangic Sene bitmeden, daha fazla zaman geçmeden atama yapın artık @drfahrettinkoca #FKOyalamaKılavuzuYayınla</t>
  </si>
  <si>
    <t>1466827198267105280</t>
  </si>
  <si>
    <t>@drfahrettinkoca KI-LA-VUZ</t>
  </si>
  <si>
    <t>1466827192655130626</t>
  </si>
  <si>
    <t>@drfahrettinkoca Ne idüğü belirsiz aşılarla ölü ve engelli sayısını artırdığın için yargılanacaksın @drfahrettinkoca</t>
  </si>
  <si>
    <t>1466827185076023304</t>
  </si>
  <si>
    <t>@drfahrettinkoca Kılavuz istiyoruz siz hala neyi bekliyorsunuz</t>
  </si>
  <si>
    <t>1466827184711032838</t>
  </si>
  <si>
    <t>@drfahrettinkoca Klavuz #FKocaYeterUmutAsıladığın</t>
  </si>
  <si>
    <t>1466827180927770628</t>
  </si>
  <si>
    <t>@drfahrettinkoca Bakanım siz bize naptınız bakanımmm</t>
  </si>
  <si>
    <t>1466827158182113283</t>
  </si>
  <si>
    <t>@drfahrettinkoca Bizi neden görmüyorsunuz? @drfahrettinkoca  #FKOyalamaKılavuzuYayınla</t>
  </si>
  <si>
    <t>1466827152381382666</t>
  </si>
  <si>
    <t>@drfahrettinkoca Hani verdiğiniz sözler hani bizim umutlarımız?? @drfahrettinkoca  #FKOyalamaKılavuzuYayınla</t>
  </si>
  <si>
    <t>1466827149671813122</t>
  </si>
  <si>
    <t>@drfahrettinkoca Sağlıkçılar atama kılavuzunu bekliyor</t>
  </si>
  <si>
    <t>1466827147910201344</t>
  </si>
  <si>
    <t>@drfahrettinkoca Artık bahane değil sonuç istiyoruz @drfahrettinkoca #FKOyalamaKılavuzuYayınla</t>
  </si>
  <si>
    <t>1466827143070068741</t>
  </si>
  <si>
    <t>@drfahrettinkoca Bakanım Allah kimseyi olan biteni görmeyecek kadar engelli yapmasın #FKOyalamaKılavuzuYayınla</t>
  </si>
  <si>
    <t>1466827139194494979</t>
  </si>
  <si>
    <t>@drfahrettinkoca wezîrê min Mıngo Kılavuz Çıma Nây Tı Dıbeji Çi ?? Brez @drfahrettinkoca #FKOyalamaKılavuzuYayınla</t>
  </si>
  <si>
    <t>1466827103035437056</t>
  </si>
  <si>
    <t>1466827089592606723</t>
  </si>
  <si>
    <t>@drfahrettinkoca Bir açıklama yapın lütfen ya kılavuz ne zaman gelecek</t>
  </si>
  <si>
    <t>1466827089009643524</t>
  </si>
  <si>
    <t>@drfahrettinkoca Haberlere baksanız her gün atanıyoruz ama aslında biz 1 senedir hiç atanmadık! @drfahrettinkoca… https://t.co/Kg8Mjl98iN</t>
  </si>
  <si>
    <t>1466827079345913859</t>
  </si>
  <si>
    <t>@drfahrettinkoca Sağlıkçılar müjdesi verilen ama yapılmayan atamanın kılavuzunu bekliyor</t>
  </si>
  <si>
    <t>1466827062308749323</t>
  </si>
  <si>
    <t>@drfahrettinkoca Psikolojik olarak mahvoldum atamaya dair hiçbir ümidim kalmadı oturup tekrar KPSS çalışacak gücüm… https://t.co/K13YoDhesg</t>
  </si>
  <si>
    <t>1466827059414589447</t>
  </si>
  <si>
    <t>@drfahrettinkoca Teşekkür ederiz Sayın Bakanım</t>
  </si>
  <si>
    <t>1466827027802210313</t>
  </si>
  <si>
    <t>@drfahrettinkoca Bizi de siz engelliyorsunuz sayın bakan</t>
  </si>
  <si>
    <t>1466826992968519680</t>
  </si>
  <si>
    <t>@drfahrettinkoca Bakanım yüzümüzü güldürün artık lütfen #FkOyalamaKılavuzuYayınla</t>
  </si>
  <si>
    <t>1466826991257198595</t>
  </si>
  <si>
    <t>@drfahrettinkoca Felçli insanın zamana karşı yarışı vardır ilk 6 ayda Max ilerleme için  Özel çocukların zamana kar… https://t.co/9BBUkrDJsj</t>
  </si>
  <si>
    <t>1466826980440121346</t>
  </si>
  <si>
    <t>@drfahrettinkoca Açıklama istiyoruz bakanım</t>
  </si>
  <si>
    <t>1466826971174817797</t>
  </si>
  <si>
    <t>@drfahrettinkoca Sağlık çalışanı denilince akla  sadece doktor ve hemşire geliyor ;  Radyoloji - Paramedik - Aneste… https://t.co/8xQ32GdcDN</t>
  </si>
  <si>
    <t>1466826959573471238</t>
  </si>
  <si>
    <t>@drfahrettinkoca https://t.co/VEoGH4i4vT</t>
  </si>
  <si>
    <t>1466826956406763544</t>
  </si>
  <si>
    <t>@drfahrettinkoca Bakanım atama kılavuzunu bekliyoruz</t>
  </si>
  <si>
    <t>1466826953999200265</t>
  </si>
  <si>
    <t>1466826953772740608</t>
  </si>
  <si>
    <t>@drfahrettinkoca Hastalarımız aylarca sıra beklememesi ve hasta memnuniyeti olması için Fizyoterapist ataması istiy… https://t.co/P1kudjASdN</t>
  </si>
  <si>
    <t>1466826951872729093</t>
  </si>
  <si>
    <t>@drfahrettinkoca Bakanım Risdiplam kullanıma alınacak mı?</t>
  </si>
  <si>
    <t>1466826924165156866</t>
  </si>
  <si>
    <t>@drfahrettinkoca Bakanım Lütfen Artık Kılavuz Twiti Gelsin</t>
  </si>
  <si>
    <t>1466826903411646467</t>
  </si>
  <si>
    <t>@drfahrettinkoca bakanım nilaya yardımcı olalım https://t.co/Orisnztf0V</t>
  </si>
  <si>
    <t>1466826894880485376</t>
  </si>
  <si>
    <t>@drfahrettinkoca Fahrettin bey DUYMAYACAK MİSİNİZ sözünüzde DURMAYACAK MİSİNİZ  #FKOyalamaKılavuzuYayınla</t>
  </si>
  <si>
    <t>1466826861254692874</t>
  </si>
  <si>
    <t>@drfahrettinkoca ,Fizyoterapistlere adil dağılım bekliyoruz sayın @drfahrettinkoca @RTErdogan https://t.co/tatz2U0ZR6</t>
  </si>
  <si>
    <t>1466826860290060296</t>
  </si>
  <si>
    <t>1466826852627103750</t>
  </si>
  <si>
    <t>@drfahrettinkoca KILAVUZU BEKLİYORUZ #FkOyalamaKılavuzuYayınla</t>
  </si>
  <si>
    <t>1466826849636519948</t>
  </si>
  <si>
    <t>@drfahrettinkoca Engellinin degersiz olduğu tek ülke</t>
  </si>
  <si>
    <t>1466826846679490563</t>
  </si>
  <si>
    <t>@drfahrettinkoca Hersey hakkında atınız bi atama hakinda atmadınız</t>
  </si>
  <si>
    <t>1466826845668712448</t>
  </si>
  <si>
    <t>1466826843940605953</t>
  </si>
  <si>
    <t>@drfahrettinkoca Kılavuz nerde sayın Fahrettin bakanım</t>
  </si>
  <si>
    <t>1466826842774675463</t>
  </si>
  <si>
    <t>@drfahrettinkoca Allah aşkına ata bizi artık bakanım ya</t>
  </si>
  <si>
    <t>1466826798889586690</t>
  </si>
  <si>
    <t>@drfahrettinkoca Bakanım bizim bi kılavuz vardı</t>
  </si>
  <si>
    <t>1466826796159094784</t>
  </si>
  <si>
    <t>1466826785195188227</t>
  </si>
  <si>
    <t>@drfahrettinkoca Ne hasta bekler sabahı,  Ne taze ölüyü mezar. Ne de şeytan, bir günahı Bizim kılavuzu beklediğimiz kadar.. @drfahrettinkoca</t>
  </si>
  <si>
    <t>1466826779755167747</t>
  </si>
  <si>
    <t>@drfahrettinkoca Kılavuz istiyoruz lütfen rica ediyoruz sizden  #FKOyalamaKılavuzuYayınla</t>
  </si>
  <si>
    <t>1466826762571104259</t>
  </si>
  <si>
    <t>@drfahrettinkoca Bakanım klavuz lütfen 🙏</t>
  </si>
  <si>
    <t>1466826745764589568</t>
  </si>
  <si>
    <t>@drfahrettinkoca ..AŞI Olmamış mı idi Rahmetli çok değerli Güldal Akşit Bakanımız.?.. AŞI Olmuş ise aşı etkisiz mi kaldı.?</t>
  </si>
  <si>
    <t>1467624957022773249</t>
  </si>
  <si>
    <t>@drfahrettinkoca hocam Allah rızası için öğretmen kardeşlerimize verilen kadro neden sözleşmeli sağlık çalışanların… https://t.co/2VTaluUwuI</t>
  </si>
  <si>
    <t>1467599933255651330</t>
  </si>
  <si>
    <t>@drfahrettinkoca Allah rahmet eylesin. Mekani cennet olsun</t>
  </si>
  <si>
    <t>1468696191575678978</t>
  </si>
  <si>
    <t>@drfahrettinkoca Bugün hesabıma yıllık giyim yardımı adı altında 26 TL yatırılmış bakanım. Bu konuda biraz bizi aydınlatır mısınız?</t>
  </si>
  <si>
    <t>1467174563700260879</t>
  </si>
  <si>
    <t>@drfahrettinkoca Merhaba hocam ben şaniurfa li Mehmet ben 20 yıl önce trafik kazası geçirdim bana penil protez takt… https://t.co/DTWTNd8c3m</t>
  </si>
  <si>
    <t>1466911531581456384</t>
  </si>
  <si>
    <t>@drfahrettinkoca Yakinen tanidigim çok sevdiğim ablam gibiydi mekanı cennet olsun</t>
  </si>
  <si>
    <t>1466903871343767560</t>
  </si>
  <si>
    <t>@drfahrettinkoca Yakında istifa mektubu nu hazırla</t>
  </si>
  <si>
    <t>1466893475723554817</t>
  </si>
  <si>
    <t>@drfahrettinkoca https://t.co/ma0jbJEHwO  "La Casa de Papel" #TCMB #AcilÖnlemAl #ÖğretmeneŞartsızZam… https://t.co/K6YNQI6gut</t>
  </si>
  <si>
    <t>1466892573784653824</t>
  </si>
  <si>
    <t>@drfahrettinkoca 60 yaş üstü olduğuna göre kaç doz almıştı uğur un muhteşem sıvısından</t>
  </si>
  <si>
    <t>1466890314350829575</t>
  </si>
  <si>
    <t>@drfahrettinkoca @OguzKagan_66 Katil kim acaba.?</t>
  </si>
  <si>
    <t>1466889097268510721</t>
  </si>
  <si>
    <t>@drfahrettinkoca Atama hariç her şeyle ilgileniyorsun.pesss</t>
  </si>
  <si>
    <t>1466884511883571204</t>
  </si>
  <si>
    <t>@drfahrettinkoca Aşı yaptırmışmıydı</t>
  </si>
  <si>
    <t>1466883849766543370</t>
  </si>
  <si>
    <t>@drfahrettinkoca Hani aşınız koruyordu? Gürdal ablanızı da grafen oksitli sıvılarla öldürdünüz. İnsanları grafenli… https://t.co/ZozGU8c6YP</t>
  </si>
  <si>
    <t>1466881897615790085</t>
  </si>
  <si>
    <t>@drfahrettinkoca Sizden izin almadan wcye gidermiyim efendim :)) simit sataydin da bu hale dusmeyeydin hey gidi kos… https://t.co/UIXG4Ty4Au</t>
  </si>
  <si>
    <t>1466876929794101255</t>
  </si>
  <si>
    <t>@drfahrettinkoca Allah rahmet eylesin ... 🙏🙏🙏</t>
  </si>
  <si>
    <t>1466872430744453127</t>
  </si>
  <si>
    <t>@drfahrettinkoca Coronadan mı vefat etmiş?  Keşke aşı karşıtlarına kulak asmayıp 2 doz aşısını yaptırsaydı. Ah keşke...</t>
  </si>
  <si>
    <t>1466868846346874880</t>
  </si>
  <si>
    <t>@drfahrettinkoca Aşısız olsaydı üstüne basa basa koronadan öldüğünü söylerdiniz. Ama aşılı olunca ölüm sebebine hiç değinmiyorsunuz bile.</t>
  </si>
  <si>
    <t>1466863880563568641</t>
  </si>
  <si>
    <t>@drfahrettinkoca #BilimKuruluÖğrencilerOnlineİstiyor  Türkiye'ye varyant girdi sayın Fahrettin bey açıklama yapın.… https://t.co/c2bM4H56Ib</t>
  </si>
  <si>
    <t>1466863181909966848</t>
  </si>
  <si>
    <t>@drfahrettinkoca Hakkımız olanı istiyoruz sadaka değil @drfahrettinkoca istifa</t>
  </si>
  <si>
    <t>1466862758683680772</t>
  </si>
  <si>
    <t>@drfahrettinkoca Allah rahmet eylesin.mekanı cennet olsun nurla dolsun guldal hanımın yakınlarına sabırlar dilerim</t>
  </si>
  <si>
    <t>1466862466785234946</t>
  </si>
  <si>
    <t>@drfahrettinkoca 🤲🤲🤲🤲🤲</t>
  </si>
  <si>
    <t>1466861536190865408</t>
  </si>
  <si>
    <t>@drfahrettinkoca Rahmetli sen 2 doz sıvı ol, sonrada kovidden öl. Kutsal sıvın bir b. ka yaramıyor değil mi?</t>
  </si>
  <si>
    <t>1466860833221357569</t>
  </si>
  <si>
    <t>1466857821828521988</t>
  </si>
  <si>
    <t>@drfahrettinkoca sayın bakanım bakan hanım corondan rahmetli olmuş basında öyle cıkıyo allah rahmet eylesin ablamız aşi olmamışmıydı</t>
  </si>
  <si>
    <t>1466855877034627072</t>
  </si>
  <si>
    <t>@drfahrettinkoca Ya yemin ederim herşeyin tweetini attınız bir biz atama bekleyen sağlıkçılar için açıklama tweet'i… https://t.co/3mpGIbKyQ3</t>
  </si>
  <si>
    <t>1466855359851737088</t>
  </si>
  <si>
    <t>@drfahrettinkoca Reisten izin aldınmı?</t>
  </si>
  <si>
    <t>1466852880107900938</t>
  </si>
  <si>
    <t>@drfahrettinkoca Hatırlatma aşısını oldumuydu?</t>
  </si>
  <si>
    <t>1466851982623313928</t>
  </si>
  <si>
    <t>@drfahrettinkoca 2023 te sizlere gerçekten ama gerçekten annem babam dahi size oy verenin Allah belasını versin inşallah 🙏🏼</t>
  </si>
  <si>
    <t>1466850557046501389</t>
  </si>
  <si>
    <t>@drfahrettinkoca Meslektaşlarımız daha ne kadar bekleyecek sayın bakanımız,  herkes şuan ikilemde kalmış üniversite… https://t.co/Iqtm1nPgWz</t>
  </si>
  <si>
    <t>1466849998964932611</t>
  </si>
  <si>
    <t>@drfahrettinkoca Hayallerimizle oynuyorsunuz aylardır sözler verip tutmuyorsunuz bekletmeleriniz sessiz kalmalarını… https://t.co/pU6JrUSkZF</t>
  </si>
  <si>
    <t>1466849929150795788</t>
  </si>
  <si>
    <t>@drfahrettinkoca Dava derken</t>
  </si>
  <si>
    <t>1466849333660340225</t>
  </si>
  <si>
    <t>@drfahrettinkoca Tüm sağlıkçıların size olan güvenini de kaybettiniz tebrikler</t>
  </si>
  <si>
    <t>1466848733149249542</t>
  </si>
  <si>
    <t>@drfahrettinkoca Aşılarını olmamış diye afişe olmadığına göre aşılarını yaptırmış değil mi sn.bakan?  Allah rahmet eylesin.</t>
  </si>
  <si>
    <t>1466848687364218888</t>
  </si>
  <si>
    <t>@drfahrettinkoca Covid-19 dan ölmüş. diyorlar yok sa aşı olmadı mı. aşı olsaydı kesin ölmez di. Sayın… https://t.co/ZRPB6uE8aw</t>
  </si>
  <si>
    <t>1466847504704618498</t>
  </si>
  <si>
    <t>@drfahrettinkoca https://t.co/aWrrG2muWB</t>
  </si>
  <si>
    <t>1466847194359676931</t>
  </si>
  <si>
    <t>@drfahrettinkoca Klavuzu bekliyor bir an önce gelsin istiyoruz sayin bakanim</t>
  </si>
  <si>
    <t>1466844465251946497</t>
  </si>
  <si>
    <t>@drfahrettinkoca Bakanım sağlığa klavuzz??</t>
  </si>
  <si>
    <t>1466843306202210310</t>
  </si>
  <si>
    <t>@drfahrettinkoca Yani ölümlü bir dünyada yaşıyormusuz,  gelip geçici kısacık ömrümüzde   makam ve görevimizin gereğ… https://t.co/hA37OS3VmM</t>
  </si>
  <si>
    <t>1466839336310218761</t>
  </si>
  <si>
    <t>@drfahrettinkoca Aşılarını eksikmi olmuş</t>
  </si>
  <si>
    <t>1466838842330300416</t>
  </si>
  <si>
    <t>@drfahrettinkoca Kısacası aşıdan gitti desene</t>
  </si>
  <si>
    <t>1466838798432673795</t>
  </si>
  <si>
    <t>@drfahrettinkoca Covit döneminde bittik tükendik, o dönemde atamada yapmadınız, günlerdir sesimizi duymuyorsunuz. T… https://t.co/N8qZKZT4sr</t>
  </si>
  <si>
    <t>1466837677618212867</t>
  </si>
  <si>
    <t>1466835697545928708</t>
  </si>
  <si>
    <t>@drfahrettinkoca Ôfke patlası yaşıyorum anana avradına bacına öpücük yolluyorum bol bol</t>
  </si>
  <si>
    <t>1466835362475610113</t>
  </si>
  <si>
    <t>@drfahrettinkoca Valla niye yalan soyleyeyim , yazini okumaya basladigim an sandimki bakanlik gorevinden affinizi i… https://t.co/rzgCnyZHID</t>
  </si>
  <si>
    <t>1466835255143411722</t>
  </si>
  <si>
    <t>@drfahrettinkoca Kostümleriniz ormanlara atılmış oyunlarınız bozuldu tiyatronuz son buldu böylece.</t>
  </si>
  <si>
    <t>1466834910690398210</t>
  </si>
  <si>
    <t>@drfahrettinkoca Sayenizde bizde ruh saglimizi kaybettik klavuz nerde gelsin artk @drfahrettinkoca @gozdekirisciogl… https://t.co/wJgYyKfSep</t>
  </si>
  <si>
    <t>1466834522234933256</t>
  </si>
  <si>
    <t>@drfahrettinkoca https://t.co/cfJgpvsttV</t>
  </si>
  <si>
    <t>1466834377359466497</t>
  </si>
  <si>
    <t>@drfahrettinkoca https://t.co/WuOv7yiIiN</t>
  </si>
  <si>
    <t>1466834322195894275</t>
  </si>
  <si>
    <t>@drfahrettinkoca Ölüm bakanı bak plandemi oyuncuların kostümleri ormana saklamış https://t.co/fYFxr9nxA5</t>
  </si>
  <si>
    <t>1466834234371452928</t>
  </si>
  <si>
    <t>@drfahrettinkoca aşılardan vefat ettiği  haberi var  siz bir açıklama yapacakmısınız  sayın bakamayan ??</t>
  </si>
  <si>
    <t>1466833525047451649</t>
  </si>
  <si>
    <t>@drfahrettinkoca Bizde adalete olan inancımızı kaybettik (hekim dışı sağlık personelleri )</t>
  </si>
  <si>
    <t>1466832653831839745</t>
  </si>
  <si>
    <t>@drfahrettinkoca Ötekilestirildigimize mi yanalım, 40 bin sözü verip 30 bin memur olmasına mı , yoksa o sözün 1 ayd… https://t.co/GEME4um5dF</t>
  </si>
  <si>
    <t>1466832462047330305</t>
  </si>
  <si>
    <t>@drfahrettinkoca Rahmetli Güldal Hanım kaç doz aşılıydı? 3 mü 4 mü?   Allah rahmet eylesin, mekânı cennet olsun inşallah 🤲🏻</t>
  </si>
  <si>
    <t>1466831333120958466</t>
  </si>
  <si>
    <t>@drfahrettinkoca Darısı size</t>
  </si>
  <si>
    <t>1466829616467824643</t>
  </si>
  <si>
    <t>@drfahrettinkoca Doktorların özlük haklarını düzenleme yasasını nasıl geciktirirsin doktor bakan</t>
  </si>
  <si>
    <t>1466829281217105932</t>
  </si>
  <si>
    <t>@drfahrettinkoca İki doz aşılı ve coronadan ölmüş bununda söyleyelim bilmeyenler için</t>
  </si>
  <si>
    <t>1466828960399040522</t>
  </si>
  <si>
    <t>1466828750545473538</t>
  </si>
  <si>
    <t>@drfahrettinkoca Reisin bilgisi var mı</t>
  </si>
  <si>
    <t>1466828608098508809</t>
  </si>
  <si>
    <t>1466828419346407429</t>
  </si>
  <si>
    <t>1466828025664782344</t>
  </si>
  <si>
    <t>@drfahrettinkoca https://t.co/kmITAvnZ2w</t>
  </si>
  <si>
    <t>1466827829488848904</t>
  </si>
  <si>
    <t>@drfahrettinkoca #dogummagdurlari</t>
  </si>
  <si>
    <t>1466827663432204291</t>
  </si>
  <si>
    <t>@drfahrettinkoca Sayın bakanım biz sağlıkçılarda yaşayan ölü gibiyiz. Şayet bizi mereka ediyorsanız tabi. Artık şu… https://t.co/fVM4W7PcXj</t>
  </si>
  <si>
    <t>1466827335731191821</t>
  </si>
  <si>
    <t>@drfahrettinkoca Kılavuz hakkında da kesin bi bilgi verseniz keşke bütün tivitleri görüyorsunuz ama hala görmezden geliyorsunuz çok yazık.</t>
  </si>
  <si>
    <t>1466826706287738885</t>
  </si>
  <si>
    <t>1466826553153703940</t>
  </si>
  <si>
    <t>@drfahrettinkoca Amin. Kılavuza da rahmet okumanın zamanı geldi sanırım, 1 senedir ses yok</t>
  </si>
  <si>
    <t>1466826010779955201</t>
  </si>
  <si>
    <t>@drfahrettinkoca Bakanım herşey iyi hoş da bir bakanın gelişini tebrik ettiniz bir bakanın vefatına baş sağlığı dil… https://t.co/Gryqj0dZeM</t>
  </si>
  <si>
    <t>1466825828126314497</t>
  </si>
  <si>
    <t>@drfahrettinkoca Çok sevdiği(!) ablasının adını bile yanlış yazınca twiti silip yenisini yazmış.🤦🏻‍♀️  Söyle söyle… https://t.co/4LN1lWq558</t>
  </si>
  <si>
    <t>1466825532767707141</t>
  </si>
  <si>
    <t>@drfahrettinkoca #fahrettinkocaistifa bi sal bizi git tatil yap yaşlandın</t>
  </si>
  <si>
    <t>1466825420565794827</t>
  </si>
  <si>
    <t>@drfahrettinkoca 2-3 ay içinde atama yapacağız dediniz 6  ay oldu  40 bin sağlıkçı alacağız dediniz içinden 10 bin… https://t.co/0Xn2QBWcKj</t>
  </si>
  <si>
    <t>1466825396901625860</t>
  </si>
  <si>
    <t>@drfahrettinkoca 740 bin sağlıkçı görmezden geliniyor.          Yazıkkk  #FKOyalamaKılavuzuYayınla https://t.co/K7a5hFvgvW</t>
  </si>
  <si>
    <t>1466825279398100998</t>
  </si>
  <si>
    <t>@drfahrettinkoca 740 bin sağlıkçı görmezden geliniyor.          Yazık  #FKOyalamaKılavuzuYayınla https://t.co/K7a5hFvgvW</t>
  </si>
  <si>
    <t>1466825227086802959</t>
  </si>
  <si>
    <t>@drfahrettinkoca Her gün şehit haberi alıyoruz askerimden değerli değil rahat hayat yaşadı başı yastıkta oldu asker… https://t.co/cPcBSrllQe</t>
  </si>
  <si>
    <t>1466825197546258439</t>
  </si>
  <si>
    <t>@drfahrettinkoca Biz de bedenen olmasada ruhen öldük sayenizde. Bizim için de bir kılavuz yayınlarsınız artık aaaa… https://t.co/ATPifw9sHJ</t>
  </si>
  <si>
    <t>1466825156186329104</t>
  </si>
  <si>
    <t>@drfahrettinkoca Biz de bedenen olmasada ruhen öldük sayenizde. Bizim için de bir kılavuz yayınlarsınız artık aaaa… https://t.co/XMBN1fB4jz</t>
  </si>
  <si>
    <t>1466825110564880390</t>
  </si>
  <si>
    <t>@drfahrettinkoca Biz de bedenen olmasada ruhen öldük sayenizde. Bizim için de bir kılavuz yayınlarsınız artık aaaa… https://t.co/Hz4kL2aiRZ</t>
  </si>
  <si>
    <t>1466825063357988864</t>
  </si>
  <si>
    <t>@drfahrettinkoca Boşuna olmayın şu aşıları bi boka yaramıyor aşı falan istediğin kadar çok vurdur bak yine ölüyon</t>
  </si>
  <si>
    <t>1466824616404561935</t>
  </si>
  <si>
    <t>@drfahrettinkoca Ne zaman istifa edeceksiniz çok mu rahat o koltuk. Herşeyi görüyor duyuyor paylaşıyorsunuzda bir t… https://t.co/4IyZt85mwq</t>
  </si>
  <si>
    <t>1466824474297257989</t>
  </si>
  <si>
    <t>@drfahrettinkoca Aşılılar ölmüyordu hani ne oldu yoğun bakımda hep aşısızdı hani PALAVRA</t>
  </si>
  <si>
    <t>1466824356546457611</t>
  </si>
  <si>
    <t>@drfahrettinkoca En az 20 doz olursan ölmüyormuşsun 3 doz 5 doz yeterli değil her ay güncel aşıları vurdurman lazım… https://t.co/75X97bgcik</t>
  </si>
  <si>
    <t>1466824088459124739</t>
  </si>
  <si>
    <t>@drfahrettinkoca Aşılı mıydı?</t>
  </si>
  <si>
    <t>1466824082125635591</t>
  </si>
  <si>
    <t>@drfahrettinkoca Kaç doz aşılıydı?</t>
  </si>
  <si>
    <t>1466823977381335043</t>
  </si>
  <si>
    <t>@drfahrettinkoca Sayın bakanım @drfahrettinkoca çoğu kişi samimi olmasada dünya engelliler gününü kutladı ancak siz… https://t.co/aQ7hM95zYu</t>
  </si>
  <si>
    <t>1466823665069215745</t>
  </si>
  <si>
    <t>@drfahrettinkoca Hala güldal diyorsunuz binlerce sağlık personeli sinirden ölüyor günlerdir,bu yanlışlığı düzeltmek… https://t.co/PEUWTF5ISj</t>
  </si>
  <si>
    <t>1466823125161721857</t>
  </si>
  <si>
    <t>@drfahrettinkoca Aşısız olanlara covid 19 nedeni ile vefat etti yazarken aşılı olanlara neden covid 19 nedeniyle ve… https://t.co/5dagRtQxhj</t>
  </si>
  <si>
    <t>1466822808172994563</t>
  </si>
  <si>
    <t>@drfahrettinkoca 13 aydir atama bekliyoruz.</t>
  </si>
  <si>
    <t>1466822752552247296</t>
  </si>
  <si>
    <t>@drfahrettinkoca Bildiğim kadarıyla iki doz aşılı idi.....</t>
  </si>
  <si>
    <t>1466822607559438341</t>
  </si>
  <si>
    <t>@drfahrettinkoca Herkes sussa biz SUSAMAYIZ SUSMAYACAĞIZ... #FKOyalamaKılavuzuYayınla https://t.co/OUjwTXDFWE</t>
  </si>
  <si>
    <t>1466822381289283590</t>
  </si>
  <si>
    <t>@drfahrettinkoca Sevgili cumhurbaşkanınızdan izin alabilmeyi başardınız mı? Kılavuzu yayınlayacak mısınız? #FKOyalamaKılavuzuYayınla</t>
  </si>
  <si>
    <t>1466822230835355651</t>
  </si>
  <si>
    <t>@drfahrettinkoca Sayın Bakanım görmezden geleceğinize çıkın bir şey söyleyin ama kesin bir şey söyleyin.… https://t.co/qmEjI7QyrI</t>
  </si>
  <si>
    <t>1466821901733486595</t>
  </si>
  <si>
    <t>@drfahrettinkoca Sağlıkçılar harici herşey hakkında konuşuyorsunuz sayın bakanım.</t>
  </si>
  <si>
    <t>1466821641661562894</t>
  </si>
  <si>
    <t>@drfahrettinkoca Allah rahmet eylesin mekan cennet olsun.  Sizin Twit eksik olmuş,tamamlayalım  ✔Koronadan vefat etti ve tam doz  a$ılıydı.</t>
  </si>
  <si>
    <t>1466821375805513736</t>
  </si>
  <si>
    <t>@drfahrettinkoca 12 aydır bekliyoruz kılavuz istiyoruz @drfahrettinkoca  @RTErdogan  #FKOyalamaKılavuzuYayınla</t>
  </si>
  <si>
    <t>1466821306859589633</t>
  </si>
  <si>
    <t>@drfahrettinkoca https://t.co/JHHQNZ7nn6</t>
  </si>
  <si>
    <t>1466821206049533955</t>
  </si>
  <si>
    <t>@drfahrettinkoca KILAVUZ KILAVUZ KILAVUZ KILAVUZ KILAVUZ KILAVUZ KILAVUZ KILAVUZ KILAVUZ KILAVUZ KILAVUZ KILAVUZ KI… https://t.co/cebSxGeNdk</t>
  </si>
  <si>
    <t>1466821138923798532</t>
  </si>
  <si>
    <t>@drfahrettinkoca KILAVUZ KILAVUZ KILAVUZ KILAVUZ KILAVUZ KILAVUZ KILAVUZ KILAVUZ KILAVUZ KILAVUZ KILAVUZ KILAVUZ KI… https://t.co/lodlDCPi8q</t>
  </si>
  <si>
    <t>1466821103922425858</t>
  </si>
  <si>
    <t>@drfahrettinkoca KILAVUZ KILAVUZ KILAVUZ KILAVUZ KILAVUZ KILAVUZ KILAVUZ KILAVUZ KILAVUZ KILAVUZ KILAVUZ KILAVUZ KI… https://t.co/bivoCMVYAC</t>
  </si>
  <si>
    <t>1466821077594742792</t>
  </si>
  <si>
    <t>@drfahrettinkoca KILAVUZ KILAVUZ KILAVUZ KILAVUZ KILAVUZ KILAVUZ KILAVUZ KILAVUZ KILAVUZ KILAVUZ KILAVUZ KILAVUZ KI… https://t.co/9DLRQ9TG0o</t>
  </si>
  <si>
    <t>1466821048905699341</t>
  </si>
  <si>
    <t>@drfahrettinkoca KILAVUZ KILAVUZ KILAVUZ KILAVUZ KILAVUZ KILAVUZ KILAVUZ KILAVUZ KILAVUZ KILAVUZ KILAVUZ KILAVUZ KI… https://t.co/RVg9drM0F8</t>
  </si>
  <si>
    <t>1466821021705674753</t>
  </si>
  <si>
    <t>@drfahrettinkoca KILAVUZ KILAVUZ KILAVUZ KILAVUZ KILAVUZ KILAVUZ KILAVUZ KILAVUZ KILAVUZ KILAVUZ KILAVUZ KILAVUZ KI… https://t.co/9pMlEyuOkf</t>
  </si>
  <si>
    <t>1466820995214364674</t>
  </si>
  <si>
    <t>@drfahrettinkoca KILAVUZ KILAVUZ KILAVUZ KILAVUZ KILAVUZ KILAVUZ KILAVUZ KILAVUZ KILAVUZ KILAVUZ KILAVUZ KILAVUZ KI… https://t.co/3y1QsWbRwo</t>
  </si>
  <si>
    <t>1466820972502212616</t>
  </si>
  <si>
    <t>@drfahrettinkoca KILAVUZ KILAVUZ KILAVUZ KILAVUZ KILAVUZ KILAVUZ KILAVUZ KILAVUZ KILAVUZ KILAVUZ KILAVUZ KILAVUZ KI… https://t.co/CNXnvTRRRf</t>
  </si>
  <si>
    <t>1466820945767768068</t>
  </si>
  <si>
    <t>@drfahrettinkoca KILAVUZ KILAVUZ KILAVUZ KILAVUZ KILAVUZ KILAVUZ KILAVUZ KILAVUZ KILAVUZ KILAVUZ KILAVUZ KILAVUZ KI… https://t.co/J8MS7Ccq9v</t>
  </si>
  <si>
    <t>1466820884493217798</t>
  </si>
  <si>
    <t>@drfahrettinkoca KILAVUZ KILAVUZ KILAVUZ KILAVUZ KILAVUZ KILAVUZ KILAVUZ KILAVUZ KILAVUZ KILAVUZ KILAVUZ KILAVUZ KI… https://t.co/kyCuJ47Mdh</t>
  </si>
  <si>
    <t>1466820850586374150</t>
  </si>
  <si>
    <t>@drfahrettinkoca KILAVUZ KILAVUZ KILAVUZ KILAVUZ KILAVUZ KILAVUZ KILAVUZ KILAVUZ KILAVUZ KILAVUZ KILAVUZ KILAVUZ KI… https://t.co/bSBSWdPe3X</t>
  </si>
  <si>
    <t>1466820825710006275</t>
  </si>
  <si>
    <t>@drfahrettinkoca KILAVUZ KILAVUZ KILAVUZ KILAVUZ KILAVUZ KILAVUZ KILAVUZ KILAVUZ KILAVUZ KILAVUZ KILAVUZ KILAVUZ KI… https://t.co/J91ZN3X6H3</t>
  </si>
  <si>
    <t>1466820796777734150</t>
  </si>
  <si>
    <t>@drfahrettinkoca KILAVUZ KILAVUZ KILAVUZ KILAVUZ KILAVUZ KILAVUZ KILAVUZ KILAVUZ KILAVUZ KILAVUZ KILAVUZ KILAVUZ KI… https://t.co/VE9QFkLC7Q</t>
  </si>
  <si>
    <t>1466820768961122306</t>
  </si>
  <si>
    <t>@drfahrettinkoca KILAVUZ KILAVUZ KILAVUZ KILAVUZ KILAVUZ KILAVUZ KILAVUZ KILAVUZ KILAVUZ KILAVUZ KILAVUZ KILAVUZ KI… https://t.co/iFJFsBBo3p</t>
  </si>
  <si>
    <t>1466820741991743489</t>
  </si>
  <si>
    <t>@drfahrettinkoca KILAVUZ KILAVUZ KILAVUZ KILAVUZ KILAVUZ KILAVUZ KILAVUZ KILAVUZ KILAVUZ KILAVUZ KILAVUZ KILAVUZ KI… https://t.co/IOBUPXGZuC</t>
  </si>
  <si>
    <t>1466820710702145539</t>
  </si>
  <si>
    <t>@drfahrettinkoca Bekleyin bakalım, biz de beklemekteyiz! https://t.co/qa7VPeDTGU</t>
  </si>
  <si>
    <t>1466820704226136065</t>
  </si>
  <si>
    <t>@drfahrettinkoca Büyüklenen, iktidar üyeleri ve şahitlik  etmeyen hükümet tabanı, a.şı konusunda hainlerin  tuzağın… https://t.co/PfyWJbApiU</t>
  </si>
  <si>
    <t>1466820687994183688</t>
  </si>
  <si>
    <t>@drfahrettinkoca KILAVUZ KILAVUZ KILAVUZ KILAVUZ KILAVUZ KILAVUZ KILAVUZ KILAVUZ KILAVUZ KILAVUZ KILAVUZ KILAVUZ KI… https://t.co/L8t6p58w0L</t>
  </si>
  <si>
    <t>1466820686446575617</t>
  </si>
  <si>
    <t>@drfahrettinkoca AKLEDİN !  Hiçbir medya unsuru C19'u Rotschild'in ürettiği haberini yapmıyor. ( Belgeli )  Cimer'd… https://t.co/WPsdT7R3BS</t>
  </si>
  <si>
    <t>1466820668369088525</t>
  </si>
  <si>
    <t>@drfahrettinkoca Ne söyledi O?</t>
  </si>
  <si>
    <t>1466820534428180480</t>
  </si>
  <si>
    <t>@drfahrettinkoca Türkiye cumhuriyeti size artık güvenmiyor istifa etseniz keşke itibarınızın kaldıgını düşünmüyorum.</t>
  </si>
  <si>
    <t>1466820511552479239</t>
  </si>
  <si>
    <t>@drfahrettinkoca Eminim Siz bizden daha iyi biliyorsunuz sağlık camiasına ne kadar haksızlık edildiğini.  ne atama… https://t.co/VlL9WwEIa2</t>
  </si>
  <si>
    <t>1466820412923334664</t>
  </si>
  <si>
    <t>@drfahrettinkoca Sayın bakanımız kaç adet aşı olmustu acaba güldal hanım? Ona ragmen  mi covid den vefat etti? Keşk… https://t.co/HOSZolKFna</t>
  </si>
  <si>
    <t>1466820346364010511</t>
  </si>
  <si>
    <t>@drfahrettinkoca Yakında sizin ölünüzü kefenleyecek sağlıkçı bile bulamayacaksınız. Var olanlar şartlardan dolayı y… https://t.co/6O3JEKOITU</t>
  </si>
  <si>
    <t>1466820181909544961</t>
  </si>
  <si>
    <t>@drfahrettinkoca Hala depoyu temizleyememiş Ölüm ilaçlı vermeye devam ediyo Üstelik kendi ilaç şirketinden Bu herif… https://t.co/TNt4wKlx9t</t>
  </si>
  <si>
    <t>1466819893463072777</t>
  </si>
  <si>
    <t>@drfahrettinkoca 🌸🌸🌸KILAVUZ🌸🌸🌸KILAVUZ🌸🌸🌸KILAVUZ🌸🌸🌸KILAVUZ🌸🌸🌸KILAVUZ🌸🌸🌸KILAVUZ🌸🌸🌸KILAVUZ🌸🌸🌸KILAVUZ🌸🌸🌸🌸KILAVUZ🌸🌸🌸KILA… https://t.co/89mytqQro9</t>
  </si>
  <si>
    <t>1466819855156494348</t>
  </si>
  <si>
    <t>@drfahrettinkoca Guldal hanıma Allah rahmet etsin covitten öldü biz de ölmek istemiyoruz uzaktan eğitim şart!</t>
  </si>
  <si>
    <t>1466819683949109251</t>
  </si>
  <si>
    <t>@drfahrettinkoca Klavuzzzz !!!</t>
  </si>
  <si>
    <t>1466819435428253704</t>
  </si>
  <si>
    <t>@drfahrettinkoca ALLAH rahmet eylesin. Aşılı olup olmadığını "Hasta yakınlarının rızası olmadan paylaşmayacaksınız" değilmi?</t>
  </si>
  <si>
    <t>1466819397935316992</t>
  </si>
  <si>
    <t>@drfahrettinkoca Hergun atama haberi beklemekten,  Hergun tiwit atmaktan yorulduk ve yıprandık.  Artik görevimizi y… https://t.co/g6c7YBq9r6</t>
  </si>
  <si>
    <t>1466819314821091333</t>
  </si>
  <si>
    <t>@drfahrettinkoca Lütfen kılavuzu yayınlayın @drfahrettinkoca</t>
  </si>
  <si>
    <t>1466819238790938624</t>
  </si>
  <si>
    <t>@drfahrettinkoca Görmüyor musunuz onca kılavuz yazısını insanların ümitleri öldü bu da bı ölüm değil mi @drfahrettinkoca</t>
  </si>
  <si>
    <t>1466818987841441792</t>
  </si>
  <si>
    <t>@drfahrettinkoca Bu kadarına da pes doğrusu</t>
  </si>
  <si>
    <t>1466818987233353730</t>
  </si>
  <si>
    <t>@drfahrettinkoca Yakında bizde ölücez atamasızlıktan bizim içinde bir tweet atarsınız artık #FKOyalamaKılavuzuYayınla</t>
  </si>
  <si>
    <t>1466818799810797573</t>
  </si>
  <si>
    <t>@drfahrettinkoca Ateşi bol olsun</t>
  </si>
  <si>
    <t>1466818763496603649</t>
  </si>
  <si>
    <t>@drfahrettinkoca Kaç doz aşı olmuştu? Onu da söyleseniz sayın bakanım</t>
  </si>
  <si>
    <t>1466818610907815942</t>
  </si>
  <si>
    <t>@drfahrettinkoca Hadi kılavuzu yayınlayın hayatımızı güzelleştirin</t>
  </si>
  <si>
    <t>1466818541080956936</t>
  </si>
  <si>
    <t>1466818280547655685</t>
  </si>
  <si>
    <t>@drfahrettinkoca Öyle bir noktaya geldik ki her Tweet in altına atama, kılavuz ister olduk. Duyun sesimizi Sayın Koca...</t>
  </si>
  <si>
    <t>1466817682406260736</t>
  </si>
  <si>
    <t>@drfahrettinkoca Kılavuz lütfen</t>
  </si>
  <si>
    <t>1466817465560801280</t>
  </si>
  <si>
    <t>@drfahrettinkoca Asilari tammiydi acaba</t>
  </si>
  <si>
    <t>1466817450973044739</t>
  </si>
  <si>
    <t>1466817422720180232</t>
  </si>
  <si>
    <t>@drfahrettinkoca https://t.co/lASwt4bgP5 sonradan sıkıntı çıktı mı...</t>
  </si>
  <si>
    <t>1466817185033211906</t>
  </si>
  <si>
    <t>@drfahrettinkoca 800 bin sağlıkçı için atama twiti değil ölüm twiti atcaksiniz yakında   @drfahrettinkoca #FkOyalamaKılavuzuYayınla</t>
  </si>
  <si>
    <t>1466816581690966022</t>
  </si>
  <si>
    <t>@drfahrettinkoca Kılavuuuuzzz #FKOyalamaKılavuzuYayınla</t>
  </si>
  <si>
    <t>1466815922006597633</t>
  </si>
  <si>
    <t>@drfahrettinkoca Kılavuuuuzzz bakanım kılavuz #FKOyalamaKılavuzuYayınla</t>
  </si>
  <si>
    <t>1466815829148852233</t>
  </si>
  <si>
    <t>@drfahrettinkoca Allah rahmet etsin yakınlarına sabır versin. Kovit 19 dan entübe oldu vefat etti diyorlar ama acab… https://t.co/LLwMkxN4PO</t>
  </si>
  <si>
    <t>1466815715642597381</t>
  </si>
  <si>
    <t>@drfahrettinkoca Covid'den vefat ettiğini niye söylemiyorsunuz sayın bakan ya da aşılı olduğunu</t>
  </si>
  <si>
    <t>1466815663712972801</t>
  </si>
  <si>
    <t>@drfahrettinkoca BİZİM SABRIMIZI SINAMAYI BIRAKIN HAKKIMIZI VERİN SEÇİM VAR SANDIK VAR ADALET YOK. KILAVUZ NEREDE S… https://t.co/5u9vSlbcAK</t>
  </si>
  <si>
    <t>1466815648097579012</t>
  </si>
  <si>
    <t>@drfahrettinkoca Altı üstü bir açıklama yapın kurtulun.... KILAVUZ NEREDE? https://t.co/qbLxSFYq6v</t>
  </si>
  <si>
    <t>1466815479717236736</t>
  </si>
  <si>
    <t>@drfahrettinkoca Bahsedilen 30bin atamanın acil bir şekilde yapılması gerekir Sn. @drfahrettinkoca @RTErdogan… https://t.co/fGRRuxJsnN</t>
  </si>
  <si>
    <t>1466815472033275908</t>
  </si>
  <si>
    <t>@drfahrettinkoca 740 bin sağlıkçı görmezden geliniyor.          Yazık  #FKOyalamaKılavuzuYayınla https://t.co/wWGbv5FiTG</t>
  </si>
  <si>
    <t>1466815452739481612</t>
  </si>
  <si>
    <t>@drfahrettinkoca Bizde sonunda Atama duasına çıkacaz gibi ne diyorsunuz bu duruma ? @drfahrettinkoca… https://t.co/O8mwKBgHas</t>
  </si>
  <si>
    <t>1466815432069890048</t>
  </si>
  <si>
    <t>@drfahrettinkoca Nerden bakan oldun başımıza bilmiyorum ki ?? Ata bizi deriz atamazsın istifa et desek  Gidemiyorsu… https://t.co/i7pfiqJTni</t>
  </si>
  <si>
    <t>1466815393130033152</t>
  </si>
  <si>
    <t>@drfahrettinkoca bakanım öncelikle basınız sagolsun Allah rahmet eylesin ama eger biraz daha atama olmazsa ben de vefat edecegim</t>
  </si>
  <si>
    <t>1466815367146258432</t>
  </si>
  <si>
    <t>@drfahrettinkoca Acil yardım ve afet yönetimi lisansiyerleri için görev tanımı ve atama haberlerinizi bekliyoruz sayın bakanım</t>
  </si>
  <si>
    <t>1466814980402122756</t>
  </si>
  <si>
    <t>1466814850663911424</t>
  </si>
  <si>
    <t>@drfahrettinkoca Kılavuz diye diye mahfolduk</t>
  </si>
  <si>
    <t>1466814831797977104</t>
  </si>
  <si>
    <t>@drfahrettinkoca Allah aşkına kılavuz artık</t>
  </si>
  <si>
    <t>1466814762659061766</t>
  </si>
  <si>
    <t>1466814716559478786</t>
  </si>
  <si>
    <t>@drfahrettinkoca Ne dedi ne dedi neee deddiiii??</t>
  </si>
  <si>
    <t>1466814591107842053</t>
  </si>
  <si>
    <t>@drfahrettinkoca Sizi de videolardan izleyip acıyoruz.</t>
  </si>
  <si>
    <t>1466814582215921673</t>
  </si>
  <si>
    <t>@drfahrettinkoca Yazık yazık yazık yazık yazık hakkımı helal etmiyorum #FKOyalamaKılavuzuYayınla</t>
  </si>
  <si>
    <t>1466814564662759425</t>
  </si>
  <si>
    <t>@drfahrettinkoca #HemofiliSesiOl @vedatbilgn @cceylan58 @sgksosyalmedya https://t.co/6oBNxbUwAr</t>
  </si>
  <si>
    <t>1466814564067168264</t>
  </si>
  <si>
    <t>@drfahrettinkoca Kılavuzu yayınlayın artık lütfen @drfahrettinkoca</t>
  </si>
  <si>
    <t>1466814548589965314</t>
  </si>
  <si>
    <t>@drfahrettinkoca Atama bekleyenlere de baş sağlığı dileyin bizim de umutlarımız hayallerimiz öldü #FKOyalamaKılavuzuYayınla</t>
  </si>
  <si>
    <t>1466814545004048394</t>
  </si>
  <si>
    <t>@drfahrettinkoca Üfff sıktın iyice ya atama ile ilgili bisey demeyeceksen uzun tweetlerin sonunda atama yazacakmış… https://t.co/zTcgCs1mdw</t>
  </si>
  <si>
    <t>1466814495809056773</t>
  </si>
  <si>
    <t>@drfahrettinkoca #HemofiliSesiOl @vedatbilgn @cceylan58 @sgksosyalmedya https://t.co/aSVEIm3pBs</t>
  </si>
  <si>
    <t>1466814472618754048</t>
  </si>
  <si>
    <t>1466814349067096075</t>
  </si>
  <si>
    <t>@drfahrettinkoca İzin aldınız umarım</t>
  </si>
  <si>
    <t>1466814147346288646</t>
  </si>
  <si>
    <t>@drfahrettinkoca A A</t>
  </si>
  <si>
    <t>1466814012922945543</t>
  </si>
  <si>
    <t>@drfahrettinkoca Bizi bizi hekim dışındaki sağlık çalışanlarınızı unuttunuz mu? #FKOyalamaKılavuzuYayınla https://t.co/tBdK59jso3</t>
  </si>
  <si>
    <t>1466813988784820229</t>
  </si>
  <si>
    <t>@drfahrettinkoca Zaten alacağımız maaş doktor zammı kadar Atayın da bizi açlık sınırının altından açlık sınırına çe… https://t.co/U3qubEzvbL</t>
  </si>
  <si>
    <t>1466813984573698055</t>
  </si>
  <si>
    <t>@drfahrettinkoca Ne atamamız yapıldı Ne de hakkımız ödendi @drfahrettinkoca #FKOyalamaKılavuzuYayınla https://t.co/8IGWiKtbOx</t>
  </si>
  <si>
    <t>1466813742734323728</t>
  </si>
  <si>
    <t>@drfahrettinkoca Aşılıymış covidden gitmiş bizim ailelerimiz sizin yüzünüzden tehlikede  #BilimKuruluÖğrencilerOnlineİstiyor</t>
  </si>
  <si>
    <t>1466813694990553109</t>
  </si>
  <si>
    <t>@drfahrettinkoca Sizin bu başsağlığı twwetinize hiç dikkat ettiniz mi bilmiyorum bakan bey. İnsanlar verip veriştiriyor, ee haklılar elbet.</t>
  </si>
  <si>
    <t>1466813658210701316</t>
  </si>
  <si>
    <t>@drfahrettinkoca ALLAH rahmet eylesin mekanı cennet olsun inşallah</t>
  </si>
  <si>
    <t>1466813657006886922</t>
  </si>
  <si>
    <t>@drfahrettinkoca #onlineschoolforturkishstudents</t>
  </si>
  <si>
    <t>1466813553982283795</t>
  </si>
  <si>
    <t>@drfahrettinkoca Bahsedilen 30bin atamanın acil bir şekilde yapılması gerekir Sn. @drfahrettinkoca @RTErdogan… https://t.co/ZxJyuUnjmF</t>
  </si>
  <si>
    <t>1466813527163916288</t>
  </si>
  <si>
    <t>@drfahrettinkoca 740 bin sağlıkçı görmezden geliniyor.          Yazık  #FKOyalamaKılavuzuYayınla https://t.co/INp8bHi9YE</t>
  </si>
  <si>
    <t>1466813505307398156</t>
  </si>
  <si>
    <t>@drfahrettinkoca Bizde sonunda Atama duasına çıkacaz gibi ne diyorsunuz bu duruma ? @drfahrettinkoca… https://t.co/MgW9oU9q1L</t>
  </si>
  <si>
    <t>1466813482926489602</t>
  </si>
  <si>
    <t>@drfahrettinkoca Klavuz gelirmi sanmam</t>
  </si>
  <si>
    <t>1466813471291592714</t>
  </si>
  <si>
    <t>@drfahrettinkoca @drfahrettinkoca https://t.co/Lx59fGzP0y</t>
  </si>
  <si>
    <t>1466813427792363524</t>
  </si>
  <si>
    <t>@drfahrettinkoca Sizi görmediğimiz günlere dönelim ya baş sağlığı diliyorsunuz ya aşı ya varyant yada kapanma bitti… https://t.co/YDNZWF41Fj</t>
  </si>
  <si>
    <t>1466813404933500928</t>
  </si>
  <si>
    <t>@drfahrettinkoca Ya o degil de nasıl fırçaladı patronun seni</t>
  </si>
  <si>
    <t>1466813363388825608</t>
  </si>
  <si>
    <t>@drfahrettinkoca 😢</t>
  </si>
  <si>
    <t>1466813360335376395</t>
  </si>
  <si>
    <t>@drfahrettinkoca Ya Allah rızası için amacınızı öğrenelim de ona göre hareket edelim. Hiç birinizden ses çıkmıyor a… https://t.co/17BjaBk3NS</t>
  </si>
  <si>
    <t>1466813304219881480</t>
  </si>
  <si>
    <t>@drfahrettinkoca 12 aydır atama bekliyoruz @drfahrettinkoca bizi duyun</t>
  </si>
  <si>
    <t>1466813296951148547</t>
  </si>
  <si>
    <t>@drfahrettinkoca @drfahrettinkoca https://t.co/naJrVofZHw</t>
  </si>
  <si>
    <t>1466813228822974471</t>
  </si>
  <si>
    <t>@drfahrettinkoca edremit körfezine 1 anjio cihazı ve 1 kalpdamar cerrahı göndermezseniz Erdoğan'a"sizden habersiz c… https://t.co/fa1DMo8ca6</t>
  </si>
  <si>
    <t>1466813159386357767</t>
  </si>
  <si>
    <t>@drfahrettinkoca Odami çift doz aşıliydi  allah rahmet falan etmesin</t>
  </si>
  <si>
    <t>1466813093456003081</t>
  </si>
  <si>
    <t>1466813063500337160</t>
  </si>
  <si>
    <t>@drfahrettinkoca Bu kadar zor mu kılavuz yayınlamak @drfahrettinkoca #FKOyalamaKılavuzuYayınla</t>
  </si>
  <si>
    <t>1466813018113781771</t>
  </si>
  <si>
    <t>@drfahrettinkoca Bizde ölüyoruz hem de sizin yalanlarınız yüzünden OYALAMAYIN YOKSA OY ALAMAZSINIZ. KILAVUZ NEREDE?… https://t.co/D9H3TjNuOa</t>
  </si>
  <si>
    <t>1466812978083373056</t>
  </si>
  <si>
    <t>@drfahrettinkoca Yeter artık #FKOyalamaKılavuzuYayınla</t>
  </si>
  <si>
    <t>1466812807169679372</t>
  </si>
  <si>
    <t>@drfahrettinkoca Lütfen ama kılavuz ne zaman gelecek😢 #FKOyalamaKılavuzuYayınla https://t.co/ejFP6daDoq</t>
  </si>
  <si>
    <t>1466812703964639239</t>
  </si>
  <si>
    <t>@drfahrettinkoca Siz sürekli yeni varyantları müjdeler gibi verin Sayın Bakanım ama prosedürler gereği aşı yaptıram… https://t.co/ZgW0qSX24q</t>
  </si>
  <si>
    <t>1467564018466492418</t>
  </si>
  <si>
    <t>@drfahrettinkoca Asi savaşları son dönemeç ...</t>
  </si>
  <si>
    <t>1467552544448819204</t>
  </si>
  <si>
    <t>@drfahrettinkoca @saglikbakanligi Mhr'seden Devlet hastanelerinin Dahiliye bölümünden randevu almak mümkün değil.</t>
  </si>
  <si>
    <t>1467535149407559681</t>
  </si>
  <si>
    <t>1468286155770712064</t>
  </si>
  <si>
    <t>@drfahrettinkoca Gelsin her türlü önlem alındı sorun yok. https://t.co/zNfrMjf5FB</t>
  </si>
  <si>
    <t>1469777883879063567</t>
  </si>
  <si>
    <t>@drfahrettinkoca Bırakın bu safsataları ne varyant ne bu kölelik düzeni bitecek kendilerini ghepetto sizi pinokyo yaptılar uyanın efendiler</t>
  </si>
  <si>
    <t>1467244447419224070</t>
  </si>
  <si>
    <t>@drfahrettinkoca Sayin koca ameliyata girecek hastalara bu şart ne oluyor hertürlü tedaviye izin vermek ne oluyor… https://t.co/ABJO1w9YqG</t>
  </si>
  <si>
    <t>1467223604760829956</t>
  </si>
  <si>
    <t>@drfahrettinkoca Covid 19 çıktığı zamanda aynı şeyleri duymuştuk</t>
  </si>
  <si>
    <t>1467219684839903246</t>
  </si>
  <si>
    <t>@drfahrettinkoca @drtolgatolunay #hekimler istifa ediyor tükendiler. Hak aramaktan canına malına maaşına kastedilme… https://t.co/2Nb4HJI8Ds</t>
  </si>
  <si>
    <t>1467205393147482127</t>
  </si>
  <si>
    <t>@drfahrettinkoca Dersler online olsun...hastalık hastası olduk...bu virus hiç geçmedi...peri perişan oldum...lütfen… https://t.co/Wp2mlJcIWL</t>
  </si>
  <si>
    <t>1467202049825808384</t>
  </si>
  <si>
    <t>@drfahrettinkoca Öyle bi varyant yok sakin olun</t>
  </si>
  <si>
    <t>1467183194688659458</t>
  </si>
  <si>
    <t>@drfahrettinkoca Böyle bir varyant varken çocukları riske atıyorsunuz #uzaktaneğitim</t>
  </si>
  <si>
    <t>1467179674417700871</t>
  </si>
  <si>
    <t>1467175667418779652</t>
  </si>
  <si>
    <t>1467175651555876868</t>
  </si>
  <si>
    <t>1467175634183106564</t>
  </si>
  <si>
    <t>1467175617246466056</t>
  </si>
  <si>
    <t>1467175599210958852</t>
  </si>
  <si>
    <t>1467175580617555978</t>
  </si>
  <si>
    <t>1467175559784538119</t>
  </si>
  <si>
    <t>1467175540578832395</t>
  </si>
  <si>
    <t>1467175514553077774</t>
  </si>
  <si>
    <t>1467175007885402120</t>
  </si>
  <si>
    <t>@drfahrettinkoca yeter pandemi deyip ülkeyi batırmayın.</t>
  </si>
  <si>
    <t>1466919097975906306</t>
  </si>
  <si>
    <t>@drfahrettinkoca Bakanım diyorki vaka bize gelsede korkmayın çalışmaya okumaya devam zatn hasta etmiyor diyor herhalde ben öyle anladım</t>
  </si>
  <si>
    <t>1466917360426786819</t>
  </si>
  <si>
    <t>@drfahrettinkoca ١نظ ظwtt ظk3r44+13//_%7€ ظظ5h5t33222wqawe 57</t>
  </si>
  <si>
    <t>1466910389678002184</t>
  </si>
  <si>
    <t>@drfahrettinkoca Allah’ınızı seviyorsanız istifa edin bıktık artık yalanlarınızdan, vicdanlarınız beyinleriniz nası… https://t.co/fq4HR4DTnd</t>
  </si>
  <si>
    <t>1466905503276097537</t>
  </si>
  <si>
    <t>@drfahrettinkoca Ekran gülü mehmet ceyhan öyle demiyor atıp tutuyor kafasına göre bu adam tvlerden vakit bulup hangi ara işini yapıyor</t>
  </si>
  <si>
    <t>1466901971919593480</t>
  </si>
  <si>
    <t>@drfahrettinkoca #PFIZERHhesapVer</t>
  </si>
  <si>
    <t>1466901056714162176</t>
  </si>
  <si>
    <t>@drfahrettinkoca Yarın bulaştı derseniz</t>
  </si>
  <si>
    <t>1466898409755918342</t>
  </si>
  <si>
    <t>@drfahrettinkoca Niye bu varyantlar hep film ismi.Hepside yabancı herkes kendi ulkesinin varyantini uretsin.Yerli ü… https://t.co/zz6Fem6wAQ</t>
  </si>
  <si>
    <t>1466898184194727947</t>
  </si>
  <si>
    <t>@drfahrettinkoca Hadi bitireceğiniz varyant varyant ha gayret 😎</t>
  </si>
  <si>
    <t>1466898169879486474</t>
  </si>
  <si>
    <t>@drfahrettinkoca Yargılanacaksınız</t>
  </si>
  <si>
    <t>1466897646447394818</t>
  </si>
  <si>
    <t>@drfahrettinkoca Covıd testleri bile yanıltıyorken nasıl emın olabılırız🤔</t>
  </si>
  <si>
    <t>1466896448050638848</t>
  </si>
  <si>
    <t>@drfahrettinkoca Bak, ne diyor mevkidaşın...  https://t.co/NGdjipJ0Nu</t>
  </si>
  <si>
    <t>1466896102154715138</t>
  </si>
  <si>
    <t>@drfahrettinkoca Gelmeden tedbiri alıp aşı olmak şart demi , yoksa gelince iki doz da omicron için mi 🙄</t>
  </si>
  <si>
    <t>1466896053190471681</t>
  </si>
  <si>
    <t>@drfahrettinkoca Artık size diyecek birşey bulamıyorum.okadar yalandan yüzü bile kizarmayan salgın bakanına ne denirki</t>
  </si>
  <si>
    <t>1466895050307215376</t>
  </si>
  <si>
    <t>@drfahrettinkoca Sayın bakanım;en çok aşılıları etkiliyormuş bilginize</t>
  </si>
  <si>
    <t>1466895031491571720</t>
  </si>
  <si>
    <t>@drfahrettinkoca He he bencede</t>
  </si>
  <si>
    <t>1466893525409312777</t>
  </si>
  <si>
    <t>@drfahrettinkoca FAHRETTİN EFENDİ "OMICRON" VE SONRA GELECEK OLAN "Pİ, RHO, SİGMA VS.."  VARYANT DEĞİL, ÜRETİLEN Bİ… https://t.co/bVSjGihtxC</t>
  </si>
  <si>
    <t>1466892283572363264</t>
  </si>
  <si>
    <t>@drfahrettinkoca Ya SABIR..</t>
  </si>
  <si>
    <t>1466892126785052673</t>
  </si>
  <si>
    <t>@drfahrettinkoca He he...  https://t.co/eRrVJmTaCp</t>
  </si>
  <si>
    <t>1466890474787123203</t>
  </si>
  <si>
    <t>@drfahrettinkoca @saglikbakanligi #SMAyaMutluSONOLSUN bebekler ölmeden bi karar verin artık çok zor değil doktor be… https://t.co/ow22GXBnZp</t>
  </si>
  <si>
    <t>1466889395160633344</t>
  </si>
  <si>
    <t>@drfahrettinkoca Bir gece ansızın ülkemizde omicron varyantı tesbit edildi deyip kapatmalara hazırlık yapıyorsun şu… https://t.co/FBZ0AEjx7o</t>
  </si>
  <si>
    <t>1466888494752710673</t>
  </si>
  <si>
    <t>@drfahrettinkoca merak  etme   fahrettin koca  yeni  testler gelince  gene zorlama  yaparsın  halkına</t>
  </si>
  <si>
    <t>1466888085933903872</t>
  </si>
  <si>
    <t>@drfahrettinkoca Ne dedi o ?  Fahrettin ne dedin ????  Sayın baskanim  Siz demeden ben birşey diyebilirmiyim ?  Afferin fahrettin</t>
  </si>
  <si>
    <t>1466887247966490624</t>
  </si>
  <si>
    <t>@drfahrettinkoca Favipiravir hala öneriliyor çünkü...Medipol+Atabay=$ https://t.co/OZz8mqxTdv</t>
  </si>
  <si>
    <t>1466886774593134600</t>
  </si>
  <si>
    <t>@drfahrettinkoca https://t.co/harINlciq1</t>
  </si>
  <si>
    <t>1466886632657891329</t>
  </si>
  <si>
    <t>@drfahrettinkoca Ha gayret Düzce 74,1 .Biz %75 yapabiliriz Düzceme güveniyorum.</t>
  </si>
  <si>
    <t>1466885112130412544</t>
  </si>
  <si>
    <t>@drfahrettinkoca Olsa önlem mi alacaksınız ki?</t>
  </si>
  <si>
    <t>1466884174695088128</t>
  </si>
  <si>
    <t>@drfahrettinkoca Varyantlar nasıl teşhis ediliyor @drfahrettinkoca bakanım . Hangi kiti kullanıyoruz??</t>
  </si>
  <si>
    <t>1466883191638212614</t>
  </si>
  <si>
    <t>@drfahrettinkoca Çok yakında Türkiye’de olacağı ve hızla yayılacağı kesin. Aynı şeyi Delta içinde söylemiştiniz ama… https://t.co/uoP76j7rZq</t>
  </si>
  <si>
    <t>1466882694797742083</t>
  </si>
  <si>
    <t>@drfahrettinkoca Bir atama bu kadar zor olmamalıydı yaa! Artık kılavuz istiyoruz. @drfahrettinkoca  #FKOyalamaKılavuzuYayınla</t>
  </si>
  <si>
    <t>1466882379214163968</t>
  </si>
  <si>
    <t>@drfahrettinkoca Bulunduğum iki evin 4bir yanını Covid sarmış! Biz bu kadar yakalanmamak için olağanüstü mücadele v… https://t.co/g31oKlsQ3U</t>
  </si>
  <si>
    <t>1466882030256463881</t>
  </si>
  <si>
    <t>@drfahrettinkoca Nasıl bir sağlık bakanısınız hiç mi merak etmiyorsunuz bu kadar kalp krizi neden arttı yoksa bekle… https://t.co/MidY26lXnR</t>
  </si>
  <si>
    <t>1466881075674816519</t>
  </si>
  <si>
    <t>@drfahrettinkoca Bunlara hala inanan var mı 🙂</t>
  </si>
  <si>
    <t>1466880703551922176</t>
  </si>
  <si>
    <t>@drfahrettinkoca Haşmetliden izin alıp da mı yazdın</t>
  </si>
  <si>
    <t>1466880703291969540</t>
  </si>
  <si>
    <t>@drfahrettinkoca G 82</t>
  </si>
  <si>
    <t>1466880617807859717</t>
  </si>
  <si>
    <t>@drfahrettinkoca 50 bin vakanin oldugu ulkelerde olu sayisi 90  fakat bizde 200  yani aktif vakamiz yardim edelim d… https://t.co/K4EyXRONeJ</t>
  </si>
  <si>
    <t>1466880112440365062</t>
  </si>
  <si>
    <t>@drfahrettinkoca Ülkeler sınırlarını kapatıyor bizimkiler hâlâ çok hasta edici değil diyor delircem şaka gibi</t>
  </si>
  <si>
    <t>1466879796433018886</t>
  </si>
  <si>
    <t>@drfahrettinkoca Aşılı insanların ciddi hastalığa karşı korunabileceği de açık değil. Ancak, aşılı insanların ciddi… https://t.co/ZaA1JdwrIc</t>
  </si>
  <si>
    <t>1466879649326186498</t>
  </si>
  <si>
    <t>@drfahrettinkoca ?????? https://t.co/XucEWTk1Gx</t>
  </si>
  <si>
    <t>1466879179937488904</t>
  </si>
  <si>
    <t>@drfahrettinkoca online eğitim istiyoruz lütfen duyun sesimizi artık</t>
  </si>
  <si>
    <t>1466878351092637696</t>
  </si>
  <si>
    <t>@drfahrettinkoca Tüm dünyada vakalar artarken bizde neden artmiyor. Ben açıklanan verilere kesinlikle inanmiyorum.</t>
  </si>
  <si>
    <t>1466878110612217858</t>
  </si>
  <si>
    <t>@drfahrettinkoca Efendinizin haberi var mı?</t>
  </si>
  <si>
    <t>1466876989743288325</t>
  </si>
  <si>
    <t>@drfahrettinkoca Oooo micron ülkemizde yok ise hasta edici özelliği de yok ise laf olsun diye tweet atmak niye🤪🤪alt… https://t.co/suc5npXGSK</t>
  </si>
  <si>
    <t>1466876577803911180</t>
  </si>
  <si>
    <t>@drfahrettinkoca ne dedin? onu geç ne dedi?</t>
  </si>
  <si>
    <t>1466876099049115657</t>
  </si>
  <si>
    <t>@drfahrettinkoca MEHMET CEYHANDA VAR DIYOR😁  HEPINIZ BIRBIRINIZDEN HABERSIZ UYDUK UYDURUK ŞEYLER SOYLUYORSUNUZ</t>
  </si>
  <si>
    <t>1466876013489627143</t>
  </si>
  <si>
    <t>@drfahrettinkoca Bak bu sözünden dönme  yarın görüldü  dersen olmaz hep oyunbozanlik  ediyorsun</t>
  </si>
  <si>
    <t>1466875120103071746</t>
  </si>
  <si>
    <t>@drfahrettinkoca Sayın bakanım ffm hastalarında corona hastane yatış varmıdır vefat varmıdır istatistik varmıdır bu… https://t.co/QYyofUMATD</t>
  </si>
  <si>
    <t>1466874987621629958</t>
  </si>
  <si>
    <t>@drfahrettinkoca Ya gerçekten mi tüh bak şimdi 🤔🤥 https://t.co/jGwEo45Vkh</t>
  </si>
  <si>
    <t>1466874330583908364</t>
  </si>
  <si>
    <t>@drfahrettinkoca Aradınızmıda buldunuz mu hayır?Halkın sağlığını göz göre göre istemiyorsunuz.Hele o çocuklar.Okull… https://t.co/WQSDx6UIeW</t>
  </si>
  <si>
    <t>1466874291820060684</t>
  </si>
  <si>
    <t>@drfahrettinkoca Güzel ilk defa hikaye olduğunu kabul ettiniz Teşekkürler sn. Bakanım</t>
  </si>
  <si>
    <t>1466873874923114502</t>
  </si>
  <si>
    <t>@drfahrettinkoca Varyanta ayrı para verilmediği için rastlanmamış olabilü</t>
  </si>
  <si>
    <t>1466873280233676804</t>
  </si>
  <si>
    <t>@drfahrettinkoca https://t.co/uunuhDXzsj</t>
  </si>
  <si>
    <t>1466872446452129798</t>
  </si>
  <si>
    <t>@drfahrettinkoca Tablo yayınlamayın artık kimse yemiyor.Aylardan beri Veli olarak bizler size yazıyoruz önemsenmiyo… https://t.co/rJobYC1PbG</t>
  </si>
  <si>
    <t>1466872416496455683</t>
  </si>
  <si>
    <t>@drfahrettinkoca Ünilere online eğitim gelsin</t>
  </si>
  <si>
    <t>1466869563694493698</t>
  </si>
  <si>
    <t>@drfahrettinkoca Okullar çok karışık üniversite çok kalabalık yurtlar çok kalabalık lütfen artık online eğitim gelsin üniversitelere</t>
  </si>
  <si>
    <t>1466869229785911304</t>
  </si>
  <si>
    <t>@drfahrettinkoca Bulgular hakkinda daha kimsenin bilgisi yok, 3 hafta sonra  belli olcak omricon 'un bulgulari, etk… https://t.co/p9eFhbc5tI</t>
  </si>
  <si>
    <t>1466867852472840193</t>
  </si>
  <si>
    <t>@drfahrettinkoca Omicron' nada kobay edelim cocuklarimizi bakalim bulgular neymis ogrenelim  siz rahat olun  önlem tedbir almayin sakın.</t>
  </si>
  <si>
    <t>1466866229755498504</t>
  </si>
  <si>
    <t>@drfahrettinkoca Beni hala buralara yazabilmeniz hasta edecek. Hele bir aydır pek değişemeyen haritanız yok mu.</t>
  </si>
  <si>
    <t>1466866033596280840</t>
  </si>
  <si>
    <t>@drfahrettinkoca Test sayisi neden hala cok dusuk</t>
  </si>
  <si>
    <t>1466865474231312390</t>
  </si>
  <si>
    <t>@drfahrettinkoca Bence bunları bırakalım da ,asıl sağlık sorunlarına odaklanalım biz .Haaa bir de,DSÖ nün ve kürese… https://t.co/lo0rk03lCv</t>
  </si>
  <si>
    <t>1466865408061980675</t>
  </si>
  <si>
    <t>@drfahrettinkoca Öyleyse neden bu zulüm?</t>
  </si>
  <si>
    <t>1466865255129223171</t>
  </si>
  <si>
    <t>@drfahrettinkoca Pfizer 55 yıl insanlardan saklamak istediği 400 bin dosyadan 500  mahkeme kararı  ile nete düştü.… https://t.co/bdnoZTPNRl</t>
  </si>
  <si>
    <t>1466864943068811270</t>
  </si>
  <si>
    <t>@drfahrettinkoca Hocam artık bırakın o varyanti bu varyanti Allah aşkına hiç kovit olmadım asida olmadım asi olanda… https://t.co/ddLf3vSgaM</t>
  </si>
  <si>
    <t>1466864521541210115</t>
  </si>
  <si>
    <t>@drfahrettinkoca Hızlıca bulaşan bence sizsiniz düşün yakamızdan.</t>
  </si>
  <si>
    <t>1466862437794295809</t>
  </si>
  <si>
    <t>@drfahrettinkoca HALK SAGLIGIVE TIP SEFFAFLIK PROFESYONELLERI'NIN, ABD GIDA VE ILAC DAIRESINE ACTIGI HEM BEYAN,VE I… https://t.co/lt7zpyfkxz</t>
  </si>
  <si>
    <t>1466862307477266437</t>
  </si>
  <si>
    <t>@drfahrettinkoca Önce ülkemizde vaka yok Sonra ilk vaka tespit edildi Sonra ülkede hızlı şekilde yayılıyor Sonra ya… https://t.co/p5gMGaDuZV</t>
  </si>
  <si>
    <t>1466861862381932555</t>
  </si>
  <si>
    <t>@drfahrettinkoca Hoca bırak koviti millet aç aç geçim sıkıntısı işsizlik insanları intara sürüklüyor su firmalar ki… https://t.co/sFT5mHqdrX</t>
  </si>
  <si>
    <t>1466861838763704337</t>
  </si>
  <si>
    <t>@drfahrettinkoca Yorumsuz 📌📌 https://t.co/v0Kf3oncHW</t>
  </si>
  <si>
    <t>1466861405102129154</t>
  </si>
  <si>
    <t>@drfahrettinkoca Yoktur dediyse… orada bir kıllandım🤔 https://t.co/LyXQtnFFUo</t>
  </si>
  <si>
    <t>1466860632150614021</t>
  </si>
  <si>
    <t>@drfahrettinkoca Omicron hızlı bulaşıp zor hasta ediyorsa aşı yerine Omicron virüsü alalım !</t>
  </si>
  <si>
    <t>1466860459420786693</t>
  </si>
  <si>
    <t>@drfahrettinkoca İsveç, Norveç gibi ülkelerde inslara çip takma işlemi başlamış, sayı 6 000 kişiyi geçmiş. Nasıl değerlendirmek lazım?</t>
  </si>
  <si>
    <t>1466859206141779976</t>
  </si>
  <si>
    <t>@drfahrettinkoca Korkmayın nasıl olsa aşısız kimse ülkeye giremiyor</t>
  </si>
  <si>
    <t>1466858823805771779</t>
  </si>
  <si>
    <t>@drfahrettinkoca Peki omicronu nasıl tespit ediyorsunuz? Halkı bilgilendirir misiniz rica etsem…</t>
  </si>
  <si>
    <t>1466858202994135041</t>
  </si>
  <si>
    <t>@drfahrettinkoca Sizin samimiyetinize zerre inanmıyorum ...Bundan dolayıdır ki söylediğiniz hiçbir şeyi kaale almıyorum😡😡😡...</t>
  </si>
  <si>
    <t>1466858191547998217</t>
  </si>
  <si>
    <t>@drfahrettinkoca şeytan  rüşvet  alırmı  görücez  bakan   koca  parası için şeytana hizmet  ettiniz   öbür tarafta… https://t.co/PhHVuixSuV</t>
  </si>
  <si>
    <t>1466857608023842823</t>
  </si>
  <si>
    <t>@drfahrettinkoca Ve hala okullar açık alkış size 👏🏻👏🏻</t>
  </si>
  <si>
    <t>1466857229173329923</t>
  </si>
  <si>
    <t>@drfahrettinkoca Biz sana güvenemiyoruz ziya</t>
  </si>
  <si>
    <t>1466857131324416012</t>
  </si>
  <si>
    <t>@drfahrettinkoca Rastlanana kadar bekleyin...rastlaninca kısıtlama falan getirir siniz ..</t>
  </si>
  <si>
    <t>1466856599520169987</t>
  </si>
  <si>
    <t>@drfahrettinkoca Virüsün bu kadar hızlanması onun sonunu getirecek</t>
  </si>
  <si>
    <t>1466856504468951052</t>
  </si>
  <si>
    <t>@drfahrettinkoca Çok şey demek isterdim ama siz hakkaniyetli davranmayip sağlık çalışanlarını ayrım yapıp birbirine… https://t.co/hamV1iArSv</t>
  </si>
  <si>
    <t>1466856432482066434</t>
  </si>
  <si>
    <t>@drfahrettinkoca Neyseki hafif bir mutasyonmuş bu pandemi bitiyormu syn bakanım.</t>
  </si>
  <si>
    <t>1466856366937710592</t>
  </si>
  <si>
    <t>@drfahrettinkoca insanları  kendinize  köle  etmek   için   ruhunuzu  şeytana sattınız  bakan koca  aldıgınız paral… https://t.co/RxibzCU2of</t>
  </si>
  <si>
    <t>1466856362839838727</t>
  </si>
  <si>
    <t>@drfahrettinkoca Bu test sayısı ne hikmetse 355 binde ne aşağı nede yukarı çıkıyor sürekli aynı kişiler mı test olu… https://t.co/VX35PEpQT0</t>
  </si>
  <si>
    <t>1466856141695160326</t>
  </si>
  <si>
    <t>@drfahrettinkoca Önceden yazıp çizip planlayıp piyasaya sürüyorsunuz masıl bir sahtekarlıktır bu hoca yatacak yerin… https://t.co/T6plywGIVS</t>
  </si>
  <si>
    <t>1466855849503211532</t>
  </si>
  <si>
    <t>@drfahrettinkoca İnsanlara son kullanma tarihi geçmiş, tarihi geçmese bile bir işe yaramayan aksine zarar veren ila… https://t.co/K6SSzhSINd</t>
  </si>
  <si>
    <t>1466854836813586440</t>
  </si>
  <si>
    <t>@drfahrettinkoca Sayın Bakanım görülüyor ki bulaş sayısının en fazla olduğu yer artik okullar. Çocuklar hasta olmay… https://t.co/33Cju9ozYj</t>
  </si>
  <si>
    <t>1466853646545657861</t>
  </si>
  <si>
    <t>@drfahrettinkoca Omiceon varyantinin ulkemizde olduguna eminim artik</t>
  </si>
  <si>
    <t>1466853547123875843</t>
  </si>
  <si>
    <t>@drfahrettinkoca Çok hızlı buleşması yeterli bakancağzım ,siz zaman kaybetmedenbdoğer varyata geçiniz ,,sonuçta dün… https://t.co/RzJVyLVy2O</t>
  </si>
  <si>
    <t>1466853232483971080</t>
  </si>
  <si>
    <t>1466853167216349185</t>
  </si>
  <si>
    <t>@drfahrettinkoca Ya varya sizin kadar şovcu yalancısı yoktur #bilimkuruluoeğrencileronlineistiyor</t>
  </si>
  <si>
    <t>1466853061272510472</t>
  </si>
  <si>
    <t>@drfahrettinkoca Olsa ne yapardın acaba</t>
  </si>
  <si>
    <t>1466851870312382465</t>
  </si>
  <si>
    <t>@drfahrettinkoca Peki madem sorun yok neden siz online görüşme yapıyorsunuz maskeden sinüzit olmuşum ,nefes alamıyo… https://t.co/KSvuASLAVk</t>
  </si>
  <si>
    <t>1466850884655140869</t>
  </si>
  <si>
    <t>@drfahrettinkoca 😂😂😂😂😂 levent kırca Hamdi Alkan gibiler komedyenlikte eline su dökemezler üstat</t>
  </si>
  <si>
    <t>1466850518186307591</t>
  </si>
  <si>
    <t>@drfahrettinkoca İlk zamanlar aşının işe yaramayacağını biliyordum ama bi ihtimal yarar diye kimseye aşı olmayın de… https://t.co/2DoYpvHb1t</t>
  </si>
  <si>
    <t>1466849991419469825</t>
  </si>
  <si>
    <t>@drfahrettinkoca Mrna bir gen nakil teknolojisidir ve uzun dönem yan etkileri bilinmiyor. Kanserle mücadele eden hü… https://t.co/ql0VTSyGga</t>
  </si>
  <si>
    <t>1466848917291679750</t>
  </si>
  <si>
    <t>@drfahrettinkoca DSÖ omicron varyantı çıkan ülkelere para vereceğiz dese ertisi gün hemen bizde çıkar değil mi bakan bey</t>
  </si>
  <si>
    <t>1466848524893577218</t>
  </si>
  <si>
    <t>@drfahrettinkoca Ne dedin sen! Ne söyledi  Ne söyledi Yo yo ne söyledi!!!</t>
  </si>
  <si>
    <t>1466847526854836227</t>
  </si>
  <si>
    <t>@drfahrettinkoca Diğer grip türlerinde organize olamadıkları için başaramamışlardı. Bu sefer derslerine iyi çalışmı… https://t.co/0pNxaCINzF</t>
  </si>
  <si>
    <t>1466847452766605312</t>
  </si>
  <si>
    <t>@drfahrettinkoca Sayın bakanım açılan davada hakim Pf*izer şirketine c**vid a$ılarinin yan etkilerinin paylaşılması… https://t.co/iCp9HWSoLc</t>
  </si>
  <si>
    <t>1466847157290422278</t>
  </si>
  <si>
    <t>@drfahrettinkoca Sınıfta bir öğrenci de virüs çıktı diye sınıf karantinaya alınıyor ama servis aracı alınmıyor, o s… https://t.co/uGhXkyvYxJ</t>
  </si>
  <si>
    <t>1466846867141152773</t>
  </si>
  <si>
    <t>@drfahrettinkoca 10 ay onceki yalan https://t.co/H9lrHmozdJ</t>
  </si>
  <si>
    <t>1466846123692285961</t>
  </si>
  <si>
    <t>@drfahrettinkoca Biriniz rastlandı diyorsunuz biriziniz rastlanmadı diyorsunuz, birde size inanmamızı bekliyorsunuz</t>
  </si>
  <si>
    <t>1466846107485487109</t>
  </si>
  <si>
    <t>@drfahrettinkoca Aşıyı maskeyi bırakmadığımız sürece bu virüs bitmez. Önce karantinayla insanların psikolejisini bo… https://t.co/hVfKIBZuTk</t>
  </si>
  <si>
    <t>1466846059225927685</t>
  </si>
  <si>
    <t>@drfahrettinkoca Sağlıkçı yılında 0 (sıfır) sağlıkçı alımı yaptığınız için teşekkürler.Hiç unutulmayacak bir bakan olacaksiniz.</t>
  </si>
  <si>
    <t>1466845202602242052</t>
  </si>
  <si>
    <t>@drfahrettinkoca @saglikbakanligi Bilgiler için sağolun COVİD BAKANİM</t>
  </si>
  <si>
    <t>1466845092023517188</t>
  </si>
  <si>
    <t>@drfahrettinkoca https://t.co/raZWqNWMLs</t>
  </si>
  <si>
    <t>1466844812905263104</t>
  </si>
  <si>
    <t>@drfahrettinkoca Hayatınız yalan hepiniz şizofrensiniz</t>
  </si>
  <si>
    <t>1466844681120141316</t>
  </si>
  <si>
    <t>@drfahrettinkoca https://t.co/wihjWd9vyZ</t>
  </si>
  <si>
    <t>1466844676812640259</t>
  </si>
  <si>
    <t>@drfahrettinkoca https://t.co/Q5XXVUZT3f</t>
  </si>
  <si>
    <t>1466844417537495042</t>
  </si>
  <si>
    <t>@drfahrettinkoca Ya bi siktir gitde millet huzur bulsun erkek demek sözünün eri kişi demektir Bir dediğin bir dediğ… https://t.co/6duyImW88t</t>
  </si>
  <si>
    <t>1466844296041144324</t>
  </si>
  <si>
    <t>@drfahrettinkoca Doktorlarımızı habire uyarıyor bu varyant Türkiye'de de var diye ısrarla yok diyorsunuz efsunlu mu… https://t.co/7qUW0GKIwM</t>
  </si>
  <si>
    <t>1466843417632284684</t>
  </si>
  <si>
    <t>@drfahrettinkoca Devletin artık hiçbir kurumuna güvenim kalmadı, veriler sahte topyekün ülkeye çöktüler tekadam  si… https://t.co/fNYACwjKWr</t>
  </si>
  <si>
    <t>1466843387341025281</t>
  </si>
  <si>
    <t>@drfahrettinkoca @mehmetceyhan23</t>
  </si>
  <si>
    <t>1466843096830955522</t>
  </si>
  <si>
    <t>@drfahrettinkoca Covitten de Varyantlardan da maskeden de asidan da dozlardan da  çok sıkıldık artık</t>
  </si>
  <si>
    <t>1466843096231165967</t>
  </si>
  <si>
    <t>@drfahrettinkoca Birazcık ALLAH'tan korkuyorsan,ahirete inanıyorsan,dürüstçe cevap ver, Dünya çıkarı için ahiretini… https://t.co/Q0oyO6KVZc</t>
  </si>
  <si>
    <t>1466843023287988229</t>
  </si>
  <si>
    <t>@drfahrettinkoca Doktor zamları ne oldu</t>
  </si>
  <si>
    <t>1466842990622740487</t>
  </si>
  <si>
    <t>@drfahrettinkoca Tweet salgın yönetilmez testleme yok denecek kadar az hasta bulunmuyor varyantlar için analiz yok… https://t.co/z2LvHoC23U</t>
  </si>
  <si>
    <t>1466842561671278596</t>
  </si>
  <si>
    <t>@drfahrettinkoca Tabiki sayın bakan hastalığı ağır geçirilmiyordur ve kesinlikle bizde yoktur en yakın komşumuzda v… https://t.co/XSNOx9jAmn</t>
  </si>
  <si>
    <t>1466841666283839496</t>
  </si>
  <si>
    <t>@drfahrettinkoca Cumhurbaşkanı nın haberi ve izni varmı bu açıklamadan sayın bakanım 🤔</t>
  </si>
  <si>
    <t>1466841410603294726</t>
  </si>
  <si>
    <t>@drfahrettinkoca Bu tweet'i atmak için izin aldınız mı sayın bakan</t>
  </si>
  <si>
    <t>1466841106432278535</t>
  </si>
  <si>
    <t>@drfahrettinkoca Yunanistan da çıktı burnumuzun dibi olmaması imkansız ama hiç bir veriyi öğrenemiyoruz ki</t>
  </si>
  <si>
    <t>1466841021720010757</t>
  </si>
  <si>
    <t>@drfahrettinkoca Pazar gunu baslayan belirtilerle Sali gununden beri yasiyorum bu virusle. Cift doz biontech olmama… https://t.co/dOfybyRfbj</t>
  </si>
  <si>
    <t>1466840881307308035</t>
  </si>
  <si>
    <t>@drfahrettinkoca Mehmet Ceyhan var diyor Memetin çenesini kapatamadiniz</t>
  </si>
  <si>
    <t>1466840635495833610</t>
  </si>
  <si>
    <t>@drfahrettinkoca fon akıyor  aktıkca yazıyor  faho ağa</t>
  </si>
  <si>
    <t>1466840117654573062</t>
  </si>
  <si>
    <t>@drfahrettinkoca Siz kovid için ve hatta delta varyantı içinde ayni şeyleri söylemiştiniz.! Ancak söylemiş olduğunu… https://t.co/n7ajs7fPOd</t>
  </si>
  <si>
    <t>1466839510566776843</t>
  </si>
  <si>
    <t>@drfahrettinkoca Çünkü Türk milletinin varyant kotası doldu. omicronu da yemezler artık bunu öngörebilmek zor değil… https://t.co/m40jzxeDOD</t>
  </si>
  <si>
    <t>1466838478994423813</t>
  </si>
  <si>
    <t>@drfahrettinkoca Yazık size yaa Yeter artık ne bitmez varyantlar bunlar vatandaş olarak çok sıkıldık her gün bir ko… https://t.co/2uG6qNksCf</t>
  </si>
  <si>
    <t>1466838430575472647</t>
  </si>
  <si>
    <t>@drfahrettinkoca Sağlık yönetimi kadro istiyor</t>
  </si>
  <si>
    <t>1466838374925352960</t>
  </si>
  <si>
    <t>@drfahrettinkoca Yapıştır 2 doz daha</t>
  </si>
  <si>
    <t>1466837598308077574</t>
  </si>
  <si>
    <t>@drfahrettinkoca https://t.co/vSvtnYba8g</t>
  </si>
  <si>
    <t>1466837537410981888</t>
  </si>
  <si>
    <t>@drfahrettinkoca Online eğitim bekliyoruz sayın bakan aksi halde altında kalıcaksınız bu sistem dayanmayacak…</t>
  </si>
  <si>
    <t>1466837169553743873</t>
  </si>
  <si>
    <t>@drfahrettinkoca Grafen oksit nedir ne işe yarar cevap verebilecekmisiniz?</t>
  </si>
  <si>
    <t>1466837134812356609</t>
  </si>
  <si>
    <t>@drfahrettinkoca 2 hafta sonra gelir</t>
  </si>
  <si>
    <t>1466836283226046469</t>
  </si>
  <si>
    <t>@drfahrettinkoca Türk milleti üzerine deney yapma hakkını size kim verdi ?</t>
  </si>
  <si>
    <t>1466836034587705346</t>
  </si>
  <si>
    <t>@drfahrettinkoca Vaay. Demek daha hızlı bulaşıp daha az etkili öyle mi? Varyantlar varyant gibi davranmaya mı başla… https://t.co/7E2nAKeyEw</t>
  </si>
  <si>
    <t>1466835918883540999</t>
  </si>
  <si>
    <t>@drfahrettinkoca Prfizer'e verdiğiniz verileri Türk halkiyla neden paylaşmadiniz?  Bu hastanelerde verilerini payla… https://t.co/snr5fBjVRm</t>
  </si>
  <si>
    <t>1466835710284025858</t>
  </si>
  <si>
    <t>@drfahrettinkoca Dünya çapında  meşhur ettiğiniz doktorlar. Şimdilik dokuz tane. Tebrikler.</t>
  </si>
  <si>
    <t>1466835564620099584</t>
  </si>
  <si>
    <t>@drfahrettinkoca Bugün okul merdivenlerine yapistirilmis "öndekiyle aranda 4 basamak mesafe birak" etiketini gorunc… https://t.co/yH32juIWNz</t>
  </si>
  <si>
    <t>1466835340623241219</t>
  </si>
  <si>
    <t>@drfahrettinkoca Bakan omicronu neyinden tanıdınız? Allah aşkına</t>
  </si>
  <si>
    <t>1466834278730420229</t>
  </si>
  <si>
    <t>@drfahrettinkoca siz bunu dediyseniz 2 gun sonra kesin tersi cikacaktir. ters indikator</t>
  </si>
  <si>
    <t>1466833666479378432</t>
  </si>
  <si>
    <t>@drfahrettinkoca Sıradaki hangisi sizce https://t.co/Uo4EmWpeYW</t>
  </si>
  <si>
    <t>1466833655125446658</t>
  </si>
  <si>
    <t>@drfahrettinkoca Kılavuz bekliyoruz kılavuzzz artık yayınlayın. 1 senedir oyalıyorsunuz. Bize hep umut verip hiç bi… https://t.co/cPUD1qcjrp</t>
  </si>
  <si>
    <t>1466833433779486731</t>
  </si>
  <si>
    <t>@drfahrettinkoca Hiç inanasım gelmedi buna</t>
  </si>
  <si>
    <t>1466833056854167560</t>
  </si>
  <si>
    <t>@drfahrettinkoca HES uygulamasında vakada herhangi bir azalma görülmediği,hatta yukseldigi halde vakalar nasıl azal… https://t.co/g1Dpz8ERyu</t>
  </si>
  <si>
    <t>1466832840612536325</t>
  </si>
  <si>
    <t>@drfahrettinkoca Kime söyluyor sunuz.Teflon iktidar</t>
  </si>
  <si>
    <t>1466832751894708224</t>
  </si>
  <si>
    <t>@drfahrettinkoca Corona yalandır masaldır  Bir dozdur  İki dozdur  3 dozdur 4 dört dozdur bana bir aşı uydur narinna narinna narinna narinna</t>
  </si>
  <si>
    <t>1466832509375856642</t>
  </si>
  <si>
    <t>@drfahrettinkoca @saglikbakanligi Test sonuçları pozitif çıkanlara hangi varyanta ait olduğu bilgisi veriliyormu. B… https://t.co/4r4WGpPEIn</t>
  </si>
  <si>
    <t>1466831888027463684</t>
  </si>
  <si>
    <t>@drfahrettinkoca Tüm kademeler online eğitime geçmeli</t>
  </si>
  <si>
    <t>1466831737774825484</t>
  </si>
  <si>
    <t>1466831516034555907</t>
  </si>
  <si>
    <t>@drfahrettinkoca YALAN İNANMIYORUZ ARTIK BU SAYILARA BAKAN</t>
  </si>
  <si>
    <t>1466831462989189127</t>
  </si>
  <si>
    <t>@drfahrettinkoca bir yılımız ziyan oldu daha da bekletmeyin bizi  #FKOyalamaKılavuzuYayınla</t>
  </si>
  <si>
    <t>1466830939154268173</t>
  </si>
  <si>
    <t>@drfahrettinkoca İş yükümüz artarken zammı neden vermediniz</t>
  </si>
  <si>
    <t>1466830898352033792</t>
  </si>
  <si>
    <t>@drfahrettinkoca bakanım kılavuzu verin #FKOyalamaKılavuzuYayınla</t>
  </si>
  <si>
    <t>1466830804269637643</t>
  </si>
  <si>
    <t>@drfahrettinkoca Tüm dünya en tehlikeli varyant derken, Omicron için sanki yakalanıpta hafif atlamış gibi konuşan b… https://t.co/vQtFC621m9</t>
  </si>
  <si>
    <t>1466830700276027400</t>
  </si>
  <si>
    <t>@drfahrettinkoca Hocam cidden şu kılavuz nerde ya @drfahrettinkoca</t>
  </si>
  <si>
    <t>1466830422122377217</t>
  </si>
  <si>
    <t>@drfahrettinkoca Atma atama atma atama</t>
  </si>
  <si>
    <t>1466830306653130779</t>
  </si>
  <si>
    <t>@drfahrettinkoca Online EĞİTİM istiyoruz</t>
  </si>
  <si>
    <t>1466830243688288261</t>
  </si>
  <si>
    <t>@drfahrettinkoca Öyle bir fiyat artışı var ki, kimsenin salgındı varyanttı düşünecek hali yok. Covid değil enflasyo… https://t.co/QkTV4g9jtw</t>
  </si>
  <si>
    <t>1466829832172589060</t>
  </si>
  <si>
    <t>@drfahrettinkoca Kaybedilen mahkeme. Hakim kararıyla paylaşılan belgeler ve bu belgeler de dünya genelinde adı yer… https://t.co/yWeabxoJS9</t>
  </si>
  <si>
    <t>1466829604807757833</t>
  </si>
  <si>
    <t>@drfahrettinkoca Yaptığınız aşılar yayıyor olmasın bu varyantı</t>
  </si>
  <si>
    <t>1466829604388323335</t>
  </si>
  <si>
    <t>@drfahrettinkoca Diğer siyasi partiler gelemedi covid sizin hakkınızdan gelecek. Allahin işine bak...</t>
  </si>
  <si>
    <t>1466829490588377089</t>
  </si>
  <si>
    <t>@drfahrettinkoca Artık sana inanmıyoruz</t>
  </si>
  <si>
    <t>1466829349978611714</t>
  </si>
  <si>
    <t>@drfahrettinkoca Ek olarak, sadece deneye tabii olanlarda görülmektedir</t>
  </si>
  <si>
    <t>1466828840920137730</t>
  </si>
  <si>
    <t>@drfahrettinkoca En son İngiliz resmi verilere göre, Ağustos ayından bu yana her 10 Covid-19 ölümünün 9'u tam aşılı… https://t.co/cI882L06XJ</t>
  </si>
  <si>
    <t>1466828692668231681</t>
  </si>
  <si>
    <t>@drfahrettinkoca Sen yine ne olur ne olmaz ilacları şimdiden al stokla Fahrettin nasıl olsa gelecek ve sen o stokla… https://t.co/hFlmO3OC7g</t>
  </si>
  <si>
    <t>1466828205969616901</t>
  </si>
  <si>
    <t>@drfahrettinkoca https://t.co/xX6oXwY28u</t>
  </si>
  <si>
    <t>1466828013421608962</t>
  </si>
  <si>
    <t>1466827988335480835</t>
  </si>
  <si>
    <t>@drfahrettinkoca Sayın bakanım nu varyantı yani omicron diyorsunuz daha önce delta içinde aynı ifadeyi kullandınız… https://t.co/kv1tmznZ9Z</t>
  </si>
  <si>
    <t>1466827959436816387</t>
  </si>
  <si>
    <t>@drfahrettinkoca Nasıl bir vürüs mübarek bir sürü  adı var https://t.co/KPXzpJBfaa</t>
  </si>
  <si>
    <t>1466827774547660809</t>
  </si>
  <si>
    <t>@drfahrettinkoca ONLİNE EĞİTİM HAKTIR!</t>
  </si>
  <si>
    <t>1466827702875430914</t>
  </si>
  <si>
    <t>@drfahrettinkoca Bugün aşıdan ölenlerin rakamını vermediniz</t>
  </si>
  <si>
    <t>1466827561254768640</t>
  </si>
  <si>
    <t>@drfahrettinkoca Rakamlar nasıl da düşüyor tam bir mucize herhalde!Gerçek hayattaysa okullarda çocuklar ve öğretmen… https://t.co/cNajDSCLXU</t>
  </si>
  <si>
    <t>1466827545442193414</t>
  </si>
  <si>
    <t>@drfahrettinkoca Hayatınız yalan olmuş ..hiç yüzde kızarmiyor ayıp ayıp ..insanları denek olarak kullandınız</t>
  </si>
  <si>
    <t>1466827237534191636</t>
  </si>
  <si>
    <t>@drfahrettinkoca Hocalar bile ONLİE EĞİTİM DAHA VERİMLİYDİ derken siz ne hakla bunu elimizden alıyorsunuz. Ne hakla… https://t.co/WgUM3OoaV4</t>
  </si>
  <si>
    <t>1466827119451856900</t>
  </si>
  <si>
    <t>@drfahrettinkoca Alanya da omicron var geçen sene vaka sayısını sakladınız ne oldu yapmayın artık kısıtlamaların za… https://t.co/pOiX7zQG6n</t>
  </si>
  <si>
    <t>1466826927512117248</t>
  </si>
  <si>
    <t>@drfahrettinkoca Sayın Bakanım 7 günüm karantinada ama sağlık ocağındaki Aile hekimim beni halen aramadı ? Nedeni nedir ?</t>
  </si>
  <si>
    <t>1466826707348951042</t>
  </si>
  <si>
    <t>1466826663484870660</t>
  </si>
  <si>
    <t>@drfahrettinkoca Deme yaw omegaya ne zaman geçeceğiz onu bir söyleselerdi.</t>
  </si>
  <si>
    <t>1466826531272114176</t>
  </si>
  <si>
    <t>@drfahrettinkoca İşiniz gücünüz film, Seneryo...  1963 yapımı film afişi... https://t.co/QaDajvwDuy</t>
  </si>
  <si>
    <t>1466826454403096579</t>
  </si>
  <si>
    <t>@drfahrettinkoca Kimse okullar kapansın demiyor. Zaten siz okulları kapatamazsınız buna önce öğrenciler izin vermez… https://t.co/YGJ6PXhZu2</t>
  </si>
  <si>
    <t>1466826398119641095</t>
  </si>
  <si>
    <t>@drfahrettinkoca Aşılarımız her varyanta her mutasyona uygun gelsin göğsümüzde söndürürüz Hemi bakanım</t>
  </si>
  <si>
    <t>1466826382491754497</t>
  </si>
  <si>
    <t>@drfahrettinkoca Sayın Bakanım siz yılbaşına doğru vaka sayıları gün geçtikçe düştükçe bu Halkı nasıl aşıya ikna ed… https://t.co/bgm87apgZX</t>
  </si>
  <si>
    <t>1466826247728734228</t>
  </si>
  <si>
    <t>@drfahrettinkoca Yüzlerin kızarmadıği,sözün tükendiği noktadayız.Çocuklarımıza kurbanlık koyun muamelesi yapılmasın… https://t.co/j7nk12eXZ0</t>
  </si>
  <si>
    <t>1466826038751776773</t>
  </si>
  <si>
    <t>@drfahrettinkoca ONLİNE EĞİTİM HAKKI HERKESE TANINMALI. ÖĞRENCİLER ÖLMEK İSTEMİYOR. BAŞKALARINA VİRÜS BULAŞTIRMAK İSTEMİYORUZ</t>
  </si>
  <si>
    <t>1466825912968781832</t>
  </si>
  <si>
    <t>@drfahrettinkoca #fahrettinkocaistifa sal artık bizi yaşlandın</t>
  </si>
  <si>
    <t>1466825529911349254</t>
  </si>
  <si>
    <t>@drfahrettinkoca İlaç Türkiyede sadece Ankara Şehir Hastanesinde varmış ilacı bedelli veya bedelsiz  olarak karşıla… https://t.co/KtFHQHzUKG</t>
  </si>
  <si>
    <t>1466825457106661381</t>
  </si>
  <si>
    <t>@drfahrettinkoca Sayın Bakanım, kayınvaliden Kırşehir Ahi Evran Devlet Hastanesin yoğun bakım ünitesinde yatmaktadı… https://t.co/HwLvUrSCS2</t>
  </si>
  <si>
    <t>1466825396578623492</t>
  </si>
  <si>
    <t>@drfahrettinkoca 😂😂🤣 yahu bu şarlatanlara inanan aptallar varmi halâ yaa</t>
  </si>
  <si>
    <t>1466825305813925891</t>
  </si>
  <si>
    <t>@drfahrettinkoca Biz hakkımız olanı istiyoruz. Sağlıklı olmak, yaşamak en temel hakkımız ama sağlık bakanı olan siz… https://t.co/6vrOcyOSNp</t>
  </si>
  <si>
    <t>1466825152465969156</t>
  </si>
  <si>
    <t>@drfahrettinkoca "Önümüzdeki 2 hafta çok kritik.. 2 dozla sinovak.. 2 doz biontek.. Yüzde 60 a$ılanınca" vs. vs.  S… https://t.co/jSZp26NZ7y</t>
  </si>
  <si>
    <t>1466825132555526144</t>
  </si>
  <si>
    <t>@drfahrettinkoca https://t.co/joPPtBCdcG</t>
  </si>
  <si>
    <t>1466824822617518095</t>
  </si>
  <si>
    <t>1466824734247727110</t>
  </si>
  <si>
    <t>@drfahrettinkoca https://t.co/4vC645GbWa</t>
  </si>
  <si>
    <t>1466824697769869313</t>
  </si>
  <si>
    <t>@drfahrettinkoca Hergün toplu taşıma kullanın bakalım ne oluyor. Öyle online toplantılarla, makam araçlarıyla hasta… https://t.co/9XoTLPxEpt</t>
  </si>
  <si>
    <t>1466824438540816386</t>
  </si>
  <si>
    <t>@drfahrettinkoca 20 bin tabi tabi kesin inanıyoruz</t>
  </si>
  <si>
    <t>1466824006976344065</t>
  </si>
  <si>
    <t>@drfahrettinkoca Ne ileri görüşlüymüşsün be... 6 aydan fazla geçti, hala yeni varyant diyorsun.  Takriben kaç yıl ö… https://t.co/fUY2b9EEz7</t>
  </si>
  <si>
    <t>1466823933580169222</t>
  </si>
  <si>
    <t>@drfahrettinkoca Üzgün olduğunuzu biliyorum. Şunuda biliyorum dıştan bukonuda vaka çıkmış ülkelere yardım edileceği… https://t.co/eim6rDXzxU</t>
  </si>
  <si>
    <t>1466823923962716169</t>
  </si>
  <si>
    <t>@drfahrettinkoca Hocam o zaman bu küçük varyantlari pireyi deve yapar gibi abartmayın.Hızlı bulasip hasta edici oze… https://t.co/gm2uOweojz</t>
  </si>
  <si>
    <t>1466823820002701319</t>
  </si>
  <si>
    <t>@drfahrettinkoca Dünya yalan söylüyor sen doğruları söylüyon aynen knk</t>
  </si>
  <si>
    <t>1466823794815909894</t>
  </si>
  <si>
    <t>@drfahrettinkoca Annem ve kardeşim sizin yüzünüzden korona geçirdi. Siz yaptıklarınızın kötülüğünü bir gün anlayaca… https://t.co/xK527Z9JrT</t>
  </si>
  <si>
    <t>1466823761437597703</t>
  </si>
  <si>
    <t>@drfahrettinkoca Ya arkadaş millet uçağa aşısız alınmıyomu ? Kim yayıyor lan bu varyantı ? Afrika'nın varyanttan fa… https://t.co/iEQkBDJCVp</t>
  </si>
  <si>
    <t>1466823425146634246</t>
  </si>
  <si>
    <t>@drfahrettinkoca Anlıyorum tamam</t>
  </si>
  <si>
    <t>1466823360684384256</t>
  </si>
  <si>
    <t>@drfahrettinkoca Okulları denetleyin bakayım neler çıkıyor. Hem korona var hem heryer pislik içinde. Zaten koronada… https://t.co/VjGhp8xf65</t>
  </si>
  <si>
    <t>1466823303436419080</t>
  </si>
  <si>
    <t>@drfahrettinkoca Nasil rastlayacaksiniz? Testleri PCR ile yapmiyor musunuz? https://t.co/0CXO0dBcT0</t>
  </si>
  <si>
    <t>1466823156635688965</t>
  </si>
  <si>
    <t>@drfahrettinkoca Okullar kendi kafalarına göre online ders, sınav yapıyorlar. Yok şu tarihten şu tarihe kadar onlin… https://t.co/xdmJp9bdtZ</t>
  </si>
  <si>
    <t>1466822934828392453</t>
  </si>
  <si>
    <t>@drfahrettinkoca Nasıl yok ya Avrupa'da hekimler bas bas tehlikeli olduğunu diyor Türkiye'ye gelince mi tehlike yok</t>
  </si>
  <si>
    <t>1466822460444192781</t>
  </si>
  <si>
    <t>@drfahrettinkoca Nobel ödüllü araştırmacı 666 fahri Daha omicron gelmeden bulgulara ulaşmış Tıpkı plandemi başlamad… https://t.co/O1PbHzOgDi</t>
  </si>
  <si>
    <t>1466822307117244436</t>
  </si>
  <si>
    <t>@drfahrettinkoca Siz önce Ordu milletvekilinin açıklamalarına cevap verin sayın @drfahrettinkoca Tüm ülkeler Omicro… https://t.co/lS8eGDcCwV</t>
  </si>
  <si>
    <t>1466822283859738633</t>
  </si>
  <si>
    <t>@drfahrettinkoca 2023 te sizinle de hesaplaşacağız sayın bakan. Süleyman Soylunun tozu kadar beyazsınız devam edin devam edin...</t>
  </si>
  <si>
    <t>1466821957094150146</t>
  </si>
  <si>
    <t>@drfahrettinkoca Geçen sene bu renkli tablo yokken vakalar ölümler çok daha azdı..şimdi bu tabloyu nasıl paylasabil… https://t.co/ksjNsStcPC</t>
  </si>
  <si>
    <t>1466821944884576258</t>
  </si>
  <si>
    <t>@drfahrettinkoca Omicron varyantı Dünya'yı kırmızı alarma geçirdi. Biz de kendi yaptığımız hiç bir araştırma yok şö… https://t.co/NIN3fwmwQZ</t>
  </si>
  <si>
    <t>1466821722171219981</t>
  </si>
  <si>
    <t>@drfahrettinkoca 3den sonra 4 ama nedense 4.doz yok</t>
  </si>
  <si>
    <t>1466821716278185994</t>
  </si>
  <si>
    <t>@drfahrettinkoca Bakanım vakaları paylaşırken reisten izin aldınız mı</t>
  </si>
  <si>
    <t>1466821568777101314</t>
  </si>
  <si>
    <t>@drfahrettinkoca SALGIN BİTMEDİ. OKULLARDAKİ TEDBİRLER NİYE BİTTİ?</t>
  </si>
  <si>
    <t>1466821231269851147</t>
  </si>
  <si>
    <t>@drfahrettinkoca Omicron, Bumicron, Şumicron...</t>
  </si>
  <si>
    <t>1466821118308896773</t>
  </si>
  <si>
    <t>@drfahrettinkoca Öğrencileri neden kimse duymuyor görmüyor? Öğrenciler İçin Tedbir Alınmama Sebebi Nedir?</t>
  </si>
  <si>
    <t>1466820981599739909</t>
  </si>
  <si>
    <t>@drfahrettinkoca KILAVUZ KILAVUZ KILAVUZ KILAVUZ KILAVUZ KILAVUZ KILAVUZ KILAVUZ KILAVUZ KILAVUZ KILAVUZ KILAVUZ KI… https://t.co/SX5vfJ5b5P</t>
  </si>
  <si>
    <t>1466820663663071239</t>
  </si>
  <si>
    <t>@drfahrettinkoca KILAVUZ KILAVUZ KILAVUZ KILAVUZ KILAVUZ KILAVUZ KILAVUZ KILAVUZ KILAVUZ KILAVUZ KILAVUZ KILAVUZ KI… https://t.co/RmE7ZkSkEc</t>
  </si>
  <si>
    <t>1466820633094938629</t>
  </si>
  <si>
    <t>@drfahrettinkoca cb nin haberi var mı bakanım bu açıklamanız için :d</t>
  </si>
  <si>
    <t>1466820622894444553</t>
  </si>
  <si>
    <t>@drfahrettinkoca KILAVUZ KILAVUZ KILAVUZ KILAVUZ KILAVUZ KILAVUZ KILAVUZ KILAVUZ KILAVUZ KILAVUZ KILAVUZ KILAVUZ KI… https://t.co/f47fAJtncN</t>
  </si>
  <si>
    <t>1466820608172376066</t>
  </si>
  <si>
    <t>@drfahrettinkoca KILAVUZ KILAVUZ KILAVUZ KILAVUZ KILAVUZ KILAVUZ KILAVUZ KILAVUZ KILAVUZ KILAVUZ KILAVUZ KILAVUZ KI… https://t.co/NTLzGbIQXX</t>
  </si>
  <si>
    <t>1466820576908128266</t>
  </si>
  <si>
    <t>@drfahrettinkoca Nasılsa rastlanacak , gizli bir el talimat verir .</t>
  </si>
  <si>
    <t>1466820570293673987</t>
  </si>
  <si>
    <t>@drfahrettinkoca Bu söylediklerinden de çark edeceğini hepimiz biliyoruz değil mi bakan bey?</t>
  </si>
  <si>
    <t>1466820343344082953</t>
  </si>
  <si>
    <t>@drfahrettinkoca Pfizer dosyası. https://t.co/QRX6VBh2SJ</t>
  </si>
  <si>
    <t>1466820285911420934</t>
  </si>
  <si>
    <t>@drfahrettinkoca @saglikbakanligi Enflasyon rakamlarını %21 olarak açıklayan @tuikbilgi Korona vaka sayılarını da a… https://t.co/CSfuPy4DR7</t>
  </si>
  <si>
    <t>1466820100774842380</t>
  </si>
  <si>
    <t>@drfahrettinkoca 3 ARALIK 2020 AŞI YOK! TEST SAYISI:187.518 VAKA SAYISI:32.381 HASTA SAYISI:6.511 ÖLÜM:187  3 ARALI… https://t.co/wRioMj7fNk</t>
  </si>
  <si>
    <t>1466819839067107335</t>
  </si>
  <si>
    <t>@drfahrettinkoca o değil de MASKE dağıtıyordunuz, nerede kaldı bizim maskeler?</t>
  </si>
  <si>
    <t>1466819757647310858</t>
  </si>
  <si>
    <t>@drfahrettinkoca Ya şu haritayı şöyle yapmayın demedikmi canımm Harita ne hale geliyor, Ayrıca bu Omicronun zaten f… https://t.co/OxjSGBqdyT</t>
  </si>
  <si>
    <t>1466819644833112072</t>
  </si>
  <si>
    <t>@drfahrettinkoca Yav bi düş yakamızdan.</t>
  </si>
  <si>
    <t>1466819572640722949</t>
  </si>
  <si>
    <t>@drfahrettinkoca Aramadiginiz şeyi nasıl bulacaksınız çok merak ediyorum bakan bey birazcık gerçekleri görün ya birazcık</t>
  </si>
  <si>
    <t>1466819551698604033</t>
  </si>
  <si>
    <t>@drfahrettinkoca Bu da mı tutmadı ... Tüh... Sıradaki harf neydi dur bir bakalım ...</t>
  </si>
  <si>
    <t>1466819463660113930</t>
  </si>
  <si>
    <t>@drfahrettinkoca Hergun atama haberi beklemekten,  Hergun tiwit atmaktan yorulduk ve yıprandık.  Artik görevimizi y… https://t.co/taMBFe7ceQ</t>
  </si>
  <si>
    <t>1466819435008774150</t>
  </si>
  <si>
    <t>@drfahrettinkoca Hergun atama haberi beklemekten,  Hergun tiwit atmaktan yorulduk ve yıprandık.  Artik görevimizi y… https://t.co/gCJIhIU0DZ</t>
  </si>
  <si>
    <t>1466819393502040069</t>
  </si>
  <si>
    <t>@drfahrettinkoca Hergun atama haberi beklemekten,  Hergun tiwit atmaktan yorulduk ve yıprandık.  Artik görevimizi y… https://t.co/qcdbMhreV8</t>
  </si>
  <si>
    <t>1466819360442531849</t>
  </si>
  <si>
    <t>@drfahrettinkoca KILAVUZ BRANŞ DAĞILIMI KILAVUZ BRANŞ DAĞILIMI KILAVUZ BRANŞ DAĞILIMI KILAVUZ BRANŞ DAĞILIMI KILAVU… https://t.co/4PkIkHzrQf</t>
  </si>
  <si>
    <t>1466819160520994830</t>
  </si>
  <si>
    <t>@drfahrettinkoca Zam yaptık deyip bizi milletin önüne attınız. Lütfen bi şey değiştirmeyin tus falan çünkü neye eli… https://t.co/dYz6SbElzj</t>
  </si>
  <si>
    <t>1466818873605382148</t>
  </si>
  <si>
    <t>@drfahrettinkoca Aşılı olanlar düşünsün.</t>
  </si>
  <si>
    <t>1466818711860531204</t>
  </si>
  <si>
    <t>@drfahrettinkoca İSTEYE BAĞLI ONLİNE GELSİN BARİ</t>
  </si>
  <si>
    <t>1466818698254200832</t>
  </si>
  <si>
    <t>@drfahrettinkoca Sayn bakanm 1 yildan fazladir 20 bnin altına inmedi vakalar biz ucuncu hatirlama asisini beklerken</t>
  </si>
  <si>
    <t>1466818555035492361</t>
  </si>
  <si>
    <t>@drfahrettinkoca Omicronun fazla etki göstermediğini söylemişt afrika kendileri. Neyin korkusu bu? Bu halkı neden k… https://t.co/ArPQmFruli</t>
  </si>
  <si>
    <t>1466818360457498630</t>
  </si>
  <si>
    <t>@drfahrettinkoca HENUZ (TALIMAT) GELMEMIS</t>
  </si>
  <si>
    <t>1466818261153103877</t>
  </si>
  <si>
    <t>@drfahrettinkoca Klavuzz #FKOyalamaKılavuzuYayınla</t>
  </si>
  <si>
    <t>1466818029925318664</t>
  </si>
  <si>
    <t>@drfahrettinkoca SY BAKANIM BURSA DA ÖZELLİKLE DOLMUŞLARDA MASKE TAKILMIYOR DOLMUŞ ŞÖFÖRLERİ DE 4 TL KAZANACAK DİYE… https://t.co/BSdOhW3Onf</t>
  </si>
  <si>
    <t>1466817977223983107</t>
  </si>
  <si>
    <t>@drfahrettinkoca 1923 yılında kurulan Türkiye Cumhuriyetin de güvensizliğiniz dağlardan büyük.</t>
  </si>
  <si>
    <t>1466817822965780483</t>
  </si>
  <si>
    <t>@drfahrettinkoca Eeee aşılarinzi olun dememişsiniz bakanim</t>
  </si>
  <si>
    <t>1466817782490796041</t>
  </si>
  <si>
    <t>@drfahrettinkoca ONLİNE eğitim bu saatten sonra gelmeli</t>
  </si>
  <si>
    <t>1466817746025517061</t>
  </si>
  <si>
    <t>@drfahrettinkoca Ben çok inandım tamam</t>
  </si>
  <si>
    <t>1466817595517149193</t>
  </si>
  <si>
    <t>@drfahrettinkoca Bir nesili hem ruhen çökerttiniz hem madden hem bedenen daha ne diyelim ki Allah'a havale ettik duymuyorsunuz ne de olsa</t>
  </si>
  <si>
    <t>1466817449580445697</t>
  </si>
  <si>
    <t>@drfahrettinkoca Sevgili hocam biraz daha detay geçin.  Grip gibi mi.  Gelen bilgiler bende bağırsak sisteminden başladığı yönünde</t>
  </si>
  <si>
    <t>1466817334769860614</t>
  </si>
  <si>
    <t>@drfahrettinkoca Sen ne hakla yararlanamadigimiz  sağlık sigortasından para kesersin akepe soyguncu bir huk+++tir. Sizlerde tet××××</t>
  </si>
  <si>
    <t>1466817250443382797</t>
  </si>
  <si>
    <t>@drfahrettinkoca Sayın KOCA;  Bizleri aydınlatır mısınız 👇  https://t.co/ylbus6xI4j</t>
  </si>
  <si>
    <t>1466817223511752712</t>
  </si>
  <si>
    <t>@drfahrettinkoca Bakanım artık yapın lütfen şu atamayı siz de rahatlayın bizde yaa lütfen</t>
  </si>
  <si>
    <t>1466816949070045186</t>
  </si>
  <si>
    <t>@drfahrettinkoca Bitirin artık bu pandemi komedisini bıktırdınız Milleti aşı dediniz millet oldu… https://t.co/nLK9X1HUN0</t>
  </si>
  <si>
    <t>1466816632223944711</t>
  </si>
  <si>
    <t>@drfahrettinkoca Uzaktan eğitim gelmesi şart artık yoğun bakımda yatan doluluk oranı yüzde yüz oldu buna dur demek… https://t.co/4y0LJAKJMN</t>
  </si>
  <si>
    <t>1466816528712704010</t>
  </si>
  <si>
    <t>@drfahrettinkoca Buda gelir buda geçer alışırız.</t>
  </si>
  <si>
    <t>1466816491874099211</t>
  </si>
  <si>
    <t>@drfahrettinkoca Aşı yaptınız ya o kadar millete. Ne bu panik!? #hükümetistifa #ErkenSeçim #enflasyon #TorbadaFiyaskoİstemiyoruz</t>
  </si>
  <si>
    <t>1466816399867879426</t>
  </si>
  <si>
    <t>@drfahrettinkoca Daha fazla hasta ediyor deseydiler şuan türkiyede varyant çoktan görüldü derdiniz</t>
  </si>
  <si>
    <t>1466816256930111499</t>
  </si>
  <si>
    <t>@drfahrettinkoca Bahsedilen 30bin atamanın acil bir şekilde yapılması gerekir Sn. @drfahrettinkoca @RTErdogan… https://t.co/1BvogTO8tJ</t>
  </si>
  <si>
    <t>1466815828159086597</t>
  </si>
  <si>
    <t>1466815807103643649</t>
  </si>
  <si>
    <t>@drfahrettinkoca Kılavuuuuzzz bakanım kılavuuuzzz #FKOyalamaKılavuzuYayınla</t>
  </si>
  <si>
    <t>1466815735540428801</t>
  </si>
  <si>
    <t>@drfahrettinkoca Bizde sonunda Atama duasına çıkacaz gibi ne diyorsunuz bu duruma ? @drfahrettinkoca… https://t.co/CnniIk5dlC</t>
  </si>
  <si>
    <t>1466815703214964751</t>
  </si>
  <si>
    <t>@drfahrettinkoca bu aşı olanlarin işi zor</t>
  </si>
  <si>
    <t>1466815702967500810</t>
  </si>
  <si>
    <t>@drfahrettinkoca Sayın bakanımızda milliyet okuyor galiba.</t>
  </si>
  <si>
    <t>1466815685661765641</t>
  </si>
  <si>
    <t>@drfahrettinkoca Bir yalanı ne kadar detaylandırırsanız inandırıcılığı o kadar artar. Hastalığı bile teşhis edemeye… https://t.co/OF16Jh9npk</t>
  </si>
  <si>
    <t>1466815640027729920</t>
  </si>
  <si>
    <t>@drfahrettinkoca Kılavuuuuzzz bakanım kılavuuuzzzzzz #FKOyalamaKılavuzuYayınla</t>
  </si>
  <si>
    <t>1466815603528904704</t>
  </si>
  <si>
    <t>@drfahrettinkoca Kılavuuuuzzz bakanım kılavuuuzzzzzzz #FKOyalamaKılavuzuYayınla</t>
  </si>
  <si>
    <t>1466815498537033732</t>
  </si>
  <si>
    <t>@drfahrettinkoca Bakan bey siz kafanıza göre rakamlarla oynuyorsunuz galiba dükkandan bir farkı yok https://t.co/zZQA8sKx1P</t>
  </si>
  <si>
    <t>1466815446192164865</t>
  </si>
  <si>
    <t>@drfahrettinkoca Özür dilerim artık size küseceğim #FKOyalamaKılavuzuYayınla</t>
  </si>
  <si>
    <t>1466815356257845258</t>
  </si>
  <si>
    <t>@drfahrettinkoca #FKOyalamaKılavuzuYayınla şimdi açıklayın yeter artık</t>
  </si>
  <si>
    <t>1466815348230037508</t>
  </si>
  <si>
    <t>@drfahrettinkoca Yakında getirirsiniz onu da</t>
  </si>
  <si>
    <t>1466815333449220096</t>
  </si>
  <si>
    <t>@drfahrettinkoca Buraya uzun uzun yazıyorum sonra kime ne anlatıyorum ki diyorum, ne zaman sesimizi duydunuz ki #FKOyalamaKılavuzuYayınla</t>
  </si>
  <si>
    <t>1466815220458967045</t>
  </si>
  <si>
    <t>@drfahrettinkoca OMİCRON varyantı yüzünden ülkeler, sınırları kapatıyor, tedbir ve önlem alıyor, sokağa çıkma yasağ… https://t.co/ohaVyYHmCu</t>
  </si>
  <si>
    <t>1466815204826783760</t>
  </si>
  <si>
    <t>@drfahrettinkoca Engelli bir çocuğa randevusu yok diye bakmamak ne demek? Doktor da engelliye yardımcı olmuyorsa no… https://t.co/eLNFYyxJ31</t>
  </si>
  <si>
    <t>1466815149566746625</t>
  </si>
  <si>
    <t>@drfahrettinkoca #FKOyalamaKılavuzuYayınla açıklama borçlusun söz verdiğin tarih gene geçti</t>
  </si>
  <si>
    <t>1466815131204132865</t>
  </si>
  <si>
    <t>@drfahrettinkoca BAŞLAYACAĞIM COVİTİNİZEDE VARYANTINIZADA..... MİLLET GEÇİM SIKINTISINDA....  Bunların derdi korku… https://t.co/EHlvwAsGYD</t>
  </si>
  <si>
    <t>1466815067106783241</t>
  </si>
  <si>
    <t>@drfahrettinkoca Yani fahrettin bey daha kaç kişinin ölmesini bekliyorsunuz. Yazık günah valla ya .</t>
  </si>
  <si>
    <t>1466815061192626178</t>
  </si>
  <si>
    <t>@drfahrettinkoca Bakanım ne bir şeye hevesimiz kaldı ne heyecanımız ne umudumuz. Daha ne alacaksınız elimizden canı… https://t.co/edkes4qVLS</t>
  </si>
  <si>
    <t>1466815015298781208</t>
  </si>
  <si>
    <t>@drfahrettinkoca #FKOyalamaKılavuzuYayınla Kılavuz</t>
  </si>
  <si>
    <t>1466814868288385031</t>
  </si>
  <si>
    <t>@drfahrettinkoca O kadar insanı kolundan tutup aşıya götürdük, bu elazığ halen sarı, haydi aşısız gakkoşlar biraz hareket ,enerji.</t>
  </si>
  <si>
    <t>1466814850324119564</t>
  </si>
  <si>
    <t>@drfahrettinkoca Sağlıkçılar atanmak için her gün size yazıyor!!! İnim inimm inlettiniz insanları yazıktır yahu!!!!</t>
  </si>
  <si>
    <t>1466814820263600128</t>
  </si>
  <si>
    <t>@drfahrettinkoca #FKOyalamaKılavuzuYayınla atama</t>
  </si>
  <si>
    <t>1466814781336211460</t>
  </si>
  <si>
    <t>@drfahrettinkoca Sayın Bakan,  Fazla sürmez maksimum bir haftaya bizde de görüldü diye açıklarsınız., aynı Delta da… https://t.co/YHLSbp3mmd</t>
  </si>
  <si>
    <t>1466814761027444742</t>
  </si>
  <si>
    <t>@drfahrettinkoca İnsanları Kandırmaya devam edin sayın Fahrettin Koca</t>
  </si>
  <si>
    <t>1466814746024460291</t>
  </si>
  <si>
    <t>@drfahrettinkoca Mutasyon ve varyantlara en az Sen ve kurul üyelerin verdikleri yanlış bilgiler kadar hızla değişti… https://t.co/tzzPPaLQaL</t>
  </si>
  <si>
    <t>1466814670258507784</t>
  </si>
  <si>
    <t>@drfahrettinkoca Yaş grupları grafiği neden vermiyorsunuz?</t>
  </si>
  <si>
    <t>1466814649903554565</t>
  </si>
  <si>
    <t>@drfahrettinkoca Kılavuz ne?</t>
  </si>
  <si>
    <t>1466814560053116933</t>
  </si>
  <si>
    <t>@drfahrettinkoca Tweeter'dan size gelen mesajları okumuyormusunuz?Anneler, çocuklar haftalardır ONLİNE EĞİTİM HAKKI… https://t.co/kXCkCazJ5W</t>
  </si>
  <si>
    <t>1466814542088916999</t>
  </si>
  <si>
    <t>@drfahrettinkoca Nu mu vardı onlara nuuuuuui oldii</t>
  </si>
  <si>
    <t>1466814485201625099</t>
  </si>
  <si>
    <t>@drfahrettinkoca Nerde bu klavuz Allah kitap aşkına bu kadar insanı mağdur etmek hoşunuza mi gidiyor @drfahrettinkoca</t>
  </si>
  <si>
    <t>1466814413311291392</t>
  </si>
  <si>
    <t>1466814213704273921</t>
  </si>
  <si>
    <t>@drfahrettinkoca Sayın bakanım bırakın bu işleri. Kimse takmıyor artık varyantı, mutasyonu. İşi akışına bırak. 3 gü… https://t.co/VomNcePug5</t>
  </si>
  <si>
    <t>1466814208322977794</t>
  </si>
  <si>
    <t>@drfahrettinkoca Nazım Hikmet'in dediği gibi  "Hiçbir korkuya benzemez halkını satanın korkusu"</t>
  </si>
  <si>
    <t>1466814177658478598</t>
  </si>
  <si>
    <t>@drfahrettinkoca Ya kılavuz peki gercktn artk dalga geclyo bizle gercktn</t>
  </si>
  <si>
    <t>1466814168800108545</t>
  </si>
  <si>
    <t>@drfahrettinkoca Hepsi öyleydi.bak benim koca tarafım hepsi şuan koronali içlerinde kim en zor durumda biliyormusun… https://t.co/Hx3BOHw4T8</t>
  </si>
  <si>
    <t>1466814090291163148</t>
  </si>
  <si>
    <t>@drfahrettinkoca Resmen aklımızla alay ediyorlar...  Hergün ZAM yağmuru var, millet artık markete gidemiyor, fatura… https://t.co/K4UAEz0rnc</t>
  </si>
  <si>
    <t>1466814036117536769</t>
  </si>
  <si>
    <t>@drfahrettinkoca #FKOyalamaKılavuzuYayınla daha ne kadar görmezden geleceksiniz</t>
  </si>
  <si>
    <t>1466813994631581706</t>
  </si>
  <si>
    <t>@drfahrettinkoca Fahrettincim bıktık artık sus bi.</t>
  </si>
  <si>
    <t>1466813956459311104</t>
  </si>
  <si>
    <t>@drfahrettinkoca Peki!! Dünya ülkeleri boşu boşunamı tedbirler alıyor!! Ülkemizde rastlanmadı demek bilimsel bir ya… https://t.co/qkh44loXsT</t>
  </si>
  <si>
    <t>1466813810761781251</t>
  </si>
  <si>
    <t>@drfahrettinkoca Var ya ömrümüzden 1 yıl gitti atama beklerken Sağlıkçı Yılı sıfır atama ile geçti ,ama hala neden… https://t.co/8WUzGX9mah</t>
  </si>
  <si>
    <t>1466813808329035777</t>
  </si>
  <si>
    <t>@drfahrettinkoca size sormadan bir şey diyebilir miyim efendim? Eki eki.</t>
  </si>
  <si>
    <t>1466813777513492487</t>
  </si>
  <si>
    <t>@drfahrettinkoca Geçmişte olduğu gibi bu tiwitte birkaç güne mutasyona uğrar mı https://t.co/ajWv34xkzN</t>
  </si>
  <si>
    <t>1466813711394525192</t>
  </si>
  <si>
    <t>@drfahrettinkoca Kanser olduk varyant gelse ne olur ya #FKOyalamaKılavuzuYayınla</t>
  </si>
  <si>
    <t>1466813661998112783</t>
  </si>
  <si>
    <t>@drfahrettinkoca Başlayacağım covitinizede, haritanızada😠😠😠 Bu milletin yakasından düşün artık, aklımızla alay ediy… https://t.co/Px2XWGT0YX</t>
  </si>
  <si>
    <t>1466813569975083012</t>
  </si>
  <si>
    <t>@drfahrettinkoca Bakanım omicron aşıları gelsin ilk biz vurulak. İşe yaramasada içimiz rahat olsun</t>
  </si>
  <si>
    <t>1466813521832943619</t>
  </si>
  <si>
    <t>@drfahrettinkoca https://t.co/oixq4UPRut https://t.co/sr0KgHEeoj https://t.co/d9X3A5mAym https://t.co/41Aj1ybB7Q… https://t.co/rdSAuFPGQb</t>
  </si>
  <si>
    <t>1466813471820062723</t>
  </si>
  <si>
    <t>@drfahrettinkoca Geçen hafta yeni başlayan Omicron virüsünü izole mi ettiniz? Klinik çalışmaları başlatıp mı bu bil… https://t.co/SzCSVC6k47</t>
  </si>
  <si>
    <t>1466813431726673925</t>
  </si>
  <si>
    <t>@drfahrettinkoca https://t.co/oixq4UPRut https://t.co/sr0KgHEeoj https://t.co/d9X3A5mAym https://t.co/41Aj1ybB7Q… https://t.co/acZqPSca7W</t>
  </si>
  <si>
    <t>1466813423291928576</t>
  </si>
  <si>
    <t>@drfahrettinkoca 3.doz için 6 ay beklenmemeli 3.aydan itibaren herkese açmalısınız isteyen istediği zaman olabilmeli</t>
  </si>
  <si>
    <t>1466813399032074241</t>
  </si>
  <si>
    <t>@drfahrettinkoca https://t.co/oixq4UPRut https://t.co/sr0KgHEeoj https://t.co/d9X3A5mAym https://t.co/41Aj1ybB7Q… https://t.co/pbbMs2CuuP</t>
  </si>
  <si>
    <t>1466813336872534028</t>
  </si>
  <si>
    <t>@drfahrettinkoca Ne dedin Fahrettin Ne dedin? https://t.co/WYfXfMW8Nd</t>
  </si>
  <si>
    <t>1466813276201918468</t>
  </si>
  <si>
    <t>@drfahrettinkoca Bizin Omicron'dan çok sizin vaatleriniz vurdu Bilin istedim. @drfahrettinkoca… https://t.co/rwmEgNqoTr</t>
  </si>
  <si>
    <t>1466813266697588747</t>
  </si>
  <si>
    <t>@drfahrettinkoca https://t.co/sr0KgHEeoj https://t.co/d9X3A5mAym https://t.co/41Aj1ybB7Q https://t.co/w7rZ1FvIlK… https://t.co/XViIHvQzYW</t>
  </si>
  <si>
    <t>1466813266244653064</t>
  </si>
  <si>
    <t>@drfahrettinkoca Covid'in hertürü zaten yeteri kadar hasta etmiyormu?Şimdi dahada bulaşıcıve hala okullarda maske d… https://t.co/1NRuNtb8cg</t>
  </si>
  <si>
    <t>1466813061814226953</t>
  </si>
  <si>
    <t>@drfahrettinkoca Yalannnnnnnnnnn</t>
  </si>
  <si>
    <t>1466812976791531527</t>
  </si>
  <si>
    <t>@drfahrettinkoca Insanın mesleğini sevmemesi için elinizden geleni yapıyorsunuz .</t>
  </si>
  <si>
    <t>1466812910387273728</t>
  </si>
  <si>
    <t>@drfahrettinkoca Diğer bakanlar söz vermeden yapar sayın KOCA  verdiği SÖZÜ tutamaz yaptığınıda eline yüzüne bulaştırır.</t>
  </si>
  <si>
    <t>1466812718313259017</t>
  </si>
  <si>
    <t>@drfahrettinkoca Allah SWT taught Muslims about Pakistan, but they didn’t understand; not even the Pakistanis. Muha… https://t.co/jeXxRYyf34</t>
  </si>
  <si>
    <t>1467978306171523072</t>
  </si>
  <si>
    <t>@drfahrettinkoca Yalancının mumu yatsıya kadar yanar… https://t.co/1Wf79x7tRx</t>
  </si>
  <si>
    <t>1467912959645130754</t>
  </si>
  <si>
    <t>@drfahrettinkoca Off niye bu kadar cok tweet atiyorsun.gercekten sinirimizj bozmaktan baska birsey yapmiyor</t>
  </si>
  <si>
    <t>1467585559241576457</t>
  </si>
  <si>
    <t>@drfahrettinkoca Millet normal muayene tedavi olabilmek için aylarca randevu alamıyor. Diş hastanelerinde randevu y… https://t.co/5QMmbuYI8B</t>
  </si>
  <si>
    <t>1466908162766872579</t>
  </si>
  <si>
    <t>@drfahrettinkoca Sn bakan! Siz,hani diyorsunuz ya;olur mu sayın cb'ım,ben sizden izinsiz konuşur muyum,diye!? Eee,… https://t.co/Us6paAnHhO</t>
  </si>
  <si>
    <t>1466899173341638665</t>
  </si>
  <si>
    <t>@drfahrettinkoca Online eğitim İstiyoruz sırf ekonomi için canımızı tehlikeye atmayın artık yeter</t>
  </si>
  <si>
    <t>1466892135332986881</t>
  </si>
  <si>
    <t>@drfahrettinkoca O kadar çok söyleyeceğim şey var ki o kadar doluyum ki, ekmeğimizle işimizle tabiri caizse tehditl… https://t.co/upFNhYsshf</t>
  </si>
  <si>
    <t>1466888284509024257</t>
  </si>
  <si>
    <t>@drfahrettinkoca Bu pcr kalkmadığı müddetçe beddualar üzerinden kalkmayacak. Hiç mi insafın yok hiç mi merhametin y… https://t.co/wTg8uIrHxh</t>
  </si>
  <si>
    <t>1466887321194799106</t>
  </si>
  <si>
    <t>@drfahrettinkoca sen hayatımıza girene kadar mutlu mesut yaşıyorduk.Geldin kabus gibi çöktün hayatımıza🙄</t>
  </si>
  <si>
    <t>1466887160590700551</t>
  </si>
  <si>
    <t>@drfahrettinkoca Medya da @RTErdogan reis ile bulunduğun diyalogda aha tokadı patlatacak reis şimdi demediysem ya d… https://t.co/59tZIiuhLq</t>
  </si>
  <si>
    <t>1466886858835640326</t>
  </si>
  <si>
    <t>@drfahrettinkoca Daha sıvıyı övüyon.Adam yeni bir sıvıya daha ihtiyacımız var diyor,bu zamana kadarkiler çöp oldu d… https://t.co/Is1FDshna0</t>
  </si>
  <si>
    <t>1466886285893722116</t>
  </si>
  <si>
    <t>@drfahrettinkoca Biz senin çin faşizmi kare kodlu yaşam tarzına uymayacağız Allah cc bizi özgür yaratmış firavunlara boyun eğmek için değil.</t>
  </si>
  <si>
    <t>1466885596719292416</t>
  </si>
  <si>
    <t>@drfahrettinkoca DSÖ mü Uğur ŞAHİN mi sen mi hanginizin diplomasi sahte? Yahu sizler doktor olduğunuza emin misiniz? https://t.co/jF8Vh6ujt8</t>
  </si>
  <si>
    <t>1466881791852175363</t>
  </si>
  <si>
    <t>@drfahrettinkoca Tesadüf ki abd Yunanistan ve kuzey suriye ye yığınak yaptı. Ve ardından pandemi hortladı, aşı bir… https://t.co/zBEktAjsyN</t>
  </si>
  <si>
    <t>1466877370619633668</t>
  </si>
  <si>
    <t>@drfahrettinkoca Bir hocamızın yayınladığı belge. Buyurun bu hastahaneden bu raporu sizde alabilirsiniz https://t.co/uWHYUKGixN</t>
  </si>
  <si>
    <t>1466876269455454218</t>
  </si>
  <si>
    <t>@drfahrettinkoca Buyurun aşılanıp başına farklı bir durum gelen başka biri. Adresleri açık. Araştırın https://t.co/OtcQRqzkh7</t>
  </si>
  <si>
    <t>1466875952542232581</t>
  </si>
  <si>
    <t>@drfahrettinkoca Buyurun bu adamın adresine devlet ulaşır. Savcılarımız bu ihbarı değerlendirir umarım. https://t.co/mlIT6OIzh5</t>
  </si>
  <si>
    <t>1466875467642941444</t>
  </si>
  <si>
    <t>@drfahrettinkoca https://t.co/O7r0Ra9Kob</t>
  </si>
  <si>
    <t>1466874630896070658</t>
  </si>
  <si>
    <t>@drfahrettinkoca Şu yorumları hiç okuyor musunuz? Bu milleti ahmak mı sanıyorsunuz? Bakan Varank'ın "yerli a$ı daha… https://t.co/znUPHNHd5G</t>
  </si>
  <si>
    <t>1466874420585246720</t>
  </si>
  <si>
    <t>@drfahrettinkoca Günlük yalanlara devam ,</t>
  </si>
  <si>
    <t>1466869581360906243</t>
  </si>
  <si>
    <t>@drfahrettinkoca Üretici firma dahi aşının insan üzerindeki etkilerini kestiremezken, siz nasıl bu aşıyı savunur su… https://t.co/zXIbBsDovd</t>
  </si>
  <si>
    <t>1466865420212883459</t>
  </si>
  <si>
    <t>@drfahrettinkoca @RTErdogan  @fahrettinaltun  Sayın başkan ivedi; Test Maske Hes kodu Kısıtlama Aşı dayatmalarından… https://t.co/EJFBVPt2qS</t>
  </si>
  <si>
    <t>1466834228214177797</t>
  </si>
  <si>
    <t>@drfahrettinkoca İyi de aşılılar da bulaştırıyor, ağır hasta oluyor ve ölüyor. Dün 1 doz aşılılar aşısızdı. Şimdi i… https://t.co/vWXtl5xTKB</t>
  </si>
  <si>
    <t>1466831241647378436</t>
  </si>
  <si>
    <t>@drfahrettinkoca Binlerce insan öldürdün doymadın .</t>
  </si>
  <si>
    <t>1466825521526890500</t>
  </si>
  <si>
    <t>@drfahrettinkoca Yürüyerek girdiği hastaneden cenazesi çıktı benim babamın ve bunun tek sorumlusu sen ve senin sözd… https://t.co/lVDMTBDJrp</t>
  </si>
  <si>
    <t>1466824882801590281</t>
  </si>
  <si>
    <t>@drfahrettinkoca Sayın bakanım önlemler kısmen esnekleşmedi tamamen esnekleşti aşı var ancak isteğe bağlı maske yok… https://t.co/z6yO0OEyCe</t>
  </si>
  <si>
    <t>1466821307182592002</t>
  </si>
  <si>
    <t>@drfahrettinkoca Hangi aşı bulunmuş? İzole edilmemiş virüsün aşısı olmaz. Neden insanları kandırıyorsunuz?</t>
  </si>
  <si>
    <t>1466817852388823048</t>
  </si>
  <si>
    <t>@drfahrettinkoca Seni bu millet hiç unutmayacak Koca.</t>
  </si>
  <si>
    <t>1466817780892803080</t>
  </si>
  <si>
    <t>@drfahrettinkoca O zaman UZAKTAN EĞİTİM GETİRİN</t>
  </si>
  <si>
    <t>1466817403501830146</t>
  </si>
  <si>
    <t>@drfahrettinkoca Uğur şahin ve eşi dikkat etsin maskesiz mesafesiz a$ısız olmuyor böyle. https://t.co/tffQbQ1oAo</t>
  </si>
  <si>
    <t>1466817164271362058</t>
  </si>
  <si>
    <t>@drfahrettinkoca Eğer ortada gerçek bir "aşı" olsaydı önem verilebilirdi❗ Ama ortada üreticisi dahil kimsenin sahip… https://t.co/dHNr8gjnqL</t>
  </si>
  <si>
    <t>1466816502066302977</t>
  </si>
  <si>
    <t>@drfahrettinkoca bu ülke 2021 yılında ellerin nasıl yıkanması gerektiğini haberlerden öğrendi. çünkü sabunun virüsü… https://t.co/wZKftv4ywu</t>
  </si>
  <si>
    <t>1466814221518356492</t>
  </si>
  <si>
    <t>@drfahrettinkoca Uydurduğunuz korono, yeni bir yöntem ve yönetim biçiminden başka bir şey değildir.bizim küreselcil… https://t.co/lDpomJZ4Xz</t>
  </si>
  <si>
    <t>1466549186715922437</t>
  </si>
  <si>
    <t>1466547277724536841</t>
  </si>
  <si>
    <t>@drfahrettinkoca Üniversitelere online eğitim gelsin çok tedirginiz</t>
  </si>
  <si>
    <t>1466546784847769601</t>
  </si>
  <si>
    <t>@drfahrettinkoca Bakanım siz bu tabloya inanıyorsanız bizde inanıyoruz, yıl başına kadar bu gidişle dünyada vaka ve… https://t.co/VvWhJyUAeV</t>
  </si>
  <si>
    <t>1466546630086184968</t>
  </si>
  <si>
    <t>@drfahrettinkoca Haftasonu AÖF sınavına girdim ve sınav yerinde çantamı vs bırakamadığım için annem yanımda geldi v… https://t.co/5CdEDNvx6L</t>
  </si>
  <si>
    <t>1466545598190997510</t>
  </si>
  <si>
    <t>@drfahrettinkoca Bana gençliğim dışında telefon borçlusunuz. Bu süreçte bizimle beraber yıprandılar</t>
  </si>
  <si>
    <t>1466545540016001033</t>
  </si>
  <si>
    <t>@drfahrettinkoca Arkadaş herşey normalmiş gibi 7/24 kalabalık ortamlarda durmak zorunda kalıyoruz. Fakat yılbaşında… https://t.co/wkBAWQoSn3</t>
  </si>
  <si>
    <t>1466544884068896769</t>
  </si>
  <si>
    <t>@drfahrettinkoca Artık çok geç sayın bakan! Her gün bu ritüelinizi uygulasanız dahi aşı olmayan bundan sonrada olma… https://t.co/10oE6VZXoI</t>
  </si>
  <si>
    <t>1466543755574579212</t>
  </si>
  <si>
    <t>@drfahrettinkoca Bu pandemi yüzünden işinden gücünden olanlar, esnaflar, garibanlar ve tüm acı çeken halk adına söy… https://t.co/cqbrjtDCsV</t>
  </si>
  <si>
    <t>1466542218857037825</t>
  </si>
  <si>
    <t>@drfahrettinkoca Dövizin artması salgını var sadece memlekette başka salgın sadece hayal ürünü.</t>
  </si>
  <si>
    <t>1466541458836664327</t>
  </si>
  <si>
    <t>@drfahrettinkoca Bu açıklamayı izin alarak mı yaptınız sayın bakan? ilk vaka çıktı bütün sağlıkçılar gazete televiz… https://t.co/yKIG8ymGG8</t>
  </si>
  <si>
    <t>1466541289457926145</t>
  </si>
  <si>
    <t>@drfahrettinkoca Bu yaptıklarınla yedi sülalene rahmet(!) okuttun çok hayırlı(!) bir evlat olduğunu isbatladın çavu… https://t.co/CQmTxBUXLv</t>
  </si>
  <si>
    <t>1466539886568255496</t>
  </si>
  <si>
    <t>@drfahrettinkoca Yoo biz hala aynı biziz, bizim hiçbir şeyimizi değiştirmedi. İsterse 2030'a kadar sürsün asla da d… https://t.co/6ZG3v3KF6Q</t>
  </si>
  <si>
    <t>1466539204280819717</t>
  </si>
  <si>
    <t>@drfahrettinkoca Sayın bakanım ben Silivri  devlet hastanesinden bir göz için 15 gündür randevu alamıyorum çok güze… https://t.co/FvV1hWofkM</t>
  </si>
  <si>
    <t>1466536944783949829</t>
  </si>
  <si>
    <t>@drfahrettinkoca Sayın bakanım ben örnek Silivri devlet hastanesinden göz muayenesi için randevu almak istiyorum 15… https://t.co/CvwVgtn2UW</t>
  </si>
  <si>
    <t>1466536157051686914</t>
  </si>
  <si>
    <t>@drfahrettinkoca Selamün aleyküm sayın bakanım covid oldum halen bugün 5 inci gün oldu rapor vermediler konuyla ilg… https://t.co/2SJp2NAm4R</t>
  </si>
  <si>
    <t>1466535249769218051</t>
  </si>
  <si>
    <t>@drfahrettinkoca Heyyy BAKANIM,  aşı karşıtları durup dururken saldırdı bana. fikrimi değiştirdim, aAŞI MECBUR OLSU… https://t.co/4c1dVTEHZR</t>
  </si>
  <si>
    <t>1466534798827012099</t>
  </si>
  <si>
    <t>@drfahrettinkoca Yetttimi sizin küresel sistem şizofren ve kölelik sistemi çıktı kimsede yemiyor ve yemiyecek küres… https://t.co/bvnFHc2EIU</t>
  </si>
  <si>
    <t>1466534498791616518</t>
  </si>
  <si>
    <t>@drfahrettinkoca YAV sayın BAKAN sizden RİCA ediyorum LÜTFÜ ELVAN bey GİBİ affınızı İSTEYİP sizde İSTİFA edin ARTIK… https://t.co/LPHufCZiSs</t>
  </si>
  <si>
    <t>1466534081689182212</t>
  </si>
  <si>
    <t>@drfahrettinkoca Bakanım, sen bunları yazıyorsun da bizi okumuyor musun? bak birşey istemiyorum artık  3. DOZ AŞILA… https://t.co/oHkOBqhCmP</t>
  </si>
  <si>
    <t>1466529234008961025</t>
  </si>
  <si>
    <t>@drfahrettinkoca Açıklamaları yaparken çok dikkat et sayın bakan. Sn. Başkan açıklamalarından dolayı sizi fircalama… https://t.co/5PL7Tr6K4q</t>
  </si>
  <si>
    <t>1466529184734498820</t>
  </si>
  <si>
    <t>@drfahrettinkoca #SMAyaMutluSONOLSUN  insanlar bir umut günlerdir sizden gelecek habere kilitlendi abicim anlamak b… https://t.co/L0BHzyKMuW</t>
  </si>
  <si>
    <t>1466528331554332687</t>
  </si>
  <si>
    <t>@drfahrettinkoca @saglikbakanligi diaminopyridine ilacımizi neden alamıyoruz miyasteni hastalarim günlük ihtiyaçlar… https://t.co/nNLw9jfVuN</t>
  </si>
  <si>
    <t>1466528284972257281</t>
  </si>
  <si>
    <t>@drfahrettinkoca Almanya aşıyı bulmuş Saat 10 dan sonra sokağa çıkmak yasak şu an 😁 Kelin ilacı olsa kendi başına s… https://t.co/FCrF2xFqFU</t>
  </si>
  <si>
    <t>1466527783962742784</t>
  </si>
  <si>
    <t>@drfahrettinkoca Allah seni kahretsin ...   Sizden izinsiz bişey soylermiyim ... Kralın soytarısi seni....   sabah… https://t.co/hkZspOKkaV</t>
  </si>
  <si>
    <t>1466527166015979534</t>
  </si>
  <si>
    <t>@drfahrettinkoca Neden tüm türk haberlerinde bu yok?  Bangladeş, son 24 saatte sıfır covid ölümü bildirdi. Nüfusun… https://t.co/zmmV8TXtL5</t>
  </si>
  <si>
    <t>1466524769214369793</t>
  </si>
  <si>
    <t>@drfahrettinkoca 3. dozu diyorum artık açsanız diyorum. salın aşıyı serbest bırakın, ben 3. aşı hakkımı istiyorum.</t>
  </si>
  <si>
    <t>1466523658520875020</t>
  </si>
  <si>
    <t>@drfahrettinkoca Asi ölüm demektir asi esaret ve köleliktir.Türkiye saglik bakani dahil tüm dünya hükümetleri devle… https://t.co/5Nnzce68xZ</t>
  </si>
  <si>
    <t>1466522537936961547</t>
  </si>
  <si>
    <t>@drfahrettinkoca https://t.co/VGpbMjYeCK</t>
  </si>
  <si>
    <t>1466522231018827781</t>
  </si>
  <si>
    <t>@drfahrettinkoca https://t.co/KDQS0LuV9U</t>
  </si>
  <si>
    <t>1466521784669376514</t>
  </si>
  <si>
    <t>@drfahrettinkoca Salgın hayatı değiştirmeyi  başardı  evet ama siz neden hâlâ bakanlığınızın temelden çatısına kada… https://t.co/jEeU2zuQtd</t>
  </si>
  <si>
    <t>1466521740503392263</t>
  </si>
  <si>
    <t>@drfahrettinkoca sayın koca aşı haritasında aşıları biz hemşireler uyguluyor fakat sağlıkçı kategorisine bile girmi… https://t.co/lLdEC8d8Li</t>
  </si>
  <si>
    <t>1466521043506454532</t>
  </si>
  <si>
    <t>@drfahrettinkoca Bu zamana kadar hiç bir hastalık kimsenin hayatını değiştirmedi Kanserli olduğunu bilen hasta bile… https://t.co/tMAvyRWJgb</t>
  </si>
  <si>
    <t>1466520327580786691</t>
  </si>
  <si>
    <t>@drfahrettinkoca İnsanlar aşısız uçağa binemezken omicron varyantı nasıl yayılıyor ? Demekki aşılılar virüs taşıyor… https://t.co/WEd9zjdBSn</t>
  </si>
  <si>
    <t>1466520037192257544</t>
  </si>
  <si>
    <t>@drfahrettinkoca Aşılılar korona olurken aşısızlara yasak getirmeniz manidar. Aşı olunda sonuç önemli değil. Eskide… https://t.co/Oto28N5MXm</t>
  </si>
  <si>
    <t>1466519911363227651</t>
  </si>
  <si>
    <t>@drfahrettinkoca Sayın bakan ne değişti aşı ölüm şiddet tecavüz zam zam zam mutsuzluk askari ücret le geçinmek zor… https://t.co/v7mlA1LItJ</t>
  </si>
  <si>
    <t>1466519865104252934</t>
  </si>
  <si>
    <t>@drfahrettinkoca Öğrenciler salgın döneminde okullarda eğitim görüyor , bu ülkenin evlâtları vatan borcu için ordud… https://t.co/vDr79hWeRt</t>
  </si>
  <si>
    <t>1466519325674819591</t>
  </si>
  <si>
    <t>@drfahrettinkoca @RTErdogan başkanım 4-c den Fahrettin derste çok konuşuyor. Tek ayak üstünde durma cezası ver.</t>
  </si>
  <si>
    <t>1466519043251314692</t>
  </si>
  <si>
    <t>@drfahrettinkoca İlk okulda aşı gelirdi ve hepimiz kolumuzu sıyırıp aşı olurduk. Kimse ne bize ne ailemize sorardı.… https://t.co/9QOqoDXRLa</t>
  </si>
  <si>
    <t>1466518824547758093</t>
  </si>
  <si>
    <t>@drfahrettinkoca Sayın Bakan, pazar günü Beylikdüzü Devlet Hastanesi'ne covid testi için gittim. Ancak meslek kartı… https://t.co/exNcnSGBbH</t>
  </si>
  <si>
    <t>1466518528325005314</t>
  </si>
  <si>
    <t>@drfahrettinkoca Aşıdan sonra hasta olmayan kalmadı  sanırım aşı sürü bağışıklığini sağladı   alkış 👏</t>
  </si>
  <si>
    <t>1466518078657904646</t>
  </si>
  <si>
    <t>@drfahrettinkoca Kandırıldık ,kandırıldık kandırıldınız olmasın 'O</t>
  </si>
  <si>
    <t>1466517578503831552</t>
  </si>
  <si>
    <t>@drfahrettinkoca 😁 https://t.co/u98gEFUI4p</t>
  </si>
  <si>
    <t>1466516632780554257</t>
  </si>
  <si>
    <t>@drfahrettinkoca ya sen ne omurgasız insansın yalan söylemeye utanmıyor musun?</t>
  </si>
  <si>
    <t>1466516323379433474</t>
  </si>
  <si>
    <t>@drfahrettinkoca @drfahrettinkoca #SağlıkçıİşBırakıyor</t>
  </si>
  <si>
    <t>1466516125198561287</t>
  </si>
  <si>
    <t>@drfahrettinkoca Allah sizden razı olsun bakanım</t>
  </si>
  <si>
    <t>1466516073562488841</t>
  </si>
  <si>
    <t>@drfahrettinkoca Gerçek vakaları söyleyin bakanım kimse bu tabloya inanmıyor</t>
  </si>
  <si>
    <t>1466515841885872129</t>
  </si>
  <si>
    <t>@drfahrettinkoca Salgın hayatı değiştirdi herkesin gerçek yüzü ortaya çıktı</t>
  </si>
  <si>
    <t>1466515814425706500</t>
  </si>
  <si>
    <t>@drfahrettinkoca konuşmak için izin aldın mı sen bakayımm</t>
  </si>
  <si>
    <t>1466515722503434243</t>
  </si>
  <si>
    <t>@drfahrettinkoca #YerliAşı yı bekliyoruz</t>
  </si>
  <si>
    <t>1466515228578005002</t>
  </si>
  <si>
    <t>@drfahrettinkoca Size neden güvenmiyorum acaba yeni düzene sert giriş yaptık dediniz olay anlaşılmıştır bengi başer… https://t.co/CodUN6Gms8</t>
  </si>
  <si>
    <t>1466515061191626757</t>
  </si>
  <si>
    <t>@drfahrettinkoca Şu herhangi  paylaştığınız mavi Türkiye Aşı başarısı  sağlık  camiasınındır.Ama siz bizi görmezsiniz...</t>
  </si>
  <si>
    <t>1466515037678358536</t>
  </si>
  <si>
    <t>@drfahrettinkoca Yorumsuz. https://t.co/7qxL5uC2Mq</t>
  </si>
  <si>
    <t>1466514099827884034</t>
  </si>
  <si>
    <t>@drfahrettinkoca Fırçayı yedin..istifa et</t>
  </si>
  <si>
    <t>1466513479100256265</t>
  </si>
  <si>
    <t>@drfahrettinkoca Para şerefini satın almasın Şerefin paraýı satın alsın   Para dediğin nedirki? Mürekkepli bir kağı… https://t.co/Rc0BjQaG2Z</t>
  </si>
  <si>
    <t>1466513461215731713</t>
  </si>
  <si>
    <t>1466512938609651713</t>
  </si>
  <si>
    <t>@drfahrettinkoca Asıl değişmesi gerekenler değişmedi hala!</t>
  </si>
  <si>
    <t>1466512831101218818</t>
  </si>
  <si>
    <t>@drfahrettinkoca Nerde maske mesafe yeter artık yaaa.... https://t.co/WfanbZnkNw</t>
  </si>
  <si>
    <t>1466512713463570438</t>
  </si>
  <si>
    <t>@drfahrettinkoca Bu tablo şey gibi youtube da çekilen videonun kurgusunu yönetmek gibi bir şey. Almanya da neden 60… https://t.co/23foSzAByx</t>
  </si>
  <si>
    <t>1466512554545590278</t>
  </si>
  <si>
    <t>@drfahrettinkoca insanlar artık bıktı bu hastalıktan ilşalah bir gün biter de insalar rahatlar ilşalah</t>
  </si>
  <si>
    <t>1466511145653702657</t>
  </si>
  <si>
    <t>@drfahrettinkoca Salgın hayatı değiştirmedi Siz salgını uydurup hayatımızı değiştirdiniz Gözünüzü toprak doyursun n… https://t.co/INVov4Qp9c</t>
  </si>
  <si>
    <t>1466511129644044298</t>
  </si>
  <si>
    <t>@drfahrettinkoca Faz 1 Faz 2 Faz 3 çalışmaları Konullu aşı adayı denek insanlar üzerinde yapılması ne kadar doğru v… https://t.co/XfMVf2zwmd</t>
  </si>
  <si>
    <t>1466510942951333891</t>
  </si>
  <si>
    <t>@drfahrettinkoca Aşıladığınız daha beter oldu mesela? Bunları dert ediyormusun yoksa dert etmek için iİn mi bekliyorsunuz?</t>
  </si>
  <si>
    <t>1466510789481803780</t>
  </si>
  <si>
    <t>@drfahrettinkoca @saglikbakanligi İyi aksamalry,gözlerimden rahatsızım ,randevular hep dolu muayene olamıyorum,yardımcı olabilir misiniz</t>
  </si>
  <si>
    <t>1466510479371776005</t>
  </si>
  <si>
    <t>@drfahrettinkoca @saglikbakanligi %99.5 HAYATTA KALMA ORANI olan ; olağan şartlarda öldürme yaş alt sınırı 80 olan… https://t.co/zyWqZ3GcEd</t>
  </si>
  <si>
    <t>1466510152585068548</t>
  </si>
  <si>
    <t>@drfahrettinkoca Yeter ya okullar kapat</t>
  </si>
  <si>
    <t>1466509657153880065</t>
  </si>
  <si>
    <t>@drfahrettinkoca 2500-5000 ₺ zam yaptırdığınız dr aşısız insanları tehdit ediyor! Mesela eline düşse ne yapacak? https://t.co/m0ONZKDzWd</t>
  </si>
  <si>
    <t>1466509202126475264</t>
  </si>
  <si>
    <t>@drfahrettinkoca Yazıklar olsun sn @drfahrettinkoca yani bir atama süreci bu kadar mı ağırdan alınır? Nerede bu kıl… https://t.co/h1dj0QSpgX</t>
  </si>
  <si>
    <t>1466509024241893386</t>
  </si>
  <si>
    <t>@drfahrettinkoca Er geççç yargılanacaksınız rabbim ben ölmeden göstersin 2 kalp ameliyatlı oğluma zorla verilen 3 h… https://t.co/28NryzZQR7</t>
  </si>
  <si>
    <t>1466508539384451100</t>
  </si>
  <si>
    <t>@drfahrettinkoca Seni severdim,taki geçen yaptığını söylediğini inkar edene kadar üzücü</t>
  </si>
  <si>
    <t>1466508081337143309</t>
  </si>
  <si>
    <t>@drfahrettinkoca Ya şu tabloyu az değiştirseniz bari aylardır aynı aklımızla alenen korkusuzca dalga geçiyor ve Egl… https://t.co/oVcNfB6H6J</t>
  </si>
  <si>
    <t>1466507986885656582</t>
  </si>
  <si>
    <t>@drfahrettinkoca Atama yap FAHREDDİN</t>
  </si>
  <si>
    <t>1466507594923757578</t>
  </si>
  <si>
    <t>@drfahrettinkoca 23238 vaka var toplamda</t>
  </si>
  <si>
    <t>1466507578561732610</t>
  </si>
  <si>
    <t>@drfahrettinkoca Ben o elit kesimleri görcem cehennemin ortasında onlara kalmış insanları öldürtmeye ama bizim devl… https://t.co/z3k85si3JL</t>
  </si>
  <si>
    <t>1466507132728135686</t>
  </si>
  <si>
    <t>@drfahrettinkoca Büyük devletlerde para kalmayınca virüs çıkartıp tüm dünyaya yayıp sonra aşısını tüm dünyaya satın… https://t.co/vwEVMsRP4J</t>
  </si>
  <si>
    <t>1466506894894317573</t>
  </si>
  <si>
    <t>@drfahrettinkoca Yürü git 😡 #fahrettinkoca https://t.co/COoi7AWKFM</t>
  </si>
  <si>
    <t>1466506355687235585</t>
  </si>
  <si>
    <t>@drfahrettinkoca İnsanlar aşıya inanmıyor. Çevremde bir sürü kişi yok şu son aşıyı yaptı ondan öldü diyorlar. İnsan… https://t.co/zMYfmffelO</t>
  </si>
  <si>
    <t>1466506043488292865</t>
  </si>
  <si>
    <t>@drfahrettinkoca Hastane yoğun bakımda olan hastaların araştırılması yoğun bakımda olan hastaların hepsi aşılı bunl… https://t.co/7KDdBSZ8RC</t>
  </si>
  <si>
    <t>1466505326644105222</t>
  </si>
  <si>
    <t>@drfahrettinkoca Sonuçlar biraz sevindiriyor, ama keşke ölümle daha da düşse.</t>
  </si>
  <si>
    <t>1466504919540809753</t>
  </si>
  <si>
    <t>@drfahrettinkoca Okulları online yapın</t>
  </si>
  <si>
    <t>1466504638346276864</t>
  </si>
  <si>
    <t>@drfahrettinkoca Yarın kılavuz</t>
  </si>
  <si>
    <t>1466504520385585156</t>
  </si>
  <si>
    <t>@drfahrettinkoca Örnegin  favira adlı ilacı   kullanım tarihi  geçmiş olmasına ve yan etkilerinin  fazla olması seb… https://t.co/ttY6yfRsAH</t>
  </si>
  <si>
    <t>1466504262830149633</t>
  </si>
  <si>
    <t>@drfahrettinkoca Phfzr mahkemelerini de konuş sayın bakan 55 sene sır kalması gereken ama ortaya dökülecek dosyaları da</t>
  </si>
  <si>
    <t>1466504191342485508</t>
  </si>
  <si>
    <t>@drfahrettinkoca Covidden olenlere otopsi yapin once.</t>
  </si>
  <si>
    <t>1466504186460348418</t>
  </si>
  <si>
    <t>@drfahrettinkoca % 85 'nin aşılandığı ülkemizde vaka ve ölüm sayıları neden düşmüyor?</t>
  </si>
  <si>
    <t>1466504185743085574</t>
  </si>
  <si>
    <t>@drfahrettinkoca Aynen öyle bakanım aşı olalım kurallara uyalım  sevdiklerimizi koruyalım</t>
  </si>
  <si>
    <t>1466503702546726917</t>
  </si>
  <si>
    <t>@drfahrettinkoca Aşı olmak sinek yutup ölsün diye böcek ilacı içmek gibidir. Maske takmakta cam yerine demir parmak… https://t.co/QTNGUKTlEb</t>
  </si>
  <si>
    <t>1466503634397630465</t>
  </si>
  <si>
    <t>@drfahrettinkoca #SağlıkcıİsBırakıyor</t>
  </si>
  <si>
    <t>1466503506467209223</t>
  </si>
  <si>
    <t>@drfahrettinkoca İyi de,bu önem verdiğin hatta önerdiğin sıvının   p f z r ı nı mahkeme insanları bile bile hasta e… https://t.co/wSSLGh9VH7</t>
  </si>
  <si>
    <t>1466503459151261697</t>
  </si>
  <si>
    <t>@drfahrettinkoca Kusüratlı</t>
  </si>
  <si>
    <t>1466503371750313990</t>
  </si>
  <si>
    <t>@drfahrettinkoca https://t.co/dbqsSxnxFE</t>
  </si>
  <si>
    <t>1466503261821841408</t>
  </si>
  <si>
    <t>@drfahrettinkoca Aşının  bulunmasıyla  peki bu aşı kaç  ayda bulundu 6 ay   aşı denemelri kaç mılyon  üzerinde dene… https://t.co/UaNwExDDfu</t>
  </si>
  <si>
    <t>1466503129302769671</t>
  </si>
  <si>
    <t>@drfahrettinkoca Onlar kötü planlarını gizleyerek, halka hile ile güzel gösterdiler. Halbuki planları ALLAH'ın kont… https://t.co/Vs7CzHCUzB</t>
  </si>
  <si>
    <t>1466503107395862534</t>
  </si>
  <si>
    <t>@drfahrettinkoca Hiç bir zaman anlamlı bir cümle kuramayan cümlelerinde bile tutarlılık olmayan sırf bir şeyler yaz… https://t.co/w27KDFwSGa</t>
  </si>
  <si>
    <t>1466502903758266383</t>
  </si>
  <si>
    <t>@drfahrettinkoca Sırf bu bakan yüzüne hükümete oy vermeyeceğim</t>
  </si>
  <si>
    <t>1466502483933638660</t>
  </si>
  <si>
    <t>@drfahrettinkoca Havada asılı kalan mikro damlacıklardan yayıldığı kanıtlanmış başta  Covid-19 olmak üzere  Birçok… https://t.co/qkA3Yv0Z9D</t>
  </si>
  <si>
    <t>1466502437888565249</t>
  </si>
  <si>
    <t>1466502208434941965</t>
  </si>
  <si>
    <t>1466502160175218694</t>
  </si>
  <si>
    <t>1466502100360253442</t>
  </si>
  <si>
    <t>@drfahrettinkoca Ne olunması lazım kolunu kaybedip ölümle mi sonuçlansın. Geç olunmadan müdahale bekliyoruz. Size g… https://t.co/gaR4Nc65KS</t>
  </si>
  <si>
    <t>1466501839239761923</t>
  </si>
  <si>
    <t>@drfahrettinkoca Annemin sol kolunu kaybetmek istemiyorum. Geç olunmadan müdahale edilsinn</t>
  </si>
  <si>
    <t>1466501516521615362</t>
  </si>
  <si>
    <t>@drfahrettinkoca Aşıdan sonra başıma gelen doktorlar bile muayene de gülüyor</t>
  </si>
  <si>
    <t>1466501424569802757</t>
  </si>
  <si>
    <t>@drfahrettinkoca Doktorlar bir şey bilmediklerini söylüyor canımız kime emanet sayın Fahrettin koca</t>
  </si>
  <si>
    <t>1466501368928210964</t>
  </si>
  <si>
    <t>@drfahrettinkoca Bize yardım edin yardımmmm, annemin 2. Biontech aşısından sonra sol kolunu kullanamıyor</t>
  </si>
  <si>
    <t>1466501258882297864</t>
  </si>
  <si>
    <t>@drfahrettinkoca Dunyada asiya senden baska onem veren kalmadi (son asi vurucu)</t>
  </si>
  <si>
    <t>1466500954996543491</t>
  </si>
  <si>
    <t>@drfahrettinkoca 3 2 1 inandık</t>
  </si>
  <si>
    <t>1466500931189620739</t>
  </si>
  <si>
    <t>@drfahrettinkoca @saglikbakanligi Başakşehir çam ve sakura hastanesi çocuk  acil doktorlarının bazıları oldukça tec… https://t.co/PXg5ucP56D</t>
  </si>
  <si>
    <t>1466500891591249925</t>
  </si>
  <si>
    <t>@drfahrettinkoca KLAVUZ GELMİYOR YA HANİ, ALLAH SİZE SORAR HESABINI ❌</t>
  </si>
  <si>
    <t>1466500798003744778</t>
  </si>
  <si>
    <t>@drfahrettinkoca ÖNEMLİDİR SMA HASTASI BEBEĞİN SİZİN 1TL SİNE  DAHİ İHTİYACI VAR.7 AYLIK BEBEK AZ ZAMAN KALDI LÜTFE… https://t.co/aSnlvyYkan</t>
  </si>
  <si>
    <t>1466500794811830281</t>
  </si>
  <si>
    <t>@drfahrettinkoca @saglikbakanligi bakanin dustugu duruma bak, https://t.co/qtdYl0MVW1 bence istifa et dicem ama sen… https://t.co/4UUqz44kQs</t>
  </si>
  <si>
    <t>1466500748691263490</t>
  </si>
  <si>
    <t>@drfahrettinkoca Kış ayında soğuk havalarda 40-45 kişilik sınıflar ne yapıcak sayın bakan? Sizleri başta tutan bizi… https://t.co/drKnmTymkw</t>
  </si>
  <si>
    <t>1466500728877428736</t>
  </si>
  <si>
    <t>@drfahrettinkoca Omicron varyantı Türkiye’de görülmüş şimdi de okulu Online çekmeyince görün kaç vaka oluyor hatta… https://t.co/2Ks00UFB7j</t>
  </si>
  <si>
    <t>1466500679908872201</t>
  </si>
  <si>
    <t>@drfahrettinkoca Aşı pazarlamacısı yine iş başında.. Sattığı Aşı başına kaç para prim alıyor acaba bu? Bizim ülkeye… https://t.co/YNEasahP4Z</t>
  </si>
  <si>
    <t>1466500334419857408</t>
  </si>
  <si>
    <t>@drfahrettinkoca Sayın bakayım şu haritada turuncu olan iller en az aşılı yerler ve buralar en az vakaya sahip olan… https://t.co/Mso3dBFLT7</t>
  </si>
  <si>
    <t>1466500053087010818</t>
  </si>
  <si>
    <t>@drfahrettinkoca Sayın bakanım bir sağlıkçı bir hemşire olarak dün söylediklerinizden sonra mesleği bırak hayattan soğudum resmen tşkler</t>
  </si>
  <si>
    <t>1466499875852500997</t>
  </si>
  <si>
    <t>@drfahrettinkoca Babamda aşıya sizin söylemlerinize inandı güvendi aşıdan hemen sonra hastalandı vefat etti ölüm ra… https://t.co/6gq3zZnCM3</t>
  </si>
  <si>
    <t>1466499855052857344</t>
  </si>
  <si>
    <t>@drfahrettinkoca Önlem varmiydi ki kısmen esnekleşsin okulları yurtları doldurup kapalı alanlarda kalmayınız demeni… https://t.co/NL6Gqc7w2G</t>
  </si>
  <si>
    <t>1466499612462792711</t>
  </si>
  <si>
    <t>@drfahrettinkoca Singapur, dünyada bir COVID-19 cesedinin otopsisini (ölüm sonrası) gerçekleştiren ilk ülke oldu.… https://t.co/0kAGYHSJgP</t>
  </si>
  <si>
    <t>1466499539465125892</t>
  </si>
  <si>
    <t>1466499212921683980</t>
  </si>
  <si>
    <t>@drfahrettinkoca Vefat edenler hiç değişmiyor 192,194,196 doğru olanı yazın milletten bir şey saklamayın artık millet salak değil</t>
  </si>
  <si>
    <t>1466499180227092492</t>
  </si>
  <si>
    <t>@drfahrettinkoca #smadegilbizgüçlüyüz diyerek Hazar bebegimizi  ve tüm Sma hastası bebeklerimizi bu zorlu mücadeles… https://t.co/uC2lcVOcrF</t>
  </si>
  <si>
    <t>1466499021367914504</t>
  </si>
  <si>
    <t>@drfahrettinkoca Sn.bakanim ve çok kıymetli yüce bilim kurulu; işin uzmanı degilim lakin arastirmaciyim dir, tabiri… https://t.co/j613ewW4Ox</t>
  </si>
  <si>
    <t>1466498973816995847</t>
  </si>
  <si>
    <t>@drfahrettinkoca #smadegilbizgüçlüyüz diyerek Hazar bebegimizi  ve tüm Sma hastası bebeklerimizi bu zorlu mücadeles… https://t.co/LK07lIBl30</t>
  </si>
  <si>
    <t>1466498938681413633</t>
  </si>
  <si>
    <t>@drfahrettinkoca Gelin artık şuna aşı değilde deneysel sıvı diyelim sayın bakanım.😂😂👇👇 https://t.co/ksI3vRwA8c</t>
  </si>
  <si>
    <t>1466498346739277830</t>
  </si>
  <si>
    <t>@drfahrettinkoca Umarım bu açıklamaları yapmadan önce saraydan izin almışsınızdır!</t>
  </si>
  <si>
    <t>1466498199938551814</t>
  </si>
  <si>
    <t>@drfahrettinkoca Time Dergisi burda günümüz doktorları için ne demiş olabilir?😂😂😂 https://t.co/D4KkXYwDFa</t>
  </si>
  <si>
    <t>1466497742939820043</t>
  </si>
  <si>
    <t>@drfahrettinkoca Ne hikmetse vaka sayıları hep 21 bin civarında vefat sayisilarida hep 200 civarında bizdeki virüs… https://t.co/1PujJ3iELH</t>
  </si>
  <si>
    <t>1466497606742425605</t>
  </si>
  <si>
    <t>@drfahrettinkoca Tedbir denilenlerin sonuçlarını bugün ekonomiye, fiziksel ve ruhsal sağlığımıza olumsuz etkilerini çok net görüyoruz.</t>
  </si>
  <si>
    <t>1466497160359387140</t>
  </si>
  <si>
    <t>@drfahrettinkoca Online eğitim tembellik değildir, önümüz kış ve sağlığımız risk altında lütfen. SAĞLIĞIMIZ için SA… https://t.co/tNX8Ag6vHu</t>
  </si>
  <si>
    <t>1466496710830706695</t>
  </si>
  <si>
    <t>@drfahrettinkoca Er geç yargılanacaksın FahrettinKoca sen benim babamın ölüm sebebi oldun sen benim babamın favipir… https://t.co/DDnHpbljtk</t>
  </si>
  <si>
    <t>1466496697958383621</t>
  </si>
  <si>
    <t>@drfahrettinkoca Benim hayatim hic degismedi</t>
  </si>
  <si>
    <t>1466496559764357142</t>
  </si>
  <si>
    <t>@drfahrettinkoca Artık size saygı duyan kaldı mı bilmiyorum</t>
  </si>
  <si>
    <t>1466496488222171140</t>
  </si>
  <si>
    <t>@drfahrettinkoca 😂😂😂😂🤭</t>
  </si>
  <si>
    <t>1466495963283922946</t>
  </si>
  <si>
    <t>@drfahrettinkoca Bu istikrar şaşırtıcı her gün aralıksız Aşı dediniz.sizin açıklamalarınızi dinleyen aklı selim bir… https://t.co/Sq5EV3NHIK</t>
  </si>
  <si>
    <t>1466495893033598987</t>
  </si>
  <si>
    <t>@drfahrettinkoca Kendiniz yazar kendiniz okursunuz artık.  #SağlıkcıİsBırakıyor</t>
  </si>
  <si>
    <t>1466495824192491527</t>
  </si>
  <si>
    <t>@drfahrettinkoca Hertaraf mavide olsa artıkbirşey ifade etmiyor. Bunu sizde biliyor ama ifade edemiyorsunuz. Siz de… https://t.co/HAHlA7Nmsf</t>
  </si>
  <si>
    <t>1466495781603524610</t>
  </si>
  <si>
    <t>@drfahrettinkoca Elektron mikroskobunda zorla görülen bir virüsü gözle görünür delikleri olan bir maskeyle korunaca… https://t.co/yd9CYDaEW9</t>
  </si>
  <si>
    <t>1466495746140692488</t>
  </si>
  <si>
    <t>1466495671540883458</t>
  </si>
  <si>
    <t>@drfahrettinkoca Öncelikle Doktorların diyarı, Fahrettin Bakanlığın’dan tüm Dünyaya  selamlar..</t>
  </si>
  <si>
    <t>1466495589517045761</t>
  </si>
  <si>
    <t>@drfahrettinkoca Bir sağlıkçı olarak aaa pardon dün sağlıkçı olmadığımı öğrendim ne olduğumu bilmiyorum hastenede c… https://t.co/fgScmm9iPF</t>
  </si>
  <si>
    <t>1466495418242580481</t>
  </si>
  <si>
    <t>@drfahrettinkoca Ne söyledin… ne söyledin..  yine ne söyledin…</t>
  </si>
  <si>
    <t>1466495292799393801</t>
  </si>
  <si>
    <t>@drfahrettinkoca Sayın fahrettin koca aşı yaptırın dediniz anneme aşı yaptır dım 1 hafta sonra annemi kaybettim siz… https://t.co/gMXQAxA8tH</t>
  </si>
  <si>
    <t>1466494961604562956</t>
  </si>
  <si>
    <t>@drfahrettinkoca Yahu sen sagirmisin ,kormüsün bil Gates ve fda başındaki adam aşilar gerekli araştırma yapmadığı i… https://t.co/MxjvwEjCsm</t>
  </si>
  <si>
    <t>1466494878406295556</t>
  </si>
  <si>
    <t>@drfahrettinkoca Allah seni bildiği gibi yapsın.  Ben sana bişey söylemiyorum  sen kendi kafandan bul. 😡 https://t.co/R2aGqyL9RR</t>
  </si>
  <si>
    <t>1466494802254565378</t>
  </si>
  <si>
    <t>@drfahrettinkoca @drfahrettinkoca biz sağlık çalışanları iş bırakıyoruz.. https://t.co/scpoK5RRdx</t>
  </si>
  <si>
    <t>1466494445625487364</t>
  </si>
  <si>
    <t>@drfahrettinkoca Bu kadar aşıyı kim yapmış ki?</t>
  </si>
  <si>
    <t>1466494282530004993</t>
  </si>
  <si>
    <t>@drfahrettinkoca Sn Doktor Bakanı</t>
  </si>
  <si>
    <t>1466494195573657602</t>
  </si>
  <si>
    <t>@drfahrettinkoca Omikron Türkiye' ye gelmiş bakanım ,bilgıniz olsun 😒</t>
  </si>
  <si>
    <t>1466494160551174144</t>
  </si>
  <si>
    <t>@drfahrettinkoca #SağlıkcıİsBırakıyor diyoruz bu kayıtsızlık, umursamazlık.. çok yazık!</t>
  </si>
  <si>
    <t>1466494116385144833</t>
  </si>
  <si>
    <t>@drfahrettinkoca sağlık için aşı şart</t>
  </si>
  <si>
    <t>1466493992351289350</t>
  </si>
  <si>
    <t>@drfahrettinkoca Ne güzel bir söz: En büyük köle,kötü bir despot tarafından idare edilen değil, kendi manevi cahill… https://t.co/Rr2HDBobpT</t>
  </si>
  <si>
    <t>1466493769742786571</t>
  </si>
  <si>
    <t>@drfahrettinkoca @RTErdogan hem 666 Fahriye inanmıyorsun Hem başımıza bela ediyosun.kimden korkuyorsun.hani kefenin… https://t.co/aDYsijUjxm</t>
  </si>
  <si>
    <t>1466493751828885510</t>
  </si>
  <si>
    <t>@drfahrettinkoca Atama neden yapılmıyor sayın bakanım?Lütfen hiç değilse bir açıklama yapın.</t>
  </si>
  <si>
    <t>1466493440011780097</t>
  </si>
  <si>
    <t>@drfahrettinkoca Lütfen siz ölümlüler tedbirlere uymaya devam edin Kendinizi ölümsüzlerle Dinazorlarla Soykırımcıla… https://t.co/41X4wcInCS</t>
  </si>
  <si>
    <t>1466493408944480259</t>
  </si>
  <si>
    <t>@drfahrettinkoca @saglikbakanligi Aziz Milletimiz sizi hiç unutmayacak?</t>
  </si>
  <si>
    <t>1466493372059861001</t>
  </si>
  <si>
    <t>@drfahrettinkoca Bırak ya zalimler için yaşasın cehennem @drfahrettinkoca</t>
  </si>
  <si>
    <t>1466492791064834051</t>
  </si>
  <si>
    <t>@drfahrettinkoca Biz 💉 karşıtlarına rezerve ettiğiniz 3 nolu Biontech şişelerini meclisteki plandemi destekçisi tüm… https://t.co/cbJcIWVdJZ</t>
  </si>
  <si>
    <t>1466492705278726153</t>
  </si>
  <si>
    <t>@drfahrettinkoca Hayatımızın değişmesine sebep olanın ALLAH belasını versin.</t>
  </si>
  <si>
    <t>1466492586529542151</t>
  </si>
  <si>
    <t>@drfahrettinkoca Sayin  bakanım ondanmi otobusler  agzina kadar cakili  adamla dolmuslar cafeler  agzina kadar dolu… https://t.co/To0fQM7ERw</t>
  </si>
  <si>
    <t>1466492583392296960</t>
  </si>
  <si>
    <t>@drfahrettinkoca 12 yaş altı çocuklara aşılama başlamadı ne zaman başlayacaksınız?</t>
  </si>
  <si>
    <t>1466492564484374540</t>
  </si>
  <si>
    <t>@drfahrettinkoca Koskoca adamsınız azarlanırken utanmadınız mı? Size bir vatandaş olarak soruyorum düştüğümüz çukur… https://t.co/LBmuh8KCUj</t>
  </si>
  <si>
    <t>1466492550387322884</t>
  </si>
  <si>
    <t>@drfahrettinkoca Pfizer bunları saklıyor mahkemeye vermiş.UYAN !!!!! https://t.co/FZLfrhw6Pf</t>
  </si>
  <si>
    <t>1466492296241811468</t>
  </si>
  <si>
    <t>@drfahrettinkoca https://t.co/wTlVDmV1Ax</t>
  </si>
  <si>
    <t>1466492285542178824</t>
  </si>
  <si>
    <t>@drfahrettinkoca Faz3 ve Faz4 ünü tamamlamamış denysel sıvıları aşı diye millete enjekte ettiniz ya..!? sizi Allah'… https://t.co/o280t8GRT6</t>
  </si>
  <si>
    <t>1466492150317727749</t>
  </si>
  <si>
    <t>@drfahrettinkoca Suriyeli kardeslerinzi çok sevin siz zaten sma li bebekler sizin değil yazıklar olsun..... https://t.co/YwxGjh3aId</t>
  </si>
  <si>
    <t>1466492039755927564</t>
  </si>
  <si>
    <t>@drfahrettinkoca Ölüm ilaçlarıyla sizi öldürdüm Tedavileri erteleyerek öldürdüm Sizi faz 3 için kobay yaptım diyen… https://t.co/Hzws4QyD4L</t>
  </si>
  <si>
    <t>1466491870733914120</t>
  </si>
  <si>
    <t>@drfahrettinkoca Hekim dışı sağlık çalışanları iş bırakma eylemi yapacak duydunuz mu acaba? @drfahrettinkoca #SağlıkçıİşBırakıyor</t>
  </si>
  <si>
    <t>1466491853591695375</t>
  </si>
  <si>
    <t>@drfahrettinkoca Etrafım da herkes aşı olmasına rağmen kovid geçirdi bi çok kişi de hayatını kaybetti işe yaramıyorsa neden aşı oluyoruz ?</t>
  </si>
  <si>
    <t>1466491819638861827</t>
  </si>
  <si>
    <t>@drfahrettinkoca Bu hassasiyetinizi pandemide cansiperane çalışan diğer sağlık çalışanına da gosterebilseydiniz sayın bakan.</t>
  </si>
  <si>
    <t>1466491541145493509</t>
  </si>
  <si>
    <t>1466491235594612743</t>
  </si>
  <si>
    <t>@drfahrettinkoca Sayın bakanım,  sizi artık takmıyorum</t>
  </si>
  <si>
    <t>1466491166220824577</t>
  </si>
  <si>
    <t>@drfahrettinkoca Nereye kadar vakaları gizleyip milleti kandıracaksın sayın bakanım ?</t>
  </si>
  <si>
    <t>1466490992174022670</t>
  </si>
  <si>
    <t>@drfahrettinkoca Ente Mevlana Fensurna Alel Gavmil Kafirin..!  Zalimler Topluluğuna Karşı Bizlere Yardım Et Allah'ı… https://t.co/GZH0fhq7Ij</t>
  </si>
  <si>
    <t>1466490689718476800</t>
  </si>
  <si>
    <t>@drfahrettinkoca "önlemlerin esnekleşmesi" demek yanlis olur sn bakan zira cevremizde gordugum kadariyla önlemler u… https://t.co/9NUTdvgDxo</t>
  </si>
  <si>
    <t>1466490660228415490</t>
  </si>
  <si>
    <t>@drfahrettinkoca Yorumları okudum da tek bir kimse yok sizi destekleyen. Neden acaba?</t>
  </si>
  <si>
    <t>1466490487121063941</t>
  </si>
  <si>
    <t>@drfahrettinkoca Sizde vicdan falan kalmamış hala milleti kandırıyorsunuz nereye kadar?</t>
  </si>
  <si>
    <t>1466490012313260033</t>
  </si>
  <si>
    <t>@drfahrettinkoca tamam dikkatli oluruz</t>
  </si>
  <si>
    <t>1466489902804181001</t>
  </si>
  <si>
    <t>1466489719030751240</t>
  </si>
  <si>
    <t>@drfahrettinkoca Bakanım artık günlük verileri açıklamaktan ziyade, verdiğiniz bu atama sözünü bi an yerine getirse… https://t.co/DuMXI8T7E7</t>
  </si>
  <si>
    <t>1466489342101180416</t>
  </si>
  <si>
    <t>@drfahrettinkoca Önümüzdeki 2 yıl çok kritik🤨</t>
  </si>
  <si>
    <t>1466489322979397634</t>
  </si>
  <si>
    <t>@drfahrettinkoca Önlem mı kaldı?Temmuzdan beri ne tedbir var ne önlem ve ne denetim. Hatta temaslı takibi bile yok.… https://t.co/l8mxmJYW0x</t>
  </si>
  <si>
    <t>1466489320362188805</t>
  </si>
  <si>
    <t>@drfahrettinkoca https://t.co/qOGzdwszmx</t>
  </si>
  <si>
    <t>1466488944766464014</t>
  </si>
  <si>
    <t>@drfahrettinkoca Vallaha bıktık ya billaha bıktık ya yeter ya.</t>
  </si>
  <si>
    <t>1466488763647934468</t>
  </si>
  <si>
    <t>@drfahrettinkoca https://t.co/r5rrMSFSmo</t>
  </si>
  <si>
    <t>1466488733411254272</t>
  </si>
  <si>
    <t>@drfahrettinkoca Sizde nasıl vicdan var nasıl bir kalp var merak ediyorum?insan hayatı bukadar değersiz sizin gözün… https://t.co/9Wjgf3flHi</t>
  </si>
  <si>
    <t>1466488624686505993</t>
  </si>
  <si>
    <t>@drfahrettinkoca İnsanların hayatını zehir ettiniz ölenler öldü kalanların ruh sağlığı mahvoldu maddi manevi her türlü zarar</t>
  </si>
  <si>
    <t>1466488610291691525</t>
  </si>
  <si>
    <t>@drfahrettinkoca Etrafımda aşı olanların hayat kalitesi  480 piksel oldu https://t.co/L2i3Lo08aY</t>
  </si>
  <si>
    <t>1466488410487545869</t>
  </si>
  <si>
    <t>@drfahrettinkoca https://t.co/3F9QqezIZF</t>
  </si>
  <si>
    <t>1466488331466952722</t>
  </si>
  <si>
    <t>@drfahrettinkoca Abim Aşıdan önce gayet sağlıklıydı iki doz aşıdan sonra sürekli hasta oluyor aşınız batsın yalanın… https://t.co/TaSEUbscKg</t>
  </si>
  <si>
    <t>1466488006395715585</t>
  </si>
  <si>
    <t>@drfahrettinkoca Bizim hayatımızı değiştirmedi. Aynı yaşıyoruz. Sizde fark etseniz, bizim için sorun yok.</t>
  </si>
  <si>
    <t>1466487991875129352</t>
  </si>
  <si>
    <t>@drfahrettinkoca Bugun de bitti gitti diyorsunuz.Çocukları yine umursamadınız bugün de.Allah merhamet versin kalplerinize</t>
  </si>
  <si>
    <t>1466487899432669188</t>
  </si>
  <si>
    <t>@drfahrettinkoca Ne kadar aşı o kadar kalpten ölüm</t>
  </si>
  <si>
    <t>1466487763453239306</t>
  </si>
  <si>
    <t>@drfahrettinkoca @saglikbakanligi Nasıl bir YALANDAN özgüven patlamasıdır bu tweetteki sözleriniz! Önlemleri esnekl… https://t.co/Go7s98vyEH</t>
  </si>
  <si>
    <t>1466487744209821699</t>
  </si>
  <si>
    <t>@drfahrettinkoca Onurun varsa istifa et https://t.co/Gbf3B69lYR</t>
  </si>
  <si>
    <t>1466487720549748745</t>
  </si>
  <si>
    <t>@drfahrettinkoca Tıpkı ilk günlerde binlerce kişi katıldığınız tarikat liderinin cenazesi gibi mi ya da akp mitingleri gibi mi ??</t>
  </si>
  <si>
    <t>1466487622965121031</t>
  </si>
  <si>
    <t>@drfahrettinkoca Yazıyorum siliyorum yazıyorum siliyorum ama bir türlü kendimi ifade edecek camianın durumunu anlatacak söz bulamıyorum</t>
  </si>
  <si>
    <t>1466487609199366146</t>
  </si>
  <si>
    <t>@drfahrettinkoca Hani 40 bin sağlıkçı atanacakti 🙄</t>
  </si>
  <si>
    <t>1466487551984869384</t>
  </si>
  <si>
    <t>@drfahrettinkoca Biz nasıl halen birşey yapmadan bekliyoruz bilmiyorum ama sabrın bir sonu mutlaka var.</t>
  </si>
  <si>
    <t>1466487231569448963</t>
  </si>
  <si>
    <t>@drfahrettinkoca Türk milletini ilaç şirketlerine denek yaptınız. Hakkımız haram olsun size.</t>
  </si>
  <si>
    <t>1466486980984905743</t>
  </si>
  <si>
    <t>@drfahrettinkoca Dik durmayı sağlayan kemik dizisine "omurga" denir.</t>
  </si>
  <si>
    <t>1466486884763381762</t>
  </si>
  <si>
    <t>@drfahrettinkoca Okullar tamamiyle normal. Okullarda her türlü toplantı,tören ve kurs yapılıyor.Sınıflar 50-60 kisi… https://t.co/p8uAM0KJs2</t>
  </si>
  <si>
    <t>1466486212210929679</t>
  </si>
  <si>
    <t>@drfahrettinkoca Sn bakanım salgınla mücadele gecesini gündüzüne katan personelinizin bir yazı ile gece mesailerimi… https://t.co/O1uPFLi59p</t>
  </si>
  <si>
    <t>1466486183958130693</t>
  </si>
  <si>
    <t>1466485628791623698</t>
  </si>
  <si>
    <t>@drfahrettinkoca Allah icin SUS!!!!</t>
  </si>
  <si>
    <t>1466485507987107840</t>
  </si>
  <si>
    <t>@drfahrettinkoca 🔴 Prof. Dr. Mehmet Ceyhan: “Omicron varyantı Türkiye’de de var.”  #BilimKuruluOEğrencilerOnlineİstiyor</t>
  </si>
  <si>
    <t>1466485475573706752</t>
  </si>
  <si>
    <t>@drfahrettinkoca Hiç asi olmayanlara neden mecburiyet getirilmiyor ben 2 doz aşı oldum mesela</t>
  </si>
  <si>
    <t>1466485448281366528</t>
  </si>
  <si>
    <t>@drfahrettinkoca Yıllardır verdiğimiz emeği bir kenara koyalım. 2 yıldır pandemide sabahın beşlerine kadar umreden… https://t.co/eNOTB4R7UD</t>
  </si>
  <si>
    <t>1466485112833466380</t>
  </si>
  <si>
    <t>@drfahrettinkoca Lutfettiniz de esnettiniz hayatımızı haşmetmeap; Yahu Allah'ın verdiği ve ayrıca da anayasal garan… https://t.co/EiEL6D9GAM</t>
  </si>
  <si>
    <t>1466484966062268426</t>
  </si>
  <si>
    <t>@drfahrettinkoca Utanma varsa istifa et https://t.co/cqWDz1vNg9</t>
  </si>
  <si>
    <t>1466484271154188291</t>
  </si>
  <si>
    <t>@drfahrettinkoca @Halitustunn Tabii tabii hayat kalitemiz için markaya önem vermeli birkaç şirkete milyar dolarları… https://t.co/nRu5xJ1MsY</t>
  </si>
  <si>
    <t>1466484021802807301</t>
  </si>
  <si>
    <t>@drfahrettinkoca Aşı işportacısı gibisin salgın bakanı ..Pazar tezgahı da kur bağır dur bari..Aşı da aşı !</t>
  </si>
  <si>
    <t>1466484005298225154</t>
  </si>
  <si>
    <t>@drfahrettinkoca Gece gündüz pandemide çalıştıkta ne oldu,ne izin kullandık ne mesai aldık.en sonunda siz sağlık pe… https://t.co/mKjRqOb3HU</t>
  </si>
  <si>
    <t>1466483938801729537</t>
  </si>
  <si>
    <t>@drfahrettinkoca Sende gurur olsa istifa edersin Fahreddin kameraların önünde aşağılıyor sen hala sırıtıyon  karşısında  utan Fahreddin</t>
  </si>
  <si>
    <t>1466483930044026885</t>
  </si>
  <si>
    <t>@drfahrettinkoca Aşılamada sonuncu olan Şanlıurfa'nın vakan bildirimi binde 45 iken Aşılamada doğu ve güneydoğunun… https://t.co/NkHyXopFGG</t>
  </si>
  <si>
    <t>1466483838251642885</t>
  </si>
  <si>
    <t>@drfahrettinkoca Maskesiz koruyan aşı yapmışlar. https://t.co/GETpJTSGlq</t>
  </si>
  <si>
    <t>1466483498785644553</t>
  </si>
  <si>
    <t>@drfahrettinkoca Sansina küs sayin bakanim bugünkü testim de negativ 🤠🤠🤠 https://t.co/CRjGAIK8R1</t>
  </si>
  <si>
    <t>1466483463750565890</t>
  </si>
  <si>
    <t>@drfahrettinkoca Her koyun kendi bacağından asılır politikası..12 yaş altı grubu ne olacak peki? Onlar adamdan sayı… https://t.co/gN8TX5bz55</t>
  </si>
  <si>
    <t>1466483438777774088</t>
  </si>
  <si>
    <t>@drfahrettinkoca ayn he Ayn</t>
  </si>
  <si>
    <t>1466483407316267009</t>
  </si>
  <si>
    <t>@drfahrettinkoca dsö ve pcr biterse temize çıkarız</t>
  </si>
  <si>
    <t>1466483269390716931</t>
  </si>
  <si>
    <t>@drfahrettinkoca Aşılara önem verdikçe sonu #Favipiravir gibi oluyor. Bilim Kurulu üyeniz Prof.Dr. Serap Şimşek Yav… https://t.co/jZwQXxEQ2z</t>
  </si>
  <si>
    <t>1466483261236994062</t>
  </si>
  <si>
    <t>@drfahrettinkoca Sağlık çalılanları başta olmak üzere</t>
  </si>
  <si>
    <t>1466483155137929219</t>
  </si>
  <si>
    <t>1466482759371739142</t>
  </si>
  <si>
    <t>@drfahrettinkoca https://t.co/91SYfjOqoV</t>
  </si>
  <si>
    <t>1466482754355445762</t>
  </si>
  <si>
    <t>1466482742674309122</t>
  </si>
  <si>
    <t>1466482724026396675</t>
  </si>
  <si>
    <t>1466482703633723396</t>
  </si>
  <si>
    <t>1466482686860668932</t>
  </si>
  <si>
    <t>1466482669462695945</t>
  </si>
  <si>
    <t>@drfahrettinkoca Çevremdeki herkes hastalıktan kırılıyor vallahi bıktım artık ya kimse bu zamanda yüz yüze eğitim a… https://t.co/vEtgmAmKNg</t>
  </si>
  <si>
    <t>1466482656263221257</t>
  </si>
  <si>
    <t>1466482652903575561</t>
  </si>
  <si>
    <t>1466482634494812173</t>
  </si>
  <si>
    <t>1466482615632945160</t>
  </si>
  <si>
    <t>1466482598327300108</t>
  </si>
  <si>
    <t>1466482578601435146</t>
  </si>
  <si>
    <t>@drfahrettinkoca https://t.co/OzQal8d9YB</t>
  </si>
  <si>
    <t>1466482575891963909</t>
  </si>
  <si>
    <t>1466482529096056840</t>
  </si>
  <si>
    <t>1466482513648529421</t>
  </si>
  <si>
    <t>@drfahrettinkoca Başa mı döndük? https://t.co/n3hn1W80Vl</t>
  </si>
  <si>
    <t>1466482500235055110</t>
  </si>
  <si>
    <t>@drfahrettinkoca Kılavuz ne zaman açıklanacak</t>
  </si>
  <si>
    <t>1466482497773002765</t>
  </si>
  <si>
    <t>@drfahrettinkoca Sayın aşı bakanı artık size kimse güvenmiyor bu deneysel sıvıları da kimse olmak istemiyor DSÖ uşa… https://t.co/QlzsIFl5nQ</t>
  </si>
  <si>
    <t>1466482467246940162</t>
  </si>
  <si>
    <t>@drfahrettinkoca Kııllaavvuuzzzz</t>
  </si>
  <si>
    <t>1466482455423164425</t>
  </si>
  <si>
    <t>@drfahrettinkoca Kııllaavvuuzz</t>
  </si>
  <si>
    <t>1466482424745971717</t>
  </si>
  <si>
    <t>1466482398716170251</t>
  </si>
  <si>
    <t>@drfahrettinkoca Kılavuzz.</t>
  </si>
  <si>
    <t>1466482365048533002</t>
  </si>
  <si>
    <t>1466482335784873986</t>
  </si>
  <si>
    <t>1466482307682947073</t>
  </si>
  <si>
    <t>1466482288645058564</t>
  </si>
  <si>
    <t>1466482271666454531</t>
  </si>
  <si>
    <t>1466482256030191637</t>
  </si>
  <si>
    <t>@drfahrettinkoca #SağlıkcıİsBırakıyor Hicmi duymuyorsunuz sayin bakanim bizleri.</t>
  </si>
  <si>
    <t>1466482099288952834</t>
  </si>
  <si>
    <t>@drfahrettinkoca Anlaşılan şu hayali korona ve pandemi saçmalıklarından kurtulamayacağız... Bilal'e anlatır gibi an… https://t.co/oYAswgGjob</t>
  </si>
  <si>
    <t>1466481998235590662</t>
  </si>
  <si>
    <t>@drfahrettinkoca Sağlıkçılar iş bırakma eylemine gidiyor. Siz  hala salgından  bahsediyorsunuz</t>
  </si>
  <si>
    <t>1466481969299087362</t>
  </si>
  <si>
    <t>@drfahrettinkoca Atama nedir ??nasıl yapılır??</t>
  </si>
  <si>
    <t>1466481398739570695</t>
  </si>
  <si>
    <t>@drfahrettinkoca Sn. Bakan aşıyı yapacak olan #SağlıkcıİsBırakıyor adaletsiz zam kararından dolayı. Bilginiz olsun.… https://t.co/55aNcuX0Rz</t>
  </si>
  <si>
    <t>1466481328015167489</t>
  </si>
  <si>
    <t>@drfahrettinkoca Okulu Online yapin</t>
  </si>
  <si>
    <t>1466480950519504897</t>
  </si>
  <si>
    <t>@drfahrettinkoca Boşver pandemi -mandemi ırgalamaz bizi.Ekonomik kriz salgını var , tek gerçek bu.</t>
  </si>
  <si>
    <t>1466480587246604293</t>
  </si>
  <si>
    <t>@drfahrettinkoca Bu durumdaki sağlık bakanı sizce hiç gerçek rakamları açıklayabilir mi !!! Dünyada tedbirsiz kısıt… https://t.co/F71wz5QG49</t>
  </si>
  <si>
    <t>1466480576941248519</t>
  </si>
  <si>
    <t>@drfahrettinkoca Asısiz olan en azından maskesiz kesinlikle dolaşması yasaklansın @drfahrettinkoca</t>
  </si>
  <si>
    <t>1466480337316372485</t>
  </si>
  <si>
    <t>@drfahrettinkoca def .ol git,,salgin bakani</t>
  </si>
  <si>
    <t>1466480212472913928</t>
  </si>
  <si>
    <t>@drfahrettinkoca Kabul buyurursanız bu hediyeyi size göndermek isterim. Kışın ayaklarınızı ıscak tutar sayın bakanı… https://t.co/d9ObNCrHmB</t>
  </si>
  <si>
    <t>1466480212019920898</t>
  </si>
  <si>
    <t>@drfahrettinkoca https://t.co/5Z5PbtHppb</t>
  </si>
  <si>
    <t>1466480127525769224</t>
  </si>
  <si>
    <t>@drfahrettinkoca Salgindan ölmedik açlıktan ölecek sağlıkçılar sayenizde...</t>
  </si>
  <si>
    <t>1466480089567277057</t>
  </si>
  <si>
    <t>@drfahrettinkoca Sabır taşı mısın mübarek ne atama bekleyenlere ne de haksızlık yaptığın onca sağlıkçıya ses veriyorsun.</t>
  </si>
  <si>
    <t>1466480080230748167</t>
  </si>
  <si>
    <t>@drfahrettinkoca https://t.co/6Du2KoyIWf</t>
  </si>
  <si>
    <t>1466480045522919434</t>
  </si>
  <si>
    <t>@drfahrettinkoca https://t.co/pyR2ivSDkd</t>
  </si>
  <si>
    <t>1466480003634319365</t>
  </si>
  <si>
    <t>@drfahrettinkoca https://t.co/XC9sK5iNRy</t>
  </si>
  <si>
    <t>1466479956670746624</t>
  </si>
  <si>
    <t>@drfahrettinkoca Bakanım sen nezan istifa ediyor Nezaman kurtuluyoruz senden Millet uyandı  Asıl şimdi yandınız sağ… https://t.co/GTJ9u692zl</t>
  </si>
  <si>
    <t>1466479907937079298</t>
  </si>
  <si>
    <t>@drfahrettinkoca https://t.co/7JHAzX85fW</t>
  </si>
  <si>
    <t>1466479891554181130</t>
  </si>
  <si>
    <t>@drfahrettinkoca Aşı olupta bu hastalığa yakalanan bir kişi hafif atlatiyor veya ayakta geçirdi aşı olmuş halde bu… https://t.co/s6qI8cQsmn</t>
  </si>
  <si>
    <t>1466479783093669894</t>
  </si>
  <si>
    <t>@drfahrettinkoca İlk günlerde mahkum gibi belli saatlerde hava almalarına izin verdiğiniz çocuklar,şimdi 8 saat 40… https://t.co/ORj227yii7</t>
  </si>
  <si>
    <t>1466479469791780878</t>
  </si>
  <si>
    <t>@drfahrettinkoca Tüm dünya omicron varyantından dolayı önlemleri arşa çıkardı bizde hala üniversitelere online eğit… https://t.co/YxusnQ4iSE</t>
  </si>
  <si>
    <t>1466479353563426816</t>
  </si>
  <si>
    <t>@drfahrettinkoca Günde 200 ya da 200'e yakın insan ölüyor ama aşı her şeye çözüm aynen ikna olduk biz</t>
  </si>
  <si>
    <t>1466479293844832261</t>
  </si>
  <si>
    <t>@drfahrettinkoca Omicrona karşı 3. Doz aşı hemen açılmalı!</t>
  </si>
  <si>
    <t>1466479218733293570</t>
  </si>
  <si>
    <t>@drfahrettinkoca https://t.co/YOkXu8Ujvi Bu ülkede kçeteye uyarak yerli tohum da yasaklattırıldı.Eken çiftçilere ce… https://t.co/R4bs6Ia6Hf</t>
  </si>
  <si>
    <t>1466479079578816514</t>
  </si>
  <si>
    <t>@drfahrettinkoca YA BİR GİT ARTIK</t>
  </si>
  <si>
    <t>1466478996368105483</t>
  </si>
  <si>
    <t>@drfahrettinkoca Halaa Aşı diyor 🤣</t>
  </si>
  <si>
    <t>1466478475821428741</t>
  </si>
  <si>
    <t>@drfahrettinkoca Allah size yardım ederse artık sizi yenecek hiçbir kimse yoktur; eğer sizi yardımsız bırakırsa O’n… https://t.co/godc0p8j9E</t>
  </si>
  <si>
    <t>1466478284103954436</t>
  </si>
  <si>
    <t>@drfahrettinkoca Hala görmezden,duymazdan geliyorsunuz.inanamıyorum</t>
  </si>
  <si>
    <t>1466478248674709508</t>
  </si>
  <si>
    <t>@drfahrettinkoca Bunları yazmanız için izin aldınızmı başkaninizdan???</t>
  </si>
  <si>
    <t>1466478217347452930</t>
  </si>
  <si>
    <t>@drfahrettinkoca @saglikbakanligi Başkanım bunları yazıyorsun ama reis duymasın</t>
  </si>
  <si>
    <t>1466478167850369027</t>
  </si>
  <si>
    <t>@drfahrettinkoca https://t.co/QOCla7py3o</t>
  </si>
  <si>
    <t>1466478160028049411</t>
  </si>
  <si>
    <t>@drfahrettinkoca Your tweet was quoted in an article by Yeni Safak https://t.co/Riq3t2aWrQ</t>
  </si>
  <si>
    <t>1466478046840561674</t>
  </si>
  <si>
    <t>@drfahrettinkoca https://t.co/k7m1yqz8RO</t>
  </si>
  <si>
    <t>1466477999801475075</t>
  </si>
  <si>
    <t>@drfahrettinkoca #RteSağlığaKılavuzNerede</t>
  </si>
  <si>
    <t>1466477909460279296</t>
  </si>
  <si>
    <t>@drfahrettinkoca Sağlıkçı arkadaşlar asil davranıp,hekimlerin alacağı ek ödemeye itiraz etmiyor,sağlıkçıların tamam… https://t.co/IwMjMMwfOS</t>
  </si>
  <si>
    <t>1466477892586676228</t>
  </si>
  <si>
    <t>@drfahrettinkoca Ne salgını be! Salgın malgın yok. Plandemi var. Yeter artık bitirin plandemiyi!</t>
  </si>
  <si>
    <t>1466477605490765834</t>
  </si>
  <si>
    <t>@drfahrettinkoca Mavi ye dönen şehirlerde maske takma yasağı kalksa daha güzel olmaz mı sayın bakanım? @drfahrettinkoca</t>
  </si>
  <si>
    <t>1466477545801531398</t>
  </si>
  <si>
    <t>@drfahrettinkoca Ne söyledi ? Saglık bakanısın sen!</t>
  </si>
  <si>
    <t>1466477532744671242</t>
  </si>
  <si>
    <t>@drfahrettinkoca Cb ile olan video dan sonra itibarınız bitmiştir.Verileri siz mi o mu paylaşıyor bu bile belli… https://t.co/nyZJ0cQhBg</t>
  </si>
  <si>
    <t>1466477469482074120</t>
  </si>
  <si>
    <t>@drfahrettinkoca Artık yayınlayın şu kılavuzu. Görevimize başlamak istiyoruz. Günler haftalar oldu, haftalar aylar… https://t.co/BSJ8hQdXbS</t>
  </si>
  <si>
    <t>1466477369775071232</t>
  </si>
  <si>
    <t>@drfahrettinkoca Ben hiç birine inanmıyorum hemde hiç. En az 35 k vaka var. Hastalık her taraf bekleyin. Şimdi fırt… https://t.co/Wm6N8t1dlL</t>
  </si>
  <si>
    <t>1466477050609479684</t>
  </si>
  <si>
    <t>@drfahrettinkoca Esneklesmeyi falan geçtim resmen muhurlediniz bizi!!</t>
  </si>
  <si>
    <t>1466477041235156992</t>
  </si>
  <si>
    <t>@drfahrettinkoca Ben söyledikleriniz artık inan mıyorum allah biliyoruz olduğunuz aşı da gerçek değil</t>
  </si>
  <si>
    <t>1466476871223332868</t>
  </si>
  <si>
    <t>@drfahrettinkoca zararlı sıvılardan sonra ölen,felç olan vs #biontechyanetki  binlerce kişiden asla tek kelime etme… https://t.co/kTuOSiBpJF</t>
  </si>
  <si>
    <t>1466476862834679810</t>
  </si>
  <si>
    <t>@drfahrettinkoca saýın @drfahrettinkoca  istifa edin sağlık camiasında 112 söförleride bu ekibin bir parçasıdır biz… https://t.co/6Ga5oDmORU</t>
  </si>
  <si>
    <t>1466476849119301632</t>
  </si>
  <si>
    <t>@drfahrettinkoca Yok işe yaramadığını ne zaman kabul edeceksiniz onu merak ediyorum.  Yöntemlerinizi sorgulamak yer… https://t.co/EeeX84s8iM</t>
  </si>
  <si>
    <t>1466476823999660034</t>
  </si>
  <si>
    <t>@drfahrettinkoca ya bi git Allah aşkına 21 bin vaka ?</t>
  </si>
  <si>
    <t>1466476746199470088</t>
  </si>
  <si>
    <t>1466476651819278339</t>
  </si>
  <si>
    <t>@drfahrettinkoca Ne olur artık klavuz</t>
  </si>
  <si>
    <t>1466476590582444039</t>
  </si>
  <si>
    <t>1466476549465690123</t>
  </si>
  <si>
    <t>@drfahrettinkoca huzurevlerinde 2 sinovac+1 biontech asisi olan yaslilarin acilen 2. biontech asisini neden yapmiyorsunuz?</t>
  </si>
  <si>
    <t>1466476501159886849</t>
  </si>
  <si>
    <t>@drfahrettinkoca Ne ne ne dedin sen ne dedin sen sağlık bakanısın 😂😂😂😂 hshshshshshshssjsj</t>
  </si>
  <si>
    <t>1466476496164376578</t>
  </si>
  <si>
    <t>@drfahrettinkoca Sayın bakanım değişmeyen tek şey bizlere hekim dışı sağlık personeline verdiğiniz değer yine değersiziz gözünüzde !</t>
  </si>
  <si>
    <t>1466476367139196936</t>
  </si>
  <si>
    <t>@drfahrettinkoca Bu klavuz ne zaman gelmeyi düşünüyor artık hocam psikoloji diye bir şey kalmadı</t>
  </si>
  <si>
    <t>1466476334910222343</t>
  </si>
  <si>
    <t>@drfahrettinkoca #SağlıkcınınOyuYok</t>
  </si>
  <si>
    <t>1466476285123874824</t>
  </si>
  <si>
    <t>@drfahrettinkoca Allahın aşkına artık klavuz gelsin ya</t>
  </si>
  <si>
    <t>1466476236364992513</t>
  </si>
  <si>
    <t>@drfahrettinkoca maaş emeklilik dahil deyip, sonra adamın gözüne bakarak para pul konuşmadıö diyen adama mı inanıcaz, sayın sağlık bakanı</t>
  </si>
  <si>
    <t>1466476228177809420</t>
  </si>
  <si>
    <t>@drfahrettinkoca 3.doz aşı yapılma oranı?</t>
  </si>
  <si>
    <t>1466476186155032594</t>
  </si>
  <si>
    <t>@drfahrettinkoca Ya sayın bakan sizin günlük 5000 vaka sayısı hedefi ne oldu acaba hani hergün aşı aşı diye sallıyo… https://t.co/3RGxFsb6G8</t>
  </si>
  <si>
    <t>1466476182757687306</t>
  </si>
  <si>
    <t>@drfahrettinkoca 2 ARALIK 2020 AŞI YOK! TEST SAYISI:183.624 VAKA SAYISI:31.923 HASTA SAYISI:6.690 ÖLÜM:193  2 ARALI… https://t.co/mSnBj7m8JL</t>
  </si>
  <si>
    <t>1466476169801437188</t>
  </si>
  <si>
    <t>@drfahrettinkoca çocuklars covid aşısı ne zaman?</t>
  </si>
  <si>
    <t>1466476119880835078</t>
  </si>
  <si>
    <t>@drfahrettinkoca Aşılamalar çoğaldıkça hastalıkta çoğaldı yalana bak 🤣🤣</t>
  </si>
  <si>
    <t>1466476075425402887</t>
  </si>
  <si>
    <t>1466476063878438920</t>
  </si>
  <si>
    <t>1466476036317716483</t>
  </si>
  <si>
    <t>1466476014700273668</t>
  </si>
  <si>
    <t>1466475994852773897</t>
  </si>
  <si>
    <t>1466475978784452611</t>
  </si>
  <si>
    <t>@drfahrettinkoca SAĞLIKÇILAR KILAVUZU BİR İKİ HAFTADIR DEĞİL KOCA BİR YILDIR BEKLİYORç</t>
  </si>
  <si>
    <t>1466475958131740686</t>
  </si>
  <si>
    <t>@drfahrettinkoca SAĞLIKÇILAR KILAVUZU BİR İKİ HAFTADIR DEĞİL KOCA BİR YILDIR BEKLİYORö</t>
  </si>
  <si>
    <t>1466475943124480006</t>
  </si>
  <si>
    <t>@drfahrettinkoca M</t>
  </si>
  <si>
    <t>1466475911906304009</t>
  </si>
  <si>
    <t>@drfahrettinkoca SAĞLIKÇILAR KILAVUZU BİR İKİ HAFTADIR DEĞİL KOCA BİR YILDIR BEKLİYORn</t>
  </si>
  <si>
    <t>1466475894961229824</t>
  </si>
  <si>
    <t>@drfahrettinkoca SAĞLIKÇILAR KILAVUZU BİR İKİ HAFTADIR DEĞİL KOCA BİR YILDIR BEKLİYORb</t>
  </si>
  <si>
    <t>1466475880780337156</t>
  </si>
  <si>
    <t>@drfahrettinkoca Bakanm onca insan is sahibi olurmym diye ne kadar zor şartlarda sınava hazrlndı belki buldu buluşt… https://t.co/xpJYbRUvuA</t>
  </si>
  <si>
    <t>1466475869799690248</t>
  </si>
  <si>
    <t>@drfahrettinkoca @RTErdogan sayın başkanım. Ülkeyi sağlık bakanına ve bilim kuruluna bıraktınızda bizimmi haberimiz… https://t.co/j0TAzdgmaf</t>
  </si>
  <si>
    <t>1466475868382011402</t>
  </si>
  <si>
    <t>@drfahrettinkoca SAĞLIKÇILAR KILAVUZU BİR İKİ HAFTADIR DEĞİL KOCA BİR YILDIR BEKLİYORv</t>
  </si>
  <si>
    <t>1466475865856950272</t>
  </si>
  <si>
    <t>@drfahrettinkoca SAĞLIKÇILAR KILAVUZU BİR İKİ HAFTADIR DEĞİL KOCA BİR YILDIR BEKLİYORc</t>
  </si>
  <si>
    <t>1466475850853978118</t>
  </si>
  <si>
    <t>@drfahrettinkoca SAĞLIKÇILAR KILAVUZU BİR İKİ HAFTADIR DEĞİL KOCA BİR YILDIR BEKLİYORx</t>
  </si>
  <si>
    <t>1466475835678994438</t>
  </si>
  <si>
    <t>@drfahrettinkoca SAĞLIKÇILAR KILAVUZU BİR İKİ HAFTADIR DEĞİL KOCA BİR YILDIR BEKLİYORz</t>
  </si>
  <si>
    <t>1466475820600467457</t>
  </si>
  <si>
    <t>1466475805098266627</t>
  </si>
  <si>
    <t>1466475791064219648</t>
  </si>
  <si>
    <t>@drfahrettinkoca #TaşeronaKadroNoldu #TaşeronaKadroNoldu Bizler bu pandemi sürecinde hastanede kadrosuz çalışanları… https://t.co/1V7VMZ04Bz</t>
  </si>
  <si>
    <t>1466475784852418564</t>
  </si>
  <si>
    <t>@drfahrettinkoca ATAMA kılavuzu ve branş dağılımlarını istiyoruz artık.... @drfahrettinkoca</t>
  </si>
  <si>
    <t>1466475783539548174</t>
  </si>
  <si>
    <t>1466475776841240579</t>
  </si>
  <si>
    <t>1466475761418780678</t>
  </si>
  <si>
    <t>@drfahrettinkoca Aşıladığınız insanların aşı kaynaklı yaşadığı sorunları dinliyormusunuz hayır aşı sonrası kalp kri… https://t.co/BlV6w2weuT</t>
  </si>
  <si>
    <t>1466475760470925313</t>
  </si>
  <si>
    <t>1466475746881327109</t>
  </si>
  <si>
    <t>1466475732234866693</t>
  </si>
  <si>
    <t>@drfahrettinkoca SAĞLIKÇILAR KILAVUZU BİR İKİ HAFTADIR DEĞİL KOCA BİR YILDIR BEKLİYORg</t>
  </si>
  <si>
    <t>1466475717613527052</t>
  </si>
  <si>
    <t>@drfahrettinkoca #TaşeronaKadroNoldu Bizler bu pandemi sürecinde hastanede kadrosuz çalışanlarız ne olurdu sesimiz… https://t.co/VlqUTLPboJ</t>
  </si>
  <si>
    <t>1466475712097968132</t>
  </si>
  <si>
    <t>1466475702249742344</t>
  </si>
  <si>
    <t>@drfahrettinkoca SAĞLIKÇILAR KILAVUZU BİR İKİ HAFTADIR DEĞİL KOCA BİR YILDIR BEKLİYORd</t>
  </si>
  <si>
    <t>1466475687162822663</t>
  </si>
  <si>
    <t>1466475672273145856</t>
  </si>
  <si>
    <t>1466475657488125961</t>
  </si>
  <si>
    <t>1466475632888532994</t>
  </si>
  <si>
    <t>@drfahrettinkoca İlk günler de tedbir ve yasaklar vardı şimdi herkes çayıra mevlam kayıra Ne zaman yasaklar geri ge… https://t.co/KOlyMQH230</t>
  </si>
  <si>
    <t>1466475627163303940</t>
  </si>
  <si>
    <t>1466475616488890368</t>
  </si>
  <si>
    <t>@drfahrettinkoca Saglikciya atama</t>
  </si>
  <si>
    <t>1466475616073662464</t>
  </si>
  <si>
    <t>@drfahrettinkoca #TaşeronaKadroNoldu #TaşeronaKadroNoldu Bizler bu pandemi sürecinde hastanede kadrosuz çalışanları… https://t.co/noahWgRpPA</t>
  </si>
  <si>
    <t>1466475614987243532</t>
  </si>
  <si>
    <t>1466475602504998913</t>
  </si>
  <si>
    <t>1466475588022161419</t>
  </si>
  <si>
    <t>1466475572616474637</t>
  </si>
  <si>
    <t>@drfahrettinkoca Sayın bakanım tüm doktor camiası uzman doktora 5000 ₺ maaş bir aldatmacadan başka bişey değil. Dön… https://t.co/z2WFU2Wdpr</t>
  </si>
  <si>
    <t>1466475568199868417</t>
  </si>
  <si>
    <t>1466475557261037573</t>
  </si>
  <si>
    <t>1466475543281422342</t>
  </si>
  <si>
    <t>1466475529511571463</t>
  </si>
  <si>
    <t>1466475513552191496</t>
  </si>
  <si>
    <t>@drfahrettinkoca Gençler için 3 doz yaşlılar için 4 doz ne zaman yapılacak lütfen bilgi verin hocam</t>
  </si>
  <si>
    <t>1466475506728120320</t>
  </si>
  <si>
    <t>1466475498993856525</t>
  </si>
  <si>
    <t>1466475482057256967</t>
  </si>
  <si>
    <t>1466475464931876864</t>
  </si>
  <si>
    <t>1466475447714254852</t>
  </si>
  <si>
    <t>1466475430026915844</t>
  </si>
  <si>
    <t>1466475412230397957</t>
  </si>
  <si>
    <t>1466475394975076352</t>
  </si>
  <si>
    <t>1466475377942056965</t>
  </si>
  <si>
    <t>@drfahrettinkoca Dikkatli oluyorum ama size karşı👍</t>
  </si>
  <si>
    <t>1466475371486920711</t>
  </si>
  <si>
    <t>1466475361001222144</t>
  </si>
  <si>
    <t>1466475344307830800</t>
  </si>
  <si>
    <t>1466475327790718977</t>
  </si>
  <si>
    <t>@drfahrettinkoca Siz de hiç bi değişiklik yok değişen aşağıdakiler. Siz ye kürküm ye aynı yaşama devam</t>
  </si>
  <si>
    <t>1466475321339830279</t>
  </si>
  <si>
    <t>1466475308937265152</t>
  </si>
  <si>
    <t>1466475292520849412</t>
  </si>
  <si>
    <t>1466475287047282701</t>
  </si>
  <si>
    <t>1466475282718760961</t>
  </si>
  <si>
    <t>1466475236363227154</t>
  </si>
  <si>
    <t>@drfahrettinkoca Vah ki ne vah.... Siz herhangi bir fikrinizi,onay alamadan dile getiremiyor musunuz?!!! Amaç ne ol… https://t.co/LmK8XoUrwg</t>
  </si>
  <si>
    <t>1466475193967202311</t>
  </si>
  <si>
    <t>@drfahrettinkoca 2 yıldır hayatımızı cehenneme çevirdin!</t>
  </si>
  <si>
    <t>1466475105366728720</t>
  </si>
  <si>
    <t>@drfahrettinkoca Bizim klavuz noldu</t>
  </si>
  <si>
    <t>1466475015600234503</t>
  </si>
  <si>
    <t>@drfahrettinkoca Aşının bulunması ile ne değişti.? Ne değişti söylim mi. Değişen tek şey insanları ötekileştimeniz.!</t>
  </si>
  <si>
    <t>1466474959367294987</t>
  </si>
  <si>
    <t>@drfahrettinkoca Sayın bakanım 40bin sağlıkçı atamsı yapacaz kasım ayı içerisinde brançlar belli olur dediniz hala ses yoktur</t>
  </si>
  <si>
    <t>1466474787430178822</t>
  </si>
  <si>
    <t>@drfahrettinkoca Bakanım Allah aşkına bize branş sayılarını söyler misiniz????? 🥺🥺🥺🥺🥺 Biz her gün umutlanip her gün… https://t.co/E5LuI4mSJ7</t>
  </si>
  <si>
    <t>1466474759064018954</t>
  </si>
  <si>
    <t>@drfahrettinkoca Tweet atmak için ATMAK.... Başka sözüm yok....</t>
  </si>
  <si>
    <t>1466474668743868417</t>
  </si>
  <si>
    <t>@drfahrettinkoca Anlıyor musunuz bizi</t>
  </si>
  <si>
    <t>1466474659084390408</t>
  </si>
  <si>
    <t>@drfahrettinkoca Artık dayanacak gücümüz kalmadı</t>
  </si>
  <si>
    <t>1466474659063504902</t>
  </si>
  <si>
    <t>@drfahrettinkoca Ne dedi ??</t>
  </si>
  <si>
    <t>1466474634371637258</t>
  </si>
  <si>
    <t>@drfahrettinkoca Evet Bengi hanım geçen sene özet geçmiş 👇  https://t.co/GIFQA15u3P</t>
  </si>
  <si>
    <t>1466474526473170945</t>
  </si>
  <si>
    <t>@drfahrettinkoca #SağlıkçıİşBırakıyor</t>
  </si>
  <si>
    <t>1466474522849202191</t>
  </si>
  <si>
    <t>1466474497771552779</t>
  </si>
  <si>
    <t>@drfahrettinkoca Neden kılavuzu açıklamıyorsunuz</t>
  </si>
  <si>
    <t>1466474409472970752</t>
  </si>
  <si>
    <t>@drfahrettinkoca Neyi bekliyoruz biz tam olarak</t>
  </si>
  <si>
    <t>1466474398450438144</t>
  </si>
  <si>
    <t>@drfahrettinkoca Sayın bakanım.marketlerde maske takılmamaya başlandı.</t>
  </si>
  <si>
    <t>1466474307564060677</t>
  </si>
  <si>
    <t>@drfahrettinkoca 1 yıldır atama yapmıyorsunuz sayın @drfahrettinkoca</t>
  </si>
  <si>
    <t>1466474233463287812</t>
  </si>
  <si>
    <t>@drfahrettinkoca 1 doz aşılama %90 2 doz %81 Ve ölenler sadece o % 10-15 lik kısımdan olanlar! %0 aşı varken ölümle… https://t.co/PCCduP29aQ</t>
  </si>
  <si>
    <t>1466474221215879181</t>
  </si>
  <si>
    <t>@drfahrettinkoca Salgın hayatı değiştirdi, değil! Salgın bahanesiyle hayatımızın içine edildi! Yarım yamalak bi yaş… https://t.co/vUjydzVDON</t>
  </si>
  <si>
    <t>1466474206128922637</t>
  </si>
  <si>
    <t>@drfahrettinkoca Hiçbir dönem sizin döneminiz kadar yorulmadım. 12 ay boyunca bir atama yapmak bu kadar mı zor? Ayl… https://t.co/wf5sURqYix</t>
  </si>
  <si>
    <t>1466474150189576196</t>
  </si>
  <si>
    <t>@drfahrettinkoca Bizim bi atama mevzusu vardı noldu ona ya</t>
  </si>
  <si>
    <t>1466474148289519621</t>
  </si>
  <si>
    <t>@drfahrettinkoca Asıl değişim online döneme geçmekle olur</t>
  </si>
  <si>
    <t>1466474147429683203</t>
  </si>
  <si>
    <t>@drfahrettinkoca Bir sağlık ordusu var atama bekleyen ,ilgilenebilir misiniz acaba bizimle</t>
  </si>
  <si>
    <t>1466474085001613320</t>
  </si>
  <si>
    <t>@drfahrettinkoca O kadar insan sizden gelecek haberlere bel bağlamış hiç umurunuzda değil yazık günah.</t>
  </si>
  <si>
    <t>1466474043297742851</t>
  </si>
  <si>
    <t>@drfahrettinkoca Bizde sizden sadece atamayla ilgili bilgi istiyoruz</t>
  </si>
  <si>
    <t>1466473967586263045</t>
  </si>
  <si>
    <t>@drfahrettinkoca Her gün aynı sözler</t>
  </si>
  <si>
    <t>1466473943234232332</t>
  </si>
  <si>
    <t>@drfahrettinkoca dogru salgin salgin diye diye hayatimizin icine ettin.Sanma ki Allah hesabini sormayacak</t>
  </si>
  <si>
    <t>1466473926419226627</t>
  </si>
  <si>
    <t>@drfahrettinkoca ATAMA dışında her şeyle ilgili bilgi veriyorsunuz</t>
  </si>
  <si>
    <t>1466473915048419329</t>
  </si>
  <si>
    <t>@drfahrettinkoca 11 aydır bekliyoruz</t>
  </si>
  <si>
    <t>1466473865069142019</t>
  </si>
  <si>
    <t>@drfahrettinkoca ATAMA bekliyoruz</t>
  </si>
  <si>
    <t>1466473865064898560</t>
  </si>
  <si>
    <t>@drfahrettinkoca Öğrencilerin sağlığı için Uzaktan eğitim gelmeli! #OnlineEğitimGerekli</t>
  </si>
  <si>
    <t>1466473822572490752</t>
  </si>
  <si>
    <t>1466473802129362951</t>
  </si>
  <si>
    <t>1466473783242510345</t>
  </si>
  <si>
    <t>@drfahrettinkoca Çocuklarımız içinde aşıyı bekliyoruz🙏🏻</t>
  </si>
  <si>
    <t>1466473693614424073</t>
  </si>
  <si>
    <t>@drfahrettinkoca EFENDİME SORDUNMU   BUGÜN KAÇ KİŞİYİ YAZALIM DİYE.</t>
  </si>
  <si>
    <t>1466473615982010376</t>
  </si>
  <si>
    <t>@drfahrettinkoca Uzaktan eğitim gelmesi şart artık yoğun bakımda yatan doluluk oranı yüzde yüz oldu buna dur demek… https://t.co/3oNb8HLfbY</t>
  </si>
  <si>
    <t>1466473613175967752</t>
  </si>
  <si>
    <t>@drfahrettinkoca Olur........</t>
  </si>
  <si>
    <t>1466473544280416258</t>
  </si>
  <si>
    <t>@drfahrettinkoca Hayat kalitemiz için ülkenin batan ekonomisiniz düzeltin önce, o çok daha önemli</t>
  </si>
  <si>
    <t>1466473412012949508</t>
  </si>
  <si>
    <t>@drfahrettinkoca O aşıyı yapanları da göz ardı etmeyin @drfahrettinkoca  #SağlıkçıİşBırakıyor</t>
  </si>
  <si>
    <t>1466473351753392129</t>
  </si>
  <si>
    <t>@drfahrettinkoca bin kişinin bindiği 500 t'lerde "kısmen esnekleşiyoruz" evet.</t>
  </si>
  <si>
    <t>1466473248808476672</t>
  </si>
  <si>
    <t>@drfahrettinkoca Bu tablo için iyi bir matematikçi bulmanız lazım hemen yenisini bulun bu inandırıcı değil hiç birbirine uymuyor</t>
  </si>
  <si>
    <t>1466473122547351554</t>
  </si>
  <si>
    <t>@drfahrettinkoca dieifoeifkekfkoeir aynen aras kargo amk</t>
  </si>
  <si>
    <t>1466472817935929351</t>
  </si>
  <si>
    <t>@drfahrettinkoca Sanki patronun işçisine emir verdiği gibi üst perdeden konuşuyorsun bakan efendi.. Ama sen bize de… https://t.co/Yn3eYfZqAw</t>
  </si>
  <si>
    <t>1466472750059503625</t>
  </si>
  <si>
    <t>1466472610632511499</t>
  </si>
  <si>
    <t>@drfahrettinkoca Maskeden başım ağrıyor biz maliz abi bu ülkede okunmaz okula git diyorsunuz Fahrettin hoca birşeye… https://t.co/4fz4vVcRkP</t>
  </si>
  <si>
    <t>1466472475290710024</t>
  </si>
  <si>
    <t>@drfahrettinkoca hala aşı ve tedbir diyorsunuz tedbiri siz alacaksınız bizde çocuklarımızı gönül rahatlığıyla gönde… https://t.co/wzX8tnKQql</t>
  </si>
  <si>
    <t>1466472427228176387</t>
  </si>
  <si>
    <t>@drfahrettinkoca 3 gün önce  27 binden aşağı inmiyen vaka  20 binlerde dolaşıyor  sonra artınca amacroin der aşızla… https://t.co/BZBHlnbb2V</t>
  </si>
  <si>
    <t>1466472264132669449</t>
  </si>
  <si>
    <t>@drfahrettinkoca https://t.co/50sxBfCA46</t>
  </si>
  <si>
    <t>1466472239398891522</t>
  </si>
  <si>
    <t>@drfahrettinkoca Salgın filan yok</t>
  </si>
  <si>
    <t>1466472226279108610</t>
  </si>
  <si>
    <t>@drfahrettinkoca 15 Nisan 2020'de yaptığın açıklama Fahrettin  Neden bu ilaçları millete yutturdun Fahrettin  Salgı… https://t.co/HvukZAgIJu</t>
  </si>
  <si>
    <t>1466471814079696900</t>
  </si>
  <si>
    <t>@drfahrettinkoca Klavuz ne zman gelir sayın bakanımm</t>
  </si>
  <si>
    <t>1466471786749509632</t>
  </si>
  <si>
    <t>@drfahrettinkoca Psikolojik olarak çöktüm  midem de kaldırmıyor artık  yakında ben diye biri de kalmayacak gibi  Sa… https://t.co/jxCGFqGScK</t>
  </si>
  <si>
    <t>1466471681531207684</t>
  </si>
  <si>
    <t>@drfahrettinkoca Gün geçmiyor ki aşı olup beynine pıhtı atan, kalp ritmi bozulan, kalp krizi geçiren, bebeğini düşü… https://t.co/dTbNgXeJNj</t>
  </si>
  <si>
    <t>1466471608185413637</t>
  </si>
  <si>
    <t>@drfahrettinkoca Bas bas bağırdıkları Etrafta dolaşan Aktif vaka da tahminen günlük 250 bin civarı.  250 bin X 1.5… https://t.co/bNioZw3Xs5</t>
  </si>
  <si>
    <t>1466471600249872386</t>
  </si>
  <si>
    <t>@drfahrettinkoca Yalan dolan bakanlığı</t>
  </si>
  <si>
    <t>1466471588824592389</t>
  </si>
  <si>
    <t>@drfahrettinkoca Aşı ile serbestliğin ilgisi nedir</t>
  </si>
  <si>
    <t>1466471583443296257</t>
  </si>
  <si>
    <t>@drfahrettinkoca Kapat okulları.</t>
  </si>
  <si>
    <t>1466471561985200134</t>
  </si>
  <si>
    <t>@drfahrettinkoca Sen bunları yazmak için başkanından izin aldın mı ya ?</t>
  </si>
  <si>
    <t>1466471494675046405</t>
  </si>
  <si>
    <t>@drfahrettinkoca Bizim 30 bin atama vardı. 1 sene oldu</t>
  </si>
  <si>
    <t>1466471438878138379</t>
  </si>
  <si>
    <t>@drfahrettinkoca Tedbir denilen ve hiçbir bilimsel dayanağı olmayan saçma kuralları uygulayınca insanların hayat ka… https://t.co/QNhxOSR7K4</t>
  </si>
  <si>
    <t>1466471417193639944</t>
  </si>
  <si>
    <t>@drfahrettinkoca Bugün hafta sonu değil sn bakan. Vaka sayısı baya düşük yada günler mi karıştırdınız? Omicron da meselesi var da.</t>
  </si>
  <si>
    <t>1466471373564428291</t>
  </si>
  <si>
    <t>@drfahrettinkoca Olmayan pandemiyle yasam tarzını değiştirdiğiniz insanlarin elleri ahirette siz ve sizin gibilerin… https://t.co/nhP20NiBpm</t>
  </si>
  <si>
    <t>1466471342547550220</t>
  </si>
  <si>
    <t>@drfahrettinkoca Dün nasıl fırça yedin hacı On yıl yaşlandın dimi saniyeler içinde  Muhahaha 🤣🤣🤣🤣🤣</t>
  </si>
  <si>
    <t>1466471329377533963</t>
  </si>
  <si>
    <t>@drfahrettinkoca Ziyaaaa yalansa anana itelerim</t>
  </si>
  <si>
    <t>1466471326235955201</t>
  </si>
  <si>
    <t>@drfahrettinkoca Bu paylaşımları izin alarak mı yapıyorsunuz???</t>
  </si>
  <si>
    <t>1466471325761949699</t>
  </si>
  <si>
    <t>@drfahrettinkoca Haklısınız değişimler etkisini gösterecek izleme de kalın, sizin durumunuz ve kulvarınızdaki kişil… https://t.co/uKA8XaESM1</t>
  </si>
  <si>
    <t>1466471268472004617</t>
  </si>
  <si>
    <t>@drfahrettinkoca Kayda değmeyecek bir hastalık için ortalığı ayağa kaldırdınız. Basit bir solunum yolu enfeksiyonun… https://t.co/pkDcaPTrII</t>
  </si>
  <si>
    <t>1466471266563637254</t>
  </si>
  <si>
    <t>@drfahrettinkoca Bulmuşlar deliği hiç bırakırlar mı ya https://t.co/iFYPG2xYwR</t>
  </si>
  <si>
    <t>1466471199660249089</t>
  </si>
  <si>
    <t>@drfahrettinkoca https://t.co/3jm1oSSQtH</t>
  </si>
  <si>
    <t>1466471182400733190</t>
  </si>
  <si>
    <t>@drfahrettinkoca @saglikbakanligi Kılavuz Sn @drfahrettinkoca  #SağlıkcıİsBırakıyor</t>
  </si>
  <si>
    <t>1466471152214233091</t>
  </si>
  <si>
    <t>@drfahrettinkoca Sn Bakanım inanmayanlar herhalde,hiç yoğun bakımda bulunmamışlar.Dördüncü dozu  bekliyoruz inşAllah</t>
  </si>
  <si>
    <t>1466471100028788740</t>
  </si>
  <si>
    <t>@drfahrettinkoca Okullar kapatılmalı yeter bıktık artık online istiyoruz</t>
  </si>
  <si>
    <t>1466470967887245316</t>
  </si>
  <si>
    <t>1466470863298048004</t>
  </si>
  <si>
    <t>@drfahrettinkoca @saglikbakanligi Tmm covid bakanım</t>
  </si>
  <si>
    <t>1466470703239245824</t>
  </si>
  <si>
    <t>@drfahrettinkoca Aşı olmasa salgın kendi bitecekti galiba</t>
  </si>
  <si>
    <t>1466470508740984834</t>
  </si>
  <si>
    <t>@drfahrettinkoca Kılavuz Bekliyoruz Sayın Bakanım @drfahrettinkoca</t>
  </si>
  <si>
    <t>1466470477443080194</t>
  </si>
  <si>
    <t>@drfahrettinkoca Okullarda önlemler öyle esnekleşmiş ki 6 eylülden beri havalandırmasız 40-45 kişilk sınıflar, iç i… https://t.co/385J3onOM1</t>
  </si>
  <si>
    <t>1466470287596310528</t>
  </si>
  <si>
    <t>@drfahrettinkoca 👏👏👏👏 https://t.co/lNC3slc6V7</t>
  </si>
  <si>
    <t>1466470242033491970</t>
  </si>
  <si>
    <t>@drfahrettinkoca Yarın ki verileri açıklamanıza gerek yok ben açıklayayım 20-21k arasi</t>
  </si>
  <si>
    <t>1466470170113761281</t>
  </si>
  <si>
    <t>@drfahrettinkoca püh , Allah belanı versin</t>
  </si>
  <si>
    <t>1466470108554014727</t>
  </si>
  <si>
    <t>@drfahrettinkoca @saglikbakanligi https://t.co/VYfsviHSyv</t>
  </si>
  <si>
    <t>1466470009849450506</t>
  </si>
  <si>
    <t>1466469967663140868</t>
  </si>
  <si>
    <t>@drfahrettinkoca @saglikbakanligi #SağlıkcıİsBırakıyor https://t.co/LDVsgsklce</t>
  </si>
  <si>
    <t>1466469945995366406</t>
  </si>
  <si>
    <t>@drfahrettinkoca Bakanım önümüzde ki 2 hafta çok mu kritik 😂😂</t>
  </si>
  <si>
    <t>1466469864202248200</t>
  </si>
  <si>
    <t>@drfahrettinkoca Sayin bakan hergun 350 bin kisi test icin nerden buluyorsunuz?</t>
  </si>
  <si>
    <t>1466469727132344321</t>
  </si>
  <si>
    <t>@drfahrettinkoca Aşı ölümsüzlük iksiri mi?</t>
  </si>
  <si>
    <t>1466469520122556416</t>
  </si>
  <si>
    <t>@drfahrettinkoca HES uygulamasını tamamen kaldırmalısınız. HAYAT EVE SIĞMAZ SIĞMADI SIĞMAYACAK  İNSANIZ BİZ, ROBOT… https://t.co/nDxcIpar8o</t>
  </si>
  <si>
    <t>1466469486618423303</t>
  </si>
  <si>
    <t>@drfahrettinkoca Sayın bakanım kapanma ne zaman gelecek acaba</t>
  </si>
  <si>
    <t>1466469432549679109</t>
  </si>
  <si>
    <t>@drfahrettinkoca Salginla hayatımızı gaspettiniz. Bahsedilen değişiklik bu.</t>
  </si>
  <si>
    <t>1466469411343196162</t>
  </si>
  <si>
    <t>@drfahrettinkoca Hiçbir işe yaramadığı gibi insanlar arasında tartışmalara sebep olan ANLAMSIZ MASKE MECBURİYETİ de… https://t.co/vXmvI7hlKN</t>
  </si>
  <si>
    <t>1466469407723593728</t>
  </si>
  <si>
    <t>@drfahrettinkoca Yemin ederim tiksindim atamadan klavuzu verin artk yeter ya</t>
  </si>
  <si>
    <t>1466469241402630158</t>
  </si>
  <si>
    <t>@drfahrettinkoca Klavuz istiyoruz</t>
  </si>
  <si>
    <t>1466469180459343883</t>
  </si>
  <si>
    <t>@drfahrettinkoca Tüm Sağlık Camiası aynı şeyi söylüyor nedne kulak tıkıyorsunuz? İstifa edin sayın bakan pardon doktor bakanı</t>
  </si>
  <si>
    <t>1466469171315843081</t>
  </si>
  <si>
    <t>@drfahrettinkoca Peygamperimiz SAV efendimizin veda hutbesinden...  EYYYYY YONETENLER...!!!! https://t.co/xiUM3r8WDS</t>
  </si>
  <si>
    <t>1466469064851828740</t>
  </si>
  <si>
    <t>@drfahrettinkoca Okadar yalan söylediniz ki halka. Yok efendim bitane aşı yetecek dediniz 3 oldu. Haa bunu herkez b… https://t.co/fmU0fyBmQy</t>
  </si>
  <si>
    <t>1466469038926745606</t>
  </si>
  <si>
    <t>@drfahrettinkoca Umrunuzda miyiz acaba sayın bakan</t>
  </si>
  <si>
    <t>1466469019880411143</t>
  </si>
  <si>
    <t>@drfahrettinkoca Kılavuzu bekliyoruz.</t>
  </si>
  <si>
    <t>1466469006483890241</t>
  </si>
  <si>
    <t>@drfahrettinkoca Konuşmak için izin isteyen biri, bize neler de söylüyormuş. İzin aldınız mı sayın bakan</t>
  </si>
  <si>
    <t>1466468987873673217</t>
  </si>
  <si>
    <t>@drfahrettinkoca Yuru git isine be sahtekar</t>
  </si>
  <si>
    <t>1466468975030804481</t>
  </si>
  <si>
    <t>@drfahrettinkoca Bugün ki Haber videolarında izlediğimiz üzere size güvenmeyen insan sayısı çok fazla. Biz mi güvenelim? Lütfen susun artık.</t>
  </si>
  <si>
    <t>1466468965543198723</t>
  </si>
  <si>
    <t>1466468926196494336</t>
  </si>
  <si>
    <t>@drfahrettinkoca Sizce Veteriner "HEKİM", HEKİM değil mi? Kanunun verdiği Hekim ibaresinin, İnsanlık ve Hayvanlar i… https://t.co/hTktVNK2YH</t>
  </si>
  <si>
    <t>1466468908127424515</t>
  </si>
  <si>
    <t>@drfahrettinkoca #SağlıkcıİsBırakıyor sayın bakanım iki yıldır aynı hikaye atama bekleyen ek gösterge için emekli o… https://t.co/rBeUl5EZEf</t>
  </si>
  <si>
    <t>1466468855249883143</t>
  </si>
  <si>
    <t>@drfahrettinkoca Lütfen bakanı havalar soğudu artık bizde yasakları getirmeliyiz okulları kalabalık bir sınıfta 40… https://t.co/dD0yk9YvrQ</t>
  </si>
  <si>
    <t>1466468763256201222</t>
  </si>
  <si>
    <t>@drfahrettinkoca Yoruma gerek varmı... https://t.co/H4wyfK1d9Q</t>
  </si>
  <si>
    <t>1466468574625771520</t>
  </si>
  <si>
    <t>@drfahrettinkoca Boş yapma kapat okulları</t>
  </si>
  <si>
    <t>1466468554925035533</t>
  </si>
  <si>
    <t>@drfahrettinkoca Sayin Bakanim insanlar gercekleri öğrenmeye başladi bu sivilari yaptirmamaya başladi</t>
  </si>
  <si>
    <t>1466468488843771906</t>
  </si>
  <si>
    <t>@drfahrettinkoca Umut verici mucize bir sıvı olarak değerli gördüğünüz sınovak ne olduda şimdi Almanya'da dahi bir… https://t.co/n8jHJDWNvY</t>
  </si>
  <si>
    <t>1466468452533772296</t>
  </si>
  <si>
    <t>@drfahrettinkoca #SağlıkcıİsBırakıyor 30 yıldır Tıp Fak. Hastanesinde çalışıyorum, GİH sınıfındayım, kadrom SHS olm… https://t.co/bTrny72pbs</t>
  </si>
  <si>
    <t>1466468433869082645</t>
  </si>
  <si>
    <t>@drfahrettinkoca Hadi ordan</t>
  </si>
  <si>
    <t>1466468361341177864</t>
  </si>
  <si>
    <t>@drfahrettinkoca Neden bu sessizlik herşeyi görüyosunuz ama tek kelime etmiyorsunuz @drfahrettinkoca</t>
  </si>
  <si>
    <t>1466468341917306889</t>
  </si>
  <si>
    <t>@drfahrettinkoca aşı bi boka yaramıyo şubat ayı gibi görüşürüz</t>
  </si>
  <si>
    <t>1466468301685538824</t>
  </si>
  <si>
    <t>@drfahrettinkoca Aşı olmadım  korona virüs bulaşmasını bekliyorum Çin'de ilk korona çıktığında millet hastahane git… https://t.co/CY9Cp4MbSc</t>
  </si>
  <si>
    <t>1466468279778791429</t>
  </si>
  <si>
    <t>@drfahrettinkoca Bugünden itibaren ne umudum ne de bı beklentim kaldı herşey için teşekkür ediyor başarılarınızın devamını diliyorum...</t>
  </si>
  <si>
    <t>1466468269561421827</t>
  </si>
  <si>
    <t>@drfahrettinkoca Alım hakkında konuşmamaya yemin mi ettiniz</t>
  </si>
  <si>
    <t>1466468209842966531</t>
  </si>
  <si>
    <t>@drfahrettinkoca Ama önümüzdeki iki hafta çok kritik 🤣🤣🤣</t>
  </si>
  <si>
    <t>1466468191870324744</t>
  </si>
  <si>
    <t>@drfahrettinkoca Reisten izin aldınmi yazmak icin</t>
  </si>
  <si>
    <t>1466468095992684544</t>
  </si>
  <si>
    <t>@drfahrettinkoca Sayın bakanım bir tandıgımız coronadan hastanede yatıyor, hastane den refakatçi gelsin bir kişi de… https://t.co/2lmRDkAsRh</t>
  </si>
  <si>
    <t>1466468091274182660</t>
  </si>
  <si>
    <t>@drfahrettinkoca Takke düştü kel göründü. Sağlık sistemine ve sizlere güven kalmadı.</t>
  </si>
  <si>
    <t>1466467986278170627</t>
  </si>
  <si>
    <t>@drfahrettinkoca 100 yıldır grip var ama aşı dahil kesin çözümü yok, 1 yılda Corona ya nasıl aşı bulundu anlamış değilim</t>
  </si>
  <si>
    <t>1466467959900188677</t>
  </si>
  <si>
    <t>@drfahrettinkoca İlan gelse başvurular başlasa da bizimde hayatımız değişse @drfahrettinkoca</t>
  </si>
  <si>
    <t>1466467941109673989</t>
  </si>
  <si>
    <t>@drfahrettinkoca Salginda mücadele veren hekim dışı sağlıkçılar içinde sayenizde yaşam şartlarımız zora girdi..  in… https://t.co/VztORiZ9KD</t>
  </si>
  <si>
    <t>1466467871421349899</t>
  </si>
  <si>
    <t>@drfahrettinkoca İlk günlerde ne güzeldi sabunla öldürüyorduk virüsü tabi o zamanlarda bu kadar vaka bile yoktu. Herşey @şıdan sonra başladı</t>
  </si>
  <si>
    <t>1466467843625603083</t>
  </si>
  <si>
    <t>@drfahrettinkoca Tabi tabii! Sizin açtığınız bu buyuk pazara desteğimizi kesmeyiz! Maske pcr dezenfektan ası gel vatandaş gel!</t>
  </si>
  <si>
    <t>1466467713170255878</t>
  </si>
  <si>
    <t>@drfahrettinkoca Kısmen esnekleşme okullarda niye olmadı?????? Tamamen esnekleşmiş şekilde açıldı ve tedbirsiz ve h… https://t.co/d7pDYbigUa</t>
  </si>
  <si>
    <t>1466467471209160710</t>
  </si>
  <si>
    <t>@drfahrettinkoca Salgın hiçbir zaman olmadı Fahrettin  Covid 19 Salgın olmadığına dair milyonlarca bilgi ve belge var</t>
  </si>
  <si>
    <t>1466467463609073666</t>
  </si>
  <si>
    <t>@drfahrettinkoca Recep  ttayyip veya erdoğandan izin aldınmı??  Bay fahrettin!!</t>
  </si>
  <si>
    <t>1466467336970457097</t>
  </si>
  <si>
    <t>@drfahrettinkoca Oy alamayacaksınız iktidarı kaybedince görücem sizi ben</t>
  </si>
  <si>
    <t>1466467153205510151</t>
  </si>
  <si>
    <t>@drfahrettinkoca Hiç inandırıcı değil, gerçekçi olun biraz</t>
  </si>
  <si>
    <t>1466467147899617287</t>
  </si>
  <si>
    <t>@drfahrettinkoca KILAVUZ NERDE KALDI SAYIN BAKAN @drfahrettinkoca</t>
  </si>
  <si>
    <t>1466467087975653381</t>
  </si>
  <si>
    <t>@drfahrettinkoca Efendim senden izin alınmadan olmaz dediğin an itibariyle sana güveniyorum sn bakan ciddi ol ve ülkeni kayde al</t>
  </si>
  <si>
    <t>1466467085861666816</t>
  </si>
  <si>
    <t>@drfahrettinkoca 16 saat dersim var bir ayda sadece, düşünebiliyor musunuz 16 ! Neden neden?</t>
  </si>
  <si>
    <t>1466467038419951632</t>
  </si>
  <si>
    <t>@drfahrettinkoca Sayın bakan ne yazık ki herkes aşı olmadı, bu nedenle gevşeme bizim gibi kurallara uyan insanlar i… https://t.co/00tlM9LJio</t>
  </si>
  <si>
    <t>1466466958371610628</t>
  </si>
  <si>
    <t>@drfahrettinkoca Yani diyorki ÖMÜR boyu maske takıcaksınız.  2 yıl geçmiş, %80 tüm nüfus aşılanmış belkide tüm topl… https://t.co/XU6fTEjvdX</t>
  </si>
  <si>
    <t>1466466895419396099</t>
  </si>
  <si>
    <t>@drfahrettinkoca Yalancılar</t>
  </si>
  <si>
    <t>1466466595958624269</t>
  </si>
  <si>
    <t>@drfahrettinkoca Dün RTE ayarı verdi sana çok güldüm 😂 az kaldı senden de çocuk kitabı gibi harita boyamalarından d… https://t.co/j7xtzaT1Fq</t>
  </si>
  <si>
    <t>1466466583518367750</t>
  </si>
  <si>
    <t>@drfahrettinkoca Vaka sayısını sabitlemekle olmuyor inatla tedbir yok diyorsun herkes hasta hasta! Sınıflar 50 kişi 50 kişi!!!</t>
  </si>
  <si>
    <t>1466466571145121793</t>
  </si>
  <si>
    <t>@drfahrettinkoca Masallah Elhamdulillah Ya Şafi Ya Şafi Ya Safi</t>
  </si>
  <si>
    <t>1466466544209342469</t>
  </si>
  <si>
    <t>@drfahrettinkoca Önlemlerin esnekleşmesi önemli. Ama düşmanın tıp köleliğiyle saldırdığı bu çağda aşıdan bin kat da… https://t.co/bYEwHSMr02</t>
  </si>
  <si>
    <t>1466466523523035143</t>
  </si>
  <si>
    <t>@drfahrettinkoca Aynen inandık vaka sayısına bak hahahah</t>
  </si>
  <si>
    <t>1466466499648962568</t>
  </si>
  <si>
    <t>@drfahrettinkoca AŞİ BAKANİ KONUŞTU YİNE</t>
  </si>
  <si>
    <t>1466466432049369088</t>
  </si>
  <si>
    <t>@drfahrettinkoca Sağlık çalışanlarının sizin nezdinizde hiç bir değeri olmadığını her fırsatta gösteriyorsunuz sağo… https://t.co/oS1mZmlXHz</t>
  </si>
  <si>
    <t>1466466341746061322</t>
  </si>
  <si>
    <t>@drfahrettinkoca Bakanım herkes bu tablonun yalan olduğunu biliyor. Siz hâla nasıl gercekleri söylemektem kaçıyorsu… https://t.co/SHcvkdTp9L</t>
  </si>
  <si>
    <t>1466466304324517895</t>
  </si>
  <si>
    <t>@drfahrettinkoca Bence görevden affını iste. Şu aşı işinden  de vazgeç. Halkına hizmet etmeye başla.</t>
  </si>
  <si>
    <t>1466466171272802312</t>
  </si>
  <si>
    <t>@drfahrettinkoca Salgın korku panik ve yasaklar kısıtlamalar ile ekonomiyi sizler mahvettiniz</t>
  </si>
  <si>
    <t>1466466138565578760</t>
  </si>
  <si>
    <t>@drfahrettinkoca YANLIS MUDAHELE ILE CIGERLERI PATLATILMADI HASTALARIN ?</t>
  </si>
  <si>
    <t>1466466096144343041</t>
  </si>
  <si>
    <t>@drfahrettinkoca BİR YILDIR KILAVUZ BEKLİYORUZ SAYIN BAKANIM #SağlıkçıİşBırakıyor</t>
  </si>
  <si>
    <t>1466466004763086853</t>
  </si>
  <si>
    <t>@drfahrettinkoca Sayın Bakanım ası onlemedı tam tersı yayılmasına sebeb verdı bunun Adına VARYANT DEDINIZ YAPMAYIN… https://t.co/RLBSv9JAQX</t>
  </si>
  <si>
    <t>1466465923829747716</t>
  </si>
  <si>
    <t>@drfahrettinkoca Atama icin net bir tarih bekliyoruz bakanim.Bizleri daha fazla magdur etmeyin.</t>
  </si>
  <si>
    <t>1466465820012339212</t>
  </si>
  <si>
    <t>@drfahrettinkoca Aşı ne kadar sağlıklı</t>
  </si>
  <si>
    <t>1466465714001354758</t>
  </si>
  <si>
    <t>@drfahrettinkoca hayat enerjimiz gitti. ot gibi olduk. 3. AŞIMIZI AÇIN DA HİÇ OLMAZSA SAĞLIKLI BİR OT OLALIM.</t>
  </si>
  <si>
    <t>1466465668639997958</t>
  </si>
  <si>
    <t>@drfahrettinkoca @BorsaFinans34 Yerli aşı ne durumda sayın bakan. . neden  gönüllü bulunamıyor.. Vatandaş yerli aşıya güvenmiyor mu..?</t>
  </si>
  <si>
    <t>1466465665703985152</t>
  </si>
  <si>
    <t>@drfahrettinkoca Bakan bey  yeter artık yeter bıktık ölmek istemiyoruz getir su önlemleri artik tek maske ve mesafe ile olmuyor</t>
  </si>
  <si>
    <t>1466465549660176392</t>
  </si>
  <si>
    <t>@drfahrettinkoca Bu twit için izin aldınız mı? İzni var mı?</t>
  </si>
  <si>
    <t>1466465536221589506</t>
  </si>
  <si>
    <t>@drfahrettinkoca https://t.co/1oibPuRo2A</t>
  </si>
  <si>
    <t>1466465450355736580</t>
  </si>
  <si>
    <t>@drfahrettinkoca Bunları yazarken sayın reisimize sordunuz mu sayın bakanım😎</t>
  </si>
  <si>
    <t>1466465397352325127</t>
  </si>
  <si>
    <t>@drfahrettinkoca Fahrettin insanları aşıyla öldürme  Acele etme biraz bekle hepsi günü gelince ölecek zaten</t>
  </si>
  <si>
    <t>1466465307351040003</t>
  </si>
  <si>
    <t>@drfahrettinkoca Dus Aciklansin diş hekimleri bekliyor mahkeme sonuçları açıklamiyor</t>
  </si>
  <si>
    <t>1466465233690636294</t>
  </si>
  <si>
    <t>@drfahrettinkoca Bu tweetiniz sayın cumhurbaşkanınin onayından geçti mi bakalım. Sonra fırça yemeyesiniz.</t>
  </si>
  <si>
    <t>1466465224341561347</t>
  </si>
  <si>
    <t>@drfahrettinkoca Unutmayalım ! https://t.co/zKcAx72Efw</t>
  </si>
  <si>
    <t>1466465101167353862</t>
  </si>
  <si>
    <t>@drfahrettinkoca Sağlıkçı greve greve gidiyor #SağlıkçıİşBırakıyor</t>
  </si>
  <si>
    <t>1466465048369549315</t>
  </si>
  <si>
    <t>1466464991138271233</t>
  </si>
  <si>
    <t>@drfahrettinkoca İnanmıyorum</t>
  </si>
  <si>
    <t>1466464978857250820</t>
  </si>
  <si>
    <t>@drfahrettinkoca Ne söyledin sen gel bakalım buraya.</t>
  </si>
  <si>
    <t>1466464952152170496</t>
  </si>
  <si>
    <t>@drfahrettinkoca Uzaktan eğitim istiyoruz!!!</t>
  </si>
  <si>
    <t>1466464849085579266</t>
  </si>
  <si>
    <t>@drfahrettinkoca Zorla, baskıyla, şantajla aşı yapmak hayat kalitesine değer vermek oluyormuş 🤦‍♂️</t>
  </si>
  <si>
    <t>1466464803397017607</t>
  </si>
  <si>
    <t>@drfahrettinkoca 3. DOZ BİONTECH AŞIMIZI AÇAR MISINIZ ? ÖĞRETMENİM BEN. ÖLMEK İSTEMİYORUM.</t>
  </si>
  <si>
    <t>1466464681376333831</t>
  </si>
  <si>
    <t>@drfahrettinkoca Sn Bakan, aşının bulunmasıyla önlemlerin “kısmen esnekleşmesi” diyorsunuz fakat toplumda çok fazla… https://t.co/DuVNRaXx20</t>
  </si>
  <si>
    <t>1466464633464791044</t>
  </si>
  <si>
    <t>@drfahrettinkoca Oku,sağlıksızlık bakanım oku!.. https://t.co/Dn1Bmp7Yaa</t>
  </si>
  <si>
    <t>1466464546877550606</t>
  </si>
  <si>
    <t>@drfahrettinkoca 5-11 yaş aşı hakkı? 3. Doz aşılar???</t>
  </si>
  <si>
    <t>1466464510726787078</t>
  </si>
  <si>
    <t>@drfahrettinkoca Kimi avutuyorsun sayin bakan milletin akliyla alay etmeyin aşınin hicbir etkisi yok malesef yeni v… https://t.co/1Sf3HUYDC3</t>
  </si>
  <si>
    <t>1466464500551405573</t>
  </si>
  <si>
    <t>@drfahrettinkoca Yalan söylüyorun sen yalannn</t>
  </si>
  <si>
    <t>1466464471862423560</t>
  </si>
  <si>
    <t>@drfahrettinkoca Sıkın dişinizi arkdaşlar, 2022ye girmeden virüs diye bir şey kalmayacak.</t>
  </si>
  <si>
    <t>1466464400324415496</t>
  </si>
  <si>
    <t>@drfahrettinkoca Hayatı değiştiren sahte salgınının değil sizin gibi kureselci uşakları</t>
  </si>
  <si>
    <t>1466464367122292737</t>
  </si>
  <si>
    <t>@drfahrettinkoca Yeni varyant( omicron) tüm dünya gibi ciddiye alıp tedbir alsanız iyi olur! Mesela okullardan başl… https://t.co/LtDOjq8MFi</t>
  </si>
  <si>
    <t>1466464363766767619</t>
  </si>
  <si>
    <t>@drfahrettinkoca Yazıklar olsun doktorları olmayan zamla tüm toplumun önüne meze ettiniz? Doktor bakanlığıymış? Ken… https://t.co/Nt8R05JZrW</t>
  </si>
  <si>
    <t>1466464318627713036</t>
  </si>
  <si>
    <t>@drfahrettinkoca İnsanlar senin a$ı baskın yüzünden işinden atıldı. Esnaf kapanmalarla battı. DSO'ya tam biatın yüz… https://t.co/02rm46PbwI</t>
  </si>
  <si>
    <t>1466464278551089161</t>
  </si>
  <si>
    <t>@drfahrettinkoca Teste oranla yüzde 10 desen 35 bin yapar yüzde 8 lerde. Ee ilk çıktığında yüzde 2 ve ya 3 lerde de… https://t.co/1JV5E1wjkN</t>
  </si>
  <si>
    <t>1466464189011140618</t>
  </si>
  <si>
    <t>@drfahrettinkoca sizden artık online eğitim şu bu, yeni eğitim düzenlemesi istemiyorum. CANIMI KURTARSAM YETER. 3.… https://t.co/Op12gMMQqF</t>
  </si>
  <si>
    <t>1466464179594924036</t>
  </si>
  <si>
    <t>@drfahrettinkoca Senin hiçbir sözüne inanmıyorum</t>
  </si>
  <si>
    <t>1466464179028639745</t>
  </si>
  <si>
    <t>@drfahrettinkoca Sizde bizim hayatımızı değiştirdiniz Sayın Bakanım (Kılavuz beklerken +20 yaş)</t>
  </si>
  <si>
    <t>1466464165040734210</t>
  </si>
  <si>
    <t>@drfahrettinkoca Atama klavuzunu açıklayın artık sayın Bakan neyi bekliyorsunuz atama yapılmadan resmen 1 yıl geçti @drfahrettinkoca</t>
  </si>
  <si>
    <t>1466464153812488195</t>
  </si>
  <si>
    <t>@drfahrettinkoca Salgın hayatı değiştirirken siz de saglikcilarin hayatını değiştiren bakan olarak tarihe geçtiniz. Tebrikler.</t>
  </si>
  <si>
    <t>1466464149236498435</t>
  </si>
  <si>
    <t>@drfahrettinkoca Ayyy ben de bunu bekliyordum geç kalmıştı tşk bakanım</t>
  </si>
  <si>
    <t>1466464138125881354</t>
  </si>
  <si>
    <t>@drfahrettinkoca Aşıya verdiğiniz değerin %1 ini o aşıyı yapanlara verebilseydiniz keşke.</t>
  </si>
  <si>
    <t>1466464117120765960</t>
  </si>
  <si>
    <t>@drfahrettinkoca Ya kamu sagligi gerekcesi ile kaideler konur yada bosuna siirsel cumleler yazilarak fantazi yapilmaz .</t>
  </si>
  <si>
    <t>1466464064146710528</t>
  </si>
  <si>
    <t>@drfahrettinkoca Hastanelerden randevu alamiyoruz göztepe suleyman yalcin hastanesi başhekim yardimcisi Faruk Olgun… https://t.co/ZVDNvYDKQp</t>
  </si>
  <si>
    <t>1466464033071108097</t>
  </si>
  <si>
    <t>@drfahrettinkoca Sayın Koca , dün gerçekten Erdoğan ‘a siz izin vermeden konuşmam dediniz mi?</t>
  </si>
  <si>
    <t>1466464027668852742</t>
  </si>
  <si>
    <t>@drfahrettinkoca Omicron var mı sayın bakanım</t>
  </si>
  <si>
    <t>1466464014519738384</t>
  </si>
  <si>
    <t>@drfahrettinkoca Sn bakan masal anlatıyorsun bu hikayeleri artık kimse dinlemiyo</t>
  </si>
  <si>
    <t>1466463960601972746</t>
  </si>
  <si>
    <t>@drfahrettinkoca Tablo öncelikle yalandan ibaret bence çünkü kış geldi geliyor yani... 21 bin vaka olması imkansız… https://t.co/GMC6OQyOCG</t>
  </si>
  <si>
    <t>1466463921397809153</t>
  </si>
  <si>
    <t>@drfahrettinkoca 3. doz biontech aşımızı açın. başka da bir şey istemiyorum.</t>
  </si>
  <si>
    <t>1466463857006809093</t>
  </si>
  <si>
    <t>@drfahrettinkoca Hey yavrum hey salgın var ama en kalabalık en hijyensiz pis yerler okullar full time açık. Zorunuz ney fahrrettin husband</t>
  </si>
  <si>
    <t>1466463854372732929</t>
  </si>
  <si>
    <t>@drfahrettinkoca Kılavuz bakanım kılavuz</t>
  </si>
  <si>
    <t>1466463847330586629</t>
  </si>
  <si>
    <t>@drfahrettinkoca Yakışmadı</t>
  </si>
  <si>
    <t>1466463825985785865</t>
  </si>
  <si>
    <t>@drfahrettinkoca Sen ne söyledin ! 😅😅😅</t>
  </si>
  <si>
    <t>1466463816171106319</t>
  </si>
  <si>
    <t>@drfahrettinkoca Akıllı virüs maşallah</t>
  </si>
  <si>
    <t>1466463813675401220</t>
  </si>
  <si>
    <t>@drfahrettinkoca Aşıdan önemli şeylerde var hayatta,bu olaya bir müdahaleniz varmı? https://t.co/rEnvdFuWfK</t>
  </si>
  <si>
    <t>1466463747183108101</t>
  </si>
  <si>
    <t>@drfahrettinkoca Virüs diye bir şey yok herşey aşı için uydurulmuş yalan</t>
  </si>
  <si>
    <t>1466463699548487691</t>
  </si>
  <si>
    <t>@drfahrettinkoca 192 ölü ne kadar kolay söylemesi annesiz kalan çocuklar bi düşünün yaaa</t>
  </si>
  <si>
    <t>1466463554719162376</t>
  </si>
  <si>
    <t>@drfahrettinkoca böyle giderse yeni yıla vakasiz gireriz 🤠🤠</t>
  </si>
  <si>
    <t>1466463552085053441</t>
  </si>
  <si>
    <t>@drfahrettinkoca 13 aydır atama yapmadınız atama müjdesi verdiniz kılavuz yayınlamadınız sağlıkçılara zam yapmadını… https://t.co/fCjn8k9XC9</t>
  </si>
  <si>
    <t>1466463538638204928</t>
  </si>
  <si>
    <t>@drfahrettinkoca 3. doz aşıyı açın. canımı kurtarsam yeter. ot gibi yaşıyoruz zaten</t>
  </si>
  <si>
    <t>1466463533990912010</t>
  </si>
  <si>
    <t>1466463527279935492</t>
  </si>
  <si>
    <t>@drfahrettinkoca Gittikçe komik oluyor haberin olsun.</t>
  </si>
  <si>
    <t>1466463526743166984</t>
  </si>
  <si>
    <t>@drfahrettinkoca Doktor bakanı artık istifa zamanı geldi bütün sağlık personelini yok sayman tam sana yakışır bir h… https://t.co/oJ7NojNce6</t>
  </si>
  <si>
    <t>1466463497030623234</t>
  </si>
  <si>
    <t>@drfahrettinkoca Tablo sakalniyor gerçekleri verin artık okular sırf kapanmasın diye vaka sayılarını düşüyorsunuz online eğitim gelsin</t>
  </si>
  <si>
    <t>1466463475866210314</t>
  </si>
  <si>
    <t>@drfahrettinkoca Şaka mısınız ya sanki gerçek veriler</t>
  </si>
  <si>
    <t>1466463475836801034</t>
  </si>
  <si>
    <t>@drfahrettinkoca Aşıyı uygulayan ebenin, hemşirenin, sağlık emekçilerinin hakkını yok saydınız! #SağlıkcıİsBırakıyor</t>
  </si>
  <si>
    <t>1466463462775734273</t>
  </si>
  <si>
    <t>@drfahrettinkoca Almanya bile yoğun Avrupa alarmda  Bizde önlem adına sadece 12den sonra müzik yasağı ve nargile ka… https://t.co/Gd1iVfnnsk</t>
  </si>
  <si>
    <t>1466463375702044674</t>
  </si>
  <si>
    <t>@drfahrettinkoca Bakanım Nerde kılavuz</t>
  </si>
  <si>
    <t>1466463349827424269</t>
  </si>
  <si>
    <t>1466463349391212553</t>
  </si>
  <si>
    <t>1466463347805675526</t>
  </si>
  <si>
    <t>1466463344437731348</t>
  </si>
  <si>
    <t>@drfahrettinkoca İsfiçre bile online eğitime gececekmis siz nasıl bu kadar rahat olabiliyorsunuz ? @RTErdogan @erolozvar</t>
  </si>
  <si>
    <t>1466463298875019271</t>
  </si>
  <si>
    <t>@drfahrettinkoca başkan dün fena korktun reiz den allahtan anlamadı sende affını isterdin</t>
  </si>
  <si>
    <t>1466463292185001994</t>
  </si>
  <si>
    <t>@drfahrettinkoca bu kadar kayıp iyi değil, bizi buna alıştıramazsınız. #BilimKuruluOEğrencilerOnlineİstiyor</t>
  </si>
  <si>
    <t>1466463286971580418</t>
  </si>
  <si>
    <t>@drfahrettinkoca #SağlıkcıİsBırakıyor neden atama yapılmıyor? @drfahrettinkoca</t>
  </si>
  <si>
    <t>1466463267916759041</t>
  </si>
  <si>
    <t>@drfahrettinkoca Önlemlerin kısmen esnekleşmesi mi 😂😂 bakanım ilahi siz beni güldürdünüz Allah ta sizi güldürsün</t>
  </si>
  <si>
    <t>1466463251265372165</t>
  </si>
  <si>
    <t>@drfahrettinkoca Kanser hastası annemin GİLİVON ilaçı ücretsizdi bugün 360 TL üçret ödedik ! Neden?</t>
  </si>
  <si>
    <t>1466463244994940929</t>
  </si>
  <si>
    <t>@drfahrettinkoca Sayın bakanım, aşının yayılma hızı da ortada, covid in yayılma hızı da.  İl il aşı yaptırma oranla… https://t.co/3Dq5si0JpJ</t>
  </si>
  <si>
    <t>1466463228377145347</t>
  </si>
  <si>
    <t>@drfahrettinkoca Kılavuz açıklansa ekonomi çöker, ülke batar, kıyamet kopar falan.. Aman açıklamayın amaaaannnn</t>
  </si>
  <si>
    <t>1466463227626377224</t>
  </si>
  <si>
    <t>@drfahrettinkoca Yalanlarınız çok sıktı artık ölenlerin haddi hesabı yok Allah sizi bildiği gibi yapsın</t>
  </si>
  <si>
    <t>1466463214456217601</t>
  </si>
  <si>
    <t>@drfahrettinkoca Haklısınız aşı olmasa bu kadar vaka ve ölüm olmazdı, örnek Avrupa'nın aşılı ülkeleri. yada Ordu, Ş… https://t.co/a9ybZCQ7M5</t>
  </si>
  <si>
    <t>1466463201424457740</t>
  </si>
  <si>
    <t>@drfahrettinkoca Bence muhtesem sırrınızı rusya ve almanya ile de paylaşın hatta tüm dünya ile paylaşn onlarda vaka… https://t.co/GbZ7aL6UnH</t>
  </si>
  <si>
    <t>1466463187570733056</t>
  </si>
  <si>
    <t>@drfahrettinkoca Kılavuz gelsin dayanacak gücümüz kalmadı artık</t>
  </si>
  <si>
    <t>1466463148899241995</t>
  </si>
  <si>
    <t>@drfahrettinkoca Daha once 3-4 kere baska hastaliklar icin asi olmuştum.. hic birinde sorumluluk bana ait diyen bir… https://t.co/wF8iZiAD7H</t>
  </si>
  <si>
    <t>1466463125486645252</t>
  </si>
  <si>
    <t>@drfahrettinkoca Cok yalancisiniz! Biraz vicdaniniz kaldiysa istifa edin...yaziklar olsun yaptiginiz, Ilac tekeller… https://t.co/JuJYmy2t2c</t>
  </si>
  <si>
    <t>1466463110135492610</t>
  </si>
  <si>
    <t>@drfahrettinkoca Noktadan sonra "ve" gelmemesi gerekmiyor mu? Bence mesajı tamamen silip "Artık uzaktan eğitim geli… https://t.co/re7SZlvyTj</t>
  </si>
  <si>
    <t>1466463100048183296</t>
  </si>
  <si>
    <t>@drfahrettinkoca Dus Aciklansin @OSYMbaskanligi  @abdulhamitgul  @adalet_bakanlik  @drfahrettinkoca</t>
  </si>
  <si>
    <t>1466463098710208515</t>
  </si>
  <si>
    <t>@drfahrettinkoca Vaka sayisi nasil aylar boyu 20000 de kalabilir ki</t>
  </si>
  <si>
    <t>1466463090132856840</t>
  </si>
  <si>
    <t>1466463089621180416</t>
  </si>
  <si>
    <t>@drfahrettinkoca Hocam hocam</t>
  </si>
  <si>
    <t>1466463058843385864</t>
  </si>
  <si>
    <t>@drfahrettinkoca Sağlık yönetimine atama https://t.co/fm8EQfxMMf</t>
  </si>
  <si>
    <t>1466463057584996353</t>
  </si>
  <si>
    <t>@drfahrettinkoca Sağlıkçılarla aranıza koyduğunuz mesafe; omicron için yeterli mi? Birşey deneyeceğiz de #SağlıkcıİsBırakıyor</t>
  </si>
  <si>
    <t>1466463032398258181</t>
  </si>
  <si>
    <t>@drfahrettinkoca https://t.co/7OnSH8KWdK</t>
  </si>
  <si>
    <t>1466463026685661189</t>
  </si>
  <si>
    <t>@drfahrettinkoca Dus Aciklansin</t>
  </si>
  <si>
    <t>1466462967554355201</t>
  </si>
  <si>
    <t>1466462948604448777</t>
  </si>
  <si>
    <t>@drfahrettinkoca Salgınmı eyer ortada bir salgın varsa bunun sebebi medyadır enbüyük salgın sizin emriniz altındaki… https://t.co/kQgXCsfsfv</t>
  </si>
  <si>
    <t>1466462922905894919</t>
  </si>
  <si>
    <t>@drfahrettinkoca 3 deyince inanıyoruz 1,2,4</t>
  </si>
  <si>
    <t>1466462902014128131</t>
  </si>
  <si>
    <t>@drfahrettinkoca Gündem bu değil sakın bakanım. Sıkıntılar görmezden gelinerek çözülmez...</t>
  </si>
  <si>
    <t>1466462859886579719</t>
  </si>
  <si>
    <t>@drfahrettinkoca Peki aşıyı yapacak olan sağlıkçıya da mı önem versek acaba? @drfahrettinkoca #SağlıkcıİsBırakıyor… https://t.co/wW8BBQabBL</t>
  </si>
  <si>
    <t>1466462855067316225</t>
  </si>
  <si>
    <t>@drfahrettinkoca Sayın koca bu aşılı olupta temaslı olanlarını karantinada kalmadıkları sürece vakalar azalmaz. Bir… https://t.co/hHYjQ88f7A</t>
  </si>
  <si>
    <t>1466462845223288832</t>
  </si>
  <si>
    <t>@drfahrettinkoca İstifa et istifa halen tablo paylaşıyor</t>
  </si>
  <si>
    <t>1466462841544880132</t>
  </si>
  <si>
    <t>@drfahrettinkoca Deneysel sıvılarınızdan önce bu kadar hastalık yoktu..</t>
  </si>
  <si>
    <t>1466462755532255233</t>
  </si>
  <si>
    <t>@drfahrettinkoca Kılavuzu yayınlayın.yeter artık yeterrr</t>
  </si>
  <si>
    <t>1466462727556243464</t>
  </si>
  <si>
    <t>@drfahrettinkoca Herkesin hayatına kimse karışamaz 😁</t>
  </si>
  <si>
    <t>1466462727229087750</t>
  </si>
  <si>
    <t>@drfahrettinkoca Hala bu adama inanana inanamıyorum,  İlk aylarda,mesafe ve temizlik dedi hicbirsey olmadı vakalar… https://t.co/kgGiiwS58y</t>
  </si>
  <si>
    <t>1466462686313603076</t>
  </si>
  <si>
    <t>@drfahrettinkoca Nasıl önlem aldığınızi Almanya'ya gösterin örnek alsınlar birazcık malum bizi kıskanıyorlar ..</t>
  </si>
  <si>
    <t>1466462665535107079</t>
  </si>
  <si>
    <t>@drfahrettinkoca İstifa istifa istifa</t>
  </si>
  <si>
    <t>1466462658505449478</t>
  </si>
  <si>
    <t>@drfahrettinkoca Biz 1 yıl öncesi ile aynı haldeyiz değişmedik bunun sebebi sizsiniz  #KılavuzNeredeKaldı</t>
  </si>
  <si>
    <t>1466462620865765379</t>
  </si>
  <si>
    <t>@drfahrettinkoca Atama için kılavuz bekliyoruz sayın bakanım</t>
  </si>
  <si>
    <t>1466462617866805251</t>
  </si>
  <si>
    <t>@drfahrettinkoca Biz iyiyiz sen nabıyon. Aşının bulunmasıyla ve kapatmalarla mahvettiniz ekonomiyi, birde pişkin pi… https://t.co/ICbQmh8d14</t>
  </si>
  <si>
    <t>1466462600884113413</t>
  </si>
  <si>
    <t>@drfahrettinkoca Evet aşı çok önemli bu durumda aşılamayı yapan kişiler de çok önemli. Ama bilin bakalım neler oluyor #SağlıkcıİsBırakıyor</t>
  </si>
  <si>
    <t>1466462583628705800</t>
  </si>
  <si>
    <t>@drfahrettinkoca Bizde yorulduk istifa etseniz artık</t>
  </si>
  <si>
    <t>1466462566876655616</t>
  </si>
  <si>
    <t>@drfahrettinkoca Vakaların duşesi geldi her halde Almanya dünya da vakalar ucuyor ölüm oranında düşme yok ama ne hi… https://t.co/e3ztxlcil4</t>
  </si>
  <si>
    <t>1466462552880259075</t>
  </si>
  <si>
    <t>1466462544311300096</t>
  </si>
  <si>
    <t>@drfahrettinkoca Sayın Koca! Bu tivitleri atarken, Sayın Erdoğandan müsadesini istiyormusumuz??</t>
  </si>
  <si>
    <t>1466462529866113026</t>
  </si>
  <si>
    <t>1466462466397851651</t>
  </si>
  <si>
    <t>@drfahrettinkoca Cumhurbaşkanımızdan izin aldın mı bu açıklama için</t>
  </si>
  <si>
    <t>1466462457694760971</t>
  </si>
  <si>
    <t>@drfahrettinkoca Maske Maske Maske. Dinamik bir duzen var antibody azalmaya baslayinca bu insanlar booster alana ka… https://t.co/Zurel09KPp</t>
  </si>
  <si>
    <t>1466462456272859147</t>
  </si>
  <si>
    <t>@drfahrettinkoca Gerçek vakaları açıkla korkak Fahrettin koca</t>
  </si>
  <si>
    <t>1466462450283339784</t>
  </si>
  <si>
    <t>@drfahrettinkoca cezaevleri karantinali çalışmaya bir an önce dönmeli syn bakanım</t>
  </si>
  <si>
    <t>1466462430440136706</t>
  </si>
  <si>
    <t>@drfahrettinkoca Gerçek vakaları açıkla</t>
  </si>
  <si>
    <t>1466462409133068298</t>
  </si>
  <si>
    <t>@drfahrettinkoca her gun ayni seyleri deme be 40 kisi sinifta nasil dikkatli olabiliriz insafsizlar</t>
  </si>
  <si>
    <t>1466462389424037895</t>
  </si>
  <si>
    <t>@drfahrettinkoca Umutları kırdınız umutlarınızı kırılsın inşallah günahtir günah</t>
  </si>
  <si>
    <t>1466900255597862921</t>
  </si>
  <si>
    <t>@drfahrettinkoca Gercekten yeter ya bisiyler yapın bebekler ölüyor ölüyor ben bu topraklarda yaşıyorsam ve Türk vat… https://t.co/n2t6vVNxMX</t>
  </si>
  <si>
    <t>1466896819603058694</t>
  </si>
  <si>
    <t>@drfahrettinkoca Yazıkkk Hekimliğin düşdüğü hale</t>
  </si>
  <si>
    <t>1466881198341378056</t>
  </si>
  <si>
    <t>@drfahrettinkoca Bu adama zerrece güvenmiyorum ben bu hayırlı birşey olmayacak bence</t>
  </si>
  <si>
    <t>1466845867353255936</t>
  </si>
  <si>
    <t>@drfahrettinkoca Ölen, tedavi hakkını kaybeden, bebeği için intihar eden bütün bebeklerin ve ailelerin veballeri bo… https://t.co/IqvVTFtkQY</t>
  </si>
  <si>
    <t>1466549763126575109</t>
  </si>
  <si>
    <t>@drfahrettinkoca İlaçla alakalı neden bir açıklama yapılmadı?</t>
  </si>
  <si>
    <t>1466547790599782400</t>
  </si>
  <si>
    <t>1466544058692743169</t>
  </si>
  <si>
    <t>@drfahrettinkoca Hepimizi yıktınız.. ilacla ilgili olumlu sonuclar oldugunu bilimsel olarak kabul ettiginizi soyled… https://t.co/zGlm7UZmSR</t>
  </si>
  <si>
    <t>1466540874595110912</t>
  </si>
  <si>
    <t>@drfahrettinkoca SMA hastaları için gerekli açıklamaları yaptınız buna rağmen sizi halk ile karşı  karşıya getirmes… https://t.co/5Qm2joBlxO</t>
  </si>
  <si>
    <t>1466535993398288387</t>
  </si>
  <si>
    <t>@drfahrettinkoca #SMAyaMutluSONOLSUN  zolgensma ilacın ne amaçla kullanıldığını mı araştıracaksınız ? Şaka mı bu ?… https://t.co/bXel2xQqhd</t>
  </si>
  <si>
    <t>1466530809611886593</t>
  </si>
  <si>
    <t>@drfahrettinkoca 6 gün önce böyle demişim. Noldu şimdi ?  Siz utanmaya devam, biz çalışmaya. #smayasesverölüyorlar… https://t.co/MyqYMSEBZh</t>
  </si>
  <si>
    <t>1466530109783822342</t>
  </si>
  <si>
    <t>@drfahrettinkoca Yani bu çocuklar yine ölüme terkedildi. Bu kez alacakları kararla inşallah şaşırtırlar beni diye ü… https://t.co/pRz7GFaLUW</t>
  </si>
  <si>
    <t>1466528574341537797</t>
  </si>
  <si>
    <t>@drfahrettinkoca Bu devlet kimin hangi yarasına merhem oluyorsa sma lı ailelerin sesini duysun. Bırakın artık maval… https://t.co/sPs5eoPIUs</t>
  </si>
  <si>
    <t>1466528566078758912</t>
  </si>
  <si>
    <t>@drfahrettinkoca Şu anda toplu katliam yaptığınızın farkindasiniz degil mi... Doktor olduğunuzu söylüyorsunuz; ulke… https://t.co/KE7Yf5lmMQ</t>
  </si>
  <si>
    <t>1466526445312827392</t>
  </si>
  <si>
    <t>@drfahrettinkoca İzin alındı mı? Ne söyledi ?</t>
  </si>
  <si>
    <t>1466522565040652294</t>
  </si>
  <si>
    <t>@drfahrettinkoca Filim kurulunun bilimle alakası yok. Boşuna paramızı alıyorlar</t>
  </si>
  <si>
    <t>1466521026188169217</t>
  </si>
  <si>
    <t>@drfahrettinkoca Sayın bakanım ilacı getirin dinsin artık şu çocukların acıları ailelerin acıları onlarda Türkiye'n… https://t.co/kmysQ2hZzM</t>
  </si>
  <si>
    <t>1466516674044215304</t>
  </si>
  <si>
    <t>@drfahrettinkoca Bakanım sağlık çalışanı diyince aklınıza doktor dışında insan evladı gelmiyor mu?</t>
  </si>
  <si>
    <t>1466511226461171712</t>
  </si>
  <si>
    <t>@drfahrettinkoca Hocam kılavuz, ablam kılavuz bekleye bekleye ağaç oldu, meyve verdi, meyveleri çürüdü, yapraklarını döktü</t>
  </si>
  <si>
    <t>1466509235542441991</t>
  </si>
  <si>
    <t>@drfahrettinkoca Sizin bu açıklamanız ölümle pençeleşen binlerce SMA lı bebeği ölüme mahkum etti. Ama biz halk olar… https://t.co/ubdBlb247O</t>
  </si>
  <si>
    <t>1466507973790949383</t>
  </si>
  <si>
    <t>@drfahrettinkoca Atama yapsana fahrettin</t>
  </si>
  <si>
    <t>1466507647029596160</t>
  </si>
  <si>
    <t>@drfahrettinkoca Çocuklar için tedavi var ve siz bunları yapmıyorsunuz ölen her çocuğun vebali günahı boynunuza olsun</t>
  </si>
  <si>
    <t>1466507416992989185</t>
  </si>
  <si>
    <t>@drfahrettinkoca @sma_ElifSare yardım edermisiniz lütfen 🤲</t>
  </si>
  <si>
    <t>1466507342674071555</t>
  </si>
  <si>
    <t>@drfahrettinkoca Hocam kızımın okulunda bu hafta 3 Sınıf kapandı ki çoğu Veli de enteresan çocuğunu evde istemiyor… https://t.co/wOvASVWfZi</t>
  </si>
  <si>
    <t>1466505600771268612</t>
  </si>
  <si>
    <t>1466505188525719556</t>
  </si>
  <si>
    <t>@drfahrettinkoca Bu bebekler acı ve açlıkla savasiyor yeter artık lütfen sizler çatlayana kadar yerken bu bebekler… https://t.co/4NW2E0fZUt</t>
  </si>
  <si>
    <t>1466502469815611395</t>
  </si>
  <si>
    <t>@drfahrettinkoca Sen varya vicdansiz insanlar toplulugunun sozcususun o bebekleri olume terk eden o kararlariniz Al… https://t.co/FMZRsh4hCr</t>
  </si>
  <si>
    <t>1466502310591447045</t>
  </si>
  <si>
    <t>@drfahrettinkoca ÖNEMLİDİR SMA HASTASI BEBEĞİN SİZİN 1TL SİNE  DAHİ İHTİYACI VAR.7 AYLIK BEBEK AZ ZAMAN KALDI LÜTFE… https://t.co/bksAHdX0yv</t>
  </si>
  <si>
    <t>1466501124949749774</t>
  </si>
  <si>
    <t>@drfahrettinkoca Lafı dolandırıp durdun. Sma ilaçları karşılanacak diyemedin reisin izin vermedi mi</t>
  </si>
  <si>
    <t>1466499972745023488</t>
  </si>
  <si>
    <t>@drfahrettinkoca #smadegilbizgüçlüyüz diyerek Hazar bebegimizi  ve tüm Sma hastası bebeklerimizi bu zorlu mücadeles… https://t.co/tLsDcKedp3</t>
  </si>
  <si>
    <t>1466499270182416385</t>
  </si>
  <si>
    <t>@drfahrettinkoca #smadegilbizgüçlüyüz diyerek Hazar bebegimizi  ve tüm Sma hastası bebeklerimizi bu zorlu mücadeles… https://t.co/gCc7fXqyiW</t>
  </si>
  <si>
    <t>1466499104180166657</t>
  </si>
  <si>
    <t>@drfahrettinkoca Sonucunda risk saptanırsa??? “ isteğe bağlı olarak” tüp bebek tedavisi!!! ücretsiz karşılanacak. P… https://t.co/82HUE7tRxj</t>
  </si>
  <si>
    <t>1466496349428502532</t>
  </si>
  <si>
    <t>@drfahrettinkoca Kılavuz mu atama mı çok yakında en yakında az kaldı çok az kaldı covid mi aşı olun aşı aşı aşı önü… https://t.co/oRUOcjnoSu</t>
  </si>
  <si>
    <t>1466496340301688832</t>
  </si>
  <si>
    <t>@drfahrettinkoca SAYIN @drfahrettinkoca @RTErdogan sağlık atama kılavuzu nerede? Aylardır beklettiniz bizleri hala… https://t.co/Id8CzxMrjf</t>
  </si>
  <si>
    <t>1466496004987961353</t>
  </si>
  <si>
    <t>@drfahrettinkoca Daha ne kadar sesiz kalacaksınz bu bebeklerin sesizce acı çekmelerine, bir bir Melek olmalarına da… https://t.co/D103SF31vx</t>
  </si>
  <si>
    <t>1466493662720933889</t>
  </si>
  <si>
    <t>@drfahrettinkoca Her kapıyı çalacağız, her yere sesimizi duyuracağız. Biz bu yavrular iyi olmadan, aldığımız her ne… https://t.co/q1R1RgMwp1</t>
  </si>
  <si>
    <t>1466493327876972551</t>
  </si>
  <si>
    <t>@drfahrettinkoca Ilacı Türkiye'ye getirin artik somut bir adim atin bebeklerimizi kurtarin ! Ailelerin bekleyecek vakti yok</t>
  </si>
  <si>
    <t>1466490961500987394</t>
  </si>
  <si>
    <t>@drfahrettinkoca @smabenimleyuru Mevcut hastalar ne oldu sayın bakan @drfahrettinkoca önlemler tamm tedavi ne olaca… https://t.co/2EePkNqILE</t>
  </si>
  <si>
    <t>1466490094504882182</t>
  </si>
  <si>
    <t>@drfahrettinkoca Sayin bakanım #drfahrettinkoca , SMA konusuna çok bilimsel yaklaştığınız için sizi kutlarım .  Çok… https://t.co/FZg2PPhNs3</t>
  </si>
  <si>
    <t>1466485225660334082</t>
  </si>
  <si>
    <t>@drfahrettinkoca Aldığınız kararlar için teşekkür etmek gerekir,sağolun. Bu hastalığın en verimli ama aynı zamanda… https://t.co/8gx7t9szcV</t>
  </si>
  <si>
    <t>1466484864451031049</t>
  </si>
  <si>
    <t>@drfahrettinkoca #Zolgensma ilacı bu yavruların yaşaması için gerekli olan tek ilaç bir aile bu ilacı tek başına ka… https://t.co/NMMF9kcnrf</t>
  </si>
  <si>
    <t>1466483313393254406</t>
  </si>
  <si>
    <t>@drfahrettinkoca Hasta ile sürekli temas halinde olan hemşirelere neden öğretmen ve bşr doktor kadar değer vermiyorsunuz.</t>
  </si>
  <si>
    <t>1466482816271716356</t>
  </si>
  <si>
    <t>@drfahrettinkoca @yagmurdeniz_sma @drfahrettinkoca biz bu bebekler ne yapalım  sayın bakanım yok mu sayalım ölüme m… https://t.co/VE8XlxeMBu</t>
  </si>
  <si>
    <t>1466482686365687813</t>
  </si>
  <si>
    <t>@drfahrettinkoca Sayın bakanım pastanın tamamı doktorlara dağıtılması ve hemşirelerin pas geçilmesi ne kadar adil.</t>
  </si>
  <si>
    <t>1466482661619286019</t>
  </si>
  <si>
    <t>@drfahrettinkoca Her kapıyı çalacağız, her yere sesimizi duyuracağız. Biz bu yavrular iyi olmadan, aldığımız her ne… https://t.co/YA8Yn2DxHQ</t>
  </si>
  <si>
    <t>1466482619676250115</t>
  </si>
  <si>
    <t>@drfahrettinkoca Madem bunu belirlemek için toplandınız, açıklayın tespit ettiğiniz hastalar kim? https://t.co/sR31INrOZ5</t>
  </si>
  <si>
    <t>1466482321578762245</t>
  </si>
  <si>
    <t>@drfahrettinkoca https://t.co/KO7GOzvrFY</t>
  </si>
  <si>
    <t>1466482141827682308</t>
  </si>
  <si>
    <t>@drfahrettinkoca Ben bu açıklamanın hesabını istiyorum. Zolgensma hangi hastalarda kullanılabilecek? Bunun için top… https://t.co/rEnbWNlsY8</t>
  </si>
  <si>
    <t>1466482061284413446</t>
  </si>
  <si>
    <t>@drfahrettinkoca Her kapıyı çalacağız,her yere sesimizi duyuracağız. Biz bu yavrular iyileşmeden aldığımız nefesten… https://t.co/MkMoPoKebe</t>
  </si>
  <si>
    <t>1466481695360757766</t>
  </si>
  <si>
    <t>@drfahrettinkoca Ata ma</t>
  </si>
  <si>
    <t>1466481527131451396</t>
  </si>
  <si>
    <t>@drfahrettinkoca Derhal istifa edin Sağlık Bakanlığı Kovit Bakanlığı oldu.Yeter artık 1 yıldan fazladır isteğim dış… https://t.co/fyDZ5PkP0h</t>
  </si>
  <si>
    <t>1466480384519061514</t>
  </si>
  <si>
    <t>@drfahrettinkoca Boş bir toplantıdan yine boş bir sonuç o kadar sma hastası olan aile bu toplatının sonucunu bekliy… https://t.co/JbG1kfeJvQ</t>
  </si>
  <si>
    <t>1466480312419037198</t>
  </si>
  <si>
    <t>@drfahrettinkoca Bunun Türkçesi şudur Sayın Bakan: Bu ilaç hastalarda kullanılabilir, biz ölçütleri belirleyeceğiz.… https://t.co/KGO6UaLC6P</t>
  </si>
  <si>
    <t>1466479691838144518</t>
  </si>
  <si>
    <t>@drfahrettinkoca Bunun için topllanıp bununla ilgili tek söz etmemeniz??? https://t.co/PiJktAENzo</t>
  </si>
  <si>
    <t>1466479162135302145</t>
  </si>
  <si>
    <t>@drfahrettinkoca Allah askina yeter ya bir senedir atamayı bekleye bekleye en az 5 sene yaşlandık , yılı bitirecez… https://t.co/R2d2wFtI32</t>
  </si>
  <si>
    <t>1466478880286556168</t>
  </si>
  <si>
    <t>@drfahrettinkoca _*Görmezlikten geldiğiniz her an bu bebek ölüyor. Bakın, duyurun çıkmayan sesi olun Retweet edin m… https://t.co/raVjv2gkMr</t>
  </si>
  <si>
    <t>1466478728800841728</t>
  </si>
  <si>
    <t>@drfahrettinkoca https://t.co/swfdsgriRZ Türkiye Cumhuriyet'nin güzide biliminsanlari göreve hazır. Lütfen seslerini duyun.</t>
  </si>
  <si>
    <t>1466478550807199750</t>
  </si>
  <si>
    <t>@drfahrettinkoca İstifa et hemşirelere hiçbirşey yapmadın hep doktorları kayırdın vatandaş olarak istifanı istiyorum git abicim</t>
  </si>
  <si>
    <t>1466478048530870274</t>
  </si>
  <si>
    <t>@drfahrettinkoca Gün birlik günü sendika itibar meselesi değil. Birlik olup karar verin. @sagliksen… https://t.co/czc6LAOKyL</t>
  </si>
  <si>
    <t>1466476181600014347</t>
  </si>
  <si>
    <t>@drfahrettinkoca Topladiginiz kurulun uyeleri kimler? Hangi verileri degerlerndirdinuz de Zolgensma yi getirmiyorsu… https://t.co/jJ0baRdWhV</t>
  </si>
  <si>
    <t>1466475939487961094</t>
  </si>
  <si>
    <t>@drfahrettinkoca #TaşeronaKadroNoldu #TaşeronaKadroNoldu Bizler bu pandemi sürecinde hastanede kadrosuz çalışanları… https://t.co/TH4gfni5H2</t>
  </si>
  <si>
    <t>1466475871120801794</t>
  </si>
  <si>
    <t>@drfahrettinkoca Eyer bu kurul da pandemi kurulu gibi olacaksa bu hastalar daha da kotu olacaklardir umarim pandemi… https://t.co/G7sCi8ErS3</t>
  </si>
  <si>
    <t>1466475381729468430</t>
  </si>
  <si>
    <t>@drfahrettinkoca Ela SMA TİP-1 ölümcül kas hastası bu zorlu süreçte lütfen elinden tutun. Elanın nefes alabilmesi i… https://t.co/d5t7wtHaot</t>
  </si>
  <si>
    <t>1466475102757916674</t>
  </si>
  <si>
    <t>@drfahrettinkoca Çocukları kaderine terk ettiniz ..</t>
  </si>
  <si>
    <t>1466475096764264455</t>
  </si>
  <si>
    <t>@drfahrettinkoca Bu bebeklerin katilisiniz @drfahrettinkoca ve SMA bilim güruhu!!!  Zolgensma sart bu bebekler icin</t>
  </si>
  <si>
    <t>1466474709843726342</t>
  </si>
  <si>
    <t>@drfahrettinkoca Her gün kaç ailenin evine, yüreğine,ciğerine ateş düşecek kaç ailenin kucağı,kaç bebeğin yatağı bo… https://t.co/TLyjZCnb2B</t>
  </si>
  <si>
    <t>1466473393688133644</t>
  </si>
  <si>
    <t>@drfahrettinkoca 🇹🇷🇹🇷</t>
  </si>
  <si>
    <t>1466472821606031361</t>
  </si>
  <si>
    <t>@drfahrettinkoca Bizim istediğimiz ilaç Spinraza değil ZolGenSMA</t>
  </si>
  <si>
    <t>1466472542558953478</t>
  </si>
  <si>
    <t>@drfahrettinkoca Bu bebeklerin dünyaya gelmemesi için sunduğunuz önlemleri anlıyoruz fakat hali hazırda yaşayan,sma… https://t.co/EvjSFNmr8U</t>
  </si>
  <si>
    <t>1466471276164304899</t>
  </si>
  <si>
    <t>@drfahrettinkoca 📌Ela sma tip 1 ölümcül kas hastası bu zorlu süreçte lütfen elinden tutun. Elanın nefes alabilmesi… https://t.co/eJLtoLEt7B</t>
  </si>
  <si>
    <t>1466470995674423303</t>
  </si>
  <si>
    <t>@drfahrettinkoca Sen reisten izin almadan konusabiliyor musun ya</t>
  </si>
  <si>
    <t>1466470103566934019</t>
  </si>
  <si>
    <t>@drfahrettinkoca Bu konuda kamuoyunu aydınlattığınız için teşekkürler... SMA hastaları üzerinden yürütülen algı ope… https://t.co/FDpe9dAswI</t>
  </si>
  <si>
    <t>1466469623478591497</t>
  </si>
  <si>
    <t>@drfahrettinkoca Babamı yoğun bakımdan çıkardılar tek bir odaya aldılar babamın durumu gittikçe ağırlaştı beni de y… https://t.co/g7snimvCJl</t>
  </si>
  <si>
    <t>1466469553546964995</t>
  </si>
  <si>
    <t>@drfahrettinkoca Doktor bakanı bey biz sağlıkçılara bir bakan atanacakmı  haberiniz varmı acaba</t>
  </si>
  <si>
    <t>1466469029015662598</t>
  </si>
  <si>
    <t>@drfahrettinkoca Öjeni bir insanlık suçudur. SMA yi bahane kılarak öjeni yasalarını uygulamaya geçiyorsunuz. Allah hidayet etsin.</t>
  </si>
  <si>
    <t>1466468275622191111</t>
  </si>
  <si>
    <t>@drfahrettinkoca Ben de bakıcısı olduğum için gece eve geldim gece saat on birde Ankara'dan beni aradılar Selahatti… https://t.co/mW7BR90Z6s</t>
  </si>
  <si>
    <t>1466467807017803785</t>
  </si>
  <si>
    <t>@drfahrettinkoca Sayın bakanım ben Trabzon'dan Trabzon'dan yazıyorum 11 gün önce babamı Trabzon ahi Evren kalp ve d… https://t.co/GGao9KWuab</t>
  </si>
  <si>
    <t>1466467284873007110</t>
  </si>
  <si>
    <t>@drfahrettinkoca Bağışlarla toplanan paralarla onlarca bebeğimizi ZolgenSMA tedavisine halk olarak kavuşturduk. Day… https://t.co/LfWObNHx5a</t>
  </si>
  <si>
    <t>1466467273305202692</t>
  </si>
  <si>
    <t>@drfahrettinkoca Veee sonuc sma hastasi cocuklar olume mahkum edildi ilac yine karsilanmiyor</t>
  </si>
  <si>
    <t>1466466659984711690</t>
  </si>
  <si>
    <t>@drfahrettinkoca Hekimlere yaptık dediğiniz zam, sabit dönerimizi kesip maaşa eklemekmiş. Sağ elle verip sol elle a… https://t.co/Pg13PBuRz5</t>
  </si>
  <si>
    <t>1466465313503985670</t>
  </si>
  <si>
    <t>@drfahrettinkoca Zolgensmayı neden getirmiyorsunuz bebeklerimiz geleceğimiz göz göre göre ölüyor. Bir tedavisi vark… https://t.co/J0CElKxFjA</t>
  </si>
  <si>
    <t>1466464813413027852</t>
  </si>
  <si>
    <t>@drfahrettinkoca Kılavuz nerede Sayın Bakan oyalama bitmedi mi</t>
  </si>
  <si>
    <t>1466464104336568329</t>
  </si>
  <si>
    <t>@drfahrettinkoca Yazıklar olsun. Tüm umutlar ile oynadınız</t>
  </si>
  <si>
    <t>1466462848318640128</t>
  </si>
  <si>
    <t>@drfahrettinkoca 4 gün oldu hâlâ ayrıntılar belli değil şuan neye göre hareket edileceğini kimse bilmiyor maalesef</t>
  </si>
  <si>
    <t>1467980904639471617</t>
  </si>
  <si>
    <t>@drfahrettinkoca Sizin adınıza çok üzüldük çocuk gibi basının önünde azarlanmaniz hiç hoş olmadı ne dedi ne dedi si… https://t.co/WJuFk90ZBl</t>
  </si>
  <si>
    <t>1467608400896925704</t>
  </si>
  <si>
    <t>@drfahrettinkoca Sağlıkçılar için güzel çalışmalar yapsanız.  Bizlerde sizi kutlasak keşke...</t>
  </si>
  <si>
    <t>1467222732643446788</t>
  </si>
  <si>
    <t>@drfahrettinkoca Hepiniz bir an önce bırakıp gidin bizim için en güzel haber hükümetçe toplu istifa etmenizdir ALLA… https://t.co/GMde61hvdF</t>
  </si>
  <si>
    <t>1466911316128452610</t>
  </si>
  <si>
    <t>@drfahrettinkoca Oooof ooooof</t>
  </si>
  <si>
    <t>1466838884336209924</t>
  </si>
  <si>
    <t>@drfahrettinkoca Sen bile biliyorsun orada göstermelik oturduğunu. Yani kendini çok da önemseme. Sağlık çalışanları… https://t.co/nsv8RQfckC</t>
  </si>
  <si>
    <t>1466825532553801737</t>
  </si>
  <si>
    <t>@drfahrettinkoca Bizde sizi görevinizi yapmadığınız için kutluyoruz</t>
  </si>
  <si>
    <t>1466547745360003075</t>
  </si>
  <si>
    <t>@drfahrettinkoca Simit sat. Onurlu yaşa.</t>
  </si>
  <si>
    <t>1466543089397477381</t>
  </si>
  <si>
    <t>@drfahrettinkoca doldurdunuz yine fetö cüleri inş başarısız olur</t>
  </si>
  <si>
    <t>1466533855230267396</t>
  </si>
  <si>
    <t>@drfahrettinkoca Utanma yok para o kadar güçlü vay be</t>
  </si>
  <si>
    <t>1466533272662519814</t>
  </si>
  <si>
    <t>@drfahrettinkoca Fahrettin Bey atamayı galiba balık kavağa çıkınca yapacaksınız</t>
  </si>
  <si>
    <t>1466533007301365761</t>
  </si>
  <si>
    <t>@drfahrettinkoca İnşallah sizde bi gidersiniz de sürekli  dr lar ve diğer sağlık çalışanları diye ayrımcılık yapan… https://t.co/cOGFhYbqX8</t>
  </si>
  <si>
    <t>1466531993588436993</t>
  </si>
  <si>
    <t>@drfahrettinkoca Fazla da kutlama nasıl olsa bu da çok dayanmaz 😂</t>
  </si>
  <si>
    <t>1466531811329150983</t>
  </si>
  <si>
    <t>@drfahrettinkoca İzin aldınız mı bu twiti atmak için?</t>
  </si>
  <si>
    <t>1466525256282099716</t>
  </si>
  <si>
    <t>@drfahrettinkoca Gece yatağa uzanırken hiç utanma, küçük düşme hissi gelmiyor mu? Kameralar önünde seni nasıl aşağı… https://t.co/AECEvDveXW</t>
  </si>
  <si>
    <t>1466522252619530240</t>
  </si>
  <si>
    <t>@drfahrettinkoca Yeni sağlık bakanımızı ne zaman tebrik edeceğiz?</t>
  </si>
  <si>
    <t>1466520766061682689</t>
  </si>
  <si>
    <t>@drfahrettinkoca https://t.co/A323u81B55</t>
  </si>
  <si>
    <t>1466514454611378177</t>
  </si>
  <si>
    <t>@drfahrettinkoca Sizde mi fetöcüsünüz? Zira şahsın fetö denen terörist köpekle photosu var</t>
  </si>
  <si>
    <t>1466512062029385733</t>
  </si>
  <si>
    <t>@drfahrettinkoca Bakanım #SağlığaKılavuzUnutuldu unuttunuz bakanım</t>
  </si>
  <si>
    <t>1466509390941507585</t>
  </si>
  <si>
    <t>@drfahrettinkoca ATAMA YAP FAHREDDİN ATAMA BEKLIYORUZ</t>
  </si>
  <si>
    <t>1466507715354796036</t>
  </si>
  <si>
    <t>@drfahrettinkoca Acele etmeyin sayın bakanım bir gece ansızın oda değişebilir 😉😉😉</t>
  </si>
  <si>
    <t>1466507306754056192</t>
  </si>
  <si>
    <t>@drfahrettinkoca Twiti atarken cumhurbaşkanından izin aldınız mı sayın doktor bakanı</t>
  </si>
  <si>
    <t>1466503707575599107</t>
  </si>
  <si>
    <t>@drfahrettinkoca Bu fetö aşkı nerden geliyor sayın bakar?? https://t.co/PAlXXtfF6N</t>
  </si>
  <si>
    <t>1466503119538475020</t>
  </si>
  <si>
    <t>@drfahrettinkoca Hayırlı olsun başarılar diliyorum</t>
  </si>
  <si>
    <t>1466499334724272140</t>
  </si>
  <si>
    <t>@drfahrettinkoca Sayın bakanım yeni başarıları derken dolar 20 Euro 25 TL mi olsun diyiyorsunuz</t>
  </si>
  <si>
    <t>1466496547806486532</t>
  </si>
  <si>
    <t>@drfahrettinkoca Lan bırakın yalakalığı da liakata bakn biraz ayıp be</t>
  </si>
  <si>
    <t>1466494759858589696</t>
  </si>
  <si>
    <t>@drfahrettinkoca Bakanlık degil mübarek yolgecen hanına döndü.</t>
  </si>
  <si>
    <t>1466489596959670283</t>
  </si>
  <si>
    <t>@drfahrettinkoca Kameralar önünde  bu kadar rencide edilmişkenO koltukta hala nasıl oturuyorsunuz hiç mi onurunuz y… https://t.co/GhgAESDEMj</t>
  </si>
  <si>
    <t>1466489268155604996</t>
  </si>
  <si>
    <t>@drfahrettinkoca Ancak biz sayılacak tüm ayları, tüm günleri saydık. Umudumuz tükenmesin. Atama 2022'ye kalmasın sa… https://t.co/NO8hYJbwDt</t>
  </si>
  <si>
    <t>1466489027650015233</t>
  </si>
  <si>
    <t>@drfahrettinkoca Dr Cook fazla zam yapıldı Dr a bu kadar zam yapacağımıza bakanım.herkese eşit yapsaydiniz keske</t>
  </si>
  <si>
    <t>1466488608567791617</t>
  </si>
  <si>
    <t>@drfahrettinkoca Gözünü seveyim İstifa ette bizde bir rahatlayalım. #FKocaYeterUmutAsıladığın</t>
  </si>
  <si>
    <t>1466476952538263557</t>
  </si>
  <si>
    <t>@drfahrettinkoca Umarım bir gün sizde affınıza sığınıyorum demezsiniz ki öyle görünüyor</t>
  </si>
  <si>
    <t>1466476824179970057</t>
  </si>
  <si>
    <t>1466476664406294531</t>
  </si>
  <si>
    <t>@drfahrettinkoca #TaşeronaKadroNoldu #TaşeronaKadroNoldu Bizler bu pandemi sürecinde hastanede kadrosuz çalışanları… https://t.co/WmkyDLGCRm</t>
  </si>
  <si>
    <t>1466475905417723910</t>
  </si>
  <si>
    <t>@drfahrettinkoca Bu mu? https://t.co/FyQ8VfjSf3</t>
  </si>
  <si>
    <t>1466471625986129920</t>
  </si>
  <si>
    <t>@drfahrettinkoca 😂😂😂😂😂</t>
  </si>
  <si>
    <t>1466467092333531139</t>
  </si>
  <si>
    <t>@drfahrettinkoca Şöyle bir fotoğraf herhangi bir devlet memurunu geçmişinde olsa Devlet memurluğunu geçtim,ocağını… https://t.co/s0yotZUkNh</t>
  </si>
  <si>
    <t>1466466158777974798</t>
  </si>
  <si>
    <t>@drfahrettinkoca Sen ne zaman istifa edeceksin ondan haber ver... pardon Tayyib e soracaksin once..</t>
  </si>
  <si>
    <t>1466465927935967238</t>
  </si>
  <si>
    <t>@drfahrettinkoca Kutlamak için reise sordun mu?</t>
  </si>
  <si>
    <t>1466465783438053380</t>
  </si>
  <si>
    <t>@drfahrettinkoca Tez günde senide alsa ne var.</t>
  </si>
  <si>
    <t>1466465616504758280</t>
  </si>
  <si>
    <t>@drfahrettinkoca Ne diyoo  ne dedi  ?</t>
  </si>
  <si>
    <t>1466463698550206467</t>
  </si>
  <si>
    <t>@drfahrettinkoca Her gün yeni zamlarla cebimizde para kalmadı siz hala bize zam yapmayı düşünüyorsunuz. Biraz insaf edin artık.</t>
  </si>
  <si>
    <t>1468246100868018180</t>
  </si>
  <si>
    <t>@drfahrettinkoca Für medizinisches Deutsch folgen Sie bitte https://t.co/nx6Aq2v8WW</t>
  </si>
  <si>
    <t>1467249943274745857</t>
  </si>
  <si>
    <t>@drfahrettinkoca ANLAYAMADIĞIM SAĞLIK PERSONELİ NİÇİN KENDİNİ HEKİMLE KARŞILAŞTIRIYOR, BEN ADLİYEDE HİÇ HAKİMLE KEN… https://t.co/pCtSzKQRzU</t>
  </si>
  <si>
    <t>1467212350675730439</t>
  </si>
  <si>
    <t>@drfahrettinkoca Söz hemşirelere gelince de destek verilmeliydi sayın KOCA neden bize üveyevlat muamelesi yapıyorsu… https://t.co/SmbPkDI7GW</t>
  </si>
  <si>
    <t>1466864486619488270</t>
  </si>
  <si>
    <t>@drfahrettinkoca Bunlara hala oy verecek olan hemsire veya saglik personeli varsa Allah akıl fikir versin ..tabiki… https://t.co/WMUkOnSu5V</t>
  </si>
  <si>
    <t>1466855395583004672</t>
  </si>
  <si>
    <t>@drfahrettinkoca Vicdanınız gerçekten rahat mı? Kaç milyon insanın ahi var. Unutma!!!!</t>
  </si>
  <si>
    <t>1466846891971334144</t>
  </si>
  <si>
    <t>@drfahrettinkoca Ey allahım nerdesin bunları  görmüyor musun  yetiş allahım  yetiş</t>
  </si>
  <si>
    <t>1466831237084069893</t>
  </si>
  <si>
    <t>@drfahrettinkoca Sayın bakanım doktorlara verilecek zam görüşmesi geri çekilip ertelenmiş. Bu doğru mudur? Gelişmel… https://t.co/44LjgxVOlb</t>
  </si>
  <si>
    <t>1466820564375543814</t>
  </si>
  <si>
    <t>@drfahrettinkoca https://t.co/lnv3wZycKS</t>
  </si>
  <si>
    <t>1466538170003058689</t>
  </si>
  <si>
    <t>@drfahrettinkoca Aile hekimliklerini yine kapsama dahil etmemişsiniz sayın bakanım. Cari giderler artık masraflara… https://t.co/Fzn5y3zjWV</t>
  </si>
  <si>
    <t>1466525789537685507</t>
  </si>
  <si>
    <t>@drfahrettinkoca Diğer sağlık çalışanlarını ayrı tutmak hangi vicdana sığar, sağlık sektörü sadece doktorlardanmı i… https://t.co/fsOWMDVpnb</t>
  </si>
  <si>
    <t>1466521209689055233</t>
  </si>
  <si>
    <t>@drfahrettinkoca Sayın bakanım hemşireleri ve saglık memurlarını ve digerlerini saglıkçı olarak görmüyormusunuz biz… https://t.co/WKELCIqLWc</t>
  </si>
  <si>
    <t>1466518498239254529</t>
  </si>
  <si>
    <t>@drfahrettinkoca Sayın Bakan, sayenizde yabancı dil çalışıyoruz.Anladık ki bu ülkede çalışılmaz,emeğimizin karşılığ… https://t.co/nT7vfZHVKH</t>
  </si>
  <si>
    <t>1466517996587917316</t>
  </si>
  <si>
    <t>@drfahrettinkoca Bizi beklettigin her gün için yargılanacaksın hapis yatacaksın</t>
  </si>
  <si>
    <t>1466507807600132100</t>
  </si>
  <si>
    <t>@drfahrettinkoca Her zamanki gibi üniversite hastanelerini boş geçmişiniz Sn. Bakanım. Zammı geçtik bari sabit ek ö… https://t.co/MwyxpEhTBc</t>
  </si>
  <si>
    <t>1466507447053529101</t>
  </si>
  <si>
    <t>@drfahrettinkoca Ya vallahi yazık sana bu duruma düşecek adammıydın</t>
  </si>
  <si>
    <t>1466494155312570370</t>
  </si>
  <si>
    <t>@drfahrettinkoca @drfahrettinkoca sağlık bakanlığında hekim dışı kalan diğer bütün sağlık çalışanı zincirin birer h… https://t.co/qDLz3l2hZB</t>
  </si>
  <si>
    <t>1466485938109005834</t>
  </si>
  <si>
    <t>@drfahrettinkoca Bsarilar diliyorum</t>
  </si>
  <si>
    <t>1466485233436565508</t>
  </si>
  <si>
    <t>@drfahrettinkoca Sağlıkçıları da ayrıştırdınız ya 2023’de bu ayrıştırdığınız sağlıkçılar ayrıştıracak.</t>
  </si>
  <si>
    <t>1466484605310185487</t>
  </si>
  <si>
    <t>@drfahrettinkoca Doktorlara gercekten zam yaptiniz miki sabit donerden alip sabit maasa aktardiniz ffilen zam yok t… https://t.co/G02sCYliA4</t>
  </si>
  <si>
    <t>1466480612823511050</t>
  </si>
  <si>
    <t>@drfahrettinkoca #TaşeronaKadroNoldu #TaşeronaKadroNoldu Bizler bu pandemi sürecinde hastanede kadrosuz çalışanları… https://t.co/y7B5pZT3Bx</t>
  </si>
  <si>
    <t>1466476282397474821</t>
  </si>
  <si>
    <t>@drfahrettinkoca #TaşeronaKadroNoldu Bizler bu pandemi sürecinde hastanede kadrosuz çalışanlarız ne olurdu sesimiz… https://t.co/9rccyf3GNa</t>
  </si>
  <si>
    <t>1466476234775347207</t>
  </si>
  <si>
    <t>@drfahrettinkoca #TaşeronaKadroNoldu #TaşeronaKadroNoldu Bizler bu pandemi sürecinde hastanede kadrosuz çalışanları… https://t.co/IqtbPx5Ag7</t>
  </si>
  <si>
    <t>1466475951072677892</t>
  </si>
  <si>
    <t>@drfahrettinkoca https://t.co/sr0KgHEeoj https://t.co/xPOU0BJ6Y5 https://t.co/oixq4UPRut https://t.co/rchWA9c06d</t>
  </si>
  <si>
    <t>1466475699468963847</t>
  </si>
  <si>
    <t>@drfahrettinkoca Ne dedi bu:))Sizden habersiz konuşurmuyum Efendim😀😀</t>
  </si>
  <si>
    <t>1466473508913963022</t>
  </si>
  <si>
    <t>@drfahrettinkoca https://t.co/tmvAyTW6gq</t>
  </si>
  <si>
    <t>1466472394093174785</t>
  </si>
  <si>
    <t>@drfahrettinkoca zamlar sonrasında deminden şimdiye gelcek diyorlar bakanım doğru mudur ?</t>
  </si>
  <si>
    <t>1466470696356401159</t>
  </si>
  <si>
    <t>@drfahrettinkoca 11 yıllık kâtip 5000 TL alıyor, sadece doktorlara yapılan zam 5000 TL yürü beee</t>
  </si>
  <si>
    <t>1466467469263089664</t>
  </si>
  <si>
    <t>@drfahrettinkoca Bu yapılan böl parçala yönet şeklidir Aynı kurumda çalışanları birbirine düşman eden bu iktidarı k… https://t.co/odBrMWESMl</t>
  </si>
  <si>
    <t>1466467015963643912</t>
  </si>
  <si>
    <t>@drfahrettinkoca Diğer sağlık personeli ne olcak</t>
  </si>
  <si>
    <t>1466465749078315017</t>
  </si>
  <si>
    <t>@drfahrettinkoca @RTErdogan @drfahrettinkoca @HMBakanligi @sagliksen https://t.co/FrOnFuKXyj</t>
  </si>
  <si>
    <t>1469453945265442819</t>
  </si>
  <si>
    <t>@drfahrettinkoca Başlarındaki başhemsireyide geçtiler doktorlarla yarışıyorlar.doktorlara verilmeden  size yapılan… https://t.co/o2rmno7vf6</t>
  </si>
  <si>
    <t>1467562722132955136</t>
  </si>
  <si>
    <t>@drfahrettinkoca Bakıyorum artık bu   hazımsız sağlıkçılar bir bakana akıl vermeye onu  elestirmeyi  huy bildiler.a… https://t.co/GC3I7TUThY</t>
  </si>
  <si>
    <t>1467562385762308097</t>
  </si>
  <si>
    <t>@drfahrettinkoca Mesleklerde hep üstler vardır.avukat,hakim vardır katipleri vardır,mühendisler vardır tekniker tek… https://t.co/BP07XKtB7M</t>
  </si>
  <si>
    <t>1467552004075659265</t>
  </si>
  <si>
    <t>@drfahrettinkoca Biz sağlık çalışanı değiliz sayın bakanım, biz tıp fakültesi mezunu tıp doktorlarıyız. lütfen bu k… https://t.co/pgKumBLPk2</t>
  </si>
  <si>
    <t>1467537591532724236</t>
  </si>
  <si>
    <t>@drfahrettinkoca Bu diger sağlık çalışanlarına gürlü gürül para akıtılırken doktorlar geliyormu akıllarına.yuzleri… https://t.co/BDgkr49VrC</t>
  </si>
  <si>
    <t>1467536763107393541</t>
  </si>
  <si>
    <t>@drfahrettinkoca Uzman Hekim maaşı 20bin+10bin döner Pr.Hekim maaşı  15 bin + 5 bin döner Lisansiyer maaşı 10bin+25… https://t.co/NoLlFo7BIf</t>
  </si>
  <si>
    <t>1468289331274072077</t>
  </si>
  <si>
    <t>@drfahrettinkoca Sağlık Bakanı koronavirüs saatimi</t>
  </si>
  <si>
    <t>1468260525863837698</t>
  </si>
  <si>
    <t>@drfahrettinkoca Bir hastanede anestezi teknikeri olarak çalışıyorum fakat 4d li işçi statüsünde asgari ücret alıyo… https://t.co/dOQszH2yA6</t>
  </si>
  <si>
    <t>1468892577013415937</t>
  </si>
  <si>
    <t>@drfahrettinkoca hocamm varya senıde heder ettı bu ampülculerr</t>
  </si>
  <si>
    <t>1468833542910226432</t>
  </si>
  <si>
    <t>@drfahrettinkoca Sana da inancımmız kalmadı Erdoğan'ı görünce titredin</t>
  </si>
  <si>
    <t>1467269188033159172</t>
  </si>
  <si>
    <t>@drfahrettinkoca Bakıyorumda herkes isyan etmiş haklı olarak medeni insanlar gibi dertlerini yazmışlar ama sorun şu… https://t.co/o0ddIsJHHc</t>
  </si>
  <si>
    <t>1467266041902473219</t>
  </si>
  <si>
    <t>@drfahrettinkoca @saglikbakanligi Für medizinisches Deutsch folgen Sie bitte https://t.co/nx6Aq2uB7o</t>
  </si>
  <si>
    <t>1467250555294789636</t>
  </si>
  <si>
    <t>@drfahrettinkoca Sayın bakan ne oldu özlük haklarımız?Neyse artık öyle bir noktaya geldik ki ne bize ne de diğer bü… https://t.co/Xy5kOVQnb3</t>
  </si>
  <si>
    <t>1467242452721766401</t>
  </si>
  <si>
    <t>@drfahrettinkoca Sayin bakanim bir temizlik görevlisinin lisans mezunu hemsireyle ayni veya çok yakin maas ve diger… https://t.co/XFurVPmnz0</t>
  </si>
  <si>
    <t>1467228896802320392</t>
  </si>
  <si>
    <t>@drfahrettinkoca Sayın bakanım hekimlerimiz elbetteki fazlasıyla hakediyor maaş iyileştirilmesini. Ancak biz hemsir… https://t.co/eyXtHh5Epd</t>
  </si>
  <si>
    <t>1467227321925095426</t>
  </si>
  <si>
    <t>@drfahrettinkoca @saglikbakanligi Bi yalan atıp milletin önüne attınız gene bizi….</t>
  </si>
  <si>
    <t>1467221392244584453</t>
  </si>
  <si>
    <t>@drfahrettinkoca Sayın bakanım  bu hemşirelik okullarına diğer sağlık personeli  yetiştiren okullara,üstleriyle ami… https://t.co/9pPXYq6Leq</t>
  </si>
  <si>
    <t>1467211815771947015</t>
  </si>
  <si>
    <t>@drfahrettinkoca #bendoktorum ;ben hemşire yim;ben hasta bakıcıyım;ben ambulans personeleyim derken devlet hastanel… https://t.co/PLRh4XLwRG</t>
  </si>
  <si>
    <t>1467206529250172931</t>
  </si>
  <si>
    <t>@drfahrettinkoca SAYIN BAKANIM BÖYLELİKLE SİZİNDE GÖZLERİNİZ İLE GÖRDÜĞÜNÜZ ÜZERE.. HEMŞİRELER BAŞTA OLMAK ÜZERE Dİ… https://t.co/7PzCrDyPOz</t>
  </si>
  <si>
    <t>1467195903022968834</t>
  </si>
  <si>
    <t>@drfahrettinkoca Sayenizde YARDIMCI SAĞLIK PERSONELİNİN NE KADAR HEKİM DÜŞMANI OLDUĞUNU ÖĞRENDİK..ZAMLARDA İPTAL OL… https://t.co/iBidwZ8PWL</t>
  </si>
  <si>
    <t>1467194508265861136</t>
  </si>
  <si>
    <t>@drfahrettinkoca Veteriner hekimler sağlıkçı sınıfına bile giremiyor!! Bizim uğraş alanımızı ticaret filan mı sanıy… https://t.co/LknWq9LY0a</t>
  </si>
  <si>
    <t>1467180839834427397</t>
  </si>
  <si>
    <t>@drfahrettinkoca Bakan bey hekiminize hemşirenize siz değer vermiyorsunuz başta. vicdanınızla geceleri nasıl uyuyorsunuz bilmiyorum.</t>
  </si>
  <si>
    <t>1467174598638805005</t>
  </si>
  <si>
    <t>@drfahrettinkoca Zam dediler,  O da çıkmadı. Çıka çıka Doktora 200 ti çıktı 🙂</t>
  </si>
  <si>
    <t>1467171793102422016</t>
  </si>
  <si>
    <t>@drfahrettinkoca Ee sonuç ne oldu olmayan zammı verdiniz diye, ekip işi diye üslup takınan sözde ekip arkadaşlarımı… https://t.co/ukuBCA65dt</t>
  </si>
  <si>
    <t>1466894649516249089</t>
  </si>
  <si>
    <t>@drfahrettinkoca Basta hekimler sonda hicbiri olmak uzere.</t>
  </si>
  <si>
    <t>1466886441259175939</t>
  </si>
  <si>
    <t>@drfahrettinkoca Neden sadece tip fakultesi menzunu doktorlara bu hakki taniyorsunuz? Bildiginiz uzere eczacilik uz… https://t.co/yH3PYBliHA</t>
  </si>
  <si>
    <t>1466884362255970304</t>
  </si>
  <si>
    <t>@drfahrettinkoca Toplumca inanmak alkışlamak yetmez bakanım icraat görmek istiyor hemşireler. biz madem asgari ücre… https://t.co/67M3LtWMO2</t>
  </si>
  <si>
    <t>1466865397861388296</t>
  </si>
  <si>
    <t>@drfahrettinkoca 32 yaşıma girdim doktor olacağım diye hayatımdaki herşeyi https://t.co/1GkaJ8NTH5 arabam var ne ev… https://t.co/2CRCLTJ56I</t>
  </si>
  <si>
    <t>1466853338188812288</t>
  </si>
  <si>
    <t>@drfahrettinkoca Ya arkadaş tabi verilsin hak ediyorlar en ufak bir sıkıntı da onlara koşuyoruz ama şunuda unutmayı… https://t.co/BEl0vAEewP</t>
  </si>
  <si>
    <t>1466846780679720974</t>
  </si>
  <si>
    <t>@drfahrettinkoca Sayın bakanım, sağlık camiası bir bütün değil midir?</t>
  </si>
  <si>
    <t>1466841587737141254</t>
  </si>
  <si>
    <t>@drfahrettinkoca Ne zaman biz diğer sağlıkçılarin da farkına varıp hakkını ödemeye çalışacaksınız?</t>
  </si>
  <si>
    <t>1466833981853339652</t>
  </si>
  <si>
    <t>@drfahrettinkoca #SağlıkcınınOyuYok Biz  bu ekibin neresindeyiz ? Hekimler tek başına mı hasta bakıyor? Tedaviyi ki… https://t.co/KaJ2CxpZcF</t>
  </si>
  <si>
    <t>1466833791012548610</t>
  </si>
  <si>
    <t>@drfahrettinkoca Sağlık çalışanı sadece doktor değil sağlık çalışanı bakanı istiyoruz</t>
  </si>
  <si>
    <t>1466831360765702145</t>
  </si>
  <si>
    <t>@drfahrettinkoca @RTErdogan @drfahrettinkoca @sagliksen https://t.co/QqKPyp8Wz4</t>
  </si>
  <si>
    <t>1466828374953836566</t>
  </si>
  <si>
    <t>@drfahrettinkoca “Vatan; barışta zenginlerin, savaşta fakirlerindir”saglık çalışanları şu an hastanelerde savaşıyorlar.</t>
  </si>
  <si>
    <t>1466823982360010765</t>
  </si>
  <si>
    <t>@drfahrettinkoca Tüm emekçilerin emeklerinin karşılığı verilmelidir. İnsanca yaşanabilecek bir ücret istiyoruz.</t>
  </si>
  <si>
    <t>1466822431486709768</t>
  </si>
  <si>
    <t>@drfahrettinkoca Ceplerine 30bin civarında para giren insanları düşünüyorsunuz da 4ila6 bin TL alanları neden düşün… https://t.co/7PmSq9osTL</t>
  </si>
  <si>
    <t>1466818165422370828</t>
  </si>
  <si>
    <t>@drfahrettinkoca Ertelenmiş,vaz mı geçildi</t>
  </si>
  <si>
    <t>1466814155114041345</t>
  </si>
  <si>
    <t>@drfahrettinkoca Sayın bakanım deyin hele bu eczacılar size ne yaptı? Ne suçumuz günahımız var ki bu ülkede hiçbir… https://t.co/q83QxvYN0B</t>
  </si>
  <si>
    <t>1466539026677043200</t>
  </si>
  <si>
    <t>@drfahrettinkoca Hastanelerin bel kemiği şoförler. Günde 100 kovit taşır. Her hastaya dokunur. Ama sağlıkçı değil. Adaletin batsın dünya.</t>
  </si>
  <si>
    <t>1466534549836419073</t>
  </si>
  <si>
    <t>@drfahrettinkoca Aklımızla dalgamı geçiliyor .Artık sağlıkçı hissetmiyorum kendimi.</t>
  </si>
  <si>
    <t>1466529571994406917</t>
  </si>
  <si>
    <t>@drfahrettinkoca Sayın bakanım aileniz, eşiniz ve çocuklarınız varsa bir baba olarak, basının karşısında sizi rezil… https://t.co/gckPiCa5pt</t>
  </si>
  <si>
    <t>1466529357913067526</t>
  </si>
  <si>
    <t>@drfahrettinkoca Sayın bakanım, sanırım sağlık bakanlığına göre sadece hekimler sağlık personeli ki zam denilince a… https://t.co/PtOWRpZd3L</t>
  </si>
  <si>
    <t>1466521453977874434</t>
  </si>
  <si>
    <t>@drfahrettinkoca Bakanım ülkede her şeye gelen zam la geçirmiyoruz... Maaşlara zam yapmak istemiyorsanız her şeyin… https://t.co/FLJqhRSGg6</t>
  </si>
  <si>
    <t>1466519798184087557</t>
  </si>
  <si>
    <t>@drfahrettinkoca Sayın bakanım sağlıkçı derken sadece doktorlarınızı kastettiğinizi söyleseniz..sağlık bakanı olara… https://t.co/SfTnkukj7a</t>
  </si>
  <si>
    <t>1466517295166021638</t>
  </si>
  <si>
    <t>@drfahrettinkoca Bir hak verilecekse hastanede çalışan sekreterinden güvenliğinden  temizlik personeline kadar herk… https://t.co/XrX4bUvYrN</t>
  </si>
  <si>
    <t>1466514776520114179</t>
  </si>
  <si>
    <t>@drfahrettinkoca Bazı hastanelerin yönetimi çok kötü. Devlet hastanesi tümör şüphesi ile Okmeydanı eğitim ve araştı… https://t.co/m3wWz3zwrL</t>
  </si>
  <si>
    <t>1466514579991711744</t>
  </si>
  <si>
    <t>@drfahrettinkoca Sayın Bakanım, Sizinde bildiğiniz üzere Sağlık sistemi bir zincir gibidir, doktoru, hemşiresi, tek… https://t.co/HGDQY7GaJC</t>
  </si>
  <si>
    <t>1466514147097653262</t>
  </si>
  <si>
    <t>@drfahrettinkoca Zaten Aile hekimleri her yapılan iyi işten faydalanamıyor. Yada bir şarta bağlanıp faydalandırılıy… https://t.co/mdqNm4xnTT</t>
  </si>
  <si>
    <t>1466511752393371659</t>
  </si>
  <si>
    <t>@drfahrettinkoca Bakanım millet sevdiğini sayıklar durur ablam evin içinde kılavuz diye sayıklıyor bakanım kılavuz… https://t.co/vyLtIWNC66</t>
  </si>
  <si>
    <t>1466509957747073024</t>
  </si>
  <si>
    <t>@drfahrettinkoca Başta hekimler derken sadece hekimleri kapsıyor zaten bu dediğiniz</t>
  </si>
  <si>
    <t>1466507464606629888</t>
  </si>
  <si>
    <t>@drfahrettinkoca Değerli bakanım.hastane çalışan herkez sağlık çalışanı da yemekhane de çalışanlar neyin,kimin ve n… https://t.co/4ZKApA4HLA</t>
  </si>
  <si>
    <t>1466505689170432004</t>
  </si>
  <si>
    <t>@drfahrettinkoca Sağlıkçı olarak sadece doktorlarımızı gören sayın bakanım bizlerde tıpkı sözleşmeli öğretmenler gi… https://t.co/NpSIAshKQv</t>
  </si>
  <si>
    <t>1466502282355388416</t>
  </si>
  <si>
    <t>@drfahrettinkoca Ne güzel hekim demi bunu ayrım yaparken vicdanlarınız sızlamadımı ki geride kalan sağlıkçılar İçin</t>
  </si>
  <si>
    <t>1466500188470755329</t>
  </si>
  <si>
    <t>@drfahrettinkoca Bizlere bunu reva gören sisteme çok yazık @drfahrettinkoca @saglikbakanligi @RTErdogan</t>
  </si>
  <si>
    <t>1466499073859633157</t>
  </si>
  <si>
    <t>@drfahrettinkoca İstifalar artti kaliteli hekimlerin çoğu  yurt dışına gitti  eldekilerde kaçmasın diye uyguladığın… https://t.co/OkEAS25Jdg</t>
  </si>
  <si>
    <t>1466490577432756231</t>
  </si>
  <si>
    <t>@drfahrettinkoca Bende Sağlık Çalışanı Kamu'da İşçi Kadrosunda Güvenlik Personeliyim https://t.co/02PZSWOhZP</t>
  </si>
  <si>
    <t>1466489115713720320</t>
  </si>
  <si>
    <t>@drfahrettinkoca Yaaa sizin algı oparasyonunuza tüküreyim koskoca bakansınız çıkıp demiyorsunuz dr lara zam degişti… https://t.co/TMDd9qhlAY</t>
  </si>
  <si>
    <t>1466488656668024838</t>
  </si>
  <si>
    <t>@drfahrettinkoca Sadece hekimlere zam yapılıp 38 branşı görmezden gelmek hak iyileştirmek değil, hak yemektir.</t>
  </si>
  <si>
    <t>1466486927012597765</t>
  </si>
  <si>
    <t>@drfahrettinkoca Keşke sadece hekimlere değil de tüm sağlık çalışanlarının yüzü gülseydi</t>
  </si>
  <si>
    <t>1466485895255801859</t>
  </si>
  <si>
    <t>@drfahrettinkoca Allah razı olsun maddiyat iyilestirme yolu super ama insanlar doyumsuzdur</t>
  </si>
  <si>
    <t>1466484423558320134</t>
  </si>
  <si>
    <t>@drfahrettinkoca Acaba hemsireler olmasa doktorlar kendi baslarina ne yapabilirler..yazik vallahi yazık hemsireleri… https://t.co/E4efNfYYzC</t>
  </si>
  <si>
    <t>1466483388601221122</t>
  </si>
  <si>
    <t>@drfahrettinkoca Tüm sağlık çalışanları değerlidir. "Hekimler başta olmak üzere" demeniz çok ayıp olmuş. #SağlıkcınınOyuYok</t>
  </si>
  <si>
    <t>1466481814344814592</t>
  </si>
  <si>
    <t>@drfahrettinkoca Sayın @drfahrettinkoca özel sektörde asgari ücretle çalışan sağlık personellerinin maddi ve manevi… https://t.co/lijTlLYE5B</t>
  </si>
  <si>
    <t>1466481602322702347</t>
  </si>
  <si>
    <t>@drfahrettinkoca Sonuçlar yansımaya başladi bile.#SağlıkcıİsBırakıyor</t>
  </si>
  <si>
    <t>1466480552404561931</t>
  </si>
  <si>
    <t>@drfahrettinkoca Sağlıkçınınoyuyok</t>
  </si>
  <si>
    <t>1466479790068752386</t>
  </si>
  <si>
    <t>@drfahrettinkoca https://t.co/rOtqLsb7An</t>
  </si>
  <si>
    <t>1466479533201235970</t>
  </si>
  <si>
    <t>@drfahrettinkoca Bizde sağlık işçisiyiz ayrım yapılmaması gerek.. Güvenliklerde her türlü zorluklarla mücadele edip… https://t.co/qWfV8wChvR</t>
  </si>
  <si>
    <t>1466479473604415496</t>
  </si>
  <si>
    <t>@drfahrettinkoca Kadro vermeyecekseniz neden onca att mezun ettiniz?</t>
  </si>
  <si>
    <t>1466477828598341641</t>
  </si>
  <si>
    <t>@drfahrettinkoca #TaşeronaKadroNoldu #TaşeronaKadroNoldu Bizler bu pandemi sürecinde hastanede kadrosuz çalışanları… https://t.co/2zv5A675HD</t>
  </si>
  <si>
    <t>1466475986522980358</t>
  </si>
  <si>
    <t>@drfahrettinkoca Sayın bakan sağlık çalışanı denildiği zaman aklınıza sadece hekimler mi geliyor?Sağlık sektöründe… https://t.co/CnHVnlsxOX</t>
  </si>
  <si>
    <t>1466472700055072774</t>
  </si>
  <si>
    <t>@drfahrettinkoca https://t.co/GvtfQZ9Di7</t>
  </si>
  <si>
    <t>1466472525039382537</t>
  </si>
  <si>
    <t>@drfahrettinkoca Sen ne söyledin?</t>
  </si>
  <si>
    <t>1466469566117294092</t>
  </si>
  <si>
    <t>@drfahrettinkoca https://t.co/WwxnIPjq8g</t>
  </si>
  <si>
    <t>1466469095587602432</t>
  </si>
  <si>
    <t>@drfahrettinkoca https://t.co/U9BI8LoiOZ</t>
  </si>
  <si>
    <t>1466469064692449293</t>
  </si>
  <si>
    <t>@drfahrettinkoca Politik konuşmalar hastanede temizlik personeliyle aynı maaşı alan hemşirenin hakkına kayıtsız kal… https://t.co/knINlSaghw</t>
  </si>
  <si>
    <t>1466468771216908288</t>
  </si>
  <si>
    <t>@drfahrettinkoca Hiç samimi değilsiniz hemşireler elbet sizi görmekten gelecektir sandikda</t>
  </si>
  <si>
    <t>1466468727063465989</t>
  </si>
  <si>
    <t>@drfahrettinkoca Hastalara köpek muamelesi yapan Bursa ilindeki bayan doktor da zam aldıysa ben hakkımı helal etmiyorum.</t>
  </si>
  <si>
    <t>1466468383357083655</t>
  </si>
  <si>
    <t>@drfahrettinkoca SeçimÖncesi TaşeronaKadro Hastanelerde Çalışan #HBYS Sağlık çalışanlarına Eski Çsg Bakanı Sn… https://t.co/3indpfLfS4</t>
  </si>
  <si>
    <t>1466464977737375761</t>
  </si>
  <si>
    <t>@drfahrettinkoca Bizlerde hastanelerde herkesin işine koşuyoruz sonuç söz var ama tutan yok https://t.co/7v1vVf93FI</t>
  </si>
  <si>
    <t>1466464779841777676</t>
  </si>
  <si>
    <t>@drfahrettinkoca Sayın bakanım peki bizim haklarımız nerede? https://t.co/gnzlA5WEJt</t>
  </si>
  <si>
    <t>1466464476908113922</t>
  </si>
  <si>
    <t>@drfahrettinkoca 5. sı gelmişşşş</t>
  </si>
  <si>
    <t>1468833671478235138</t>
  </si>
  <si>
    <t>@drfahrettinkoca Sayın Fahrettin bey corona olan bir insan ilaç olarak verilen ilaçların neden tarihleri geçmiş veriliyor</t>
  </si>
  <si>
    <t>1466523953002856451</t>
  </si>
  <si>
    <t>@drfahrettinkoca Lütfen kılavuz lütfen</t>
  </si>
  <si>
    <t>1466510055428300810</t>
  </si>
  <si>
    <t>@drfahrettinkoca Basit bir influenza yı 30 kılığa soktunuz varyant bilmem ne bir sürü dalavere ile insanlığa ihanet… https://t.co/oBVWHRxQw8</t>
  </si>
  <si>
    <t>1467203190835789825</t>
  </si>
  <si>
    <t>@drfahrettinkoca Bunu nerden biliyorsunuz? Kaç salgın yaşadınız ki Prof oldunuz?</t>
  </si>
  <si>
    <t>1466848676060569603</t>
  </si>
  <si>
    <t>@drfahrettinkoca Bütün ümitlerimiz hepbersber Birlik beraberlikle kurallara uyarak uymayanları ikna ederek bir an ö… https://t.co/1aCSG1v0hP</t>
  </si>
  <si>
    <t>1466819602902622208</t>
  </si>
  <si>
    <t>@drfahrettinkoca Çalışanlara uyguladığınız şu a$ı olma mecburiyeti akçaklığını kaldırın. Ölmüş eşek kurttan korkmaz… https://t.co/ZPNdzNEuno</t>
  </si>
  <si>
    <t>1466533883739086849</t>
  </si>
  <si>
    <t>@drfahrettinkoca DOGRU dogru doğru diyorsunuz soyleyecek soz bulamiyorum tebrikler basarilar diliyorum saglikla kaliniz</t>
  </si>
  <si>
    <t>1466484884034269187</t>
  </si>
  <si>
    <t>@drfahrettinkoca Gribin aşısı olmaz!</t>
  </si>
  <si>
    <t>1466477587782320141</t>
  </si>
  <si>
    <t>@drfahrettinkoca Grip virusu icin, surekli mutasyon gecirdiginden dolayi her sene A$I guncellemesi ve yenilemesi ya… https://t.co/JoTqZg5WHQ</t>
  </si>
  <si>
    <t>1466473326998695942</t>
  </si>
  <si>
    <t>@drfahrettinkoca Yani ortada bir salgının olmadığını bu virusunda kendi kendini bir şekilde yok edeceğini nihayet y… https://t.co/lUOeV2VKLi</t>
  </si>
  <si>
    <t>1466469583141888004</t>
  </si>
  <si>
    <t>@drfahrettinkoca Mutasyona uğrayan bir şeyin aşısı olmazsa, o zaman neden millete aşı diye eziyet ediyorsunuz?</t>
  </si>
  <si>
    <t>1466469454578073609</t>
  </si>
  <si>
    <t>@drfahrettinkoca Sayın bakanım hemşireler entübü döneminde çocukların dan ayrı kaldılar vürüslü hastalarla uğraştıl… https://t.co/vBrIPNfN8w</t>
  </si>
  <si>
    <t>1467922430890897412</t>
  </si>
  <si>
    <t>@drfahrettinkoca Turkiyenin dolar firtinasina  ne diosun</t>
  </si>
  <si>
    <t>1465825518054486017</t>
  </si>
  <si>
    <t>@drfahrettinkoca 1 kere de alımla ilgili bişeyler atın şuraya ya tükendik bakanım ya</t>
  </si>
  <si>
    <t>1465820446306316299</t>
  </si>
  <si>
    <t>@drfahrettinkoca Twit attığınız kadar bizi de duysanız cevap verseniz keşke</t>
  </si>
  <si>
    <t>1465820272641118215</t>
  </si>
  <si>
    <t>@drfahrettinkoca Tek derdiniz para olmuş bakan bey.. yeterki ekonomik çark dönsün .. bu dünyanın birde öbür tarafı… https://t.co/08PGG113CP</t>
  </si>
  <si>
    <t>1465817896072921095</t>
  </si>
  <si>
    <t>@drfahrettinkoca Syn bakanım afet olayları sonucu değil bu  denetimsizlik ihmalinin sonucu. Bir çok yapılarda rüzga… https://t.co/EkrXjdlpZm</t>
  </si>
  <si>
    <t>1465810834597289985</t>
  </si>
  <si>
    <t>@drfahrettinkoca Sayılar yalansız da verilebiliyormuş ilginç!</t>
  </si>
  <si>
    <t>1465810684306935815</t>
  </si>
  <si>
    <t>@drfahrettinkoca Başınız sagolsun ve geçmiş olsun  Türkiye</t>
  </si>
  <si>
    <t>1465808787797954563</t>
  </si>
  <si>
    <t>@drfahrettinkoca Bakanım artık umutlarımızla oynamayı bırakın her açıklamada bir umut sonra yine hüsran gerçekten b… https://t.co/t9VwRe4un2</t>
  </si>
  <si>
    <t>1465806759658983425</t>
  </si>
  <si>
    <t>@drfahrettinkoca Sn. Bakanım her gün 200  üzeri vatandaş COVID nedeni ile vefat etmekte. Neden  her gün baş sağlığı mesajı atmıyorsunuz?</t>
  </si>
  <si>
    <t>1465806310377771014</t>
  </si>
  <si>
    <t>@drfahrettinkoca Ah 112</t>
  </si>
  <si>
    <t>1465805265597566982</t>
  </si>
  <si>
    <t>@drfahrettinkoca AF BARIŞ GETİRECEK 🇹🇷📢👇🏻 Mahkumlar Mahkum aileleri Mahkum eşi Mahkum annesi Mahkum kardeşi Mahkum… https://t.co/bJewT1LJKZ</t>
  </si>
  <si>
    <t>1465805146575802368</t>
  </si>
  <si>
    <t>@drfahrettinkoca Attler artik mezun vermezken mevcut kalanlarida bi hallediversek el birligi ile sayin bakanim</t>
  </si>
  <si>
    <t>1465804414313132040</t>
  </si>
  <si>
    <t>@drfahrettinkoca Maviler ne alemde</t>
  </si>
  <si>
    <t>1465804122544816128</t>
  </si>
  <si>
    <t>@drfahrettinkoca Yarın okulları kapatın lütfen</t>
  </si>
  <si>
    <t>1465803799554056205</t>
  </si>
  <si>
    <t>@drfahrettinkoca Karada ,havada ,denizde,  acilde , 112 istasyonunda,  umkede,  afadda... daha sayayım mı nerede ac… https://t.co/h1i3AldAut</t>
  </si>
  <si>
    <t>1465803196538970125</t>
  </si>
  <si>
    <t>@drfahrettinkoca Aciklama yaomak bu kadar mi zor bakanim</t>
  </si>
  <si>
    <t>1465803167866798085</t>
  </si>
  <si>
    <t>@drfahrettinkoca Her yerde paramedik varken 30 bin içinde bin civarı kadro yakışmıyor sayın bakanım paramediğin hak… https://t.co/z6s9s3K9mq</t>
  </si>
  <si>
    <t>1465802823317307413</t>
  </si>
  <si>
    <t>@drfahrettinkoca https://t.co/cSMPHPU8cR</t>
  </si>
  <si>
    <t>1465802491950419968</t>
  </si>
  <si>
    <t>@drfahrettinkoca Hocam 3sinavaç ası olduk biontek olmadığımız için yurt dışına çıkamıyoruz 4. Dozun gelmesini rica ediyoruz</t>
  </si>
  <si>
    <t>1465800237361119238</t>
  </si>
  <si>
    <t>@drfahrettinkoca Atama atama atama atama atama</t>
  </si>
  <si>
    <t>1465799962583879684</t>
  </si>
  <si>
    <t>@drfahrettinkoca Bu çatı uçmasın'dan  sorumlu kimse yok mu? Çatıyı yapan ceza almıyor. Çatıyı yaptıran ceza almıyor… https://t.co/o9D3XPWaTa</t>
  </si>
  <si>
    <t>1465799737970466819</t>
  </si>
  <si>
    <t>@drfahrettinkoca Sosyal çalışmacılar adil dağılım bekliyor</t>
  </si>
  <si>
    <t>1465799202605346816</t>
  </si>
  <si>
    <t>@drfahrettinkoca Ayrıca şu kılavuzu da açıklayin artık canıma yetti</t>
  </si>
  <si>
    <t>1465798534242971655</t>
  </si>
  <si>
    <t>@drfahrettinkoca Lütfen güzel bir paramedik sayısı ver bize bakanım</t>
  </si>
  <si>
    <t>1465798452101660679</t>
  </si>
  <si>
    <t>@drfahrettinkoca 4 et</t>
  </si>
  <si>
    <t>1465798391020011529</t>
  </si>
  <si>
    <t>@drfahrettinkoca Deneysel ölüm ilaçlarından kaç kişiyi öldürdün Her seferinde yapmanız gereken görevi Yapıyoruz diy… https://t.co/iomSdMGQHw</t>
  </si>
  <si>
    <t>1465798264477958144</t>
  </si>
  <si>
    <t>@drfahrettinkoca 10 11 aydır beyne cip yerleştirip beni rehin almışlar ailemi tehtit edip beni makineyle zor durumd… https://t.co/S82qXiUpz4</t>
  </si>
  <si>
    <t>1465798154897526791</t>
  </si>
  <si>
    <t>@drfahrettinkoca BAKANIM KENDİMİZİ GEÇTİK ÇOCUKLAR ÇOK KORKUYOR OKULA GİRMEK İSTEMİYOR OKULDAN NEFRET EDİYORLAR BİZ… https://t.co/sPL3xkDiSH</t>
  </si>
  <si>
    <t>1465798128007888904</t>
  </si>
  <si>
    <t>@drfahrettinkoca 40 binlik alımda SAĞLIK YÖNETİMİ bölümünün de içerisinde olduğu adil bir atama istiyoruz Sayın bakanım</t>
  </si>
  <si>
    <t>1465797493187391492</t>
  </si>
  <si>
    <t>@drfahrettinkoca Yine kimse duymicak bizi yine kimse umursamicak görün artık ya walla kanser olduk bakanım Allah rı… https://t.co/UM1XB98EqO</t>
  </si>
  <si>
    <t>1465797207756615684</t>
  </si>
  <si>
    <t>@drfahrettinkoca Yeter artık Kılavuz nerde</t>
  </si>
  <si>
    <t>1465796997210939392</t>
  </si>
  <si>
    <t>@drfahrettinkoca Kafamın içi yara oldu düşünmekten ne yapıcaz biz diye 87 aldık ama işe yaramadı PARAMEDİĞE yol açı… https://t.co/VyPHKObKip</t>
  </si>
  <si>
    <t>1465796798438592525</t>
  </si>
  <si>
    <t>@drfahrettinkoca Sağlığa atamada kılavuz nerde</t>
  </si>
  <si>
    <t>1465796659426869255</t>
  </si>
  <si>
    <t>@drfahrettinkoca Lodos da virüs yakalandı mi sn bakan acaba dışarı da olan herkes bulaşmış olabilir havada askıda k… https://t.co/E5tlq0ul1Q</t>
  </si>
  <si>
    <t>1465796634172866570</t>
  </si>
  <si>
    <t>@drfahrettinkoca Aylarca ders çalıştık aylarca tweet attık bomboş kalmak için mi bu kadar yüksek puanlarla boşmboş… https://t.co/Mdt5NOWzc2</t>
  </si>
  <si>
    <t>1465796592540209159</t>
  </si>
  <si>
    <t>@drfahrettinkoca Ülkemizde 2 gün süren fırtınada uçan çatıları yapanlar cinayetten yargılanmalıdır.İnsan hayatı bu… https://t.co/wyc2bhpEPu</t>
  </si>
  <si>
    <t>1465796572306882568</t>
  </si>
  <si>
    <t>@drfahrettinkoca 40 binlik alımda SAĞLIK YÖNETİMİ bölümünün de içerisinde olduğu adil bir atama istiyoruz sayın bakanım .,.</t>
  </si>
  <si>
    <t>1465796566258696200</t>
  </si>
  <si>
    <t>@drfahrettinkoca 40 binlik alımda SAĞLIK YÖNETİMİ bölümünün de içerisinde olduğu adil bir atama istiyoruz sayın bak… https://t.co/egiPWnwdHu</t>
  </si>
  <si>
    <t>1465796423815942153</t>
  </si>
  <si>
    <t>@drfahrettinkoca Gecelerce uyuyamadık 87 ile elleri bomboş kaldık PARAMEDİĞE verilen bu sayılar anormal derecede dü… https://t.co/LULlc5l8u4</t>
  </si>
  <si>
    <t>1465796375149522952</t>
  </si>
  <si>
    <t>@drfahrettinkoca 40 binlik alımda SAĞLIK YÖNETİMİ bölümünün de içerisinde olduğu adil bir atama istiyoruz sayın bak… https://t.co/o4EqnC2wiZ</t>
  </si>
  <si>
    <t>1465796342962343944</t>
  </si>
  <si>
    <t>@drfahrettinkoca 40 binlik alımda SAĞLIK YÖNETİMİ bölümünün de içerisinde olduğu adil bir atama istiyoruz sayın bak… https://t.co/Z8dgF0jVEn</t>
  </si>
  <si>
    <t>1465796263987789836</t>
  </si>
  <si>
    <t>@drfahrettinkoca 40 binlik alımda SAĞLIK YÖNETİMİ bölümünün de içerisinde olduğu adil bir atama istiyoruz sayın bak… https://t.co/XsrT8S27jj</t>
  </si>
  <si>
    <t>1465796177136336907</t>
  </si>
  <si>
    <t>@drfahrettinkoca 40 binlik alımda SAĞLIK YÖNETİMİ bölümünün de içerisinde olduğu adil bir atama istiyoruz sayın bak… https://t.co/eOSuwT6xjx</t>
  </si>
  <si>
    <t>1465796092151406598</t>
  </si>
  <si>
    <t>@drfahrettinkoca İstifa etsenize maske + mesafe tek bildiğiniz bu</t>
  </si>
  <si>
    <t>1465796040465043457</t>
  </si>
  <si>
    <t>@drfahrettinkoca PARAMEDİKler olmadan nasıl yönetilir bu gibi olaylar koskoca 22 milyona 100. Paramedik mi en az 30… https://t.co/JcAO1FAoql</t>
  </si>
  <si>
    <t>1465796011008438273</t>
  </si>
  <si>
    <t>@drfahrettinkoca 40 binlik alımda SAĞLIK YÖNETİMİ bölümünün de içerisinde olduğu adil bir atama istiyoruz sayın bak… https://t.co/aIbafBqXDr</t>
  </si>
  <si>
    <t>1465795923787882500</t>
  </si>
  <si>
    <t>@drfahrettinkoca @rska034 Yaralı 63 kişi de aşisizmıymış sayın bakanım? O konuda açıklama yapmadınız. Aşısızlar bu… https://t.co/dICk45uqJu</t>
  </si>
  <si>
    <t>1465795882700492804</t>
  </si>
  <si>
    <t>@drfahrettinkoca Sayın bakanım PARAMEDİĞE verilen sayı berbat İstanbul’a 100 paramedik mi ya kabul edilebilir bir s… https://t.co/yhXZIqEM7S</t>
  </si>
  <si>
    <t>1465795845048176649</t>
  </si>
  <si>
    <t>@drfahrettinkoca 40 binlik alımda SAĞLIK YÖNETİMİ bölümünün de içerisinde olduğu adil bir atama istiyoruz sayın bak… https://t.co/KmgVvV4FQl</t>
  </si>
  <si>
    <t>1465795840560271362</t>
  </si>
  <si>
    <t>@drfahrettinkoca BU KADAR ÇOCUKLARIN BİZİM CANIMIZ TEHLİKEDEYKEN NEDEN OKULLAR AÇIK İLLA ÇOCUKLAR DEVAMSIZLIK MI YA… https://t.co/mlzuGzhX2V</t>
  </si>
  <si>
    <t>1465795801028997124</t>
  </si>
  <si>
    <t>@drfahrettinkoca Bakanım lütfen uzaktan eğitime geçilsin</t>
  </si>
  <si>
    <t>1465795797568655365</t>
  </si>
  <si>
    <t>@drfahrettinkoca 40 binlik alımda SAĞLIK YÖNETİMİ bölümünün de içerisinde olduğu adil bir atama istiyoruz sayın bak… https://t.co/oQRcsDkQK9</t>
  </si>
  <si>
    <t>1465795759450824712</t>
  </si>
  <si>
    <t>@drfahrettinkoca Psikolojimiz perişan PARAMEDİKler çaresiz çare olun bize sayımız bu kadar düşük olamaz olmamalı… https://t.co/JQhBeLdHBj</t>
  </si>
  <si>
    <t>1465795494207049730</t>
  </si>
  <si>
    <t>@drfahrettinkoca SAĞLIK YÖNETİMİ bölümü hakkettiği kadrolarda farklı bransları görmek istemiyor atanmak istiyor</t>
  </si>
  <si>
    <t>1465795323171909638</t>
  </si>
  <si>
    <t>@drfahrettinkoca PARAMEDİĞE istihdam sayısı yerlerde koskoca İstanbul’a 100 ne demek ne olur yapmayın @drfahrettinkoca</t>
  </si>
  <si>
    <t>1465795242272169996</t>
  </si>
  <si>
    <t>@drfahrettinkoca Sayın Bakanım,  HBYS bilgi işlem çalışanlarının kadro almasını kim engelliyor? https://t.co/SRFUeTtgPI</t>
  </si>
  <si>
    <t>1465795170272743432</t>
  </si>
  <si>
    <t>@drfahrettinkoca SAĞLIK YÖNETİMİ bölümüne 1 tane bile kadro verilmiyor fakat üniversiteler her yıl 20bin öğrenci alıyor</t>
  </si>
  <si>
    <t>1465795154376380424</t>
  </si>
  <si>
    <t>@drfahrettinkoca PARAMEDİĞE bunu yapmayın en az 3000 kadro bekliyoruz @drfahrettinkoca  @halileldemir</t>
  </si>
  <si>
    <t>1465795114232684549</t>
  </si>
  <si>
    <t>@drfahrettinkoca Sayın bakanım 112. Ye dağıttığınız kadro sayısı sizce yerlerde değil mi PARAMEDİĞE ihtiyaç yokmu… https://t.co/UHk05atp7h</t>
  </si>
  <si>
    <t>1465794974595878914</t>
  </si>
  <si>
    <t>@drfahrettinkoca SAĞLIK YÖNETİMİ bölümü meslek tanımı yapılıp atanmak istiyor 100 bin kişi mağdur</t>
  </si>
  <si>
    <t>1465794962482774024</t>
  </si>
  <si>
    <t>@drfahrettinkoca SAĞLIK YÖNETİMİ bölümünü görmeniz için daha ne yapmamız gerekiyor bakanım</t>
  </si>
  <si>
    <t>1465794808702722058</t>
  </si>
  <si>
    <t>@drfahrettinkoca SAĞLIK YÖNETİMİ bölümünü ne zaman göreceksiniz sayın bakanım</t>
  </si>
  <si>
    <t>1465794693640470537</t>
  </si>
  <si>
    <t>@drfahrettinkoca 112 ye yapılan haksızlıktan dönülmelidir sayın bakanım @drfahrettinkoca  @halileldemir</t>
  </si>
  <si>
    <t>1465794640041463808</t>
  </si>
  <si>
    <t>@drfahrettinkoca Sizinde lodostan farkınız yok umutlarımızı öldürdünüz..yaşanmamış yaşamlar varya işte bu cümle çok… https://t.co/nL0fsXquuH</t>
  </si>
  <si>
    <t>1465794612056969225</t>
  </si>
  <si>
    <t>@drfahrettinkoca SAĞLIK YÖNETİMİ 40 bin alımda yer almak istiyor</t>
  </si>
  <si>
    <t>1465794583929970695</t>
  </si>
  <si>
    <t>@drfahrettinkoca Ölenlerin hepsi aşısızdı değil mi... Sormam hata, aşı "ölümden %100 koruyor"du doğru.</t>
  </si>
  <si>
    <t>1465794571879731203</t>
  </si>
  <si>
    <t>@drfahrettinkoca PARAMEDİĞE bunu yapmayın en az 3000 bekliyoruz @drfahrettinkoca</t>
  </si>
  <si>
    <t>1465794538627342337</t>
  </si>
  <si>
    <t>@drfahrettinkoca Bizede geçmiş olsun Kasım ayınıda bitirdiniz bakanım. Kılavuza özlem ve hasretle.. @drfahrettinkoca</t>
  </si>
  <si>
    <t>1465794533342556173</t>
  </si>
  <si>
    <t>@drfahrettinkoca SAĞLIK YÖNETİMİ bölümü 100 puan alsa bile atanamıyor</t>
  </si>
  <si>
    <t>1465794469865918466</t>
  </si>
  <si>
    <t>@drfahrettinkoca PARAMEDİK bölümü rezil bir durumda 87 puanla atanamıcağız bu revamı ne olur @drfahrettinkoca</t>
  </si>
  <si>
    <t>1465794459078209536</t>
  </si>
  <si>
    <t>@drfahrettinkoca Sağlık Yönetimi bölümü mezunları mağdur</t>
  </si>
  <si>
    <t>1465794345207054344</t>
  </si>
  <si>
    <t>@drfahrettinkoca Aşıdan ölenlere geçmiş olsun</t>
  </si>
  <si>
    <t>1465794274973343748</t>
  </si>
  <si>
    <t>@drfahrettinkoca Her yerde olan PARAMEDİKLER 30 binlik alımda en az 3/4 Bin kadro bekliyoruz bakanım  daha az bir s… https://t.co/EW4iZkGJcU</t>
  </si>
  <si>
    <t>1465794239833460737</t>
  </si>
  <si>
    <t>@drfahrettinkoca 22 milyonluk İstanbul için 100 paramedik istihdamı şaka gibi sayın bakanım ne olur yapmayın @drfahrettinkoca</t>
  </si>
  <si>
    <t>1465794230480257036</t>
  </si>
  <si>
    <t>@drfahrettinkoca Acil sağlık hizmetleri için İstanbul’a 100 paramedik sizce berbat değil mi @drfahrettinkoca</t>
  </si>
  <si>
    <t>1465794097579499532</t>
  </si>
  <si>
    <t>@drfahrettinkoca PARAMEDİK en az 3000 beklerken 1500 ne demek sayın bakanım @drfahrettinkoca</t>
  </si>
  <si>
    <t>1465794004549873674</t>
  </si>
  <si>
    <t>@drfahrettinkoca Artık zamanı geldi çoktan geçti</t>
  </si>
  <si>
    <t>1465793918562406402</t>
  </si>
  <si>
    <t>@drfahrettinkoca La atama atamaaaaaaaa</t>
  </si>
  <si>
    <t>1465793906679980033</t>
  </si>
  <si>
    <t>@drfahrettinkoca Paramediklere istihdam için kadro açılmıyor denecek kadar az neden bu yapılıyor paramediğe. Verile… https://t.co/flQ3lkr22A</t>
  </si>
  <si>
    <t>1465793897393799172</t>
  </si>
  <si>
    <t>@drfahrettinkoca ee okullar tatil olsun o zaman bakanım dün şemsiyem uçtu okula giderken ya yarında ben uçarım lütfen biraz ciddiye alın</t>
  </si>
  <si>
    <t>1465793862044168197</t>
  </si>
  <si>
    <t>@drfahrettinkoca Kılavuz @drfahrettinkoca</t>
  </si>
  <si>
    <t>1465793830884712463</t>
  </si>
  <si>
    <t>@drfahrettinkoca Atamasız son hafta olsun artık @drfahrettinkoca</t>
  </si>
  <si>
    <t>1465793785795862538</t>
  </si>
  <si>
    <t>@drfahrettinkoca Az kaldı yakında tedavi eden değil, tedavi edilen kategorisine geçecez sizin yüzünüzden... Gece sa… https://t.co/C8168l7HOL</t>
  </si>
  <si>
    <t>1465793731810967554</t>
  </si>
  <si>
    <t>@drfahrettinkoca 112 ye ve paramediğe verdiğiniz sayılar revamı sayın bakanım @drfahrettinkoca</t>
  </si>
  <si>
    <t>1465793615934992397</t>
  </si>
  <si>
    <t>@drfahrettinkoca Pes , ölenler asisizdi diye bir açıklama gelmedi şaşırdık şu an.</t>
  </si>
  <si>
    <t>1465793596720832515</t>
  </si>
  <si>
    <t>@drfahrettinkoca Sağlıkcılara özel sektöre eş durumu tayini vermediginiz sürece bir saglıkcıdan oy alamayacaksınız. Süründürüyorsunuz bizi</t>
  </si>
  <si>
    <t>1465793568623280138</t>
  </si>
  <si>
    <t>@drfahrettinkoca Sağlık sistemi sayenizde çok gelişti Hastaneye yürüyerek giden tabut ile çıkıyor.  Allaha havale ediyoruz sizi</t>
  </si>
  <si>
    <t>1465793135372558339</t>
  </si>
  <si>
    <t>@drfahrettinkoca İnsanlığı Deccale teslim ettiniz  Siz kime başsağlığı diliyorsunuzda (! )</t>
  </si>
  <si>
    <t>1465793041923510279</t>
  </si>
  <si>
    <t>@drfahrettinkoca Sayın bakan bir geçmiş olsun da Sn. Erdoğan konuştukça değer kaybeden milli paramız TÜRK LİRASI iç… https://t.co/cOPQAjib45</t>
  </si>
  <si>
    <t>1465792945932615686</t>
  </si>
  <si>
    <t>@drfahrettinkoca Allah rahmet eylesin. Keşke böyle bir twetin altına atama ve kılavuz diye yazmasaydık ama siz bizi mecbur ediyorsunuz.</t>
  </si>
  <si>
    <t>1465792939678998532</t>
  </si>
  <si>
    <t>@drfahrettinkoca DİYETİSYENLERE ÇOK SAYIDA ATAMA BEKLİYORUZ SAYİN BAKANİM 91 PUANLA KARDESİM HALA ACİKTA</t>
  </si>
  <si>
    <t>1465792910792826889</t>
  </si>
  <si>
    <t>@drfahrettinkoca 40 binlik alımda SAĞLIK YÖNETİMİ bölümünün de içerisinde olduğu adil bir atama istiyoruz sayın bakanım.  .</t>
  </si>
  <si>
    <t>1465792907722559492</t>
  </si>
  <si>
    <t>@drfahrettinkoca Resmi gazete nöbeti tutuyorum ben de</t>
  </si>
  <si>
    <t>1465792902756540419</t>
  </si>
  <si>
    <t>@drfahrettinkoca Bakan bey çok mu düşünür oldun bu halkı hastanelerde ölen insanlar için ne diyorsunuz. https://t.co/UfqTjNVyK9</t>
  </si>
  <si>
    <t>1465792873169833984</t>
  </si>
  <si>
    <t>@drfahrettinkoca Artık Yeter</t>
  </si>
  <si>
    <t>1465792859517374464</t>
  </si>
  <si>
    <t>@drfahrettinkoca 40 binlik alımda SAĞLIK YÖNETİMİ bölümünün de içerisinde olduğu adil bir atama istiyoruz sayın bakanım.</t>
  </si>
  <si>
    <t>1465792842039799817</t>
  </si>
  <si>
    <t>@drfahrettinkoca 40 binlik alımda SAĞLIK YÖNETİMİ bölümünün de içerisinde olduğu adil bir atama istiyoruz sayın bakanım</t>
  </si>
  <si>
    <t>1465792813401092097</t>
  </si>
  <si>
    <t>@drfahrettinkoca Bakanım kasım ayı bitti hepimize geçmiş olsun biz bu ayda kılavuz görmedik üzgünüz @drfahrettinkoca</t>
  </si>
  <si>
    <t>1465792728499904518</t>
  </si>
  <si>
    <t>@drfahrettinkoca 40 binlik alımda SAĞLIK YÖNETİMİ.   bölümünün de içerisinde olduğu adil bir atama istiyoruz sayın bakanım</t>
  </si>
  <si>
    <t>1465792720493023243</t>
  </si>
  <si>
    <t>@drfahrettinkoca 40 binlik alımda SAĞLIK YÖNETİMİ   bölümünün de içerisinde olduğu adil bir atama istiyoruz sayın bakanım.</t>
  </si>
  <si>
    <t>1465792674242437123</t>
  </si>
  <si>
    <t>@drfahrettinkoca Okulları kapat yeter artık hava buz gibi oldu</t>
  </si>
  <si>
    <t>1465792662804602880</t>
  </si>
  <si>
    <t>@drfahrettinkoca 40 binlik alımda SAĞLIK YÖNETİMİ bölümünün de içerisinde olduğu adil bir atama istiyoruz.  sayın bakanım</t>
  </si>
  <si>
    <t>1465792622954532876</t>
  </si>
  <si>
    <t>@drfahrettinkoca Devlet Bahçeli'den Mansur Yavaş'a açık tehdit! https://t.co/EuccIyDGOM</t>
  </si>
  <si>
    <t>1465792618311430153</t>
  </si>
  <si>
    <t>@drfahrettinkoca 40 binlik alımda SAĞLIK YÖNETİMİ bölümünün de içerisinde olduğu  adil bir atama istiyoruz sayın bakanım.</t>
  </si>
  <si>
    <t>1465792589051969536</t>
  </si>
  <si>
    <t>1465792525621465092</t>
  </si>
  <si>
    <t>@drfahrettinkoca 40 binlik alımda SAĞLIK YÖNETİMİ bölümünün  de içerisinde olduğu adil bir atama istiyoruz sayın bakanım.</t>
  </si>
  <si>
    <t>1465792462283280391</t>
  </si>
  <si>
    <t>@drfahrettinkoca 40 binlik alımda SAĞLIK YÖNETİMİ bölümünün de içerisinde olduğu  adil bir atama istiyoruz sayın bakanım</t>
  </si>
  <si>
    <t>1465792409611157507</t>
  </si>
  <si>
    <t>@drfahrettinkoca Bakanım klavuz ya klavuz valla içimiz darlanmakdan ekmek aştan kesildik</t>
  </si>
  <si>
    <t>1465792377562583044</t>
  </si>
  <si>
    <t>@drfahrettinkoca 40 binlik alımda SAĞLIK YÖNETİMİ bölümünün de içerisinde olduğu adil bir atama istiyoruz sayın  bakanım</t>
  </si>
  <si>
    <t>1465792373162717186</t>
  </si>
  <si>
    <t>@drfahrettinkoca 40 binlik alımda SAĞLIK YÖNETİMİ bölümünün  de içerisinde olduğu adil bir atama istiyoruz sayın bakanım</t>
  </si>
  <si>
    <t>1465792341403480073</t>
  </si>
  <si>
    <t>@drfahrettinkoca Acaba acil sağlık hizmetlerinin aldığı paydan haberi var mı ?</t>
  </si>
  <si>
    <t>1465792317785264133</t>
  </si>
  <si>
    <t>@drfahrettinkoca 40 binlik alımda SAĞLIK YÖNETİMİ   bölümünün de içerisinde olduğu adil bir atama istiyoruz sayın bakanım</t>
  </si>
  <si>
    <t>1465792307882598407</t>
  </si>
  <si>
    <t>@drfahrettinkoca 40 binlik alımda SAĞLIK YÖNETİMİ  bölümünün de içerisinde olduğu adil bir atama istiyoruz sayın bakanım</t>
  </si>
  <si>
    <t>1465792274672062467</t>
  </si>
  <si>
    <t>@drfahrettinkoca Sayın bakanım beni duyarsınız bilmiyorum ama inşallah okursunuz. Bizler devlet hastanelerinde ster… https://t.co/UJxqKPvox4</t>
  </si>
  <si>
    <t>1466832067828850689</t>
  </si>
  <si>
    <t>@drfahrettinkoca sen sağlık bakanısın iklim bakanı değil</t>
  </si>
  <si>
    <t>1465812419255676932</t>
  </si>
  <si>
    <t>@drfahrettinkoca Dolar  14 tl olmuş  MILLET  ne yapsın covid  ne yapsın  iklim  krizini  millet akşama ne yiyecem… https://t.co/0UF06QAAZR</t>
  </si>
  <si>
    <t>1465803177484296197</t>
  </si>
  <si>
    <t>@drfahrettinkoca Çocukların ruh sağlığınıda konuştunuzmu sn bakan</t>
  </si>
  <si>
    <t>1465801242400247817</t>
  </si>
  <si>
    <t>@drfahrettinkoca Tek bildiğim bişey var.oda ikinizde virüssünüz.küresel tehtid sizsiniz😡</t>
  </si>
  <si>
    <t>1465799870112055296</t>
  </si>
  <si>
    <t>@drfahrettinkoca Ruh sağlığımı bıraktıniki senedir</t>
  </si>
  <si>
    <t>1465798825310838787</t>
  </si>
  <si>
    <t>@drfahrettinkoca Ruh sağlığınızda bi düzelme oldumu bari?</t>
  </si>
  <si>
    <t>1465798067836407815</t>
  </si>
  <si>
    <t>@drfahrettinkoca Kanserden korunmayı ele aldıysanız bak bu güzel işte..</t>
  </si>
  <si>
    <t>1465796333571350531</t>
  </si>
  <si>
    <t>@drfahrettinkoca Ashi larrdan sonra kanserimi konuşuyor sunuz acaba neden 🤔</t>
  </si>
  <si>
    <t>1465795889872744454</t>
  </si>
  <si>
    <t>@drfahrettinkoca @saglikbakanligi Böyle bir hak tanınırsa biz engellileri çok memnun etmiş olursunuz. Şimdiden teşe… https://t.co/tE7wEymWwF</t>
  </si>
  <si>
    <t>1465795498275741699</t>
  </si>
  <si>
    <t>@drfahrettinkoca @saglikbakanligi Anadolu Üniversitesi Önlisans Aöf Sosyal Hizmetler Mezunu:  Geçtiğimiz yıllarda S… https://t.co/QHdZHNBhGr</t>
  </si>
  <si>
    <t>1465794969818521607</t>
  </si>
  <si>
    <t>@drfahrettinkoca Ruhumuz kapkara oldu sayenizde sağlığımızdan olduk hala ne koviti vs yeter artık</t>
  </si>
  <si>
    <t>1465794468485996546</t>
  </si>
  <si>
    <t>@drfahrettinkoca Dr. Thomas Jendges neden aşıların soykırım olduğuyla alakalı mektup yazarak intihar etti? Başına ç… https://t.co/6KWh7cR2X5</t>
  </si>
  <si>
    <t>1465794445140496389</t>
  </si>
  <si>
    <t>@drfahrettinkoca Atama yi da yap Bi zahmet artik</t>
  </si>
  <si>
    <t>1465794069586751491</t>
  </si>
  <si>
    <t>@drfahrettinkoca En büyük tehdit sizlersiniz https://t.co/gbwyHYIxic</t>
  </si>
  <si>
    <t>1465793819488788481</t>
  </si>
  <si>
    <t>@drfahrettinkoca Sağlıkcılara özel sektöre eş durumu tayini vermediginiz sürece bir saglıkcıdan oy alamayacaksınız.… https://t.co/KbsSDRMTVn</t>
  </si>
  <si>
    <t>1465793695991615498</t>
  </si>
  <si>
    <t>@drfahrettinkoca No to vaccine 🚫 Fahrettin koca istifa  A crime against humanity is being committed help… https://t.co/er2TIZ4iJc</t>
  </si>
  <si>
    <t>1465792867465584640</t>
  </si>
  <si>
    <t>@drfahrettinkoca @drfahrettinkoca  yeter artık saglıkcılara eş durumu tayini gelsin çocuk bir yerde anne baba bir yerde</t>
  </si>
  <si>
    <t>1465792573604339716</t>
  </si>
  <si>
    <t>@drfahrettinkoca millet uyaniyor hamdolsun. zatwn cogu da sizin baskilarinizdan oldu</t>
  </si>
  <si>
    <t>1468246025081077765</t>
  </si>
  <si>
    <t>@drfahrettinkoca @yukselpehlevan Sosyal mesafeye ne kadar dikkat ediyorsunuz il ve ilçe hıfzı sıhha kurullarında Ko… https://t.co/Bhi4l0GBRA</t>
  </si>
  <si>
    <t>1466904402195795978</t>
  </si>
  <si>
    <t>@drfahrettinkoca Milleti sıvılama emrini kimden aldınız kime hizmet ediyorsunuz itiraf vakti yakın.</t>
  </si>
  <si>
    <t>1466900776891166720</t>
  </si>
  <si>
    <t>@drfahrettinkoca @serapsimsekyvz Aşı olmayana kanun gelsin darağacında sallandırın onca yorumlara kulak tıkıyor ve… https://t.co/NDljGwCFL4</t>
  </si>
  <si>
    <t>1466838365840490501</t>
  </si>
  <si>
    <t>@drfahrettinkoca Yahu nedir bu ısrar nedir bu dayatma istemiyoruz işte İSTEMIYORUZ o sıvıları</t>
  </si>
  <si>
    <t>1466543887695204353</t>
  </si>
  <si>
    <t>@drfahrettinkoca Olmaycagiz şeytanın denek sıvısını ol ma ya ca gız !! Bu süreçten sağ çıkanlar bu ihanetinizin bed… https://t.co/r38gd3N3Ea</t>
  </si>
  <si>
    <t>1466490353498865669</t>
  </si>
  <si>
    <t>@drfahrettinkoca Güvenilirliğinizi yitiriyor olmanızın tezahürü olabilirmi sayın bakan.</t>
  </si>
  <si>
    <t>1466468859339284486</t>
  </si>
  <si>
    <t>@drfahrettinkoca Bu arada İstanbul FSM de karantinası biten hastaya PCR yapmıyorlar. İllâ isterseniz para alıyorlar… https://t.co/AbI7KcxifF</t>
  </si>
  <si>
    <t>1469388106176634882</t>
  </si>
  <si>
    <t>@drfahrettinkoca Emredersiniz...</t>
  </si>
  <si>
    <t>1465830072338849802</t>
  </si>
  <si>
    <t>@drfahrettinkoca Hocam, cehalet salgını, covidden bile daha tehlikeli... Allah kolaylık versin size..</t>
  </si>
  <si>
    <t>1465824866310017025</t>
  </si>
  <si>
    <t>@drfahrettinkoca @saglikbakanligi aŞıLaRıNıZı oLuN♿</t>
  </si>
  <si>
    <t>1465823093042171907</t>
  </si>
  <si>
    <t>@drfahrettinkoca olmazsak nolur onu söyleyin beyefendi</t>
  </si>
  <si>
    <t>1465822918357798917</t>
  </si>
  <si>
    <t>@drfahrettinkoca Gerçek vaka sayılarını açıklayın  bunların gerçek olmadığı çok belli</t>
  </si>
  <si>
    <t>1465821623324483588</t>
  </si>
  <si>
    <t>@drfahrettinkoca Emir veremezsiniz olmuyorum aşı test yaptırmıyorum kimse vücut bütünlüğüne dokunamaz 🤮🤮🤮🤮🤮🤮… https://t.co/9xGrph4JG4</t>
  </si>
  <si>
    <t>1465821588457238534</t>
  </si>
  <si>
    <t>@drfahrettinkoca Sonunda uyandılar bir millet nasıl olurda uyuşur sizin bu yalan haberlerinize itibar eder anlamıyo… https://t.co/SfssvsJOG8</t>
  </si>
  <si>
    <t>1465821079885295617</t>
  </si>
  <si>
    <t>@drfahrettinkoca Verdiğiniz kovit ilacı yüzünden kalp çarpıntısı yaşıyor dr dr geziyorum devlet hastanelerinde dr l… https://t.co/AH4RSZquGb</t>
  </si>
  <si>
    <t>1465820980518043653</t>
  </si>
  <si>
    <t>@drfahrettinkoca Emrin olur salgın bakanı..!! 12 milyona 3. Dozu yedirmişsin ama az limiti dolduramadın daha  aldığ… https://t.co/0xzrAEf45S</t>
  </si>
  <si>
    <t>1465819398187462664</t>
  </si>
  <si>
    <t>@drfahrettinkoca atanmış bakan fahrettin haddini bil haddini sen halka talimat vermeye emir vaki yapmaya değil halk… https://t.co/m38hOuPRX2</t>
  </si>
  <si>
    <t>1465819135909244929</t>
  </si>
  <si>
    <t>@drfahrettinkoca 1 ken 2,3,4........? Aklınızdaki sayı nedir sayın bakan?</t>
  </si>
  <si>
    <t>1465818104672436237</t>
  </si>
  <si>
    <t>@drfahrettinkoca AŞI derken❓ Hani şu RUHSATSIZ ve  "biz sonuçlarını bilmediğimiz aşıyı milletimize yapacak kadar za… https://t.co/vKWD7Cc5MQ</t>
  </si>
  <si>
    <t>1465816486510010374</t>
  </si>
  <si>
    <t>@drfahrettinkoca Aşılamanın en az oldugu iller turuncu ve en az vaka açıklanan yerler ne tesadüftür buralar..</t>
  </si>
  <si>
    <t>1465816162021916676</t>
  </si>
  <si>
    <t>@drfahrettinkoca Yorumları okudum ve edindiğim izlenim millet size güvenmiyor ve kibarca küfrediyor.Hitap şekliniz… https://t.co/SvVnVbPpTe</t>
  </si>
  <si>
    <t>1465814188643786753</t>
  </si>
  <si>
    <t>@drfahrettinkoca Sakin ol bakan!</t>
  </si>
  <si>
    <t>1465814076802711553</t>
  </si>
  <si>
    <t>@drfahrettinkoca 2doz biontek aşı sonrası düzenli olarak sürekli kalbim sıkışmaya başladı oyüzden 3üncüyü olmuyorum</t>
  </si>
  <si>
    <t>1465813039773622272</t>
  </si>
  <si>
    <t>@drfahrettinkoca Demekki senin güvenirligin yokmus sayin bakan</t>
  </si>
  <si>
    <t>1465812780460740614</t>
  </si>
  <si>
    <t>@drfahrettinkoca Biz sizin deneğiniz değiliz Hiç bir zaman aşı olmayacağım,çocuğuma da yaptırmayacağım 😡</t>
  </si>
  <si>
    <t>1465812569239732227</t>
  </si>
  <si>
    <t>@drfahrettinkoca KB ama aşı hikaye</t>
  </si>
  <si>
    <t>1465810984015179777</t>
  </si>
  <si>
    <t>@drfahrettinkoca Aşilarinizi olun yoksa kapanma gelirse ağlamayın demek istiyor. Ama millet uyandı artık esnaf dükk… https://t.co/0xbL8K1L5W</t>
  </si>
  <si>
    <t>1465810813743210501</t>
  </si>
  <si>
    <t>@drfahrettinkoca Desene uyanan uyanana 😁😁</t>
  </si>
  <si>
    <t>1465810439464439820</t>
  </si>
  <si>
    <t>@drfahrettinkoca emredersiniz</t>
  </si>
  <si>
    <t>1465810251735838720</t>
  </si>
  <si>
    <t>@drfahrettinkoca 1.dozu olup yan etki yaşayanları,2.doza,2.dozu olup yan etki yaşaynları,3.doza,3.dozu da olup,yeni… https://t.co/ly79eLa4Sc</t>
  </si>
  <si>
    <t>1465809711526199303</t>
  </si>
  <si>
    <t>@drfahrettinkoca Emrivakileriyle milleti ikna edebileceğini  sanan gereksiz bakan</t>
  </si>
  <si>
    <t>1465809430054936578</t>
  </si>
  <si>
    <t>@drfahrettinkoca @saglikbakanligi Bu sefer siz onam kağıdı imzalayın bizim için 3 cü dozu olalım.</t>
  </si>
  <si>
    <t>1465808114456932354</t>
  </si>
  <si>
    <t>@drfahrettinkoca Olmuyorum ailecede olmuyoruz ...Hicte olmadık..Bir düş yakamızdan artık ya..</t>
  </si>
  <si>
    <t>1465807830376751109</t>
  </si>
  <si>
    <t>@drfahrettinkoca Ya yeter bu milleti zorla aşı manyağı yaptınız. 1idi 2oldu.2 idi 3 oldu.Nerede duracağı da belirsi… https://t.co/i6jhsDKiSF</t>
  </si>
  <si>
    <t>1465807445469679617</t>
  </si>
  <si>
    <t>@drfahrettinkoca Eee yani</t>
  </si>
  <si>
    <t>1465807009887006728</t>
  </si>
  <si>
    <t>@drfahrettinkoca Baska arzunuz</t>
  </si>
  <si>
    <t>1465806370595389440</t>
  </si>
  <si>
    <t>@drfahrettinkoca Benim gibi hiç aşı olmamış kişiler arada kaynadık diyebilir miyiz sayın bakanım</t>
  </si>
  <si>
    <t>1465805789445173249</t>
  </si>
  <si>
    <t>@drfahrettinkoca Aşşı değil MrnA gen terapisi verdiğiniz sıvının adı. Aşı diyerek insanlara şirin göstermeyin.</t>
  </si>
  <si>
    <t>1465804735663988737</t>
  </si>
  <si>
    <t>@drfahrettinkoca Ben halkımı içeriği belli olmayan bir sıvıya denek olarak kullandırmam….  İşte O zaman benim sağlı… https://t.co/ao7bxTriFG</t>
  </si>
  <si>
    <t>1465804475860455434</t>
  </si>
  <si>
    <t>@drfahrettinkoca En yüksek aşılama ordu da en yüksek kovit oranı da ordu da var bu işte tessatlık</t>
  </si>
  <si>
    <t>1465803976117571587</t>
  </si>
  <si>
    <t>@drfahrettinkoca Olmuyorum aşı masi. Kredi vermeye çalışan bankalar gibi mesaj gönderiyorsunuz, sosyal medyadasiniz… https://t.co/kUeHyZEb1o</t>
  </si>
  <si>
    <t>1465803326390427649</t>
  </si>
  <si>
    <t>@drfahrettinkoca Çünküüüü... Artık mızrak çuvala sığmıyor! "İNSANLIĞA KARŞI İŞLENEN SUÇLARDA ZAMAN AŞIMI YOKTUR!"… https://t.co/wXDZ6GZIQb</t>
  </si>
  <si>
    <t>1465803270048436238</t>
  </si>
  <si>
    <t>@drfahrettinkoca Adam bunları söylediği için öldürüldü. Hala konu sağlık ve Aşı olduğunu mu düşünüyorsun? https://t.co/wJk5tXzViy</t>
  </si>
  <si>
    <t>1465803207117053959</t>
  </si>
  <si>
    <t>@drfahrettinkoca Emredersiniz paşam. Hadi ya istiklal ya ölüm desen anlayacağız ama. Sen o değilsin. Amacınız farklı..</t>
  </si>
  <si>
    <t>1465803070114250758</t>
  </si>
  <si>
    <t>@drfahrettinkoca Olmuyacam olmuyorum</t>
  </si>
  <si>
    <t>1465803018973110274</t>
  </si>
  <si>
    <t>@drfahrettinkoca Israrlı uyarılara rağmen siz de okulları açık tutmakta inatçısınız. Okullarda yurtlarda o büyük ha… https://t.co/K5jyXrCehI</t>
  </si>
  <si>
    <t>1465803008294494214</t>
  </si>
  <si>
    <t>@drfahrettinkoca Kimsenin aşıya bilime güveni kalmadı ki bakanım olmaz tabi millet artık bu kadarını ikna ettiğine dua et yine iyi oldular</t>
  </si>
  <si>
    <t>1465802970143023106</t>
  </si>
  <si>
    <t>@drfahrettinkoca Hayirdır yau, gönüllülük esasından emir vermeye mi geçtiniz.</t>
  </si>
  <si>
    <t>1465802780434739203</t>
  </si>
  <si>
    <t>@drfahrettinkoca istersen 30 doz aşı ol 31 ci aşıyı olmadınız ondan bitmiyo diyecek  Ölüm ilaçlarıyla katliam yapan… https://t.co/0xfHZIJ46Y</t>
  </si>
  <si>
    <t>1465802507955879947</t>
  </si>
  <si>
    <t>@drfahrettinkoca 2 dozta yetmez  6 tane  daha milletin güveni kalmadı bu aşı dediğiniz işe yaramaz sıvıya</t>
  </si>
  <si>
    <t>1465802085711196175</t>
  </si>
  <si>
    <t>@drfahrettinkoca Güzel bir haber. İnsanlar sivilariniza karşı uyanıyor demekki.</t>
  </si>
  <si>
    <t>1465801990232059908</t>
  </si>
  <si>
    <t>@drfahrettinkoca Başka bir emriniz varmı paşam? Kahveniz nasıl olsun?  Kaç doz olalım ? Sağ kol ? Sol kol ? Kalça ?… https://t.co/KlpzbooAG9</t>
  </si>
  <si>
    <t>1465801908497657867</t>
  </si>
  <si>
    <t>@drfahrettinkoca @drfahrettinkoca Şu 👇 formu doldurup imzalarsanız olur. https://t.co/j10VWwYU0B</t>
  </si>
  <si>
    <t>1465801845268520969</t>
  </si>
  <si>
    <t>@drfahrettinkoca Ucuncu doz ası olanlar kalp kırızı den ya oluyor ya hastanede hala ne anlatıyor sayın bakan git ke… https://t.co/4D2sDZCLRK</t>
  </si>
  <si>
    <t>1465801259672350723</t>
  </si>
  <si>
    <t>@drfahrettinkoca Lütfen bize yardım edin her şey cok pahalı bir işçi maaşıyla geçiniyoruz kızıma bez bile alamadığı… https://t.co/lFK3bqJuFa</t>
  </si>
  <si>
    <t>1465800736365854732</t>
  </si>
  <si>
    <t>@drfahrettinkoca KAPATMAZLAR, EKONOMİ ÇÖKÜK FARKINDALAR BU YÜZDEN KİMSENİN CANINI DÜŞÜNMEZLER BU SÜREÇTE.</t>
  </si>
  <si>
    <t>1465800149238788096</t>
  </si>
  <si>
    <t>@drfahrettinkoca Sene 2013 doktor verdi maske çocuğa girip bulaşmasın diye neyse maskeyle yattım kalkitim kimseyide… https://t.co/U3Rxmb5s8K</t>
  </si>
  <si>
    <t>1465799754357608454</t>
  </si>
  <si>
    <t>@drfahrettinkoca "Aşılarınızı olun." Nereye gitti 1. çoğul şahıslı üslup?</t>
  </si>
  <si>
    <t>1465799742353510400</t>
  </si>
  <si>
    <t>@drfahrettinkoca Sizin filmciler milleti sokağa dökmeye çalışıyor. Ama burası aşı olun aşı olun olun da olun olun olun…</t>
  </si>
  <si>
    <t>1465799166588817408</t>
  </si>
  <si>
    <t>@drfahrettinkoca Madem risk yok Medipol'ü de açın.Sırf sizin öğrencileriniz diye bizden üstün değiller.Ögrencileri virüsün kucağına attınız.</t>
  </si>
  <si>
    <t>1465799020174094340</t>
  </si>
  <si>
    <t>@drfahrettinkoca MADEM AŞILARINIZA BU KADAR GÜVENİYORSUNUZ NEDEN BİZE "ONAM FORMU" İMZALATIYORSUNUZ ? ...   Onam fo… https://t.co/6nk8AZlt9z</t>
  </si>
  <si>
    <t>1465798782034104324</t>
  </si>
  <si>
    <t>@drfahrettinkoca Olmuyorum sen kimsin ula</t>
  </si>
  <si>
    <t>1465798545206915075</t>
  </si>
  <si>
    <t>@drfahrettinkoca Allah’ını seversen bıktık ya</t>
  </si>
  <si>
    <t>1465798438063419397</t>
  </si>
  <si>
    <t>@drfahrettinkoca Ben ve ailem adına tanımlanmış olan zehirli sıvıları başta siz ve ekibimize hibe ediyorum afiyetle içiniz sn.bakan</t>
  </si>
  <si>
    <t>1465798238552956932</t>
  </si>
  <si>
    <t>@drfahrettinkoca Acaba onlar ciddi Yan etki yaşayıpta tekrar olmak istemeyenler olabilir mi.</t>
  </si>
  <si>
    <t>1465798108353380358</t>
  </si>
  <si>
    <t>@drfahrettinkoca Keşke artık ekonomi krizi görseniz ilaç bulunamamazligı bulunan ilaçların çok pahalı olduğunu görüp çözüm uretseniz</t>
  </si>
  <si>
    <t>1465798011913744385</t>
  </si>
  <si>
    <t>@drfahrettinkoca @saglikbakanligi Ne asisi sn bakan.asilananlar hastaliktan kiriliyor.olanda hasta olmayanda.hicbir… https://t.co/x3xUIR1G0X</t>
  </si>
  <si>
    <t>1465797316665827328</t>
  </si>
  <si>
    <t>@drfahrettinkoca Aşılarınızı olun bu ifade ciddi  hipnotik  bir dil mi içeriyor? Hiç aşı olmayan bir vatandaş olarak soruyorum ...</t>
  </si>
  <si>
    <t>1465796098627358724</t>
  </si>
  <si>
    <t>@drfahrettinkoca OL-MU-YO-RUZ</t>
  </si>
  <si>
    <t>1465795933422211078</t>
  </si>
  <si>
    <t>@drfahrettinkoca Emredersin paşam şimdi bi koşu gidip oluruz o sorumluluğunu dahi almadığınız ne halta yaradığından… https://t.co/lgIL2QxUIz</t>
  </si>
  <si>
    <t>1465795745592786957</t>
  </si>
  <si>
    <t>@drfahrettinkoca Gerçekten işinize karışmak istemiyorum sayın bakanım fakat bu 2. Ve 3. Dozları olmayanlar aşı yüzü… https://t.co/rr8EapxRnb</t>
  </si>
  <si>
    <t>1465795626038398984</t>
  </si>
  <si>
    <t>@drfahrettinkoca Ank Onk hast.biontec aşısı yaptırmak için randevu aldım  Hemşireye aşı şişesini görmek istiyorum d… https://t.co/6GioYZFEfT</t>
  </si>
  <si>
    <t>1465795575455096832</t>
  </si>
  <si>
    <t>@drfahrettinkoca Olmadım, olmuyorum, olmayacağım Allahın izniyle.  Sen de çeneni kapa artık.    Allah' a havalesin(iz).</t>
  </si>
  <si>
    <t>1465795337117908995</t>
  </si>
  <si>
    <t>@drfahrettinkoca 2 dozluları da gözden çıkarmış dsö memuru salgın bakanı.Hayırlı olsun. 3 ten aşağı aşılılar, cümle… https://t.co/STS62ymzLj</t>
  </si>
  <si>
    <t>1465794885680775172</t>
  </si>
  <si>
    <t>@drfahrettinkoca Hele dur bakanım dolar ekonomi ortalık karışık. Ne covidi ne hali</t>
  </si>
  <si>
    <t>1465794690498899968</t>
  </si>
  <si>
    <t>@drfahrettinkoca Yalanların sonu gelmez dogrusu ne demedikçe.. Hiç kimseyi aşı olmaya zorlayamazsın aşı olmuyor diy… https://t.co/goBUwsIhLj</t>
  </si>
  <si>
    <t>1465794508612935689</t>
  </si>
  <si>
    <t>@drfahrettinkoca Almanyada amerikada fransada hollandada ingilterede ve bir çok ülkede vakalar günlük olarak değişk… https://t.co/XLAG0y9Gc8</t>
  </si>
  <si>
    <t>1465794506184347652</t>
  </si>
  <si>
    <t>@drfahrettinkoca Emir mi bu? Zorlqdiniz Olduk da ne oldu ?</t>
  </si>
  <si>
    <t>1465794377150828550</t>
  </si>
  <si>
    <t>@drfahrettinkoca Emir kipiyle biten cümlelerin akıbeti pek hayr olmaz ama biz yinede insanlık adına naifçe uyarımızı yapalım.</t>
  </si>
  <si>
    <t>1465794146015363083</t>
  </si>
  <si>
    <t>@drfahrettinkoca En basit ilaçta bile istenmeyen bir etki gördüğünüzde doktorunuza başvurunuz yazar. Birinci dozu v… https://t.co/B9406wHTk1</t>
  </si>
  <si>
    <t>1465794084115787780</t>
  </si>
  <si>
    <t>@drfahrettinkoca Demekki insanlar sahtekarlara inanmiyorlar. Bunun neyini anlamiyosun aşı bakanı.</t>
  </si>
  <si>
    <t>1465793797657403394</t>
  </si>
  <si>
    <t>@drfahrettinkoca Aşı olmayanlar kendilerini riske ayoyorlar. Bedelini de kendileri ödemeliler. Tedavileri ücretli o… https://t.co/KKWkBAbK2l</t>
  </si>
  <si>
    <t>1465793743424999426</t>
  </si>
  <si>
    <t>@drfahrettinkoca Sağlıkcılara özel sektöre eş durumu tayini vermediginiz sürece bir saglıkcıdan oy alamayacaksınız.… https://t.co/QiUGjAV3OE</t>
  </si>
  <si>
    <t>1465793738064732175</t>
  </si>
  <si>
    <t>@drfahrettinkoca Sözde 1. Dozla atlatıyorduk 😄</t>
  </si>
  <si>
    <t>1465793542035492866</t>
  </si>
  <si>
    <t>@drfahrettinkoca Ya Kahhar, sana havale ediyoruz. Daha fazla insan zarar görmeden sen zalimleri kahr u perişan et Allah'ım</t>
  </si>
  <si>
    <t>1465792908494266369</t>
  </si>
  <si>
    <t>@drfahrettinkoca Aşınızı olunki PlanDemi devam etsin. Aşılanınki içinizde Mutantlar Varyantlar çıksın.</t>
  </si>
  <si>
    <t>1465792583628640258</t>
  </si>
  <si>
    <t>@drfahrettinkoca Hepiniz şirket Ve para adına  bu aşı diye insanları Genetiğ bozdununuz. Deneme level 2 deyiz arkad… https://t.co/MB60s2xCFK</t>
  </si>
  <si>
    <t>1467199408844455940</t>
  </si>
  <si>
    <t>@drfahrettinkoca Yaz sezonu  bitti neyse fazla söze gerek yok</t>
  </si>
  <si>
    <t>1465832174876344321</t>
  </si>
  <si>
    <t>@drfahrettinkoca Daha kaç tur o sıvıyı olacak o insanlar stoklar bitene kadar mı yoksa daha çok insan ölene kadar mı??</t>
  </si>
  <si>
    <t>1465808376366051342</t>
  </si>
  <si>
    <t>@drfahrettinkoca Bakan bu atama olma olasılığı grafiği mi?</t>
  </si>
  <si>
    <t>1465794252353511426</t>
  </si>
  <si>
    <t>@drfahrettinkoca Sağlıkcılara özel sektöre eş durumu tayini vermediginiz sürece bir saglıkcıdan oy alamayacaksınız.… https://t.co/CILkXjwLy8</t>
  </si>
  <si>
    <t>1465793770314731529</t>
  </si>
  <si>
    <t>@drfahrettinkoca Bu ne çelişki aşılama az olan yerlerde vaka sayisida az.</t>
  </si>
  <si>
    <t>1466528813114966019</t>
  </si>
  <si>
    <t>@drfahrettinkoca Aşı ve hasta sayısı ters orantılı. Aşı işi boş iş bence.</t>
  </si>
  <si>
    <t>1466486277558128645</t>
  </si>
  <si>
    <t>@drfahrettinkoca Sayın bakanım,akut lösemi oğlum eğitimi için okula gitmektedir.  Oğlum 2009/17 aralık doğumludur k… https://t.co/aDzpQfxNHl</t>
  </si>
  <si>
    <t>1466479081734737925</t>
  </si>
  <si>
    <t>@drfahrettinkoca Ülkede durum vahim ise bu sizin beceriksizliğiniz</t>
  </si>
  <si>
    <t>1465803460134195201</t>
  </si>
  <si>
    <t>@drfahrettinkoca Zahmet olacak ama açıkla artık lanet atamayi</t>
  </si>
  <si>
    <t>1465794338412273672</t>
  </si>
  <si>
    <t>@drfahrettinkoca Sağlıkcılara özel sektöre eş durumu tayini vermediginiz sürece bir saglıkcıdan oy alamayacaksınız.… https://t.co/J5jyn3tro5</t>
  </si>
  <si>
    <t>1465793791462416385</t>
  </si>
  <si>
    <t>@drfahrettinkoca Sayın bakan hem günümüzü kutluyorsunuz hemde toplu sözleşme ile verilen hakkımız olan GECE ZAMMİ k… https://t.co/9cSllERlXI</t>
  </si>
  <si>
    <t>1465466620973916163</t>
  </si>
  <si>
    <t>@drfahrettinkoca Sizin bu konuda bir çalışmanız varmı Fahrettin bey! https://t.co/SXybGtONdO</t>
  </si>
  <si>
    <t>1465466375229644803</t>
  </si>
  <si>
    <t>@drfahrettinkoca 190 sayılı KHK'nin “Sağlık Hizmetleri ve Yardımcı Sağlık Hizmetleri Sınıfı cetveli içinde 4597 say… https://t.co/1IiWaCJgrU</t>
  </si>
  <si>
    <t>1465451859242627073</t>
  </si>
  <si>
    <t>@drfahrettinkoca 190 sayılı KHK'nin “Sağlık Hizmetleri ve Yardımcı Sağlık Hizmetleri Sınıfı cetveli içinde 4597 say… https://t.co/l5H3h65En0</t>
  </si>
  <si>
    <t>1465451538873266176</t>
  </si>
  <si>
    <t>@drfahrettinkoca 190 sayılı KHK'nin “Sağlık Hizmetleri ve Yardımcı Sağlık Hizmetleri Sınıfı cetveli içinde 4597 say… https://t.co/wPH9NukwhF</t>
  </si>
  <si>
    <t>1465451482334048257</t>
  </si>
  <si>
    <t>@drfahrettinkoca 190 sayılı KHK'nin “Sağlık Hizmetleri ve Yardımcı Sağlık Hizmetleri Sınıfı cetveli içinde 4597 say… https://t.co/yn6wlxhXDs</t>
  </si>
  <si>
    <t>1465451420241563660</t>
  </si>
  <si>
    <t>@drfahrettinkoca 190 sayılı KHK'nin “Sağlık Hizmetleri ve Yardımcı Sağlık Hizmetleri Sınıfı cetveli içinde 4597 say… https://t.co/QCBJEt247B</t>
  </si>
  <si>
    <t>1465451351564070915</t>
  </si>
  <si>
    <t>@drfahrettinkoca 190 sayılı KHK'nin “Sağlık Hizmetleri ve Yardımcı Sağlık Hizmetleri Sınıfı cetveli içinde 4597 say… https://t.co/cCe9nUYa41</t>
  </si>
  <si>
    <t>1465451288020271114</t>
  </si>
  <si>
    <t>@drfahrettinkoca 190 sayılı KHK'nin “Sağlık Hizmetleri ve Yardımcı Sağlık Hizmetleri Sınıfı cetveli içinde 4597 say… https://t.co/AwTG5H2uzk</t>
  </si>
  <si>
    <t>1465451242927398917</t>
  </si>
  <si>
    <t>@drfahrettinkoca 190 sayılı KHK'nin “Sağlık Hizmetleri ve Yardımcı Sağlık Hizmetleri Sınıfı cetveli içinde 4597 say… https://t.co/ifiHyRWiVN</t>
  </si>
  <si>
    <t>1465451186446868481</t>
  </si>
  <si>
    <t>@drfahrettinkoca 190 sayılı KHK'nin “Sağlık Hizmetleri ve Yardımcı Sağlık Hizmetleri Sınıfı cetveli içinde 4597 say… https://t.co/Zo36MgC5Wf</t>
  </si>
  <si>
    <t>1465451131187130371</t>
  </si>
  <si>
    <t>@drfahrettinkoca 190 sayılı KHK'nin “Sağlık Hizmetleri ve Yardımcı Sağlık Hizmetleri Sınıfı cetveli içinde 4597 say… https://t.co/FCiZUb6ier</t>
  </si>
  <si>
    <t>1465451071959142401</t>
  </si>
  <si>
    <t>@drfahrettinkoca 190 sayılı KHK'nin “Sağlık Hizmetleri ve Yardımcı Sağlık Hizmetleri Sınıfı cetveli içinde 4597 say… https://t.co/iCWFoikeeS</t>
  </si>
  <si>
    <t>1465450987473313799</t>
  </si>
  <si>
    <t>@drfahrettinkoca 190 sayılı KHK'nin “Sağlık Hizmetleri ve Yardımcı Sağlık Hizmetleri Sınıfı cetveli içinde 4597 say… https://t.co/Gn84d41nUZ</t>
  </si>
  <si>
    <t>1465450951087697920</t>
  </si>
  <si>
    <t>@drfahrettinkoca 190 sayılı KHK'nin “Sağlık Hizmetleri ve Yardımcı Sağlık Hizmetleri Sınıfı cetveli içinde 4597 say… https://t.co/sjfppLc2Zs</t>
  </si>
  <si>
    <t>1465450763589668864</t>
  </si>
  <si>
    <t>@drfahrettinkoca fHlı KHK'nin “Sağlık Hizmetleri ve Yardımcı Sağlık Hizmetleri Sınıfı cetveli içinde 4597 sayılı ni… https://t.co/DS3otOUtaO</t>
  </si>
  <si>
    <t>1465450727493582848</t>
  </si>
  <si>
    <t>@drfahrettinkoca 190 sayılı KHK'nin “Sağlık Hizmetleri ve Yardımcı Sağlık Hizmetleri Sınıfı cetveli içinde 4597 say… https://t.co/OE93TtPg0K</t>
  </si>
  <si>
    <t>1465450682299949065</t>
  </si>
  <si>
    <t>@drfahrettinkoca 190 sayılı KHK'nin “Sağlık Hizmetleri ve Yardımcı Sağlık Hizmetleri Sınıfı cetveli içinde 4597 say… https://t.co/iGlQJhtUWU</t>
  </si>
  <si>
    <t>1465450641170608131</t>
  </si>
  <si>
    <t>@drfahrettinkoca 190 sayılı KHK'nin “Sağlık Hizmetleri ve Yardımcı Sağlık Hizmetleri Sınıfı cetveli içinde 4597 say… https://t.co/mE7sWaD2Ff</t>
  </si>
  <si>
    <t>1465450605611204613</t>
  </si>
  <si>
    <t>@drfahrettinkoca Yine gereksiz işler müdürü Fahrettin sahnede bugünün konusu tıbbi sekreterlik...</t>
  </si>
  <si>
    <t>1465450604482818048</t>
  </si>
  <si>
    <t>@drfahrettinkoca 190 sayılı KHK'nin “Sağlık Hizmetleri ve Yardımcı Sağlık Hizmetleri Sınıfı cetveli içinde 4597 say… https://t.co/eAG2VDOH5Y</t>
  </si>
  <si>
    <t>1465450551576088589</t>
  </si>
  <si>
    <t>@drfahrettinkoca 190 sayılı KHK'nin “Sağlık Hizmetleri ve Yardımcı Sağlık Hizmetleri Sınıfı cetveli içinde 4597 say… https://t.co/CqlKaV0xsa</t>
  </si>
  <si>
    <t>1465450515735715849</t>
  </si>
  <si>
    <t>@drfahrettinkoca lı KHK'nin “Sağlık Hizmetleri ve Yardımcı Sağlık Hizmetleri Sınıfı cetveli içinde 4597 sayılı nite… https://t.co/bciOrWq4Yj</t>
  </si>
  <si>
    <t>1465450341051289607</t>
  </si>
  <si>
    <t>@drfahrettinkoca 190 sayılı KHK'nin “Sağlık Hizmetleri ve Yardımcı Sağlık Hizmetleri Sınıfı cetveli içinde 4597 say… https://t.co/Weey5YPw7b</t>
  </si>
  <si>
    <t>1465450250856972290</t>
  </si>
  <si>
    <t>@drfahrettinkoca 190 sayılı KHK'nin “Sağlık Hizmetleri ve Yardımcı Sağlık Hizmetleri Sınıfı cetveli içinde 4597 say… https://t.co/rXvclG5hjZ</t>
  </si>
  <si>
    <t>1465450217164185603</t>
  </si>
  <si>
    <t>@drfahrettinkoca 190 sayılı KHK'nin “Sağlık Hizmetleri ve Yardımcı Sağlık Hizmetleri Sınıfı cetveli içinde 4597 say… https://t.co/wTLOo7U9uW</t>
  </si>
  <si>
    <t>1465450164651446280</t>
  </si>
  <si>
    <t>@drfahrettinkoca 190 sayılı KHK'nin “Sağlık Hizmetleri ve Yardımcı Sağlık Hizmetleri Sınıfı cetveli içinde 4597 say… https://t.co/RFyPhdF1t0</t>
  </si>
  <si>
    <t>1465450111731970055</t>
  </si>
  <si>
    <t>@drfahrettinkoca 190 sayılı KHK'nin “Sağlık Hizmetleri ve Yardımcı Sağlık Hizmetleri Sınıfı cetveli içinde 4597 say… https://t.co/jnRQMsH5h1</t>
  </si>
  <si>
    <t>1465450062956445700</t>
  </si>
  <si>
    <t>@drfahrettinkoca 190 sayılı KHK'nin “Sağlık Hizmetleri ve Yardımcı Sağlık Hizmetleri Sınıfı cetveli içinde 4597 say… https://t.co/DNzz8cSTwI</t>
  </si>
  <si>
    <t>1465450013077786635</t>
  </si>
  <si>
    <t>@drfahrettinkoca 190 sayılı KHK'nin “Sağlık Hizmetleri ve Yardımcı Sağlık Hizmetleri Sınıfı cetveli içinde 4597 say… https://t.co/jWreNWIBSB</t>
  </si>
  <si>
    <t>1465449936401715201</t>
  </si>
  <si>
    <t>@drfahrettinkoca 190 sayılı KHK'nin “Sağlık Hizmetleri ve Yardımcı Sağlık Hizmetleri Sınıfı cetveli içinde 4597 say… https://t.co/nUJ5vC8hpr</t>
  </si>
  <si>
    <t>1465449884404830219</t>
  </si>
  <si>
    <t>@drfahrettinkoca 190 sayılı KHK'nin “Sağlık Hizmetleri ve Yardımcı Sağlık Hizmetleri Sınıfı cetveli içinde 4597 say… https://t.co/cotaFHQ0TK</t>
  </si>
  <si>
    <t>1465449837147664387</t>
  </si>
  <si>
    <t>@drfahrettinkoca 190 sayılı KHK'nin “Sağlık Hizmetleri ve Yardımcı Sağlık Hizmetleri Sınıfı cetveli içinde 4597 say… https://t.co/P2vOUOloJa</t>
  </si>
  <si>
    <t>1465449793577234443</t>
  </si>
  <si>
    <t>@drfahrettinkoca 190 sayılı KHK'nin “Sağlık Hizmetleri ve Yardımcı Sağlık Hizmetleri Sınıfı cetveli içinde 4597 say… https://t.co/xrqz20cwQT</t>
  </si>
  <si>
    <t>1465449737549660174</t>
  </si>
  <si>
    <t>@drfahrettinkoca 190 sayılı KHK'nin “Sağlık Hizmetleri ve Yardımcı Sağlık Hizmetleri Sınıfı cetveli içinde 4597 say… https://t.co/frDlCxJGu3</t>
  </si>
  <si>
    <t>1465449692356034564</t>
  </si>
  <si>
    <t>@drfahrettinkoca 190 sayılı KHK'nin “Sağlık Hizmetleri ve Yardımcı Sağlık Hizmetleri Sınıfı cetveli içinde 4597 say… https://t.co/Ks1n0SGAGB</t>
  </si>
  <si>
    <t>1465449523254374406</t>
  </si>
  <si>
    <t>@drfahrettinkoca 190 sayılı KHK'nin “Sağlık Hizmetleri ve Yardımcı Sağlık Hizmetleri Sınıfı cetveli içinde 4597 say… https://t.co/RXtRG0K6Id</t>
  </si>
  <si>
    <t>1465449476752134155</t>
  </si>
  <si>
    <t>@drfahrettinkoca 190 sayılı KHK'nin “Sağlık Hizmetleri ve Yardımcı Sağlık Hizmetleri Sınıfı cetveli içinde 4597 say… https://t.co/pAL4X82udv</t>
  </si>
  <si>
    <t>1465449440974618629</t>
  </si>
  <si>
    <t>@drfahrettinkoca 190 sayılı KHK'nin “Sağlık Hizmetleri ve Yardımcı Sağlık Hizmetleri Sınıfı cetveli içinde 4597 say… https://t.co/bL1I0XcD3D</t>
  </si>
  <si>
    <t>1465449412734431239</t>
  </si>
  <si>
    <t>@drfahrettinkoca 190 sayılı KHK'nin “Sağlık Hizmetleri ve Yardımcı Sağlık Hizmetleri Sınıfı cetveli içinde 4597 say… https://t.co/0GK3YdujbN</t>
  </si>
  <si>
    <t>1465449383076507654</t>
  </si>
  <si>
    <t>@drfahrettinkoca 190 sayılı KHK'nin “Sağlık Hizmetleri ve Yardımcı Sağlık Hizmetleri Sınıfı cetveli içinde 4597 say… https://t.co/qAVQoncx9a</t>
  </si>
  <si>
    <t>1465449338931449867</t>
  </si>
  <si>
    <t>@drfahrettinkoca 190 sayılı KHK'nin “Sağlık Hizmetleri ve Yardımcı Sağlık Hizmetleri Sınıfı cetveli içinde 4597 say… https://t.co/oycLpGNKp9</t>
  </si>
  <si>
    <t>1465449324389806081</t>
  </si>
  <si>
    <t>@drfahrettinkoca 190 sayılı KHK'nin “Sağlık Hizmetleri ve Yardımcı Sağlık Hizmetleri Sınıfı cetveli içinde 4597 say… https://t.co/E2WDCkHUIV</t>
  </si>
  <si>
    <t>1465449234631692295</t>
  </si>
  <si>
    <t>@drfahrettinkoca 190 sayılı KHK'nin “Sağlık Hizmetleri ve Yardımcı Sağlık Hizmetleri Sınıfı cetveli içinde 4597 say… https://t.co/U2iScgT47p</t>
  </si>
  <si>
    <t>1465449196778045442</t>
  </si>
  <si>
    <t>@drfahrettinkoca 190 sayılı KHK'nin “Sağlık Hizmetleri ve Yardımcı Sağlık Hizmetleri Sınıfı cetveli içinde 4597 say… https://t.co/doUpyJ1Ast</t>
  </si>
  <si>
    <t>1465449153522290689</t>
  </si>
  <si>
    <t>@drfahrettinkoca 190 sayılı KHK'nin “Sağlık Hizmetleri ve Yardımcı Sağlık Hizmetleri Sınıfı cetveli içinde 4597 say… https://t.co/mofVN18jAK</t>
  </si>
  <si>
    <t>1465449123314810890</t>
  </si>
  <si>
    <t>@drfahrettinkoca Yvcxui</t>
  </si>
  <si>
    <t>1465449033846120453</t>
  </si>
  <si>
    <t>@drfahrettinkoca 190 sayılı KHK'nin “Sağlık Hizmetleri ve Yardımcı Sağlık Hizmetleri Sınıfı cetveli içinde 4597 say… https://t.co/LiEJFyrNb8</t>
  </si>
  <si>
    <t>1465449005509398535</t>
  </si>
  <si>
    <t>@drfahrettinkoca 190 sayılı KHK'nin “Sağlık Hizmetleri ve Yardımcı Sağlık Hizmetleri Sınıfı cetveli içinde 4597 say… https://t.co/AjOOvnIUKr</t>
  </si>
  <si>
    <t>1465448945669320708</t>
  </si>
  <si>
    <t>@drfahrettinkoca 190 sayılı KHK'nin “Sağlık Hizmetleri ve Yardımcı Sağlık Hizmetleri Sınıfı cetveli içinde 4597 say… https://t.co/o4WetRhq16</t>
  </si>
  <si>
    <t>1465448761946161152</t>
  </si>
  <si>
    <t>@drfahrettinkoca 190 sayılı KHK'nin “Sağlık Hizmetleri ve Yardımcı Sağlık Hizmetleri Sınıfı cetveli içinde 4597 say… https://t.co/NMC6c72FfT</t>
  </si>
  <si>
    <t>1465448717012635652</t>
  </si>
  <si>
    <t>@drfahrettinkoca 190 sayılı KHK'nin “Sağlık Hizmetleri ve Yardımcı Sağlık Hizmetleri Sınıfı cetveli içinde 4597 say… https://t.co/sVJFFK5yK6</t>
  </si>
  <si>
    <t>1465448520312369152</t>
  </si>
  <si>
    <t>@drfahrettinkoca 190 sayılı KHK'nin “Sağlık Hizmetleri ve Yardımcı Sağlık Hizmetleri Sınıfı cetveli içinde 4597 say… https://t.co/j7XRAFevRt</t>
  </si>
  <si>
    <t>1465448354775773197</t>
  </si>
  <si>
    <t>@drfahrettinkoca 190 sayılı KHK'nin “Sağlık Hizmetleri ve Yardımcı Sağlık Hizmetleri Sınıfı cetveli içinde 4597 say… https://t.co/PTfJ2sxCMB</t>
  </si>
  <si>
    <t>1465448325935730690</t>
  </si>
  <si>
    <t>@drfahrettinkoca 190 sayılı KHK'nin “Sağlık Hizmetleri ve Yardımcı Sağlık Hizmetleri Sınıfı cetveli içinde 4597 say… https://t.co/hUuxK0bMLe</t>
  </si>
  <si>
    <t>1465448324417347599</t>
  </si>
  <si>
    <t>@drfahrettinkoca 190 sayılı KHK'nin “Sağlık Hizmetleri ve Yardımcı Sağlık Hizmetleri Sınıfı cetveli içinde 4597 say… https://t.co/YuIDQMRUvg</t>
  </si>
  <si>
    <t>1465448238681575586</t>
  </si>
  <si>
    <t>@drfahrettinkoca 190 sayılı KHK'nin “Sağlık Hizmetleri ve Yardımcı Sağlık Hizmetleri Sınıfı cetveli içinde 4597 say… https://t.co/uZtVDfuWhp</t>
  </si>
  <si>
    <t>1465447985521827848</t>
  </si>
  <si>
    <t>@drfahrettinkoca 190 sayılı KHK'nin “Sağlık Hizmetleri ve Yardımcı Sağlık Hizmetleri Sınıfı cetveli içinde 4597 say… https://t.co/98xTfITIqL</t>
  </si>
  <si>
    <t>1465447925732028421</t>
  </si>
  <si>
    <t>@drfahrettinkoca 190 sayılı KHK'nin “Sağlık Hizmetleri ve Yardımcı Sağlık Hizmetleri Sınıfı cetveli içinde 4597 say… https://t.co/E9kIkhzqx1</t>
  </si>
  <si>
    <t>1465447803631681538</t>
  </si>
  <si>
    <t>@drfahrettinkoca 190 sayılı KHK'nin “Sağlık Hizmetleri ve Yardımcı Sağlık Hizmetleri Sınıfı cetveli içinde 4597 say… https://t.co/7HqsAVsomK</t>
  </si>
  <si>
    <t>1465447772648361993</t>
  </si>
  <si>
    <t>@drfahrettinkoca 190 sayılı KHK'nin “Sağlık Hizmetleri ve Yardımcı Sağlık Hizmetleri Sınıfı cetveli içinde 4597 say… https://t.co/XbEs77Dj3N</t>
  </si>
  <si>
    <t>1465447741002235913</t>
  </si>
  <si>
    <t>@drfahrettinkoca 190 sayılı KHK'nin “Sağlık Hizmetleri ve Yardımcı Sağlık Hizmetleri Sınıfı cetveli içinde 4597 say… https://t.co/LGRlZ2MZ7X</t>
  </si>
  <si>
    <t>1465447710497165312</t>
  </si>
  <si>
    <t>@drfahrettinkoca 190 sayılı KHK'nin “Sağlık Hizmetleri ve Yardımcı Sağlık Hizmetleri Sınıfı cetveli içinde 4597 say… https://t.co/QF6i2efwP5</t>
  </si>
  <si>
    <t>1465447676657475594</t>
  </si>
  <si>
    <t>@drfahrettinkoca 190 sayılı KHK'nin “Sağlık Hizmetleri ve Yardımcı Sağlık Hizmetleri Sınıfı cetveli içinde 4597 say… https://t.co/cN9cEGnvfK</t>
  </si>
  <si>
    <t>1465447646370451459</t>
  </si>
  <si>
    <t>@drfahrettinkoca 190 sayılı KHK'nin “Sağlık Hizmetleri ve Yardımcı Sağlık Hizmetleri Sınıfı cetveli içinde 4597 say… https://t.co/jfDgQR9yYU</t>
  </si>
  <si>
    <t>1465447616645414912</t>
  </si>
  <si>
    <t>@drfahrettinkoca 190 sayılı KHK'nin “Sağlık Hizmetleri ve Yardımcı Sağlık Hizmetleri Sınıfı cetveli içinde 4597 say… https://t.co/9TxUIZEPZZ</t>
  </si>
  <si>
    <t>1465447393932062732</t>
  </si>
  <si>
    <t>@drfahrettinkoca 190 sayılı KHK'nin “Sağlık Hizmetleri ve Yardımcı Sağlık Hizmetleri Sınıfı cetveli içinde 4597 say… https://t.co/Q2rleQF2iQ</t>
  </si>
  <si>
    <t>1465447357332480006</t>
  </si>
  <si>
    <t>@drfahrettinkoca Blı KHK'nin “Sağlık Hizmetleri ve Yardımcı Sağlık Hizmetleri Sınıfı cetveli içinde 4597 sayılı nit… https://t.co/0poLEdBwd4</t>
  </si>
  <si>
    <t>1465447307084771330</t>
  </si>
  <si>
    <t>@drfahrettinkoca 190 sayılı KHK'nin “Sağlık Hizmetleri ve Yardımcı Sağlık Hizmetleri Sınıfı cetveli içinde 4597 say… https://t.co/ZUkdLhyhRn</t>
  </si>
  <si>
    <t>1465447246699315205</t>
  </si>
  <si>
    <t>@drfahrettinkoca 190 sayılı KHK'nin “Sağlık Hizmetleri ve Yardımcı Sağlık Hizmetleri Sınıfı cetveli içinde 4597 say… https://t.co/TABXUCPUpF</t>
  </si>
  <si>
    <t>1465447216198336514</t>
  </si>
  <si>
    <t>@drfahrettinkoca 190 sayılı KHK'nin “Sağlık Hizmetleri ve Yardımcı Sağlık Hizmetleri Sınıfı cetveli içinde 4597 say… https://t.co/g9i1VPQQjw</t>
  </si>
  <si>
    <t>1465447178910982145</t>
  </si>
  <si>
    <t>@drfahrettinkoca Teknikerleri perişan ettiniz bu rezil sayılar nedir ya suçumuz üniversite okumak mu ???? @drfahrettinkoca</t>
  </si>
  <si>
    <t>1465447136502374407</t>
  </si>
  <si>
    <t>@drfahrettinkoca 190 sayılı KHK'nin “Sağlık Hizmetleri ve Yardımcı Sağlık Hizmetleri Sınıfı cetveli içinde 4597 say… https://t.co/AEnBX9eCvI</t>
  </si>
  <si>
    <t>1465447129091084291</t>
  </si>
  <si>
    <t>@drfahrettinkoca 190 sayılı KHK'nin “Sağlık Hizmetleri ve Yardımcı Sağlık Hizmetleri Sınıfı cetveli içinde 4597 say… https://t.co/iuVAIh1q9Q</t>
  </si>
  <si>
    <t>1465447077123665920</t>
  </si>
  <si>
    <t>@drfahrettinkoca 190 sayılı KHK'nin “Sağlık Hizmetleri ve Yardımcı Sağlık Hizmetleri Sınıfı cetveli içinde 4597 say… https://t.co/f4N9kJIC2p</t>
  </si>
  <si>
    <t>1465447033989386242</t>
  </si>
  <si>
    <t>@drfahrettinkoca 190 sayılı KHK'nin “Sağlık Hizmetleri ve Yardımcı Sağlık Hizmetleri Sınıfı cetveli içinde 4597 say… https://t.co/TLCzlekS24</t>
  </si>
  <si>
    <t>1465446980457541634</t>
  </si>
  <si>
    <t>@drfahrettinkoca 190 sayılı KHK'nin “Sağlık Hizmetleri ve Yardımcı Sağlık Hizmetleri Sınıfı cetveli içinde 4597 say… https://t.co/v8EA3JsQ17</t>
  </si>
  <si>
    <t>1465446949163876353</t>
  </si>
  <si>
    <t>@drfahrettinkoca 190 sayılı KHK'nin “Sağlık Hizmetleri ve Yardımcı Sağlık Hizmetleri Sınıfı cetveli içinde 4597 say… https://t.co/QBjP99mAjE</t>
  </si>
  <si>
    <t>1465446901151641601</t>
  </si>
  <si>
    <t>@drfahrettinkoca Ölmek istiyorum gerçekten sebebi yapılan haksızlık okumak çare değil köpek gibi çalıştık rezil bir… https://t.co/YJcpFksxuQ</t>
  </si>
  <si>
    <t>1465446831803052041</t>
  </si>
  <si>
    <t>@drfahrettinkoca 190 sayılı KHK'nin “Sağlık Hizmetleri ve Yardımcı Sağlık Hizmetleri Sınıfı cetveli içinde 4597 say… https://t.co/MoMRzEtRYh</t>
  </si>
  <si>
    <t>1465446703423705098</t>
  </si>
  <si>
    <t>@drfahrettinkoca 190 sayılı KHK'nin “Sağlık Hizmetleri ve Yardımcı Sağlık Hizmetleri Sınıfı cetveli içinde 4597 say… https://t.co/wEjf5DXdPN</t>
  </si>
  <si>
    <t>1465446653297668096</t>
  </si>
  <si>
    <t>@drfahrettinkoca 190 sayılı KHK'nin “Sağlık Hizmetleri ve Yardımcı Sağlık Hizmetleri Sınıfı cetveli içinde 4597 say… https://t.co/aLKTNPLi83</t>
  </si>
  <si>
    <t>1465446613619556360</t>
  </si>
  <si>
    <t>@drfahrettinkoca 190 sayılı KHK'nin “Sağlık Hizmetleri ve Yardımcı Sağlık Hizmetleri Sınıfı cetveli içinde 4597 say… https://t.co/TZd6WX0ab1</t>
  </si>
  <si>
    <t>1465446549727633413</t>
  </si>
  <si>
    <t>@drfahrettinkoca 190 sayılı KHK'nin “Sağlık Hizmetleri ve Yardımcı Sağlık Hizmetleri Sınıfı cetveli içinde 4597 say… https://t.co/ybxw48PWFJ</t>
  </si>
  <si>
    <t>1465446501275119625</t>
  </si>
  <si>
    <t>@drfahrettinkoca 190 sayılı KHK'nin “Sağlık Hizmetleri ve Yardımcı Sağlık Hizmetleri Sınıfı cetveli içinde 4597 say… https://t.co/JdT6xBui7A</t>
  </si>
  <si>
    <t>1465446470736400386</t>
  </si>
  <si>
    <t>@drfahrettinkoca 190 sayılı KHK'nin “Sağlık Hizmetleri ve Yardımcı Sağlık Hizmetleri Sınıfı cetveli içinde 4597 say… https://t.co/ExBQcQXW2U</t>
  </si>
  <si>
    <t>1465446422128603147</t>
  </si>
  <si>
    <t>@drfahrettinkoca jyılı KHK'nin “Sağlık Hizmetleri ve Yardımcı Sağlık Hizmetleri Sınıfı cetveli içinde 4597 sayılı n… https://t.co/JbLDNGXTAs</t>
  </si>
  <si>
    <t>1465446374875533312</t>
  </si>
  <si>
    <t>@drfahrettinkoca 190 sayılı KHK'nin “Sağlık Hizmetleri ve Yardımcı Sağlık Hizmetleri Sınıfı cetveli içinde 4597 say… https://t.co/BvARYsaoQs</t>
  </si>
  <si>
    <t>1465446315278712837</t>
  </si>
  <si>
    <t>@drfahrettinkoca 190 sayılı KHK'nin “Sağlık Hizmetleri ve Yardımcı Sağlık Hizmetleri Sınıfı cetveli içinde 4597 say… https://t.co/9uP11lyzRg</t>
  </si>
  <si>
    <t>1465446279832559619</t>
  </si>
  <si>
    <t>@drfahrettinkoca PARAMEDİĞE bu zulmü yapamazsınız ???? Atama bekliyoruz en az 5000 @drfahrettinkoca</t>
  </si>
  <si>
    <t>1465446245435068433</t>
  </si>
  <si>
    <t>@drfahrettinkoca 190 sayılı KHK'nin “Sağlık Hizmetleri ve Yardımcı Sağlık Hizmetleri Sınıfı cetveli içinde 4597 say… https://t.co/4QqmDeGhhn</t>
  </si>
  <si>
    <t>1465446223024902153</t>
  </si>
  <si>
    <t>@drfahrettinkoca 190 sayılı KHK'nin “Sağlık Hizmetleri ve Yardımcı Sağlık Hizmetleri Sınıfı cetveli içinde 4597 say… https://t.co/Ymb7KC4kTw</t>
  </si>
  <si>
    <t>1465446189965393923</t>
  </si>
  <si>
    <t>@drfahrettinkoca 190 sayılı KHK'nin “Sağlık Hizmetleri ve Yardımcı Sağlık Hizmetleri Sınıfı cetveli içinde 4597 say… https://t.co/MEcAzEYryH</t>
  </si>
  <si>
    <t>1465446158927646722</t>
  </si>
  <si>
    <t>@drfahrettinkoca 190 sayılı KHK'nin “Sağlık Hizmetleri ve Yardımcı Sağlık Hizmetleri Sınıfı cetveli içinde 4597 say… https://t.co/A4PGd62osF</t>
  </si>
  <si>
    <t>1465446109757779986</t>
  </si>
  <si>
    <t>@drfahrettinkoca Paramedikleri rezil ettiniz gerçekten hakkımızı helal etmiyoruz sesimizi duymadınız geberelim artı… https://t.co/uPePwL8v7C</t>
  </si>
  <si>
    <t>1465446056330678273</t>
  </si>
  <si>
    <t>@drfahrettinkoca 190 sayılı KHK'nin “Sağlık Hizmetleri ve Yardımcı Sağlık Hizmetleri Sınıfı cetveli içinde 4597 say… https://t.co/9u6nK4uAxS</t>
  </si>
  <si>
    <t>1465445988835995652</t>
  </si>
  <si>
    <t>@drfahrettinkoca 190 sayılı KHK'nin “Sağlık Hizmetleri ve Yardımcı Sağlık Hizmetleri Sınıfı cetveli içinde 4597 say… https://t.co/x6Mgxqf5lD</t>
  </si>
  <si>
    <t>1465445957152165892</t>
  </si>
  <si>
    <t>@drfahrettinkoca 190 sayılı KHK'nin “Sağlık Hizmetleri ve Yardımcı Sağlık Hizmetleri Sınıfı cetveli içinde 4597 say… https://t.co/v9bDx1LvE5</t>
  </si>
  <si>
    <t>1465445929620852742</t>
  </si>
  <si>
    <t>@drfahrettinkoca 190 sayılı KHK'nin “Sağlık Hizmetleri ve Yardımcı Sağlık Hizmetleri Sınıfı cetveli içinde 4597 say… https://t.co/x0MhpOkFkd</t>
  </si>
  <si>
    <t>1465445904983470096</t>
  </si>
  <si>
    <t>@drfahrettinkoca 190 sayılı KHK'nin “Sağlık Hizmetleri ve Yardımcı Sağlık Hizmetleri Sınıfı cetveli içinde 4597 say… https://t.co/JDgKj5PDLc</t>
  </si>
  <si>
    <t>1465445861450817548</t>
  </si>
  <si>
    <t>@drfahrettinkoca 190 sayılı KHK'nin “Sağlık Hizmetleri ve Yardımcı Sağlık Hizmetleri Sınıfı cetveli içinde 4597 say… https://t.co/0AcVo6cg81</t>
  </si>
  <si>
    <t>1465445831113334788</t>
  </si>
  <si>
    <t>@drfahrettinkoca 190 sayılı KHK'nin “Sağlık Hizmetleri ve Yardımcı Sağlık Hizmetleri Sınıfı cetveli içinde 4597 say… https://t.co/TiqkcLE4TS</t>
  </si>
  <si>
    <t>1465445802097225728</t>
  </si>
  <si>
    <t>@drfahrettinkoca 190 sayılı KHK'nin “Sağlık Hizmetleri ve Yardımcı Sağlık Hizmetleri Sınıfı cetveli içinde 4597 say… https://t.co/vrnVtiBUWK</t>
  </si>
  <si>
    <t>1465445765489344513</t>
  </si>
  <si>
    <t>@drfahrettinkoca 190 sayılı KHK'nin “Sağlık Hizmetleri ve Yardımcı Sağlık Hizmetleri Sınıfı cetveli içinde 4597 say… https://t.co/QamwO3ef2i</t>
  </si>
  <si>
    <t>1465445715094740994</t>
  </si>
  <si>
    <t>@drfahrettinkoca 190 sayılı KHK'nin “Sağlık Hizmetleri ve Yardımcı Sağlık Hizmetleri Sınıfı cetveli içinde 4597 say… https://t.co/hBU8hmebBO</t>
  </si>
  <si>
    <t>1465445681812934664</t>
  </si>
  <si>
    <t>@drfahrettinkoca 190 sayılı KHK'nin “Sağlık Hizmetleri ve Yardımcı Sağlık Hizmetleri Sınıfı cetveli içinde 4597 say… https://t.co/QwKhQdS6hp</t>
  </si>
  <si>
    <t>1465445656840052736</t>
  </si>
  <si>
    <t>@drfahrettinkoca Sayın bakanım. Tıbbi sekreterler 3600 + sabitte artış ile genel bütçeye geçirilmesini talep ediyor.</t>
  </si>
  <si>
    <t>1465445639131697160</t>
  </si>
  <si>
    <t>@drfahrettinkoca 190 sayılı KHK'nin “Sağlık Hizmetleri ve Yardımcı Sağlık Hizmetleri Sınıfı cetveli içinde 4597 say… https://t.co/Y6SpStImTF</t>
  </si>
  <si>
    <t>1465445628104921093</t>
  </si>
  <si>
    <t>@drfahrettinkoca 190 sayılı KHK'nin “Sağlık Hizmetleri ve Yardımcı Sağlık Hizmetleri Sınıfı cetveli içinde 4597 say… https://t.co/vLzqwhZxiT</t>
  </si>
  <si>
    <t>1465445602741866505</t>
  </si>
  <si>
    <t>@drfahrettinkoca 190 sayılı KHK'nin “Sağlık Hizmetleri ve Yardımcı Sağlık Hizmetleri Sınıfı cetveli içinde 4597 say… https://t.co/lUegrFHAGH</t>
  </si>
  <si>
    <t>1465445550707326978</t>
  </si>
  <si>
    <t>@drfahrettinkoca 190 sayılı KHK'nin “Sağlık Hizmetleri ve Yardımcı Sağlık Hizmetleri Sınıfı cetveli içinde 4597 say… https://t.co/hq6M3PTM2T</t>
  </si>
  <si>
    <t>1465445473095987206</t>
  </si>
  <si>
    <t>@drfahrettinkoca 190 sayılı KHK'nin “Sağlık Hizmetleri ve Yardımcı Sağlık Hizmetleri Sınıfı cetveli içinde 4597 say… https://t.co/GENgE2iy4Q</t>
  </si>
  <si>
    <t>1465445431719120904</t>
  </si>
  <si>
    <t>@drfahrettinkoca 190 sayılı KHK'nin “Sağlık Hizmetleri ve Yardımcı Sağlık Hizmetleri Sınıfı cetveli içinde 4597 say… https://t.co/HEoFzoB4Oi</t>
  </si>
  <si>
    <t>1465445311183212548</t>
  </si>
  <si>
    <t>@drfahrettinkoca 190 sayılı KHK'nin “Sağlık Hizmetleri ve Yardımcı Sağlık Hizmetleri Sınıfı cetveli içinde 4597 say… https://t.co/KU6fj8UDZe</t>
  </si>
  <si>
    <t>1465445283521826817</t>
  </si>
  <si>
    <t>@drfahrettinkoca 190 sayılı KHK'nin “Sağlık Hizmetleri ve Yardımcı Sağlık Hizmetleri Sınıfı cetveli içinde 4597 say… https://t.co/fwZdGhxXOv</t>
  </si>
  <si>
    <t>1465445256908918789</t>
  </si>
  <si>
    <t>@drfahrettinkoca 190 sayılı KHK'nin “Sağlık Hizmetleri ve Yardımcı Sağlık Hizmetleri Sınıfı cetveli içinde 4597 say… https://t.co/7T7nSCfqVP</t>
  </si>
  <si>
    <t>1465445232867225610</t>
  </si>
  <si>
    <t>@drfahrettinkoca 190 sayılı KHK'nin “Sağlık Hizmetleri ve Yardımcı Sağlık Hizmetleri Sınıfı cetveli içinde 4597 say… https://t.co/5Kr0tZGtFs</t>
  </si>
  <si>
    <t>1465445208523517956</t>
  </si>
  <si>
    <t>@drfahrettinkoca 190 sayılı KHK'nin “Sağlık Hizmetleri ve Yardımcı Sağlık Hizmetleri Sınıfı cetveli içinde 4597 say… https://t.co/2z6TnQr2Et</t>
  </si>
  <si>
    <t>1465445182715965441</t>
  </si>
  <si>
    <t>@drfahrettinkoca 190 sayılı KHK'nin “Sağlık Hizmetleri ve Yardımcı Sağlık Hizmetleri Sınıfı cetveli içinde 4597 say… https://t.co/xxiSivNcTk</t>
  </si>
  <si>
    <t>1465445130803064845</t>
  </si>
  <si>
    <t>@drfahrettinkoca 190 sayılı KHK'nin “Sağlık Hizmetleri ve Yardımcı Sağlık Hizmetleri Sınıfı cetveli içinde 4597 say… https://t.co/9EvzbjWqwi</t>
  </si>
  <si>
    <t>1465445099937091605</t>
  </si>
  <si>
    <t>@drfahrettinkoca 190 sayılı KHK'nin “Sağlık Hizmetleri ve Yardımcı Sağlık Hizmetleri Sınıfı cetveli içinde 4597 say… https://t.co/dnDRjNKf9B</t>
  </si>
  <si>
    <t>1465445070467969028</t>
  </si>
  <si>
    <t>@drfahrettinkoca 190 sayılı KHK'nin “Sağlık Hizmetleri ve Yardımcı Sağlık Hizmetleri Sınıfı cetveli içinde 4597 say… https://t.co/Wwx60Mkuts</t>
  </si>
  <si>
    <t>1465445027845394432</t>
  </si>
  <si>
    <t>@drfahrettinkoca 190 sayılı KHK'nin “Sağlık Hizmetleri ve Yardımcı Sağlık Hizmetleri Sınıfı cetveli içinde 4597 say… https://t.co/zR4Ue0x98h</t>
  </si>
  <si>
    <t>1465445001681424387</t>
  </si>
  <si>
    <t>@drfahrettinkoca 190 sayılı KHK'nin “Sağlık Hizmetleri ve Yardımcı Sağlık Hizmetleri Sınıfı cetveli içinde 4597 say… https://t.co/5PvL4xYvOF</t>
  </si>
  <si>
    <t>1465444968353472524</t>
  </si>
  <si>
    <t>@drfahrettinkoca 190 sayılı KHK'nin “Sağlık Hizmetleri ve Yardımcı Sağlık Hizmetleri Sınıfı cetveli içinde 4597 say… https://t.co/3TATUTHiyR</t>
  </si>
  <si>
    <t>1465444943045050369</t>
  </si>
  <si>
    <t>@drfahrettinkoca 190 sayılı KHK'nin “Sağlık Hizmetleri ve Yardımcı Sağlık Hizmetleri Sınıfı cetveli içinde 4597 say… https://t.co/QcMuYoPdmo</t>
  </si>
  <si>
    <t>1465444871255343111</t>
  </si>
  <si>
    <t>@drfahrettinkoca 190 sayılı KHK'nin “Sağlık Hizmetleri ve Yardımcı Sağlık Hizmetleri Sınıfı cetveli içinde 4597 say… https://t.co/lTFyOU4rqW</t>
  </si>
  <si>
    <t>1465444771204415500</t>
  </si>
  <si>
    <t>@drfahrettinkoca Minister of vaccınes, not health minister</t>
  </si>
  <si>
    <t>1465444751235338242</t>
  </si>
  <si>
    <t>@drfahrettinkoca 190 sayılı KHK'nin “Sağlık Hizmetleri ve Yardımcı Sağlık Hizmetleri Sınıfı cetveli içinde 4597 say… https://t.co/Y5xuWgvWlp</t>
  </si>
  <si>
    <t>1465444747498201090</t>
  </si>
  <si>
    <t>@drfahrettinkoca 190 sayılı KHK'nin “Sağlık Hizmetleri ve Yardımcı Sağlık Hizmetleri Sınıfı cetveli içinde 4597 say… https://t.co/7kQY5v7Ri5</t>
  </si>
  <si>
    <t>1465444595597254661</t>
  </si>
  <si>
    <t>@drfahrettinkoca 190 sayılı KHK'nin “Sağlık Hizmetleri ve Yardımcı Sağlık Hizmetleri Sınıfı cetveli içinde 4597 say… https://t.co/tgQZO8RGmi</t>
  </si>
  <si>
    <t>1465444223851941890</t>
  </si>
  <si>
    <t>@drfahrettinkoca 190 sayılı KHK'nin “Sağlık Hizmetleri ve Yardımcı Sağlık Hizmetleri Sınıfı cetveli içinde 4597 say… https://t.co/TaDDSP9dbj</t>
  </si>
  <si>
    <t>1465444193665523712</t>
  </si>
  <si>
    <t>@drfahrettinkoca 190 sayılı KHK'nin “Sağlık Hizmetleri ve Yardımcı Sağlık Hizmetleri Sınıfı cetveli içinde 4597 say… https://t.co/WG4ukt7cJI</t>
  </si>
  <si>
    <t>1465444166855503872</t>
  </si>
  <si>
    <t>@drfahrettinkoca 190 sayılı KHK'nin “Sağlık Hizmetleri ve Yardımcı Sağlık Hizmetleri Sınıfı cetveli içinde 4597 say… https://t.co/wFa8dSGFPm</t>
  </si>
  <si>
    <t>1465444137218547712</t>
  </si>
  <si>
    <t>@drfahrettinkoca 190 sayılı KHK'nin “Sağlık Hizmetleri ve Yardımcı Sağlık Hizmetleri Sınıfı cetveli içinde 4597 say… https://t.co/ejnp7IlN40</t>
  </si>
  <si>
    <t>1465444107279642629</t>
  </si>
  <si>
    <t>@drfahrettinkoca 190 sayılı KHK'nin “Sağlık Hizmetleri ve Yardımcı Sağlık Hizmetleri Sınıfı cetveli içinde 4597 say… https://t.co/x9yOLdw0Ol</t>
  </si>
  <si>
    <t>1465444083984478218</t>
  </si>
  <si>
    <t>@drfahrettinkoca 190 sayılı KHK'nin “Sağlık Hizmetleri ve Yardımcı Sağlık Hizmetleri Sınıfı cetveli içinde 4597 say… https://t.co/ynttQS2awX</t>
  </si>
  <si>
    <t>1465444061901373445</t>
  </si>
  <si>
    <t>@drfahrettinkoca 190 sayılı KHK'nin “Sağlık Hizmetleri ve Yardımcı Sağlık Hizmetleri Sınıfı cetveli içinde 4597 say… https://t.co/RQfpWtDTXi</t>
  </si>
  <si>
    <t>1465444020113522691</t>
  </si>
  <si>
    <t>@drfahrettinkoca 190 sayılı KHK'nin “Sağlık Hizmetleri ve Yardımcı Sağlık Hizmetleri Sınıfı cetveli içinde 4597 say… https://t.co/Fd1GPL22qp</t>
  </si>
  <si>
    <t>1465443988643663884</t>
  </si>
  <si>
    <t>@drfahrettinkoca 190 sayılı KHK'nin “Sağlık Hizmetleri ve Yardımcı Sağlık Hizmetleri Sınıfı cetveli içinde 4597 say… https://t.co/fOTQzQVbz7</t>
  </si>
  <si>
    <t>1465443928954621960</t>
  </si>
  <si>
    <t>@drfahrettinkoca 190 sayılı KHK'nin “Sağlık Hizmetleri ve Yardımcı Sağlık Hizmetleri Sınıfı cetveli içinde 4597 say… https://t.co/PsTIXqKoDU</t>
  </si>
  <si>
    <t>1465443906326253570</t>
  </si>
  <si>
    <t>@drfahrettinkoca 190 sayılı KHK'nin “Sağlık Hizmetleri ve Yardımcı Sağlık Hizmetleri Sınıfı cetveli içinde 4597 say… https://t.co/iecYY2sQFf</t>
  </si>
  <si>
    <t>1465443880875307012</t>
  </si>
  <si>
    <t>@drfahrettinkoca 190 sayılı KHK'nin “Sağlık Hizmetleri ve Yardımcı Sağlık Hizmetleri Sınıfı cetveli içinde 4597 say… https://t.co/xwF7eC26dN</t>
  </si>
  <si>
    <t>1465443855109611531</t>
  </si>
  <si>
    <t>@drfahrettinkoca 190 sayılı KHK'nin “Sağlık Hizmetleri ve Yardımcı Sağlık Hizmetleri Sınıfı cetveli içinde 4597 say… https://t.co/zpsUtwT7ah</t>
  </si>
  <si>
    <t>1465443807407878149</t>
  </si>
  <si>
    <t>@drfahrettinkoca 190 sayılı KHK'nin “Sağlık Hizmetleri ve Yardımcı Sağlık Hizmetleri Sınıfı cetveli içinde 4597 say… https://t.co/udbwvY2Af9</t>
  </si>
  <si>
    <t>1465443783399591937</t>
  </si>
  <si>
    <t>@drfahrettinkoca 190 sayılı KHK'nin “Sağlık Hizmetleri ve Yardımcı Sağlık Hizmetleri Sınıfı cetveli içinde 4597 say… https://t.co/bPfx1NcESs</t>
  </si>
  <si>
    <t>1465443662259699713</t>
  </si>
  <si>
    <t>@drfahrettinkoca 190 sayılı KHK'nin “Sağlık Hizmetleri ve Yardımcı Sağlık Hizmetleri Sınıfı cetveli içinde 4597 say… https://t.co/DWohvXiib1</t>
  </si>
  <si>
    <t>1465443635894398986</t>
  </si>
  <si>
    <t>@drfahrettinkoca 190 sayılı KHK'nin “Sağlık Hizmetleri ve Yardımcı Sağlık Hizmetleri Sınıfı cetveli içinde 4597 say… https://t.co/8DTJZLEJUj</t>
  </si>
  <si>
    <t>1465443583352360964</t>
  </si>
  <si>
    <t>@drfahrettinkoca 190 sayılı KHK'nin “Sağlık Hizmetleri ve Yardımcı Sağlık Hizmetleri Sınıfı cetveli içinde 4597 say… https://t.co/WMP86CSiaf</t>
  </si>
  <si>
    <t>1465443532752265233</t>
  </si>
  <si>
    <t>@drfahrettinkoca 190 sayılı KHK'nin “Sağlık Hizmetleri ve Yardımcı Sağlık Hizmetleri Sınıfı cetveli içinde 4597 say… https://t.co/o7MVWJkV9F</t>
  </si>
  <si>
    <t>1465443484253528065</t>
  </si>
  <si>
    <t>@drfahrettinkoca 190 sayılı KHK'nin “Sağlık Hizmetleri ve Yardımcı Sağlık Hizmetleri Sınıfı cetveli içinde 4597 say… https://t.co/XeeEffiuRZ</t>
  </si>
  <si>
    <t>1465443458928156675</t>
  </si>
  <si>
    <t>@drfahrettinkoca 190 sayılı KHK'nin “Sağlık Hizmetleri ve Yardımcı Sağlık Hizmetleri Sınıfı cetveli içinde 4597 say… https://t.co/m4ZzJNoGpO</t>
  </si>
  <si>
    <t>1465443426246221835</t>
  </si>
  <si>
    <t>@drfahrettinkoca 190 sayılı KHK'nin “Sağlık Hizmetleri ve Yardımcı Sağlık Hizmetleri Sınıfı cetveli içinde 4597 say… https://t.co/UgmvuaEmOD</t>
  </si>
  <si>
    <t>1465443398014414852</t>
  </si>
  <si>
    <t>@drfahrettinkoca 190 sayılı KHK'nin “Sağlık Hizmetleri ve Yardımcı Sağlık Hizmetleri Sınıfı cetveli içinde 4597 say… https://t.co/3Pza8PwYJH</t>
  </si>
  <si>
    <t>1465443106992664578</t>
  </si>
  <si>
    <t>@drfahrettinkoca 190 sayılı KHK'nin “Sağlık Hizmetleri ve Yardımcı Sağlık Hizmetleri Sınıfı cetveli içinde 4597 say… https://t.co/GFlSvTZFY9</t>
  </si>
  <si>
    <t>1465443084980957195</t>
  </si>
  <si>
    <t>@drfahrettinkoca 190 sayılı KHK'nin “Sağlık Hizmetleri ve Yardımcı Sağlık Hizmetleri Sınıfı cetveli içinde 4597 say… https://t.co/SPE0NX1XtP</t>
  </si>
  <si>
    <t>1465443063417950216</t>
  </si>
  <si>
    <t>@drfahrettinkoca 190 sayılı KHK'nin “Sağlık Hizmetleri ve Yardımcı Sağlık Hizmetleri Sınıfı cetveli içinde 4597 say… https://t.co/X5P589sOoM</t>
  </si>
  <si>
    <t>1465443041662099457</t>
  </si>
  <si>
    <t>@drfahrettinkoca 190 sayılı KHK'nin “Sağlık Hizmetleri ve Yardımcı Sağlık Hizmetleri Sınıfı cetveli içinde 4597 say… https://t.co/Dnfcrcdvxb</t>
  </si>
  <si>
    <t>1465443020216709129</t>
  </si>
  <si>
    <t>@drfahrettinkoca 190 sayılı KHK'nin “Sağlık Hizmetleri ve Yardımcı Sağlık Hizmetleri Sınıfı cetveli içinde 4597 say… https://t.co/ine7kbea6h</t>
  </si>
  <si>
    <t>1465442999622635522</t>
  </si>
  <si>
    <t>@drfahrettinkoca 190 sayılı KHK'nin “Sağlık Hizmetleri ve Yardımcı Sağlık Hizmetleri Sınıfı cetveli içinde 4597 say… https://t.co/PQvND2WGFj</t>
  </si>
  <si>
    <t>1465442979070550019</t>
  </si>
  <si>
    <t>@drfahrettinkoca 190 sayılı KHK'nin “Sağlık Hizmetleri ve Yardımcı Sağlık Hizmetleri Sınıfı cetveli içinde 4597 say… https://t.co/FfWmlT47RN</t>
  </si>
  <si>
    <t>1465442957734072331</t>
  </si>
  <si>
    <t>@drfahrettinkoca 190 sayılı KHK'nin “Sağlık Hizmetleri ve Yardımcı Sağlık Hizmetleri Sınıfı cetveli içinde 4597 say… https://t.co/GJQYJPfYSz</t>
  </si>
  <si>
    <t>1465442937794449414</t>
  </si>
  <si>
    <t>@drfahrettinkoca 190 sayılı KHK'nin “Sağlık Hizmetleri ve Yardımcı Sağlık Hizmetleri Sınıfı cetveli içinde 4597 say… https://t.co/DchaGD7Swp</t>
  </si>
  <si>
    <t>1465442915057033224</t>
  </si>
  <si>
    <t>@drfahrettinkoca 190 sayılı KHK'nin “Sağlık Hizmetleri ve Yardımcı Sağlık Hizmetleri Sınıfı cetveli içinde 4597 say… https://t.co/81qTpiGhZc</t>
  </si>
  <si>
    <t>1465442894383403011</t>
  </si>
  <si>
    <t>@drfahrettinkoca 190 sayılı KHK'nin “Sağlık Hizmetleri ve Yardımcı Sağlık Hizmetleri Sınıfı cetveli içinde 4597 say… https://t.co/cVv7jIPKfh</t>
  </si>
  <si>
    <t>1465442872812048396</t>
  </si>
  <si>
    <t>@drfahrettinkoca 190 sayılı KHK'nin “Sağlık Hizmetleri ve Yardımcı Sağlık Hizmetleri Sınıfı cetveli içinde 4597 say… https://t.co/YX9ip16Zh2</t>
  </si>
  <si>
    <t>1465442830768386052</t>
  </si>
  <si>
    <t>@drfahrettinkoca 190 sayılı KHK'nin “Sağlık Hizmetleri ve Yardımcı Sağlık Hizmetleri Sınıfı cetveli içinde 4597 say… https://t.co/rtqiIKnc3I</t>
  </si>
  <si>
    <t>1465442807322136576</t>
  </si>
  <si>
    <t>@drfahrettinkoca 190 sayılı KHK'nin “Sağlık Hizmetleri ve Yardımcı Sağlık Hizmetleri Sınıfı cetveli içinde 4597 say… https://t.co/dBmoGo1H7i</t>
  </si>
  <si>
    <t>1465442643580706825</t>
  </si>
  <si>
    <t>@drfahrettinkoca 190 sayılı KHK'nin “Sağlık Hizmetleri ve Yardımcı Sağlık Hizmetleri Sınıfı cetveli içinde 4597 say… https://t.co/yaWW3GIK8P</t>
  </si>
  <si>
    <t>1465442611452420104</t>
  </si>
  <si>
    <t>@drfahrettinkoca 190 sayılı KHK'nin “Sağlık Hizmetleri ve Yardımcı Sağlık Hizmetleri Sınıfı cetveli içinde 4597 say… https://t.co/s81lmBJGjs</t>
  </si>
  <si>
    <t>1465442587104497679</t>
  </si>
  <si>
    <t>@drfahrettinkoca 190 sayılı KHK'nin “Sağlık Hizmetleri ve Yardımcı Sağlık Hizmetleri Sınıfı cetveli içinde 4597 say… https://t.co/zQVyEw6Q6k</t>
  </si>
  <si>
    <t>1465442566896291853</t>
  </si>
  <si>
    <t>@drfahrettinkoca 190 sayılı KHK'nin “Sağlık Hizmetleri ve Yardımcı Sağlık Hizmetleri Sınıfı cetveli içinde 4597 say… https://t.co/EuESU55i7Z</t>
  </si>
  <si>
    <t>1465442545228525569</t>
  </si>
  <si>
    <t>@drfahrettinkoca 190 sayılı KHK'nin “Sağlık Hizmetleri ve Yardımcı Sağlık Hizmetleri Sınıfı cetveli içinde 4597 say… https://t.co/3M26AZV7CO</t>
  </si>
  <si>
    <t>1465442524680667151</t>
  </si>
  <si>
    <t>@drfahrettinkoca 190 sayılı KHK'nin “Sağlık Hizmetleri ve Yardımcı Sağlık Hizmetleri Sınıfı cetveli içinde 4597 say… https://t.co/JsksC3yLlW</t>
  </si>
  <si>
    <t>1465442503931351042</t>
  </si>
  <si>
    <t>@drfahrettinkoca 190 sayılı KHK'nin “Sağlık Hizmetleri ve Yardımcı Sağlık Hizmetleri Sınıfı cetveli içinde 4597 say… https://t.co/SCQz4tdxZe</t>
  </si>
  <si>
    <t>1465442482427248640</t>
  </si>
  <si>
    <t>@drfahrettinkoca 190 sayılı KHK'nin “Sağlık Hizmetleri ve Yardımcı Sağlık Hizmetleri Sınıfı cetveli içinde 4597 say… https://t.co/4hZv8QQzI3</t>
  </si>
  <si>
    <t>1465442453952077828</t>
  </si>
  <si>
    <t>@drfahrettinkoca 190 sayılı KHK'nin “Sağlık Hizmetleri ve Yardımcı Sağlık Hizmetleri Sınıfı cetveli içinde 4597 say… https://t.co/nrsHcNt7g1</t>
  </si>
  <si>
    <t>1465442423140757506</t>
  </si>
  <si>
    <t>@drfahrettinkoca 190 sayılı KHK'nin “Sağlık Hizmetleri ve Yardımcı Sağlık Hizmetleri Sınıfı cetveli içinde 4597 say… https://t.co/eHFpzEB4vg</t>
  </si>
  <si>
    <t>1465442376219082754</t>
  </si>
  <si>
    <t>@drfahrettinkoca 190 sayılı KHK'nin “Sağlık Hizmetleri ve Yardımcı Sağlık Hizmetleri Sınıfı cetveli içinde 4597 say… https://t.co/lwtE3PCWUt</t>
  </si>
  <si>
    <t>1465442356254097408</t>
  </si>
  <si>
    <t>@drfahrettinkoca 190 sayılı KHK'nin “Sağlık Hizmetleri ve Yardımcı Sağlık Hizmetleri Sınıfı cetveli içinde 4597 say… https://t.co/NcxUINlm7q</t>
  </si>
  <si>
    <t>1465442335572082688</t>
  </si>
  <si>
    <t>@drfahrettinkoca 190 sayılı KHK'nin “Sağlık Hizmetleri ve Yardımcı Sağlık Hizmetleri Sınıfı cetveli içinde 4597 say… https://t.co/HLQHZl0aD6</t>
  </si>
  <si>
    <t>1465442297181519878</t>
  </si>
  <si>
    <t>@drfahrettinkoca 190 sayılı KHK'nin “Sağlık Hizmetleri ve Yardımcı Sağlık Hizmetleri Sınıfı cetveli içinde 4597 say… https://t.co/QdCdwleXef</t>
  </si>
  <si>
    <t>1465442274540757003</t>
  </si>
  <si>
    <t>@drfahrettinkoca 190 sayılı KHK'nin “Sağlık Hizmetleri ve Yardımcı Sağlık Hizmetleri Sınıfı cetveli içinde 4597 say… https://t.co/0dCQ6leJzY</t>
  </si>
  <si>
    <t>1465442252000481280</t>
  </si>
  <si>
    <t>@drfahrettinkoca 190 sayılı KHK'nin “Sağlık Hizmetleri ve Yardımcı Sağlık Hizmetleri Sınıfı cetveli içinde 4597 say… https://t.co/m8QlqnZxgB</t>
  </si>
  <si>
    <t>1465442229821059076</t>
  </si>
  <si>
    <t>@drfahrettinkoca 190 sayılı KHK'nin “Sağlık Hizmetleri ve Yardımcı Sağlık Hizmetleri Sınıfı cetveli içinde 4597 say… https://t.co/yVrXTPtV1R</t>
  </si>
  <si>
    <t>1465442208857960449</t>
  </si>
  <si>
    <t>@drfahrettinkoca 190 sayılı KHK'nin “Sağlık Hizmetleri ve Yardımcı Sağlık Hizmetleri Sınıfı cetveli içinde 4597 say… https://t.co/ajCwu28wYE</t>
  </si>
  <si>
    <t>1465442169183997966</t>
  </si>
  <si>
    <t>@drfahrettinkoca 190 sayılı KHK'nin “Sağlık Hizmetleri ve Yardımcı Sağlık Hizmetleri Sınıfı cetveli içinde 4597 say… https://t.co/QpTHHSC84d</t>
  </si>
  <si>
    <t>1465442147126099968</t>
  </si>
  <si>
    <t>@drfahrettinkoca 190 sayılı KHK'nin “Sağlık Hizmetleri ve Yardımcı Sağlık Hizmetleri Sınıfı cetveli içinde 4597 say… https://t.co/KalN1eSwEN</t>
  </si>
  <si>
    <t>1465442123055079432</t>
  </si>
  <si>
    <t>@drfahrettinkoca 190 sayılı KHK'nin “Sağlık Hizmetleri ve Yardımcı Sağlık Hizmetleri Sınıfı cetveli içinde 4597 say… https://t.co/JURcKL76b8</t>
  </si>
  <si>
    <t>1465442098577129481</t>
  </si>
  <si>
    <t>@drfahrettinkoca 190 sayılı KHK'nin “Sağlık Hizmetleri ve Yardımcı Sağlık Hizmetleri Sınıfı cetveli içinde 4597 say… https://t.co/y6qP1ipGTE</t>
  </si>
  <si>
    <t>1465442077358104582</t>
  </si>
  <si>
    <t>@drfahrettinkoca 190 sayılı KHK'nin “Sağlık Hizmetleri ve Yardımcı Sağlık Hizmetleri Sınıfı cetveli içinde 4597 say… https://t.co/kv2QxO095J</t>
  </si>
  <si>
    <t>1465442055853907968</t>
  </si>
  <si>
    <t>@drfahrettinkoca 190 sayılı KHK'nin “Sağlık Hizmetleri ve Yardımcı Sağlık Hizmetleri Sınıfı cetveli içinde 4597 say… https://t.co/U6Q9rrr7d4</t>
  </si>
  <si>
    <t>1465442034580340736</t>
  </si>
  <si>
    <t>@drfahrettinkoca 190 sayılı KHK'nin “Sağlık Hizmetleri ve Yardımcı Sağlık Hizmetleri Sınıfı cetveli içinde 4597 say… https://t.co/BFAWtzMdsC</t>
  </si>
  <si>
    <t>1465442013722075136</t>
  </si>
  <si>
    <t>@drfahrettinkoca 190 sayılı KHK'nin “Sağlık Hizmetleri ve Yardımcı Sağlık Hizmetleri Sınıfı cetveli içinde 4597 say… https://t.co/bL7EWb2YB5</t>
  </si>
  <si>
    <t>1465441974492749827</t>
  </si>
  <si>
    <t>@drfahrettinkoca 190 sayılı KHK'nin “Sağlık Hizmetleri ve Yardımcı Sağlık Hizmetleri Sınıfı cetveli içinde 4597 say… https://t.co/MAIsuwA8yl</t>
  </si>
  <si>
    <t>1465441954523750408</t>
  </si>
  <si>
    <t>@drfahrettinkoca 190 sayılı KHK'nin “Sağlık Hizmetleri ve Yardımcı Sağlık Hizmetleri Sınıfı cetveli içinde 4597 say… https://t.co/4emLnNl3Vj</t>
  </si>
  <si>
    <t>1465441934068137988</t>
  </si>
  <si>
    <t>@drfahrettinkoca 190 sayılı KHK'nin “Sağlık Hizmetleri ve Yardımcı Sağlık Hizmetleri Sınıfı cetveli içinde 4597 say… https://t.co/LJdgAfvAlr</t>
  </si>
  <si>
    <t>1465441910370279428</t>
  </si>
  <si>
    <t>@drfahrettinkoca 190 sayılı KHK'nin “Sağlık Hizmetleri ve Yardımcı Sağlık Hizmetleri Sınıfı cetveli içinde 4597 say… https://t.co/bvDBA9YmXg</t>
  </si>
  <si>
    <t>1465441888870219784</t>
  </si>
  <si>
    <t>@drfahrettinkoca 190 sayılı KHK'nin “Sağlık Hizmetleri ve Yardımcı Sağlık Hizmetleri Sınıfı cetveli içinde 4597 say… https://t.co/byCShSk6Uq</t>
  </si>
  <si>
    <t>1465441862844571652</t>
  </si>
  <si>
    <t>@drfahrettinkoca 190 sayılı KHK'nin “Sağlık Hizmetleri ve Yardımcı Sağlık Hizmetleri Sınıfı cetveli içinde 4597 say… https://t.co/X3BqiONeA2</t>
  </si>
  <si>
    <t>1465441809639919628</t>
  </si>
  <si>
    <t>@drfahrettinkoca 190 sayılı KHK'nin “Sağlık Hizmetleri ve Yardımcı Sağlık Hizmetleri Sınıfı cetveli içinde 4597 say… https://t.co/FEWLFn7hWG</t>
  </si>
  <si>
    <t>1465441789129678849</t>
  </si>
  <si>
    <t>@drfahrettinkoca 190 sayılı KHK'nin “Sağlık Hizmetleri ve Yardımcı Sağlık Hizmetleri Sınıfı cetveli içinde 4597 say… https://t.co/GvGTM5Uuzw</t>
  </si>
  <si>
    <t>1465441766992232457</t>
  </si>
  <si>
    <t>@drfahrettinkoca 190 sayılı KHK'nin “Sağlık Hizmetleri ve Yardımcı Sağlık Hizmetleri Sınıfı cetveli içinde 4597 say… https://t.co/S13O3DksAn</t>
  </si>
  <si>
    <t>1465441744254812162</t>
  </si>
  <si>
    <t>@drfahrettinkoca 190 sayılı KHK'nin “Sağlık Hizmetleri ve Yardımcı Sağlık Hizmetleri Sınıfı cetveli içinde 4597 say… https://t.co/Oe2iW7KTnG</t>
  </si>
  <si>
    <t>1465441716970967045</t>
  </si>
  <si>
    <t>@drfahrettinkoca 190 sayılı KHK'nin “Sağlık Hizmetleri ve Yardımcı Sağlık Hizmetleri Sınıfı cetveli içinde 4597 say… https://t.co/3aoDl8SG9f</t>
  </si>
  <si>
    <t>1465441670208622595</t>
  </si>
  <si>
    <t>@drfahrettinkoca 190 sayılı KHK'nin “Sağlık Hizmetleri ve Yardımcı Sağlık Hizmetleri Sınıfı cetveli içinde 4597 say… https://t.co/6CZrnR9LBM</t>
  </si>
  <si>
    <t>1465441644841480192</t>
  </si>
  <si>
    <t>@drfahrettinkoca 190 sayılı KHK'nin “Sağlık Hizmetleri ve Yardımcı Sağlık Hizmetleri Sınıfı cetveli içinde 4597 say… https://t.co/YLS1qDrM4N</t>
  </si>
  <si>
    <t>1465441595466080259</t>
  </si>
  <si>
    <t>@drfahrettinkoca 190 sayılı KHK'nin “Sağlık Hizmetleri ve Yardımcı Sağlık Hizmetleri Sınıfı cetveli içinde 4597 say… https://t.co/vfjv3UMAiC</t>
  </si>
  <si>
    <t>1465441569461391361</t>
  </si>
  <si>
    <t>@drfahrettinkoca 190 sayılı KHK'nin “Sağlık Hizmetleri ve Yardımcı Sağlık Hizmetleri Sınıfı cetveli içinde 4597 say… https://t.co/FSPTzgT8w0</t>
  </si>
  <si>
    <t>1465441548716359699</t>
  </si>
  <si>
    <t>@drfahrettinkoca 190 sayılı KHK'nin “Sağlık Hizmetleri ve Yardımcı Sağlık Hizmetleri Sınıfı cetveli içinde 4597 say… https://t.co/wqFBq7gupw</t>
  </si>
  <si>
    <t>1465441520195194891</t>
  </si>
  <si>
    <t>@drfahrettinkoca 190 sayılı KHK'nin “Sağlık Hizmetleri ve Yardımcı Sağlık Hizmetleri Sınıfı cetveli içinde 4597 say… https://t.co/jwRmqPm2H4</t>
  </si>
  <si>
    <t>1465441495629115396</t>
  </si>
  <si>
    <t>@drfahrettinkoca 190 sayılı KHK'nin “Sağlık Hizmetleri ve Yardımcı Sağlık Hizmetleri Sınıfı cetveli içinde 4597 say… https://t.co/bcD2CXhATR</t>
  </si>
  <si>
    <t>1465441471306387465</t>
  </si>
  <si>
    <t>@drfahrettinkoca 190 sayılı KHK'nin “Sağlık Hizmetleri ve Yardımcı Sağlık Hizmetleri Sınıfı cetveli içinde 4597 say… https://t.co/QEO4NpRO4h</t>
  </si>
  <si>
    <t>1465441444211175431</t>
  </si>
  <si>
    <t>@drfahrettinkoca 190 sayılı KHK'nin “Sağlık Hizmetleri ve Yardımcı Sağlık Hizmetleri Sınıfı cetveli içinde 4597 say… https://t.co/CL11k0gis5</t>
  </si>
  <si>
    <t>1465441419489914890</t>
  </si>
  <si>
    <t>@drfahrettinkoca 190 sayılı KHK'nin “Sağlık Hizmetleri ve Yardımcı Sağlık Hizmetleri Sınıfı cetveli içinde 4597 say… https://t.co/UNzbC4wbNb</t>
  </si>
  <si>
    <t>1465441378612260867</t>
  </si>
  <si>
    <t>@drfahrettinkoca 190 sayılı KHK'nin “Sağlık Hizmetleri ve Yardımcı Sağlık Hizmetleri Sınıfı cetveli içinde 4597 say… https://t.co/QkpJwKZaCH</t>
  </si>
  <si>
    <t>1465441356906700807</t>
  </si>
  <si>
    <t>@drfahrettinkoca 190 sayılı KHK'nin “Sağlık Hizmetleri ve Yardımcı Sağlık Hizmetleri Sınıfı cetveli içinde 4597 say… https://t.co/3iiuVhPtGr</t>
  </si>
  <si>
    <t>1465441329794719744</t>
  </si>
  <si>
    <t>@drfahrettinkoca 190 sayılı KHK'nin “Sağlık Hizmetleri ve Yardımcı Sağlık Hizmetleri Sınıfı cetveli içinde 4597 say… https://t.co/Y06MI0iSGy</t>
  </si>
  <si>
    <t>1465441302116548608</t>
  </si>
  <si>
    <t>@drfahrettinkoca 190 sayılı KHK'nin “Sağlık Hizmetleri ve Yardımcı Sağlık Hizmetleri Sınıfı cetveli içinde 4597 say… https://t.co/GjhAMfjVMK</t>
  </si>
  <si>
    <t>1465441195291774980</t>
  </si>
  <si>
    <t>@drfahrettinkoca 190 sayılı KHK'nin “Sağlık Hizmetleri ve Yardımcı Sağlık Hizmetleri Sınıfı cetveli içinde 4597 say… https://t.co/a6sYJd97DG</t>
  </si>
  <si>
    <t>1465441187083558914</t>
  </si>
  <si>
    <t>@drfahrettinkoca 190 sayılı KHK'nin “Sağlık Hizmetleri ve Yardımcı Sağlık Hizmetleri Sınıfı cetveli içinde 4597 say… https://t.co/jF5rDlQQmG</t>
  </si>
  <si>
    <t>1465441136080826369</t>
  </si>
  <si>
    <t>@drfahrettinkoca 190 sayılı KHK'nin “Sağlık Hizmetleri ve Yardımcı Sağlık Hizmetleri Sınıfı cetveli içinde 4597 say… https://t.co/kUwcKAczeo</t>
  </si>
  <si>
    <t>1465441099737141255</t>
  </si>
  <si>
    <t>@drfahrettinkoca 190 sayılı KHK'nin “Sağlık Hizmetleri ve Yardımcı Sağlık Hizmetleri Sınıfı cetveli içinde 4597 say… https://t.co/TWQSPQiqau</t>
  </si>
  <si>
    <t>1465441068875407363</t>
  </si>
  <si>
    <t>@drfahrettinkoca Sağlıkcılara özel sektöre eş durumu tayini vermediginiz sürece bir saglıkcıdan oy alamayacaksınız.… https://t.co/5bGXs6ozL9</t>
  </si>
  <si>
    <t>1465793813276995588</t>
  </si>
  <si>
    <t>@drfahrettinkoca Bu aşı işinde tüm dünyada bi fırıldak dönüyor dso mudur nedir tüm dünyayı bindirdi bi kayığa habir… https://t.co/IKEHmsVou3</t>
  </si>
  <si>
    <t>1465468885860237312</t>
  </si>
  <si>
    <t>@drfahrettinkoca Varyantın sahibi afrikanın bir endişesi yok bence sizde sakin olun</t>
  </si>
  <si>
    <t>1465467715876007945</t>
  </si>
  <si>
    <t>@drfahrettinkoca Ne gibi tedbirler alıyorsunuz? Kapalı yerlerde insanlar maskesiz …geçen gün dolmuşa bindim iki sen… https://t.co/oLELHRj2Ap</t>
  </si>
  <si>
    <t>1465467715079094277</t>
  </si>
  <si>
    <t>@drfahrettinkoca Corona öldürmez, ilaçlar ve aşılar öldürür.. siz evinde coronadan ölen birisini gördünüz yada duydunuz mu ?</t>
  </si>
  <si>
    <t>1465463546746228743</t>
  </si>
  <si>
    <t>@drfahrettinkoca Dsö ye inanan bir insan dünyanın en saf insanıdır</t>
  </si>
  <si>
    <t>1465463221398159375</t>
  </si>
  <si>
    <t>@drfahrettinkoca sen bizim dostumuzmusun düşmanımızmısın belli değil</t>
  </si>
  <si>
    <t>1465462972424327172</t>
  </si>
  <si>
    <t>@drfahrettinkoca Hay senin varyantını....inanmiyoruZzz https://t.co/RCnk5Y9KTC</t>
  </si>
  <si>
    <t>1465458907564982272</t>
  </si>
  <si>
    <t>@drfahrettinkoca Hala aşısızların pandemisi mi sayın bakan?</t>
  </si>
  <si>
    <t>1465454354803183618</t>
  </si>
  <si>
    <t>@drfahrettinkoca Aşı almanyada bulundu almanlar hastalıktan tek tek öteki tarafa gidiyor vaka sayıları uçuk. Yeni v… https://t.co/gWoa8l5Gwc</t>
  </si>
  <si>
    <t>1465449008957116418</t>
  </si>
  <si>
    <t>@drfahrettinkoca Benim babam aşı dediğiniz ZEHİRDEN ÖLDÜ, ailesi olarak size ancak şunu söyleyeceğim; Allah da sizi… https://t.co/uKlBXjBWga</t>
  </si>
  <si>
    <t>1465449004616060942</t>
  </si>
  <si>
    <t>@drfahrettinkoca Bu iblis hepinizi parmağında oynatıyor! Ve siz bu pislik herifi bilime hizmet ediyor mu sanıyorsun… https://t.co/awA3Yw4VLp</t>
  </si>
  <si>
    <t>1465448763749814273</t>
  </si>
  <si>
    <t>@drfahrettinkoca DSÖ para verecek bir daha düşün sayın bakan belki vardır varyant:))</t>
  </si>
  <si>
    <t>1465448329765134337</t>
  </si>
  <si>
    <t>@drfahrettinkoca Gelecek nesil olarak bu varyantlar hepimizi riske atmaktadır online eğitime geçilmesi tüm bu yayıl… https://t.co/VXzh10wJO4</t>
  </si>
  <si>
    <t>1465444705093787656</t>
  </si>
  <si>
    <t>@drfahrettinkoca Vaka Sayılarını Gizlemeyin Kardeşim #MebYokKurtulusUzaktanEğitim</t>
  </si>
  <si>
    <t>1465443957840781313</t>
  </si>
  <si>
    <t>@drfahrettinkoca sayın bakanım biontec olduk çok pişmanız keşke yerli aşı daha evvel çıksaydı</t>
  </si>
  <si>
    <t>1465443635156168705</t>
  </si>
  <si>
    <t>@drfahrettinkoca İstifa ettttttt!</t>
  </si>
  <si>
    <t>1465442596474568705</t>
  </si>
  <si>
    <t>@drfahrettinkoca Hangi ara araştırdınız nasıl tedbir aldınız Bundan sonraki varyant hangisi belli mi?  Ne aşıymış a… https://t.co/ADeklV2ePH</t>
  </si>
  <si>
    <t>1465811578620686339</t>
  </si>
  <si>
    <t>@drfahrettinkoca Covidte gözlemlenen variyantlar yani mutasyona uğraması bence iye bir işaret. Bu işaretler covidin… https://t.co/eLB31TUz2N</t>
  </si>
  <si>
    <t>1465806649969496064</t>
  </si>
  <si>
    <t>@drfahrettinkoca İnsanlar bu kovid varken okulla gidip eve geliyor sonra ailesine bulaştırıyor şuan en mantıklı seç… https://t.co/1yiLZEP9i2</t>
  </si>
  <si>
    <t>1465795990678556672</t>
  </si>
  <si>
    <t>@drfahrettinkoca Sağlıkcılara özel sektöre eş durumu tayini vermediginiz sürece bir saglıkcıdan oy alamayacaksınız.… https://t.co/kAK8I6ld3r</t>
  </si>
  <si>
    <t>1465793833271238658</t>
  </si>
  <si>
    <t>@drfahrettinkoca Sağlıkcılara özel sektöre eş durumu tayini vermediginiz sürece bir saglıkcıdan oy alamayacaksınız.… https://t.co/JLgf4PVJXB</t>
  </si>
  <si>
    <t>1465793877399461891</t>
  </si>
  <si>
    <t>@drfahrettinkoca 40 binlik alımda SAĞLIK YÖNETİMİ bölümünün de içerisinde olduğu adil bir atama istiyoruz sn. bakanım</t>
  </si>
  <si>
    <t>1465793177688944652</t>
  </si>
  <si>
    <t>@drfahrettinkoca 40 binlik alımda SAĞLIK YÖNETİMİ bölümünün de içerisinde olduğu adil bir atama istiyoruz sn bakanım</t>
  </si>
  <si>
    <t>1465793122747789319</t>
  </si>
  <si>
    <t>1465793087062650882</t>
  </si>
  <si>
    <t>1465793049443901441</t>
  </si>
  <si>
    <t>@drfahrettinkoca Siz, hastahaneler ve doktorlala ilgilenin lütfen.  Bursa Çekrige Devlet Hastahanesinde bir Dahiliy… https://t.co/gtKkBkaypd</t>
  </si>
  <si>
    <t>1465448884659003401</t>
  </si>
  <si>
    <t>@drfahrettinkoca O konuyada yetiştin, aşıyı katmadın hayret</t>
  </si>
  <si>
    <t>1465442451645210630</t>
  </si>
  <si>
    <t>@drfahrettinkoca Sağlıkcılara özel sektöre eş durumu tayini vermediginiz sürece bir saglıkcıdan oy alamayacaksınız.… https://t.co/mmTcTSiW4N</t>
  </si>
  <si>
    <t>1465793853542342668</t>
  </si>
  <si>
    <t>@drfahrettinkoca https://t.co/7VaxGm4bIe</t>
  </si>
  <si>
    <t>1465104944877424641</t>
  </si>
  <si>
    <t>@drfahrettinkoca 🤭🤭🤭neden ayrıldı ne oldu</t>
  </si>
  <si>
    <t>1465078700664369155</t>
  </si>
  <si>
    <t>@drfahrettinkoca Bırakın bakan olmayı unutun sadece elinizi vicdanınıza koyun ve kendi çocuklarını düşünün. 40 kişi… https://t.co/eazVNVusTl</t>
  </si>
  <si>
    <t>1465074397472034820</t>
  </si>
  <si>
    <t>@drfahrettinkoca Arkadaş sen ne diyorsun Adam trafik kazası geçiriyor hastaneye kaldırıldı test yaptırıyorlar tam e… https://t.co/PjulXlccNb</t>
  </si>
  <si>
    <t>1465069743233282053</t>
  </si>
  <si>
    <t>@drfahrettinkoca Avrupa sıkıntı yasamasin diye Afgan Suriyeli al. Avrupa'nın covid hastalarını al. Nereye kadar sayın koca</t>
  </si>
  <si>
    <t>1465066845438988292</t>
  </si>
  <si>
    <t>@drfahrettinkoca Neden iki doz aşılı olmalarına rağmen vefat eden öğretmenlere baş sağlığı dilemiyorsunuz #MebYökKurtuluşUzaktanEğitim</t>
  </si>
  <si>
    <t>1465062110837280780</t>
  </si>
  <si>
    <t>@drfahrettinkoca Neden iki doz aşılı olmalarına rağmen vefat eden öğretmenlere baş sağlığı dilemiyorsunuz #MebYökKurtuluşOnlineEğitim</t>
  </si>
  <si>
    <t>1465060748883857413</t>
  </si>
  <si>
    <t>@drfahrettinkoca Bakan bey biz hangi varyantı olacaz omicron mu ? Nu mu ? niye arka arkaya çıkarıyorsunuz birini ol… https://t.co/YuWO24IDPz</t>
  </si>
  <si>
    <t>1465060529387495425</t>
  </si>
  <si>
    <t>@drfahrettinkoca Yeni Virusun filmi bile varmış Bbeehhhh... bbeeehhh.... Hemide 1963 yapımı . . 😁 https://t.co/XtubPYXhFY</t>
  </si>
  <si>
    <t>1465056969518166018</t>
  </si>
  <si>
    <t>@drfahrettinkoca Darısı...😁</t>
  </si>
  <si>
    <t>1465050635389259781</t>
  </si>
  <si>
    <t>@drfahrettinkoca Sayın Hocam ve Bakanım,Tus’a okul başarı puanı eklenmesi büyük bir haksızlık yaratır çünkü fakülte… https://t.co/afxh6rRAgg</t>
  </si>
  <si>
    <t>1465050145452695556</t>
  </si>
  <si>
    <t>@drfahrettinkoca Allah rahmet eylesin Ailesine sabırlar diliyorum</t>
  </si>
  <si>
    <t>1465049702496362502</t>
  </si>
  <si>
    <t>@drfahrettinkoca Aşıdan ölmüştür</t>
  </si>
  <si>
    <t>1465049180385259534</t>
  </si>
  <si>
    <t>@drfahrettinkoca Sayın bakanım işyerlerinde şantiyelerde aşısız insan calıştırıyorlar.Biran önce sıkı önlem alınmal… https://t.co/JNdoKmbRvW</t>
  </si>
  <si>
    <t>1465048948595376153</t>
  </si>
  <si>
    <t>1465044871400640522</t>
  </si>
  <si>
    <t>@drfahrettinkoca Sağlıkcılara özel sektöre eş durumu tayini vermediginiz sürece bir saglıkcıdan oy alamayacaksınız.… https://t.co/xPcbT2BxMq</t>
  </si>
  <si>
    <t>1465793915290898432</t>
  </si>
  <si>
    <t>@drfahrettinkoca Tablo fake olduğu için olabilir mi? Tüm dünyada artış var biz sabit devam... Bana ilk başlarda ki… https://t.co/NIq2FCc53x</t>
  </si>
  <si>
    <t>1465106439777792005</t>
  </si>
  <si>
    <t>@drfahrettinkoca Hes uygulaması yüklediğim ilk vaka sayılarına baktığım ve maske taktığım güne lanet olsun bitirin… https://t.co/4Kak4QiCNh</t>
  </si>
  <si>
    <t>1465106379652354061</t>
  </si>
  <si>
    <t>@drfahrettinkoca Sayın hocam, aşı, kişiyi korusa da, salgın ortamından çıkış için çok etkili değil. Kaldı ki vaka a… https://t.co/ehvmbycigS</t>
  </si>
  <si>
    <t>1465106336606310402</t>
  </si>
  <si>
    <t>@drfahrettinkoca Sanane, sen vurun asini korun. Birak ben de kanunı hakkımı kullanayim ve deney sıvısını kabul etmeyeyim.</t>
  </si>
  <si>
    <t>1465102815748149249</t>
  </si>
  <si>
    <t>@drfahrettinkoca Adil dağılımlı kimsenin mağdur edilmediği yüksek puanların ziyan olmadığı bir alım talep ediyor ve… https://t.co/uy0mLFfAx1</t>
  </si>
  <si>
    <t>1465099816288104451</t>
  </si>
  <si>
    <t>@drfahrettinkoca Vakaların 30 binlerden aşağı düşme sebebi okulların bir müdlet kapalı olmasından kaynaklı okullar… https://t.co/U9pEepyPdv</t>
  </si>
  <si>
    <t>1465097924610768897</t>
  </si>
  <si>
    <t>@drfahrettinkoca Dsö Dünya ile dalgamı geçiyor ilk önce varyant endişe verici deyip ortalığı paniğe sokuyor piyasal… https://t.co/76HdfZflmO</t>
  </si>
  <si>
    <t>1465097365149614080</t>
  </si>
  <si>
    <t>@drfahrettinkoca Okullar uzaktan eğitime ne zaman geçicek?Omricon varyantı gelmek üzereyken...</t>
  </si>
  <si>
    <t>1465094315227725828</t>
  </si>
  <si>
    <t>@drfahrettinkoca Aşı yokken bu kadar vaka yoktu ne iş aşı salgını artiriyormu ne dersiniz</t>
  </si>
  <si>
    <t>1465091153620000768</t>
  </si>
  <si>
    <t>@drfahrettinkoca Boşa kürek sallıyorsun Fahriye evcon</t>
  </si>
  <si>
    <t>1465090442358362120</t>
  </si>
  <si>
    <t>@drfahrettinkoca Ben inanmıyorum bu rakamlara yazık yazık iş işten geçtikten sonra ne yapayım ben tedbiri hangi hay… https://t.co/zVF93ONbwh</t>
  </si>
  <si>
    <t>1465088046769098754</t>
  </si>
  <si>
    <t>@drfahrettinkoca Tek bildiği bı varyant çıktığında hemen kisitlamaya gidelim diyo bı hemen kolaya kaciyor bunu biri… https://t.co/CT7mrcATCL</t>
  </si>
  <si>
    <t>1465087729344163840</t>
  </si>
  <si>
    <t>@drfahrettinkoca Bakan koca bu Mehmet Ceyhan denen felaket tellali yine ortaya çıktı bu kime hizmet ediyor tek bild… https://t.co/5UoCNL01cD</t>
  </si>
  <si>
    <t>1465086570537664512</t>
  </si>
  <si>
    <t>@drfahrettinkoca Sayın Bakan bakın Dünya Sağlık Örgütü varyantları açıklamış geçmiş gelecek, ama ne hikmetse senin… https://t.co/Hw2OJgSZPR</t>
  </si>
  <si>
    <t>1465085263827374087</t>
  </si>
  <si>
    <t>@drfahrettinkoca Verilerin gerçek olduğunu nasıl bilebiliriz. Daha öncede çok oynandı. Bu ülkede istatistik bilimin… https://t.co/gCPEsYCq0g</t>
  </si>
  <si>
    <t>1465084840861184015</t>
  </si>
  <si>
    <t>@drfahrettinkoca Hastanelerde randevu yok. Olanlarda uzakta en az 15 20 güne anca çıkıyor. Sağlıkta devrim yaptınız… https://t.co/Fc3amZy5El</t>
  </si>
  <si>
    <t>1465083746068180994</t>
  </si>
  <si>
    <t>@drfahrettinkoca Ölümler 70 80 lerde kapanma vardı sayın bakan, şimdi günlük 200 düşmeyen ölümlere bu kadar rahatsı… https://t.co/AHIsg23kuv</t>
  </si>
  <si>
    <t>1465083296753274880</t>
  </si>
  <si>
    <t>@drfahrettinkoca (o))) al bunu Fahri</t>
  </si>
  <si>
    <t>1465082100382633989</t>
  </si>
  <si>
    <t>@drfahrettinkoca Fahrettin bey ne olur turkiye de asilamadan once,asilamadan sonra ki vaka,hastaneye yatis ve olum… https://t.co/KhhsIgN8LW</t>
  </si>
  <si>
    <t>1465081766146985992</t>
  </si>
  <si>
    <t>@drfahrettinkoca Önceden kanserden ölen çoktu şimdi kovit ve kalp kırizi</t>
  </si>
  <si>
    <t>1465081254416637957</t>
  </si>
  <si>
    <t>@drfahrettinkoca Kovit oldum ilaçları içmedim 1 yıl oldu 1 ay önce babamı kovitten 15 gün hastanede baktım hiç mask… https://t.co/WPn3ntnZRo</t>
  </si>
  <si>
    <t>1465080790983843843</t>
  </si>
  <si>
    <t>@drfahrettinkoca https://t.co/NmN50Iay6h</t>
  </si>
  <si>
    <t>1465076148182913027</t>
  </si>
  <si>
    <t>@drfahrettinkoca https://t.co/0jDGlNGaIm</t>
  </si>
  <si>
    <t>1465076116633309185</t>
  </si>
  <si>
    <t>@drfahrettinkoca https://t.co/MjdiOouLl8</t>
  </si>
  <si>
    <t>1465076096953638914</t>
  </si>
  <si>
    <t>@drfahrettinkoca https://t.co/ysT35lHMhB</t>
  </si>
  <si>
    <t>1465076062438793217</t>
  </si>
  <si>
    <t>@drfahrettinkoca https://t.co/I7cOpw0Ucz</t>
  </si>
  <si>
    <t>1465076054473822221</t>
  </si>
  <si>
    <t>@drfahrettinkoca Aşilarla insan vücuduna virusmu enjekte ediyorlar anlamadım hastalık çoğalıyor</t>
  </si>
  <si>
    <t>1465075046989414403</t>
  </si>
  <si>
    <t>@drfahrettinkoca https://t.co/QYv3Fe2nDc</t>
  </si>
  <si>
    <t>1465074929389510663</t>
  </si>
  <si>
    <t>@drfahrettinkoca https://t.co/14h5YWgKXM</t>
  </si>
  <si>
    <t>1465074485615280136</t>
  </si>
  <si>
    <t>@drfahrettinkoca https://t.co/WWm5fAxu7J</t>
  </si>
  <si>
    <t>1465074208883552259</t>
  </si>
  <si>
    <t>@drfahrettinkoca https://t.co/Q0CBczhb2B</t>
  </si>
  <si>
    <t>1465074200448802831</t>
  </si>
  <si>
    <t>1465073949155508228</t>
  </si>
  <si>
    <t>@drfahrettinkoca Kılavuzu bekliyoruz Bakanım çok bekledik vakti gelmedi mi</t>
  </si>
  <si>
    <t>1465073882403123202</t>
  </si>
  <si>
    <t>@drfahrettinkoca https://t.co/NnGE2Q3i6t</t>
  </si>
  <si>
    <t>1465073805517279237</t>
  </si>
  <si>
    <t>@drfahrettinkoca https://t.co/39qSjRgdc0</t>
  </si>
  <si>
    <t>1465073786009665540</t>
  </si>
  <si>
    <t>@drfahrettinkoca https://t.co/pwJFes0NaE</t>
  </si>
  <si>
    <t>1465073772231368707</t>
  </si>
  <si>
    <t>@drfahrettinkoca Sayın bakan aşılar yapıldıkça varyantlar da paralel bir şekilde ilerliyor.daha ne kadar aşılama ya… https://t.co/lcG2cmc9jU</t>
  </si>
  <si>
    <t>1465073735640260615</t>
  </si>
  <si>
    <t>@drfahrettinkoca Klavuzu verin bakan bey, çıldırmama ramak kaldı artık . @drfahrettinkoca</t>
  </si>
  <si>
    <t>1465073482723729417</t>
  </si>
  <si>
    <t>@drfahrettinkoca Yalancılar dütlesinmi yaf yetmedimi bu pilandemi oyunu kocaman hefendi sen yalanı boşverde aşînın… https://t.co/odyFVIfGVY</t>
  </si>
  <si>
    <t>1465072951326298115</t>
  </si>
  <si>
    <t>@drfahrettinkoca Sayın Bakan mevcut aşılar nu(omicron) varyantına karşı korur mu bizi?  Uğur Şahin bu varyantı da d… https://t.co/P7LW7Ctg7y</t>
  </si>
  <si>
    <t>1465071094151454722</t>
  </si>
  <si>
    <t>@drfahrettinkoca Bu tweetleri yazanı değiştirmeli!</t>
  </si>
  <si>
    <t>1465070363482771456</t>
  </si>
  <si>
    <t>@drfahrettinkoca Sayın bakan vatandaşın gündeminden Covid çıkmıştır.</t>
  </si>
  <si>
    <t>1465070235233525765</t>
  </si>
  <si>
    <t>@drfahrettinkoca Sayın bakan, eskisi gibi artık sorulara cevap vermiyor olmanız, ölü taklidi yapıyor olmanız hangi… https://t.co/dU8iEBPGHV</t>
  </si>
  <si>
    <t>1465066812404637699</t>
  </si>
  <si>
    <t>@drfahrettinkoca Karantina dediniz eyvallah  Kısıtlama dedeniz eyvallah Aşı dediniz eyvallah  Ama vatandaş herşeyde… https://t.co/LfKqc87QqO</t>
  </si>
  <si>
    <t>1465066308861628417</t>
  </si>
  <si>
    <t>@drfahrettinkoca #MebYokOnlineEğitimHakkımız</t>
  </si>
  <si>
    <t>1465066057178271750</t>
  </si>
  <si>
    <t>@drfahrettinkoca https://t.co/y9EgqrjuBJ</t>
  </si>
  <si>
    <t>1465065013295685632</t>
  </si>
  <si>
    <t>@drfahrettinkoca https://t.co/pOuzjrXG4G</t>
  </si>
  <si>
    <t>1465064983058960389</t>
  </si>
  <si>
    <t>@drfahrettinkoca Sayın bakanım kışın Balkanlar’dan Kar gelirdi. Şimdi siz hastalık getirmeyi teklif ediyorsunuz Han… https://t.co/nAP6Pa7PtO</t>
  </si>
  <si>
    <t>1465064964880752641</t>
  </si>
  <si>
    <t>@drfahrettinkoca https://t.co/LcJfEat2EU</t>
  </si>
  <si>
    <t>1465064951370981389</t>
  </si>
  <si>
    <t>@drfahrettinkoca https://t.co/SeM0FzFq8t</t>
  </si>
  <si>
    <t>1465064908941414401</t>
  </si>
  <si>
    <t>@drfahrettinkoca https://t.co/VfnDBNBtnk</t>
  </si>
  <si>
    <t>1465064883758764041</t>
  </si>
  <si>
    <t>@drfahrettinkoca https://t.co/QiYJu9Xe1O</t>
  </si>
  <si>
    <t>1465064859909898251</t>
  </si>
  <si>
    <t>@drfahrettinkoca https://t.co/jLY2l4GwEG</t>
  </si>
  <si>
    <t>1465064842050551812</t>
  </si>
  <si>
    <t>@drfahrettinkoca Ben 3 aşısını da yaptıran bir vatandaş olarak yatan ve ölen hastaların aşı yaptırıp yaptırmadıklar… https://t.co/OlIqQIck70</t>
  </si>
  <si>
    <t>1465063714562920449</t>
  </si>
  <si>
    <t>@drfahrettinkoca Size güvenmiyoruz!!!</t>
  </si>
  <si>
    <t>1465063622019895300</t>
  </si>
  <si>
    <t>@drfahrettinkoca Su unverse ve okullar kapansin artik</t>
  </si>
  <si>
    <t>1465062965644873733</t>
  </si>
  <si>
    <t>@drfahrettinkoca Yeni varyanta karşı Biontech 3. aşı randevumuzu 6 aylık sürenin geçmesini beklemeden artık alabils… https://t.co/6Pg9ae75QT</t>
  </si>
  <si>
    <t>1465060261241536521</t>
  </si>
  <si>
    <t>@drfahrettinkoca İlk iki hafta önemli diye diye kandırdınız vatandaşı,vatandaşın artık size güveni  yok</t>
  </si>
  <si>
    <t>1465060231877218304</t>
  </si>
  <si>
    <t>@drfahrettinkoca Kafa bir dunya, dunya alarmdaaaa</t>
  </si>
  <si>
    <t>1465059236522741760</t>
  </si>
  <si>
    <t>@drfahrettinkoca Sanırım urfa %100 aşılanmış! Vaka sayısı az bakanım.</t>
  </si>
  <si>
    <t>1465059102757994504</t>
  </si>
  <si>
    <t>@drfahrettinkoca Aşı için yaptırım yok hiçbir önlem yok hergün resmi verilere göre bir uçak dolusu insanımız ölüyor… https://t.co/H2RsnEop7i</t>
  </si>
  <si>
    <t>1465058244653690882</t>
  </si>
  <si>
    <t>@drfahrettinkoca Sn bakanm #Malatya Sehit Mehmet Kilinc Diş Hast. 2 yildir sadece dis cekimi yapiyor, diğer islemle… https://t.co/Hx1CFcMrS2</t>
  </si>
  <si>
    <t>1465054173892952068</t>
  </si>
  <si>
    <t>@drfahrettinkoca HDP nın barış sloganları, CHP'nin özgürlük çığırtkanlığı, saadetin milli görüşü nasıl boşsa Sağlık… https://t.co/rF7PZTtw89</t>
  </si>
  <si>
    <t>1465053803594584078</t>
  </si>
  <si>
    <t>@drfahrettinkoca Allah sizlere kolay ölüm nasip etmesin insAllah iki doz aşıladiginiz abim miyokardit oldu.6 yasind… https://t.co/0sIsUomGQe</t>
  </si>
  <si>
    <t>1465053745700610057</t>
  </si>
  <si>
    <t>@drfahrettinkoca İşe yaramadığı kesin olan aşı için insanları zorlamanız çok manidar. İlaç mümessilleri bakanlıktan çıkmıyor galiba</t>
  </si>
  <si>
    <t>1465053191981211660</t>
  </si>
  <si>
    <t>@drfahrettinkoca Bakmazsanız bulamazsınız!Avrupa alarma geçti.Bizde tık yok.Bunca serbestlik ve kuralsızlıkla olmad… https://t.co/937dHdjoVB</t>
  </si>
  <si>
    <t>1465052902322577414</t>
  </si>
  <si>
    <t>@drfahrettinkoca Dün bir tablo hazırlıyorum baktım baktım ciddi değişiklik göremedim, sonra ne göreyim verileri gir… https://t.co/PO3X6uWgVj</t>
  </si>
  <si>
    <t>1465052028112146438</t>
  </si>
  <si>
    <t>@drfahrettinkoca Ciddi degiskenlik gorunmuyor demek salgini kontrol altina alamiyoruz vakalar hep yuksek demenin yumusatilmis hali</t>
  </si>
  <si>
    <t>1465051131818688519</t>
  </si>
  <si>
    <t>@drfahrettinkoca Keşke istifa etsen...</t>
  </si>
  <si>
    <t>1465050262670819337</t>
  </si>
  <si>
    <t>@drfahrettinkoca Öğrenciler 10 saat maske taksın toplu taşımaya bindin okul kapanmasın ama bizde insan olalım biz i… https://t.co/V36nSwA4xY</t>
  </si>
  <si>
    <t>1465048158015303697</t>
  </si>
  <si>
    <t>@drfahrettinkoca Asinizinda sizin de Allah belasını versin  milletin başına bu yalancıyı bela ettiniz @Akparti… https://t.co/eCmCvdTXhT</t>
  </si>
  <si>
    <t>1465047821715968007</t>
  </si>
  <si>
    <t>@drfahrettinkoca Korkuyla alınan eğitimden ne bekliyorsunuz  türkiyede ne ekonomi ne sağlık nede eğitim kaldı oysa… https://t.co/9VVwiE3SU3</t>
  </si>
  <si>
    <t>1465047624264962055</t>
  </si>
  <si>
    <t>@drfahrettinkoca https://t.co/IH7Mg2EUSR Bu devletin sağlık bakanlığının ve tarım bakanlığının sağlığınızı, adalet… https://t.co/VKUP7KJDlG</t>
  </si>
  <si>
    <t>1465047333847109635</t>
  </si>
  <si>
    <t>@drfahrettinkoca Sayın bakan omicron varyantını geç haber vermişler ayıp etmişler. https://t.co/mQ2T8liCDo</t>
  </si>
  <si>
    <t>1465046808737062924</t>
  </si>
  <si>
    <t>@drfahrettinkoca Yükledim fakat bişey gelmedi neden</t>
  </si>
  <si>
    <t>1465793496183447555</t>
  </si>
  <si>
    <t>@drfahrettinkoca https://t.co/3vLG9YQQWd</t>
  </si>
  <si>
    <t>1465450551156617225</t>
  </si>
  <si>
    <t>@drfahrettinkoca Corona olanlar ne kadar ağırlaşırsa ağırlaşsın sakın ama sakın hastaneye gitmesinler. Evinizde kal… https://t.co/XZgnaNbAzY</t>
  </si>
  <si>
    <t>1465104528471207943</t>
  </si>
  <si>
    <t>@drfahrettinkoca Dünya sağlık örgütüne güvenmiyorum diyen babayiğit bir sağlık bakanı istiyoruz..</t>
  </si>
  <si>
    <t>1465103943755837445</t>
  </si>
  <si>
    <t>@drfahrettinkoca BU DEFA BÜYÜK HARF İLE YORUM YAPALİMDA BELKİ GÖRÜR !   SORU: AŞI OLANLAR CORONAYI HAFİF ATLATACAK… https://t.co/B9pIqlp4Lh</t>
  </si>
  <si>
    <t>1465103457610780681</t>
  </si>
  <si>
    <t>@drfahrettinkoca Corona tespit edilenlere yüksek dozda verilen ilaçlar ile bağışıklık sistemleri çökertildi ve ölüm… https://t.co/UVYlnZlyLv</t>
  </si>
  <si>
    <t>1465102825663389703</t>
  </si>
  <si>
    <t>@drfahrettinkoca https://t.co/FVoTgVvAgV</t>
  </si>
  <si>
    <t>1465102575695544329</t>
  </si>
  <si>
    <t>@drfahrettinkoca https://t.co/cpFyoUREg0</t>
  </si>
  <si>
    <t>1465100375929851907</t>
  </si>
  <si>
    <t>@drfahrettinkoca Evet devletimiz her zaman yanımızda ilacımızı alıyrz ama sma hastasının sorunu bitmiyr maalesef kr… https://t.co/k2nNzAOk8T</t>
  </si>
  <si>
    <t>1465099617507463170</t>
  </si>
  <si>
    <t>@drfahrettinkoca Covit i atlatanlarin 3yil icinde yan rahatsizliklardan öleceğini hangi kanita gore soyluyorsunuz a… https://t.co/GLtiQGmyIM</t>
  </si>
  <si>
    <t>1465092322237026310</t>
  </si>
  <si>
    <t>@drfahrettinkoca https://t.co/8HiB3veWO6</t>
  </si>
  <si>
    <t>1465083970190721030</t>
  </si>
  <si>
    <t>@drfahrettinkoca Çıkmazsa küserim</t>
  </si>
  <si>
    <t>1465081796375326727</t>
  </si>
  <si>
    <t>@drfahrettinkoca Vay vayyy gelismeler var.  Gerçekler er geç ne kadar saklasak da  ortaya çıkar . Aldığın beddualar… https://t.co/F9IJ4AeUsZ</t>
  </si>
  <si>
    <t>1465080610876239882</t>
  </si>
  <si>
    <t>@drfahrettinkoca Şu son cümleniz Aşılara kılıf yemezler...</t>
  </si>
  <si>
    <t>1465080479217033225</t>
  </si>
  <si>
    <t>@drfahrettinkoca Benim anladigim su ; her onune gelene pozitif deyip koronaya yakalndiniz deniliyor ve genelde topl… https://t.co/Uo3vnM1Q8G</t>
  </si>
  <si>
    <t>1465076840062758916</t>
  </si>
  <si>
    <t>@drfahrettinkoca https://t.co/BLMZiupnnZ</t>
  </si>
  <si>
    <t>1465076223831384066</t>
  </si>
  <si>
    <t>@drfahrettinkoca https://t.co/WbaGGgmudl</t>
  </si>
  <si>
    <t>1465076208455110659</t>
  </si>
  <si>
    <t>@drfahrettinkoca https://t.co/wFumTfREdB</t>
  </si>
  <si>
    <t>1465076181376581636</t>
  </si>
  <si>
    <t>@drfahrettinkoca https://t.co/g543MxGzcD</t>
  </si>
  <si>
    <t>1465076173583626240</t>
  </si>
  <si>
    <t>@drfahrettinkoca https://t.co/kDn7TOK92N</t>
  </si>
  <si>
    <t>1465074506981068800</t>
  </si>
  <si>
    <t>@drfahrettinkoca https://t.co/wPfyOFVywe</t>
  </si>
  <si>
    <t>1465074237350330369</t>
  </si>
  <si>
    <t>@drfahrettinkoca https://t.co/ou6NvxftM8</t>
  </si>
  <si>
    <t>1465074230396084227</t>
  </si>
  <si>
    <t>@drfahrettinkoca https://t.co/RDBEIvCPkV</t>
  </si>
  <si>
    <t>1465073865374187520</t>
  </si>
  <si>
    <t>@drfahrettinkoca https://t.co/KkcgwPBYnO</t>
  </si>
  <si>
    <t>1465073848030748676</t>
  </si>
  <si>
    <t>@drfahrettinkoca https://t.co/mrhZ94Zldv</t>
  </si>
  <si>
    <t>1465073836249042952</t>
  </si>
  <si>
    <t>@drfahrettinkoca Corona nın gözü kör olsun bakan bey seni neden teyet geçiyor. Miletti perişan ettin Allah ta sizleri perişan etsin</t>
  </si>
  <si>
    <t>1465070549986693124</t>
  </si>
  <si>
    <t>@drfahrettinkoca Deney sıvılarının,ilaçların ilerde yol açacağı sıkıntılar diyelim bence👍🏻</t>
  </si>
  <si>
    <t>1465069504770330625</t>
  </si>
  <si>
    <t>@drfahrettinkoca Pcr =yazı tura</t>
  </si>
  <si>
    <t>1465068431426961415</t>
  </si>
  <si>
    <t>@drfahrettinkoca Neymiş Solesenizde öğrensek biliyorsunuz ki bu kelimeyi kullanıyorsunuz bari son zarlarinizda dokulun...</t>
  </si>
  <si>
    <t>1465068062756020229</t>
  </si>
  <si>
    <t>@drfahrettinkoca Eeee! Sayın Bakan</t>
  </si>
  <si>
    <t>1465067078927646720</t>
  </si>
  <si>
    <t>@drfahrettinkoca Dedi tüm halkını labaratuvar faresi muamelesi yapan kişi. Biz ters de yaptirmiyoruz. Öylelerinizde… https://t.co/QUT3peGV75</t>
  </si>
  <si>
    <t>1465066100895399942</t>
  </si>
  <si>
    <t>@drfahrettinkoca Covidin yıkıcı etkisi;aşıdan sonra 8-9 a katladı ölüm sayıları. Gayet açıklayıcı herşey plana göre… https://t.co/ovLLFLo7H5</t>
  </si>
  <si>
    <t>1465065605837602822</t>
  </si>
  <si>
    <t>@drfahrettinkoca Aşı yan etkilerinin etkisi mi Sayın Bakan ?</t>
  </si>
  <si>
    <t>1465065569066139656</t>
  </si>
  <si>
    <t>@drfahrettinkoca https://t.co/E5sNeB17mY</t>
  </si>
  <si>
    <t>1465065222775918606</t>
  </si>
  <si>
    <t>@drfahrettinkoca https://t.co/8ydTI6ie5k</t>
  </si>
  <si>
    <t>1465065196137947146</t>
  </si>
  <si>
    <t>@drfahrettinkoca https://t.co/rZcWzU64ZY</t>
  </si>
  <si>
    <t>1465065161371365378</t>
  </si>
  <si>
    <t>@drfahrettinkoca https://t.co/nRWWhe4tPn</t>
  </si>
  <si>
    <t>1465065140563464199</t>
  </si>
  <si>
    <t>@drfahrettinkoca https://t.co/kOWN86BCqJ</t>
  </si>
  <si>
    <t>1465065118614671365</t>
  </si>
  <si>
    <t>@drfahrettinkoca https://t.co/OSsfoF8atb</t>
  </si>
  <si>
    <t>1465065100457488391</t>
  </si>
  <si>
    <t>@drfahrettinkoca https://t.co/ZLsqBuhjtE</t>
  </si>
  <si>
    <t>1465065088415678480</t>
  </si>
  <si>
    <t>@drfahrettinkoca https://t.co/BCHR3efdsd</t>
  </si>
  <si>
    <t>1465065080421330955</t>
  </si>
  <si>
    <t>@drfahrettinkoca https://t.co/oTxch7XzXs</t>
  </si>
  <si>
    <t>1465065037182214144</t>
  </si>
  <si>
    <t>@drfahrettinkoca Herkes yanlisin farkinda,bilim kurulu sucu size,siz sucu dso ya ,dso da sucu muhtemelen yarasaya a… https://t.co/GTG7q3qaXl</t>
  </si>
  <si>
    <t>1465064572012875779</t>
  </si>
  <si>
    <t>@drfahrettinkoca Sayın bakan hiçbir vatandaş size güvenmiyor sizin vermiş olduğunuz tedavi protokolüne hiçbir hasta… https://t.co/EEoPbigyFb</t>
  </si>
  <si>
    <t>1465064570049994755</t>
  </si>
  <si>
    <t>@drfahrettinkoca Ne oldu sıkıştırmalar başlayınca ben öyle demiştim ben böyle demiştimler mi başladı. Ne oldu etekl… https://t.co/3Y1rfuIaR1</t>
  </si>
  <si>
    <t>1465064496179945473</t>
  </si>
  <si>
    <t>@drfahrettinkoca Diğer hastalıklar ne olacak,covitten ölme riskim çatıdan başıma kiremit düş e riskinden azken nede… https://t.co/Nbv7uttq49</t>
  </si>
  <si>
    <t>1465064169783410694</t>
  </si>
  <si>
    <t>@drfahrettinkoca Sayın Bakan, Pcr denilen o testin, doğru sonuç vermediğini artık görün.</t>
  </si>
  <si>
    <t>1465063719864520708</t>
  </si>
  <si>
    <t>@drfahrettinkoca Ne dediğini anlayan var mı?  Ülkede günlük ölümler ve nedenleri bellidir. Adam evinde kalp krizind… https://t.co/e4OlVTXhEe</t>
  </si>
  <si>
    <t>1465063448245686273</t>
  </si>
  <si>
    <t>@drfahrettinkoca korona çıkalı 2 yıl oldu hastalık yan etki tespiti varmı yok, aşı gibi</t>
  </si>
  <si>
    <t>1465063202765611014</t>
  </si>
  <si>
    <t>@drfahrettinkoca Yazık . Koskoca Türkiye Cımhuriyeti devleti DSÖ denen hayduta teslim olmuş. PCR nedir sayın bakan?… https://t.co/6aaLYmTPRn</t>
  </si>
  <si>
    <t>1465062683179466766</t>
  </si>
  <si>
    <t>@drfahrettinkoca Kendi eceliyle hayatını yitiren sizin deyiminizle ölen insanları da covidden öldü diye neredeyse i… https://t.co/FCQFnad0wt</t>
  </si>
  <si>
    <t>1465062493311676416</t>
  </si>
  <si>
    <t>@drfahrettinkoca İtiraf gibi açıklama (verilen ilaçlar sonrasında insanların öleceğini söylemek ve olumsuz yan etki… https://t.co/PrVhXmzqfP</t>
  </si>
  <si>
    <t>1465058274403880965</t>
  </si>
  <si>
    <t>@drfahrettinkoca Hoca halen itaatkarlığına devam etmektesin sen, eşin, çocukların, yakın akrabaların bu deneysel sı… https://t.co/7OHF2utRxV</t>
  </si>
  <si>
    <t>1465058193856503809</t>
  </si>
  <si>
    <t>@drfahrettinkoca https://t.co/7vR5huXvbQ</t>
  </si>
  <si>
    <t>1465057854415683584</t>
  </si>
  <si>
    <t>@drfahrettinkoca Takılan maskeler tozlu ortam maskesi . Ama gel gör ki o kadar marifetli ki virüsleri engelliyor.ol… https://t.co/87M3oPWdrx</t>
  </si>
  <si>
    <t>1465057552153169925</t>
  </si>
  <si>
    <t>@drfahrettinkoca Güney Afrika başbakanı; ''Yalanlar yalanlar, biz burada Güney Afrika'da gayet iyiyiz, burda varyan… https://t.co/A2dyiswisE</t>
  </si>
  <si>
    <t>1465057478652174344</t>
  </si>
  <si>
    <t>@drfahrettinkoca Verdiğiniz ilaçların işe yaramadığını öğrendikten sonra covid hastalığının ileride bırakacağı cidd… https://t.co/o8i6wg8N5c</t>
  </si>
  <si>
    <t>1465057268798574592</t>
  </si>
  <si>
    <t>@drfahrettinkoca Neden pcr yi esas alıyoruz. 1000 defa doğru ölçüm yapmadığı ispat edilen bir test e güvenerek vaka… https://t.co/HwWG8mwSJP</t>
  </si>
  <si>
    <t>1465054876560408580</t>
  </si>
  <si>
    <t>@drfahrettinkoca Ulan be en ağır küfürleri hakeden insan ! Aşı olanlarda, 8+8 favirapir dayattiklarinizda ilerde ci… https://t.co/T7gVDpJb6F</t>
  </si>
  <si>
    <t>1465053190911664131</t>
  </si>
  <si>
    <t>@drfahrettinkoca Biolojik silah olan virusle olmeyenleri kullanilan ve hastalara zorla icirilen 8 adet ilacla oldur… https://t.co/gKhYbKwGlm</t>
  </si>
  <si>
    <t>1465051483284594699</t>
  </si>
  <si>
    <t>@drfahrettinkoca Ne olduğu belli olmayan sözde aşı dediğiniz o sıvıların yan etkilerini de açıklasanız keşke</t>
  </si>
  <si>
    <t>1465049716027273218</t>
  </si>
  <si>
    <t>@drfahrettinkoca https://t.co/uAnPkXXS2v</t>
  </si>
  <si>
    <t>1465049389504905217</t>
  </si>
  <si>
    <t>@drfahrettinkoca Vallahide billahide ben bugüne kadar hasta olmadim, fakat 1.doz zorunlu mecbur kaldığım için yaptı… https://t.co/dbFAcTlVr5</t>
  </si>
  <si>
    <t>1465048076956094467</t>
  </si>
  <si>
    <t>@drfahrettinkoca Evet bir birlerine pas lar başladı</t>
  </si>
  <si>
    <t>1465047301093740554</t>
  </si>
  <si>
    <t>@drfahrettinkoca Örnek alınan pcr testi aynı gün aynı saat içinde verilen test birinci pozitif ikinci negatif. https://t.co/BgQduca6J8</t>
  </si>
  <si>
    <t>1465047252527898626</t>
  </si>
  <si>
    <t>@drfahrettinkoca Yuhhhh be yuhhh size. Sıvıların yan etkilerini nasılda çarpıtıyorsunuz.</t>
  </si>
  <si>
    <t>1465047064069431305</t>
  </si>
  <si>
    <t>@drfahrettinkoca Corona yuzunden erken tanı olmaması yada yarıda kalan tedaviler yuzunden ölenlere sebep olanların Allah belasını versin</t>
  </si>
  <si>
    <t>1465046768849240070</t>
  </si>
  <si>
    <t>@drfahrettinkoca Baştan beri sorulan ama yanıt vermediğiniz BİR SORU VAR!  Biz dünyanın öbür ucundaki ülkelerin say… https://t.co/TyhYY7QjGM</t>
  </si>
  <si>
    <t>1465046593481191438</t>
  </si>
  <si>
    <t>@drfahrettinkoca aşıyı takiben üç yıl içinde çıkacak rahatsızlıklar o işte covidi geçirenler değil !!</t>
  </si>
  <si>
    <t>1465045556628176901</t>
  </si>
  <si>
    <t>@drfahrettinkoca aşıların ortaya çıkaracağı yan etkilerden bahsediyor üstü kapalı</t>
  </si>
  <si>
    <t>1465045194059964428</t>
  </si>
  <si>
    <t>@drfahrettinkoca Sayın Bakanım öncelikle  selam ve saygılarımı gönderiyorum. Sayın meral hanım 'ın sizi eleştirel o… https://t.co/KQmLsy4iCG</t>
  </si>
  <si>
    <t>1466527305124044809</t>
  </si>
  <si>
    <t>@drfahrettinkoca Sağlıkcılara özel sektöre eş durumu tayini vermediginiz sürece bir saglıkcıdan oy alamayacaksınız.… https://t.co/dObpoAgY7T</t>
  </si>
  <si>
    <t>1465793939508764678</t>
  </si>
  <si>
    <t>@drfahrettinkoca Bu iyi haber 👏🏻👏🏻</t>
  </si>
  <si>
    <t>1465105806563622913</t>
  </si>
  <si>
    <t>@drfahrettinkoca Ha şöyle, salgın plandemi maske Hes cavitaşı Saçmalığını bırak, adam gibi işini yap. Bak bakalım b… https://t.co/sZuCvSOwWG</t>
  </si>
  <si>
    <t>1465100523066081284</t>
  </si>
  <si>
    <t>@drfahrettinkoca Bakan ayakta uyuyo aşılar bir işe yaramıyor deneysel sıvıyı İNSANLARA enjekte etmeyeyi bırakın bunlar insan</t>
  </si>
  <si>
    <t>1465095605332676615</t>
  </si>
  <si>
    <t>@drfahrettinkoca Günaydın</t>
  </si>
  <si>
    <t>1465082998857080850</t>
  </si>
  <si>
    <t>@drfahrettinkoca Sayın bakanım  @drfahrettinkoca sadece sma değil tüm genetik geçişli hastalıkların evlilik öncesi taranması gerekiyor 🙏🏻</t>
  </si>
  <si>
    <t>1465082862059888647</t>
  </si>
  <si>
    <t>@drfahrettinkoca @siyah_beyaz1983 SMA lı çocuklarımızın zaman aleyhine işliyor.maddi yetersizliği olan aileler daha… https://t.co/xgDYaT1Q6a</t>
  </si>
  <si>
    <t>1465082121723256832</t>
  </si>
  <si>
    <t>@drfahrettinkoca Koş koca devlet sma hastalarına minik bedenlerine destek olsun lütfen..  ben yok halimde elimden g… https://t.co/6l3gN7q48x</t>
  </si>
  <si>
    <t>1465081843565350927</t>
  </si>
  <si>
    <t>@drfahrettinkoca @mansuryavas06 başkan sizden önce aldı ve uyguluyor. 😂</t>
  </si>
  <si>
    <t>1465081776636932107</t>
  </si>
  <si>
    <t>@drfahrettinkoca Kriterler de kalksın sayın bakan. Bile isteye gerilemelerine izin vermeyelim. Artık zolgensma Türk… https://t.co/AKz9w2E0Mc</t>
  </si>
  <si>
    <t>1465078701050281993</t>
  </si>
  <si>
    <t>@drfahrettinkoca Mevcut çocuklar ne olacak ..ölüyorlar.Her dakika yardim kampanyası var .Hiç mi utanmıyor vicdanını… https://t.co/0U2dCOmdB6</t>
  </si>
  <si>
    <t>1465076278864846854</t>
  </si>
  <si>
    <t>@drfahrettinkoca Bakan bey verin artık şu klavuzu</t>
  </si>
  <si>
    <t>1465072677811593221</t>
  </si>
  <si>
    <t>@drfahrettinkoca Sayın bakanım muhakkak öyledir fakat  bu konunun ekstra üstünde durmamız gerekiyor. Bu yavrular bi… https://t.co/pnjD1GTANV</t>
  </si>
  <si>
    <t>1465070452028624896</t>
  </si>
  <si>
    <t>@drfahrettinkoca Bunlar bizim geleceğimiz, çocuklarımız ya çocuklarımız. Bu nasıl bir gevşeklik.</t>
  </si>
  <si>
    <t>1465062844559511559</t>
  </si>
  <si>
    <t>@drfahrettinkoca 3 tedavinin de kritersiz bir biçimde verilmesi için tüm SMA hastaları olarak bekliyoruz🙏</t>
  </si>
  <si>
    <t>1465061902619402246</t>
  </si>
  <si>
    <t>@drfahrettinkoca Bayağı erkencisiniz maşallah</t>
  </si>
  <si>
    <t>1465061150735966216</t>
  </si>
  <si>
    <t>@drfahrettinkoca Duymayı özlemle beklediğim cümleler. Nusinersen tedavisinde kriterler gözden geçirilmeli, çok fayd… https://t.co/4N5plBp1RQ</t>
  </si>
  <si>
    <t>1465059568980041732</t>
  </si>
  <si>
    <t>@drfahrettinkoca Teşekkürler sayın bakanım umarım Sma ile mücadele son bulur. Sma lı tüm hastalar adına çok sevindi… https://t.co/q5gCbZ8ehp</t>
  </si>
  <si>
    <t>1465059497848754180</t>
  </si>
  <si>
    <t>@drfahrettinkoca Sonunda zahmet edip bir şeyler yapmaya başladınız ölen yavruların o çaresiz anne babaların ahları… https://t.co/arTf6LQ1bE</t>
  </si>
  <si>
    <t>1465058208767221760</t>
  </si>
  <si>
    <t>@drfahrettinkoca CHP li belediyeler yapıyor zaten</t>
  </si>
  <si>
    <t>1465057143082602517</t>
  </si>
  <si>
    <t>@drfahrettinkoca COVID 19 ilacınıda karşılıksız veriyorsunuz. Ama kullanım süresi dolmuş ilaçlar  Haberiniz yoksa a… https://t.co/w0muG2Y5IV</t>
  </si>
  <si>
    <t>1465056905034936325</t>
  </si>
  <si>
    <t>@drfahrettinkoca İşte budur... Tedavi, önlemekle başlar... Haaa, sizin genler bozuk evlenemezsiniz, çocuk yapamazsı… https://t.co/OFBdtOJ9tS</t>
  </si>
  <si>
    <t>1465055731359567877</t>
  </si>
  <si>
    <t>@drfahrettinkoca @1923nb ne zaman. aman 2023 de demeyin. 😁😂🤣😃</t>
  </si>
  <si>
    <t>1465051696300703748</t>
  </si>
  <si>
    <t>@drfahrettinkoca Kaç SMA hastası çocuğumuz var. Allah aşkına zaman kaybetmeyin bürokrasiyle.devlet Türkiye'deki SMA… https://t.co/457KMJZETC</t>
  </si>
  <si>
    <t>1465046999913402372</t>
  </si>
  <si>
    <t>@drfahrettinkoca Toplantıyla mı tespit ediyorsunuz yıllardır üzerinde araştırma yapılmış ilacın hangi hastalarda ku… https://t.co/ohKN1WLDju</t>
  </si>
  <si>
    <t>1465046030882422788</t>
  </si>
  <si>
    <t>@drfahrettinkoca EYER KORONA BILIM KURULU GIBI DSÖ EMRIYLE CALISACAKSA BU KURUL SAKIN KURMAYIN FAYDADAN COK ZARAR V… https://t.co/hRrdG4cFT4</t>
  </si>
  <si>
    <t>1465045835507503105</t>
  </si>
  <si>
    <t>@drfahrettinkoca @siyah_beyaz1983 Gen tedavisi ile tümüyle iyileşebilecek 30 tane bebek var.  Hepi topu 30 bebeği t… https://t.co/0xt6iD3JUo</t>
  </si>
  <si>
    <t>1465045716955504647</t>
  </si>
  <si>
    <t>@drfahrettinkoca Kritersiz ilaç istiyoruz.ben yavruma fayda eden ilacının kesilmesini istemiyorum .yavrumun yaşanma… https://t.co/1pNmMV9wxT</t>
  </si>
  <si>
    <t>1465045694264315914</t>
  </si>
  <si>
    <t>@drfahrettinkoca Çocuklarımıza eziyet etmeyin.tip 1 hastası bir çocuğa 2 yıl ömür biçiyor doktorlar.onun yaşaması b… https://t.co/LwrPFThgq7</t>
  </si>
  <si>
    <t>1465045439644946432</t>
  </si>
  <si>
    <t>@drfahrettinkoca delaymı var sizde be sürekli gecikmeli işler yapıyorsunuz be</t>
  </si>
  <si>
    <t>1465045246090297349</t>
  </si>
  <si>
    <t>@drfahrettinkoca Zaten şu pandemi sürecinde zor olan hayatımız daha çok zorlaştı.evlatlarımızı hastaneye götürmeye… https://t.co/XuUzjtVKIq</t>
  </si>
  <si>
    <t>1465045095921639435</t>
  </si>
  <si>
    <t>@drfahrettinkoca Size ne diyeyim ben Allah'ın izniyle bu dünyadan gideceğiz orda yalan riya yok elbet bir karşılık bulacak yaptıklarınız</t>
  </si>
  <si>
    <t>1466825421903773701</t>
  </si>
  <si>
    <t>@drfahrettinkoca https://t.co/ts9ZRW6Y2h</t>
  </si>
  <si>
    <t>1466492840339558404</t>
  </si>
  <si>
    <t>@drfahrettinkoca Aren için son 65 gün lütfen kararı hızlı verin https://t.co/FTPNX3uCtJ</t>
  </si>
  <si>
    <t>1465822021636571140</t>
  </si>
  <si>
    <t>@drfahrettinkoca Halihazırda hasta olan çocuklar için kararı bir an önce alıp süreci hızlandırmanız faydalı olacakt… https://t.co/EfuT4B1Z1Y</t>
  </si>
  <si>
    <t>1465802002655494152</t>
  </si>
  <si>
    <t>@drfahrettinkoca Aren 2 yaşında basmak üzere. Süresi çok kısıtlı. İlaca acil ulaşmamız gerekiyor Son 65 gün. Lütfen elinizi çabuk tutun!!!</t>
  </si>
  <si>
    <t>1465799643367981057</t>
  </si>
  <si>
    <t>@drfahrettinkoca Aren in son 65 günü. Lütfen kararınızı hızkı verin</t>
  </si>
  <si>
    <t>1465797640260624399</t>
  </si>
  <si>
    <t>@drfahrettinkoca Sağlıkcılara özel sektöre eş durumu tayini vermediginiz sürece bir saglıkcıdan oy alamayacaksınız.… https://t.co/Yw7ox8RUJ6</t>
  </si>
  <si>
    <t>1465793977521786884</t>
  </si>
  <si>
    <t>@drfahrettinkoca Bu ilaç denemesinin de başarısız olduğu hastalık üzerinde iyileştirici bir etkisinin olmadığı  tah… https://t.co/GhgzLmR2ok</t>
  </si>
  <si>
    <t>1465095785519931403</t>
  </si>
  <si>
    <t>@drfahrettinkoca Bu ilacı denediniz mi testten gectimi hani diğer 8+8  verdiğiniz sonrada işe yaramadı diyip hiç bi… https://t.co/2RAXyVOgng</t>
  </si>
  <si>
    <t>1465092146399260688</t>
  </si>
  <si>
    <t>@drfahrettinkoca Önceki ilaç ne oldu?   Lan olm siz de verseler de içmeyin, denek olmayın artık! 😡😡</t>
  </si>
  <si>
    <t>1465059799746367492</t>
  </si>
  <si>
    <t>@drfahrettinkoca Gtten lisans uydurmayın Kaç para bu zıkkım ve parası kimden kesilecek şeytan bakanı</t>
  </si>
  <si>
    <t>1465052819711569924</t>
  </si>
  <si>
    <t>@drfahrettinkoca Bu ülkede Erdoğan ve ekibi varsa bizim sırtımız yere gelmez</t>
  </si>
  <si>
    <t>1465052236350988292</t>
  </si>
  <si>
    <t>@drfahrettinkoca Yeterince ölüm olmadı baktı aşılar favipavir fln lar fln lar yinede istedikleri kadar ölüm olmuyor… https://t.co/GQAzsSFsFr</t>
  </si>
  <si>
    <t>1465050691475542019</t>
  </si>
  <si>
    <t>@drfahrettinkoca Bunlar son çırpınışlarınız.halkın gözünde ne güveniniz nede itibarınız kalmadı.Kendi ırkına yapıla… https://t.co/mWeNbaS3Hy</t>
  </si>
  <si>
    <t>1464743753978163206</t>
  </si>
  <si>
    <t>@drfahrettinkoca ASIL VİRÜS BİZE SÜREKLİ YALAN SÖYLEYENLERDİR....😡😡😡😡 🔴SAHTE COVID VİDEOSU Kaydediyorlar..BÜYÜK KÜR… https://t.co/EmmiqAM9EU</t>
  </si>
  <si>
    <t>1464743403900522496</t>
  </si>
  <si>
    <t>@drfahrettinkoca Turcovak ne oldu? Öldü mü</t>
  </si>
  <si>
    <t>1464740192661786627</t>
  </si>
  <si>
    <t>@drfahrettinkoca Bengi Başer tarafından engellendim. Niye mi covid aşısı çocuklara uygulansın yaş düşsün tweetenin… https://t.co/VJB6K4SGhn</t>
  </si>
  <si>
    <t>1464738969346879495</t>
  </si>
  <si>
    <t>@drfahrettinkoca Haydi yaşadınız yine sn Bakanım BioNTech pfizer yeni aşı müjdesi vermiş. 100 milyon bize kâfi geli… https://t.co/nOxnaQ2S8r</t>
  </si>
  <si>
    <t>1464737060573659138</t>
  </si>
  <si>
    <t>@drfahrettinkoca Daha bugün etkinliğinin düşük olduğu söylendi🤦‍♀️</t>
  </si>
  <si>
    <t>1464736582381051907</t>
  </si>
  <si>
    <t>@drfahrettinkoca #EğitimOnlineViruesOffline</t>
  </si>
  <si>
    <t>1464736183985004552</t>
  </si>
  <si>
    <t>@drfahrettinkoca İlan gelsin bakanım</t>
  </si>
  <si>
    <t>1464735227205636098</t>
  </si>
  <si>
    <t>1464735190970998785</t>
  </si>
  <si>
    <t>@drfahrettinkoca Sayın bakanım açık konusmak gerekirse bakan kimliğini bir kenara bırakınca Siz böyle kendi kendini… https://t.co/UnViQ3gwRH</t>
  </si>
  <si>
    <t>1464728844859064333</t>
  </si>
  <si>
    <t>@drfahrettinkoca Sizler ve sizlerin Ağa Babalarınız Elbet Bir gün  Alayınız yargılanacksınız  Insanlık sucunu işled… https://t.co/bE0qIXemQ7</t>
  </si>
  <si>
    <t>1464728627078209544</t>
  </si>
  <si>
    <t>@drfahrettinkoca @saglikbakanligi Covid aşısı yapılmış insanların kanı! Lütfen herkes izlesin!  Vücudunuzu grafenle… https://t.co/5ouLkEgl7Y</t>
  </si>
  <si>
    <t>1464727702875914241</t>
  </si>
  <si>
    <t>@drfahrettinkoca Resmen insanlara bu favipiravir i ÇAKTINIZ!!!  Yetmedi ikinci perde başlıyor öyle mi?  Bunun da so… https://t.co/Ld8DKeqAHw</t>
  </si>
  <si>
    <t>1464726386287988737</t>
  </si>
  <si>
    <t>@drfahrettinkoca Er yada geç yargılanacaksın dünyada olmasa da ahirette kesinlikle yargılanacaksın.</t>
  </si>
  <si>
    <t>1464725168446705665</t>
  </si>
  <si>
    <t>@drfahrettinkoca KÖR ŞEYTANINIZDAN BULUN HEPİNİZ İBLİSİN UŞAKLARI.ÖLÜMÜNE SEBEP OLDUĞUNUZ İNSANLARIN YAKINLARININ A… https://t.co/lsn9Cx8k8G</t>
  </si>
  <si>
    <t>1464725055640903685</t>
  </si>
  <si>
    <t>@drfahrettinkoca Şimdi de burdan vuracaksınız parayı galiba akp ve yandaşları :))</t>
  </si>
  <si>
    <t>1464724982110502920</t>
  </si>
  <si>
    <t>@drfahrettinkoca Bu deccallere inanmayın aşı karşıtı çoğunlukta bunların içinde doktorlarda var karşıt olan.SİZLERİ… https://t.co/cVaVm8IzrI</t>
  </si>
  <si>
    <t>1464724717739429888</t>
  </si>
  <si>
    <t>@drfahrettinkoca Deneymiyiz biz</t>
  </si>
  <si>
    <t>1464724520321880067</t>
  </si>
  <si>
    <t>1464722809628901392</t>
  </si>
  <si>
    <t>1464722710785843204</t>
  </si>
  <si>
    <t>@drfahrettinkoca Ebe ve hemşirelerin DİYETİSYEN OLARAK ATANMASİ KABUL EDİLEMEZ SAYİN BAKANİM KPSS YE GİRMEDEN 98 Kİ… https://t.co/xqrbX8Sycz</t>
  </si>
  <si>
    <t>1464722608453308424</t>
  </si>
  <si>
    <t>@drfahrettinkoca Alakası olmayan ılaçları para kazanacagım dıye onca ınsana zorla yutturdunuz yetmedimi kazandıgın</t>
  </si>
  <si>
    <t>1464722346674163719</t>
  </si>
  <si>
    <t>@drfahrettinkoca Siz bizi öldürcek misiniz? Çıldırtcak mısınız canım? Tarihi geçmiş ilaçları ne diye yolluyosunuz k… https://t.co/lXaFkQib9S</t>
  </si>
  <si>
    <t>1464722024274739203</t>
  </si>
  <si>
    <t>@drfahrettinkoca https://t.co/DAsUCxatae</t>
  </si>
  <si>
    <t>1464721412309110792</t>
  </si>
  <si>
    <t>@drfahrettinkoca çocuklara aşı ne zaman gündeminizde olacak</t>
  </si>
  <si>
    <t>1464720848812752899</t>
  </si>
  <si>
    <t>@drfahrettinkoca Umarım fyadalı olur dolar Euro yüksekdi evet etkilendik evet bunu karıştırmayın arkadaşlar sonuçta… https://t.co/z77H4Bphgz</t>
  </si>
  <si>
    <t>1464719529641234445</t>
  </si>
  <si>
    <t>@drfahrettinkoca Lisans verme isinidemi ona sorup izin aliyosun</t>
  </si>
  <si>
    <t>1464717104708571136</t>
  </si>
  <si>
    <t>@drfahrettinkoca 3.5 milyon vatandaşımız ise neden Türkiye Cumhuriyeti nde yaşamıyorlar acaba ! Vatandaşımız oldu ş… https://t.co/PUvyPGNq6K</t>
  </si>
  <si>
    <t>1464716723920293895</t>
  </si>
  <si>
    <t>@drfahrettinkoca Devam TÜRKİYE'M 🤜🇹🇷🌹🔵🔴</t>
  </si>
  <si>
    <t>1464716401420156932</t>
  </si>
  <si>
    <t>@drfahrettinkoca Pandemi saçmalığı adı altında ürettiğiniz direttiğiniz her ne varsa önce umuma açık bir şekilde de… https://t.co/WbOtcXr816</t>
  </si>
  <si>
    <t>1464716326082129925</t>
  </si>
  <si>
    <t>@drfahrettinkoca Bir müddet sonra aaa onun da faydası yokuş diye bir açıklama bekliyoruz...</t>
  </si>
  <si>
    <t>1464715700396826629</t>
  </si>
  <si>
    <t>@drfahrettinkoca Sayın bakan; hani cumhurbaşkanımız ekonomist ti? Aynı zamanda bilim üstü bir bilince sahip olduğun… https://t.co/NvlJ1Vw3J4</t>
  </si>
  <si>
    <t>1464715095041351692</t>
  </si>
  <si>
    <t>@drfahrettinkoca Daha önce verdiğiniz ilaçları sessiz sedasız kullanımdan kaldırdınız etkisiz olduğu ortaya çıktı b… https://t.co/Ek2CC2Wai3</t>
  </si>
  <si>
    <t>1464715047503028231</t>
  </si>
  <si>
    <t>@drfahrettinkoca Üzüntü içinde izliyorum.Önceki ilaclar icin de “dünya bu ilacın pesinde” demistiniz.İçilmediginde… https://t.co/TkfSAe700G</t>
  </si>
  <si>
    <t>1464713678285066246</t>
  </si>
  <si>
    <t>@drfahrettinkoca 🤬🤬🤬🤬🤬🤬🤬</t>
  </si>
  <si>
    <t>1464713501155467269</t>
  </si>
  <si>
    <t>@drfahrettinkoca kime beyaz reform 240 saat calısıp ev yolu unutan ama evde esnek mesai yapan memur kadar para kaza… https://t.co/GKb4N2YJqv</t>
  </si>
  <si>
    <t>1464743752988299271</t>
  </si>
  <si>
    <t>@drfahrettinkoca ASIL VİRÜS BİZE SÜREKLİ YALAN SÖYLEYENLERDİR....😡😡😡😡 🔴SAHTE COVID VİDEOSU Kaydediyorlar..BÜYÜK KÜR… https://t.co/cMPFmmufKV</t>
  </si>
  <si>
    <t>1464743604677718017</t>
  </si>
  <si>
    <t>@drfahrettinkoca Ama bazı sağlık çalışanlar artist havalı onlarada el atın ki dayak yemesinler</t>
  </si>
  <si>
    <t>1464742189943201796</t>
  </si>
  <si>
    <t>@drfahrettinkoca Pandemide verdiğim beyaz kodda para cezasına bile erteleme verildi, bizler de düzenleme çoktan yapıldı sanıyoruz</t>
  </si>
  <si>
    <t>1464735993391730690</t>
  </si>
  <si>
    <t>@drfahrettinkoca Aklınız fikriniz ceza vermekte ,cezalandirmakta..Bir defada bu toplumu korkuyla,tehditle,pisikoloj… https://t.co/0eEM84FLTY</t>
  </si>
  <si>
    <t>1464733222164705301</t>
  </si>
  <si>
    <t>@drfahrettinkoca İdam edin</t>
  </si>
  <si>
    <t>1464714707135348738</t>
  </si>
  <si>
    <t>@drfahrettinkoca @GaziantepISM Muhalefetteyken ancak bu kadar olabiliyor Sayın Bakanım,inşallah iktidar olunca sağl… https://t.co/KGy4vU5k2Q</t>
  </si>
  <si>
    <t>1464714636360667139</t>
  </si>
  <si>
    <t>@drfahrettinkoca Hekimler gibi istifa edip özelde calisamadigimiz için bizleri umursamamaya devam edin . Az kaldı h… https://t.co/Jx8K8rmY18</t>
  </si>
  <si>
    <t>1465096444155768835</t>
  </si>
  <si>
    <t>@drfahrettinkoca @HMBakanligi @sgkemeklilik https://t.co/Oekwjb1rPs</t>
  </si>
  <si>
    <t>1465080926489219074</t>
  </si>
  <si>
    <t>@drfahrettinkoca https://t.co/M4WwLAda2w</t>
  </si>
  <si>
    <t>1465077950521516038</t>
  </si>
  <si>
    <t>@drfahrettinkoca kime beyaz reform 240 saat calısıp ev yolu unutan ama evde esnek mesai yapan memur kadar para kaza… https://t.co/tMRa4XB5S0</t>
  </si>
  <si>
    <t>1464743679474782210</t>
  </si>
  <si>
    <t>@drfahrettinkoca Sayın bakanım  Sağlık ekip işidir bizi ayırmayın. Ücretlerimiz yerlerde bize gereken önemi ve dest… https://t.co/daUx2nvWiH</t>
  </si>
  <si>
    <t>1464730620576284676</t>
  </si>
  <si>
    <t>@drfahrettinkoca Özellikle hekim diyerek, doktor bakanlığı olduğunuzu tekrardan gösterdiniz . Hemşireler olarak bizleri uzdunuz.</t>
  </si>
  <si>
    <t>1464730031968727048</t>
  </si>
  <si>
    <t>@drfahrettinkoca Hekim Bakanlığı!</t>
  </si>
  <si>
    <t>1464725430267744262</t>
  </si>
  <si>
    <t>@drfahrettinkoca DİYETİSYENLERE ÇOK SAYIDA ATAMA BEKLİYORUZ SAYİN BAKANİM 91 PUANLA KARDESİM HALA AÇIKTA</t>
  </si>
  <si>
    <t>1464723449616769024</t>
  </si>
  <si>
    <t>@drfahrettinkoca Ebe ve hemşirelerin DİYETİSYEN OLARAK ATANMASİ KABUL EDİLEMEZ SAYİN BAKANİM KPSS YE GİRMEDEN 98 Kİ… https://t.co/1BDOHdRYCj</t>
  </si>
  <si>
    <t>1464723371032199175</t>
  </si>
  <si>
    <t>@drfahrettinkoca Neden özellikle hekimlerimizn maaş ve özlük hakları iyileştirilmesi lazım? Hemşireler ve diğer sağ… https://t.co/eKByNenvDD</t>
  </si>
  <si>
    <t>1464713515147706379</t>
  </si>
  <si>
    <t>@drfahrettinkoca 5 dk bir hasta muayenesi, sekretersiz hasta muayenesi , az ücret biten döner sermaye , yoğun çalış… https://t.co/conMwC7DBr</t>
  </si>
  <si>
    <t>1467177713156956163</t>
  </si>
  <si>
    <t>@drfahrettinkoca Sayın Bakanım hekimlere hakkını vermeye çalışmanız çok güzel.   Ancak diğer saglik çalışanı diye n… https://t.co/dP83UzPfKq</t>
  </si>
  <si>
    <t>1466859730106818569</t>
  </si>
  <si>
    <t>@drfahrettinkoca Hemşireler bir ayda 14 tane 24 saatlik nöbet tutuyor o insani mi? Üstelik beraber çalıştıkları tem… https://t.co/YvMG9s3t8M</t>
  </si>
  <si>
    <t>1464733775481520136</t>
  </si>
  <si>
    <t>1464723327465971712</t>
  </si>
  <si>
    <t>@drfahrettinkoca Ebe ve hemşirelerin DİYETİSYEN OLARAK ATANMASİ KABUL EDİLEMEZ SAYİN BAKANİM KPSS YE GİRMEDEN 98 Kİ… https://t.co/HMSC7PgM2N</t>
  </si>
  <si>
    <t>1464723252635480073</t>
  </si>
  <si>
    <t>@drfahrettinkoca Dünya'da her yerde nöbet saatler aynı.  Değişiklik yaparsanız sistemi bozacaksanız.</t>
  </si>
  <si>
    <t>1464721760771874818</t>
  </si>
  <si>
    <t>@drfahrettinkoca Bir insan evladı 36 saat nasil uykusuz durabilir yaa insaf</t>
  </si>
  <si>
    <t>1464719140787298307</t>
  </si>
  <si>
    <t>@drfahrettinkoca Ya bende mi bi sorun var anlamadım da. Nöbet ertesi izin işi halloldu mu ben farketmemişim demek ki !?</t>
  </si>
  <si>
    <t>1464713955251789827</t>
  </si>
  <si>
    <t>@drfahrettinkoca Dalga mı geçiyorsunuz arkadaş? Koskoca bakanlık kadrosu bu kadar mı kopuk olur çalışanların proble… https://t.co/D0oyaNqvsU</t>
  </si>
  <si>
    <t>1465451522259566594</t>
  </si>
  <si>
    <t>@drfahrettinkoca Mevcut uzmanlık sisteminden dolayı kimse yurtdışına gitmiyor sayın bakanım. Düşük ücret, uzun çalı… https://t.co/wprQwmDksm</t>
  </si>
  <si>
    <t>1465087016807317505</t>
  </si>
  <si>
    <t>@drfahrettinkoca Bir seyi merak ediyorum. TUS sinavinin kaldirilmasinin Katar’dan gelecek ogrencilerle ilgisi var m… https://t.co/dOtYrqhBev</t>
  </si>
  <si>
    <t>1465071635661262851</t>
  </si>
  <si>
    <t>@drfahrettinkoca İstenen branşlar,; derma,ftt,radyoloji,göz,kbb,rad onk,nükleer tıp, biyokimya,mikrbylj, Istenmeyen… https://t.co/ervQfuIZzU</t>
  </si>
  <si>
    <t>1465070619515662337</t>
  </si>
  <si>
    <t>@drfahrettinkoca Sorun olmayan tus u sorun haline getireceksiniz sanırım, sahanın fikrini almadan bürokratlarla ald… https://t.co/uybNZjOkOF</t>
  </si>
  <si>
    <t>1465068466499641345</t>
  </si>
  <si>
    <t>@drfahrettinkoca TUS ta sorulan sorulari duzeltin, caga uygun olsun ama. Okul puani hizmet puani eklemek intihar ol… https://t.co/3TT3A3dYER</t>
  </si>
  <si>
    <t>1465065592692654080</t>
  </si>
  <si>
    <t>@drfahrettinkoca Hekimler mobbing, yetersiz para, sürekli çalışma, gereksiz hasta şikayetleri, şiddet, kötü emeklil… https://t.co/rJEQOELqWy</t>
  </si>
  <si>
    <t>1465060024410157072</t>
  </si>
  <si>
    <t>@drfahrettinkoca he he reform yap tutarsın. Yurtdışınd çalışan 10 tane doktor 1 yıllık maaşıyla senin hastaneni sat… https://t.co/DtvRTF5qgD</t>
  </si>
  <si>
    <t>1465058291357208580</t>
  </si>
  <si>
    <t>@drfahrettinkoca Ülkemizdeki tek adil sınavı degistirdiginiz için teşekkür ederiz ülkeye yakismiyordu bu kadar adil… https://t.co/BDHQohHyU8</t>
  </si>
  <si>
    <t>1465057058999488524</t>
  </si>
  <si>
    <t>@drfahrettinkoca Her alanda ulkeyi batirdiniz bir hekimlik kalmişti gitmeden orayida batirmaya niyetlisinz</t>
  </si>
  <si>
    <t>1465052623594303504</t>
  </si>
  <si>
    <t>@drfahrettinkoca Her zaman olduğu gibi konunun muhatabına sormadan alınmış kararlar. Hekimler olarak biz TUS'tan me… https://t.co/A1riDODnTd</t>
  </si>
  <si>
    <t>1465051798360801281</t>
  </si>
  <si>
    <t>@drfahrettinkoca Sayın bakanım,  Sağlık bakanlığımızın kura ile alacağı 10 bin işçi kadrosunun % 4'ü olan, 400 kont… https://t.co/0akIc1kSmb</t>
  </si>
  <si>
    <t>1465048179217416195</t>
  </si>
  <si>
    <t>@drfahrettinkoca Demek yurtdışı na giden doktorlarrr mevzusu doğru olmuş oldu</t>
  </si>
  <si>
    <t>1464744344158670853</t>
  </si>
  <si>
    <t>@drfahrettinkoca kime beyaz reform 240 saat calısıp ev yolu unutan ama evde esnek mesai yapan memur kadar para kaza… https://t.co/roVgCOi4gr</t>
  </si>
  <si>
    <t>1464743422800056321</t>
  </si>
  <si>
    <t>@drfahrettinkoca İşledikleri cinayetlerden kurtulabilmek ihanetinin üstünü örte bilmek için dir.</t>
  </si>
  <si>
    <t>1464741680960131072</t>
  </si>
  <si>
    <t>@drfahrettinkoca Heee</t>
  </si>
  <si>
    <t>1464740353102204933</t>
  </si>
  <si>
    <t>@drfahrettinkoca Göz uzmaniyim, yurtdisina gitme sebeplerim saglikta siddetin onune gecilmemesi (nerdeyse hergun be… https://t.co/jD7HKxFXH3</t>
  </si>
  <si>
    <t>1464740332554403849</t>
  </si>
  <si>
    <t>@drfahrettinkoca Tabi o çocuklar yaşarsa, verdiğin zehirler oldurmez ise..</t>
  </si>
  <si>
    <t>1464737054164754435</t>
  </si>
  <si>
    <t>@drfahrettinkoca Bunu inşallah sosyal medyada söylendiği gibi sınavlara sözlü sınav koyup torpilin adam kayırmanın… https://t.co/AwfkVJqFjE</t>
  </si>
  <si>
    <t>1464724886471991302</t>
  </si>
  <si>
    <t>@drfahrettinkoca En önemli şey tıp eğitimde standartlar yūksek tutmak.  Düşük kaliteli fakultelerden fazla az eğiti… https://t.co/ErO5H84SJd</t>
  </si>
  <si>
    <t>1464724482631819268</t>
  </si>
  <si>
    <t>@drfahrettinkoca ..</t>
  </si>
  <si>
    <t>1464723756191031303</t>
  </si>
  <si>
    <t>@drfahrettinkoca DİYETİSYENLERE ÇOK SAYIDA ATAMA BEKLİYORUZ SAYİN BAKANİM 91 PUANLA HALA ACİKTALAR</t>
  </si>
  <si>
    <t>1464723215826264074</t>
  </si>
  <si>
    <t>@drfahrettinkoca DİYETİSYENLER 90 USTU PUANLA ACİKTALAR</t>
  </si>
  <si>
    <t>1464723146838355974</t>
  </si>
  <si>
    <t>@drfahrettinkoca DİYETİSYENLERE ÇOK SAYIDA ATAMA</t>
  </si>
  <si>
    <t>1464723098247258120</t>
  </si>
  <si>
    <t>@drfahrettinkoca Ebe ve hemşirelerin DİYETİSYEN OLARAK ATANMASİ KABUL EDİLEMEZ SAYİN BAKANİM KPSS YE GİRMEDEN 98 Kİ… https://t.co/aejXgs85NA</t>
  </si>
  <si>
    <t>1464723045084499973</t>
  </si>
  <si>
    <t>@drfahrettinkoca Yine nokta teşhis koyulmuş,bu kafada devam</t>
  </si>
  <si>
    <t>1464718730194259968</t>
  </si>
  <si>
    <t>@drfahrettinkoca Hala o koltukta nasıl oturuyor hayret</t>
  </si>
  <si>
    <t>1464716714864783363</t>
  </si>
  <si>
    <t>@drfahrettinkoca https://t.co/CYPFtVheb8</t>
  </si>
  <si>
    <t>1464716445103931397</t>
  </si>
  <si>
    <t>@drfahrettinkoca @saglikbakanligi Bu arada, bazı hekim arkadaşlara  insanlık dersi de verseniz fena olmaz. Zira sor… https://t.co/CESzs0lFfm</t>
  </si>
  <si>
    <t>1464715678972272649</t>
  </si>
  <si>
    <t>@drfahrettinkoca O kadar üst perdeden bakıyorlar ki sorunun ne oldugunun bile farkinda degiller. Anası ağlayan sağl… https://t.co/xlbf6E71tS</t>
  </si>
  <si>
    <t>1464715431722291200</t>
  </si>
  <si>
    <t>@drfahrettinkoca Sorunu tespit edemiyorsunuz ancak soruna çözüm getirdiğinizi müjdeliyorsunuz. Çekirdek ailesinde h… https://t.co/dls4Js0pxO</t>
  </si>
  <si>
    <t>1464714434551681034</t>
  </si>
  <si>
    <t>@drfahrettinkoca Sayın bakanım atama konusunda da köklü değişiklikler talep ediyoruz yüksek puanlarla girdiği okull… https://t.co/3RqpQJeVwE</t>
  </si>
  <si>
    <t>1464714422375665667</t>
  </si>
  <si>
    <t>@drfahrettinkoca Sayın Bakanım bu iyilestirmelerde hemşireler nerede.</t>
  </si>
  <si>
    <t>1466858227598041091</t>
  </si>
  <si>
    <t>@drfahrettinkoca Gerçekten iyileştirmeler yapıldı mı yoksa sadece yıllardır gasp edilen emelilik hakkımız mı düzelt… https://t.co/c4yvisiqO5</t>
  </si>
  <si>
    <t>1466533480087519232</t>
  </si>
  <si>
    <t>@drfahrettinkoca Sizin inandığınız şey asla beni ikna etmeyecektir sn Koca🙌çuvalı yırttı doğrunun mızrağı sığamadı… https://t.co/w8eObiLHK2</t>
  </si>
  <si>
    <t>1465085604706885637</t>
  </si>
  <si>
    <t>@drfahrettinkoca Şu ana kadar ülkemizin üretebildiği herhangi bir ilacın olmadığını öğrendim.Çok üzücü.Bu ülke başa… https://t.co/rDsaAeuwL3</t>
  </si>
  <si>
    <t>1464720345177468928</t>
  </si>
  <si>
    <t>@drfahrettinkoca pandemiyle mücadele şeklimiz https://t.co/T1rVv4lxJ6</t>
  </si>
  <si>
    <t>1465068023237251083</t>
  </si>
  <si>
    <t>@drfahrettinkoca İnşallah rastlamayiz. 🤲</t>
  </si>
  <si>
    <t>1465063641351397387</t>
  </si>
  <si>
    <t>@drfahrettinkoca Güney Afrika başbakanı; ''Yalanlar yalanlar, biz burada Güney Afrika'da gayet iyiyiz, burda varyan… https://t.co/lvZB5hAbcT</t>
  </si>
  <si>
    <t>1465057646554361860</t>
  </si>
  <si>
    <t>@drfahrettinkoca nasıl onlem aldiniz yazarmisiniz buraya bizlerde bilelim en başından beri onlem aldık dediniz hicbir degisme yok</t>
  </si>
  <si>
    <t>1464744555564175362</t>
  </si>
  <si>
    <t>@drfahrettinkoca Omicrondan sonra hemen omega varyantına  gecebilirmiyiz  biran önce bitsin gitsin</t>
  </si>
  <si>
    <t>1464736785309831176</t>
  </si>
  <si>
    <t>@drfahrettinkoca ❗️ https://t.co/yU3adNmaLc</t>
  </si>
  <si>
    <t>1464735808133419010</t>
  </si>
  <si>
    <t>@drfahrettinkoca Ülke içinde önlem var da dışarısı kaldı</t>
  </si>
  <si>
    <t>1464733394697428994</t>
  </si>
  <si>
    <t>@drfahrettinkoca Hiç bir varyantın öldürme yüzdesi, AÇLIK varyantından yüksek değildir.  Sizlerin yaşadığı standart… https://t.co/RYJMVKasLx</t>
  </si>
  <si>
    <t>1464722060366815236</t>
  </si>
  <si>
    <t>@drfahrettinkoca Ayrıca her varyatta olduğu gibi baştan rastlanmıyor sonra kuşatılmış gibi heryere yayılıyor, ya te… https://t.co/0rSLUvzFs5</t>
  </si>
  <si>
    <t>1464717849151295489</t>
  </si>
  <si>
    <t>@drfahrettinkoca Aşılı arttıkça vakalarda artıyor hayırdır bakan ama görmeyen adam</t>
  </si>
  <si>
    <t>1464717518195634178</t>
  </si>
  <si>
    <t>@drfahrettinkoca Valla sayın bakanım, canım bakanım  biz bilmeyiz anlamayız ne nedir, doğru kararları artık daha hı… https://t.co/erGOXk4Zxa</t>
  </si>
  <si>
    <t>1464717024899260425</t>
  </si>
  <si>
    <t>@drfahrettinkoca @BelginDhyana Gerçek mi çakma Fahrettin mi diye dakikalarca anlamaya çalıştım. Hepten kırdı kafayı… https://t.co/4CgfxOIkcZ</t>
  </si>
  <si>
    <t>1464741636370575362</t>
  </si>
  <si>
    <t>@drfahrettinkoca bak bak şimdi de Almancı taklidi yapıyor</t>
  </si>
  <si>
    <t>1464728050319429636</t>
  </si>
  <si>
    <t>@drfahrettinkoca Bakanım doktorlar almanca öğreniyor diye açıklamaları almanca mı yayınlayacaksınız artık.</t>
  </si>
  <si>
    <t>1464724329594249217</t>
  </si>
  <si>
    <t>@drfahrettinkoca Alacaklı kapıda bekliyor bizim bakan camdan sadaka dağıtıyor....</t>
  </si>
  <si>
    <t>1464722554262724608</t>
  </si>
  <si>
    <t>@drfahrettinkoca Uh mohte fuf köfte? #tıbbicihaz</t>
  </si>
  <si>
    <t>1464722112053141509</t>
  </si>
  <si>
    <t>@drfahrettinkoca Yani bi siktir git diyesi geliyor insanın ama diyemem, neden? Çünkü yargı ebemi beller. Siktir git… https://t.co/jXCgvxFzl3</t>
  </si>
  <si>
    <t>1464718278996152329</t>
  </si>
  <si>
    <t>@drfahrettinkoca Yırtık rahibe yavşağı yanlış anlamış</t>
  </si>
  <si>
    <t>1465792906501967877</t>
  </si>
  <si>
    <t>@drfahrettinkoca Allah rızası için bir sus artık düş bu milletin yakasından. İnsanlar aşılandıkça vaka sayısı yükse… https://t.co/26yTV3djSn</t>
  </si>
  <si>
    <t>1465446845342171142</t>
  </si>
  <si>
    <t>@drfahrettinkoca COVİT 19 AŞILARINI ÜRETEN DEYİL HALKINI AŞILAYAN ÜLKE COVİT 19 U BİTİRİR ALMANYA ÜRETİYOR AŞIYI AM… https://t.co/2H5YTy3Vg4</t>
  </si>
  <si>
    <t>1465082364456062978</t>
  </si>
  <si>
    <t>@drfahrettinkoca @sadopan Aşı yokken ulaşamadığımız rakamlara insanların  %75 in den fazlası Aşı olmuşken ulaşıldı.… https://t.co/JxiEdXE0Gd</t>
  </si>
  <si>
    <t>1465071148899708941</t>
  </si>
  <si>
    <t>@drfahrettinkoca Korkmayın ölümsüzlüğün çaresini buldunuz bakanım aşı var ver Allah ver.</t>
  </si>
  <si>
    <t>1465064525485555727</t>
  </si>
  <si>
    <t>@drfahrettinkoca Aşılar ölüm olaylarını hızlandırıyor. Bu hiç iyi olmadı hala aşı diye tutturmanızı anlamıyorum.</t>
  </si>
  <si>
    <t>1465055865946394624</t>
  </si>
  <si>
    <t>@drfahrettinkoca Temizlik işçisinden düşük maaş alan hemşireler için bir iyileştirme düşünüyormusunuz</t>
  </si>
  <si>
    <t>1465045160211976194</t>
  </si>
  <si>
    <t>@drfahrettinkoca Beyin yoksa nasıl oluyor</t>
  </si>
  <si>
    <t>1464744250432794633</t>
  </si>
  <si>
    <t>@drfahrettinkoca Sn Bakan'ım haklısınız.  Almanya'nın durumu vahim. Vaka sayısında dünya ikincisi Aşı oranları bizd… https://t.co/zgpp2zTnf2</t>
  </si>
  <si>
    <t>1464744174826266639</t>
  </si>
  <si>
    <t>@drfahrettinkoca Bir gurbetçi olarak teşekkür ederim bakanım herkes kadar Türkiye’de bizim vatanımız🇹🇷🇹🇷🇹🇷</t>
  </si>
  <si>
    <t>1464744018449948674</t>
  </si>
  <si>
    <t>@drfahrettinkoca Neden aşıları ise yaramamiş mı?Oysa mucize sıvıları ile vakaların  bitmesi gerek miyor muydu?</t>
  </si>
  <si>
    <t>1464743915832188928</t>
  </si>
  <si>
    <t>@drfahrettinkoca Aşı işe yaramıyor Paramızı çöpe attık</t>
  </si>
  <si>
    <t>1464743741269364747</t>
  </si>
  <si>
    <t>@drfahrettinkoca Türkiye bitti galiba.</t>
  </si>
  <si>
    <t>1464743348380577794</t>
  </si>
  <si>
    <t>@drfahrettinkoca Bir de bu çıktı!.. Almanya'nın böyle bir talebi mi var?</t>
  </si>
  <si>
    <t>1464743190209171462</t>
  </si>
  <si>
    <t>@drfahrettinkoca Hocan Nacizane derimki mikron Klimalardan yayılıyor. Gelin vazgeçelim isterseniz şu her yeni çıkar… https://t.co/xzmjM053oO</t>
  </si>
  <si>
    <t>1464742971023273996</t>
  </si>
  <si>
    <t>@drfahrettinkoca Siz şakamısınız!!!!!</t>
  </si>
  <si>
    <t>1464742787304280066</t>
  </si>
  <si>
    <t>@drfahrettinkoca Sana ne bana ne!! Her alanda Kendi ülkenizi unutmaya hakkınız yok</t>
  </si>
  <si>
    <t>1464740642303746050</t>
  </si>
  <si>
    <t>@drfahrettinkoca Yahu önce kendi vatandaşımıza bakın sayın bakan hergun 200 insanımız gidiyo sağlıkçılar bitik hast… https://t.co/HFIJnKdvJu</t>
  </si>
  <si>
    <t>1464739528871227393</t>
  </si>
  <si>
    <t>@drfahrettinkoca Seninle gurur diyoruz bakanım Allah  yardımcınız olsun insallah</t>
  </si>
  <si>
    <t>1464737762217644032</t>
  </si>
  <si>
    <t>@drfahrettinkoca Lise ve üniversite seçme sınavlarında da aynı olaya döndünüz hala mantıksız olduğunu kabullenmiyor… https://t.co/Au0L6MgDta</t>
  </si>
  <si>
    <t>1464736625326497800</t>
  </si>
  <si>
    <t>@drfahrettinkoca Sn bakanim. Bize hastanelerde yer var mı ?</t>
  </si>
  <si>
    <t>1464735508257460229</t>
  </si>
  <si>
    <t>@drfahrettinkoca Üç beş döviz ne gelirse gelsin kafası bu, nerde görsem tanırım 👍</t>
  </si>
  <si>
    <t>1464733340456599554</t>
  </si>
  <si>
    <t>@drfahrettinkoca aileler pozitif çocuklarını grip adı altında bile bile okula gönderiyorlar bu adam öldürmeye teşeb… https://t.co/kuHD98U1c3</t>
  </si>
  <si>
    <t>1464733163465416711</t>
  </si>
  <si>
    <t>@drfahrettinkoca Biontec olmamışlar mı?</t>
  </si>
  <si>
    <t>1464732031171153922</t>
  </si>
  <si>
    <t>@drfahrettinkoca Başkan almanların aşılarının hepsini biz aldık onlara aşı kalmadı ondan olabilir.</t>
  </si>
  <si>
    <t>1464731473932689415</t>
  </si>
  <si>
    <t>@drfahrettinkoca Almanya bizi kıskanıyor</t>
  </si>
  <si>
    <t>1464731274564808711</t>
  </si>
  <si>
    <t>@drfahrettinkoca Sosyal Devlet budur.Teşekkür ederim.Sayın Bakanım</t>
  </si>
  <si>
    <t>1464731075649888267</t>
  </si>
  <si>
    <t>@drfahrettinkoca Bakanım bunu yazarken peki bir aydınlanma yaşamıyor musunuz ?</t>
  </si>
  <si>
    <t>1464730793650106375</t>
  </si>
  <si>
    <t>@drfahrettinkoca hem almanyadan hem tr yeden emekli oluyor bizim askeri ucretlimizin 6 ayda kazandigi parayi bir ay… https://t.co/lDobHqsJKM</t>
  </si>
  <si>
    <t>1464730341395025922</t>
  </si>
  <si>
    <t>@drfahrettinkoca Avrupa para verirse çöpünü, mültecisini, covidlisini bile alırız,</t>
  </si>
  <si>
    <t>1464729945628942349</t>
  </si>
  <si>
    <t>@drfahrettinkoca Almanya'nın büyük çoğunluğu aşılandı bakan efendi ne oldu sizlerin tek silahiniz asiydi virüsü yen… https://t.co/sSqpWwm3uP</t>
  </si>
  <si>
    <t>1464729615222587397</t>
  </si>
  <si>
    <t>@drfahrettinkoca Kıskanç Almanlar bi Corona ile başa çıkamadılar.</t>
  </si>
  <si>
    <t>1464729163559059467</t>
  </si>
  <si>
    <t>@drfahrettinkoca Yav muayene için randevu alamıyoruz. Yine sağa sola böyyük devletiz ayağını bırakın, önce kendi ül… https://t.co/ysizrWkcz6</t>
  </si>
  <si>
    <t>1464729059791884288</t>
  </si>
  <si>
    <t>@drfahrettinkoca Fahrettin İsveç’in felan sağlık bakanı sanırım …</t>
  </si>
  <si>
    <t>1464728135774183432</t>
  </si>
  <si>
    <t>@drfahrettinkoca Herkese bakacak güçleri var ama t.c deki vatandaşlarına bakıcak durumları yok iban isterler</t>
  </si>
  <si>
    <t>1464728016706285571</t>
  </si>
  <si>
    <t>@drfahrettinkoca Aynen Medipol Hastanelerinde tedavi edebilirsiniz</t>
  </si>
  <si>
    <t>1464727668935561224</t>
  </si>
  <si>
    <t>@drfahrettinkoca Sayın bakan Allah rızası için sizin de çoluk çoçuğunuz var ne karşılığında hasta almayı kabul ediy… https://t.co/OHl1SgPG3n</t>
  </si>
  <si>
    <t>1464727199265738759</t>
  </si>
  <si>
    <t>@drfahrettinkoca BAKANIM  Devlet hastanelerine de Bi El Atarsanız çok seviniriz</t>
  </si>
  <si>
    <t>1464726243056701443</t>
  </si>
  <si>
    <t>@drfahrettinkoca Ben sağlık çalışanı olarak hastaneden covit oldum benle bir iki kızım ayni anda covit olup dersler… https://t.co/4U4Fjugswd</t>
  </si>
  <si>
    <t>1464726206067130372</t>
  </si>
  <si>
    <t>@drfahrettinkoca Siz önce kendi bakanlığınız altında çalışan sağlıkçıların sorumluluğunu alın!</t>
  </si>
  <si>
    <t>1464724929849475076</t>
  </si>
  <si>
    <t>@drfahrettinkoca O kadar Afgan okadar Suriyeli  Türkmen tacik kaçak yetmedi bı milletin hastasına mi bakicaz</t>
  </si>
  <si>
    <t>1464723293135593474</t>
  </si>
  <si>
    <t>@drfahrettinkoca Maşallah bizde de vaka sayısı düşmüyor almanya ile ne fark vay yani ? Okullar açıldı açılalı vaka… https://t.co/TZalOhkPNO</t>
  </si>
  <si>
    <t>1464723275129536519</t>
  </si>
  <si>
    <t>@drfahrettinkoca Adamlar geliyor yok 1000 Euro bozdurdum ye ye bitmiyor diyenler şimdi başlar bakanım beni alın bur… https://t.co/meZ6FkYpxY</t>
  </si>
  <si>
    <t>1464723240652357634</t>
  </si>
  <si>
    <t>@drfahrettinkoca Tecrübesizler vakka sayılarını az gösteremiyorlar bizden öğreneceğin çok şey var Almanya gel eğitim al</t>
  </si>
  <si>
    <t>1464722975341654025</t>
  </si>
  <si>
    <t>@drfahrettinkoca Onları buraya taşımak yerine gönüllü sağlık personellerini oraya gönderebilirsiniz,mesela ben gönüllüyüm.✋</t>
  </si>
  <si>
    <t>1464722875152277521</t>
  </si>
  <si>
    <t>@drfahrettinkoca Vah zavallı almanya🥲 aşı henüz ulaşmamış mı oraya..? Hani tek çaremiz aşıydı..??</t>
  </si>
  <si>
    <t>1464722584856145920</t>
  </si>
  <si>
    <t>@drfahrettinkoca Yıllık üçyüzmilyar euro cari fazlası veren alman ekonomisi hastalarına bakamıyorda açlık sınırına… https://t.co/O0jDqfimd8</t>
  </si>
  <si>
    <t>1464722415691481097</t>
  </si>
  <si>
    <t>@drfahrettinkoca Aşıyı 'da Almanya bulmuştu</t>
  </si>
  <si>
    <t>1464722128729784322</t>
  </si>
  <si>
    <t>@drfahrettinkoca Zamanında geldiler tedavi olup gittiler benim vergimle tedavi olacaklar ve vergilerini buraya yatı… https://t.co/RIIO3VApVR</t>
  </si>
  <si>
    <t>1464722016813166606</t>
  </si>
  <si>
    <t>@drfahrettinkoca Aklımızla alay etmeyin. Yettiniz artık!</t>
  </si>
  <si>
    <t>1464721700508123145</t>
  </si>
  <si>
    <t>@drfahrettinkoca Vatandaşlarına soğan ekmek yiyin diyen bir parti başkasına gelince bonkör oluyor şaşılacak bir dur… https://t.co/jBg7j4XeF0</t>
  </si>
  <si>
    <t>1464721468542103555</t>
  </si>
  <si>
    <t>@drfahrettinkoca Sanane ve bize ne sanki biz adam akıllı toparlandıkta komşuyu dusuncez valla ne diyim ya bilemedim ki şimdi</t>
  </si>
  <si>
    <t>1464720950881095682</t>
  </si>
  <si>
    <t>@drfahrettinkoca Aylardır yüzlerce ölüm onbinlerce yeni vaka varken, hiç bir önlem almadan yol geçen hanı gibi her… https://t.co/f0KSNDNhTA</t>
  </si>
  <si>
    <t>1464720895361142786</t>
  </si>
  <si>
    <t>@drfahrettinkoca Arkadaşlar Almanyada 24 aydır amaliyat olmak için randevu bekliyorum. Malesef covid yüzünden mümkü… https://t.co/0JkMqUfcwY</t>
  </si>
  <si>
    <t>1464720662333992962</t>
  </si>
  <si>
    <t>@drfahrettinkoca Sayın bakanım hastanelerin poliklinikleri neredeyse bomboş ama randevu yok alınamıyor. Doktorlar M… https://t.co/PCNlEs3NMd</t>
  </si>
  <si>
    <t>1464720551252008965</t>
  </si>
  <si>
    <t>@drfahrettinkoca Siz vallahi de billahi de bak gerçekten nasır tutmuş artık o kadar pes!!! Oy simsarlari sizi...  B… https://t.co/Lc79tfucav</t>
  </si>
  <si>
    <t>1464719108843483138</t>
  </si>
  <si>
    <t>@drfahrettinkoca Keşke ülkemizde doktorların çalıştırıldığı berbat şartları düzeltmek için de sorumluluk alsanız. A… https://t.co/QPBLKAJG15</t>
  </si>
  <si>
    <t>1464718904048201732</t>
  </si>
  <si>
    <t>@drfahrettinkoca Sen kensi ülkene bak ülke dışına yardım yapmak senin büyük ve güçlü ülke yapmaz.</t>
  </si>
  <si>
    <t>1464718421678080008</t>
  </si>
  <si>
    <t>@drfahrettinkoca Almanya’ya görevlendirme talep ediyorum.  Bir daha dönersem ..🥲</t>
  </si>
  <si>
    <t>1464718404133302274</t>
  </si>
  <si>
    <t>@drfahrettinkoca Aşılar fosmu çıktı yoksa</t>
  </si>
  <si>
    <t>1464718398093414404</t>
  </si>
  <si>
    <t>@drfahrettinkoca Özel saglık sigortam var hiç devlet hastanesine gitmedim bugün bir yakınım göz doktoru için yanımd… https://t.co/NxfWgs98Xs</t>
  </si>
  <si>
    <t>1464716914475814919</t>
  </si>
  <si>
    <t>@drfahrettinkoca E hocam tabi dolarda altında Yükseldi malum zenginlerin daha da zengin olabilmesi için gündemi değ… https://t.co/ggtv9g4a0I</t>
  </si>
  <si>
    <t>1464716239314563075</t>
  </si>
  <si>
    <t>@drfahrettinkoca Biz hastanelerden randevu alamıyoruz adam almanyadaki vatandaşlara hizmet vermeyi düşünüyo yemin e… https://t.co/5KkVQOI8rR</t>
  </si>
  <si>
    <t>1464716237590745098</t>
  </si>
  <si>
    <t>@drfahrettinkoca Almanyandaki kardeşlerimize Allah tan şifalar diliyorum. Onlar awro yla geciniyorlar. Ekonomi sıkı… https://t.co/bkTBTIOr1a</t>
  </si>
  <si>
    <t>1464716200253005835</t>
  </si>
  <si>
    <t>@drfahrettinkoca Ah bakanım ah kendi agzinizla aslında aşıların etkisiz olduğunu ilan etmişsiniz farkında degilsiniz</t>
  </si>
  <si>
    <t>1464715973802577927</t>
  </si>
  <si>
    <t>@drfahrettinkoca Yazdım sildim haram olsun...</t>
  </si>
  <si>
    <t>1464715293448622085</t>
  </si>
  <si>
    <t>@drfahrettinkoca Mutasyonlar artık aşılıların mutasyonu!  Nüfusun çoğu aşılı olduğuna göre tehlike sinyallerini dik… https://t.co/hdxaCxk6Sj</t>
  </si>
  <si>
    <t>1464714194876522509</t>
  </si>
  <si>
    <t>@drfahrettinkoca 1 Euro=14,07 TL Almanya'da  en düşük hemşire maaşı 2500 Euro ... Türkiye'de en yüksek hemşire maaşı 4200 TL ... 🤔🤔</t>
  </si>
  <si>
    <t>1464713356988854273</t>
  </si>
  <si>
    <t>@drfahrettinkoca @halileldemir Sayın @RTErdogan  saglik bakanlığına 40.000 personel istihdam sözünü verdiniz ama he… https://t.co/tsrOFH9P61</t>
  </si>
  <si>
    <t>1469294955130728455</t>
  </si>
  <si>
    <t>@drfahrettinkoca @jsarieroglu Bizde buradaki yabancıları yollayalım o zaman kendi ülkelerine,olur mu ? Sanki biz ço… https://t.co/NekdgkELwd</t>
  </si>
  <si>
    <t>1465080029667287044</t>
  </si>
  <si>
    <t>@drfahrettinkoca Sizin derdiniz degil siz ulkedekilere hizmet sunamiyorsunuz ki kalkmis avrupada ki turklere kafani… https://t.co/AQLucST3xR</t>
  </si>
  <si>
    <t>1465075710314393602</t>
  </si>
  <si>
    <t>@drfahrettinkoca Sayın Bakanım #FahrettinKoca maral aplayı  bit yavrusuna çevirmiş siniz🤜🤜.  Bizim oralarda  bit ya… https://t.co/Y0edY68bay</t>
  </si>
  <si>
    <t>1465065415072169986</t>
  </si>
  <si>
    <t>@drfahrettinkoca @drfahrettinkoca  bizde ülkemizde kıtlıkla yoklukla sınanıyoruz avrupa ülkeleri bize yardım ediyor… https://t.co/JL4NJzfIUE</t>
  </si>
  <si>
    <t>1465061833124032517</t>
  </si>
  <si>
    <t>@drfahrettinkoca @refik_ozen16 Şaşkınlık mı, akıl tutulması hali mi?…</t>
  </si>
  <si>
    <t>1465061511743905809</t>
  </si>
  <si>
    <t>@drfahrettinkoca Bundan bize ne</t>
  </si>
  <si>
    <t>1465060873932845057</t>
  </si>
  <si>
    <t>@drfahrettinkoca Senin yoğun bakım ünitelerin dolduğunda ne yapıyorsun bakan efendi? Rahmetli anneannem 19 saat bir… https://t.co/e1Uoa4RhDb</t>
  </si>
  <si>
    <t>1465059479448399876</t>
  </si>
  <si>
    <t>@drfahrettinkoca Şecaat arz ederken sirkatin söylemiş, Avrupa’da yaşayan 5 Milyon Türkiye’li Alman sosyal güvenlik… https://t.co/8bbbVng6Vk</t>
  </si>
  <si>
    <t>1465052567969353732</t>
  </si>
  <si>
    <t>@drfahrettinkoca Şehir hastaneleri boş kalsa boş kalsın diyemi yapıldı dersiniz, doldursalar hasta begenmezsiniz. S… https://t.co/eVf31zr87P</t>
  </si>
  <si>
    <t>1465051577769672716</t>
  </si>
  <si>
    <t>@drfahrettinkoca Fetonun sevimlisi.15.temuz...gecti.olamadiniz.sidide.onlarla.gelirik.saniyorsunuz.hirsinizi.alamad… https://t.co/mBVFGfRy5Z</t>
  </si>
  <si>
    <t>1465048366010753026</t>
  </si>
  <si>
    <t>@drfahrettinkoca Orda yiyip içsinler. Bu ülkeye hiç bir yararı olmasın ve hasta insanlarımız deyip ülkeye almanız siyaset değil BAKAN.</t>
  </si>
  <si>
    <t>1464745358886645765</t>
  </si>
  <si>
    <t>@drfahrettinkoca @mustafasenbd Bunlar biz gurbetçilere de Suriyeli muamelesi yapar</t>
  </si>
  <si>
    <t>1464743968810352641</t>
  </si>
  <si>
    <t>@drfahrettinkoca Ben SGK emeklisi olarak prim ödediğim SGK'nın Saglik hizmetlerinden,muayene,ilaç ve reçete katılım… https://t.co/SfHs4TsXU5</t>
  </si>
  <si>
    <t>1464743757627240452</t>
  </si>
  <si>
    <t>@drfahrettinkoca Sayın bakan peki daha ülkedeki vatandaşların telefonunu yerimiz yok diye kapatan dopdolu yoğun bak… https://t.co/WNavGXgrLk</t>
  </si>
  <si>
    <t>1464743398779367428</t>
  </si>
  <si>
    <t>@drfahrettinkoca Sayın bakan, esas siyaset yapan sizsiniz. Siz, SMA hastalarının da bakanı değilmisiniz? 21. Yüzyıl… https://t.co/mR0CcLXgLN</t>
  </si>
  <si>
    <t>1464743090552516612</t>
  </si>
  <si>
    <t>@drfahrettinkoca İyi toplayın o zaman tüm dünyayı kaldırın sınırları ülkelerin var mı böyle bir mantık Avrupa ne de… https://t.co/WKwGqACdpc</t>
  </si>
  <si>
    <t>1464742832653094921</t>
  </si>
  <si>
    <t>@drfahrettinkoca Bizimkiler boş mu?</t>
  </si>
  <si>
    <t>1464741792700641282</t>
  </si>
  <si>
    <t>@drfahrettinkoca Alman yunan İngiliz İtalyan,bana onlardan söz etmeyin, ben kendi ülkeme bakarım,  bu illette ne kadar başarılıyız</t>
  </si>
  <si>
    <t>1464741705232572419</t>
  </si>
  <si>
    <t>@drfahrettinkoca Siz kendi emekçilerinizi vatandaşınızı koruyun önce.. Elin covid lisi çok önemli, tamamen duygusal.</t>
  </si>
  <si>
    <t>1464741300750761987</t>
  </si>
  <si>
    <t>@drfahrettinkoca Hem yandaş hem komiksiniz. 5 milyon Türk covit mi olmuş oralarda! Siyasetin krali sende sende</t>
  </si>
  <si>
    <t>1464741217107943436</t>
  </si>
  <si>
    <t>@drfahrettinkoca Sayın bakanım, yorumlara baktım da kimse yemiyor artık bu hamaset söylemlerini!! Yahu önce kendi v… https://t.co/wWo9Q8gfPr</t>
  </si>
  <si>
    <t>1464740719978024960</t>
  </si>
  <si>
    <t>@drfahrettinkoca Sayın bakan, biz kendi götümüzü doğrulttuk mu ki başkasının donunu yukarı çekiyoruz. Bizde vaka sa… https://t.co/EQpNnZz0qd</t>
  </si>
  <si>
    <t>1464738108906352646</t>
  </si>
  <si>
    <t>@drfahrettinkoca Avrupada yaşayan Turklerden bizene onların yaşadığı ulkeler de hastane yokmu yahu aylardır hastane… https://t.co/mVlDnsgeY3</t>
  </si>
  <si>
    <t>1464737991394476037</t>
  </si>
  <si>
    <t>@drfahrettinkoca Sağlık sigortası Primi ödedikleri Almanya bakmayacak, benim pirimlerimle ayakta duran,benden her m… https://t.co/BqYG8a5ztA</t>
  </si>
  <si>
    <t>1464737545946910724</t>
  </si>
  <si>
    <t>@drfahrettinkoca Eski mesleğine geri dönmüş, yalancı bakan.</t>
  </si>
  <si>
    <t>1464736717198532611</t>
  </si>
  <si>
    <t>@drfahrettinkoca Sn. Fahrettin Koca ülkemizde artan mobing sağlıkçılarımızın fakirlik sınırının altında maaş alması… https://t.co/NZ1IRKW0mZ</t>
  </si>
  <si>
    <t>1464736650479771649</t>
  </si>
  <si>
    <t>@drfahrettinkoca Turizm  bitmesin tabi</t>
  </si>
  <si>
    <t>1464736485240938500</t>
  </si>
  <si>
    <t>@drfahrettinkoca Lütfen artık yeter şu ab nin uşağı olmaktan kendimizi küçültmekten vazgeçelim.</t>
  </si>
  <si>
    <t>1464736349462880265</t>
  </si>
  <si>
    <t>@drfahrettinkoca Hastanesi olandan okulu olandan oteli olandan fabrikası olandan #BakanOlmaz</t>
  </si>
  <si>
    <t>1464736064900370439</t>
  </si>
  <si>
    <t>@drfahrettinkoca Sayın @drfahrettinkoca 5 milyon covidli hasta getirmek yerine Wilson hastalarının ilaçlarını yurt… https://t.co/J0p0lyiEbL</t>
  </si>
  <si>
    <t>1464735884432052227</t>
  </si>
  <si>
    <t>@drfahrettinkoca Gene yanlış yaptığınız.Para için yapmayacagınız iş yok.</t>
  </si>
  <si>
    <t>1464733844658081799</t>
  </si>
  <si>
    <t>@drfahrettinkoca Bu ne? Bize ne Avrupa'da yaşayan Türklerden? Avrupa'da yaşayan Türkler oranın sağlık sistemini öve… https://t.co/NFUsXSpeYk</t>
  </si>
  <si>
    <t>1464733336820142094</t>
  </si>
  <si>
    <t>@drfahrettinkoca Babamı ve teyzemi covidden kaybettim.Hastanelerde hastalar kaderlerine terk ediliyor.Televizyonlar… https://t.co/jTZqKpmfml</t>
  </si>
  <si>
    <t>1464733256759271428</t>
  </si>
  <si>
    <t>@drfahrettinkoca Sayın bakanım boşuna nefesinizi tüketmeyin bunlar sizin anlatığınızı anlamaz çünkü işlerine gelmez… https://t.co/vFl59qCF1u</t>
  </si>
  <si>
    <t>1464733010704613386</t>
  </si>
  <si>
    <t>@drfahrettinkoca Devlet Liyakat,Liyakat,Liyakat;Fahrettin KOCA</t>
  </si>
  <si>
    <t>1464731975172993029</t>
  </si>
  <si>
    <t>@drfahrettinkoca Bakanliginizca tum doktorlar ve saglikcilar adina karar alamazsiniz. Burada yorgunluktan nobetlerd… https://t.co/W2gMeu39Uc</t>
  </si>
  <si>
    <t>1464730612867215372</t>
  </si>
  <si>
    <t>@drfahrettinkoca Yahu bu partiye üye olununca , ya da bu parti tarafından bakan olarak atanınca , yalan söyleceğini… https://t.co/dLBRBM9qCX</t>
  </si>
  <si>
    <t>1464730106329505798</t>
  </si>
  <si>
    <t>@drfahrettinkoca Yeni varyant için kimlerin hesabına ne kadar dolar euro yattı bir incelemek lazım</t>
  </si>
  <si>
    <t>1464729882928287756</t>
  </si>
  <si>
    <t>@drfahrettinkoca Vatandaşına sahip çıkmak budur tebrikler 👏👍🇹🇷</t>
  </si>
  <si>
    <t>1464729878385807366</t>
  </si>
  <si>
    <t>@drfahrettinkoca Sayın bakanım @drfahrettinkoca  ordaki vatandaşları buraya getirip mağdur etmeyin bence! eşim ista… https://t.co/F3oWLjVCBk</t>
  </si>
  <si>
    <t>1464729100661276673</t>
  </si>
  <si>
    <t>@drfahrettinkoca beyefendi okulunuzun shuttlelarını kullanıma geri döndürebilir misiniz lütfen ya ası ması bir sey… https://t.co/sLDijkYdnI</t>
  </si>
  <si>
    <t>1464728552587370501</t>
  </si>
  <si>
    <t>@drfahrettinkoca Hasta başına para mı verecekler, hastane yataklarını mı satar hale geldiniz? Yoksa vatandaş adına… https://t.co/ubG1UdzcRQ</t>
  </si>
  <si>
    <t>1464727259999350787</t>
  </si>
  <si>
    <t>@drfahrettinkoca E bunu yalanlasaydın ya madem öyleydi. Adam seni etiketlemiş hem de. Karakolda doğru söyleyip mahk… https://t.co/8NKX7cmxsM</t>
  </si>
  <si>
    <t>1464727136678383625</t>
  </si>
  <si>
    <t>@drfahrettinkoca $$$$$$$€€€€€€€€😂</t>
  </si>
  <si>
    <t>1464726951990546433</t>
  </si>
  <si>
    <t>@drfahrettinkoca Biz 1,5 yıldır normal hayata geçtik burda hala bitmedimi corona bizim aileyi beyenmedi galiba,yoks… https://t.co/lAGezUj6WO</t>
  </si>
  <si>
    <t>1464726417346904064</t>
  </si>
  <si>
    <t>@drfahrettinkoca Düşünün Aşı Almanyada üretiliyor</t>
  </si>
  <si>
    <t>1464726240573669377</t>
  </si>
  <si>
    <t>@drfahrettinkoca size para versinler yeter.</t>
  </si>
  <si>
    <t>1464725702247387148</t>
  </si>
  <si>
    <t>@drfahrettinkoca O insanlar alman vatandaşı değilmi oraya vergi ödemiyorlarmı. Turist olarakmı gidip covid olmuşlar .</t>
  </si>
  <si>
    <t>1464724982378991626</t>
  </si>
  <si>
    <t>@drfahrettinkoca #VelilerEndişeliOnlineGelmeli</t>
  </si>
  <si>
    <t>1464724461844901892</t>
  </si>
  <si>
    <t>@drfahrettinkoca Yalan soyluyorsunuz! Anlasma Avrupa’da yasayan Turk vatandaslariyla sinirli degil. Bir kere de ada… https://t.co/gde9DkZOdD</t>
  </si>
  <si>
    <t>1464723946926915586</t>
  </si>
  <si>
    <t>@drfahrettinkoca Biz hastaneden randevu alamıyoken mi sayın bakan</t>
  </si>
  <si>
    <t>1464723944074846210</t>
  </si>
  <si>
    <t>@drfahrettinkoca Hocam boş ver. Hastaneler saraylar bizim. Onlar gelmez oralara. Onların sağlık sektöründe dönen pa… https://t.co/hNNBa1uAx2</t>
  </si>
  <si>
    <t>1464723435330977799</t>
  </si>
  <si>
    <t>@drfahrettinkoca Bence istifa edin. Her gün yüzlerce Türk insanı ölüyor, çözüm bulacağınıza edebiyat yapıyorsunuz.</t>
  </si>
  <si>
    <t>1464723147932983305</t>
  </si>
  <si>
    <t>@drfahrettinkoca Kimse kimsenin rızğını  yiyemez   içecek suları varsa rabbim  onları buraya getirir  mevla görelim… https://t.co/e4saoPXwK2</t>
  </si>
  <si>
    <t>1464722593458626569</t>
  </si>
  <si>
    <t>@drfahrettinkoca Hocam hepimizin İngilizcesi var ve Dsö direktörü ne demek istedi biliyoruz. Artık lütfen kıvırmala… https://t.co/iNrSpdvzPK</t>
  </si>
  <si>
    <t>1464721989525020680</t>
  </si>
  <si>
    <t>@drfahrettinkoca https://t.co/r50gyoHYaJ</t>
  </si>
  <si>
    <t>1464721253600837632</t>
  </si>
  <si>
    <t>@drfahrettinkoca 9 ay yalan covid rakam gösterdin. Sana mı güveneceğiz?</t>
  </si>
  <si>
    <t>1464721233443008515</t>
  </si>
  <si>
    <t>@drfahrettinkoca Eskiden özenirdik,Amerika dünyanın neresinde olursa olsun vatandaşını bırakmaz getirir diye,şimdi… https://t.co/jp8aTr9vxR</t>
  </si>
  <si>
    <t>1464720673918574597</t>
  </si>
  <si>
    <t>@drfahrettinkoca Bir torpil yapsanız da cildiyeden bu sene randevu alabilsek.</t>
  </si>
  <si>
    <t>1464720629240840194</t>
  </si>
  <si>
    <t>@drfahrettinkoca @meral_aksener bir kez dogru anlayın sizinde bulasmadiginiz bir sağlık kalmıştı onada el attiniz t… https://t.co/Jh09d3JNPw</t>
  </si>
  <si>
    <t>1464720582650572801</t>
  </si>
  <si>
    <t>@drfahrettinkoca Sen yalancisin fahrettin. Bu rezil teklifin yuzunden tek bir insan hastalanir ya da vefat ederse, vebali senindir.</t>
  </si>
  <si>
    <t>1464720413888552968</t>
  </si>
  <si>
    <t>@drfahrettinkoca Vallahi korkulur sizden bizim hastaları hastaneden dışarı atar yabancıları alırsınız</t>
  </si>
  <si>
    <t>1464720381588168709</t>
  </si>
  <si>
    <t>@drfahrettinkoca Ambulans uçak showları Out, Covid pozitif gurbetçi transferi in.! 🤷🤦</t>
  </si>
  <si>
    <t>1464720099319992328</t>
  </si>
  <si>
    <t>@drfahrettinkoca Sayın Bakanım. Sizi tebrik ederim.  Sağlık sistemimizin Avrupa'dan daha iyi olduğuna bazılarını ik… https://t.co/AEIR8y1jVn</t>
  </si>
  <si>
    <t>1464719618308771841</t>
  </si>
  <si>
    <t>@drfahrettinkoca Öğrenci olarak giden veya geçici olarak ikamet edenlere tamam ama orada kalıcı olarak yaşayanlarda… https://t.co/huMnuPfkNE</t>
  </si>
  <si>
    <t>1464719398602690565</t>
  </si>
  <si>
    <t>@drfahrettinkoca Siz anneleri duymayın sağlıkla ilgili mücadelemizi görmeyin siyasetçilere cevap verin oyy oyy fahr… https://t.co/sMEmaVGViR</t>
  </si>
  <si>
    <t>1464719194436612096</t>
  </si>
  <si>
    <t>@drfahrettinkoca Sağlık çalışanların yükü azdı iyi oldu ne o öyle biraz çalışmış olurlar.</t>
  </si>
  <si>
    <t>1464718793964494849</t>
  </si>
  <si>
    <t>@drfahrettinkoca Gemi batarken kaptan göbek atıyor. Şovu bırakın. Taşerona kiralanan şehir hastanelerinde mi şov ya… https://t.co/bzzfs0EWUH</t>
  </si>
  <si>
    <t>1464718687018135558</t>
  </si>
  <si>
    <t>@drfahrettinkoca Benim vergimle benden 10kat iyi geçinen insanı tedavi ediceksin! Bu nasıl iş? Millet hastanede dok… https://t.co/ftn2OSShnZ</t>
  </si>
  <si>
    <t>1464717557315870720</t>
  </si>
  <si>
    <t>@drfahrettinkoca Attığı twitten Hans Kluge’nin sizi yanlış anladığı görülüyor; yani TC vatandaşlığı da olan Almanya… https://t.co/wJrxh2ebQC</t>
  </si>
  <si>
    <t>1464717457692803076</t>
  </si>
  <si>
    <t>@drfahrettinkoca sayın bakanım mala anlatır gibi anlatın  belki anlar.</t>
  </si>
  <si>
    <t>1464717280194052100</t>
  </si>
  <si>
    <t>@drfahrettinkoca Hemen üzerinden siyaset yaptı diye ağlıyosunuz. Yeni mutasyonda yayılıyorken akıl işi mi sizin yaptığınız?</t>
  </si>
  <si>
    <t>1464716958713139212</t>
  </si>
  <si>
    <t>@drfahrettinkoca Kulağına yalanı üflemişler bu da hemen üstüne atlamış yazık...</t>
  </si>
  <si>
    <t>1464716782208491523</t>
  </si>
  <si>
    <t>@drfahrettinkoca Peki burada ki yogun bakim bölümleri dolarsa bu ulkede yasayan bütün vergilerini veren vatandaşlar icin bir sıkıntı olursa</t>
  </si>
  <si>
    <t>1464716577241280522</t>
  </si>
  <si>
    <t>@drfahrettinkoca Sayin Koca Alman sorumlu tweet de kovid hastalari diye ifade ediyor turk vatandaslari ifadesi gecm… https://t.co/5lxFerobK6</t>
  </si>
  <si>
    <t>1464716045919391756</t>
  </si>
  <si>
    <t>@drfahrettinkoca Almanya kendi hastasını Türkiye'de ücretsiz bir şekilde tedavi ettirmeyi aklının ucundan geçiremez… https://t.co/18tS1x5qsd</t>
  </si>
  <si>
    <t>1464716040466833410</t>
  </si>
  <si>
    <t>@drfahrettinkoca Gerçekleri söyleyememek de bir hastalık değil mi?</t>
  </si>
  <si>
    <t>1464715375841529863</t>
  </si>
  <si>
    <t>@drfahrettinkoca Türkiye’de ki sıvı karşıtları yüzünden avrupa da yoğun bakımlarda yer yok bir isveç -ambulans uçak… https://t.co/bhQjxp0DTm</t>
  </si>
  <si>
    <t>1464715324733935621</t>
  </si>
  <si>
    <t>@drfahrettinkoca almanya da onlara bakmıyorlarmı ki getireceğiz diyorsunuz.hem aşıyı bulan olanlar değilmi...anlaşılmaz bir durum</t>
  </si>
  <si>
    <t>1464714969145094163</t>
  </si>
  <si>
    <t>@drfahrettinkoca Allah Devletimize zeval vermesin</t>
  </si>
  <si>
    <t>1464714841973735428</t>
  </si>
  <si>
    <t>@drfahrettinkoca Hocam yapma sen de biliyorsun işin aslını.</t>
  </si>
  <si>
    <t>1464714832834408448</t>
  </si>
  <si>
    <t>@drfahrettinkoca benim maasimdan vergi almiyormusunuz aliyorsunuz.kalp rahatsizligim var diye hastaneye gidiyorum 1… https://t.co/JAXMmMMWWb</t>
  </si>
  <si>
    <t>1464714410031824904</t>
  </si>
  <si>
    <t>@drfahrettinkoca Yani diyorki bakan Türk sağlık çalışanlarımız ölebilir ödemesini döviz olarak alıyoruz ...</t>
  </si>
  <si>
    <t>1464714403752853516</t>
  </si>
  <si>
    <t>@drfahrettinkoca Üzülmeyin bildiginiz üzere! verin hepsine bir çok personelinizin kullandığı UB20O8 Anyonik Oksijen… https://t.co/e7aJ0nCnyM</t>
  </si>
  <si>
    <t>1464714209837694976</t>
  </si>
  <si>
    <t>@drfahrettinkoca Sayın Meral Akşener in siyaset yaptığı bir kelime göremedim ama sizin 5 milyon ifadenizde 5 milyon… https://t.co/hnj8G7a8x1</t>
  </si>
  <si>
    <t>1464714125385338882</t>
  </si>
  <si>
    <t>@drfahrettinkoca Sayın koca istifa et bence çünkü söylediğinde olanlar Birbirini hiç tutmuyor</t>
  </si>
  <si>
    <t>1464714063691276289</t>
  </si>
  <si>
    <t>@drfahrettinkoca Sen önce bu sıvılar üzerinden oynanan oyunları gör de ondan sonra laf yetiştirmeye uğraş.Yoksa sen… https://t.co/kLhN2qWYZj</t>
  </si>
  <si>
    <t>1464714054791045127</t>
  </si>
  <si>
    <t>@drfahrettinkoca @meral_aksener sonuna kadar doğruyu söylemiş.!! Kendi ülkemizdeki vatandaşın durumu ne olacak.??… https://t.co/QOaQnSl9aP</t>
  </si>
  <si>
    <t>1464714017998614532</t>
  </si>
  <si>
    <t>@drfahrettinkoca İyi attın ...</t>
  </si>
  <si>
    <t>1464713935496613888</t>
  </si>
  <si>
    <t>@drfahrettinkoca Ne gibi bir ödenek yapılıyor bunun için garibim Türkiye ye</t>
  </si>
  <si>
    <t>1464713658408259588</t>
  </si>
  <si>
    <t>@drfahrettinkoca Yersen 😂😂😂</t>
  </si>
  <si>
    <t>1464713631283699719</t>
  </si>
  <si>
    <t>@drfahrettinkoca İstemiyoruz sayın bakanım ithal hastaları, çok mu zor vatandaşa kulak vermeniz???</t>
  </si>
  <si>
    <t>1464713601655226378</t>
  </si>
  <si>
    <t>@drfahrettinkoca Herkes kendi çöplüğünde demetlensin bi zahmet</t>
  </si>
  <si>
    <t>1464713365746597898</t>
  </si>
  <si>
    <t>@drfahrettinkoca Sayın koca söz konusu olan önce bizleriz, bize hastanelerde yer yok deyip , Avrupa ,Avrupa parası… https://t.co/831KkE2Drc</t>
  </si>
  <si>
    <t>1464713189053157385</t>
  </si>
  <si>
    <t>@drfahrettinkoca Beylik sözlerle çıkıp konuşuyorsun. Yapılan hizmetler saymakla bitmez. Siz ise bu memlekette kaos… https://t.co/u4DcKs0sR9</t>
  </si>
  <si>
    <t>1466515657500016641</t>
  </si>
  <si>
    <t>@drfahrettinkoca Sayın bakanım siyasete neler alet edilmiyor ki. Bizler sizi taktir ediyoruz. Hizmete devam</t>
  </si>
  <si>
    <t>1466514700376715268</t>
  </si>
  <si>
    <t>@drfahrettinkoca Sn.Bakanim bu Tweetiniz ardindan bugun daha onceden planladigimiz Guney Afrika seyahatimizi iptal… https://t.co/IGbIEsiQVR</t>
  </si>
  <si>
    <t>1468233193383936001</t>
  </si>
  <si>
    <t>@drfahrettinkoca Sayın bakan ; THY seferlerimiz devam ediyor diyerek bilet iadesini kesintili yapıyor. Sizin talima… https://t.co/6p4526xnvN</t>
  </si>
  <si>
    <t>1468230658241830912</t>
  </si>
  <si>
    <t>@drfahrettinkoca Binamızda 2 aile covite yakalandılar. Millet hala inanmıyor ancak başına gelince inanıyor. Herkes… https://t.co/4nwrhn6anc</t>
  </si>
  <si>
    <t>1465088759322525697</t>
  </si>
  <si>
    <t>1464382728581918721</t>
  </si>
  <si>
    <t>@drfahrettinkoca 3 ayda bir varyant değiştiren virüsün aşısı mi.olur? Milletle kafa bulmayin</t>
  </si>
  <si>
    <t>1464382723666100228</t>
  </si>
  <si>
    <t>@drfahrettinkoca İyice çocuk oyuncağına döndü bu iş.</t>
  </si>
  <si>
    <t>1464381986630520833</t>
  </si>
  <si>
    <t>@drfahrettinkoca Syn bakan biraz erkene almislar@neden acaba mart 2022 de aslinda NU varyanti acaba millet artik@uy… https://t.co/SuKq9jQXyG</t>
  </si>
  <si>
    <t>1464381375142842369</t>
  </si>
  <si>
    <t>@drfahrettinkoca Papua Yine Gine de dahil mi çok sayın bakanım....?</t>
  </si>
  <si>
    <t>1464381140383506433</t>
  </si>
  <si>
    <t>@drfahrettinkoca https://t.co/UIyAh4IgdQ</t>
  </si>
  <si>
    <t>1464380255293087755</t>
  </si>
  <si>
    <t>@drfahrettinkoca Ya amk bu adamlar çiğ çiğ insan yiyo çıkmış hava kara bilmem ne zıngıldıyon herifler uçağa mızrak atıyo</t>
  </si>
  <si>
    <t>1464379657382510594</t>
  </si>
  <si>
    <t>@drfahrettinkoca Gün  gelipte grip  olduğumuzda, bu takılan sacma sapan akıl  dışı   lakaplarla,  baska   bir yerle… https://t.co/1ixgie0J8V</t>
  </si>
  <si>
    <t>1464378488421502978</t>
  </si>
  <si>
    <t>@drfahrettinkoca Acil 9-12 yaş,kronik hastalıkları olan cocukların aşılanması.</t>
  </si>
  <si>
    <t>1464378301020057608</t>
  </si>
  <si>
    <t>@drfahrettinkoca Uzaktan eğitim istiyoruz duyun sesimizi lütfen</t>
  </si>
  <si>
    <t>1464377974929735689</t>
  </si>
  <si>
    <t>@drfahrettinkoca Bu saydığınız ülkelerden turist gelse bizim ülkeye döviz girse onuda kapatmazsınız diye düşünüyorum...</t>
  </si>
  <si>
    <t>1464377361672069121</t>
  </si>
  <si>
    <t>@drfahrettinkoca O kadar çok sağlığımızı düşünüyorsunuz ki vallahi gözlerim yaşarıyor. Allahtan başka hiç bir şeyde… https://t.co/DKnrt3YKRf</t>
  </si>
  <si>
    <t>1464376841855287303</t>
  </si>
  <si>
    <t>@drfahrettinkoca Bu varyanta yapılan aşılar da etki etmiyormuş Sayın bakanım nolcak şimdi doz doz vurulan aşılar, h… https://t.co/4GTwrVYdUg</t>
  </si>
  <si>
    <t>1464375170504736779</t>
  </si>
  <si>
    <t>@drfahrettinkoca Online eğitim sistemine geçilmeli acilen.</t>
  </si>
  <si>
    <t>1464375167266742276</t>
  </si>
  <si>
    <t>@drfahrettinkoca İşte böyle önlemler şart 👏🏻</t>
  </si>
  <si>
    <t>1464374714982359045</t>
  </si>
  <si>
    <t>@drfahrettinkoca Yabancı ülkeden covid hastasını neden kabul ettiniz onu açıklarmısınız.</t>
  </si>
  <si>
    <t>1464374045563146240</t>
  </si>
  <si>
    <t>@drfahrettinkoca Hocam boşa dil döküyorsunuz. Korona bitmiş!</t>
  </si>
  <si>
    <t>1464373264172699660</t>
  </si>
  <si>
    <t>@drfahrettinkoca 2 senedir korku pompaladiginiz yetmedi bir 2 sene daha sizi cekemeyiz yeter artık insanları rahat bırakın !!!</t>
  </si>
  <si>
    <t>1464372742367723537</t>
  </si>
  <si>
    <t>@drfahrettinkoca Aşı Bir işe yaramıyor filim yapmayın</t>
  </si>
  <si>
    <t>1464372706888015872</t>
  </si>
  <si>
    <t>@drfahrettinkoca AB ülkeleri ve Büyük Britanya'nın dümen suyundan gidiyosunuz anlaşılan Fahrettin bey. Lâkin "Kılav… https://t.co/s1xttQjFdP</t>
  </si>
  <si>
    <t>1464372345330716681</t>
  </si>
  <si>
    <t>@drfahrettinkoca Tuh yaa hazır vizelerde kalkmıştı :))</t>
  </si>
  <si>
    <t>1464372098172870657</t>
  </si>
  <si>
    <t>@drfahrettinkoca Bende kehanette bulunayım.. Ya bu yeni hap etkili olacak bu varyanta yada aşılar 3. Doz az 4. Doz… https://t.co/RDd3zFR2cU</t>
  </si>
  <si>
    <t>1464372057521766403</t>
  </si>
  <si>
    <t>@drfahrettinkoca Bir hizmet/ürün var, müşteri ve hizmet eden/satıcı var. Nasıl bir iş ki bu, müşteri hizmetten şika… https://t.co/RIDEuR4dpU</t>
  </si>
  <si>
    <t>1464371279256031235</t>
  </si>
  <si>
    <t>@drfahrettinkoca Ne tedbirinden bahsediyorsun sen daha yeni avrupada ki covid li hastalari Türkiye' ye kabul ediyor… https://t.co/Apy8Wr4Gyl</t>
  </si>
  <si>
    <t>1464371099475619845</t>
  </si>
  <si>
    <t>@drfahrettinkoca Bence Afrika ülkelerinin tamamına kapanmalı</t>
  </si>
  <si>
    <t>1464370975303258114</t>
  </si>
  <si>
    <t>@drfahrettinkoca Kapanmalar loading😔</t>
  </si>
  <si>
    <t>1464370667327995904</t>
  </si>
  <si>
    <t>@drfahrettinkoca Bakanım bizi bosverin siz sma hastası olan bebeklerle ilgilenin onlari kurtarın onlara yurt dışınd… https://t.co/AgQPhsGPPJ</t>
  </si>
  <si>
    <t>1464370083548045320</t>
  </si>
  <si>
    <t>@drfahrettinkoca İşte herşey böyle başladı!</t>
  </si>
  <si>
    <t>1464370079664156678</t>
  </si>
  <si>
    <t>@drfahrettinkoca Hocam okullar okullar ölüp gidicez yaw</t>
  </si>
  <si>
    <t>1464369983379628041</t>
  </si>
  <si>
    <t>@drfahrettinkoca Sayın bakan başta bilim kurulu üyeleri olmak üzere TTB ve tüm aşı sevdalısı Dr lar tarafından ilk… https://t.co/tGsOTs2R1x</t>
  </si>
  <si>
    <t>1464369179524481029</t>
  </si>
  <si>
    <t>@drfahrettinkoca Bu isimlerin listesi yayinlandi daha once tum saglikcilar dunya ulkeleri olarak sizler insanlara n… https://t.co/doXpGKKdjN</t>
  </si>
  <si>
    <t>1464368586856841218</t>
  </si>
  <si>
    <t>@drfahrettinkoca Hocam,çocuklar aşısız😥 Bakın Hollanda Pazar günü kapanma kararı aldı üstelik vaka Türkiye üzerinde… https://t.co/dxuI6YLCH6</t>
  </si>
  <si>
    <t>1464367736834904066</t>
  </si>
  <si>
    <t>@drfahrettinkoca MU varyantı bitti mi? NU dan sonra LU varyantı mı? :)</t>
  </si>
  <si>
    <t>1464367654928584707</t>
  </si>
  <si>
    <t>@drfahrettinkoca Dilin kemiği yok habire salla dur Twitter'da başka bir halt ettiğin yok, ağzından çıkanı kulağın d… https://t.co/4bY7H8VnoD</t>
  </si>
  <si>
    <t>1464367355966939148</t>
  </si>
  <si>
    <t>@drfahrettinkoca Böyle ol işte bakanım erkenden tedbirini al</t>
  </si>
  <si>
    <t>1464367096733880334</t>
  </si>
  <si>
    <t>@drfahrettinkoca Diğer ulkelere kapatsana sen para gelmeyen yerlere kapatiyorsun Fahrettin sende işini biliyorsun ha gelsin paracıklar ...</t>
  </si>
  <si>
    <t>1464367009311993867</t>
  </si>
  <si>
    <t>@drfahrettinkoca Sn Bakanım Allah aşkına gidin artık. Dolardaki küresel oyunu  gören  hükümetimiz salgındaki oyunu… https://t.co/UHqeFmEOo7</t>
  </si>
  <si>
    <t>1464367000592031747</t>
  </si>
  <si>
    <t>@drfahrettinkoca Atamalar nerde bakanım atamalarrrr</t>
  </si>
  <si>
    <t>1464366931926990848</t>
  </si>
  <si>
    <t>@drfahrettinkoca Avrupa'da görülen vaka Türkiye üzerinden hareket etmiş ❗😥 https://t.co/hPfFYcijlA</t>
  </si>
  <si>
    <t>1464366763009785864</t>
  </si>
  <si>
    <t>@drfahrettinkoca Olsun olsun gelmiştir o çoktan hiç boşuna uğraşmayın. Size de bahane çıktı işte ne güzel, gelsin k… https://t.co/tngObIaDQ3</t>
  </si>
  <si>
    <t>1464366724778979330</t>
  </si>
  <si>
    <t>@drfahrettinkoca @emrkongar e tabi bunlar parasız ülkeler 😂😂😂</t>
  </si>
  <si>
    <t>1464366428186886157</t>
  </si>
  <si>
    <t>@drfahrettinkoca Şimdide Nu varyantımı çıktı , bu isimleri nerden buluyorsunuz !!</t>
  </si>
  <si>
    <t>1464365407201079296</t>
  </si>
  <si>
    <t>@drfahrettinkoca Yeni varyant 😀 aşılar korumuyor diyemeyeceklerıne göre yenı varyant cıktı aşılıları da etkılıyor demek daha mantıklı tabi</t>
  </si>
  <si>
    <t>1464365319678537737</t>
  </si>
  <si>
    <t>@drfahrettinkoca @saglikbakanligi Korona ile uğraşıyorsunuz da şu Kanser tedavisi goren hastaların ithal BCG SSI, Ş… https://t.co/biwc6qSkAg</t>
  </si>
  <si>
    <t>1464365206524641283</t>
  </si>
  <si>
    <t>@drfahrettinkoca @saglikbakanligi Korona ile uğraşıyorsunuz da şu Kanser tedavisi goren hastaların ithal BCG SSI, Ş… https://t.co/6cKwpz2ecs</t>
  </si>
  <si>
    <t>1464364786817421318</t>
  </si>
  <si>
    <t>@drfahrettinkoca Botsvana ve mamibya bağlantılarının kesilmesine üzüldüm. Mega projelerin hepsi askıya alınacak, tu… https://t.co/mko3mWNlkV</t>
  </si>
  <si>
    <t>1464364784602779658</t>
  </si>
  <si>
    <t>@drfahrettinkoca Para için yapamayacağınız şey yok https://t.co/c4kNkgRhj8</t>
  </si>
  <si>
    <t>1464363405704409097</t>
  </si>
  <si>
    <t>@drfahrettinkoca Bakanım yüzyuzedede slayttan işliyoruz online da slayttan işleriz hepimizin hakkına girmeyin #VelilerdeOnlineİstiyor</t>
  </si>
  <si>
    <t>1464363352944173063</t>
  </si>
  <si>
    <t>@drfahrettinkoca Mu ne olduydu Nu ya geçtik bu deneysel sıvılar bulununca hangi varyanttaydık geniş spektrumlu gen… https://t.co/VmzdmbDNZb</t>
  </si>
  <si>
    <t>1464362772666458118</t>
  </si>
  <si>
    <t>@drfahrettinkoca Türkiye Namibya ile kara sınırını kapatamaz. Bunu yaparsa elbet bir bedeli olacak 🇳🇦</t>
  </si>
  <si>
    <t>1464362772045733890</t>
  </si>
  <si>
    <t>@drfahrettinkoca 🤣🤣🤣🤣🤣🤣 komiksiniz, ülke yol geçen hanı olmuş siz tedbir diyorsunuz. Çok etkilendik sayın bakan.</t>
  </si>
  <si>
    <t>1464362196574556165</t>
  </si>
  <si>
    <t>@drfahrettinkoca Ya harika bi haber❤️ hergün milyonlarca Zimbabve Li geliyodu ülkemize ! Önce Avrupa’dan gelenlerden test isteyin</t>
  </si>
  <si>
    <t>1464362080061075457</t>
  </si>
  <si>
    <t>@drfahrettinkoca Dünya hızla vatandaşlarını korumak için kapanırken tedbiriniz sadece bu mudur?  #VelilerdeOnlineİstiyor</t>
  </si>
  <si>
    <t>1464361151882530816</t>
  </si>
  <si>
    <t>@drfahrettinkoca alfabede harf kalmadı  neden niçin durulmadı  turistler güldü eğlendi  ülkemin yüzü gülmedi.</t>
  </si>
  <si>
    <t>1464361059721097227</t>
  </si>
  <si>
    <t>@drfahrettinkoca @saglikbakanligi Omicron olmasın o.. yoksa daha o gelmedimi..</t>
  </si>
  <si>
    <t>1464360793596702725</t>
  </si>
  <si>
    <t>@drfahrettinkoca 1ay icinde tum dunyaya yayilir</t>
  </si>
  <si>
    <t>1464360657114083329</t>
  </si>
  <si>
    <t>@drfahrettinkoca Allah rızası için yardım edin evimiz kira birikmiş kira ve fatura borcumuz var bir anne olarak çok… https://t.co/VIrAqjzKsB</t>
  </si>
  <si>
    <t>1464360633772695556</t>
  </si>
  <si>
    <t>@drfahrettinkoca #VelilerEndiseliOnlineGelmeli</t>
  </si>
  <si>
    <t>1464360291014254596</t>
  </si>
  <si>
    <t>@drfahrettinkoca #VelilerdeOnlineistiyor</t>
  </si>
  <si>
    <t>1464360252514738176</t>
  </si>
  <si>
    <t>@drfahrettinkoca Ne varyantı ne varyantı ???? Bu bana şeyi hatırlattı : Ateş, su, toprak, TAHTA... KUTSAL SIVI OLAN… https://t.co/Smf4MNNZ0W</t>
  </si>
  <si>
    <t>1464360247762563074</t>
  </si>
  <si>
    <t>@drfahrettinkoca #OnlineİstekDeğilZorunluluktur</t>
  </si>
  <si>
    <t>1464360225268502535</t>
  </si>
  <si>
    <t>@drfahrettinkoca Önceden girmedilerse tabi</t>
  </si>
  <si>
    <t>1464360184223080455</t>
  </si>
  <si>
    <t>@drfahrettinkoca kurban olun afrika da yasayanlara</t>
  </si>
  <si>
    <t>1464360148432998405</t>
  </si>
  <si>
    <t>@drfahrettinkoca Aptallıkta Nirvanayı zorlarken biz. Yeter ama ya. Eşşeğin şeyine su kaçtı bea.</t>
  </si>
  <si>
    <t>1464359960872169477</t>
  </si>
  <si>
    <t>@drfahrettinkoca Varyant Belçika ve İsrail'de de görülmüş... Belli ki yakında tecrübe edeceğiz... Umarım Biontech b… https://t.co/ljSK9TlBPm</t>
  </si>
  <si>
    <t>1464359800595222534</t>
  </si>
  <si>
    <t>@drfahrettinkoca Nu varyantına karşı biz de bi Hû der geçeriz. Ne de olsa küfrün tuzakları pek zayıftır.</t>
  </si>
  <si>
    <t>1464359781003583490</t>
  </si>
  <si>
    <t>@drfahrettinkoca Ee o çok öve öve bitiremediğiniz, hatta o kadar sevdiniz ki alışkanlık haline getirip her ay + bir… https://t.co/MnVRKqU5tL</t>
  </si>
  <si>
    <t>1464359621183873030</t>
  </si>
  <si>
    <t>@drfahrettinkoca #OnlineİstekDeğilZorunluluktur  #onlineEgitimTalepEdiyoruz</t>
  </si>
  <si>
    <t>1464359584169172993</t>
  </si>
  <si>
    <t>@drfahrettinkoca Bıktık yaaa diyen adam aklıma geldi.</t>
  </si>
  <si>
    <t>1464359436101771269</t>
  </si>
  <si>
    <t>@drfahrettinkoca Maske bir işe yaramıyor hala anlamıyormusunuz ?? Nefes alamıyoruz!! Yasaklar varken de vaka yüksek… https://t.co/6xUhK7jNOl</t>
  </si>
  <si>
    <t>1464359404128583682</t>
  </si>
  <si>
    <t>@drfahrettinkoca Binlerce belki de milyonlarcasi zaten ülkemizde, gözünüzü  bir açın da İstanbul, Fatih ve Zeytinbu… https://t.co/49FKYZUhVu</t>
  </si>
  <si>
    <t>1464358413459247109</t>
  </si>
  <si>
    <t>@drfahrettinkoca Gelin tövbe edin Fahrettin bey,sizde biliyorsunuz ki 2 yılda 5 milyon kişinin öldüğü bir hastalık… https://t.co/4F2Hp9EIu1</t>
  </si>
  <si>
    <t>1464358052094693384</t>
  </si>
  <si>
    <t>@drfahrettinkoca Ne güzel istanbul be….</t>
  </si>
  <si>
    <t>1464358048793825299</t>
  </si>
  <si>
    <t>@drfahrettinkoca TEDBİR: #VelilerdeOnlineistiyor #DevamZorunluluğuKalksın</t>
  </si>
  <si>
    <t>1464357807931670536</t>
  </si>
  <si>
    <t>@drfahrettinkoca tusu ellemezseniz seviniriz sizden böyle bi talebimiz olmadı sayın bakan</t>
  </si>
  <si>
    <t>1464357633972973581</t>
  </si>
  <si>
    <t>@drfahrettinkoca Lbsg..hastanelerinle ilgilen.. Veba gibi yapıştın Ülkeye..</t>
  </si>
  <si>
    <t>1464357255491510278</t>
  </si>
  <si>
    <t>@drfahrettinkoca Yapmayın böyle saçma işler ülkeyi batırdınız  Türkiye Afrika ya ciddi İhracat yapıyor bilim kurulu… https://t.co/6LbZ2sfyXO</t>
  </si>
  <si>
    <t>1464356882194305028</t>
  </si>
  <si>
    <t>@drfahrettinkoca Aferin iyi halt ettin. 😁 Zaten akın akın geliyorlardi. Neden durdurdun. Pcr testi yaptır öyle al.… https://t.co/sKiPt0YcpE</t>
  </si>
  <si>
    <t>1464356771800272898</t>
  </si>
  <si>
    <t>@drfahrettinkoca Belçika'da görülmüş artık geçmiş olsun, tüm Avrupa'ya kapatamayacağımıza göre...</t>
  </si>
  <si>
    <t>1464356091425398787</t>
  </si>
  <si>
    <t>@drfahrettinkoca Sahi mi?? Bu nasıl bir virüsmüş bitmedi gitti.aşılama arttıkça mutasyon,vaka ve ölümler artıyor ne… https://t.co/8GlsFmPCS4</t>
  </si>
  <si>
    <t>1464355746536116225</t>
  </si>
  <si>
    <t>@drfahrettinkoca Ya baska ülkeden oralara  gidip Türkiye’ye gelenler olursa ?  Ülkemize her türlü illegal yollarla… https://t.co/EqManmHav0</t>
  </si>
  <si>
    <t>1464355564113248267</t>
  </si>
  <si>
    <t>@drfahrettinkoca Yaklaşık 2 senedir yaptığınız tek şey geçersiz protokolleri anlamsız uygulamaları safsatayla harma… https://t.co/lu9BgKCxUn</t>
  </si>
  <si>
    <t>1464355547625529347</t>
  </si>
  <si>
    <t>@drfahrettinkoca Lan ülkeyi bu kadar düşünüyorsanız Online eğitim getirin</t>
  </si>
  <si>
    <t>1464355130602622980</t>
  </si>
  <si>
    <t>@drfahrettinkoca 8 milyona yakın takipçinin %90 ı size laf sokmak ve eleştirmek için takipte.. geri kalanı yalaka</t>
  </si>
  <si>
    <t>1464354306799374354</t>
  </si>
  <si>
    <t>@drfahrettinkoca https://t.co/6eFgnmyvFz</t>
  </si>
  <si>
    <t>1464354241955385363</t>
  </si>
  <si>
    <t>@drfahrettinkoca Ulan çek git artık embesilnisin sen.</t>
  </si>
  <si>
    <t>1464353860001140740</t>
  </si>
  <si>
    <t>@drfahrettinkoca Çok şükür iki senedir ilk def erken ve yerinde bir karar tebrikler</t>
  </si>
  <si>
    <t>1464353435529134084</t>
  </si>
  <si>
    <t>@drfahrettinkoca Yine neyin peşindesin sen yaa 😂</t>
  </si>
  <si>
    <t>1464353371746447367</t>
  </si>
  <si>
    <t>@drfahrettinkoca #Tıbbicihaz ödeme bekliyor</t>
  </si>
  <si>
    <t>1464353333523714051</t>
  </si>
  <si>
    <t>@drfahrettinkoca Bir kere de Hu deyin yaHu.. O'nu anın bir de...</t>
  </si>
  <si>
    <t>1464353137582653442</t>
  </si>
  <si>
    <t>@drfahrettinkoca Fahrettin KOCA bir SIFIR otur yerine ve sus</t>
  </si>
  <si>
    <t>1464352826759520257</t>
  </si>
  <si>
    <t>@drfahrettinkoca Bir yalanın peşine takıldın mahvettin Koca ülkeyi.</t>
  </si>
  <si>
    <t>1464352742806327301</t>
  </si>
  <si>
    <t>@drfahrettinkoca Ayni hatalar aynen devam tum dunyada</t>
  </si>
  <si>
    <t>1464352625932095490</t>
  </si>
  <si>
    <t>@drfahrettinkoca Palavraların soNU gelmeyecek belli oldu! Sen çoluk, çocuk bu milleti feda edeceksin!</t>
  </si>
  <si>
    <t>1464352368879980556</t>
  </si>
  <si>
    <t>@drfahrettinkoca Himm afrika kita olarak ölüm ve vaka yok öylemi? Sen nasıl olur da bizim küresel yalanlarımıza aya… https://t.co/HERCHoiFZt</t>
  </si>
  <si>
    <t>1464352318741172225</t>
  </si>
  <si>
    <t>@drfahrettinkoca Geç kalmış bile olabiliriz ama... https://t.co/sKq3WsWppp</t>
  </si>
  <si>
    <t>1464352305311068161</t>
  </si>
  <si>
    <t>@drfahrettinkoca hocam bütün avrupa ülkelerinde artış var oralarda yasak gelsin</t>
  </si>
  <si>
    <t>1464352157793243138</t>
  </si>
  <si>
    <t>@drfahrettinkoca Bakan sende de "MÖööÖÖööö" varyantı var galiba, belirtileri idrak yolları ile başlıyormuş daha son… https://t.co/XFu4OG1o8O</t>
  </si>
  <si>
    <t>1464352001140170752</t>
  </si>
  <si>
    <t>@drfahrettinkoca NU Mara yapıyorlar yine😂 sizi gidi virüsler sizii😂memleketin her tarafını sardiniz kanser gibi</t>
  </si>
  <si>
    <t>1464351984027324420</t>
  </si>
  <si>
    <t>@drfahrettinkoca Nu varyantı Allahım sen beterinden koru yani NUMARA nın NU su Allahım sen bizi nu varyantı ma vary… https://t.co/7jXMWF0Ig4</t>
  </si>
  <si>
    <t>1464351903429632000</t>
  </si>
  <si>
    <t>@drfahrettinkoca Yeteri kadar duyduk anladık her türlü varyant var ,bir aşıyı da hepsine öneriyorsunuz da bizler ar… https://t.co/vX4PACqOQh</t>
  </si>
  <si>
    <t>1464351587061714950</t>
  </si>
  <si>
    <t>@drfahrettinkoca Salgının başından beri alınmış en mantıklı önlem.Tabii gece müzik yasağından sonra.</t>
  </si>
  <si>
    <t>1464351362381234178</t>
  </si>
  <si>
    <t>@drfahrettinkoca Yalan 🤫</t>
  </si>
  <si>
    <t>1464351227437801479</t>
  </si>
  <si>
    <t>@drfahrettinkoca Nu varyantı mart 2022 de olmayacakmıydı valla hızınıza yetişemiyoruz https://t.co/KQl79Nirtu</t>
  </si>
  <si>
    <t>1464351161327230988</t>
  </si>
  <si>
    <t>@drfahrettinkoca biktik be</t>
  </si>
  <si>
    <t>1464350746246270980</t>
  </si>
  <si>
    <t>@drfahrettinkoca Derhal, özellikle aşısı olmayan çocuklar için okullarda devam zorunluluğu kaldırılmalıdır! @tcmeb</t>
  </si>
  <si>
    <t>1464350594987184130</t>
  </si>
  <si>
    <t>@drfahrettinkoca Ya bi sektör git</t>
  </si>
  <si>
    <t>1464350457669771278</t>
  </si>
  <si>
    <t>@drfahrettinkoca Diyetisyenler yüksek puanlarla atama bekliyor bakanım Çok değil 4 haneli sayılar görmek  istiyoruz.</t>
  </si>
  <si>
    <t>1464350168891936769</t>
  </si>
  <si>
    <t>@drfahrettinkoca https://t.co/HwTJP0heI1</t>
  </si>
  <si>
    <t>1464349736597704715</t>
  </si>
  <si>
    <t>@drfahrettinkoca Mozambik’ten seyahatleri kapatacağınıza okulları kapatın bir sınıfta 40 çocuk ve sosyal mesafeyi i… https://t.co/PL1vdoPEfq</t>
  </si>
  <si>
    <t>1464349708319703054</t>
  </si>
  <si>
    <t>@drfahrettinkoca VAKA SAYILARI YINE YÜKSELECEK ÖLÜMLER YINE ARTACAK TAM KAPANMA TEKRARDAN GELMELIDIR.HASTANELER TIK… https://t.co/2qkjDfbxoP</t>
  </si>
  <si>
    <t>1464349693215924224</t>
  </si>
  <si>
    <t>@drfahrettinkoca bunun so- NU gelmez! @NevaCiftcioglu</t>
  </si>
  <si>
    <t>1464349443713605633</t>
  </si>
  <si>
    <t>@drfahrettinkoca Hocam onu bunu bırakta her aşı vurulandan kişi başı kaç dolar alıyorsun, gözümüz yokta hele bi onu söyle sen bize</t>
  </si>
  <si>
    <t>1464349364353126404</t>
  </si>
  <si>
    <t>@drfahrettinkoca Bu bahsedilen ülkelerle demiryolu bağlantısı ne zamandan beri var? Millet yemiyor. Pardon bir kısmı yiyor.</t>
  </si>
  <si>
    <t>1464349347043328002</t>
  </si>
  <si>
    <t>@drfahrettinkoca İnsanlara korku değil, moral lazım... Zaten korkmuyoruz da, hele hele Çin'de sokaklarda patır patı… https://t.co/g4xuuX4AFC</t>
  </si>
  <si>
    <t>1464349111222685701</t>
  </si>
  <si>
    <t>@drfahrettinkoca Sayin plandemi bakani  Bu plana gore  NU varyanti daha 4 ay sonra geleceti, Niye plan a gore gitmi… https://t.co/gUlnAfEJl2</t>
  </si>
  <si>
    <t>1464349079434149893</t>
  </si>
  <si>
    <t>@drfahrettinkoca @RTErdogan bu akşam görevden al bu arkadaşı, bilim kurulunu da lav et, yarın sabah dolar 5 TL!</t>
  </si>
  <si>
    <t>1464348978829574144</t>
  </si>
  <si>
    <t>@drfahrettinkoca Hee he bizde yedik 😅 https://t.co/GTewF8wBYe</t>
  </si>
  <si>
    <t>1464348813162860545</t>
  </si>
  <si>
    <t>@drfahrettinkoca Bütün Dünyada Devleti yönetenlerin gözünde emekli insanlar devlete külfet gibi bakarlar bu gidişle… https://t.co/VMV5CuC9pd</t>
  </si>
  <si>
    <t>1464348785929330701</t>
  </si>
  <si>
    <t>@drfahrettinkoca SN BAKANIMIZ SİZDE DOKTORSUNUZ ! BİR SORUMUZ VAR SİZE ? MUSLUMEYI DEDESİYLE DENA TESTI YAPTIRTAN V… https://t.co/I0dC5plP28</t>
  </si>
  <si>
    <t>1464348670049062914</t>
  </si>
  <si>
    <t>@drfahrettinkoca Tebrikler👏🏻👏🏻👏🏻 Bu defa ilk Covit salgınındaki Mekke gönderimi rezaleti gibi bir sürece izin verme… https://t.co/7WuT6Hbo85</t>
  </si>
  <si>
    <t>1464348547428630537</t>
  </si>
  <si>
    <t>@drfahrettinkoca Bakanın 1 saat içinde kafası karışmış.</t>
  </si>
  <si>
    <t>1464348438905204742</t>
  </si>
  <si>
    <t>@drfahrettinkoca Artık kısıtlamaların gelmesi lazım sayın bakanım vakalar artıyor covit oldum ne kadar dikkatli olsamda korkuyorum</t>
  </si>
  <si>
    <t>1464348404381802497</t>
  </si>
  <si>
    <t>@drfahrettinkoca Adamlar planı 1920 de yapmıslar. https://t.co/xDxnX93MZu</t>
  </si>
  <si>
    <t>1464348366129750021</t>
  </si>
  <si>
    <t>@drfahrettinkoca Dünya ile dalga devam ediyor yeni versiyonlar ile</t>
  </si>
  <si>
    <t>1464348340997533703</t>
  </si>
  <si>
    <t>@drfahrettinkoca Sayın bakan bana bu Nu varyantı dediğiniz varyant nedir ve neden kaynaklandığını tam gerçekliği il… https://t.co/SOtiFCJxah</t>
  </si>
  <si>
    <t>1464348210785394692</t>
  </si>
  <si>
    <t>@drfahrettinkoca Bu milleti sazan yerine koyamayacaksınız Bay KOCA</t>
  </si>
  <si>
    <t>1464348073489018893</t>
  </si>
  <si>
    <t>@drfahrettinkoca Lutfen mozambige geri gelmiyecek sekilde GİDİN 🤲</t>
  </si>
  <si>
    <t>1464348040869957635</t>
  </si>
  <si>
    <t>@drfahrettinkoca Abi aramızda kalsın ama adamlar heryer den kara hava deniz demiryolu ülkeye mülteci olarak giriyor.</t>
  </si>
  <si>
    <t>1464347702418890754</t>
  </si>
  <si>
    <t>@drfahrettinkoca Turizm bitti desene</t>
  </si>
  <si>
    <t>1464347669514567682</t>
  </si>
  <si>
    <t>@drfahrettinkoca Bakanım 6 kat maske artı 5 doz aşı korurumu ne dersiniz?</t>
  </si>
  <si>
    <t>1464347571204378627</t>
  </si>
  <si>
    <t>@drfahrettinkoca Bakan  Nu yazmış bilin kurulundaki üfürükçü Mu yazmış karar verin hangisi 😂😂 çok fena dalga geçiyo… https://t.co/kwsBnMbvpg</t>
  </si>
  <si>
    <t>1464347514921000964</t>
  </si>
  <si>
    <t>@drfahrettinkoca Varyantn adını koyarken çok zorlanmış olmalısınız 😅</t>
  </si>
  <si>
    <t>1464346735803830274</t>
  </si>
  <si>
    <t>@drfahrettinkoca Afgan ve Suriyelileri ne yapacaksınız,İran sınırdan postalamis yine afganlari bize</t>
  </si>
  <si>
    <t>1464346662294409223</t>
  </si>
  <si>
    <t>@drfahrettinkoca Heralde bize yasak. Normalde gelen geliyor 🧐</t>
  </si>
  <si>
    <t>1464346596112543753</t>
  </si>
  <si>
    <t>@drfahrettinkoca Hekimlerin tus değişikliğine olan tepkilerini dikkate alacak mısınız? Sorun sınav mı sizce? Bunu b… https://t.co/ZuzpdWQ3qq</t>
  </si>
  <si>
    <t>1464346591482060801</t>
  </si>
  <si>
    <t>@drfahrettinkoca Sayın bakan molnupiravir hastaneye yatışları önlemede  %30 etkiliyken Paxlovid ilacı  %89 etkiliym… https://t.co/EE3JEatw12</t>
  </si>
  <si>
    <t>1464346561761136644</t>
  </si>
  <si>
    <t>@drfahrettinkoca Online eğitim gelsin artık #VelilerdeOnlineİstiyor</t>
  </si>
  <si>
    <t>1464346555478118413</t>
  </si>
  <si>
    <t>@drfahrettinkoca Bu şartlarda uzaktan eğitim gelmesi şarttir</t>
  </si>
  <si>
    <t>1464346516525572107</t>
  </si>
  <si>
    <t>@drfahrettinkoca : ) hala bu adama inanan saflar var mi</t>
  </si>
  <si>
    <t>1464346464675680264</t>
  </si>
  <si>
    <t>@drfahrettinkoca Gerçekten artık sıkılmadınız mı?</t>
  </si>
  <si>
    <t>1464346458333892609</t>
  </si>
  <si>
    <t>@drfahrettinkoca Bilhassa demiyolunu kapatmaniz isabet olmus bakanim.</t>
  </si>
  <si>
    <t>1464346343879712775</t>
  </si>
  <si>
    <t>@drfahrettinkoca Sayın Bakanım,  Bu varyantların sonu ne zaman gelecek? Ya da sonu gelecek mi?</t>
  </si>
  <si>
    <t>1464346161381314563</t>
  </si>
  <si>
    <t>@drfahrettinkoca Online eğitimi artık zorunluluk olarak görmelisiniz. Son dakika alınan önlem önlem değildir. Ölen… https://t.co/b9RqVrxYAO</t>
  </si>
  <si>
    <t>1464346053411495937</t>
  </si>
  <si>
    <t>@drfahrettinkoca Nusuna da  Musuna da Deltasına  Betasına da Zetasına da....</t>
  </si>
  <si>
    <t>1464345646907932677</t>
  </si>
  <si>
    <t>@drfahrettinkoca 15 gün sonra... Ülkemizde 5 kişide nu varyantı tespit edildi,geciken sıvılarımızı yaptıralım.. Bid… https://t.co/3Lc5wievcA</t>
  </si>
  <si>
    <t>1464345471690891279</t>
  </si>
  <si>
    <t>@drfahrettinkoca Ülkemize de geldiyse çoktan gelmiştir. O yüzden bambaşka önlemler gerekli. Hep sonu bekleye bekley… https://t.co/lX4vm6ZfaL</t>
  </si>
  <si>
    <t>1464345438409179145</t>
  </si>
  <si>
    <t>@drfahrettinkoca Işler açıldı desene patron :)</t>
  </si>
  <si>
    <t>1464345292527054850</t>
  </si>
  <si>
    <t>@drfahrettinkoca Avrupa uçuşlu gelenler ne olacaK sayın baKanım?</t>
  </si>
  <si>
    <t>1464345086473428997</t>
  </si>
  <si>
    <t>@drfahrettinkoca Bizde sabah akşam bu saydığınız ülkelere gidiyorduk sanki bence bırak artık yakamızı</t>
  </si>
  <si>
    <t>1464344792297525252</t>
  </si>
  <si>
    <t>@drfahrettinkoca @RTErdogan  @fahrettinaltun  @suleymansoylu  @drfahrettinkoca  Sayın başkan ivedi; Test Maske Hes… https://t.co/dhTYsC33l4</t>
  </si>
  <si>
    <t>1464344626354171908</t>
  </si>
  <si>
    <t>@drfahrettinkoca Nu varyantına ne zaman geçtik ben yetişemedim bu detaya</t>
  </si>
  <si>
    <t>1464344376281374728</t>
  </si>
  <si>
    <t>@drfahrettinkoca Lütfen ona artık Omicron diyelim ⬇️ 📌NU varyantinın adı DSÖ tarafından OMİCRON olarak değiştirildi.</t>
  </si>
  <si>
    <t>1464344103173476359</t>
  </si>
  <si>
    <t>@drfahrettinkoca Yav hee hee...😄 Kimse senin tek kelimene inanmıyor artık! Avrupa'lı turistler olunca kapılar açık,… https://t.co/O0r2Nt4nd0</t>
  </si>
  <si>
    <t>1464343962307764226</t>
  </si>
  <si>
    <t>@drfahrettinkoca Yazın açarsınız,</t>
  </si>
  <si>
    <t>1464343842220650506</t>
  </si>
  <si>
    <t>@drfahrettinkoca Mu'yu atladık hocam. Lütfen sırayı takip edelim</t>
  </si>
  <si>
    <t>1464343828144562182</t>
  </si>
  <si>
    <t>@drfahrettinkoca 2 hafta ticari hariç tüm giriş çıkışları kapatın..</t>
  </si>
  <si>
    <t>1464343750487023622</t>
  </si>
  <si>
    <t>@drfahrettinkoca Aferin! https://t.co/QLg9Q7EDJe</t>
  </si>
  <si>
    <t>1464343564075290624</t>
  </si>
  <si>
    <t>@drfahrettinkoca Erken gelmis 2022 mart ayında bekliyorduk kendilerini dünyaca.. sonra Ksi ardından omicron daha pi… https://t.co/cafgaNkEBI</t>
  </si>
  <si>
    <t>1464343510363090953</t>
  </si>
  <si>
    <t>@drfahrettinkoca Sayın başkanım gerçekten bizleri anlamamakta ısrar ediyorsunuz ama iyi değil bu virüs gidişatları… https://t.co/67Tt94nlmJ</t>
  </si>
  <si>
    <t>1464343340208504839</t>
  </si>
  <si>
    <t>@drfahrettinkoca Yunan alfabesi sıra ile takip edilir gibi. Yeter halkı kullanmanız.</t>
  </si>
  <si>
    <t>1464343315088822278</t>
  </si>
  <si>
    <t>@drfahrettinkoca Yarın AÖF sınavı var. Binlerce kişi salonlara dolacak. Hadi diğer okullardaki ısrara az çok bir an… https://t.co/jJ9RdPcb79</t>
  </si>
  <si>
    <t>1464343282532638730</t>
  </si>
  <si>
    <t>@drfahrettinkoca Önlemini al</t>
  </si>
  <si>
    <t>1464343282163625998</t>
  </si>
  <si>
    <t>@drfahrettinkoca Kapat okulları da gebermeyelim artık</t>
  </si>
  <si>
    <t>1464343260655239176</t>
  </si>
  <si>
    <t>@drfahrettinkoca Hocam nu varyanti yayılmadan gelin su maskeyi kullanmayı mecburi yapalım.evet herkes aşı olmalı am… https://t.co/cY5NE4GnlF</t>
  </si>
  <si>
    <t>1464343136830959620</t>
  </si>
  <si>
    <t>@drfahrettinkoca Ülkeye sınır kapısından giren kaldı mı?</t>
  </si>
  <si>
    <t>1464342852356481025</t>
  </si>
  <si>
    <t>@drfahrettinkoca Biz sizi bu hayatı bize zehir edersiniz diye seçmedik. Nerdesin erken seçim? Gel de bu hayatı zehi… https://t.co/if003YdyU8</t>
  </si>
  <si>
    <t>1464342605697892360</t>
  </si>
  <si>
    <t>@drfahrettinkoca 86 puanla bekleyen 3000 küsur paramedik var... bu sene çok uğraştık defalarca bakanlığa geldik gör… https://t.co/AkdIzUcJd1</t>
  </si>
  <si>
    <t>1464342488236367872</t>
  </si>
  <si>
    <t>@drfahrettinkoca Bütün yalanlar ortaya dökülüyor bence artık sürdürmeyin bunu</t>
  </si>
  <si>
    <t>1464342475280158722</t>
  </si>
  <si>
    <t>@drfahrettinkoca Turizm sezonu bitince fahrettin koca .  Gelsin kapanmalar gitsin kapanmalar   Hastaneler iyi para kazanıyor dimi</t>
  </si>
  <si>
    <t>1464342439578288136</t>
  </si>
  <si>
    <t>@drfahrettinkoca Öff yaa..yinemi düğmeye basıldı</t>
  </si>
  <si>
    <t>1464342388147691529</t>
  </si>
  <si>
    <t>@drfahrettinkoca Bakan Koca size bir sorum var. Medipol hastanelerinin amblemi ile tapınak şovelye mührü arasında bir bağ var mı?</t>
  </si>
  <si>
    <t>1464342307260485633</t>
  </si>
  <si>
    <t>@drfahrettinkoca Kesinlikle size inanmıyorum. İnandırıcılığınız bitmiştir.</t>
  </si>
  <si>
    <t>1464342238864060428</t>
  </si>
  <si>
    <t>@drfahrettinkoca Açıköğretim sinavina giriyoruz gram tedbir yok öğretim gorevlisinin maskesi cenesinin altında beni… https://t.co/mvIaltLgD2</t>
  </si>
  <si>
    <t>1464342059091955730</t>
  </si>
  <si>
    <t>@drfahrettinkoca @tr342459678897 He ey yaparsınız zaten onlardan başkada gelen yok</t>
  </si>
  <si>
    <t>1464341955882668041</t>
  </si>
  <si>
    <t>@drfahrettinkoca Acilen tam kapanma yapıp bu varyantan kurtulalım turistler gelsin yine rahat gezsin ekonominin koy… https://t.co/ZS3tCAr6nP</t>
  </si>
  <si>
    <t>1464341909472694280</t>
  </si>
  <si>
    <t>@drfahrettinkoca Allah seni bildiği gibi yapsın ❗🤲</t>
  </si>
  <si>
    <t>1464738606799536134</t>
  </si>
  <si>
    <t>@drfahrettinkoca Ülkende tedbir alma. Uyduruk ülkelere yasak koy.. Çok inandırıcı. 🤔</t>
  </si>
  <si>
    <t>1464725658056151046</t>
  </si>
  <si>
    <t>@drfahrettinkoca haftalık ortalama vaka sayısı Güney afrika: 3000 Mozambik: 5 Namibya: 20 Zimbabve: 5  Anlaşılan o… https://t.co/3BhjRsiFn4</t>
  </si>
  <si>
    <t>1464720277791727617</t>
  </si>
  <si>
    <t>@drfahrettinkoca Bu okul mevzusu bir yerde patlarsa açık verirse o zaman okulları kapatırsanız görüşürüz sayın baka… https://t.co/sSEfIwmrHg</t>
  </si>
  <si>
    <t>1465093233663381505</t>
  </si>
  <si>
    <t>@drfahrettinkoca Kimsenin sözüne vaadine güvenerek hareket etmeyin sayın bakanım sizi sevdik saydık fakat yaptığını… https://t.co/6RHiLCCAra</t>
  </si>
  <si>
    <t>1465092844532776964</t>
  </si>
  <si>
    <t>@drfahrettinkoca En iyi tedbir ev diyen siz değil miydiniz yalan söylüyorsam buyrun cevap verin yoğun bakımlar 18 y… https://t.co/RLAaLDDar2</t>
  </si>
  <si>
    <t>1465092392353210374</t>
  </si>
  <si>
    <t>@drfahrettinkoca Sayın bakanım tembellik değil sağlık diyerek başlamak istiyorum sözlerime titizlik diyorsunuz sını… https://t.co/x8vJZ2F6os</t>
  </si>
  <si>
    <t>1465091595167014921</t>
  </si>
  <si>
    <t>@drfahrettinkoca Neden sorulara cevap verilmiyor!!!</t>
  </si>
  <si>
    <t>1468986935117074441</t>
  </si>
  <si>
    <t>@drfahrettinkoca Gündem dolar / altın / fakirlik be canısı…</t>
  </si>
  <si>
    <t>1464382459127242754</t>
  </si>
  <si>
    <t>@drfahrettinkoca Uzaktan eğitim istiyoruz lütfen sağlığımız ciddi anlamda tehlikede duyun sesimizi</t>
  </si>
  <si>
    <t>1464377839436902403</t>
  </si>
  <si>
    <t>@drfahrettinkoca Güney Afrika varyanatı çıktı aşılar da işe yaramıyormuş üstünde Online eğitim için neyi bekliyorsu… https://t.co/XpF3WYOaCx</t>
  </si>
  <si>
    <t>1464374924496314376</t>
  </si>
  <si>
    <t>@drfahrettinkoca Bütün tedbirleri aldık ... https://t.co/WidPrMwRG6</t>
  </si>
  <si>
    <t>1464373988294119424</t>
  </si>
  <si>
    <t>@drfahrettinkoca Neden acaba aşılanmadan önceki ölümler ve aşılanmadan sonraki ölümler yazılmıyor. 😴😴😴</t>
  </si>
  <si>
    <t>1464373199056130061</t>
  </si>
  <si>
    <t>@drfahrettinkoca Bir hizmet/ürün var, müşteri ve hizmet eden/satıcı var. Nasıl bir iş ki bu, müşteri hizmetten şika… https://t.co/yWc4KslJAh</t>
  </si>
  <si>
    <t>1464371188390666250</t>
  </si>
  <si>
    <t>@drfahrettinkoca Bilim kurulunuz sokağa çıkıp tencere tava çalmamızı da istiyor, bilin istedim ama biliyorsunuz zaten..</t>
  </si>
  <si>
    <t>1464365754128736257</t>
  </si>
  <si>
    <t>@drfahrettinkoca 2 sene boyunca yutturdukları ilaçları izledikleri gibi mi?!</t>
  </si>
  <si>
    <t>1464364688075018255</t>
  </si>
  <si>
    <t>@drfahrettinkoca Sayın Bakan, hastalık bitsin gündemden otomatikman düşer. Bitmeyen hastalık neden gündemden düşece… https://t.co/u23I1bbiRh</t>
  </si>
  <si>
    <t>1464362185203855367</t>
  </si>
  <si>
    <t>@drfahrettinkoca tuncaygokmen</t>
  </si>
  <si>
    <t>1464361141153538051</t>
  </si>
  <si>
    <t>@drfahrettinkoca Aman lütfen izlemesin...</t>
  </si>
  <si>
    <t>1464360196017373185</t>
  </si>
  <si>
    <t>@drfahrettinkoca Salgın hastalıktan bugün 201 kişi kaybetmişiz  ancak aynı gün, sayın bakanımız salgın hastalığı gü… https://t.co/v3ZhZcRX91</t>
  </si>
  <si>
    <t>1464359981055197193</t>
  </si>
  <si>
    <t>@drfahrettinkoca Ne okudum ben şimdi deyip bir daha bir daha okudum. Salgın hastalığı, varyant ve mutasyonları günd… https://t.co/HXIqGZmSWf</t>
  </si>
  <si>
    <t>1464357952937238531</t>
  </si>
  <si>
    <t>@drfahrettinkoca 😳 https://t.co/aNqshR40Q3</t>
  </si>
  <si>
    <t>1464355227507773446</t>
  </si>
  <si>
    <t>@drfahrettinkoca Pu ha haaaaaa. Buna başka cevap yazmak gereksiz</t>
  </si>
  <si>
    <t>1464353510468857861</t>
  </si>
  <si>
    <t>@drfahrettinkoca Sormak istediğim soru şu covid19 dan ölen insanların ölüm raporlarına farklı sebeplerden öldükleri… https://t.co/OzHEzhiXxJ</t>
  </si>
  <si>
    <t>1464352288747753473</t>
  </si>
  <si>
    <t>@drfahrettinkoca Okullar izlenmiyor izlense şuan online eğitimde olurduk #velilerdeonlineistiyor</t>
  </si>
  <si>
    <t>1464349048358453249</t>
  </si>
  <si>
    <t>@drfahrettinkoca Sayın BAKANIM  BILIM KURULUMUZ  cok titiz calisiyor 2 yılda bir hapın  etkisinin ETKISIZLIGINI anc… https://t.co/zDz2bCLwm1</t>
  </si>
  <si>
    <t>1464349029966483458</t>
  </si>
  <si>
    <t>@drfahrettinkoca Şimdi 1 saat sonra da yeni varyant twete atarsın. Aşı Bakanı derhal istifa et. Yeter... Bıktık yalanlarından. 🙃</t>
  </si>
  <si>
    <t>1464348424015421456</t>
  </si>
  <si>
    <t>@drfahrettinkoca @drfahrettinkoca tabi tabi millet kapıları kapatıyor biz açarız  biz bağrımıza basarız alıştık art… https://t.co/5bXSZu2xy4</t>
  </si>
  <si>
    <t>1464347951464079363</t>
  </si>
  <si>
    <t>@drfahrettinkoca Salgın düşüncesini aradan çıkarıp bu şekilde bir yaşamı norm haline getirmemizi mi istiyorsunuz? Y… https://t.co/RiY2CXmbj8</t>
  </si>
  <si>
    <t>1464347828646461449</t>
  </si>
  <si>
    <t>@drfahrettinkoca O kurulun bütün üyelerini vatana ihanetten tutuklasanız ve salgın hikayesini bitirseniz, yarın bu… https://t.co/CXrLzyTGnn</t>
  </si>
  <si>
    <t>1464347544650199045</t>
  </si>
  <si>
    <t>@drfahrettinkoca Bilim kurulunu sa senide sallayan yok hepiniz insanlığın yararına değil zararına çalışıyorsunuz it… https://t.co/BHEw7E6G9M</t>
  </si>
  <si>
    <t>1464346770075488259</t>
  </si>
  <si>
    <t>@drfahrettinkoca Eskiden kapanma olmuştu üniler kapanmıştı herkes kendi şehrindeydi bu kadar kalabalık yoktu şimdi… https://t.co/4OSAekZuxs</t>
  </si>
  <si>
    <t>1464346583550640132</t>
  </si>
  <si>
    <t>@drfahrettinkoca #velilerdeonlineistiyor #uzaktaneğitimi̇stiyoruz #OkullarVirueshaneOldu #uzaktaneğitimi̇stiyoruz… https://t.co/ImfiOAZ2ce</t>
  </si>
  <si>
    <t>1464342828511899660</t>
  </si>
  <si>
    <t>@drfahrettinkoca Artık cidden sıkılıyorum bu yalanlardan cidsen yani gerçek vakalar olamaz bunlar istanbulda istikl… https://t.co/2z3yt6UxAY</t>
  </si>
  <si>
    <t>1464342522533195785</t>
  </si>
  <si>
    <t>@drfahrettinkoca Okul yurdunda kalıyorum hiçbir önlem yok dezenfektan kutuları bazen dolu oluyor öğrenciler çok nad… https://t.co/YcxdAiGS5J</t>
  </si>
  <si>
    <t>1464342352718446598</t>
  </si>
  <si>
    <t>@drfahrettinkoca Tam kapanma yapın azalsın şu vakalar cidden bakanım yoksa hep böyle olucak aşılarım tam olmasına r… https://t.co/kkxxHvMB0b</t>
  </si>
  <si>
    <t>1464341933871013893</t>
  </si>
  <si>
    <t>@drfahrettinkoca Ülkeler ulusal sorun diyiyor sen ne denli bir işe yaradıkları belli olmayan bilimsiz kurula güven… https://t.co/mLCrQBSPjI</t>
  </si>
  <si>
    <t>1464341931580923904</t>
  </si>
  <si>
    <t>@drfahrettinkoca Bizim gündemimizde salgın yok. Hayat pahalılığı var. Karamsar konuşacağınız yerde insanlara d votamini dağıtın.</t>
  </si>
  <si>
    <t>1464341856683184138</t>
  </si>
  <si>
    <t>@drfahrettinkoca @RTErdogan Fahrettin hocam,bilgi ölçen tıpta uzmanlık sınavı, sistemine tusa HİZMET puanı eklersen… https://t.co/qcyhxQMH7S</t>
  </si>
  <si>
    <t>1465051415852814348</t>
  </si>
  <si>
    <t>@drfahrettinkoca @Milli_1980 Sayın sağlık bakanı, doktora saldıran bu vatandaşın psikiyatrik bozukluğu varsa neden… https://t.co/UybFUUAfzm</t>
  </si>
  <si>
    <t>1464017905457192966</t>
  </si>
  <si>
    <t>@drfahrettinkoca Psikiyatrik bozukluğu olan biri herhangi birine saldırabilir. Bu sağlıkta şiddetin konusu değil. M… https://t.co/Jr2iXQ6Pa6</t>
  </si>
  <si>
    <t>1464015880946438149</t>
  </si>
  <si>
    <t>@drfahrettinkoca Klavuz bakanimm</t>
  </si>
  <si>
    <t>1464009713906069506</t>
  </si>
  <si>
    <t>@drfahrettinkoca Bıktı millet senden yorumlara bir baksana be adam</t>
  </si>
  <si>
    <t>1464008714164314121</t>
  </si>
  <si>
    <t>@drfahrettinkoca Daha açıklayıcı olsun... Sanki doktor ve sağlık çalışanları günahsız hatasız, peygamber de vatanda… https://t.co/7EavlpEvSP</t>
  </si>
  <si>
    <t>1464008592412053511</t>
  </si>
  <si>
    <t>@drfahrettinkoca Sayın bakanım iyi diyorsunuz da birazda biz halkı düşünseniz tamam saglık çalışanları baş tacımız… https://t.co/EHIeVYbWhD</t>
  </si>
  <si>
    <t>1464008438569218055</t>
  </si>
  <si>
    <t>@drfahrettinkoca Yaptığınız zorla aşılar maske işsiz kalanlar işten atılanlar içinde sen ve ekibin zorbalık yapıyor… https://t.co/X3lZzEeKuu</t>
  </si>
  <si>
    <t>1464007453578829829</t>
  </si>
  <si>
    <t>@drfahrettinkoca Diyarbakırlı olarak yüzde 82 raporu olan ağır astım kronik bronsektazi olan yakınım durumu kötü ol… https://t.co/bIDMOEtY06</t>
  </si>
  <si>
    <t>1464006556027084805</t>
  </si>
  <si>
    <t>@drfahrettinkoca Hukukçular harekete geçsin biyolojik savaşa katılan tüm doktorlar yargılanmalıdır</t>
  </si>
  <si>
    <t>1464006251197706249</t>
  </si>
  <si>
    <t>@drfahrettinkoca Bunu doktorları itibarsızlaştırmadan önce yapacaktınız</t>
  </si>
  <si>
    <t>1464005334981386248</t>
  </si>
  <si>
    <t>@drfahrettinkoca https://t.co/oixq4UPRut https://t.co/LXaHWqquG6</t>
  </si>
  <si>
    <t>1464004392533864452</t>
  </si>
  <si>
    <t>@drfahrettinkoca Bu gidisle ulkede doktor kalmayacak</t>
  </si>
  <si>
    <t>1464001882683330561</t>
  </si>
  <si>
    <t>@drfahrettinkoca Özel hastaneler sahibi Fahrettin bey..   https://t.co/qdQqIlgUgl</t>
  </si>
  <si>
    <t>1464001326493360128</t>
  </si>
  <si>
    <t>@drfahrettinkoca Bu hukuk sizin için ne zaman harekete geçecek bir de onu söyleyen çıksa</t>
  </si>
  <si>
    <t>1464000110929616897</t>
  </si>
  <si>
    <t>@drfahrettinkoca Yorumlardada gordugunuz gibi millet pek sizin tweetinizle ilgilenmiyor,  insanlar atama bekliyor.… https://t.co/63Q9iBNwPd</t>
  </si>
  <si>
    <t>1464000068567150597</t>
  </si>
  <si>
    <t>@drfahrettinkoca Şimdiye kadar niye bir şeyler yapılmadı, herşey lafta #SağlıktaSiddeteHayır</t>
  </si>
  <si>
    <t>1463998925669638145</t>
  </si>
  <si>
    <t>@drfahrettinkoca davanizin detaylari nedir cok ozel deyilse</t>
  </si>
  <si>
    <t>1463998038565961730</t>
  </si>
  <si>
    <t>@drfahrettinkoca Sağlıkta çığır açtınız ya sorumlusu sizler siniz</t>
  </si>
  <si>
    <t>1463997622314799108</t>
  </si>
  <si>
    <t>@drfahrettinkoca Saglıkta siddete son vermek istiyorsan su pandemi sacmalıgından vazgeç en buyuk siddeti sen ve abanelerin yapıyor</t>
  </si>
  <si>
    <t>1463997266872745985</t>
  </si>
  <si>
    <t>@drfahrettinkoca Allah aşkına hastaneye girişte de kadın ve erkek polislerle ya da x-ray'le avm'lere giriş gibi ara… https://t.co/Abthw0MT3I</t>
  </si>
  <si>
    <t>1463996168715788294</t>
  </si>
  <si>
    <t>@drfahrettinkoca Her kurumun kendi personeline karşı işlenen şiddet suçu için kanun çıksın. Hatta kurumların kendi… https://t.co/o80CgntQLI</t>
  </si>
  <si>
    <t>1463995926138310661</t>
  </si>
  <si>
    <t>@drfahrettinkoca kendi şirketinden çıkardığı ölüm ilacıyla katliam yapıyo Sonra sağlıkçılarıma şiddet diye numarada… https://t.co/ixYwgcBVbn</t>
  </si>
  <si>
    <t>1463995709733150725</t>
  </si>
  <si>
    <t>@drfahrettinkoca hocam ası demediniz hemen saçmalamanız lazım yok yok bırakın diyarbakırı ası ası ası</t>
  </si>
  <si>
    <t>1463995650060828673</t>
  </si>
  <si>
    <t>@drfahrettinkoca Bize tarih verin bizim karnımız sizin oyalamalariiza coktan doydu biz size olan güveni 2_3 ay açık… https://t.co/gGeoElDbw9</t>
  </si>
  <si>
    <t>1463994861372198920</t>
  </si>
  <si>
    <t>@drfahrettinkoca Biz kapıdan giren her hastadan korkuyoruz artık bunu anlamak bu kadar mı zor ? Önlem almak bu kada… https://t.co/JU0PyIFjQt</t>
  </si>
  <si>
    <t>1463994670481031177</t>
  </si>
  <si>
    <t>@drfahrettinkoca Eeee daha ne kadar oyalayacaksiniz   yetmez mi  1 yıl oldu 1 yıl  hiç mi Allah korkunuz yok bu kad… https://t.co/f6MGQUV0kF</t>
  </si>
  <si>
    <t>1463994039339032596</t>
  </si>
  <si>
    <t>@drfahrettinkoca 666 fahrettinin  Atabay ilaç şirketinden leblebi gibi dağıttığı ölüm ilaçlarını reddeden bikaç dok… https://t.co/LgQRuS8Hhv</t>
  </si>
  <si>
    <t>1463993698363101184</t>
  </si>
  <si>
    <t>@drfahrettinkoca Önceden HAVALAR GUZELKEN BAZEN YORUMLARİ YANİTLADİGİNİZ OLUYORDU.  BİRAZ HALKIN ARASİNA KATILIN SN… https://t.co/00k1Sqxfbd</t>
  </si>
  <si>
    <t>1463993560622157825</t>
  </si>
  <si>
    <t>@drfahrettinkoca Peki çocuğa okulda zorla maske taktırmakta bir sağlık şiddeti değilmidir.Nefes alamıyorum diyen bi… https://t.co/QUyQrGMX2v</t>
  </si>
  <si>
    <t>1463993382276157453</t>
  </si>
  <si>
    <t>@drfahrettinkoca 50 yıldan mi başlayacak artık</t>
  </si>
  <si>
    <t>1463992969493725199</t>
  </si>
  <si>
    <t>@drfahrettinkoca Ünvan gereği sağlıkçılara hassasiyet göstermeniz tamam AMA milletin Canı/sağlığı ne olacak? Her 3… https://t.co/0nXWK5YhdN</t>
  </si>
  <si>
    <t>1463992207262769153</t>
  </si>
  <si>
    <t>@drfahrettinkoca Sağlık çalışanı hak etmiştir, aklı dengesi yerinde olmayan bile anlamış...</t>
  </si>
  <si>
    <t>1463991476015321090</t>
  </si>
  <si>
    <t>@drfahrettinkoca 🇹🇷Ekonomi ve eğitim düzelirse şiddet azalır daha da azaltmak için siyasetçiler de kanunlara uymalı. https://t.co/Fzck0yAbmr</t>
  </si>
  <si>
    <t>1463991046497611778</t>
  </si>
  <si>
    <t>@drfahrettinkoca Saldırgan çift aşısını olmuş mu? Saldırganlığı ondandır belki</t>
  </si>
  <si>
    <t>1463990981083246600</t>
  </si>
  <si>
    <t>@drfahrettinkoca #VelilerdeOnlineistiyor  Online eğitim istiyoruz</t>
  </si>
  <si>
    <t>1463990688765431815</t>
  </si>
  <si>
    <t>@drfahrettinkoca Okulları acmasaydiniz hiç bir olay olmazdı</t>
  </si>
  <si>
    <t>1463990419914690567</t>
  </si>
  <si>
    <t>@drfahrettinkoca En büyük saldırgan terorist sensin İnsanlara hergün yalan söylüyor aldatıyorsun Aşıyla ihanet ediy… https://t.co/BLuE286NhU</t>
  </si>
  <si>
    <t>1463990417846939648</t>
  </si>
  <si>
    <t>@drfahrettinkoca Kesici bir alet, hastaneye güvenlikten nasl geçer anlamiyorum.</t>
  </si>
  <si>
    <t>1463990320144826381</t>
  </si>
  <si>
    <t>@drfahrettinkoca Vallaha anlamıyorum atamasız 12 ay oldu bu süreçte polislik gardiyanlık zabıtalık katiplik askerli… https://t.co/0GadMfrsRY</t>
  </si>
  <si>
    <t>1463989820519243780</t>
  </si>
  <si>
    <t>@drfahrettinkoca Senin ölüm ilaçlarınla yaptığın soykırımdan da bahsetsene biraz sağlıkçıları da düşünüyo gibi yapm… https://t.co/JZDIRxBQcK</t>
  </si>
  <si>
    <t>1463989805218512901</t>
  </si>
  <si>
    <t>@drfahrettinkoca Sonuç olarak; ha bıçakla saldırıp yaralamışsınız, ha bilinçli olarak yanlış ilaç protokolü uygulay… https://t.co/11ugXjTX7x</t>
  </si>
  <si>
    <t>1463989698125348864</t>
  </si>
  <si>
    <t>1463989659185389582</t>
  </si>
  <si>
    <t>@drfahrettinkoca Duzelicez inşallah şu kılavuz bir gelsin</t>
  </si>
  <si>
    <t>1463989408093417477</t>
  </si>
  <si>
    <t>@drfahrettinkoca Sağlıkta da hayatta da şiddete karşıyız ancak çalışanlarınızın yüzde doksanı ukala ve insanları az… https://t.co/wKdDYbFNDx</t>
  </si>
  <si>
    <t>1463989228698841090</t>
  </si>
  <si>
    <t>@drfahrettinkoca 11 aydır adaletli alım Diyetisyenlere  adaletli alım diyerek tveet atıyoruz 40 bin Atama da 2000… https://t.co/icBE1dbOJM</t>
  </si>
  <si>
    <t>1463989208150949896</t>
  </si>
  <si>
    <t>@drfahrettinkoca Bu durumda; uyguladığınız sağlık protokolüne göre, sizin birinci derece cinayetten yargılanıp,  ac… https://t.co/hyoJfPwuqO</t>
  </si>
  <si>
    <t>1463988886602977283</t>
  </si>
  <si>
    <t>@drfahrettinkoca Bu saatlerde ve bu yaşta gelecek kaygısı yaşamak Allah kimsenin başına vermesin</t>
  </si>
  <si>
    <t>1463988753240924166</t>
  </si>
  <si>
    <t>@drfahrettinkoca Aşıyı sakıncalı gördüğünüz yaş grubuna online eğitimi açın diyeceğim ama hükümetinizin zaafı ortay… https://t.co/FMBioCfQTU</t>
  </si>
  <si>
    <t>1463988578090991617</t>
  </si>
  <si>
    <t>@drfahrettinkoca Sağlık Bakanı olarak akıllara kazınan bir cümleniz var; “önümüzdeki iki hafta çok kritik” o iki ha… https://t.co/546O77oSk8</t>
  </si>
  <si>
    <t>1463988472847474701</t>
  </si>
  <si>
    <t>@drfahrettinkoca Sayın bakan ASM ler denetlenmiyor bazı doktorlar hastaya it köpek muamelesi yapıyor kaç kez şikaye… https://t.co/h4xnjguBo6</t>
  </si>
  <si>
    <t>1463988064771055617</t>
  </si>
  <si>
    <t>@drfahrettinkoca Bazı doktorlar hastalara ve yakınlarına o kadar kötü davranıyorlar ki keşke hastaneleri hasta yada… https://t.co/OJe89ZDrMs</t>
  </si>
  <si>
    <t>1463987670854639628</t>
  </si>
  <si>
    <t>@drfahrettinkoca nasıl bir kararlılıksa? mesela cezası nedir doktora saldırmanın? doktorları nasıl koruyorsunuz? bi… https://t.co/4trUamKN4O</t>
  </si>
  <si>
    <t>1463987563665010693</t>
  </si>
  <si>
    <t>@drfahrettinkoca SAĞLIKTA ŞİDDETİ ÖNLEMEKTE KARARLI OLUNSAYDI BOYLE Mİ OLURDUK SIZCE SAYIN BAKANIM?</t>
  </si>
  <si>
    <t>1463987460044689411</t>
  </si>
  <si>
    <t>@drfahrettinkoca BAKANIM YARIN KILAVUZ GELİR Mİ??????</t>
  </si>
  <si>
    <t>1463987363789651969</t>
  </si>
  <si>
    <t>@drfahrettinkoca KILAVUZU BEKLİYORUZ</t>
  </si>
  <si>
    <t>1463987292004139008</t>
  </si>
  <si>
    <t>@drfahrettinkoca Lafla peynir gemisi yürümez...</t>
  </si>
  <si>
    <t>1463987230247202817</t>
  </si>
  <si>
    <t>@drfahrettinkoca BAKANIM KILAVUZ BAKANIM</t>
  </si>
  <si>
    <t>1463987224593289216</t>
  </si>
  <si>
    <t>@drfahrettinkoca Siz 2 senedir insanlığı öldürüyorsunuz ya sayın hoca</t>
  </si>
  <si>
    <t>1463987050009575426</t>
  </si>
  <si>
    <t>@drfahrettinkoca Yav tamm iki sene.olmuş millete yaptığınız zulm ne zaman bitecek</t>
  </si>
  <si>
    <t>1463986939980390400</t>
  </si>
  <si>
    <t>@drfahrettinkoca Bakanim o adamı tetikçi tutun kafasini kestirin yeter artık ulan .</t>
  </si>
  <si>
    <t>1463986884573646855</t>
  </si>
  <si>
    <t>@drfahrettinkoca Bıçakla ASM ye gidiyor elini kolunu sallayarak..heryere x-ray konulmalı çalışan x-ray yalnız..ruhs… https://t.co/0iW9LmLZ4k</t>
  </si>
  <si>
    <t>1463986772153716745</t>
  </si>
  <si>
    <t>@drfahrettinkoca İstanbul önemlidir. Hiçbirşey yapmıyorsunuz. 20 milyon TC' nin % 20'sidir...</t>
  </si>
  <si>
    <t>1463986748078309384</t>
  </si>
  <si>
    <t>@drfahrettinkoca Milletin ayarlarını  bozdunuz. Şadece şiddetin sağlık çalışanlarına olduğunu mu sanıyorsunuz.</t>
  </si>
  <si>
    <t>1463986538459586567</t>
  </si>
  <si>
    <t>@drfahrettinkoca Biz hiç bir konuda kararlılık göremiyoruz artık günde kaçta saldırı haberi</t>
  </si>
  <si>
    <t>1463986493119246343</t>
  </si>
  <si>
    <t>@drfahrettinkoca Sağlıkçılar şiddet görüyorsa sizin yüzünüzden görüyor.</t>
  </si>
  <si>
    <t>1463986472151924737</t>
  </si>
  <si>
    <t>@drfahrettinkoca Hakkımız olan kılavuzu yayımlayın lütfen</t>
  </si>
  <si>
    <t>1463986428174553099</t>
  </si>
  <si>
    <t>@drfahrettinkoca Halkimizin sag duyusuna birakmistiniz en son bizi... Siz mi onleyeceksiniz saglikta siddeti ?</t>
  </si>
  <si>
    <t>1463986412676599813</t>
  </si>
  <si>
    <t>@drfahrettinkoca Bu insanlar savcının değil psikiyatri Dr.'unun önüne çıkartılmalı. Kodese değil akıl hastanesine g… https://t.co/K5ftfbXWhy</t>
  </si>
  <si>
    <t>1463986332578029582</t>
  </si>
  <si>
    <t>@drfahrettinkoca Sağlıkta Şiddet tweeti altında kılavuz istemek istemezdim ama bizi mecbur bıraktınız sayın bakan</t>
  </si>
  <si>
    <t>1463986324122353665</t>
  </si>
  <si>
    <t>@drfahrettinkoca 20 yıldır hukuk harekete geçmedi de şimdi mi geçecek ? O insanlara hizmet verebilmek için geceni g… https://t.co/Xw1OrHPgYf</t>
  </si>
  <si>
    <t>1463986235437948930</t>
  </si>
  <si>
    <t>@drfahrettinkoca Daha kaç gece böyle uykusuz geçecek? Ben artık nöbet tutmak için uykusuz kalmak istiyorum. Branş d… https://t.co/YmGVfp8szY</t>
  </si>
  <si>
    <t>1463986162918432770</t>
  </si>
  <si>
    <t>@drfahrettinkoca O dehşeti her öğretmenin her öğrencinin hasta veya vefat ettiğinde biz annelerde yaşıyoruz sizi de… https://t.co/AfFUfMhF0r</t>
  </si>
  <si>
    <t>1463986093112631301</t>
  </si>
  <si>
    <t>@drfahrettinkoca Ben artık kılavuz isterken utaniyorum</t>
  </si>
  <si>
    <t>1463985801235243014</t>
  </si>
  <si>
    <t>@drfahrettinkoca Bilim adı altında bu milleti kırıp geçirdiniz sayın bakan insanların özgürlüğünü elinden aldınız s… https://t.co/XG0wTmcE0m</t>
  </si>
  <si>
    <t>1463985632296980487</t>
  </si>
  <si>
    <t>@drfahrettinkoca Sebep sizsiniz bu milletin sesini duymayan her gün baskı yapan aşıyla işiyle tehtit eden bir rejim… https://t.co/ysLYhbcaNI</t>
  </si>
  <si>
    <t>1463985602441924619</t>
  </si>
  <si>
    <t>@drfahrettinkoca Ölmek için atanmak istiyoruz. Öyle çaresiziz işte...</t>
  </si>
  <si>
    <t>1463985443918290945</t>
  </si>
  <si>
    <t>@drfahrettinkoca İnş ifadesi alınıp serbest kalmaz😏</t>
  </si>
  <si>
    <t>1463985410070175752</t>
  </si>
  <si>
    <t>@drfahrettinkoca Lütfen g.afrika ve israilin önlemlerine göz atın, her şeyde en geç kalan biz olmayalım. Uçuşları durdurun</t>
  </si>
  <si>
    <t>1463985409717850116</t>
  </si>
  <si>
    <t>@drfahrettinkoca Abi şu sağlık çalışanlarını eğitin, halkla konuşmayı bilsinler. Genelde yüzde 99'u hak ediyor benim gözlemlerime göre</t>
  </si>
  <si>
    <t>1463985109619650565</t>
  </si>
  <si>
    <t>@drfahrettinkoca Diyetisyenler 4 haneli sayıları görmeyi hakkediyor Bakanım</t>
  </si>
  <si>
    <t>1463984968519102466</t>
  </si>
  <si>
    <t>@drfahrettinkoca Eskiden bu kadar çok psikiyatrik sorunu olan hastalar ve yakınları yoktu. Sağlıkta şiddetin temeli… https://t.co/nKF5TTCgrl</t>
  </si>
  <si>
    <t>1463984942019497989</t>
  </si>
  <si>
    <t>@drfahrettinkoca Bakanım sizin bizi hâlâ atamamanızdan, aldığımız duyumlardaki bölümlere adil olmayan sayılardan do… https://t.co/yMTSkChRHv</t>
  </si>
  <si>
    <t>1463984767376969737</t>
  </si>
  <si>
    <t>@drfahrettinkoca #siddetinbahanesiolmaz #Yargi Yoluyla Eşini Aldatan Kadına Maddi Manevi #Tazminat… https://t.co/e12MlLET0b</t>
  </si>
  <si>
    <t>1463984664742445057</t>
  </si>
  <si>
    <t>@drfahrettinkoca Diyetisyenler yüksek puanlarla atama bekliyor bakanım</t>
  </si>
  <si>
    <t>1463984542633631748</t>
  </si>
  <si>
    <t>@drfahrettinkoca Gecenin bu saatine kadar kılavuz tarihini bekliyoruz TARIH ne diyecek buna acaba  sayın bakanım</t>
  </si>
  <si>
    <t>1463984410727010307</t>
  </si>
  <si>
    <t>@drfahrettinkoca Her aile hekimliğine güvenlik şart</t>
  </si>
  <si>
    <t>1463984398211158022</t>
  </si>
  <si>
    <t>@drfahrettinkoca Ya cildiracaz açıklayın su kılavuzu</t>
  </si>
  <si>
    <t>1463984286856589323</t>
  </si>
  <si>
    <t>@drfahrettinkoca Bu haftayı güzel bitirelim bize bir müjde verin</t>
  </si>
  <si>
    <t>1463984184901480459</t>
  </si>
  <si>
    <t>@drfahrettinkoca Halka yaptığınız biyolojik,pisikolojik,ekonomik şidet nolacak ? https://t.co/g1rwRmxL7L</t>
  </si>
  <si>
    <t>1463984154392076301</t>
  </si>
  <si>
    <t>@drfahrettinkoca Uykusuz gecelerde hala kılavuz peşindeyiz. Yayınlayın artık!  @drfahrettinkoca  @halis_aygun  #BakanKocaKilavuzVakti</t>
  </si>
  <si>
    <t>1463984077309108230</t>
  </si>
  <si>
    <t>@drfahrettinkoca Kılavuz içinde harekete geçseniz bakanım,yoksa bizde öleceğiz az kaldı , cenaze ekipleri gelecek b… https://t.co/obszuKyZ5r</t>
  </si>
  <si>
    <t>1463984016579874821</t>
  </si>
  <si>
    <t>@drfahrettinkoca SAYIN BAKANIM BRANŞ DAĞILIMINI AÇIKLAYIN BEKLEMEKTEN CİĞERİMİZ SOLDU BU BELİRSİZLİK BİZİ BİTİRDİ🥲</t>
  </si>
  <si>
    <t>1463983966227206145</t>
  </si>
  <si>
    <t>@drfahrettinkoca Sizden birine şiddet olursa gereken yapılıyor ha yapılsında zaten doğrusu budur ve şiddete hayır d… https://t.co/NFnJVKmxYk</t>
  </si>
  <si>
    <t>1463983923160100872</t>
  </si>
  <si>
    <t>@drfahrettinkoca https://t.co/CB1nrxQ5yS</t>
  </si>
  <si>
    <t>1463983897298055178</t>
  </si>
  <si>
    <t>@drfahrettinkoca Biz de sağlıkçıların şiddetini önleme davamızda kararlıyız. Mesela başta 20 ay boyunca gri hastala… https://t.co/0wcScXTSvy</t>
  </si>
  <si>
    <t>1463983878725677058</t>
  </si>
  <si>
    <t>@drfahrettinkoca Daha neyi bekliyoruz Allah aşkına</t>
  </si>
  <si>
    <t>1463983851232018434</t>
  </si>
  <si>
    <t>@drfahrettinkoca https://t.co/7B5yZqvKOb</t>
  </si>
  <si>
    <t>1463983757216686086</t>
  </si>
  <si>
    <t>@drfahrettinkoca KILAVUZ NERDE</t>
  </si>
  <si>
    <t>1463983749515956234</t>
  </si>
  <si>
    <t>@drfahrettinkoca 13 ay oldu kpss'ye gireli hala atama alamadık yetmedi mi bu çile</t>
  </si>
  <si>
    <t>1463983744579162119</t>
  </si>
  <si>
    <t>@drfahrettinkoca @RTErdogan Fahrettin hocam,bilgi ölçen tıpta uzmanlık sınavı sistemine tusa HİZMET puanı eklerseni… https://t.co/RUAKhdnhrc</t>
  </si>
  <si>
    <t>1464377909196599299</t>
  </si>
  <si>
    <t>@drfahrettinkoca @RTErdogan Fahrettin hocam,bilgi ölçen tıpta uzmanlık sınavı sistemine tusa HİZMET puanı eklerseni… https://t.co/fYlyDAjBWr</t>
  </si>
  <si>
    <t>1464377873532346369</t>
  </si>
  <si>
    <t>@drfahrettinkoca @RTErdogan Fahrettin hocam,bilgi ölçen tıpta uzmanlık sınavı sistemine tusa HİZMET puanı eklerseni… https://t.co/jHVKY0elX0</t>
  </si>
  <si>
    <t>1464377844344233986</t>
  </si>
  <si>
    <t>@drfahrettinkoca @RTErdogan Fahrettin hocam,bilgi ölçen tıpta uzmanlık sınavı sistemine tusa HİZMET puanı eklerseni… https://t.co/PNzUIrIb9v</t>
  </si>
  <si>
    <t>1464377776534958089</t>
  </si>
  <si>
    <t>@drfahrettinkoca @RTErdogan Fahrettin hocam,bilgi ölçen tıpta uzmanlık sınavı sistemine tusa HİZMET puanı eklerseni… https://t.co/ldmEyZyytX</t>
  </si>
  <si>
    <t>1464377744117092354</t>
  </si>
  <si>
    <t>@drfahrettinkoca Peh.</t>
  </si>
  <si>
    <t>1464361846694105095</t>
  </si>
  <si>
    <t>@drfahrettinkoca #DeryaYANIKEngelliyeATAMA #engellininataması10bin  Engelli sağlıkçılar 4 yıldır açılmayan kontenja… https://t.co/OiqRoWCiCq</t>
  </si>
  <si>
    <t>1464347662979903494</t>
  </si>
  <si>
    <t>@drfahrettinkoca #DeryaYANIKEngelliyeATAMA #engellininataması10bin  Engelli sağlıkçılar 4 yıldır açılmayan kontenja… https://t.co/zomtpFpFI1</t>
  </si>
  <si>
    <t>1464347606415560705</t>
  </si>
  <si>
    <t>@drfahrettinkoca #DeryaYANIKEngelliyeATAMA #engellininataması10bin  Engelli sağlıkçılar 4 yıldır açılmayan kontenja… https://t.co/E2QzH4j0mg</t>
  </si>
  <si>
    <t>1464347506427543558</t>
  </si>
  <si>
    <t>@drfahrettinkoca Sayın bakanım bazı sağlıkçılarımız memurlarımız halka çok kaba davranıyor azarlanıyor maalesef. Ço… https://t.co/LBRuq5IVeP</t>
  </si>
  <si>
    <t>1464346994332295181</t>
  </si>
  <si>
    <t>@drfahrettinkoca Bazı doktorlar odaya bile almıyorlar 2 sandalye koymuş kapıya giremiyorsun içeri  şikayetini söylü… https://t.co/XKS3AI9AIo</t>
  </si>
  <si>
    <t>1466516922544107523</t>
  </si>
  <si>
    <t>@drfahrettinkoca Bakalım klavuz gelsin artık</t>
  </si>
  <si>
    <t>1466474269391609862</t>
  </si>
  <si>
    <t>@drfahrettinkoca Dolar 13 olmuş, ülke iflas etmiş, adam daha aşı diyor, biri şuna ülke gündeminden bahsetsin.</t>
  </si>
  <si>
    <t>1464013905450123265</t>
  </si>
  <si>
    <t>@drfahrettinkoca Salgın yok zaten, pcr testi ile çoğaltılan hastalık var, 3 gerçek hastanın yanında 100 pcr ile pozitif çıkmış sahte hasta.</t>
  </si>
  <si>
    <t>1464012097088593921</t>
  </si>
  <si>
    <t>@drfahrettinkoca Heryer mavi oldu ama salgın bitmiyor. Yokmuş gibi davranıyorsa siz kurallarla denetlemelerle uydur… https://t.co/WgcMhZjWoF</t>
  </si>
  <si>
    <t>1464009946849284100</t>
  </si>
  <si>
    <t>@drfahrettinkoca Sen uy, biz yokuz zaten, yok gibi davranıyorsunuz..#așıolmayacağım #masketakmıyorum</t>
  </si>
  <si>
    <t>1464007689676144642</t>
  </si>
  <si>
    <t>@drfahrettinkoca İnşallah tez zamanda vatana millete insanlığa ihanetten yargılanır ve idam kalkar da sizi de o day… https://t.co/ySyRCcU3Eq</t>
  </si>
  <si>
    <t>1464005854424977410</t>
  </si>
  <si>
    <t>@drfahrettinkoca Salgının aşısı olmaz,eğer sen bunu bilmiyorsan zaten, Dr ünvanını bırak o makamıda boşuna meşgul e… https://t.co/rX0VRW0uqs</t>
  </si>
  <si>
    <t>1464004660042346497</t>
  </si>
  <si>
    <t>@drfahrettinkoca Salgın zaten yok sadece senin DSÖ ye taşeronluğun var. Ve bunun vebalini öbür dünyaya kalmadan burada vereceksiniz</t>
  </si>
  <si>
    <t>1464003069868331010</t>
  </si>
  <si>
    <t>@drfahrettinkoca Buna sizde dahilisinin kalabalık sınıflarda çocuklar maske ile sözde eğitim siz de ortama göre mas… https://t.co/rD93AhQ19w</t>
  </si>
  <si>
    <t>1464002217728425999</t>
  </si>
  <si>
    <t>@drfahrettinkoca Salgın yokmuş gibi davrananlar uzaktan eğitim sınavını yüz yüze yapıp covidli ile aynı ulaşım arac… https://t.co/Iv6Z8jTtKr</t>
  </si>
  <si>
    <t>1464001673421074432</t>
  </si>
  <si>
    <t>@drfahrettinkoca Billy gates öyle dedi</t>
  </si>
  <si>
    <t>1463998065786949635</t>
  </si>
  <si>
    <t>@drfahrettinkoca Gerçek bir salgın olsaydı hiç kimse salgın yokmuş gibi yaşayamazdı</t>
  </si>
  <si>
    <t>1463997923822342161</t>
  </si>
  <si>
    <t>@drfahrettinkoca Hani 14 güne bitiyordu, hani çinovak %95 koruyordu, hani tek doz yeterdi, hani maske taktığımız so… https://t.co/8CQY1zicGV</t>
  </si>
  <si>
    <t>1463996214278594562</t>
  </si>
  <si>
    <t>@drfahrettinkoca Hodri meydan https://t.co/lqaOxc34Fc</t>
  </si>
  <si>
    <t>1463995808827822082</t>
  </si>
  <si>
    <t>@drfahrettinkoca . . . : LÜTFEN İZLEYİN: . . . https://t.co/cfEwvHnFes  . . . : LÜTFEN İZLEYİN: . . . https://t.co/awLfnc842c</t>
  </si>
  <si>
    <t>1463995696105803776</t>
  </si>
  <si>
    <t>@drfahrettinkoca Bak bak afrikada asi yokmus eee asi olmayinca virüsde yokmus 🤠🤠 https://t.co/i0PkuZs58E</t>
  </si>
  <si>
    <t>1463995023654010885</t>
  </si>
  <si>
    <t>@drfahrettinkoca Salgın var diyorsunuz da şu izole ettiyseniz virüsün gen haritasını bir paylassaniz diyoruz bütün… https://t.co/wsBh5UiUGs</t>
  </si>
  <si>
    <t>1463994870083768325</t>
  </si>
  <si>
    <t>@drfahrettinkoca Yeter  artik yeterrrrr bıktırdınız yalanlarinizdan</t>
  </si>
  <si>
    <t>1463994032275742722</t>
  </si>
  <si>
    <t>@drfahrettinkoca Bilim insanları, 'B.1.1.529' adında 32 mutasyona sahip yeni bir varyantın tespit edildiğini bildirdi...</t>
  </si>
  <si>
    <t>1463992838891487235</t>
  </si>
  <si>
    <t>@drfahrettinkoca Koronadan ölmezse bu halk, açlıktan ölecek, hükümet yetkilileri, aşıdan bahsetmekten çok, miiletin… https://t.co/j3rXRapbB9</t>
  </si>
  <si>
    <t>1463992733337538563</t>
  </si>
  <si>
    <t>@drfahrettinkoca Ölü sayısına bak ne kadar rahatsınız vicdanda mı yok sizde</t>
  </si>
  <si>
    <t>1463991401352511498</t>
  </si>
  <si>
    <t>@drfahrettinkoca Her görüştüğüm 5 kişiden 3ü corona, üniversite kampüsüne girdiğim de herkes hasta ya da corona olu… https://t.co/matSTLpgmi</t>
  </si>
  <si>
    <t>1463990878444343312</t>
  </si>
  <si>
    <t>@drfahrettinkoca Asıl başımızdakiler salgın yokmuş gibi davranıyor halk ne yapsın ...Ben bu hamile,halimle bu hafta… https://t.co/eqLtfEqZhj</t>
  </si>
  <si>
    <t>1463989670828724225</t>
  </si>
  <si>
    <t>@drfahrettinkoca Aşı mucizesi bu olsa gerek avrupa freni patlamış kamyon gibi... https://t.co/2toWGUMnH0</t>
  </si>
  <si>
    <t>1463989284130729988</t>
  </si>
  <si>
    <t>@drfahrettinkoca Asilama orani çok dustu sn bakanim. Maske takan yok, sosyal mesafe yok! En onemlisi halk, zam firt… https://t.co/s2wButg45z</t>
  </si>
  <si>
    <t>1463988536319922183</t>
  </si>
  <si>
    <t>@drfahrettinkoca Kalabalık ve soğuktan camları kapatılmış sınıflarda istediğiniz kadar maske takın(ki küçücük çocuk… https://t.co/RU0FpIhCpg</t>
  </si>
  <si>
    <t>1463987416327405575</t>
  </si>
  <si>
    <t>@drfahrettinkoca Ha yani biz iyi yaptık artık bizden çıktı...</t>
  </si>
  <si>
    <t>1463987343539511297</t>
  </si>
  <si>
    <t>@drfahrettinkoca Aşılama olmasa virüs  mutasyona uğrayıp bitecekti. Dünya da 2 yıldan fazla süren pandemi yok. Prof… https://t.co/JyKq5IzaMg</t>
  </si>
  <si>
    <t>1463986336784949255</t>
  </si>
  <si>
    <t>@drfahrettinkoca Salgın yokmuş gibi davranan sizsiniz zaten NEDEN HALA OKULLARDA ÖNLEM ALMIYORSUNUZ?!</t>
  </si>
  <si>
    <t>1463985712420773902</t>
  </si>
  <si>
    <t>@drfahrettinkoca 120 milyon doz aşılama ve alınan sonuç bu mu ?</t>
  </si>
  <si>
    <t>1463985568858226699</t>
  </si>
  <si>
    <t>@drfahrettinkoca Salgının bir süre daha devam edeceği gerçeğine alışıp sağlık bakanlığı olarak üstünüze düşenin ne… https://t.co/XhGNIg8jdf</t>
  </si>
  <si>
    <t>1463985041676115972</t>
  </si>
  <si>
    <t>@drfahrettinkoca Gelen Arap turistler maske takmayıp, mesafeye uymamasının kahrını çekmek zorunda mıyız ? Bu ne çif… https://t.co/yATXGq5KgD</t>
  </si>
  <si>
    <t>1463984490624262151</t>
  </si>
  <si>
    <t>@drfahrettinkoca Sayın bakanım bu atamalar hayırlısıyla olsun artık Arefeyi gördük bayramıda yaşamak gerek</t>
  </si>
  <si>
    <t>1468987814289281029</t>
  </si>
  <si>
    <t>@drfahrettinkoca Ben hayatı Covid-19 plandemisi ortaya çıktığından beri mümkün olduğunca normale çok yakın yaşıyorum zaten Fahrettin bey 😏</t>
  </si>
  <si>
    <t>1464362883362562052</t>
  </si>
  <si>
    <t>@drfahrettinkoca @saglikbakanligi EKpss mağduru sağlıkçıları duyun</t>
  </si>
  <si>
    <t>1464351519894130700</t>
  </si>
  <si>
    <t>@drfahrettinkoca @saglikbakanligi Engelli sağlıkçıyı duyun</t>
  </si>
  <si>
    <t>1464351451002646530</t>
  </si>
  <si>
    <t>@drfahrettinkoca @saglikbakanligi Engelli SAĞLIKÇIDAN ALIP KİME VERİYORSUNUZ KADROLARI SN BAKANIM ? SESİMİZİ DUYUN… https://t.co/KdCHgOUMZy</t>
  </si>
  <si>
    <t>1464351396128505869</t>
  </si>
  <si>
    <t>@drfahrettinkoca @saglikbakanligi Engelliye atama</t>
  </si>
  <si>
    <t>1464351363895373830</t>
  </si>
  <si>
    <t>@drfahrettinkoca @saglikbakanligi EKPSS</t>
  </si>
  <si>
    <t>1464351293170933769</t>
  </si>
  <si>
    <t>@drfahrettinkoca @saglikbakanligi Engelli SAĞLIKÇI ataması</t>
  </si>
  <si>
    <t>1464351276133715973</t>
  </si>
  <si>
    <t>@drfahrettinkoca @saglikbakanligi EKpss ataması</t>
  </si>
  <si>
    <t>1464351242579292162</t>
  </si>
  <si>
    <t>@drfahrettinkoca @saglikbakanligi Engelli SAĞLIKÇIDAN ALIP KİME VERİYORSUNUZ KADROLARI SN BAKANIM ? SESİMİZİ DUYUN… https://t.co/1JWIkrwdK1</t>
  </si>
  <si>
    <t>1464351214427123718</t>
  </si>
  <si>
    <t>@drfahrettinkoca @saglikbakanligi Engelli SAĞLIKÇIDAN ALIP KİME VERİYORSUNUZ KADROLARI SN BAKANIM ? SESİMİZİ DUYUN… https://t.co/ri1ySxnqlE</t>
  </si>
  <si>
    <t>1464351166976905224</t>
  </si>
  <si>
    <t>@drfahrettinkoca Sen ve filim kurulu ile gönüllüymüssün hadi gözünüz aydin sayin bakan bey 😁😁 https://t.co/SUIv1TYIGD</t>
  </si>
  <si>
    <t>1464002670776270848</t>
  </si>
  <si>
    <t>1463995720680325124</t>
  </si>
  <si>
    <t>@drfahrettinkoca Engelli sağlıkçıdan mi tasarruf ettiniz 4YILDIR SN BAKANIM  Teşekkür ederiz  Hakkımız olanı artık… https://t.co/XFCxVReWKf</t>
  </si>
  <si>
    <t>1464349481630158853</t>
  </si>
  <si>
    <t>@drfahrettinkoca Engelli sağlıkçıdan mi tasarruf ettiniz 4YILDIR SN BAKANIM  Teşekkür ederiz  Hakkımız olanı artık… https://t.co/EBmkY1zeVm</t>
  </si>
  <si>
    <t>1464349456514666501</t>
  </si>
  <si>
    <t>@drfahrettinkoca Engelli sağlıkçıdan mi tasarruf ettiniz 4YILDIR SN BAKANIM  Teşekkür ederiz  Hakkımız olanı artık… https://t.co/ahKi7jQC4E</t>
  </si>
  <si>
    <t>1464349034567581700</t>
  </si>
  <si>
    <t>@drfahrettinkoca Engelli SAĞLIKÇILAR NİTELİKLİ KADRO BEKLİYOR</t>
  </si>
  <si>
    <t>1464347836947087363</t>
  </si>
  <si>
    <t>@drfahrettinkoca Engelli sağlıkçıları atayın hakkımızı nasıl ödeyeceksiniz @drfahrettinkoca @sagliklicozum… https://t.co/EJEQCUCO8L</t>
  </si>
  <si>
    <t>1464347748996632582</t>
  </si>
  <si>
    <t>@drfahrettinkoca #BağkurTescilMağdurları  #BağkurTescilMağdurları #BağkurTescilMağdurları #BağkurTescilMağdurları… https://t.co/HkyOWpCLuZ</t>
  </si>
  <si>
    <t>1464019348083908610</t>
  </si>
  <si>
    <t>@drfahrettinkoca millet adına neden konusuyorsunuzki 😂😂 anket yapın bakın millet ne diyor ...</t>
  </si>
  <si>
    <t>1464015795223203845</t>
  </si>
  <si>
    <t>@drfahrettinkoca Almanya ,biontek aşısını altı ayda alel acele çıkartıp dünyaya pazarladı ,biz hâlâ kendi aşımızı p… https://t.co/BpJfIQmJr3</t>
  </si>
  <si>
    <t>1464002817593647108</t>
  </si>
  <si>
    <t>1463995754918428675</t>
  </si>
  <si>
    <t>@drfahrettinkoca Aha; akp sahte aşı işine de girdi… @sonkibar @ismailsaymaz @fyzisbsrn @ahmethtakan @ahmethc… https://t.co/nnPI2UOuk5</t>
  </si>
  <si>
    <t>1463992808843268097</t>
  </si>
  <si>
    <t>@drfahrettinkoca hayırlı olsun BAŞKANIM  biz senden razıyız ALLAH DA  senden razı olsun</t>
  </si>
  <si>
    <t>1463987309288771590</t>
  </si>
  <si>
    <t>@drfahrettinkoca Hz Allah  mahçub etmesin,  muvaffakiyyetler ihsan eylesin  İnşaAllah</t>
  </si>
  <si>
    <t>1463986778092810247</t>
  </si>
  <si>
    <t>@drfahrettinkoca Fahrettin afrika ülkelerinin parası bizimkinden nasıl değerli olur derdik inanamazdık sayende sağl… https://t.co/H6QYT2C2s5</t>
  </si>
  <si>
    <t>1463985959410835457</t>
  </si>
  <si>
    <t>@drfahrettinkoca çıksın türk aşısınıda olmayacagım</t>
  </si>
  <si>
    <t>1464366880479748100</t>
  </si>
  <si>
    <t>@drfahrettinkoca Sayın Bakanım Doktorların hakkı verilmez ise Her branş bazında hastalarÖzele muayeneye gitmek zoru… https://t.co/Xkm56y2d4j</t>
  </si>
  <si>
    <t>1468340332140154885</t>
  </si>
  <si>
    <t>@drfahrettinkoca Sayın Bakanım Bir doktor olduğu için randevuları dolmuş  başka hastanede doktor hiç yok Özel hasta… https://t.co/LeIYQsb3Ln</t>
  </si>
  <si>
    <t>1468338364172709900</t>
  </si>
  <si>
    <t>@drfahrettinkoca Sayın Bakanım Doktorların kazanılmış hakları birbir elden giderken yeni iyileştirmelerde en yakınl… https://t.co/BZgbXLHsSl</t>
  </si>
  <si>
    <t>1468336326319738930</t>
  </si>
  <si>
    <t>@drfahrettinkoca Sayın Bakanım Doktorları kıskanan bazıları varki Doktorların maaş zammı almasını dahi istemez üste… https://t.co/8O1AOIKEVK</t>
  </si>
  <si>
    <t>1468334474815492100</t>
  </si>
  <si>
    <t>@drfahrettinkoca Sayın Bakanım Doktorların derdini Başarılı saygın bir Doktor olarak en iyi sizi anlarsınız Doktorl… https://t.co/Yxfj4KIdB7</t>
  </si>
  <si>
    <t>1468332508286799875</t>
  </si>
  <si>
    <t>@drfahrettinkoca SMA hastasi çocuklara destek olmak için daha çok bekleyecekmisiniz sayin bakanim</t>
  </si>
  <si>
    <t>1464002068507676673</t>
  </si>
  <si>
    <t>@drfahrettinkoca Yıl olmuş 2021 Kamuya işçi alımı kura ile oluyor Kpss ne demek acaba bu alımlar neden kpss ile olm… https://t.co/98hkHl9NJ2</t>
  </si>
  <si>
    <t>1464001143831412744</t>
  </si>
  <si>
    <t>1463995794667757570</t>
  </si>
  <si>
    <t>@drfahrettinkoca Milleti ve devleti soydurduğunuz yetmedimi?</t>
  </si>
  <si>
    <t>1463987495033618436</t>
  </si>
  <si>
    <t>@drfahrettinkoca Öbür sene de sahte salgını sürdürmemiz lazım. De de https://t.co/JJZwQpSdBQ</t>
  </si>
  <si>
    <t>1463987391077785600</t>
  </si>
  <si>
    <t>@drfahrettinkoca Bergül Varan: Müzisyen/devrimci. Grup Yorum üyesi! 30 Mayıs 2017'de, Okmeydanı İdil Kültür Merkezi… https://t.co/NKnBnLKpX5</t>
  </si>
  <si>
    <t>1464015518248185865</t>
  </si>
  <si>
    <t>@drfahrettinkoca Şiddet üreten partinin bakanı vaaz vermiş.</t>
  </si>
  <si>
    <t>1464004808814247939</t>
  </si>
  <si>
    <t>@drfahrettinkoca Batman da alakasız bir yöre türküsü olur bazen .Kadına şiddet için ise Bangladeş den. Yapay bir vi… https://t.co/AAT1Frw4cw</t>
  </si>
  <si>
    <t>1464000362076065796</t>
  </si>
  <si>
    <t>@drfahrettinkoca Kendi memleketinizin sokaklarında öldürülen kadınları , çocukları yok sayıp başka ülkelerin mağdur… https://t.co/Yh1eG4IxBC</t>
  </si>
  <si>
    <t>1463994781751599108</t>
  </si>
  <si>
    <t>@drfahrettinkoca Bunu bire bir yaşadım yıllar önce Konya’da kuaför salonum varken bir bayan geldi yüzü gözü mor göz… https://t.co/eRoT7h74tz</t>
  </si>
  <si>
    <t>1463992470249914377</t>
  </si>
  <si>
    <t>@drfahrettinkoca Bangladeş’e gitmeye gerek yok bizde direkt ölüyorlar</t>
  </si>
  <si>
    <t>1463989172205670400</t>
  </si>
  <si>
    <t>@drfahrettinkoca Erkek gözünden kadın işkencesi.. saçının azalmasından duygulanıyor işte barzolar</t>
  </si>
  <si>
    <t>1464377923574677508</t>
  </si>
  <si>
    <t>@drfahrettinkoca Bangladeş’i bırakıp dönseniz şöyle yurdumuza… neler var neler!</t>
  </si>
  <si>
    <t>1464360888929030144</t>
  </si>
  <si>
    <t>@drfahrettinkoca Hadi istifa et artık, yardımcıların da istifa etsinler, aldığın maaşları ve gelecekte alacağın maa… https://t.co/iV9pIFztZ4</t>
  </si>
  <si>
    <t>1464360126438125575</t>
  </si>
  <si>
    <t>@drfahrettinkoca Ben de bir kadın olarak aşı şiddetine karşıyım zorlamı aşı yapacaksınız... Düşün yakamızdan.</t>
  </si>
  <si>
    <t>1464352055611568137</t>
  </si>
  <si>
    <t>@drfahrettinkoca @hans_kluge Bu kış çok insan gider?</t>
  </si>
  <si>
    <t>1463656644999581699</t>
  </si>
  <si>
    <t>@drfahrettinkoca @hans_kluge Sayın Bakanım bu akşam Fransız Tv açıkladı . Cafe Restaurant aşı olmayanların gösterec… https://t.co/m3fgEOiKL3</t>
  </si>
  <si>
    <t>1463652917110525956</t>
  </si>
  <si>
    <t>@drfahrettinkoca @hans_kluge Benim tüm haklarımı da ver. 10 milyon + 3 doz olsun.</t>
  </si>
  <si>
    <t>1463652293375668230</t>
  </si>
  <si>
    <t>@drfahrettinkoca @hans_kluge Hayırlı işler...</t>
  </si>
  <si>
    <t>1463647667758804994</t>
  </si>
  <si>
    <t>@drfahrettinkoca @hans_kluge Biz her gün millete eziyet edenlere beddua ediyoruz. Allah a hesap vereceksiniz tüm bu yapılan eziyetlerin .</t>
  </si>
  <si>
    <t>1463643935314743299</t>
  </si>
  <si>
    <t>@drfahrettinkoca @hans_kluge 1. Doz olun salgın dan korunun 2. Doz olun yoğun bakımdan kurtulun 3. Olanlar yüksek r… https://t.co/3DJrvNe8YQ</t>
  </si>
  <si>
    <t>1463637603736076295</t>
  </si>
  <si>
    <t>@drfahrettinkoca @saglikbakanligi @hans_kluge #SmaAileleriAnkarada görün artık bu aileleri ve ilacı verin artık sip… https://t.co/jj0Y698SV4</t>
  </si>
  <si>
    <t>1463637465722466306</t>
  </si>
  <si>
    <t>@drfahrettinkoca @hans_kluge @SireneOznur Burnu büyük Avrupa’nın yoğun bakım üniteleri yetmiyor ve bize Corona hastaları gönderecekmiş.</t>
  </si>
  <si>
    <t>1463637215213412352</t>
  </si>
  <si>
    <t>@drfahrettinkoca @hans_kluge Kocaeli’deki sağlık idarecilerinin kaçı iskenderci kaçı lalederci kaçı KOSADERci kaçı… https://t.co/V2DQpPeBSo</t>
  </si>
  <si>
    <t>1463634119108304910</t>
  </si>
  <si>
    <t>@drfahrettinkoca Yasaklar bitti sana olan ilgide bitti sayın bakan.Sen ve çok bilmiş kurulun yüzünden ekonomi mahvo… https://t.co/wk16Gjm1cA</t>
  </si>
  <si>
    <t>1463631451065311237</t>
  </si>
  <si>
    <t>@drfahrettinkoca @hans_kluge https://t.co/xmrjDM0Dlq</t>
  </si>
  <si>
    <t>1463630477537988609</t>
  </si>
  <si>
    <t>@drfahrettinkoca @hans_kluge Plandemi..  Avrupalı birini övüyorsa bu; o kişi hiç de övülecek işler yapmıyor demekti… https://t.co/i6BENNPZG7</t>
  </si>
  <si>
    <t>1463630273371901960</t>
  </si>
  <si>
    <t>@drfahrettinkoca @hans_kluge Yoğun bakimlarimiz okadar boş ki Avrupa'dan hasta getirip tedavi edicez öyle görünüyor</t>
  </si>
  <si>
    <t>1463630172083662856</t>
  </si>
  <si>
    <t>@drfahrettinkoca @hans_kluge #VelilerdeOnlineistiyor  @drfahrettinkoca  Ey Rabbimiz! Bizden bunu kabul et, muhakkak… https://t.co/JAal2twQq8</t>
  </si>
  <si>
    <t>1463629457537777669</t>
  </si>
  <si>
    <t>@drfahrettinkoca @hans_kluge Fahrettin, 'Plandemide yaptığımız yardımlar konusunda Avrupa bizi övdü' diye sevindiri… https://t.co/UWAAd1UPsO</t>
  </si>
  <si>
    <t>1463629314163974147</t>
  </si>
  <si>
    <t>@drfahrettinkoca @hans_kluge Müjde ye bak... Çok dayanışma meraklısı olsaydınız garibana yardım ederdiniz ... Siz b… https://t.co/wzWuguUlqZ</t>
  </si>
  <si>
    <t>1463623012251537417</t>
  </si>
  <si>
    <t>@drfahrettinkoca @hans_kluge Üstüne seni versek harika olur</t>
  </si>
  <si>
    <t>1463622742826233860</t>
  </si>
  <si>
    <t>@drfahrettinkoca @hans_kluge Her yerden eksiliyoruz sizin yüzünüzden ama sizin için hava hoş. Yaşamak için uzaktan… https://t.co/DycL3EHiZD</t>
  </si>
  <si>
    <t>1463619068938833920</t>
  </si>
  <si>
    <t>@drfahrettinkoca @hans_kluge Bize ne başkasının hastalarından Avrupa bizden kat ve kat daha dev bütçeye sahip. Virü… https://t.co/FysH3A9KV9</t>
  </si>
  <si>
    <t>1463618622178402311</t>
  </si>
  <si>
    <t>@drfahrettinkoca @hans_kluge https://t.co/i51mLmCxqV</t>
  </si>
  <si>
    <t>1463618605141143553</t>
  </si>
  <si>
    <t>@drfahrettinkoca @hans_kluge https://t.co/GqO1b0j5aL</t>
  </si>
  <si>
    <t>1463618382184554504</t>
  </si>
  <si>
    <t>@drfahrettinkoca @hans_kluge Yani o garibanlara da kurtuluş yok...Ekmek verin aş verin verecekseniz, para verin..ki… https://t.co/iJQtSJZKFh</t>
  </si>
  <si>
    <t>1463617106700873731</t>
  </si>
  <si>
    <t>@drfahrettinkoca @hans_kluge Şaka gibisiniz ya cidden bir sektör bu kadar bekletilmedi 2022 Haziran'da ataniriz artık</t>
  </si>
  <si>
    <t>1463616733915328522</t>
  </si>
  <si>
    <t>@drfahrettinkoca @hans_kluge Sayın bakan çok merak ediyorum sizin bir tane doğru işiniz varmı. Sizi takip ettiğim g… https://t.co/CNHymssih7</t>
  </si>
  <si>
    <t>1463615746362294272</t>
  </si>
  <si>
    <t>@drfahrettinkoca @hans_kluge Ey Rabbimiz! Üzerimize sabır yağdır, ayaklarımızı sağlam bastır ve şu kâfir kavme karş… https://t.co/h8FtvjP7kA</t>
  </si>
  <si>
    <t>1463615587662315538</t>
  </si>
  <si>
    <t>@drfahrettinkoca @hans_kluge Sn bakan çoğu milletvekili akp temsilcileri il il alınacak personel sayısını açıklarke… https://t.co/tre4c0rEnm</t>
  </si>
  <si>
    <t>1463615473086611460</t>
  </si>
  <si>
    <t>@drfahrettinkoca @hans_kluge Müjdeni ve DSÖ'nü al git, bilim kuruluna da unutma. Millete utanmadan dayattınız bu şe… https://t.co/oQS4Kop1tn</t>
  </si>
  <si>
    <t>1463614130301116432</t>
  </si>
  <si>
    <t>@drfahrettinkoca @hans_kluge Dün Evde kal hayat eve sığar söylemleri ile Milleti evlere kapatıp habsederek Ülke Eko… https://t.co/Jrzrfq7PxQ</t>
  </si>
  <si>
    <t>1463612771090763777</t>
  </si>
  <si>
    <t>@drfahrettinkoca @hans_kluge Biraz da SMAlı bebeklerle ilgilensen.</t>
  </si>
  <si>
    <t>1463612064220565512</t>
  </si>
  <si>
    <t>@drfahrettinkoca @hans_kluge Şimdi bu aşılar 3. dozu olmayana mı vurulmayı planlanıyor yoksa hiç olmayana mı 🤔😁</t>
  </si>
  <si>
    <t>1463612034680082433</t>
  </si>
  <si>
    <t>@drfahrettinkoca @hans_kluge #VelilerdeOnlineistiyor  @drfahrettinkoca  Toplantıyı onlıne yapıyorsunuz. Beraber otu… https://t.co/PLA2KGMqgV</t>
  </si>
  <si>
    <t>1463610303430676490</t>
  </si>
  <si>
    <t>@drfahrettinkoca @hans_kluge Halkı sokağa çıkmaya teşvik edenler yarın yanınizda olmayacak gene bu halka geleceksin… https://t.co/RQK9W8qTtN</t>
  </si>
  <si>
    <t>1463609645981966352</t>
  </si>
  <si>
    <t>@drfahrettinkoca @hans_kluge #VelilerdeOnlineistiyor  @drfahrettinkoca  Elinizi vicdanınıza koyun ve okulları uzakt… https://t.co/2tJDgP84ln</t>
  </si>
  <si>
    <t>1463609644098727942</t>
  </si>
  <si>
    <t>@drfahrettinkoca @hans_kluge #VelilerdeOnlineistiyor  Çocuklarımızın geleceğini sağlığını bırakın biz ANNELER KARAR… https://t.co/BYsegqD1os</t>
  </si>
  <si>
    <t>1463609160482836484</t>
  </si>
  <si>
    <t>@drfahrettinkoca @hans_kluge HANS BU NE ŞANS...fu all w.h.o btches.</t>
  </si>
  <si>
    <t>1463608694659239946</t>
  </si>
  <si>
    <t>@drfahrettinkoca @hans_kluge #VelilerdeOnlineistiyor  Gerçekten susun artık yeter</t>
  </si>
  <si>
    <t>1463608495052406790</t>
  </si>
  <si>
    <t>@drfahrettinkoca @hans_kluge Alooo online olsun artık havalar soğuyor ne yapacağız ? #VelilerdeOnlineistiyor</t>
  </si>
  <si>
    <t>1463607932969443335</t>
  </si>
  <si>
    <t>@drfahrettinkoca @hans_kluge Keşke seni hibe olarak verseydik de senden kurtulsaydık Ama seni kim alır https://t.co/Pw6mt8T9lQ</t>
  </si>
  <si>
    <t>1463607480768946178</t>
  </si>
  <si>
    <t>@drfahrettinkoca @hans_kluge @drfahrettinkoca  yeter artık saglıkcılara eş durumu tayini gelsin çocuk bir yerde ann… https://t.co/GXavJYnLNE</t>
  </si>
  <si>
    <t>1465792969487826952</t>
  </si>
  <si>
    <t>@drfahrettinkoca @hans_kluge Up to the ceiling down to the floor Left to the window right to the door Kiss me mommy… https://t.co/Yru9DM3c4L</t>
  </si>
  <si>
    <t>1463647918993424384</t>
  </si>
  <si>
    <t>@drfahrettinkoca @hans_kluge You think that there is no empty quota in intensive care units in the current situatio… https://t.co/GiWSN3Ys4H</t>
  </si>
  <si>
    <t>1463646298863816711</t>
  </si>
  <si>
    <t>@drfahrettinkoca @hans_kluge Dünyada ilaç bırakmadı Bu nasıl para hırsıdır ki Ölüm ilaçlarını itiraf ettiği halde… https://t.co/FpWrt8q6nw</t>
  </si>
  <si>
    <t>1463634594239025152</t>
  </si>
  <si>
    <t>@drfahrettinkoca @hans_kluge Kimin üstünde denenecek bunlar? Kimin adına kabul ettiniz milyonlarca doz bağışları? 1… https://t.co/W9ILFImkc7</t>
  </si>
  <si>
    <t>1463631941245325321</t>
  </si>
  <si>
    <t>@drfahrettinkoca @hans_kluge Turkish parents want an online education system for their own teenagers and young adul… https://t.co/Mif7DgTVkB</t>
  </si>
  <si>
    <t>1463629725981626374</t>
  </si>
  <si>
    <t>@drfahrettinkoca @hans_kluge 🇹🇷🇹🇷🇹🇷🇹🇷🇹🇷🇹🇷🇹🇷🇹🇷🇹🇷🇹🇷🇹🇷🇹🇷🇹🇷🇹🇷🇹🇷🇹🇷🇹🇷🇹🇷🇹🇷🇹🇷🇹🇷🇹🇷🇹🇷🇹🇷🇹🇷🇹🇷🇹🇷🇹🇷🇹🇷🇹🇷🇹🇷🇹🇷🇹🇷🇹🇷🇹🇷🇹🇷🇹🇷🇹🇷🇹🇷🇹🇷🇹🇷🇹🇷🇹🇷🇹🇷🇹🇷🇹🇷🇹🇷🇹🇷🇹🇷🇹🇷</t>
  </si>
  <si>
    <t>1463629214528253960</t>
  </si>
  <si>
    <t>@drfahrettinkoca @hans_kluge Plandemi...  Avrupalı birini övüyorsa bu; o kişi hiç de övülecek işler yapmıyor demekt… https://t.co/ddkZdrJihR</t>
  </si>
  <si>
    <t>1463622141203599370</t>
  </si>
  <si>
    <t>@drfahrettinkoca @hans_kluge Plandeminin başlangıcında sizler tarafından dışarıya gönderilen o yardımlar eminim yer… https://t.co/TqIYRo0kTb</t>
  </si>
  <si>
    <t>1463617555118141445</t>
  </si>
  <si>
    <t>@drfahrettinkoca @hans_kluge Plandemide dışarıya gönderilen yardımlar demişken..  #EvdeKalBengiBaşer #TarafsızBölge… https://t.co/Eq6Q4vi7gz</t>
  </si>
  <si>
    <t>1463616139691446272</t>
  </si>
  <si>
    <t>@drfahrettinkoca @hans_kluge AA patrondan aferin almış!? 😡neyin uğruna bu Milleti ilaç firmalarına kobay yaptınız… https://t.co/EC12C9KMiH</t>
  </si>
  <si>
    <t>1463611597247721474</t>
  </si>
  <si>
    <t>@drfahrettinkoca @hans_kluge 3.doz aşıdan sonra ingilizce yazmaya başladı,4.hatırlatma dozundan sonra ahireti hatır… https://t.co/ma1srAa1b5</t>
  </si>
  <si>
    <t>1463607948362633218</t>
  </si>
  <si>
    <t>@drfahrettinkoca @hans_kluge @drfahrettinkoca  yeter artık saglıkcılara eş durumu tayini gelsin çocuk bir yerde anne baba bir yerde</t>
  </si>
  <si>
    <t>1465793103667806211</t>
  </si>
  <si>
    <t>@drfahrettinkoca Ben şahsen sonuç ne olursa olsun kesin ve kesin olarak okulların kapatılmaması gerekir artık diyorum</t>
  </si>
  <si>
    <t>1464011169396576257</t>
  </si>
  <si>
    <t>@drfahrettinkoca @saglikbakanligi E K P S S ATAMASI  ENGELLİ SAĞLIKÇI ATAMASI Engelli SAĞLIKÇIDAN ALIP KİME VERİYOR… https://t.co/h6pG09RWvE</t>
  </si>
  <si>
    <t>1464352424169246725</t>
  </si>
  <si>
    <t>@drfahrettinkoca Dr. Fahrettin koca 2 yaşındaki çocuğuma Fmf gen testini yaptıramadım neden biliyor musunuz?Koskoca… https://t.co/XAhFvxPA8b</t>
  </si>
  <si>
    <t>1463656333903863808</t>
  </si>
  <si>
    <t>@drfahrettinkoca 1 yıl boyunca Hidroksiklorokin dayadılar olmadı.  1 yıl Favipiravir verdiler tutmadı.  Şimdi Molnu… https://t.co/r8WltPECh4</t>
  </si>
  <si>
    <t>1463655034126684168</t>
  </si>
  <si>
    <t>@drfahrettinkoca Sayın Bakanım valla ben doktor olsam, aşı olmayanı tedavi bile etmem. Bana zararı dokunabilecek  b… https://t.co/AV10QXMlUW</t>
  </si>
  <si>
    <t>1463654912760369154</t>
  </si>
  <si>
    <t>@drfahrettinkoca Bu malesef 3. Dunya savasi. Dunya nufusunu azaltmak icin coronayi cikarttilar ve ne oldugu belirsi… https://t.co/uQwvf6CMc3</t>
  </si>
  <si>
    <t>1463654524544032771</t>
  </si>
  <si>
    <t>@drfahrettinkoca hızlı test hızlı test hızlı test hızlı test hızlı test hızlı test hızlı test hızlı test hızlı test… https://t.co/KO9D9COyhL</t>
  </si>
  <si>
    <t>1463654190845153280</t>
  </si>
  <si>
    <t>@drfahrettinkoca Sn bakan ilacı kimse içmez boşuna almışsınız avuç avuç içenler size güvenen insanların çoğu mezard… https://t.co/E1j0yOtFFa</t>
  </si>
  <si>
    <t>1463652699526901762</t>
  </si>
  <si>
    <t>@drfahrettinkoca Çalışan Kıronık hastalar tedirgin korkulan işe gidiyor ve çalıştıkları yerler de aşi sız kişiler v… https://t.co/kioDrxLIFj</t>
  </si>
  <si>
    <t>1463650940955906053</t>
  </si>
  <si>
    <t>@drfahrettinkoca Samimiysen online yapma şu toplantiyi arkadas 15-20 kisi toplanmaktan korkuyorsunuz millet 40 kisilik sinifta.</t>
  </si>
  <si>
    <t>1463650929828405252</t>
  </si>
  <si>
    <t>@drfahrettinkoca Devlet hast.doktoru Annemin diş tedavisi için aşı olmasını olmazsa her gelmesinde "hiç bir belirti… https://t.co/fR1cbByRou</t>
  </si>
  <si>
    <t>1463650087381438465</t>
  </si>
  <si>
    <t>@drfahrettinkoca Evet senin bilim kurulundan @RTErdogan a hakaret ve iktidardan düşmesi için propaganda yapan profl… https://t.co/Z2J4vTByeL</t>
  </si>
  <si>
    <t>1463649139930058753</t>
  </si>
  <si>
    <t>@drfahrettinkoca Niye yeni tedavi bunca insan öldükten sonra hala anlamadınız. İlla Avrupalı bi dergide yutturulan… https://t.co/zapXw5OuKw</t>
  </si>
  <si>
    <t>1463648040804392966</t>
  </si>
  <si>
    <t>@drfahrettinkoca Çift doz aşıli kovitten kaybettiğimiz eniştem ,kalp krizi denilerek vefat etti ,ya kalp ya pıhtı atmaktan millet öluyo</t>
  </si>
  <si>
    <t>1463647090412863488</t>
  </si>
  <si>
    <t>1463646872262819841</t>
  </si>
  <si>
    <t>@drfahrettinkoca Sayın bakanım öğrenciler aileler genel tüm vatandaşlar somut adım istiyoruz en başta online eğitim… https://t.co/XxYWd8w1Bw</t>
  </si>
  <si>
    <t>1463646137181745154</t>
  </si>
  <si>
    <t>@drfahrettinkoca Hem etkisi yok deniliyor hem duruma göre yine verilecek. Yoksa diğer ilaç! Bu millet sizin oyuncağ… https://t.co/cNWjIZtmki</t>
  </si>
  <si>
    <t>1463644375251042306</t>
  </si>
  <si>
    <t>@drfahrettinkoca Favipiravir ilacı coronada etkisiz olduğu açıklaması geldi siz niye halen bu ilaçta ısrar ediyorsu… https://t.co/p3sNy3Xuc0</t>
  </si>
  <si>
    <t>1463644319693393923</t>
  </si>
  <si>
    <t>@drfahrettinkoca Sizin  bu zamana kadar hastalara tavsiyeniz hasta olsun ilaç yazarımmıydı tedbiri almayın hasta ol… https://t.co/kCmnHGhVCT</t>
  </si>
  <si>
    <t>1463643305644892162</t>
  </si>
  <si>
    <t>@drfahrettinkoca Boşuna niye toplanıyorsunuz? Yazık sizede, nasıl olsa tedbir almıyorsunuz, kontrol nerede ise sıfı… https://t.co/fcVdeYCyxO</t>
  </si>
  <si>
    <t>1463643237441327105</t>
  </si>
  <si>
    <t>@drfahrettinkoca Ülke elden gitmiş siz hala milleti bu şeylerle uyutmaya çalışın yatacak yeriniz yook</t>
  </si>
  <si>
    <t>1463641396838121477</t>
  </si>
  <si>
    <t>@drfahrettinkoca Sn bakan biz gerçekten kendimizi anlatamamaktan yorulduk online olmasın tedbir alın  güvenemiyoruz… https://t.co/3aXUF1VRLD</t>
  </si>
  <si>
    <t>1463640843424833544</t>
  </si>
  <si>
    <t>@drfahrettinkoca Sayın bakanım favirapir için bir çok profesör ilk kullanimdan itibaren bu demesine karşın siz kula… https://t.co/2m5U5ejXPO</t>
  </si>
  <si>
    <t>1463640158176260099</t>
  </si>
  <si>
    <t>@drfahrettinkoca Bizim afrikaya asi bagişlamamiz gibi bisey herhalde favipiravir ilaci. Yoksa niye etkisi zararinda… https://t.co/BeTSkIgf0a</t>
  </si>
  <si>
    <t>1463640102849200130</t>
  </si>
  <si>
    <t>@drfahrettinkoca Sayın bakanım ilaçları neden bizim ülkemizde deniyorlar merak ediyorum sadece</t>
  </si>
  <si>
    <t>1463639578384994308</t>
  </si>
  <si>
    <t>@drfahrettinkoca Öğrencileri görmezden gelemezsiniz!</t>
  </si>
  <si>
    <t>1463639492263297027</t>
  </si>
  <si>
    <t>@drfahrettinkoca Tedavi kişiye özeldir diyen doktorları duymazdan gelip genç yaşlı kronik hastalıklı demeden herkes… https://t.co/hDGsMDCo2E</t>
  </si>
  <si>
    <t>1463638684595535879</t>
  </si>
  <si>
    <t>@drfahrettinkoca @saglikbakanligi #SmaAileleriAnkarada nobetimiz bitmeyecek o ilacı almadan dönmeyeceğiz… https://t.co/QxHxb9OBnw</t>
  </si>
  <si>
    <t>1463637613307387904</t>
  </si>
  <si>
    <t>@drfahrettinkoca Çocukların can sağlığı konuşulmayan toplantı.Dünya kısıtlamada biz yayılmada #VelilerEndiseliOnlineGelmeli</t>
  </si>
  <si>
    <t>1463637219789389840</t>
  </si>
  <si>
    <t>@drfahrettinkoca https://t.co/i5KC5sdA7T</t>
  </si>
  <si>
    <t>1463636856852123659</t>
  </si>
  <si>
    <t>@drfahrettinkoca Okullar?Artık konuşma değil çözüm üretin.Kalabalık sınıflarda 12 yaş altı çocuklar tam gün okula g… https://t.co/VlhReDwIy4</t>
  </si>
  <si>
    <t>1463636160740274182</t>
  </si>
  <si>
    <t>@drfahrettinkoca Kimin Firması voleyi  vuracak bakalım.</t>
  </si>
  <si>
    <t>1463636160484454404</t>
  </si>
  <si>
    <t>@drfahrettinkoca Bari okulları kapatın deseydiniz yaw vakalar da artıyor zaten</t>
  </si>
  <si>
    <t>1463635810213941254</t>
  </si>
  <si>
    <t>@drfahrettinkoca Bi gidin bu ülkenin başından allah aşkına</t>
  </si>
  <si>
    <t>1463635803117137920</t>
  </si>
  <si>
    <t>@drfahrettinkoca Molnupiraviri üreten merck 700 $ alacak peki bu parayı kim ödeyecek? Güzel bir ticaret bu korona b… https://t.co/D43jkkXMlF</t>
  </si>
  <si>
    <t>1463635427085144075</t>
  </si>
  <si>
    <t>@drfahrettinkoca https://t.co/AjfyG1gjGn</t>
  </si>
  <si>
    <t>1463634732781080581</t>
  </si>
  <si>
    <t>@drfahrettinkoca Favirpiravir gitti Molnupiravir geldi. İllaki bir pravir olmalı</t>
  </si>
  <si>
    <t>1463634167707619331</t>
  </si>
  <si>
    <t>@drfahrettinkoca Yeni tedavi yöntemi mi? Molnupiravir mi? Bu kadar mı? Başka?</t>
  </si>
  <si>
    <t>1463633254704156672</t>
  </si>
  <si>
    <t>@drfahrettinkoca Vala çok merak ediyorum. Favipiravirde olduğu gibi Molnupiraviri de mi geçmiş tarihli olarak halka sunacaksınız???</t>
  </si>
  <si>
    <t>1463632755917524997</t>
  </si>
  <si>
    <t>@drfahrettinkoca etkisiz denilen favipiravir de aklanmış...  ilaca, aşıya,sürece ağır eleştiriler var ama bizim sb… https://t.co/3f9rLprNkC</t>
  </si>
  <si>
    <t>1463632516145893379</t>
  </si>
  <si>
    <t>@drfahrettinkoca Acilde doktor favipiravir yığmış masasına, geleni teste gönderiyor, pozitif çıkarsa başla diyor. T… https://t.co/jGKk5vKQyf</t>
  </si>
  <si>
    <t>1463632213514375187</t>
  </si>
  <si>
    <t>@drfahrettinkoca Bişey soracam kullanma tarihi geçmiş favipaviri movupavir diyemi kakalıycan halka Allanı doğruyu söyle 😜</t>
  </si>
  <si>
    <t>1463631861062815749</t>
  </si>
  <si>
    <t>@drfahrettinkoca "Belli hasta grubu"na kimler giriyor? Hastaların bu gruba girdiğini hangi tetkik ve tahlillerle belirliyordunuz?</t>
  </si>
  <si>
    <t>1463631609534500867</t>
  </si>
  <si>
    <t>@drfahrettinkoca Açıklamanın özeti: Favipiravir işe yaramıyor ama ciddi bir yan etkisi de yok. Bonibon gibi düşünün demek istemiş.</t>
  </si>
  <si>
    <t>1463631351350022161</t>
  </si>
  <si>
    <t>@drfahrettinkoca Tıpta hastalık yoktur hasta vardır düsturunu çiğnediğiniz her poz vakaya aynı ilacı verdiğiniz bu… https://t.co/6prl5YGLTg</t>
  </si>
  <si>
    <t>1463630922306273292</t>
  </si>
  <si>
    <t>@drfahrettinkoca Avrupa önlemini almaya başladı tekrar yasaklarla siz hala aşı ilaç diyorsunuz bir kere de önden gi… https://t.co/5uAoMuXzua</t>
  </si>
  <si>
    <t>1463630019092262916</t>
  </si>
  <si>
    <t>@drfahrettinkoca O ilaç fiyaskosundan sonra kurulunuz ve yüzünüz kızarmalı istifa edip işe yarayan ilaçlarla iş yap… https://t.co/SaIcDJeRE7</t>
  </si>
  <si>
    <t>1463629893019881474</t>
  </si>
  <si>
    <t>@drfahrettinkoca Sayın Bakanım önce siz yoğun bakımda yatan hastalarınızın ailelerine pazartesi çarşamba cuma günle… https://t.co/Kh5SEp2Mae</t>
  </si>
  <si>
    <t>1463629869137469440</t>
  </si>
  <si>
    <t>@drfahrettinkoca Almanyada doğup büyüyen biri olarak devletini milletini cok seven biriydim herzaman. Ama sizin cov… https://t.co/8wUSSpPwbR</t>
  </si>
  <si>
    <t>1463629824522608646</t>
  </si>
  <si>
    <t>@drfahrettinkoca Cevapınız var mı ? https://t.co/V4QqNOzeHI</t>
  </si>
  <si>
    <t>1463629790636822537</t>
  </si>
  <si>
    <t>@drfahrettinkoca Sağlıkçı atamaları ne zaman yapılacak</t>
  </si>
  <si>
    <t>1463629639381880838</t>
  </si>
  <si>
    <t>@drfahrettinkoca Sonuç? Bu ilaçları deli gibi insanlara kullandırdınız 8+8 kim bunun sorumlusu? Sessiz sedasız teda… https://t.co/lrCsW8PoB4</t>
  </si>
  <si>
    <t>1463629450000617477</t>
  </si>
  <si>
    <t>@drfahrettinkoca Remdesiviri övdünüz,Hidroksiklörünü övdünüz iptal ettiniz Sinovac aşısını övdünüz sonra kötüledini… https://t.co/4xJSRHZHHJ</t>
  </si>
  <si>
    <t>1463629366672379915</t>
  </si>
  <si>
    <t>@drfahrettinkoca Onun işi deneysel ilaçlarla milleti kobay olarak kullanıp Fetöcü m.özle ortak olduğu şirketten ölü… https://t.co/1K80fND6JL</t>
  </si>
  <si>
    <t>1463629320321130497</t>
  </si>
  <si>
    <t>@drfahrettinkoca Türkiye bidaha götemiyeceği kadar kötü sağlık bakanı gördü ve inanın nüfusun %80 i sizden nefret ediyordur.</t>
  </si>
  <si>
    <t>1463629080138596353</t>
  </si>
  <si>
    <t>@drfahrettinkoca Favipiravir'den bahsederken etkinliğinden önce yan etkisizliğinden başlanmış söze...  Bitti tweet, bu kadar.</t>
  </si>
  <si>
    <t>1463628453270507524</t>
  </si>
  <si>
    <t>@drfahrettinkoca Tedbir ler konuşulmamış Aman Ne Güzel</t>
  </si>
  <si>
    <t>1463627829569015814</t>
  </si>
  <si>
    <t>@drfahrettinkoca Birazda molnupiravir deneyelim ölen ölür kalan kalir 2sene sora aa ise yaramiyormus dediydin mi tamam zaten.</t>
  </si>
  <si>
    <t>1463627160749592586</t>
  </si>
  <si>
    <t>@drfahrettinkoca BIKTIK ARTIK BU FILIM KURULUNDAN</t>
  </si>
  <si>
    <t>1463626139402969088</t>
  </si>
  <si>
    <t>@drfahrettinkoca Depoda ölüm ilaçları azaldı  O yüzden yeni ölüm ilaçları getiriyoruz diyo Artık hastanın durumuna… https://t.co/7Hl7x5YkE1</t>
  </si>
  <si>
    <t>1463626098714030085</t>
  </si>
  <si>
    <t>@drfahrettinkoca Bilim kurulunda @bengibaser diye acayip bilimsel bi profunuz var kendisi iki yıldır evlere tıktığı… https://t.co/UMaI4nG4kS</t>
  </si>
  <si>
    <t>1463625398491697160</t>
  </si>
  <si>
    <t>@drfahrettinkoca Herifler hiç olmazsa pasta atarak protesto ediyo Ama 666 Fahri’yi ve diğerlerini tivitırdan başka… https://t.co/PsQzplzqGb</t>
  </si>
  <si>
    <t>1463625376958136326</t>
  </si>
  <si>
    <t>@drfahrettinkoca Bu şarlatanlara inanan aptallar varmi halâ yaa!!!?</t>
  </si>
  <si>
    <t>1463624792955834369</t>
  </si>
  <si>
    <t>@drfahrettinkoca Prf. Dr. Bengi BAŞER'e bi sorun da eksikleri tamamlasın. 😠 😠</t>
  </si>
  <si>
    <t>1463624594498232322</t>
  </si>
  <si>
    <t>@drfahrettinkoca Bu kadın hâlâ bilim kurulunuzdamı? https://t.co/XNiz0T5XRx</t>
  </si>
  <si>
    <t>1463623813036449794</t>
  </si>
  <si>
    <t>@drfahrettinkoca Kisa Calisma Odenegi devam etsin / Kronik Rahatsizligi olanlar evden calissin ? / Engelli Kadrosun… https://t.co/kuhrVrnj1f</t>
  </si>
  <si>
    <t>1463622760794570765</t>
  </si>
  <si>
    <t>@drfahrettinkoca İsteğe bağlı hiç birşey yapılmıyor sayın bakan korku,endişe her kelimenizin sonucu.</t>
  </si>
  <si>
    <t>1463622717702295554</t>
  </si>
  <si>
    <t>@drfahrettinkoca Bu kadının görevi ne? https://t.co/Ooj69A91S6</t>
  </si>
  <si>
    <t>1463622535552110595</t>
  </si>
  <si>
    <t>@drfahrettinkoca Sayın sağlık  bakanı  Kasım ayını bitiriyoruz  Türk  aşısı  Eylül  ekim aylarında  aşı miz hazır d… https://t.co/gUzuUQUItD</t>
  </si>
  <si>
    <t>1463622321801994243</t>
  </si>
  <si>
    <t>@drfahrettinkoca Kim alacak bu yanlış tedavilere ödenen paraların sorumluluğunu?  Bakınız yanlış tedavi uygulanan h… https://t.co/chm5TFaf07</t>
  </si>
  <si>
    <t>1463621380348559369</t>
  </si>
  <si>
    <t>@drfahrettinkoca Bilim kurulu dedikleriniz size aba altından sopa gösteriyor burada bilmemne pavir için, ben sizden… https://t.co/sPtbt39hJM</t>
  </si>
  <si>
    <t>1463621287700533252</t>
  </si>
  <si>
    <t>@drfahrettinkoca Epikriz raporunu bugün aldım annecimin ve gördüm ki son güne kadar(40 a yakın gün yani) tolere ede… https://t.co/4AVH1W0MGV</t>
  </si>
  <si>
    <t>1463621138442072067</t>
  </si>
  <si>
    <t>@drfahrettinkoca 2. Maddeye nasıl güldüm ama 😅😅</t>
  </si>
  <si>
    <t>1463620297660190735</t>
  </si>
  <si>
    <t>@drfahrettinkoca Valla milletin artık derdi korona değil. Paramızın  erimesi.. 1 çay 1 şeker 100 TL. Kiraları söyle… https://t.co/XLapCbioHh</t>
  </si>
  <si>
    <t>1463620012539797507</t>
  </si>
  <si>
    <t>@drfahrettinkoca Boş toplantı</t>
  </si>
  <si>
    <t>1463619911742275590</t>
  </si>
  <si>
    <t>@drfahrettinkoca hala bu yalancıya inanıp beğeni paylaşım yapanlar aklinizimi yitirdiniz. Bunlar tedavi ediyoruz ay… https://t.co/KhSvFdTFKq</t>
  </si>
  <si>
    <t>1463618831448948736</t>
  </si>
  <si>
    <t>@drfahrettinkoca Bakan bu karı işimi bıraktı,ekonomistliğe soyunmuş. Bunlara mı güvenerek iş yapıyorsunuz. https://t.co/6LXnqGo1Nk</t>
  </si>
  <si>
    <t>1463618524249833476</t>
  </si>
  <si>
    <t>@drfahrettinkoca Aşıyla  salgın yarattınız. Aş ı dan sonra vaka ve ölümler arttı. Düş yakamızdan.</t>
  </si>
  <si>
    <t>1463618092500672518</t>
  </si>
  <si>
    <t>@drfahrettinkoca Yanlış tedaviler yanlış ilaçlar baskı altına alınan milyonlarca vatandaşı denek olarak kullandınız… https://t.co/LYrjpil4mi</t>
  </si>
  <si>
    <t>1463617190180134912</t>
  </si>
  <si>
    <t>@drfahrettinkoca Sen de o salgın kurulunda toplayın taşı tarağı gidin evinizde oturun bıktık usandık sizde yeterrrr</t>
  </si>
  <si>
    <t>1463617097448185860</t>
  </si>
  <si>
    <t>@drfahrettinkoca İlaç kullanımını bırakın en iyi ilaç kan sulandırıcı antibiyotik gribal enfeksiyon ilacını verin h… https://t.co/T3O9FfWzQb</t>
  </si>
  <si>
    <t>1463616948059713545</t>
  </si>
  <si>
    <t>@drfahrettinkoca Milyonlarca kutu favipravir alındı bu ülkede kimin cebi doldu? Herkese verildi bu ilaç faydası yok… https://t.co/Yb543zS3Aw</t>
  </si>
  <si>
    <t>1463616883803004935</t>
  </si>
  <si>
    <t>@drfahrettinkoca O kadar saat toplantıdan sonra bunlar mı çıktı? Yazıklar olsun size doktor diyenlere</t>
  </si>
  <si>
    <t>1463616580730986496</t>
  </si>
  <si>
    <t>@drfahrettinkoca Atamaya dair bir açıklama yok</t>
  </si>
  <si>
    <t>1463616238240903174</t>
  </si>
  <si>
    <t>@drfahrettinkoca https://t.co/aD6jmcpbJ8</t>
  </si>
  <si>
    <t>1463616143097217024</t>
  </si>
  <si>
    <t>@drfahrettinkoca Bakanlığın kendi topladığı veriler mi görelim şu verileri sayın sağlık bakanı bu kuru yalanlara ar… https://t.co/ne4YkZ5IOs</t>
  </si>
  <si>
    <t>1463615945205813257</t>
  </si>
  <si>
    <t>@drfahrettinkoca Utanma yok artık net. Favipavir bir işe yaramıyormuşu geveleyerek söylemiş.😀 şimdi ama, bir süre s… https://t.co/7IYALCS2q0</t>
  </si>
  <si>
    <t>1463615580729192453</t>
  </si>
  <si>
    <t>@drfahrettinkoca kısa ve öz tutmuşsunuz konuyu  ne oldu tırstınızmı? yaklaşıuormu size bişey  bilin köleleri, yaptı… https://t.co/avIx1trgOX</t>
  </si>
  <si>
    <t>1463614987860074514</t>
  </si>
  <si>
    <t>@drfahrettinkoca Senin kurulunun tweet'ler ini görünce, seninde tarafın konusunda şüphelerim tavan yaptı</t>
  </si>
  <si>
    <t>1463614243379499017</t>
  </si>
  <si>
    <t>@drfahrettinkoca https://t.co/Hd7HT2q6CK faz 3 ü bitmemiş FDA onayı almamış ilaç mı???</t>
  </si>
  <si>
    <t>1463614190770401283</t>
  </si>
  <si>
    <t>@drfahrettinkoca 8+8 yutanlar???</t>
  </si>
  <si>
    <t>1463613512123568140</t>
  </si>
  <si>
    <t>@drfahrettinkoca Resmen insanlarla dalga geçiyorsunuz. Açıklandı işe yaramadığını daha neyin kıvırması bu ??</t>
  </si>
  <si>
    <t>1463613446424080396</t>
  </si>
  <si>
    <t>@drfahrettinkoca COVİD 19 KARANLIĞININ DELİLLERİ !  A.Ş.ININ DETOKSU !  KİŞİLİK BOZUKLUKLARI YALANIN ASLI VE TEDAVİ… https://t.co/URNfmUPDjL</t>
  </si>
  <si>
    <t>1463613282472837139</t>
  </si>
  <si>
    <t>@drfahrettinkoca Allah için olmasa hakaretlerinizi. alaylarınızı, küfürlerinizi,nice zulmünüzü çeker miydim?  Kimde… https://t.co/4AdU5rq6lI</t>
  </si>
  <si>
    <t>1463613262545707019</t>
  </si>
  <si>
    <t>@drfahrettinkoca Aşı olmayanlara pcr istiyorsunuz uçakta otobüste ama aşı olanlardan hicbir sey istemiyorsunuz.Aşı… https://t.co/W4K71aT9di</t>
  </si>
  <si>
    <t>1463612959012409344</t>
  </si>
  <si>
    <t>@drfahrettinkoca Herif depodaki kokmuş ,ölüm ilaçlarını bitirdi Şimdi tekrar farklı ölüm ilaçlarını getiriyor Faz t… https://t.co/4Stcp8iGjs</t>
  </si>
  <si>
    <t>1463612945359855622</t>
  </si>
  <si>
    <t>@drfahrettinkoca Bende korona oldum sizin verdiğiniz ilacı kullanmadım iyikide kullanmadım çünkü tarihî geçen ilacı… https://t.co/VxDz0AtxAI</t>
  </si>
  <si>
    <t>1463612904155058194</t>
  </si>
  <si>
    <t>@drfahrettinkoca Maske yasağı ne zaman kalkacak açıklama yok 2.doz aşısını olmuş insanlar neden hala maske takıyorlar ?</t>
  </si>
  <si>
    <t>1463612791798042634</t>
  </si>
  <si>
    <t>@drfahrettinkoca "Bilim" den medet uman dostum şu iyi bil ; bilim , insanoğlundan nefret eden ve distopik bir yaşam… https://t.co/Jvg36hyXU7</t>
  </si>
  <si>
    <t>1463612706620166156</t>
  </si>
  <si>
    <t>@drfahrettinkoca yeni dunya duzenini ...cleri , tabuta konduk ama olmedik daha gelecek hesap soracagimiz gun.</t>
  </si>
  <si>
    <t>1463612633320411154</t>
  </si>
  <si>
    <t>@drfahrettinkoca Bilim insanı diye bize kakaladığın adamlar halkı sokağa dökmek için uğraşıyor. Geçin bunları artık… https://t.co/gG2PX2BQyP</t>
  </si>
  <si>
    <t>1463612564458323972</t>
  </si>
  <si>
    <t>@drfahrettinkoca Bu kadar erken dönem kullanan bir ikinci ülke yok diyo Ama 4 cü maddede diğer ülkelerde ayakta kul… https://t.co/S7QcN2U7N8</t>
  </si>
  <si>
    <t>1463612422669885441</t>
  </si>
  <si>
    <t>@drfahrettinkoca Bakanım atamalar ne zaman</t>
  </si>
  <si>
    <t>1463612419440361475</t>
  </si>
  <si>
    <t>@drfahrettinkoca Daha ne kadar yüksek aşı oranı bekliyorsunuz Sn.Bakan? Aşılama vakalarda işe yaramıyor ne zaman fa… https://t.co/ggQ1QoqeOg</t>
  </si>
  <si>
    <t>1463612374917820418</t>
  </si>
  <si>
    <t>@drfahrettinkoca O favipiravirle insanları öldürdünüz! Hadi bana dava açın.. Favicoviri kim üretiyor? İlaçlarla ins… https://t.co/aInrSlyrsT</t>
  </si>
  <si>
    <t>1463612363387686915</t>
  </si>
  <si>
    <t>@drfahrettinkoca Kocaman bir sıvazlama ve geri adım görüyoruz. Haşri zor olacak olana acıma. İnsan sadece kendi eli… https://t.co/qWcTIJZj8w</t>
  </si>
  <si>
    <t>1463612068507099143</t>
  </si>
  <si>
    <t>@drfahrettinkoca Valla bravo bu aciklama ayakta alkislanir👏guvenirligi olmayan ilaclari dayadiniz insanlara hala bi… https://t.co/ggHnjKgM7R</t>
  </si>
  <si>
    <t>1463611970993770498</t>
  </si>
  <si>
    <t>@drfahrettinkoca Bizi Corona öldürmez ama doların ateşi düşmez de saten bittik</t>
  </si>
  <si>
    <t>1463611580998995979</t>
  </si>
  <si>
    <t>@drfahrettinkoca Salgın mı varmış? 2019 kasımında accaip bir hastalık yaşadım. Sonrasında bana bir daha uğramadı. D… https://t.co/oPSr4K0HUR</t>
  </si>
  <si>
    <t>1463611557892526086</t>
  </si>
  <si>
    <t>@drfahrettinkoca Halkı önemsemicekseniz ne bakana ne cumhurbaşkanına gerek yokki halk ne diyor önlem yok risk altın… https://t.co/YBWSKRue4d</t>
  </si>
  <si>
    <t>1463611546395987968</t>
  </si>
  <si>
    <t>@drfahrettinkoca Yeni kullandığınız açın da ne zıkkım olduğu belli değil daha. Bı rahat bırakın hekimleri, grip zat… https://t.co/tuDX2u65qW</t>
  </si>
  <si>
    <t>1463610951027077121</t>
  </si>
  <si>
    <t>@drfahrettinkoca Blah blah blah...</t>
  </si>
  <si>
    <t>1463610888464871424</t>
  </si>
  <si>
    <t>1463610654888181763</t>
  </si>
  <si>
    <t>@drfahrettinkoca BİLİM KURULUNUN yapması gereken ilk şey PCR testine girip pozitif olan COVİD 19 hastası derhal KAR… https://t.co/DVhqjqlIun</t>
  </si>
  <si>
    <t>1463610428781649922</t>
  </si>
  <si>
    <t>@drfahrettinkoca O bilim insanı dediğiniz prof kılıklı şarlatanlar dün halkı isyan için sokağa davet ediyordu twitt… https://t.co/rPTVJJsFBj</t>
  </si>
  <si>
    <t>1463610310959550464</t>
  </si>
  <si>
    <t>@drfahrettinkoca Yeni zehirleme yolları demek istiyorsunuz herhalde.</t>
  </si>
  <si>
    <t>1463610040066129929</t>
  </si>
  <si>
    <t>@drfahrettinkoca Sadece aşıyla bu salgından kurtuluş yok!! Zira,toplumsal bağışıklıktan çok uzağız. Yakında yaşayar… https://t.co/e9Ew72D4FK</t>
  </si>
  <si>
    <t>1463609994725797897</t>
  </si>
  <si>
    <t>@drfahrettinkoca https://t.co/wjGqZZRxdd</t>
  </si>
  <si>
    <t>1463609702743429121</t>
  </si>
  <si>
    <t>@drfahrettinkoca Açıkça kim neyi ortaya koydu, bize de gösterin.  Ne koydularsa ortaya paylaşın görelim.</t>
  </si>
  <si>
    <t>1463609434643574785</t>
  </si>
  <si>
    <t>@drfahrettinkoca Salgını bitirmek için önerim 1 hatalı  pcr testlerini kaldıralım 2 Türk hekimleri her hastayı muay… https://t.co/npRMdtDqcm</t>
  </si>
  <si>
    <t>1463609375025684482</t>
  </si>
  <si>
    <t>@drfahrettinkoca MOLNUPİRAVİR FİYATI NEDİR? İlacın bir kişi için fiyatı tam olarak 700 dolar yani  6 bin 200 Türk L… https://t.co/GvjVxjSbVb</t>
  </si>
  <si>
    <t>1463608451138048003</t>
  </si>
  <si>
    <t>@drfahrettinkoca Allah sizin elinize düşürmesin inşallah. Artık size güvenmiyoruz çünkü YALAN söylüyorsunuz. Öldürd… https://t.co/A0gJX1A2fO</t>
  </si>
  <si>
    <t>1463608246321745935</t>
  </si>
  <si>
    <t>@drfahrettinkoca Sizin ve  Bill'in kurulunun açıklaması bizim için yok hükmünde. Insanlar gerçeği gördü, şöyle gerçeği kurtul sen de.</t>
  </si>
  <si>
    <t>1463608233906606081</t>
  </si>
  <si>
    <t>@drfahrettinkoca Çok anlamlı aslında da beynini kiraya vermiş ipi başkalarında olmayanlar anlayabilir. https://t.co/JWrYJTlYoA</t>
  </si>
  <si>
    <t>1463607743739305993</t>
  </si>
  <si>
    <t>@drfahrettinkoca Salgın yok,plandemi var.Atanmış fahrettin sen milletin hayatını maf ettin.Allah senin belanı versin.</t>
  </si>
  <si>
    <t>1463607502533234697</t>
  </si>
  <si>
    <t>@drfahrettinkoca Sana güveniyoruz  cünku cok  başarilisiniz maşallah</t>
  </si>
  <si>
    <t>1469408690126172168</t>
  </si>
  <si>
    <t>@drfahrettinkoca Okadar aşılanmaya ragmen bu covid bu noktaya gelıyorsa politikanızda bı yanlıslık var demektir. Öl… https://t.co/5lRvb1Z6LH</t>
  </si>
  <si>
    <t>1463651468381204485</t>
  </si>
  <si>
    <t>@drfahrettinkoca Tabi başarılı olmak için salgın hikayesini sürdürmek zorundaydıniz değil mi? Dönüp dolaşıp ne oldu… https://t.co/FiSwq1Wh5w</t>
  </si>
  <si>
    <t>1463645122076237828</t>
  </si>
  <si>
    <t>@drfahrettinkoca Ya bitti gitti ne covidi takiili plak gibi kaldin fahrettin amca bosver takilma :)))</t>
  </si>
  <si>
    <t>1463640430717898756</t>
  </si>
  <si>
    <t>@drfahrettinkoca Bikaç gün pcr denen saçma testleri yapmayı kaldırıp tvlere çıkmasanız ve harita boyamayı bıraksanı… https://t.co/a91pF3Ezx0</t>
  </si>
  <si>
    <t>1463639399825121283</t>
  </si>
  <si>
    <t>@drfahrettinkoca Üniversitelerde fink atıyor korona virüs hala Online eğitim kararı çıkartmadınız seçim zamanı acısı fena çıkacak…</t>
  </si>
  <si>
    <t>1463638502055239686</t>
  </si>
  <si>
    <t>@drfahrettinkoca Sayın bakanım yüksek vaka sayılarından bahsediyorsunuz ya en büyük sebebi okullar... resmen bir vi… https://t.co/e2qGU3zn3f</t>
  </si>
  <si>
    <t>1463633351009517574</t>
  </si>
  <si>
    <t>@drfahrettinkoca Bi git işine hadi yalan konuşmaya gerek yok</t>
  </si>
  <si>
    <t>1463630857441267716</t>
  </si>
  <si>
    <t>@drfahrettinkoca Uzatmasaydın o zaman!  At 3 şeyi çöpe, bitti gitti.  Maske, Pcr, Aşı.</t>
  </si>
  <si>
    <t>1463628377315807235</t>
  </si>
  <si>
    <t>@drfahrettinkoca 18 aydır bizi mahvettiniz sayenizde işimiz gucümüz milyarlarca zarara uğradi, arabamiz ve evimiz g… https://t.co/PRtZXM3nMB</t>
  </si>
  <si>
    <t>1463627829296386053</t>
  </si>
  <si>
    <t>@drfahrettinkoca Fahrettin Koca tılsımlı cümlelerle bilinçaltına vurma !  "varlığı kadar tartışılmaz bir kesinlik"… https://t.co/T3VX54qSC0</t>
  </si>
  <si>
    <t>1463626957648760840</t>
  </si>
  <si>
    <t>@drfahrettinkoca Salgın falan yok. Bu seneki mevsimsel gribin adı covid 19, diye itiraf eden sizsiniz. Ak Parti'nin… https://t.co/1fjjQRZtDH</t>
  </si>
  <si>
    <t>1463626535592775681</t>
  </si>
  <si>
    <t>@drfahrettinkoca Yok sayamayızmış. Bal gibi de plandemi işte. Biz sizi ve film kurulunuzu yok sayacaz. Herkes ettiğ… https://t.co/1NeXGbKDLE</t>
  </si>
  <si>
    <t>1463626064396173329</t>
  </si>
  <si>
    <t>@drfahrettinkoca Bugün Cemil Tascioğlu hastanesindeydim. Herkes bir kapıya yığılmış bekliyor.  Ne mesafe ne dikkat.… https://t.co/FlnzlZCFqM</t>
  </si>
  <si>
    <t>1463624509366452225</t>
  </si>
  <si>
    <t>@drfahrettinkoca https://t.co/ZwNx7yjQtk</t>
  </si>
  <si>
    <t>1463624351698272256</t>
  </si>
  <si>
    <t>@drfahrettinkoca Motivasyonu azaltan sizin şeffaf olmamanız. Tüm insanları yurt dışı verilerine mahkum etmeniz! Sal… https://t.co/IddDZniEJ4</t>
  </si>
  <si>
    <t>1463623502657990663</t>
  </si>
  <si>
    <t>@drfahrettinkoca Tartıştığım kardeşimden günün sonunda helallik istiyorum çünkü rahat uyuyamam ben. Bu kadar insanı… https://t.co/QAL9R5xj6H</t>
  </si>
  <si>
    <t>1463623236915183624</t>
  </si>
  <si>
    <t>@drfahrettinkoca Kisa Calisma Odenegi Devam etsin …</t>
  </si>
  <si>
    <t>1463623169634361345</t>
  </si>
  <si>
    <t>@drfahrettinkoca 2021 Kasım 24,halâ 2020 vefat sayılarının “açıklatılmamış" olması bu tezinizi destekleyen güçlü bi… https://t.co/w8vnOtuKYh</t>
  </si>
  <si>
    <t>1463622950091898888</t>
  </si>
  <si>
    <t>1463621935980552201</t>
  </si>
  <si>
    <t>@drfahrettinkoca 😅 😅 Aşılar bir işe yaramıyor Fahreddin. Sen DSÖdan bir aferim almak için çabalıyorsun. Halkı %100… https://t.co/ZzMrQysr4G</t>
  </si>
  <si>
    <t>1463621867407872002</t>
  </si>
  <si>
    <t>@drfahrettinkoca Yok saymak?? GS FB maçında 50 000 seyirci vardı. Siz bunu bilmiyormuydunuz??</t>
  </si>
  <si>
    <t>1463621399495458835</t>
  </si>
  <si>
    <t>@drfahrettinkoca Elde hiçbirşey yok. Griple korkuttunuz. Sadece korkuttunuz,hala korkutuyorsunuz. insanlar koşa koş… https://t.co/4cqWZePQmC</t>
  </si>
  <si>
    <t>1463619477828947968</t>
  </si>
  <si>
    <t>@drfahrettinkoca okullardan bulasiyor</t>
  </si>
  <si>
    <t>1463619475270422541</t>
  </si>
  <si>
    <t>@drfahrettinkoca Biten salgını aşılarla canlandırdı global abilerin. Senin desteğin unutulmaz</t>
  </si>
  <si>
    <t>1463618298810146821</t>
  </si>
  <si>
    <t>@drfahrettinkoca Ahmak https://t.co/FaLzhrBJAv</t>
  </si>
  <si>
    <t>1463616669193019393</t>
  </si>
  <si>
    <t>@drfahrettinkoca https://t.co/cCdU8w6hkl galiba Bill sizinle aynı fikirde değil</t>
  </si>
  <si>
    <t>1463615891057385472</t>
  </si>
  <si>
    <t>@drfahrettinkoca #VelilerdeOnlineistiyor kesinlikle sayın bakanım covid 19’u yok sayamayız aşılar yetersiz bu yüzde… https://t.co/6elwHPYC80</t>
  </si>
  <si>
    <t>1463615727240364036</t>
  </si>
  <si>
    <t>@drfahrettinkoca Hidroksiklorin  ve Favipiravir   Unutulacak gibi değil.</t>
  </si>
  <si>
    <t>1463614286174072842</t>
  </si>
  <si>
    <t>@drfahrettinkoca Evet asıl covid sıvılamadan sonra başladı nasıl yok sayarız ne hikmetse bu firüs gariban ve mazlum… https://t.co/FbSqS65x3k</t>
  </si>
  <si>
    <t>1463614266553024515</t>
  </si>
  <si>
    <t>@drfahrettinkoca Neresi yüksek bunun yahu, dalga mı geçiyorsun! 1 yılda 40 bin kişi öldü diyorsun, e bu ülkede 1 yı… https://t.co/fwOh8xsGoR</t>
  </si>
  <si>
    <t>1463611481606524934</t>
  </si>
  <si>
    <t>@drfahrettinkoca Yeter artık be adam. Otellere, plajlara, konserlere, maçlara, barlara, pavyonlar, mitinglere uğram… https://t.co/YoqxBgrECG</t>
  </si>
  <si>
    <t>1463610510125973514</t>
  </si>
  <si>
    <t>@drfahrettinkoca Yeter artık sayın bakan insanların insan gibi yaşamasına izin verin her gün bir yerlerine çubuk so… https://t.co/vOW7OUJ6sd</t>
  </si>
  <si>
    <t>1463610456568909836</t>
  </si>
  <si>
    <t>@drfahrettinkoca Başka neyi yok sayamazsınız ? #SMAyaSesVerOELUEYORLAR #hazarahayatol @hazarahayatol</t>
  </si>
  <si>
    <t>1463608939812204546</t>
  </si>
  <si>
    <t>@drfahrettinkoca Vatan haini diyo sunuz ya işinize gelmeyen herkese. Bu leke sizin anlınıza yazıldı yazılacak haber… https://t.co/LLA0E9aiAt</t>
  </si>
  <si>
    <t>1463608417977872387</t>
  </si>
  <si>
    <t>@drfahrettinkoca Sal bizi</t>
  </si>
  <si>
    <t>1463608109180592135</t>
  </si>
  <si>
    <t>@drfahrettinkoca Hipokrat yemininizi bozmuş ve mesleğinize ve halka,insanlığa ihanet etmiş bi bakan olarak anılacak… https://t.co/03L0TZtfyq</t>
  </si>
  <si>
    <t>1463608067342413830</t>
  </si>
  <si>
    <t>@drfahrettinkoca Alışveriş merkezleri açık okullar açık tüm heryeri açıyorsunuz cezaevlerindeki mahkumlara açık gör… https://t.co/rYMjXt3Gp5</t>
  </si>
  <si>
    <t>1464726599593512961</t>
  </si>
  <si>
    <t>@drfahrettinkoca Bu okullar açık olduğu sürece daha çok vaka artışı göreceksiniz</t>
  </si>
  <si>
    <t>1464726199561826317</t>
  </si>
  <si>
    <t>@drfahrettinkoca Billy gatesin bundan haberi varmı</t>
  </si>
  <si>
    <t>1463994860126547968</t>
  </si>
  <si>
    <t>@drfahrettinkoca Biyologlarin sucu ne</t>
  </si>
  <si>
    <t>1463656046606659589</t>
  </si>
  <si>
    <t>@drfahrettinkoca Ya bir muhendisi mahmutu milli eğitim bakanı olarak atadiniz kalkmış bana edebiyat yapıyorsun Fahrettin koca saysam bitmez</t>
  </si>
  <si>
    <t>1463646732282216454</t>
  </si>
  <si>
    <t>@drfahrettinkoca Bu tür paylaşımları, Paylaşmadan önce Cumhurbaşkanından  iznini almayı unutmayınız...</t>
  </si>
  <si>
    <t>1463638508694867969</t>
  </si>
  <si>
    <t>@drfahrettinkoca Aşı  PCR  dayatması ile hayatlarını mesleklerini zehir edip   hiç sıkılmadan gününüz kutlu olsun diyorsunuz. Şaka gibi</t>
  </si>
  <si>
    <t>1463625566800728064</t>
  </si>
  <si>
    <t>@drfahrettinkoca Azıcık dürüstlük,  vicdan ve merhamet birazda gururlu olmayı öğreten öğretmenimiz yok mu</t>
  </si>
  <si>
    <t>1463623221371097090</t>
  </si>
  <si>
    <t>@drfahrettinkoca Şiir yazmak isteğimi seninle kaybettim ruhumu öldürdün peşimizi bırak artık</t>
  </si>
  <si>
    <t>1463622186107875340</t>
  </si>
  <si>
    <t>@drfahrettinkoca Tarih öğretmeni tarih öğretir,ingilizce öğretmeni ingilizce...;) çok değişikmiş</t>
  </si>
  <si>
    <t>1463621869752524805</t>
  </si>
  <si>
    <t>@drfahrettinkoca 24 kasım öğretmenler günü kutlu olsun</t>
  </si>
  <si>
    <t>1463618193939963911</t>
  </si>
  <si>
    <t>@drfahrettinkoca Fahrettin biz sana Dr olamazsın demedik biz sana adam olamazsın dedik.</t>
  </si>
  <si>
    <t>1463617833481478149</t>
  </si>
  <si>
    <t>@drfahrettinkoca Hicbiri bisey ogretememis yoksa bu halde olmazdik.</t>
  </si>
  <si>
    <t>1463616888978784259</t>
  </si>
  <si>
    <t>@drfahrettinkoca Sağlık Bakanımız da salgını öğretmeye çalıştı!</t>
  </si>
  <si>
    <t>1463616162663735305</t>
  </si>
  <si>
    <t>@drfahrettinkoca O zaman sana öğretilenleri neden uygulamıyorsun?</t>
  </si>
  <si>
    <t>1463615411275145218</t>
  </si>
  <si>
    <t>@drfahrettinkoca İyi insan olmayı öğreten değerler eğitimi gibi bir ders müfredatta niçin yok? Bu konu yılda birkez… https://t.co/piopctHyiA</t>
  </si>
  <si>
    <t>1463614178808242195</t>
  </si>
  <si>
    <t>@drfahrettinkoca Bakanım söyleyin de atasinlar 2020 üvey evlat muamelesi yüzünden yerle bir.Hakkimizi vermediler.</t>
  </si>
  <si>
    <t>1463613608173178881</t>
  </si>
  <si>
    <t>@drfahrettinkoca iyide sayın bakan her şey doğru öğretmenler onu öğretti sen bize ne öğrettin ??  bakanlarında yala… https://t.co/BWGHBYyAiD</t>
  </si>
  <si>
    <t>1463609503941812229</t>
  </si>
  <si>
    <t>@drfahrettinkoca Doktor da asıl insan sağlığını düşünür ve bunun için gerekirse hayatını ortaya koyar ve hasta kurt… https://t.co/t2bnhWXwac</t>
  </si>
  <si>
    <t>1463607721924698115</t>
  </si>
  <si>
    <t>@drfahrettinkoca Vatandas pandemi gibi ölümcül bir salgini bile ekonomik sikintilar yüzünden unuttu sn bakan</t>
  </si>
  <si>
    <t>1463623120389128194</t>
  </si>
  <si>
    <t>@drfahrettinkoca Bir anda Afyonkarahisar yazısını enflasyon sandım 😂😂böyle bir gözümün önüne geldi  baktımki sağlık… https://t.co/TCFQMuS4Qc</t>
  </si>
  <si>
    <t>1463608634718539779</t>
  </si>
  <si>
    <t>@drfahrettinkoca Aha covitten kaybettik dememiş Allah Allah</t>
  </si>
  <si>
    <t>1463287726539788297</t>
  </si>
  <si>
    <t>1463281017582723073</t>
  </si>
  <si>
    <t>@drfahrettinkoca Diyemiyor ki Suriye'de diye, diyebildiği Barış Harekat Bölgesi.. Yetti artık emii Mehmetçiklerimiz… https://t.co/OgpAUAXBXa</t>
  </si>
  <si>
    <t>1463276895366230021</t>
  </si>
  <si>
    <t>@drfahrettinkoca 🇹🇷🇹🇷🇹🇷🇹🇷🤲😔</t>
  </si>
  <si>
    <t>1463275306240946178</t>
  </si>
  <si>
    <t>@drfahrettinkoca Rabbim rahmet eylesin geride kalanlarına sabırlar versin ☹️🤲</t>
  </si>
  <si>
    <t>1463274245002350597</t>
  </si>
  <si>
    <t>@drfahrettinkoca Yaw ülke yanıyo sayın bakanım,tesadüfen bu gece üst üste alakasız twitler..yapmayın etmeyin ,alet olmayın!!</t>
  </si>
  <si>
    <t>1463273551864254469</t>
  </si>
  <si>
    <t>@drfahrettinkoca Allah rahmet etsin mekanı cennet olsun inşallah</t>
  </si>
  <si>
    <t>1463270860635230212</t>
  </si>
  <si>
    <t>@drfahrettinkoca Allah ailesine sabır versin.  Allah rahmet eylesin.</t>
  </si>
  <si>
    <t>1463266428405096456</t>
  </si>
  <si>
    <t>@drfahrettinkoca Bu toplumu nasıl o ilaclarla öldürdüğünü açıklasana soytarı....</t>
  </si>
  <si>
    <t>1463265937226977284</t>
  </si>
  <si>
    <t>@drfahrettinkoca Allah rahmet eylesin, ATAMA NE ZAMAN OLACAK 1 YIL OLDU</t>
  </si>
  <si>
    <t>1463263832936177664</t>
  </si>
  <si>
    <t>@drfahrettinkoca Amin 🤲🌙🌹🇹🇷🇹🇷🇹🇷</t>
  </si>
  <si>
    <t>1463263751809896455</t>
  </si>
  <si>
    <t>@drfahrettinkoca Rabbim rahmet ve mağfiret eylesin mekanı cennet olsun inşaallah</t>
  </si>
  <si>
    <t>1463263421554741250</t>
  </si>
  <si>
    <t>1463262638973100034</t>
  </si>
  <si>
    <t>1463262118422188036</t>
  </si>
  <si>
    <t>1463261817053011968</t>
  </si>
  <si>
    <t>@drfahrettinkoca ALLAH cc Rahmet Eylesin Mekanını Cennet Eylesin Sevenlerine Sevdiklerine Ailesine Sabırlar Versin İnşallah</t>
  </si>
  <si>
    <t>1463261736858001420</t>
  </si>
  <si>
    <t>@drfahrettinkoca Keşke onların yerine ülkeyi bu hale getirenler olseydi</t>
  </si>
  <si>
    <t>1463261620893888513</t>
  </si>
  <si>
    <t>@drfahrettinkoca Allah rahmet eylesin mekanı cennet olsun</t>
  </si>
  <si>
    <t>1463261573385003016</t>
  </si>
  <si>
    <t>@drfahrettinkoca Allah rahmet eylesin mekanı cennet olsun inşaAllah</t>
  </si>
  <si>
    <t>1463261442291941389</t>
  </si>
  <si>
    <t>@drfahrettinkoca Bu akp nin bir tane basarisini gosterinbana, ekonomi cokuk, hergun sehit haberi, gencler mutsuz sadece yandaslar zengin</t>
  </si>
  <si>
    <t>1463261278647066632</t>
  </si>
  <si>
    <t>@drfahrettinkoca https://t.co/GtIBkuPbsU</t>
  </si>
  <si>
    <t>1463260427337490446</t>
  </si>
  <si>
    <t>@drfahrettinkoca Milyonlarca Antidepresan siparişi ver bakan.</t>
  </si>
  <si>
    <t>1463260424288276481</t>
  </si>
  <si>
    <t>@drfahrettinkoca İnnalillahi ve innaileyhi raciun</t>
  </si>
  <si>
    <t>1463260418617622536</t>
  </si>
  <si>
    <t>@drfahrettinkoca Allah rahmet eylesin. Vatan sağ olsun</t>
  </si>
  <si>
    <t>1463260040442306567</t>
  </si>
  <si>
    <t>@drfahrettinkoca Ne işi vardı başka ülkede?</t>
  </si>
  <si>
    <t>1463259900235104268</t>
  </si>
  <si>
    <t>@drfahrettinkoca Rabbim tüm askerlerimizi korusun</t>
  </si>
  <si>
    <t>1463259840889987077</t>
  </si>
  <si>
    <t>1463259817875759105</t>
  </si>
  <si>
    <t>@drfahrettinkoca Allah rahmet eylesin ailesine sabır versin mevlam 😔</t>
  </si>
  <si>
    <t>1463259679186997251</t>
  </si>
  <si>
    <t>@drfahrettinkoca ALLAH rahmet eylesin.</t>
  </si>
  <si>
    <t>1463259648363008013</t>
  </si>
  <si>
    <t>1463259547305488389</t>
  </si>
  <si>
    <t>@drfahrettinkoca Online eğitim</t>
  </si>
  <si>
    <t>1463259437150441478</t>
  </si>
  <si>
    <t>@drfahrettinkoca Siz nede kararlısınız atıp tutuyorsunuz asıl sizin yaptıgınız şiddet aşıladınız milleti deli gibi… https://t.co/FtTVOeFS7Y</t>
  </si>
  <si>
    <t>1463655901949313031</t>
  </si>
  <si>
    <t>@drfahrettinkoca Söz konusu memurun olunca arkasındasın ama halk olunca karşısındasın.</t>
  </si>
  <si>
    <t>1463640060549640192</t>
  </si>
  <si>
    <t>@drfahrettinkoca Ay hadi inş</t>
  </si>
  <si>
    <t>1463639699646472200</t>
  </si>
  <si>
    <t>@drfahrettinkoca Sizin insanlara dolaylı yoldan yaptığınız zulümden dolayı sizinde ceza almanız gerekmiyormu?</t>
  </si>
  <si>
    <t>1463623793033760775</t>
  </si>
  <si>
    <t>@drfahrettinkoca Türkiye Cumhuriyeti Hukuk Devleti'nde adaletin olduğuna inanmam için ,görevinden alınan Viranşehir… https://t.co/NR1tDiXJF7</t>
  </si>
  <si>
    <t>1463621877050617864</t>
  </si>
  <si>
    <t>@drfahrettinkoca Benim anlamadığım hem siz saglikcilari asilayip öldürmek istiyorsunuz biri karışınca da onları kor… https://t.co/86eLtwvggI</t>
  </si>
  <si>
    <t>1463620864688242692</t>
  </si>
  <si>
    <t>@drfahrettinkoca Adalet sizin işinize geldigi kadar veya istediğiniz kadar adalet plandemi döneminde yaptığınız ada… https://t.co/EhiqD1a70n</t>
  </si>
  <si>
    <t>1463620191619883018</t>
  </si>
  <si>
    <t>@drfahrettinkoca Senın bılım kurulun bunlar.  Saz calmayı bırak,  bakanmısın nesın https://t.co/vAsCIH5II8</t>
  </si>
  <si>
    <t>1463619143748493314</t>
  </si>
  <si>
    <t>@drfahrettinkoca Sayenizde memlekette doktor kalmayacak yakında.</t>
  </si>
  <si>
    <t>1463293207463305217</t>
  </si>
  <si>
    <t>@drfahrettinkoca Hç sormayn zaten bu adam nedn saldrdı neden zvana dan cktı neler oluyor bu hastanelrde randevu sst… https://t.co/tu3OhXvrqR</t>
  </si>
  <si>
    <t>1463285859738923010</t>
  </si>
  <si>
    <t>@drfahrettinkoca "Yanlislikla" bebeklere covid asisi vuranlarinda pesini bırakmadınız degil mi? Yanlis tedavi ve ya… https://t.co/Kdv2R41aSq</t>
  </si>
  <si>
    <t>1463285075840282625</t>
  </si>
  <si>
    <t>@drfahrettinkoca Teske patavatsız burnunun üstünden konuşan dr ların muayene etmeden ilaç yazanların kılık kıyafete… https://t.co/ZmiIkaJGBp</t>
  </si>
  <si>
    <t>1463284599157518344</t>
  </si>
  <si>
    <t>@drfahrettinkoca Engelli sağlıkçılar 4 yıldır verilmeyen kadrolara atanmak istiyor🇹🇷🇹🇷🇹🇷🇹🇷🇹🇷🇹🇷🇹🇷🇹🇷🇹🇷🇹🇷🇹🇷🇹🇷🇹🇷🇹🇷🇹🇷🇹🇷… https://t.co/4NMdcOvWSh</t>
  </si>
  <si>
    <t>1463274178392604677</t>
  </si>
  <si>
    <t>@drfahrettinkoca Bakanm devlet hastaneleri pek tercih edilmiyr çünkü hastalara insan muamelesi yapılmıyr ve saygı h… https://t.co/UM2dkFlK3I</t>
  </si>
  <si>
    <t>1463270970316185605</t>
  </si>
  <si>
    <t>@drfahrettinkoca 1 gece sadece herhangi 1 gece devlet hastanesinin aciline git bi gör millet ne halde nasil deliriy… https://t.co/2bVQRtqpIF</t>
  </si>
  <si>
    <t>1463269946398580736</t>
  </si>
  <si>
    <t>@drfahrettinkoca Naziler bile 2. Dünya savaşında karşı tarafın sağlıkçılarına dokunmamış bu bir savaş suçudur aynı… https://t.co/ZbPeXCF1K6</t>
  </si>
  <si>
    <t>1463267514666860544</t>
  </si>
  <si>
    <t>@drfahrettinkoca Benim anlamadigım devletin savcısı neden o görüntüleri bu arkadaşı salmadan önce istemiyor? İlla a… https://t.co/Ff7pnQLthC</t>
  </si>
  <si>
    <t>1463265154536255490</t>
  </si>
  <si>
    <t>@drfahrettinkoca Atama bekliyoruz artık yapın</t>
  </si>
  <si>
    <t>1463264263955529729</t>
  </si>
  <si>
    <t>@drfahrettinkoca Siz önce sayıyı artırma gayretinizi gösterin 30 bini 40 bin yapın sonra sağlıkçıyı korursunuz!!</t>
  </si>
  <si>
    <t>1463264018597097477</t>
  </si>
  <si>
    <t>@drfahrettinkoca Siz o hastaneye gitseydiniz size yapılan muameleden siz bile ordaki çalışanlara saldırısının..</t>
  </si>
  <si>
    <t>1463262906137595906</t>
  </si>
  <si>
    <t>@drfahrettinkoca https://t.co/xpyFi3XRr2</t>
  </si>
  <si>
    <t>1463262890505478146</t>
  </si>
  <si>
    <t>@drfahrettinkoca Ülkeyi ne hale getirdiniz kanunmu kaldı sadece sizin kanunlarınız var işinize geldiği gibi milleti… https://t.co/kQioSTUwBq</t>
  </si>
  <si>
    <t>1463261139337371662</t>
  </si>
  <si>
    <t>@drfahrettinkoca yazık şu doktorlara 36 saat nöbet tut üstüne şiddet gör niçin bişey yapmıyosunuz?</t>
  </si>
  <si>
    <t>1463261011742502916</t>
  </si>
  <si>
    <t>@drfahrettinkoca Sn.Koca; Ordu ili ve civarında yaklaşık nufüsu 750/800 bin insan yaşıyor Bütün bu insanların böbre… https://t.co/9zzg9ocAQh</t>
  </si>
  <si>
    <t>1463258211683864589</t>
  </si>
  <si>
    <t>@drfahrettinkoca Umarım hastalara kötü davranan azarlayan,aşağılayan sağlıkçıların da peşini bırakamazsınız.6 ay ön… https://t.co/nHMrS3BurA</t>
  </si>
  <si>
    <t>1463258086735495175</t>
  </si>
  <si>
    <t>@drfahrettinkoca https://t.co/WH2dciCvJc 16</t>
  </si>
  <si>
    <t>1463257385707921418</t>
  </si>
  <si>
    <t>@drfahrettinkoca Sayın Bakanım birazda doktorlarımızın hasta ve hasta yakınlarına yaptıkları piskolojik şiddetten b… https://t.co/BPCz6VM3yw</t>
  </si>
  <si>
    <t>1463257218858553348</t>
  </si>
  <si>
    <t>@drfahrettinkoca Ya sizin uyguladığınız şiddet o ne olacak? Bize hergün piskolojik şiddet uyguluyorsunuz sayın baka… https://t.co/egRBlGi9as</t>
  </si>
  <si>
    <t>1463257158246674434</t>
  </si>
  <si>
    <t>@drfahrettinkoca Dolar 13 tl Okulu kapatin millet yetistiremiyor... #VelilerdeOnlineİstiyor #VelilerEndişeliOnlineGelmeli</t>
  </si>
  <si>
    <t>1463256961328234500</t>
  </si>
  <si>
    <t>@drfahrettinkoca En büyük şiddeti soykırımı sen yapıyorsun ğain</t>
  </si>
  <si>
    <t>1463256065559212038</t>
  </si>
  <si>
    <t>@drfahrettinkoca Şiddete uğramadan önce önlem alma,hastane girişlerine X RAY cihazları konulması konusunda da karar… https://t.co/ABl7BpGNdm</t>
  </si>
  <si>
    <t>1463255497839108096</t>
  </si>
  <si>
    <t>@drfahrettinkoca Memeleketi batirdiniz halendaha ne konusiyorsunuz</t>
  </si>
  <si>
    <t>1463255138362081285</t>
  </si>
  <si>
    <t>@drfahrettinkoca Sayın bakanım Ankara polatlıda eczaneye saldıran uyuşturucu bağımlısı kişi için savcılığa başvuracakmısınız?</t>
  </si>
  <si>
    <t>1463254692528631810</t>
  </si>
  <si>
    <t>@drfahrettinkoca Kararlıyız eninde sonunda seni o koltuktan kaldıracağız Devlet hastanelerinde randevular 3-4 ay so… https://t.co/cHB5MNgwBg</t>
  </si>
  <si>
    <t>1463254418875461633</t>
  </si>
  <si>
    <t>@drfahrettinkoca canımız biricik bakanımız sizi çok seviyoruz sağlık ordunuza katılmayı dört gözle bekliyoruz</t>
  </si>
  <si>
    <t>1463253945753780232</t>
  </si>
  <si>
    <t>@drfahrettinkoca 1 yıldır benide gurun duyun sayın başkan</t>
  </si>
  <si>
    <t>1463253339613900805</t>
  </si>
  <si>
    <t>@drfahrettinkoca Sayın sağlık bakanı dövizdeki fiyatlamaya istinaden aşılar için toplam kaç milyar dolar ödendi,… https://t.co/3HqPuhWk6B</t>
  </si>
  <si>
    <t>1463252879867891726</t>
  </si>
  <si>
    <t>@drfahrettinkoca Biz istifa edelim bari https://t.co/kKUj6pgACp</t>
  </si>
  <si>
    <t>1463251909708500997</t>
  </si>
  <si>
    <t>@drfahrettinkoca Biz istifamı aceba https://t.co/w9789XiAS9</t>
  </si>
  <si>
    <t>1463251862681964548</t>
  </si>
  <si>
    <t>@drfahrettinkoca Peki doktorlara hemşirelere uygulanan psikolojik şiddete neden sessiz kalıyorsunuz. Ücret konusu y… https://t.co/nu2k2g7EPH</t>
  </si>
  <si>
    <t>1463251515695636487</t>
  </si>
  <si>
    <t>@drfahrettinkoca Fahrettin sen neyin kafasıni yaşıyon</t>
  </si>
  <si>
    <t>1463250552096276485</t>
  </si>
  <si>
    <t>@drfahrettinkoca @saglikbakanligi Taksi şöföründen istediğiniz psikoteknik raporunu kendi personelinizden de düzenl… https://t.co/2h4w3mLeye</t>
  </si>
  <si>
    <t>1463250359166685184</t>
  </si>
  <si>
    <t>@drfahrettinkoca https://t.co/vrbUq9AhyA #sevimnuricinsesol @sevim_trkmen1</t>
  </si>
  <si>
    <t>1463250032635822084</t>
  </si>
  <si>
    <t>@drfahrettinkoca İstifa etsen hem salgın bitecek,hem ekonomi düzelecek bi denesene nolur :)</t>
  </si>
  <si>
    <t>1463249822962655236</t>
  </si>
  <si>
    <t>@drfahrettinkoca İnsanları bitirdiniz be halen konuşuyorsunuz 48 saatte bir test veriyorum adam gırtlağımı kanattı… https://t.co/13KyNPGTbs</t>
  </si>
  <si>
    <t>1463249818994851847</t>
  </si>
  <si>
    <t>@drfahrettinkoca Hastanelerimiz çok güzel ; yeni, 5 yıldızlı oteller gibi : bu açıdan çok memnun ve şükrediyorum ..… https://t.co/046j1Sh6Qv</t>
  </si>
  <si>
    <t>1463249744248160263</t>
  </si>
  <si>
    <t>@drfahrettinkoca @saglikbakanligi Yargıya intikal eden şiddet vakalarının ne kadarı DEVLET ne kadarı ÖZEL hastanele… https://t.co/5Yhl2uKRJ3</t>
  </si>
  <si>
    <t>1463249495068749826</t>
  </si>
  <si>
    <t>@drfahrettinkoca Herkez sevicek degil dovuceklerde cikicicak engel koymayi dusunmedinizmi</t>
  </si>
  <si>
    <t>1463249120953569282</t>
  </si>
  <si>
    <t>@drfahrettinkoca Güzel haber, hiçbir şiddet olayının arkası bırakılmamalı ⁉️</t>
  </si>
  <si>
    <t>1463248582539104258</t>
  </si>
  <si>
    <t>1463248554491883524</t>
  </si>
  <si>
    <t>@drfahrettinkoca Vahsi saldiriyor tebbir almaniz gerekirken cezalandirmanizmi lazim</t>
  </si>
  <si>
    <t>1463248410820190208</t>
  </si>
  <si>
    <t>@drfahrettinkoca Canim arkasinda olsaniz kimse mahruzda kalmaz</t>
  </si>
  <si>
    <t>1463247982174904327</t>
  </si>
  <si>
    <t>@drfahrettinkoca Șiddetin her türlüsüne karșıyım ama adam karısını 28 yerinden bıçaklıyor serbest kalıyor, bașka bi… https://t.co/3yixHKA5gX</t>
  </si>
  <si>
    <t>1463246933590478849</t>
  </si>
  <si>
    <t>@drfahrettinkoca Ülkede olmaya  adalet milleti kobay yapan tedavi ediyoruz ayağına binlerce insanın ölümüne sebep o… https://t.co/8dduQoGQcG</t>
  </si>
  <si>
    <t>1463246740841193489</t>
  </si>
  <si>
    <t>@drfahrettinkoca https://t.co/aQiLnLyHkz</t>
  </si>
  <si>
    <t>1463246726068949003</t>
  </si>
  <si>
    <t>@drfahrettinkoca Fahrettin Bey, bizde korona vurgununun peşini bırakmayacağız. Emin olun ;)</t>
  </si>
  <si>
    <t>1463246721941651469</t>
  </si>
  <si>
    <t>@drfahrettinkoca Sayın koca % 93 engelli raporu veriyor doktorlar ama bakım parası vermeyin kimseye dediğiniz için… https://t.co/ZYeIcat0GT</t>
  </si>
  <si>
    <t>1463244240171974662</t>
  </si>
  <si>
    <t>@drfahrettinkoca Önce söz verdiğiniz atamayı yapın sayın bakan 1 yıldır atama yapacaksınız sağlıkçıların umudu tükendi</t>
  </si>
  <si>
    <t>1463244103106371591</t>
  </si>
  <si>
    <t>@drfahrettinkoca İlla fiziki şiddet olması gerekmiyor.her türlü şiddet olayında peşini bırakmayınız.resmen vatandaş bize mobing uyguluyor.</t>
  </si>
  <si>
    <t>1463244072311832590</t>
  </si>
  <si>
    <t>@drfahrettinkoca Osmaniyede görevi başındaki dru tutuklatan savcıya naptınız onu da tutuklatabildiniz mi??</t>
  </si>
  <si>
    <t>1463243880875413516</t>
  </si>
  <si>
    <t>@drfahrettinkoca Sayın bakan bide doktorların bize nasıl aşşağalıdığınıda görseniz diyorum nasıl olur</t>
  </si>
  <si>
    <t>1463243765376819203</t>
  </si>
  <si>
    <t>@drfahrettinkoca Teşekkürler sayın bakanım. Lütfen siyasal olarak da takip edin</t>
  </si>
  <si>
    <t>1463243673353834505</t>
  </si>
  <si>
    <t>@drfahrettinkoca Sayın bakanım evet kararlı olmanız çok güzel bir şey fakat bunu suistimal eden Sağlıkçı arkadaşlar… https://t.co/wPbdYgRVtN</t>
  </si>
  <si>
    <t>1463243549156298754</t>
  </si>
  <si>
    <t>@drfahrettinkoca ENGELLİ SAĞLIKÇIYA YAPTIĞINIZ ŞİDDET DEĞİL Mİ emek vererek çalıştık Yüksek puan aldık sözde bi 4 y… https://t.co/2xzo4Zjm0C</t>
  </si>
  <si>
    <t>1463243457116446728</t>
  </si>
  <si>
    <t>@drfahrettinkoca Sürekli aynı sey sağlıkta şiddet mağdur hep sağlıkçılar hakli hep hasta bir personel olarak kabul… https://t.co/doP1he6qw3</t>
  </si>
  <si>
    <t>1463243334646968334</t>
  </si>
  <si>
    <t>@drfahrettinkoca ENGELLİ SAĞLIKÇIYA YAPTIĞINIZ ŞİDDET DEĞİL Mİ emek vererek çalıştık Yüksek puan aldık sözde bi 4 y… https://t.co/mpG8fR0W02</t>
  </si>
  <si>
    <t>1463243334630129667</t>
  </si>
  <si>
    <t>@drfahrettinkoca Sana bu ilacın etkili olduğunu söyleyen veri getirenleri de yargılasana https://t.co/YJlMdfOch5</t>
  </si>
  <si>
    <t>1463243180686594061</t>
  </si>
  <si>
    <t>@drfahrettinkoca Şiddetin her türlüsüne karşıyız ve ilkokul çocuklarını zorla hastalığa sebebiyet vermekde şiddetti… https://t.co/WFxaenmz53</t>
  </si>
  <si>
    <t>1463243092824317956</t>
  </si>
  <si>
    <t>@drfahrettinkoca Fiziksel şiddet yerine bazı doktorların hasta ve hasta yakınlarına uyguladığı psikolojik şiddetin… https://t.co/evO3NeifNl</t>
  </si>
  <si>
    <t>1463243012545331200</t>
  </si>
  <si>
    <t>@drfahrettinkoca @saglikbakanligi HERKESE VAR ENGELLİ SAĞLIKÇIYA KADRONUZ YOK MU?ç ENGELLİYİ KÜSTÜRDÜNÜZ 4YILDIR at… https://t.co/Ovp47Mr9CK</t>
  </si>
  <si>
    <t>1463242656264466435</t>
  </si>
  <si>
    <t>@drfahrettinkoca @saglikbakanligi HERKESE VAR ENGELLİ SAĞLIKÇIYA KADRONUZ YOK MU? ENGELLİYİ KÜSTÜRDÜNÜZ 4YILDIR ata… https://t.co/pXPk95Ov2U</t>
  </si>
  <si>
    <t>1463242604863180810</t>
  </si>
  <si>
    <t>@drfahrettinkoca @saglikbakanligi HERKESE VAR ENGELLİ SAĞLIKÇIYA KADRONUZ YOK MU? ENGELLİYİ KÜSTÜRDÜNÜZ 4YILDIR ata… https://t.co/ZM0Tmxx7vQ</t>
  </si>
  <si>
    <t>1463242546881216519</t>
  </si>
  <si>
    <t>@drfahrettinkoca @saglikbakanligi HERKESE VAR ENGELLİ SAĞLIKÇIYA KADRONUZ YOK MU? ENGELLİYİ KÜSTÜRDÜNÜZ 4YILDIR ata… https://t.co/hrDKHhPI5G</t>
  </si>
  <si>
    <t>1463242510243926025</t>
  </si>
  <si>
    <t>@drfahrettinkoca Keşke kadınlara çocuklara ve hayvanlara olan şiddette karşıda bu kadar duyarlı olsanız</t>
  </si>
  <si>
    <t>1463242489717006349</t>
  </si>
  <si>
    <t>@drfahrettinkoca @saglikbakanligi HERKESE VAR ENGELLİ SAĞLIKÇIYA KADRONUZ YOK MU? ENGELLİYİ KÜSTÜRDÜNÜZ 4YILDIR ata… https://t.co/70zZcTNZox</t>
  </si>
  <si>
    <t>1463242441587372033</t>
  </si>
  <si>
    <t>@drfahrettinkoca Ayni şeyi kadin cinayetlerinde ve bebek tecavuzculeri içinde yapilsa...! Serbest birakilmasalar...!</t>
  </si>
  <si>
    <t>1463242406409687045</t>
  </si>
  <si>
    <t>@drfahrettinkoca Muğla sıtkı koçman eğitim hastanesine bir müfettiş yollayın hastane kapısında  engelli aracı yok d… https://t.co/5GAeYF1ToD</t>
  </si>
  <si>
    <t>1463242394086920203</t>
  </si>
  <si>
    <t>@drfahrettinkoca @saglikbakanligi HERKESE VAR ENGELLİ SAĞLIKÇIYA KADRONUZ YOK MU? ENGELLİYİ KÜSTÜRDÜNÜZ YILDIR atam… https://t.co/ZlOEgIgzPE</t>
  </si>
  <si>
    <t>1463242258346659843</t>
  </si>
  <si>
    <t>@drfahrettinkoca Eyvallah sayın adalet bakanım. Yargı kimsenin peşinden gitmesin yargının peşinden biz gidelim. Say… https://t.co/98gaNxltbV</t>
  </si>
  <si>
    <t>1463241954381254665</t>
  </si>
  <si>
    <t>@drfahrettinkoca Şimdide bu ilacimi deneyeceksiniz halkın üstünde https://t.co/i8MmVz8k23</t>
  </si>
  <si>
    <t>1463241704170004488</t>
  </si>
  <si>
    <t>@drfahrettinkoca Bravo ..Bu bir ilk. Sağlık elemanıma dokunan bana dokunmuş ,sağlık bakanlığına dokunmuş diyeceksin… https://t.co/aNFFseKqSA</t>
  </si>
  <si>
    <t>1463241612033769481</t>
  </si>
  <si>
    <t>@drfahrettinkoca 1 aylık bebeğe yanlışlıkla Covid aşısı yapıldı diyen profesör de keşke gerekli şekilde adalet karş… https://t.co/uh0UFYs7Of</t>
  </si>
  <si>
    <t>1463241061078380553</t>
  </si>
  <si>
    <t>@drfahrettinkoca Engelliler, ENGELLİ sağlıkçılar sizlere sosyal medyadan ve basın açıklamalarıyla sesleniyor EKPSS… https://t.co/CemaUEZD9k</t>
  </si>
  <si>
    <t>1463241020506873871</t>
  </si>
  <si>
    <t>@drfahrettinkoca Engelliler, ENGELLİ sağlıkçılar sizlere sosyal medyadan ve basın açıklamalarıyla sesleniyor EKPSS… https://t.co/siclnqkmMh</t>
  </si>
  <si>
    <t>1463240987841642509</t>
  </si>
  <si>
    <t>@drfahrettinkoca Engelliler, ENGELLİ sağlıkçılar sizlere sosyal medyadan ve basın açıklamalarıyla sesleniyor EKPSS… https://t.co/g63soyBFsq</t>
  </si>
  <si>
    <t>1463240932464148483</t>
  </si>
  <si>
    <t>@drfahrettinkoca Engelliler, ENGELLİ sağlıkçılar sizlere sosyal medyadan ve basın açıklamalarıyla sesleniyor EKPSS… https://t.co/xpWMHZLK0J</t>
  </si>
  <si>
    <t>1463240835387072517</t>
  </si>
  <si>
    <t>@drfahrettinkoca Engelliler, ENGELLİ sağlıkçılar sizlere sosyal medyadan ve basın açıklamalarıyla sesleniyor EKPSS… https://t.co/mkHRjbh7Yr</t>
  </si>
  <si>
    <t>1463240788524118017</t>
  </si>
  <si>
    <t>@drfahrettinkoca Engelliler, ENGELLİ sağlıkçılar sizlere sosyal medyadan ve basın açıklamalarıyla sesleniyor EKPSS… https://t.co/sBoHYZzorL</t>
  </si>
  <si>
    <t>1463240760732573698</t>
  </si>
  <si>
    <t>@drfahrettinkoca Engelliler, ENGELLİ sağlıkçılar sizlere sosyal medyadan ve basın açıklamalarıyla sesleniyor EKPSS… https://t.co/y47Nh6lWs8</t>
  </si>
  <si>
    <t>1463240726280650759</t>
  </si>
  <si>
    <t>@drfahrettinkoca Engelliler, ENGELLİ sağlıkçılar sizlere sosyal medyadan ve basın açıklamalarıyla sesleniyor EKPSS… https://t.co/rHK4cYdYyZ</t>
  </si>
  <si>
    <t>1463240685973381128</t>
  </si>
  <si>
    <t>@drfahrettinkoca Tüm harita mavi olunca ne olacak. Dolar 14.36 olacak ve ülke işgal mi edilecek. Yasalar ile işgale… https://t.co/1DrbyLkxyp</t>
  </si>
  <si>
    <t>1463625787576393731</t>
  </si>
  <si>
    <t>@drfahrettinkoca Hhaaa hapşuuuu</t>
  </si>
  <si>
    <t>1463295260956758020</t>
  </si>
  <si>
    <t>@drfahrettinkoca #SiyasiTerör e RAĞMEN  Mahalle Yanarken Saçını Tarayanlar ve Çocukları na RAĞMEN  Açılan Bu… https://t.co/JU1uuZ7nc7</t>
  </si>
  <si>
    <t>1463293273431322626</t>
  </si>
  <si>
    <t>@drfahrettinkoca Maske kaç para oldu kankam haberin varmı</t>
  </si>
  <si>
    <t>1463290354409656321</t>
  </si>
  <si>
    <t>@drfahrettinkoca Aga normalde nefes almakta zorlanıyoruz..</t>
  </si>
  <si>
    <t>1463290068643332108</t>
  </si>
  <si>
    <t>@drfahrettinkoca Senin birtek lafına inandığım gün akli dengemi yitirdiğim gündür maske koruyormuş hadi ordan</t>
  </si>
  <si>
    <t>1463289216062873603</t>
  </si>
  <si>
    <t>@drfahrettinkoca Senin şu dayatmaların ve kapatmalarından dolayı ekonomi battı Allahını seversen sus yetti artık</t>
  </si>
  <si>
    <t>1463288550884098053</t>
  </si>
  <si>
    <t>@drfahrettinkoca Hala tedbir almayacak mısınız? #Devletiminyanıdayım</t>
  </si>
  <si>
    <t>1463287645195448324</t>
  </si>
  <si>
    <t>@drfahrettinkoca dolar yükselince  ilac tacirler verilen paralar goze batmasin diye maske vurgusu yapmak da çok iyi… https://t.co/UjyjLzxrUc</t>
  </si>
  <si>
    <t>1463287007090819074</t>
  </si>
  <si>
    <t>@drfahrettinkoca Bıktık artık hergün yalan yanlış söylenen sözlerden bu kadar buna kafa yorup millete bu gün ne söy… https://t.co/ogYKJUoWrf</t>
  </si>
  <si>
    <t>1463283442976800770</t>
  </si>
  <si>
    <t>@drfahrettinkoca Dolar 13 olmuş, millet ac kalmış sen hala bıkmadan aşı diyorsun ne inatçı adamsın ya</t>
  </si>
  <si>
    <t>1463282507714023427</t>
  </si>
  <si>
    <t>@drfahrettinkoca Hocam 22 Kasım'da pozitif çıktım ilaç getirdiler tarihi geçmiş aradığımda ambalajı eski i yeni diy… https://t.co/wPm1fysojv</t>
  </si>
  <si>
    <t>1463278614519197697</t>
  </si>
  <si>
    <t>@drfahrettinkoca bırakın artık şu yalanları millet uyandı aşının maskenin pcr’ın yalan olduğunu yarardan çok zararı… https://t.co/Fr9GNy1WVD</t>
  </si>
  <si>
    <t>1463277290079633415</t>
  </si>
  <si>
    <t>@drfahrettinkoca Söyle birşey gördüm! Aşı olmamak bir sebebim daha var! https://t.co/vOWel7norZ</t>
  </si>
  <si>
    <t>1463276498496929793</t>
  </si>
  <si>
    <t>@drfahrettinkoca Ülkede ekonimi de sağlıkta batmış durumda artık millet ahaberdeki yalan uydurma masallarınıza inan… https://t.co/XBm8PPLIol</t>
  </si>
  <si>
    <t>1463275853496963077</t>
  </si>
  <si>
    <t>@drfahrettinkoca kapatsanıza şu okulları artık bari tek doğrunuz olsun bizim için şu karar @drfahrettinkoca</t>
  </si>
  <si>
    <t>1463273746265948165</t>
  </si>
  <si>
    <t>@drfahrettinkoca Yahu şurada bir twit aticam ve herkes altına,  hakkımda bir tane olumlu bir cümle yazmayacaklar, k… https://t.co/s8jl9SblBC</t>
  </si>
  <si>
    <t>1463273436969635843</t>
  </si>
  <si>
    <t>@drfahrettinkoca Çok az kaldı inşaALLAH</t>
  </si>
  <si>
    <t>1463268213479911427</t>
  </si>
  <si>
    <t>@drfahrettinkoca Saçını taramaya devam et bakalım</t>
  </si>
  <si>
    <t>1463267777452646403</t>
  </si>
  <si>
    <t>@drfahrettinkoca Uzaktan eğitim final sınavlarını online yapın lütfen dersler zaten  online 20 saatlik yolu 2 3 saa… https://t.co/UYovvvfpwB</t>
  </si>
  <si>
    <t>1463267616752115720</t>
  </si>
  <si>
    <t>@drfahrettinkoca Uzaktan eğitim final sınavlarını online yapın lütfen dersler zaten  online 20 saatlik yolu 2 3 saa… https://t.co/eg4q7siyj8</t>
  </si>
  <si>
    <t>1463267490323214338</t>
  </si>
  <si>
    <t>@drfahrettinkoca Sayın bakanım Uzaktan eğitim final sınavlarını online yapın lütfen dersler zaten  online 20 saatli… https://t.co/4a5GPO2qqj</t>
  </si>
  <si>
    <t>1463267280930971649</t>
  </si>
  <si>
    <t>@drfahrettinkoca https://t.co/wfizItlWZh</t>
  </si>
  <si>
    <t>1463267257019207688</t>
  </si>
  <si>
    <t>@drfahrettinkoca Uzaktan eğitim final sınavlarını online yapın lütfen dersler zaten  online 20 saatlik yolu 2 3 saa… https://t.co/3z4foUKr3H</t>
  </si>
  <si>
    <t>1463267200505196554</t>
  </si>
  <si>
    <t>@drfahrettinkoca Anadolu aöfü şu vakalarda ve ölüm rakamlarında yüz yüze yapıyosunuz ya vebali hepinizin @ProfFuatErdal @drfahrettinkoca</t>
  </si>
  <si>
    <t>1463266948029026309</t>
  </si>
  <si>
    <t>@drfahrettinkoca Uzaktan eğitim final sınavlarını online yapın lütfen dersler zaten  online 20 saatlik yolu 2 3 saa… https://t.co/mG9SWORFQQ</t>
  </si>
  <si>
    <t>1463266862997856266</t>
  </si>
  <si>
    <t>@drfahrettinkoca kaç milyar doları işe yaramayan maske ve ilaçlara yatırdın? kaç milyar doları insanları hasta eden… https://t.co/npGMT9zFqp</t>
  </si>
  <si>
    <t>1463266835873288196</t>
  </si>
  <si>
    <t>@drfahrettinkoca Sen de sıktın artık.</t>
  </si>
  <si>
    <t>1463266440233078797</t>
  </si>
  <si>
    <t>@drfahrettinkoca Yalan söylüyorsun ihanet ediyorsun Virus yok ğainlik var</t>
  </si>
  <si>
    <t>1463266403046285313</t>
  </si>
  <si>
    <t>@drfahrettinkoca #DevletiminYanindayim</t>
  </si>
  <si>
    <t>1463266383282806786</t>
  </si>
  <si>
    <t>@drfahrettinkoca Sokağa çıkmayın, kapalı yerlere girmeyin, Aşı olmak için kolları sıvayın, illeri masmavi yapmaya d… https://t.co/rMfsU17hqd</t>
  </si>
  <si>
    <t>1463265598712991744</t>
  </si>
  <si>
    <t>@drfahrettinkoca Neyse ki ekonomi bakanı değilsiniz...</t>
  </si>
  <si>
    <t>1463264945580220419</t>
  </si>
  <si>
    <t>@drfahrettinkoca Bu yazdıklarım buradaki yorumcularadır</t>
  </si>
  <si>
    <t>1463264893335920648</t>
  </si>
  <si>
    <t>@drfahrettinkoca Bu virüs sanki tek Türkiye de varmış gibi konuşuyorsunuz  bu virüsü tanıdık artık ona göre korunac… https://t.co/15Mrf0PM0z</t>
  </si>
  <si>
    <t>1463264480197025797</t>
  </si>
  <si>
    <t>@drfahrettinkoca Atama bekliyoruz</t>
  </si>
  <si>
    <t>1463263981985017863</t>
  </si>
  <si>
    <t>@drfahrettinkoca İnsan utanır ülkenin su durumunda bunları bozuk plak gibi soyleyip durmaya</t>
  </si>
  <si>
    <t>1463262967861067787</t>
  </si>
  <si>
    <t>@drfahrettinkoca Hastalık pik yapmış,sizler hala okulları açık tutma konusunda kararlıyız diyorsunuz.Bu karar size… https://t.co/3rHtlnBkK5</t>
  </si>
  <si>
    <t>1463262953579364352</t>
  </si>
  <si>
    <t>@drfahrettinkoca Millet geçim derdinde koca!!!  Maskeymis hijyenmis aşı ymis.kuş kadar maaşıyla ayı çıkarmaya çalış… https://t.co/u8npsslLtf</t>
  </si>
  <si>
    <t>1463262588624674817</t>
  </si>
  <si>
    <t>@drfahrettinkoca Uzun zamandır ilk defa aşı olmayan bir tweet. İlginç.</t>
  </si>
  <si>
    <t>1463260943232741378</t>
  </si>
  <si>
    <t>@drfahrettinkoca Dayı ne diyon sen 😂</t>
  </si>
  <si>
    <t>1463260429107535877</t>
  </si>
  <si>
    <t>@drfahrettinkoca Bırak artık maval okumayı. Erdoğan a ve ülkeye verdiğin zarar yeter.</t>
  </si>
  <si>
    <t>1463259182870769670</t>
  </si>
  <si>
    <t>@drfahrettinkoca Fahrettin bey yüzeylerde mikrop mu olur virüs mü?Mikrop ile Virüs -Virüs ile Mikrop arasındaki far… https://t.co/4OIZe5w1ro</t>
  </si>
  <si>
    <t>1463258940519731205</t>
  </si>
  <si>
    <t>@drfahrettinkoca Sn bakan bırakın artık bu saçma haritayı yayınlamayı memlekette ne ekonomi ne de psikoloji bırakma… https://t.co/Eo7jG2x8Bu</t>
  </si>
  <si>
    <t>1463258384526884868</t>
  </si>
  <si>
    <t>@drfahrettinkoca Maske denen paçavrayla okulda öğrenciler tuvalete gidiyor,koşup oynarken yerlerde çiğneniyor çocuk… https://t.co/mDUP0kPT1A</t>
  </si>
  <si>
    <t>1463257904514048000</t>
  </si>
  <si>
    <t>@drfahrettinkoca Kapat artık O,KOCA çeneni</t>
  </si>
  <si>
    <t>1463257627291533314</t>
  </si>
  <si>
    <t>@drfahrettinkoca Sayende dolar rekor kırdı...</t>
  </si>
  <si>
    <t>1463256785066807300</t>
  </si>
  <si>
    <t>@drfahrettinkoca https://t.co/ZWHcIVqnHG</t>
  </si>
  <si>
    <t>1463256480702996487</t>
  </si>
  <si>
    <t>@drfahrettinkoca https://t.co/h1bzI1rMD9</t>
  </si>
  <si>
    <t>1463256465762881537</t>
  </si>
  <si>
    <t>@drfahrettinkoca https://t.co/XXZ8LLcJZH</t>
  </si>
  <si>
    <t>1463256274766868491</t>
  </si>
  <si>
    <t>@drfahrettinkoca https://t.co/5Ig7wZfVXg</t>
  </si>
  <si>
    <t>1463256259323432961</t>
  </si>
  <si>
    <t>@drfahrettinkoca https://t.co/lmijLRIUc0</t>
  </si>
  <si>
    <t>1463256238863622147</t>
  </si>
  <si>
    <t>@drfahrettinkoca https://t.co/b6bBBooNIv</t>
  </si>
  <si>
    <t>1463256225492131859</t>
  </si>
  <si>
    <t>@drfahrettinkoca https://t.co/xepBv3jMF6</t>
  </si>
  <si>
    <t>1463256210078154759</t>
  </si>
  <si>
    <t>@drfahrettinkoca https://t.co/rl2EhpksaB</t>
  </si>
  <si>
    <t>1463256197646237696</t>
  </si>
  <si>
    <t>@drfahrettinkoca https://t.co/Rbp5axZhiZ</t>
  </si>
  <si>
    <t>1463256179497476100</t>
  </si>
  <si>
    <t>@drfahrettinkoca Yüzde yüz petrol atığı pis bez parçasına kuruşum nasip olmadı,çocuğuma da taktırmadım, siz nasıl d… https://t.co/FGTbHyz24J</t>
  </si>
  <si>
    <t>1463256120559034369</t>
  </si>
  <si>
    <t>@drfahrettinkoca Sayın bakanım bunca vaka varken bunca ölü varken online için daha neyi bekliyorsunuz ekonomik coku… https://t.co/aFwFRyXAg5</t>
  </si>
  <si>
    <t>1463255956326862849</t>
  </si>
  <si>
    <t>@drfahrettinkoca Bir hafta önce açık öğretim sınavına girdik bakanım. Sınava covid pozitif olanlarda geldi. Aynı sı… https://t.co/AC7GjpSTdj</t>
  </si>
  <si>
    <t>1463255663816159245</t>
  </si>
  <si>
    <t>@drfahrettinkoca Millet cinnet geçiriyor senin yüzünden kendi eli ile kendi devletini yıkacak neredeyse sen hala aş… https://t.co/VroK2SOdNn</t>
  </si>
  <si>
    <t>1463255606735872004</t>
  </si>
  <si>
    <t>@drfahrettinkoca Şu tabloyu sabitlediğiniz gibi dolar kurunu sabitlesin sahipleriniz yeter ülke yanıyor</t>
  </si>
  <si>
    <t>1463255191302647818</t>
  </si>
  <si>
    <t>@drfahrettinkoca Olay sadece bundan ibaret ... https://t.co/8KaPzz0kAX</t>
  </si>
  <si>
    <t>1463254893045628944</t>
  </si>
  <si>
    <t>@drfahrettinkoca Bakan bey ilkokul dönemlerinde okuduğum cin Ali kitaplarına, komik çocuk fıkralarına bile gülmedim… https://t.co/T0qzHRdCjv</t>
  </si>
  <si>
    <t>1463253962736422922</t>
  </si>
  <si>
    <t>@drfahrettinkoca Covid 19 PCR testiyle var edilen bir hastalıktır. Yüzümüze dokunmamız olmayan bir hastalığın bulaş… https://t.co/0kELJYQWzN</t>
  </si>
  <si>
    <t>1463253923540647936</t>
  </si>
  <si>
    <t>@drfahrettinkoca yarın akşam öğretmenler dip dibe yemek yiyecek</t>
  </si>
  <si>
    <t>1463253864040251398</t>
  </si>
  <si>
    <t>@drfahrettinkoca Solunumda almayalım. Memleket battı bu hala 3 kuruşluk maske derdinde. O deney sıvılarına yatırdığ… https://t.co/QcG4Csm0Ax</t>
  </si>
  <si>
    <t>1463253656740978689</t>
  </si>
  <si>
    <t>@drfahrettinkoca Türk milleti size ne yaptı, bu milletten neyin acısını çıkarıyorsunuz, illa deneye katılın diyerek… https://t.co/1QiBcKNXDf</t>
  </si>
  <si>
    <t>1463253574352314370</t>
  </si>
  <si>
    <t>@drfahrettinkoca 🤦🏻‍♀️🤦🏻‍♀️🤦🏻‍♀️🤦🏻‍♀️🤦🏻‍♀️🤦🏻‍♀️🤦🏻‍♀️</t>
  </si>
  <si>
    <t>1463253557747007495</t>
  </si>
  <si>
    <t>@drfahrettinkoca Almanyada haftalardir Aşı patlamasi oluyor, yani Aşı olanlar hastahanelerde yoğun bakimlarda yatıy… https://t.co/oL9f0MD9HJ</t>
  </si>
  <si>
    <t>1463253481544953870</t>
  </si>
  <si>
    <t>@drfahrettinkoca Bu Profesörümüz koruma sağladığını unutmamamız gereken maskelerde ne gördü acaba? https://t.co/6mAxGcGk9u</t>
  </si>
  <si>
    <t>1463252809416167426</t>
  </si>
  <si>
    <t>@drfahrettinkoca Fahrettin istifa et senin suçun bu halimiz yeter !!</t>
  </si>
  <si>
    <t>1463251436842717184</t>
  </si>
  <si>
    <t>@drfahrettinkoca Sayın bakanım zaten zorlu şartlardan geçiyoruz birde sağlığımız elden gitmesin zaten üzülüyoruz bi… https://t.co/ESqlFhMb9f</t>
  </si>
  <si>
    <t>1463250762037923848</t>
  </si>
  <si>
    <t>@drfahrettinkoca Rahmetli Saglik Bakani Osman Durmus A$İ icin sozleri bizim insanimiz DENEK olarak kullanilacaktir… https://t.co/GiSaf5nXKy</t>
  </si>
  <si>
    <t>1463250229516550159</t>
  </si>
  <si>
    <t>@drfahrettinkoca Avrupa bir bir kısıtlamalara gidiyorken biz neyimize güvenip tam gaz maskesiz, mesafesiz, hijyensi… https://t.co/DdV7Jppq5e</t>
  </si>
  <si>
    <t>1463249341716520970</t>
  </si>
  <si>
    <t>@drfahrettinkoca Olm herif harbi taş taş geçiyor bizle, yine yüzey goygoyuna dönmüş 😀😀</t>
  </si>
  <si>
    <t>1463249303057620992</t>
  </si>
  <si>
    <t>@drfahrettinkoca Aşıya rağmen bu vakalar halen neden artıyor bunu da bu insanlar ne zaman sorgulayacak</t>
  </si>
  <si>
    <t>1463249237236408320</t>
  </si>
  <si>
    <t>@drfahrettinkoca Hocam Bunun Bir tek yolu Karantina Bakın nice büyük Dünyaca meşhur gelmiş geçmiş Alimler doktorlar… https://t.co/I7gWwjo8S8</t>
  </si>
  <si>
    <t>1463249150766723081</t>
  </si>
  <si>
    <t>@drfahrettinkoca Tarih sizi hic iyi yazmayacak.</t>
  </si>
  <si>
    <t>1463249006591684615</t>
  </si>
  <si>
    <t>@drfahrettinkoca Senden, ecüğünden cücüğünden, kurtulmadığımız sürece bu ülke gün yüzü görmeyecek anlaşıldı...</t>
  </si>
  <si>
    <t>1463248994491154438</t>
  </si>
  <si>
    <t>@drfahrettinkoca Paradan da bulaşıyordu demi onu unutmuşsunuz araştırmalara göre dolardan bulaşmıyormuş</t>
  </si>
  <si>
    <t>1463248638650589185</t>
  </si>
  <si>
    <t>@drfahrettinkoca https://t.co/lZoHel8Xwh</t>
  </si>
  <si>
    <t>1463248523567247365</t>
  </si>
  <si>
    <t>@drfahrettinkoca Sahiden unuttuk sayın bakan, bu virüs cam yüzeylerde ne kadar, çelikte ne kadar alüminyumda ne kad… https://t.co/HJvOd5oBJG</t>
  </si>
  <si>
    <t>1463248491195551753</t>
  </si>
  <si>
    <t>@drfahrettinkoca Istifa edin! Sizin yuzunuzden ulke perisan ! Derhal istifa edin! 1 gun kapanma bile ne maliyetli!… https://t.co/9U1D3KCkNA</t>
  </si>
  <si>
    <t>1463248192934490123</t>
  </si>
  <si>
    <t>@drfahrettinkoca Okullar açıldı acilali oglum hastaydi çünkü maske takmaya başladı ve ortam kalabalık.bas dönmesi b… https://t.co/d1of0GHpQT</t>
  </si>
  <si>
    <t>1463248178979950593</t>
  </si>
  <si>
    <t>@drfahrettinkoca Hani yüzeylerden bulaşmıyordu ? Yeni bir varyant mı çıktı Sn. Bakan 🤔</t>
  </si>
  <si>
    <t>1463248166703280132</t>
  </si>
  <si>
    <t>@drfahrettinkoca Aaa Aşı olun dememiş 😀</t>
  </si>
  <si>
    <t>1463247884934123531</t>
  </si>
  <si>
    <t>@drfahrettinkoca Millet size itimat etmiyor İSTİFA EDİN KURTULALIM</t>
  </si>
  <si>
    <t>1463247792214794242</t>
  </si>
  <si>
    <t>@drfahrettinkoca Bir sus yahu</t>
  </si>
  <si>
    <t>1463247317952348169</t>
  </si>
  <si>
    <t>@drfahrettinkoca Ekonomi batmış bu hala maske derdinde aç insan için maskenin çok da önemi yok</t>
  </si>
  <si>
    <t>1463247243411173378</t>
  </si>
  <si>
    <t>@drfahrettinkoca 3. Doz olmak için 6 ayin dolmasini beklemek zorunda mıyız 3 doz adımızı yaptiralim bir an önce</t>
  </si>
  <si>
    <t>1463246866183856129</t>
  </si>
  <si>
    <t>@drfahrettinkoca Yeter artık yaa. Bıktım senin bu haritandan. Tüm kanallarda bu haritayı ve sizi görmekten sıkıldım… https://t.co/CbYUPXlOro</t>
  </si>
  <si>
    <t>1463246761741463560</t>
  </si>
  <si>
    <t>@drfahrettinkoca en son çalışmada yüzeylerden bulaşın olmadığı söylenmişti yeniden mi hortladı?</t>
  </si>
  <si>
    <t>1463246647828299780</t>
  </si>
  <si>
    <t>1463246429762301965</t>
  </si>
  <si>
    <t>@drfahrettinkoca Memleketin içine ettin,defol git artık yaaa,bela mısın sen</t>
  </si>
  <si>
    <t>1463246353375674372</t>
  </si>
  <si>
    <t>@drfahrettinkoca Insanın biraz utanması olur,türküye Şu an ne halde millet sokağa çıkmış yürüyor Sen hala kalkmış m… https://t.co/9rYKuFrgZn</t>
  </si>
  <si>
    <t>1463245890651660300</t>
  </si>
  <si>
    <t>@drfahrettinkoca Milletle dalga geçmeyi bırakın artık. Stadları bile tam kapasite açtınız. Milletin iç içe bulunaca… https://t.co/7AeJS8r2jR</t>
  </si>
  <si>
    <t>1463245875036266500</t>
  </si>
  <si>
    <t>@drfahrettinkoca Ne azimli adammışsın yavaş yavaş çaktırmadan hükumeti bitirdin 😀😃</t>
  </si>
  <si>
    <t>1463245647558103049</t>
  </si>
  <si>
    <t>@drfahrettinkoca Sn Bakanım, okullarda 1 katta bulunan lavabo, sınıf, öğrenci sayısı dikkate alındığında el yıkamak… https://t.co/gCxbh5aUiP</t>
  </si>
  <si>
    <t>1463245527525507083</t>
  </si>
  <si>
    <t>@drfahrettinkoca Bakanım böyle açıklamalara biraz ara verseniz zannımca daha iyi olacak haftada bir olsun yeterli,… https://t.co/pXdDsY8Ipv</t>
  </si>
  <si>
    <t>1463245276500615173</t>
  </si>
  <si>
    <t>@drfahrettinkoca Fahrettin koca sen kendi ülkesine en büyük zararı veren bir insansın</t>
  </si>
  <si>
    <t>1463245227049857031</t>
  </si>
  <si>
    <t>@drfahrettinkoca Aşıdan bahsetmemişsiniz.ilginç</t>
  </si>
  <si>
    <t>1463245216488505367</t>
  </si>
  <si>
    <t>@drfahrettinkoca Allah bildiği gibi yapsın.</t>
  </si>
  <si>
    <t>1463245114508259334</t>
  </si>
  <si>
    <t>@drfahrettinkoca Bak sizin tavsiyeci Proflarin da ekonomik sabrı kalmamış  😀 https://t.co/S2b7ucmkus</t>
  </si>
  <si>
    <t>1463245042366259201</t>
  </si>
  <si>
    <t>@drfahrettinkoca Sn bakanım kim takıyorki maske  kim dikkatnediyorki</t>
  </si>
  <si>
    <t>1463244515435757568</t>
  </si>
  <si>
    <t>@drfahrettinkoca fahrettin bey sürü bağışıklığı kazanacağımızı söylüyordunuz! tarihi geçmiş ilaçlarlamı kazanacağız… https://t.co/SYCAOhWYGq</t>
  </si>
  <si>
    <t>1463244313329086467</t>
  </si>
  <si>
    <t>@drfahrettinkoca Ya sen nasıl bos bı insansın ülke kaynıyor yoksulluk salgını heryeri sarmış sen hala olmayan salgı… https://t.co/J3riagn1MR</t>
  </si>
  <si>
    <t>1463243736842911746</t>
  </si>
  <si>
    <t>@drfahrettinkoca Hani %95 e ne oldu sayın bakan  tozu hawayı geçiren 1 tl lik  mask mı koruyacak !</t>
  </si>
  <si>
    <t>1463243318561808384</t>
  </si>
  <si>
    <t>@drfahrettinkoca Ya bi susun ya</t>
  </si>
  <si>
    <t>1463243274790096901</t>
  </si>
  <si>
    <t>@drfahrettinkoca Bilim Kurulu üyesi Bengi Başer öyle demior ama https://t.co/ORa8Yn6Cyn</t>
  </si>
  <si>
    <t>1463243224751955973</t>
  </si>
  <si>
    <t>@drfahrettinkoca vakalar eğitimli mi hocam? 30 bini geçmiyor maşallah.</t>
  </si>
  <si>
    <t>1463243157861244934</t>
  </si>
  <si>
    <t>@drfahrettinkoca Ya bi dur zaten ortalık karışık</t>
  </si>
  <si>
    <t>1463243053976719365</t>
  </si>
  <si>
    <t>@drfahrettinkoca Hep aynı nakarat..Bir günde şöyle bir yazı yazın.Denedik, anladık virüs bağışıklık kazandı..Maskes… https://t.co/bgnNgycP7X</t>
  </si>
  <si>
    <t>1463242648282669057</t>
  </si>
  <si>
    <t>@drfahrettinkoca Bu önlemler griptede vardı -Yalnız maske çok tehlikeli -maskeyle WC ye girenler var ve madem ölümc… https://t.co/Ji11h4xECH</t>
  </si>
  <si>
    <t>1463242592464875534</t>
  </si>
  <si>
    <t>@drfahrettinkoca Arkadaş fahrettin başkan hakkını helal et seni görünce azrail görmüş gibi oluyorum şu öldü bu dire… https://t.co/E64DDHzJc3</t>
  </si>
  <si>
    <t>1463241743223214088</t>
  </si>
  <si>
    <t>@drfahrettinkoca https://t.co/8ltbSp420T</t>
  </si>
  <si>
    <t>1463241729059041280</t>
  </si>
  <si>
    <t>@drfahrettinkoca Mahalle yanarken ........ saçını tararmış!!!</t>
  </si>
  <si>
    <t>1463241680656769030</t>
  </si>
  <si>
    <t>@drfahrettinkoca Senin yüzünden bu ülkenin ekonomisi darbe yedi hala çıkıp aşı diyorsun, gerçekten sıktın artık ist… https://t.co/hlOifgk7uo</t>
  </si>
  <si>
    <t>1463241581511811075</t>
  </si>
  <si>
    <t>@drfahrettinkoca Yine vakalar arttı tatilden sonra şunu bilin ki bu açtığınız okulda öğrencilerin maskesi dışında b… https://t.co/qDvedk3qGy</t>
  </si>
  <si>
    <t>1463241575383846916</t>
  </si>
  <si>
    <t>@drfahrettinkoca Heh Fahrettin bey işte bu zamanla 60 bin vaka olduğunu paylaşırsınız diye bekliyoruz</t>
  </si>
  <si>
    <t>1463240947664396296</t>
  </si>
  <si>
    <t>@drfahrettinkoca Atana bekliyoruz</t>
  </si>
  <si>
    <t>1463264068173803523</t>
  </si>
  <si>
    <t>@drfahrettinkoca https://t.co/Vual8YSwst</t>
  </si>
  <si>
    <t>1463263000127811587</t>
  </si>
  <si>
    <t>@drfahrettinkoca Boş konuşuyorsunuz..</t>
  </si>
  <si>
    <t>1463258448901070851</t>
  </si>
  <si>
    <t>@drfahrettinkoca Yaaa sen bakannn sen</t>
  </si>
  <si>
    <t>1462926087588130821</t>
  </si>
  <si>
    <t>@drfahrettinkoca Abdulhamit GÜL... Kapalıdaki insanlar da #TC Vatandaşı  Onlarında bu ülkede #yaşam hakkı  Adına… https://t.co/ZbcBaLpBdG</t>
  </si>
  <si>
    <t>1462917036531662850</t>
  </si>
  <si>
    <t>@drfahrettinkoca Almanca kursuna başlıyorum vatana millete hayırlı olsun</t>
  </si>
  <si>
    <t>1462916521567653889</t>
  </si>
  <si>
    <t>@drfahrettinkoca KIRIKKALE DE DİŞ HASTANELERİ SADECE DİŞ ÇEKİYOR İKİ SENEYE YAKINDIR. TEDAVİ ÖZELDEMİ OLACAK. ÖZELE PARAYI NEREDEN BULALIM.</t>
  </si>
  <si>
    <t>1462912682361765901</t>
  </si>
  <si>
    <t>@drfahrettinkoca ALLAH ü teala Devletimize zeval vermesin, gücümüze güç katsın, tüm sıkıntılarımızı gidersin, birli… https://t.co/haGslunHWX</t>
  </si>
  <si>
    <t>1462912115371618307</t>
  </si>
  <si>
    <t>@drfahrettinkoca Hekimler mutsuz</t>
  </si>
  <si>
    <t>1462912090549760011</t>
  </si>
  <si>
    <t>1462907920639791108</t>
  </si>
  <si>
    <t>@drfahrettinkoca Sana inanıp güvenmediğim için zerre kadar saygım itimadım kalmadığı için, benim adıma kutlama!! Be… https://t.co/SkGgjxIcqi</t>
  </si>
  <si>
    <t>1462904032339574798</t>
  </si>
  <si>
    <t>@drfahrettinkoca Secilmiş insanlar, su acı çeken çocukları ve ızdırap içinde ki aileleri görüpte nasıl rahat uyuyor… https://t.co/lKZAv2bTLo</t>
  </si>
  <si>
    <t>1462903956284313606</t>
  </si>
  <si>
    <t>@drfahrettinkoca Önümüzdeki ilk alımda ADS 1000 kadro şart diş hastanelerinde yoğunluk çok tekniker yok  @drfahrettinkoca</t>
  </si>
  <si>
    <t>1462899833681895425</t>
  </si>
  <si>
    <t>@drfahrettinkoca Salgın sürecinde kapalı olan ADSM ler açılmaya başlandı Oluşacak yoğunluğu profesyonellikle yönete… https://t.co/T0ddIraqqV</t>
  </si>
  <si>
    <t>1462895389086990336</t>
  </si>
  <si>
    <t>@drfahrettinkoca 12bin kişilik alımda 23 kişilik kadro 25bin üstü ağız diş teknikeri için yeterli değildir Daha adi… https://t.co/Q0MXtqSqtA</t>
  </si>
  <si>
    <t>1462895321776807941</t>
  </si>
  <si>
    <t>@drfahrettinkoca sus ltfn</t>
  </si>
  <si>
    <t>1462894000256528385</t>
  </si>
  <si>
    <t>@drfahrettinkoca randevu alamiyoruz</t>
  </si>
  <si>
    <t>1462893840512208899</t>
  </si>
  <si>
    <t>@drfahrettinkoca kutlu olsun.🇹🇷🇹🇷🇹🇷</t>
  </si>
  <si>
    <t>1462893389054099456</t>
  </si>
  <si>
    <t>@drfahrettinkoca #EYT</t>
  </si>
  <si>
    <t>1462889268775378959</t>
  </si>
  <si>
    <t>@drfahrettinkoca Nerdeeeeee Onda o yüz var mı Ölüm ilaçlarının hesabını vereceğine hala dağıtıyo  Bakkallıktan ,1 m… https://t.co/SeXQhUcbq0</t>
  </si>
  <si>
    <t>1462887738374561800</t>
  </si>
  <si>
    <t>@drfahrettinkoca Çaresiz bir kadın, bir anne, canına kıymış dün... SMA hastası 1 bebek annesi!!! Evladını tedavi et… https://t.co/9gSUpcv32M</t>
  </si>
  <si>
    <t>1462887557549768707</t>
  </si>
  <si>
    <t>@drfahrettinkoca Denek bebeklere ne oldu?</t>
  </si>
  <si>
    <t>1462886745519931398</t>
  </si>
  <si>
    <t>@drfahrettinkoca 1,5 yıldır 2 dişimi kaybetmekten başka bir de dolgu yaptırdım.Dolgu dediysem, kıytırıktan yapmışla… https://t.co/SFkQTaQ9yI</t>
  </si>
  <si>
    <t>1462885904859680768</t>
  </si>
  <si>
    <t>@drfahrettinkoca Ağız ve diş teknikerlerini de unutmayın</t>
  </si>
  <si>
    <t>1462885854062460931</t>
  </si>
  <si>
    <t>@drfahrettinkoca Sn bakanim k.maras diş hastahanesinden 2 haftaya randevu zor aliniyor calisan hekimlerde maalesefk… https://t.co/ryVbvePM7u</t>
  </si>
  <si>
    <t>1462885400679227395</t>
  </si>
  <si>
    <t>@drfahrettinkoca O kadar umrunuzdaki diş hekimleri bu saatte mesaj gönderiyorsunuz. Titiz olan diş hekimlerinin hiç… https://t.co/WjugLOZPTC</t>
  </si>
  <si>
    <t>1462885282181795853</t>
  </si>
  <si>
    <t>@drfahrettinkoca AĞIZ VE DİŞ SAĞLIĞI TEKNİKERLERİ olarak; Bilgi ve donamımızı kullanıp, ADSM lerin kalitesini arttı… https://t.co/ZbQgBvhCXB</t>
  </si>
  <si>
    <t>1462885130473807877</t>
  </si>
  <si>
    <t>@drfahrettinkoca Salgın sürecinde kapalı olan ADSM ler açılmaya başlandı Oluşacak yoğunluğu profesyonellikle yönete… https://t.co/BzNbRsYVAJ</t>
  </si>
  <si>
    <t>1462884908955844611</t>
  </si>
  <si>
    <t>@drfahrettinkoca Ağız ve diş sağlığı koruyucu önlemler konusunda, alanında eğitim almış Ağız ve diş sağlığı teknike… https://t.co/4rt8MF97xr</t>
  </si>
  <si>
    <t>1462884832124588036</t>
  </si>
  <si>
    <t>@drfahrettinkoca Sn bakanım Allah belanı versin</t>
  </si>
  <si>
    <t>1462883385131548673</t>
  </si>
  <si>
    <t>@drfahrettinkoca Ağız ve Diş Sağlığı Teknikerleri adına bol kadrolu kılavuzu yayınlamanizi bekliyoruz bakanım  haft… https://t.co/eU7APRFQix</t>
  </si>
  <si>
    <t>1462882664172724232</t>
  </si>
  <si>
    <t>@drfahrettinkoca ▶ İşi layıkına teslim etmek kalkınmanın temel kuralıdır. ADSM leri Ağız ve diş sağlığı teknikerler… https://t.co/4Y4XVOM5jP</t>
  </si>
  <si>
    <t>1462882421037281280</t>
  </si>
  <si>
    <t>@drfahrettinkoca Ağız ve diş sağlığı teknikerleri atama bekliyor sayın bakanım. @drfahrettinkoca @drtolgatolunay @saglikbakanligi</t>
  </si>
  <si>
    <t>1462882340779216899</t>
  </si>
  <si>
    <t>@drfahrettinkoca Ağız ve diş sağlığı eğitimi veren üniversite sayısı:76 Ağız ve diş sağlığı bölümü yıllık mezunu:48… https://t.co/4JWFOJst68</t>
  </si>
  <si>
    <t>1462882280020582403</t>
  </si>
  <si>
    <t>@drfahrettinkoca Bende tüm hekimlerin ve biricik kızımın #DişHekimleriGünü nü kutlarım nice başarılı günlere @özggcc https://t.co/W6evF3jSEp</t>
  </si>
  <si>
    <t>1462881971097554946</t>
  </si>
  <si>
    <t>@drfahrettinkoca Binbir zahmetle okuyup mezun olan Ağız ve Diş Teknikerleri yüksek puanlarla ortada kalmak istemiyo… https://t.co/iLhYc93ZAE</t>
  </si>
  <si>
    <t>1462880962476396544</t>
  </si>
  <si>
    <t>@drfahrettinkoca Hekiminden asistanına, protez teknikerinden sekreterine tüm diş sağlığı çalışanlarının günü kutlu… https://t.co/XkzmXoUa48</t>
  </si>
  <si>
    <t>1462880749267435528</t>
  </si>
  <si>
    <t>@drfahrettinkoca Hakkaten  hastaya, halka davranışları çok titiz. Siz bunlara bakarak ülkeyi ne hale getirdiniz...… https://t.co/TgqfYNHL8Z</t>
  </si>
  <si>
    <t>1462880694401740800</t>
  </si>
  <si>
    <t>@drfahrettinkoca Keske diş hekimi randevusu alabilsekte bizde yuzyuze kutlasak.</t>
  </si>
  <si>
    <t>1462880647404523530</t>
  </si>
  <si>
    <t>@drfahrettinkoca Ağız ve diş sagligindaki önlemi artırmak istiyorsanız dişi çürüten daha doğrusu insanı hastalandir… https://t.co/wXGcLjZg4Q</t>
  </si>
  <si>
    <t>1462880634054103046</t>
  </si>
  <si>
    <t>@drfahrettinkoca Her atama da Ağız ve Diş Teknikerleri ne  %2lik kontenjan verilmektedir ve bunun sonucunda KPSS de… https://t.co/gBvXfIXBKa</t>
  </si>
  <si>
    <t>1462880396329242625</t>
  </si>
  <si>
    <t>@drfahrettinkoca MHRS den diş e randevu alamıyoruz aylardır.</t>
  </si>
  <si>
    <t>1462880154536091652</t>
  </si>
  <si>
    <t>@drfahrettinkoca 12bin kişilik alımda 23 kişilik kadro 25bin üstü ağız diş teknikeri için yeterli değildir Daha adi… https://t.co/FeDGsvAFDX</t>
  </si>
  <si>
    <t>1462879980652748801</t>
  </si>
  <si>
    <t>@drfahrettinkoca Diğer bölümlerin aksine hastanesi olan tek bölümüz 81 ilin tamamında 1den fazla ADSM var ama gelin… https://t.co/80Lckb08P3</t>
  </si>
  <si>
    <t>1462879789828747269</t>
  </si>
  <si>
    <t>@drfahrettinkoca Kenevirden de buluşları olan böyle doktorları hiç  Soykırımcıların oturduğu koltuğa oturturlar mı… https://t.co/y2orPkP5Lh</t>
  </si>
  <si>
    <t>1462879746723831813</t>
  </si>
  <si>
    <t>@drfahrettinkoca Ağız ve Diş Sağlığı Teknikerleri kendi alanlarında uzman ve diplomalı SAĞLIKÇILARDIR Artık sertifi… https://t.co/RS1gDlCOnw</t>
  </si>
  <si>
    <t>1462879702180413451</t>
  </si>
  <si>
    <t>@drfahrettinkoca Gözüm ne sizi ne de plandemi kurulunu görmek istemiyor. Hayattan bezdirdiniz!</t>
  </si>
  <si>
    <t>1462879652117106699</t>
  </si>
  <si>
    <t>@drfahrettinkoca Ağız diş sağlığına kadro istiyoruz</t>
  </si>
  <si>
    <t>1462879530432008193</t>
  </si>
  <si>
    <t>@drfahrettinkoca Umarım 18 Aralık Sağlık Yöneticileri Gününü de kutlar ve sağlık yönetimi bölümüne hak ettiği değer… https://t.co/A4EM88FmTR</t>
  </si>
  <si>
    <t>1462879488291844103</t>
  </si>
  <si>
    <t>@drfahrettinkoca Adsm ye ağız diş sağlığı atayın hemşire değil</t>
  </si>
  <si>
    <t>1462879283794399245</t>
  </si>
  <si>
    <t>@drfahrettinkoca Ağız diş sağlığına 1000 kadro istiyoruz</t>
  </si>
  <si>
    <t>1462878681328726028</t>
  </si>
  <si>
    <t>@drfahrettinkoca Ağız diş sağlığı teknikerleri artık yüksek kadro istiyor</t>
  </si>
  <si>
    <t>1462878549602443264</t>
  </si>
  <si>
    <t>@drfahrettinkoca Hocam sağlık ocaklarında vitamin testlerini kaldırmışsınız 😡bugün 200 tl verip d vitamini testi ya… https://t.co/Rh3Y6qrYap</t>
  </si>
  <si>
    <t>1462878426830942208</t>
  </si>
  <si>
    <t>@drfahrettinkoca Ağız dişe 1000 kadro</t>
  </si>
  <si>
    <t>1462878406236938249</t>
  </si>
  <si>
    <t>@drfahrettinkoca Ağız ve diş sağlığı teknikerleri de atama bekliyor sayın bakanım</t>
  </si>
  <si>
    <t>1462878337521573892</t>
  </si>
  <si>
    <t>@drfahrettinkoca Ağız dişe atama</t>
  </si>
  <si>
    <t>1462878246094221320</t>
  </si>
  <si>
    <t>@drfahrettinkoca Ağız diş sağlığına +1000 kadro</t>
  </si>
  <si>
    <t>1462878212908892164</t>
  </si>
  <si>
    <t>@drfahrettinkoca Artık aşıları durdurun! Aşılardan daha fazla insan ölmesin! *** Nüfus Azaltma Gündemi – Çoğu Aşıla… https://t.co/6JU3qLwkkN</t>
  </si>
  <si>
    <t>1462878181216722946</t>
  </si>
  <si>
    <t>@drfahrettinkoca Ağız diş sağlığı teknikerleri atama bekliyor</t>
  </si>
  <si>
    <t>1462878137377857537</t>
  </si>
  <si>
    <t>@drfahrettinkoca Ağız diş sağlığı teknikerlerine adil kadro</t>
  </si>
  <si>
    <t>1462878046818549776</t>
  </si>
  <si>
    <t>@drfahrettinkoca İki senedir alım yapmıyorsunuz ağız ve diş sağlığı teknikerleri atama bekliyor</t>
  </si>
  <si>
    <t>1462878000437944320</t>
  </si>
  <si>
    <t>@drfahrettinkoca Ağız diş sağlığı teknikerleri +1000 kadro bekliyor</t>
  </si>
  <si>
    <t>1462877920364486660</t>
  </si>
  <si>
    <t>@drfahrettinkoca @sma_talha Bir Anne ve Babaya Oğlunuzun Yaşaması İçin Hayal edemeyeceğiniz Paranızın Olması Gerek… https://t.co/x6zNEd7l7q</t>
  </si>
  <si>
    <t>1462877732833009671</t>
  </si>
  <si>
    <t>@drfahrettinkoca Koruyucu önlemleri koronada niye göstermediniz. Düzindlerce ilacı insanların boğazına tıkıp öldürd… https://t.co/UpWFkvHXBl</t>
  </si>
  <si>
    <t>1462876329922244615</t>
  </si>
  <si>
    <t>@drfahrettinkoca E diş yaptırırken hem ağız ağıza oluyoruz hemde hasta maske takmamak zorunda. Olmaz öyle. Emir ver… https://t.co/61VMJhW1t6</t>
  </si>
  <si>
    <t>1462875996160417792</t>
  </si>
  <si>
    <t>@drfahrettinkoca Sahte salginla zehirli aşılarla ve haplarla milletin iflahını  kestin iflahını</t>
  </si>
  <si>
    <t>1462875329559777280</t>
  </si>
  <si>
    <t>@drfahrettinkoca Sayin bakanim Bugün bi hastam sizden önce kutladı. Hastaydım öksürük krizine girmiştim muayene olm… https://t.co/RicvyScWCj</t>
  </si>
  <si>
    <t>1462874174200979467</t>
  </si>
  <si>
    <t>@drfahrettinkoca #Evdehastabakım1000kadro Sayın bakanım büyük alimda eşit dağılım istiyoruz evde saglik. birimlerin… https://t.co/stG1zuWSMS</t>
  </si>
  <si>
    <t>1462874004398694402</t>
  </si>
  <si>
    <t>1462874000854560778</t>
  </si>
  <si>
    <t>@drfahrettinkoca @drfahrettinkoca  @RtradeCn</t>
  </si>
  <si>
    <t>1462873820495233026</t>
  </si>
  <si>
    <t>@drfahrettinkoca 12bin kişilik alımda 23 kişilik kadro 25bin üstü ağız diş teknikeri için yeterli değildir Daha adi… https://t.co/4bh5FgqS8J</t>
  </si>
  <si>
    <t>1462873684926992394</t>
  </si>
  <si>
    <t>@drfahrettinkoca 12bin kişilik alımda 23 kişilik kadro 25bin üstü ağız diş teknikeri için yeterli değildir Daha adi… https://t.co/Da1gIYuTVT</t>
  </si>
  <si>
    <t>1462873683442208769</t>
  </si>
  <si>
    <t>@drfahrettinkoca 12bin kişilik alımda 23 kişilik kadro 25bin üstü ağız diş teknikeri için yeterli değildir Daha adi… https://t.co/lG9E9XoOk6</t>
  </si>
  <si>
    <t>1462873682011951107</t>
  </si>
  <si>
    <t>@drfahrettinkoca 12bin kişilik alımda 23 kişilik kadro 25bin üstü ağız diş teknikeri için yeterli değildir Daha adi… https://t.co/PKnANsq0HE</t>
  </si>
  <si>
    <t>1462873680501956610</t>
  </si>
  <si>
    <t>@drfahrettinkoca 12bin kişilik alımda 23 kişilik kadro 25bin üstü ağız diş teknikeri için yeterli değildir Daha adi… https://t.co/b8Q6ZszayA</t>
  </si>
  <si>
    <t>1462873644355534851</t>
  </si>
  <si>
    <t>@drfahrettinkoca 12bin kişilik alımda 23 kişilik kadro 25bin üstü ağız diş teknikeri için yeterli değildir Daha adi… https://t.co/2GcYsOJbRV</t>
  </si>
  <si>
    <t>1462873642518429710</t>
  </si>
  <si>
    <t>@drfahrettinkoca 12bin kişilik alımda 23 kişilik kadro 25bin üstü ağız diş teknikeri için yeterli değildir Daha adi… https://t.co/AjnDJToCuf</t>
  </si>
  <si>
    <t>1462873641004277765</t>
  </si>
  <si>
    <t>@drfahrettinkoca 12bin kişilik alımda 23 kişilik kadro 25bin üstü ağız diş teknikeri için yeterli değildir Daha adi… https://t.co/2SXQJZjJR9</t>
  </si>
  <si>
    <t>1462873639590707203</t>
  </si>
  <si>
    <t>@drfahrettinkoca 12bin kişilik alımda 23 kişilik kadro 25bin üstü ağız diş teknikeri için yeterli değildir Daha adi… https://t.co/sOVibCbbFP</t>
  </si>
  <si>
    <t>1462873597156937740</t>
  </si>
  <si>
    <t>@drfahrettinkoca 12bin kişilik alımda 23 kişilik kadro 25bin üstü ağız diş teknikeri için yeterli değildir Daha adi… https://t.co/gdGv3j6fXE</t>
  </si>
  <si>
    <t>1462873595462434819</t>
  </si>
  <si>
    <t>@drfahrettinkoca 12bin kişilik alımda 23 kişilik kadro 25bin üstü ağız diş teknikeri için yeterli değildir Daha adi… https://t.co/NNlGdxReQ6</t>
  </si>
  <si>
    <t>1462873593906438144</t>
  </si>
  <si>
    <t>@drfahrettinkoca 12bin kişilik alımda 23 kişilik kadro 25bin üstü ağız diş teknikeri için yeterli değildir Daha adi… https://t.co/I0jBeP3A1f</t>
  </si>
  <si>
    <t>1462873592421625863</t>
  </si>
  <si>
    <t>@drfahrettinkoca 12bin kişilik alımda 23 kişilik kadro 25bin üstü ağız diş teknikeri için yeterli değildir Daha adi… https://t.co/VE1QjPnEcp</t>
  </si>
  <si>
    <t>1462873567788474369</t>
  </si>
  <si>
    <t>@drfahrettinkoca 12bin kişilik alımda 23 kişilik kadro 25bin üstü ağız diş teknikeri için yeterli değildir Daha adi… https://t.co/33upBaNBP4</t>
  </si>
  <si>
    <t>1462873566060363780</t>
  </si>
  <si>
    <t>@drfahrettinkoca 12bin kişilik alımda 23 kişilik kadro 25bin üstü ağız diş teknikeri için yeterli değildir Daha adi… https://t.co/bb3SIHfyc2</t>
  </si>
  <si>
    <t>1462873564542029829</t>
  </si>
  <si>
    <t>@drfahrettinkoca 12bin kişilik alımda 23 kişilik kadro 25bin üstü ağız diş teknikeri için yeterli değildir Daha adi… https://t.co/9r6HX1ohKY</t>
  </si>
  <si>
    <t>1462873562910535694</t>
  </si>
  <si>
    <t>@drfahrettinkoca 12bin kişilik alımda 23 kişilik kadro 25bin üstü ağız diş teknikeri için yeterli değildir Daha adi… https://t.co/oU0OJXByMP</t>
  </si>
  <si>
    <t>1462873534628352005</t>
  </si>
  <si>
    <t>@drfahrettinkoca 12bin kişilik alımda 23 kişilik kadro 25bin üstü ağız diş teknikeri için yeterli değildir Daha adi… https://t.co/5e7klZ8A0p</t>
  </si>
  <si>
    <t>1462873533126688774</t>
  </si>
  <si>
    <t>@drfahrettinkoca 12bin kişilik alımda 23 kişilik kadro 25bin üstü ağız diş teknikeri için yeterli değildir Daha adi… https://t.co/DTc5F04Wtm</t>
  </si>
  <si>
    <t>1462873531650392076</t>
  </si>
  <si>
    <t>@drfahrettinkoca 12bin kişilik alımda 23 kişilik kadro 25bin üstü ağız diş teknikeri için yeterli değildir Daha adi… https://t.co/bcb45wgh2q</t>
  </si>
  <si>
    <t>1462873530266234890</t>
  </si>
  <si>
    <t>@drfahrettinkoca 12bin kişilik alımda 23 kişilik kadro 25bin üstü ağız diş teknikeri için yeterli değildir Daha adi… https://t.co/IurDeM8jWC</t>
  </si>
  <si>
    <t>1462873487274647555</t>
  </si>
  <si>
    <t>@drfahrettinkoca 12bin kişilik alımda 23 kişilik kadro 25bin üstü ağız diş teknikeri için yeterli değildir Daha adi… https://t.co/raGpVRsItn</t>
  </si>
  <si>
    <t>1462873485651419137</t>
  </si>
  <si>
    <t>@drfahrettinkoca 12bin kişilik alımda 23 kişilik kadro 25bin üstü ağız diş teknikeri için yeterli değildir Daha adi… https://t.co/uDnhBKJN3r</t>
  </si>
  <si>
    <t>1462873484191752193</t>
  </si>
  <si>
    <t>@drfahrettinkoca 12bin kişilik alımda 23 kişilik kadro 25bin üstü ağız diş teknikeri için yeterli değildir Daha adi… https://t.co/y87jlhwTO8</t>
  </si>
  <si>
    <t>1462873482723741698</t>
  </si>
  <si>
    <t>@drfahrettinkoca 12bin kişilik alımda 23 kişilik kadro 25bin üstü ağız diş teknikeri için yeterli değildir Daha adi… https://t.co/8YxDWXM0oY</t>
  </si>
  <si>
    <t>1462873452017246212</t>
  </si>
  <si>
    <t>@drfahrettinkoca 12bin kişilik alımda 23 kişilik kadro 25bin üstü ağız diş teknikeri için yeterli değildir Daha adi… https://t.co/NJV3es5y0Q</t>
  </si>
  <si>
    <t>1462873450545131528</t>
  </si>
  <si>
    <t>@drfahrettinkoca 12bin kişilik alımda 23 kişilik kadro 25bin üstü ağız diş teknikeri için yeterli değildir Daha adi… https://t.co/5QaqgDHcom</t>
  </si>
  <si>
    <t>1462873449165111304</t>
  </si>
  <si>
    <t>@drfahrettinkoca 12bin kişilik alımda 23 kişilik kadro 25bin üstü ağız diş teknikeri için yeterli değildir Daha adi… https://t.co/dtZ4lw2uT6</t>
  </si>
  <si>
    <t>1462873447693008908</t>
  </si>
  <si>
    <t>@drfahrettinkoca 12bin kişilik alımda 23 kişilik kadro 25bin üstü ağız diş teknikeri için yeterli değildir Daha adi… https://t.co/mdmx6Zk9Jp</t>
  </si>
  <si>
    <t>1462873405615661063</t>
  </si>
  <si>
    <t>@drfahrettinkoca 12bin kişilik alımda 23 kişilik kadro 25bin üstü ağız diş teknikeri için yeterli değildir Daha adi… https://t.co/skXTvl1m8J</t>
  </si>
  <si>
    <t>1462873403866726402</t>
  </si>
  <si>
    <t>@drfahrettinkoca 12bin kişilik alımda 23 kişilik kadro 25bin üstü ağız diş teknikeri için yeterli değildir Daha adi… https://t.co/a6rcDOxSxq</t>
  </si>
  <si>
    <t>1462873402428043268</t>
  </si>
  <si>
    <t>@drfahrettinkoca 12bin kişilik alımda 23 kişilik kadro 25bin üstü ağız diş teknikeri için yeterli değildir Daha adi… https://t.co/Yvy8tj7lOr</t>
  </si>
  <si>
    <t>1462873401048064008</t>
  </si>
  <si>
    <t>@drfahrettinkoca 12bin kişilik alımda 23 kişilik kadro 25bin üstü ağız diş teknikeri için yeterli değildir Daha adi… https://t.co/JfcmJioLBD</t>
  </si>
  <si>
    <t>1462873371453145098</t>
  </si>
  <si>
    <t>@drfahrettinkoca 12bin kişilik alımda 23 kişilik kadro 25bin üstü ağız diş teknikeri için yeterli değildir Daha adi… https://t.co/FBev2qaQtE</t>
  </si>
  <si>
    <t>1462873369888624646</t>
  </si>
  <si>
    <t>@drfahrettinkoca 12bin kişilik alımda 23 kişilik kadro 25bin üstü ağız diş teknikeri için yeterli değildir Daha adi… https://t.co/Icsl4guzFb</t>
  </si>
  <si>
    <t>1462873368466710534</t>
  </si>
  <si>
    <t>@drfahrettinkoca 12bin kişilik alımda 23 kişilik kadro 25bin üstü ağız diş teknikeri için yeterli değildir Daha adi… https://t.co/WO0K46Rb8A</t>
  </si>
  <si>
    <t>1462873366986166275</t>
  </si>
  <si>
    <t>@drfahrettinkoca 12bin kişilik alımda 23 kişilik kadro 25bin üstü ağız diş teknikeri için yeterli değildir Daha adi… https://t.co/UCIRXvWH6W</t>
  </si>
  <si>
    <t>1462873322618818560</t>
  </si>
  <si>
    <t>@drfahrettinkoca 12bin kişilik alımda 23 kişilik kadro 25bin üstü ağız diş teknikeri için yeterli değildir Daha adi… https://t.co/b1U3oWKrYP</t>
  </si>
  <si>
    <t>1462873321150763011</t>
  </si>
  <si>
    <t>@drfahrettinkoca 12bin kişilik alımda 23 kişilik kadro 25bin üstü ağız diş teknikeri için yeterli değildir Daha adi… https://t.co/TQ8ypZvHQP</t>
  </si>
  <si>
    <t>1462873319846420484</t>
  </si>
  <si>
    <t>@drfahrettinkoca 12bin kişilik alımda 23 kişilik kadro 25bin üstü ağız diş teknikeri için yeterli değildir Daha adi… https://t.co/NP4ClyIH4x</t>
  </si>
  <si>
    <t>1462873318416130056</t>
  </si>
  <si>
    <t>@drfahrettinkoca 12bin kişilik alımda 23 kişilik kadro 25bin üstü ağız diş teknikeri için yeterli değildir Daha adi… https://t.co/Qdo1SQgGdt</t>
  </si>
  <si>
    <t>1462873274636017664</t>
  </si>
  <si>
    <t>@drfahrettinkoca 12bin kişilik alımda 23 kişilik kadro 25bin üstü ağız diş teknikeri için yeterli değildir Daha adi… https://t.co/MiJfSwAG9L</t>
  </si>
  <si>
    <t>1462873273079840771</t>
  </si>
  <si>
    <t>@drfahrettinkoca 12bin kişilik alımda 23 kişilik kadro 25bin üstü ağız diş teknikeri için yeterli değildir Daha adi… https://t.co/CrAS7YtSP0</t>
  </si>
  <si>
    <t>1462873271649587209</t>
  </si>
  <si>
    <t>@drfahrettinkoca 12bin kişilik alımda 23 kişilik kadro 25bin üstü ağız diş teknikeri için yeterli değildir Daha adi… https://t.co/xUeExQkc83</t>
  </si>
  <si>
    <t>1462873270240301062</t>
  </si>
  <si>
    <t>@drfahrettinkoca Salgın sürecinde kapalı olan ADSM ler açılmaya başlandı Oluşacak yoğunluğu profesyonellikle yönete… https://t.co/7S66p7LnDK</t>
  </si>
  <si>
    <t>1462873194172497921</t>
  </si>
  <si>
    <t>@drfahrettinkoca Salgın sürecinde kapalı olan ADSM ler açılmaya başlandı Oluşacak yoğunluğu profesyonellikle yönete… https://t.co/SRpvLZ9mb1</t>
  </si>
  <si>
    <t>1462873192679284739</t>
  </si>
  <si>
    <t>@drfahrettinkoca Salgın sürecinde kapalı olan ADSM ler açılmaya başlandı Oluşacak yoğunluğu profesyonellikle yönete… https://t.co/zXgltsELJT</t>
  </si>
  <si>
    <t>1462873191207030791</t>
  </si>
  <si>
    <t>@drfahrettinkoca Salgın sürecinde kapalı olan ADSM ler açılmaya başlandı Oluşacak yoğunluğu profesyonellikle yönete… https://t.co/qnMv4BQfQg</t>
  </si>
  <si>
    <t>1462873189684498448</t>
  </si>
  <si>
    <t>@drfahrettinkoca Salgın sürecinde kapalı olan ADSM ler açılmaya başlandı Oluşacak yoğunluğu profesyonellikle yönete… https://t.co/aCjKVj3FeY</t>
  </si>
  <si>
    <t>1462873150513950724</t>
  </si>
  <si>
    <t>@drfahrettinkoca Salgın sürecinde kapalı olan ADSM ler açılmaya başlandı Oluşacak yoğunluğu profesyonellikle yönete… https://t.co/edEp9cXDtT</t>
  </si>
  <si>
    <t>1462873148978782216</t>
  </si>
  <si>
    <t>@drfahrettinkoca Salgın sürecinde kapalı olan ADSM ler açılmaya başlandı Oluşacak yoğunluğu profesyonellikle yönete… https://t.co/o6BqRHjuAY</t>
  </si>
  <si>
    <t>1462873147548610563</t>
  </si>
  <si>
    <t>@drfahrettinkoca Salgın sürecinde kapalı olan ADSM ler açılmaya başlandı Oluşacak yoğunluğu profesyonellikle yönete… https://t.co/aLsIyioLwP</t>
  </si>
  <si>
    <t>1462873146168647685</t>
  </si>
  <si>
    <t>@drfahrettinkoca Salgın sürecinde kapalı olan ADSM ler açılmaya başlandı Oluşacak yoğunluğu profesyonellikle yönete… https://t.co/CD3aCgcMve</t>
  </si>
  <si>
    <t>1462873118091972614</t>
  </si>
  <si>
    <t>@drfahrettinkoca Salgın sürecinde kapalı olan ADSM ler açılmaya başlandı Oluşacak yoğunluğu profesyonellikle yönete… https://t.co/Qt8R3scFvP</t>
  </si>
  <si>
    <t>1462873116594552833</t>
  </si>
  <si>
    <t>@drfahrettinkoca Salgın sürecinde kapalı olan ADSM ler açılmaya başlandı Oluşacak yoğunluğu profesyonellikle yönete… https://t.co/SvqWVULWSr</t>
  </si>
  <si>
    <t>1462873115210530823</t>
  </si>
  <si>
    <t>@drfahrettinkoca Salgın sürecinde kapalı olan ADSM ler açılmaya başlandı Oluşacak yoğunluğu profesyonellikle yönete… https://t.co/jIVcQ7JJOH</t>
  </si>
  <si>
    <t>1462873113847341059</t>
  </si>
  <si>
    <t>@drfahrettinkoca Salgın sürecinde kapalı olan ADSM ler açılmaya başlandı Oluşacak yoğunluğu profesyonellikle yönete… https://t.co/w57LTqnpVA</t>
  </si>
  <si>
    <t>1462873089709158418</t>
  </si>
  <si>
    <t>@drfahrettinkoca Salgın sürecinde kapalı olan ADSM ler açılmaya başlandı Oluşacak yoğunluğu profesyonellikle yönete… https://t.co/fxiT7RE177</t>
  </si>
  <si>
    <t>1462873088329138183</t>
  </si>
  <si>
    <t>@drfahrettinkoca Salgın sürecinde kapalı olan ADSM ler açılmaya başlandı Oluşacak yoğunluğu profesyonellikle yönete… https://t.co/jAJ2wCzkfO</t>
  </si>
  <si>
    <t>1462873086907273222</t>
  </si>
  <si>
    <t>@drfahrettinkoca Salgın sürecinde kapalı olan ADSM ler açılmaya başlandı Oluşacak yoğunluğu profesyonellikle yönete… https://t.co/v3GJguFCQY</t>
  </si>
  <si>
    <t>1462873085279936521</t>
  </si>
  <si>
    <t>@drfahrettinkoca Ruhsatsız aşıyı kullandığınız yetmedi bir de tarihî geçmiş aşıyı mı kullanacaksınız sayın bakan. https://t.co/W6NIEksT6U</t>
  </si>
  <si>
    <t>1463271568172371970</t>
  </si>
  <si>
    <t>@drfahrettinkoca https://t.co/4CCYEv1WlV</t>
  </si>
  <si>
    <t>1463260188513820678</t>
  </si>
  <si>
    <t>@drfahrettinkoca Ulan o zaman kapatin okullari veya asi olmayan okula gelemesin bu kadarda olmaz..</t>
  </si>
  <si>
    <t>1463259959848804360</t>
  </si>
  <si>
    <t>@drfahrettinkoca https://t.co/vmLwqjDBBt</t>
  </si>
  <si>
    <t>1463259205457088522</t>
  </si>
  <si>
    <t>1463246556371595267</t>
  </si>
  <si>
    <t>@drfahrettinkoca Coronadan bir kişi bile ölmedi.. hepsi Corona bahanesi ile verilen ilaçlarla öldürüldü. Bağımsız v… https://t.co/4pSP8jm9JM</t>
  </si>
  <si>
    <t>1462933104583135237</t>
  </si>
  <si>
    <t>@drfahrettinkoca 2 sinovac aşı 3.biontech ertesi gün yüksek ateş crp 231 d-dimer 1364 ya kalp krizi,emboli,beyin ka… https://t.co/7VX5PCB0wA</t>
  </si>
  <si>
    <t>1462933063210618886</t>
  </si>
  <si>
    <t>@drfahrettinkoca Bu banabi yemek sepeti depolarini denetleyin her depoda 5 6 covit cikiyor kuryeler devamli servisd… https://t.co/ZnUNnwdXwq</t>
  </si>
  <si>
    <t>1462932635404189703</t>
  </si>
  <si>
    <t>@drfahrettinkoca Sanane kardeşim bizim aşı olup olmamızdan.. Aşı olanlara benim aşısız olmamın hiç bir zararı da fa… https://t.co/ciDFpKAyFf</t>
  </si>
  <si>
    <t>1462932601816109060</t>
  </si>
  <si>
    <t>@drfahrettinkoca Aşı olmayan insanları işinden kovulmakla tehdit edeceksin, seyahat hakkını elinden alacaksın, eğit… https://t.co/jCoGmKPIDp</t>
  </si>
  <si>
    <t>1462932030040248323</t>
  </si>
  <si>
    <t>@drfahrettinkoca Olmayan salgınla insanları korkutup o zehirli sıvıyı vermeye çalışmandaki bu kadar azim göstermeni… https://t.co/XBm8lKquMs</t>
  </si>
  <si>
    <t>1462931206111117312</t>
  </si>
  <si>
    <t>@drfahrettinkoca tedbir diyip hicbir tedbir almamaniz peki.. #VelilerEndiseliOnlineGelmeli</t>
  </si>
  <si>
    <t>1462929545410007042</t>
  </si>
  <si>
    <t>@drfahrettinkoca Dsö uygulamalarına son verin artık halk ile beraber anadolunun yapısına göre önlemler alın korkuta… https://t.co/6gm8W47gTr</t>
  </si>
  <si>
    <t>1462927723668586509</t>
  </si>
  <si>
    <t>@drfahrettinkoca #FahrettinKocaİstifa https://t.co/17kFKG3WTM</t>
  </si>
  <si>
    <t>1462925238023372808</t>
  </si>
  <si>
    <t>@drfahrettinkoca İşportacı</t>
  </si>
  <si>
    <t>1462922514544353287</t>
  </si>
  <si>
    <t>@drfahrettinkoca Bu dürzünün  mottosu ilaç üret  hasta et  tekrar üret tekrar hasta et olmalı. 2 sene öncesine kada… https://t.co/TaSZKPEtnB</t>
  </si>
  <si>
    <t>1462921396137385985</t>
  </si>
  <si>
    <t>@drfahrettinkoca Zorla,efendi!!! zorla. Ne söylediyseniz elinizde kaldı.Etkisiz ilaç stoğunuz bitsin,acele etme.Nas… https://t.co/lfsuCadlE5</t>
  </si>
  <si>
    <t>1462920629846523908</t>
  </si>
  <si>
    <t>@drfahrettinkoca Şurada, bugün pozitif çıkan tanıdıklarınızı yazın deseniz kaç kişi çıkar merak ediyorum.</t>
  </si>
  <si>
    <t>1462913700260724738</t>
  </si>
  <si>
    <t>@drfahrettinkoca Aşıladıklarının durumuna bakınca hiç olasım gelmiyor.</t>
  </si>
  <si>
    <t>1462911940951519234</t>
  </si>
  <si>
    <t>@drfahrettinkoca Bütün ülkeler tedbir alıyor ya da almaya başladı en azından biz de her gün 200 can gidiyor ama ne… https://t.co/Tthmb0biyY</t>
  </si>
  <si>
    <t>1462908274609688582</t>
  </si>
  <si>
    <t>@drfahrettinkoca Eğer insanların bu aşıyı olmaksızın 1 seneden fazla yaşayacağı veya herhangi bir corona tipi virüs… https://t.co/i2USRD8d7z</t>
  </si>
  <si>
    <t>1462907929888182275</t>
  </si>
  <si>
    <t>@drfahrettinkoca Salgın bakanı propagandasını yaptığın sıvılar bir işe yaramıyor görmüyor musun düş artık bu MİLLET… https://t.co/xKnVUrep7S</t>
  </si>
  <si>
    <t>1462907455826968580</t>
  </si>
  <si>
    <t>@drfahrettinkoca Hocam millet ekmek derdinde hastalık mı kalır sende he 😊</t>
  </si>
  <si>
    <t>1462905405332410377</t>
  </si>
  <si>
    <t>@drfahrettinkoca Secilmiş insanlar, su acı çeken çocukları ve ızdırap içinde ki aileleri görüpte nasıl rahat uyuyor… https://t.co/qhXqz5mMse</t>
  </si>
  <si>
    <t>1462903998986522624</t>
  </si>
  <si>
    <t>@drfahrettinkoca https://t.co/WPSeodbiKi</t>
  </si>
  <si>
    <t>1462903966161854473</t>
  </si>
  <si>
    <t>@drfahrettinkoca Acaba FDA biontech aşısının verilerini neden 55 yıl daha saklamak istiyor? Bir düşünelim... tabi k… https://t.co/J8UGsK5hb5</t>
  </si>
  <si>
    <t>1462903461482217484</t>
  </si>
  <si>
    <t>@drfahrettinkoca 1 GÜNDE 6K VAKA SAYISI MI DÜSTÜ SŞDÖCĞCÇCİÇVĞCÇCĞCŞ AYNEN İNANDIK SUAN</t>
  </si>
  <si>
    <t>1462902524546097158</t>
  </si>
  <si>
    <t>@drfahrettinkoca SMA hastası Muzafferin annesi çaresizlikten intihar etti.Hiç mi yüreğiniz titremez sizin.Bu çocuk… https://t.co/7sptjTlF3m</t>
  </si>
  <si>
    <t>1462901168963739652</t>
  </si>
  <si>
    <t>@drfahrettinkoca 20 ay önce ben sağlık bakanının kim olduğunu bilmiyordum. Cavid amca sayesinde öğrendim.</t>
  </si>
  <si>
    <t>1462901129365307400</t>
  </si>
  <si>
    <t>@drfahrettinkoca Durmadan aşı olun diye Andersenden masallar okuyorsun,hiçbir şey bilmiyorsan yorumları oku kimse s… https://t.co/LCRCWgtwlb</t>
  </si>
  <si>
    <t>1462900706101411844</t>
  </si>
  <si>
    <t>@drfahrettinkoca Halkın mutfağında yangın var, bizimkisi aşı derdinde.</t>
  </si>
  <si>
    <t>1462899573970640897</t>
  </si>
  <si>
    <t>@drfahrettinkoca Bakan efendi sende Almanya'da Artık aşı soykırımına alet olmak istemiyorum deyip intihar eden bir… https://t.co/5vzuW97qsd</t>
  </si>
  <si>
    <t>1462899432165421057</t>
  </si>
  <si>
    <t>@drfahrettinkoca Bakın fahrettin bey ana akım medyaya söyleyin 5.11 yaş deneysel sıvı pompalamasınlar siz demediniz… https://t.co/023qBQOtbw</t>
  </si>
  <si>
    <t>1462899098701471751</t>
  </si>
  <si>
    <t>@drfahrettinkoca İyice zıvanadan çıktı covidot dr lar bile faripavir ise yaramiyormus derken hala millete 8+8 farip… https://t.co/m2Ow5OWxxG</t>
  </si>
  <si>
    <t>1462898773986787328</t>
  </si>
  <si>
    <t>@drfahrettinkoca 20 aydır turkuaz tablolardan bıktık. Renk değişsin artık.</t>
  </si>
  <si>
    <t>1462898653434105861</t>
  </si>
  <si>
    <t>@drfahrettinkoca Günde 16 şar aded yutturduğunuz favir ile ilgili söyleyecek bir şeyin varmı. İnsanlarda kalıcı kal… https://t.co/FPAN491g3L</t>
  </si>
  <si>
    <t>1462897574009085959</t>
  </si>
  <si>
    <t>@drfahrettinkoca Ahlaksız üzerine kitap yazsana adını nasıl ahlaksız olunur ya da son yılların en ahlaksız bakanı falan koy yakışır sana</t>
  </si>
  <si>
    <t>1462897066951286784</t>
  </si>
  <si>
    <t>@drfahrettinkoca ???? 🤡 https://t.co/N8jOPPMiCg</t>
  </si>
  <si>
    <t>1462896094426378242</t>
  </si>
  <si>
    <t>@drfahrettinkoca Asi olmadim olmayida dusunmuyorum sukur korona denilen seyide olmadim yazik yeter bu milletle dalg… https://t.co/f86yfeCU4o</t>
  </si>
  <si>
    <t>1462895607710990345</t>
  </si>
  <si>
    <t>@drfahrettinkoca Favipiraviri i boşuna mı yuttuk?  Bu adam ne diyorsa tam tersini yapın.. Yaşamak istiyorsanız https://t.co/Qghf7YY6W8</t>
  </si>
  <si>
    <t>1462894525786071048</t>
  </si>
  <si>
    <t>@drfahrettinkoca Şimdiye kadar kanserin üstüne düşmüş olsaydınız çaresi bulunmuştu Allahtan bulduğun günü bekliyorum yalancı bakan</t>
  </si>
  <si>
    <t>1462894107341246477</t>
  </si>
  <si>
    <t>@drfahrettinkoca Aşılama çalışmaları tıkanmış görünüyor.</t>
  </si>
  <si>
    <t>1462893260591054849</t>
  </si>
  <si>
    <t>@drfahrettinkoca Allah sizin belanızı verecek</t>
  </si>
  <si>
    <t>1462891962235768836</t>
  </si>
  <si>
    <t>@drfahrettinkoca Aşı bakanımız yine konuştu. 119 milyon Aşı yapılmış gram ilerleme yok. Hatta ölüm oranları en az 2… https://t.co/n7Ng9UoEDl</t>
  </si>
  <si>
    <t>1462891893503709189</t>
  </si>
  <si>
    <t>@drfahrettinkoca Kaç tane bakan geldi gitti bu niye o koltuğa çakıldı tabi saray ahalisi hastanelerinde daha rahat bedava bakılsın diye</t>
  </si>
  <si>
    <t>1462891878106415104</t>
  </si>
  <si>
    <t>@drfahrettinkoca Hastalık okullardan ve tedbir almayanlar yüzünden yayılıyor 3 hafta önce bize de okuldan geldi maa… https://t.co/QI1vyjSekG</t>
  </si>
  <si>
    <t>1462891482558472194</t>
  </si>
  <si>
    <t>@drfahrettinkoca Alttaki yorumlara baktığımızda okullar kapansın online eğitime gecilsin diyenlerin neredeyse tamam… https://t.co/Nk1bjFVLMh</t>
  </si>
  <si>
    <t>1462890589368770568</t>
  </si>
  <si>
    <t>@drfahrettinkoca 40 yılda bir şampiyon olacağız aman ha sayın bakan iş çıkarma</t>
  </si>
  <si>
    <t>1462890274632482816</t>
  </si>
  <si>
    <t>@drfahrettinkoca Okullar ve unversiteler hakkinda birsey dusunun</t>
  </si>
  <si>
    <t>1462889996810178562</t>
  </si>
  <si>
    <t>@drfahrettinkoca Kullandırdığınız ilaçların sonucunu konuşmadan sadece etkisiz ve faydasız diye geçiştirip gittiniz… https://t.co/5fJfkhubWT</t>
  </si>
  <si>
    <t>1462889668199034890</t>
  </si>
  <si>
    <t>@drfahrettinkoca Milletin aşıyla fişini çektiğiniz gibi @RTErdogan ın fişinide siz çekeceksiniz ve biz sizinle mahşerde hesaplaşacağız 😱</t>
  </si>
  <si>
    <t>1462889596044328961</t>
  </si>
  <si>
    <t>@drfahrettinkoca Sahte sıvılarla milyarlarca insanı öldürme planları var 3-5 yıl içinde insanları kaybedeceğiz</t>
  </si>
  <si>
    <t>1462889325721526272</t>
  </si>
  <si>
    <t>@drfahrettinkoca Benim çocuğumun eğitimini kim benden daha iyi düşünebilir? Bu neyin işgüzarlığı? Tutturdunuz bir i… https://t.co/XBDF4agqyd</t>
  </si>
  <si>
    <t>1462887640261406722</t>
  </si>
  <si>
    <t>@drfahrettinkoca Aşı arttıkça vakada artıyor ilginç gerçekten çok ilginç. Tamam aşı korumuyor pozitif olabiliyorsun… https://t.co/ZxunmV7Dx1</t>
  </si>
  <si>
    <t>1462887364485959683</t>
  </si>
  <si>
    <t>@drfahrettinkoca insanları neden bile bile riske atıyorsunuz AÖF Anodolu Üniversitesi sınavına Covid temaslıları ay… https://t.co/swgyvPnjuw</t>
  </si>
  <si>
    <t>1462886986369454085</t>
  </si>
  <si>
    <t>@drfahrettinkoca sayın @drfahrettinkoca iyi güzel aşı diyorsunuz ama uzmanlar aşının yanında mesafeden bahsediyor s… https://t.co/CC07qhDLoY</t>
  </si>
  <si>
    <t>1462886906333642759</t>
  </si>
  <si>
    <t>@drfahrettinkoca Bu virüs dünkü 60 bin kisinin izledigi gs fb derbisine uğramadı sanırım</t>
  </si>
  <si>
    <t>1462885655751630854</t>
  </si>
  <si>
    <t>@drfahrettinkoca Bu harita kaç sefer maviye döndü. Dönüp dönüp başa sarıyor yeter artık ya millet bıktı bıktı</t>
  </si>
  <si>
    <t>1462885651888680960</t>
  </si>
  <si>
    <t>@drfahrettinkoca Aşı mı olalım nerden aklina geldi ya birden. Hiç de soylemezsin ama bakalim</t>
  </si>
  <si>
    <t>1462884713408913414</t>
  </si>
  <si>
    <t>@drfahrettinkoca Artık millet twete yorum bile yazmaz olmuş.</t>
  </si>
  <si>
    <t>1462883523803717649</t>
  </si>
  <si>
    <t>@drfahrettinkoca Bu harita yerine vaka sayılarının olduğu, eski renkli haritayı yayınlamak daha doğru bir yaklaşım… https://t.co/ULh8aePfsT</t>
  </si>
  <si>
    <t>1462883445177303042</t>
  </si>
  <si>
    <t>@drfahrettinkoca Olmuyorum olmayacağım .</t>
  </si>
  <si>
    <t>1462882801888473091</t>
  </si>
  <si>
    <t>@drfahrettinkoca @drfahrettinkoca 👇👇👇👇 https://t.co/PddE5IUO9v</t>
  </si>
  <si>
    <t>1462882338958884864</t>
  </si>
  <si>
    <t>@drfahrettinkoca Bu bir saplantı mı acaba ? Dünyada bir sürü şey oluyor sizin dünyanız sadece bunun üzerine kurulu</t>
  </si>
  <si>
    <t>1462882338128412672</t>
  </si>
  <si>
    <t>@drfahrettinkoca Yooooo 20 aydır yaşamıyoruz, 17 ay kendimizi gayet güzel bir şekilde koruduk sadece 3 aydır kendim… https://t.co/acRQQyqHR1</t>
  </si>
  <si>
    <t>1462881571778801671</t>
  </si>
  <si>
    <t>@drfahrettinkoca Bana otopsi raporuyla ispatlanmış covidden ölen tek bir kişi gösterebilir misiniz? HAYIR! O zaman… https://t.co/gZiBFgBsv9</t>
  </si>
  <si>
    <t>1462881440732000260</t>
  </si>
  <si>
    <t>@drfahrettinkoca Her allahın günü bu salgın işini kim yaptıysa allah belasını versin gün yüzü görmesin diye dua edi… https://t.co/BDOcxxrcGX</t>
  </si>
  <si>
    <t>1462881142621839363</t>
  </si>
  <si>
    <t>@drfahrettinkoca Hastaneye gidenleri entübeye alıp sonra da işe yaramaz ilaçları insanların üzerinde deneyip nasıl… https://t.co/IN903XVqL2</t>
  </si>
  <si>
    <t>1462880599547461639</t>
  </si>
  <si>
    <t>@drfahrettinkoca H A N G İ  T E D B İ R #VelilerEndişeliOnlineGelmeli</t>
  </si>
  <si>
    <t>1462880104208547842</t>
  </si>
  <si>
    <t>@drfahrettinkoca 1 yıl sonra 2 yıl sonra 3 yıl sonra 4 yıl sonra... Sonrası yok çünkü deşifre olmuş o güç artık küç… https://t.co/0qrCZWVlTg</t>
  </si>
  <si>
    <t>1462879466875674628</t>
  </si>
  <si>
    <t>@drfahrettinkoca Sayın bakan çocuklarımızın saglıgı için 1.dönem sonuna kadar uzaktan eğitime geçilsin lütfen.</t>
  </si>
  <si>
    <t>1462878789105557508</t>
  </si>
  <si>
    <t>@drfahrettinkoca Adam bir soru sormuş cevap ver hele.. sen robot gibisin prim yapamayacağın şeylere cevap vermezsin… https://t.co/oQLurk7sl4</t>
  </si>
  <si>
    <t>1462878402977873921</t>
  </si>
  <si>
    <t>@drfahrettinkoca Aynen dümdüz görüyoruz etkilerini. Çarpı 4 ölüm.</t>
  </si>
  <si>
    <t>1462878305833689095</t>
  </si>
  <si>
    <t>@drfahrettinkoca Atama! Atama! Atama!</t>
  </si>
  <si>
    <t>1462877836964995091</t>
  </si>
  <si>
    <t>@drfahrettinkoca Nerede sözler,açıklamalar. 1 senedir bekliyoruz</t>
  </si>
  <si>
    <t>1462877749484400645</t>
  </si>
  <si>
    <t>1462877649601183754</t>
  </si>
  <si>
    <t>@drfahrettinkoca Kpss sağlık atamasının yapılmamasının sonuçlarını sağlık mezunları olarak 1 senedir yaşıyoruz. Bra… https://t.co/KJcvWm8qG2</t>
  </si>
  <si>
    <t>1462877524615176196</t>
  </si>
  <si>
    <t>@drfahrettinkoca Tekrar sorma ihtiyacı hissettim, bu bir emir midir sayın @drfahrettinkoca</t>
  </si>
  <si>
    <t>1462877381702656003</t>
  </si>
  <si>
    <t>@drfahrettinkoca Vah Türkiye m vah bütün Avrupa Dünya kırılıyor Türkiye de sanki salgın bitmiş hiçbir şey yok gibi… https://t.co/Y8pmMSjKMb</t>
  </si>
  <si>
    <t>1462877330527957000</t>
  </si>
  <si>
    <t>@drfahrettinkoca Aşı hakkı olmayan 12 yaş altına acil önlem alın lütfen artık!</t>
  </si>
  <si>
    <t>1462877092497039369</t>
  </si>
  <si>
    <t>@drfahrettinkoca Yeni nesil aile 🙂 https://t.co/Fc0KS0ne09</t>
  </si>
  <si>
    <t>1462876602799378437</t>
  </si>
  <si>
    <t>@drfahrettinkoca Sayın bakanım bu hafta sonu sınav var testi pozitif ve temalı olanlarda gelecek toplu taşıma araçl… https://t.co/eF5SDL5CaB</t>
  </si>
  <si>
    <t>1462876326508089353</t>
  </si>
  <si>
    <t>@drfahrettinkoca UK Resmi Hükümet verileri, Tam Aşılıların felakete giden yolda olduğunu kanıtlıyor ve Covid-19 (AD… https://t.co/aK2eVfLRk1</t>
  </si>
  <si>
    <t>1462875857748475907</t>
  </si>
  <si>
    <t>@drfahrettinkoca https://t.co/poxoynicF1</t>
  </si>
  <si>
    <t>1462875170331410436</t>
  </si>
  <si>
    <t>@drfahrettinkoca Sağlık bakanının uydurduğu yalanlarına inanmıyorum. https://t.co/MUDjeNBJMB</t>
  </si>
  <si>
    <t>1462874621892509708</t>
  </si>
  <si>
    <t>@drfahrettinkoca Sayın bakan , neden, bu aşı kadar hayatimi neden bir kerede doğal bağışıklığı güçlendirmekten bahs… https://t.co/YguvZeWFiF</t>
  </si>
  <si>
    <t>1462874427637575684</t>
  </si>
  <si>
    <t>@drfahrettinkoca Kadir İnanir bey nasıl acaba?</t>
  </si>
  <si>
    <t>1462874136674451461</t>
  </si>
  <si>
    <t>@drfahrettinkoca İnsanları denek olarak kullandınız suç işlediniz buda işlediğiniz suçun kanıtı https://t.co/5N3d9JpopY</t>
  </si>
  <si>
    <t>1462873763201101826</t>
  </si>
  <si>
    <t>@drfahrettinkoca Sn bakanım ne aşısı babam 3 doz aşıliydi ve cok ağır geçirdi ha diyeceksiniz ki aşılı olmasaydı öl… https://t.co/S6DEfXXH9l</t>
  </si>
  <si>
    <t>1462873305413787656</t>
  </si>
  <si>
    <t>@drfahrettinkoca Şeytan ne derse tersini yapın</t>
  </si>
  <si>
    <t>1463263482518900739</t>
  </si>
  <si>
    <t>@drfahrettinkoca Ne vicdansız birisin  #tıbbicihaz 17 ay olmuş alacakları ödenmiyor döviz ve eflasyon karşısında al… https://t.co/RrnISnCIml</t>
  </si>
  <si>
    <t>1462918202401464325</t>
  </si>
  <si>
    <t>@drfahrettinkoca @saglikbakanligi Secilmiş insanlar, su acı çeken çocukları ve ızdırap içinde ki aileleri görüpte n… https://t.co/D0zMwR91G6</t>
  </si>
  <si>
    <t>1462904778384715790</t>
  </si>
  <si>
    <t>@drfahrettinkoca Secilmiş insanlar, su acı çeken çocukları ve ızdırap içinde ki aileleri görüpte nasıl rahat uyuyor… https://t.co/EETCcaastq</t>
  </si>
  <si>
    <t>1462904092766969858</t>
  </si>
  <si>
    <t>@drfahrettinkoca Sayın bakanım ben 52 yaşında bir TÜRK vatandaşıyım size meslek ve bir sağlık Bakanı olarak bir sor… https://t.co/uuj1RxFpQg</t>
  </si>
  <si>
    <t>1462903797215371264</t>
  </si>
  <si>
    <t>@drfahrettinkoca Sayın Bakanım saygılarımla bir sıkıntıyı dile getireceyim sanırım kasıtlı ve bilinçli yapılıyor .… https://t.co/0ddGyCM7ty</t>
  </si>
  <si>
    <t>1462898271156854789</t>
  </si>
  <si>
    <t>@drfahrettinkoca @saglikbakanligi türkovak aşısını bekliyorum daha ne kadar daha bekleyeceğim gönüllü olarak adımı… https://t.co/BuXKAsySXb</t>
  </si>
  <si>
    <t>1462896802768826373</t>
  </si>
  <si>
    <t>@drfahrettinkoca Arada bir girip bakıyorum,değişen bir şey yok sıvıda sıvı..Sayfana da bakmaya lüzum yok..Sivilarinla mutlu ol</t>
  </si>
  <si>
    <t>1462896677250117632</t>
  </si>
  <si>
    <t>@drfahrettinkoca Vaka sayılarını ve a$i yüzdelerini inceleyince a$i dediğiniz sıvının sizin dediğiniz gibi olmadığı… https://t.co/RCCTZDEx8C</t>
  </si>
  <si>
    <t>1462887285209317385</t>
  </si>
  <si>
    <t>@drfahrettinkoca Sayın Bakan siz bu strateji ve gevşek umursamaz politika ile toplumsal bağışıklığı sanırım 20 yil… https://t.co/Hepfe0Ex9w</t>
  </si>
  <si>
    <t>1462875919425708044</t>
  </si>
  <si>
    <t>@drfahrettinkoca Yanlışım varsa düzeltin ikinci dozu %100 yapsanız dahi ilk aşı olanlardan bu yana kaç ay geçti tek… https://t.co/EHNfn2BY89</t>
  </si>
  <si>
    <t>1462570503873380356</t>
  </si>
  <si>
    <t>@drfahrettinkoca Sayın bakan favipiravir ilacı fos çıktı aşıdada böyle bişey olursa bu hesabı nasıl vereceksiniz</t>
  </si>
  <si>
    <t>1462570020190498818</t>
  </si>
  <si>
    <t>@drfahrettinkoca İlk doz kısa sürede başarı mı elde etti!! Yapmayın!!!insanları okulları,işleri, gidecekleri zorunl… https://t.co/Lturkhl8Od</t>
  </si>
  <si>
    <t>1462568174692536326</t>
  </si>
  <si>
    <t>@drfahrettinkoca Benim devamlı yazdığım ancak sosyal öedyayla ilgilenen arkadaşın sanırım bir anlama veya beceriksi… https://t.co/f3IWBLUmXB</t>
  </si>
  <si>
    <t>1462566559004647430</t>
  </si>
  <si>
    <t>@drfahrettinkoca merhaba arkadaşlar umarım twitter'daki trende katılırsınız #VelilerEndişeliOnlineGelmeli 👈🏻bu hash… https://t.co/uQbitfXosR</t>
  </si>
  <si>
    <t>1462565536664109058</t>
  </si>
  <si>
    <t>@drfahrettinkoca Aşıda kimse istekli değil,  siz kendinizi kandırıyorsunuz , sayenizde bir sürü insan öldü vicdanın… https://t.co/ajZx974Kcw</t>
  </si>
  <si>
    <t>1462564237834924033</t>
  </si>
  <si>
    <t>@drfahrettinkoca Sizin yatacak yeriniz yok.Allah CC colunuzdan çocuğunuzdan çıkarsın.Bu milleti siyonist Aşılarla ölüme sürüklüyorsunuz.</t>
  </si>
  <si>
    <t>1462562293171077126</t>
  </si>
  <si>
    <t>@drfahrettinkoca Hala bağışıklık neden yok bilimsel açıklamaya muhtacım yardım edin https://t.co/7MzgRsRlEx</t>
  </si>
  <si>
    <t>1462561052563058693</t>
  </si>
  <si>
    <t>@drfahrettinkoca Şu sayfada onlarca aşı mağduru var❗ Bunların hepsi yalan mı? Neden bunlara sessiz kalıyorsunuz❓ https://t.co/Ktbp6N1Uuj</t>
  </si>
  <si>
    <t>1462559877033775106</t>
  </si>
  <si>
    <t>@drfahrettinkoca aşı aşı diyeceginize evinizde aş varmı aş onu sorun</t>
  </si>
  <si>
    <t>1462559144066662406</t>
  </si>
  <si>
    <t>@drfahrettinkoca Peki neden bağışıklık yok hala</t>
  </si>
  <si>
    <t>1462557854515306496</t>
  </si>
  <si>
    <t>@drfahrettinkoca https://t.co/ZUOA05mdQl</t>
  </si>
  <si>
    <t>1462556626465046535</t>
  </si>
  <si>
    <t>@drfahrettinkoca https://t.co/OnQE5cvMeu</t>
  </si>
  <si>
    <t>1462556219885989892</t>
  </si>
  <si>
    <t>@drfahrettinkoca Çocuklarımızdan uzak durunnnnnn</t>
  </si>
  <si>
    <t>1462555292240072704</t>
  </si>
  <si>
    <t>@drfahrettinkoca okullarda HAVALANDIRMA YOK! pencere açık donuyor grip oluyoruz yeni düzenleme yok maskeler takılmı… https://t.co/o8VOL4ry4z</t>
  </si>
  <si>
    <t>1462555016636645377</t>
  </si>
  <si>
    <t>@drfahrettinkoca Ali Erbaş 15 bin imam ve 9 bin Kur'an kursu öğretmenine ihtiyaç var demiş yani atama yapacam diyor… https://t.co/SX5sLsdwcR</t>
  </si>
  <si>
    <t>1462554986718679041</t>
  </si>
  <si>
    <t>@drfahrettinkoca İnandırıcılığınız kalmadı bırakın bu işi</t>
  </si>
  <si>
    <t>1462554841889361921</t>
  </si>
  <si>
    <t>@drfahrettinkoca Siz onu bunu birakin da cicek hastaligi ne zaman gelecek ? Ne zaman bizi öldüreceksiniz onu anlati… https://t.co/OlocEMtso5</t>
  </si>
  <si>
    <t>1462554525932392459</t>
  </si>
  <si>
    <t>@drfahrettinkoca Açık ifade edeyim ki beni ve ailemi sıvıları vurulmuyorum diye kimse kısıtlayamaz. Ortada zaten sa… https://t.co/Y94h8A115q</t>
  </si>
  <si>
    <t>1462554120561250324</t>
  </si>
  <si>
    <t>@drfahrettinkoca Sayın bakanım @drfahrettinkoca öyle çok yorulduk öyle çok tükendik ki. Aylarca müjdeyi bekledik. Ş… https://t.co/pYwv4S8L6C</t>
  </si>
  <si>
    <t>1462553443588050954</t>
  </si>
  <si>
    <t>@drfahrettinkoca Söylediği yalandan utanmayana, üstelik buna da inandırmaya çalışana söyleyecek söz bulamıyor insan</t>
  </si>
  <si>
    <t>1462552970575368204</t>
  </si>
  <si>
    <t>@drfahrettinkoca Ein nicht zugelassener Impfstoff mit tödlicher Nebenwirkung. Sie möchten eine Impfpflicht machen?… https://t.co/KtWSA01OhP</t>
  </si>
  <si>
    <t>1462550633962106887</t>
  </si>
  <si>
    <t>@drfahrettinkoca Aşıyı bulan Almanya ama vakaları yüksek olan yer de Almanya.Adamlar daha kendi vakalarını sıfırlay… https://t.co/GRoy1OJ5Vw</t>
  </si>
  <si>
    <t>1462548748475650050</t>
  </si>
  <si>
    <t>@drfahrettinkoca https://t.co/kcPkcsaij9 Dün dünyanın dört bir yanındaki plandemi ve kçeteye YDD köleliğine  karşı… https://t.co/XovI3sCc9U</t>
  </si>
  <si>
    <t>1462548103781699588</t>
  </si>
  <si>
    <t>@drfahrettinkoca Neidüğü belirsiz Ruhsatsız şeyleri kendime yaptırmamak konusunda kararlıyım. CEHENNEMLER kudursa yine yaptırmayacağım!</t>
  </si>
  <si>
    <t>1462547858859585539</t>
  </si>
  <si>
    <t>@drfahrettinkoca https://t.co/kcPkcsrTHJ Dün dünyanın dört bir yanındaki plandemi ve kçeteye YDD köleliğine  karşı… https://t.co/6kiN0YkcCI</t>
  </si>
  <si>
    <t>1462547815964594178</t>
  </si>
  <si>
    <t>@drfahrettinkoca Ya bakanım sağlık bakanı annem vüris ise aynı ortam durduk bana test yok çıkarsa gel mantıkla nere… https://t.co/xjoVHZ3oHK</t>
  </si>
  <si>
    <t>1462547439034920960</t>
  </si>
  <si>
    <t>@drfahrettinkoca Allahında bir adaleti var zalimler er yada geç cezasını bulacak</t>
  </si>
  <si>
    <t>1462547240367505413</t>
  </si>
  <si>
    <t>@drfahrettinkoca keşke birde zahmet edip cevap verseniz . yazıp kaçıyorsunuz.Elinden geleni ardına koyma.O sıvıyı y… https://t.co/vHU9CdHVaP</t>
  </si>
  <si>
    <t>1462547221480493058</t>
  </si>
  <si>
    <t>@drfahrettinkoca #OnlineEğitimBirHaktır</t>
  </si>
  <si>
    <t>1462546283760177154</t>
  </si>
  <si>
    <t>@drfahrettinkoca "Tedarik edemeyenler" haritadan silindi değil mi? Maymunlardan bile aşağı olmuşsunuz öyle de kalın</t>
  </si>
  <si>
    <t>1462546208879222789</t>
  </si>
  <si>
    <t>@drfahrettinkoca Düşünüyorum sürekli bakan bey Neden ölümler bizde? Neden bu ateş sizlerin evine düşmüyor? Ne ile k… https://t.co/ynb8S21dmI</t>
  </si>
  <si>
    <t>1462545189717909508</t>
  </si>
  <si>
    <t>@drfahrettinkoca Isteniyorsa niye düştü aşılama oranları?</t>
  </si>
  <si>
    <t>1462544630046609409</t>
  </si>
  <si>
    <t>@drfahrettinkoca https://t.co/m4yjqxDf6i Hükümet a...ş...ı...s...ızları hapsedecek ve Şubat 2022'de a...ş...ı yaptı… https://t.co/tn9RdzgsKW</t>
  </si>
  <si>
    <t>1462543844482813954</t>
  </si>
  <si>
    <t>@drfahrettinkoca Ohaaa herif itiraf etmiş işte %80 aşı olmak işe yaramıyor,bağışıklığı güçlü tutun diyo. Tıpkı ölüm… https://t.co/VdKq1ZDDEQ</t>
  </si>
  <si>
    <t>1462543312917721096</t>
  </si>
  <si>
    <t>@drfahrettinkoca Aşılanma oranı düşük ülkeler,halkı bizim halktan daha zeki olan ülkelerdir.</t>
  </si>
  <si>
    <t>1462542938517303300</t>
  </si>
  <si>
    <t>@drfahrettinkoca Sana yazılan yorumları okusaydın eğer bir dakika o koltuğu işgal etmez istifa eder giderdin.Bir ki… https://t.co/FTxUth5n8S</t>
  </si>
  <si>
    <t>1462542930472800258</t>
  </si>
  <si>
    <t>@drfahrettinkoca https://t.co/1zX1bkZoCp</t>
  </si>
  <si>
    <t>1462542099182727168</t>
  </si>
  <si>
    <t>@drfahrettinkoca https://t.co/8xLDlqVcEf</t>
  </si>
  <si>
    <t>1462541618775564293</t>
  </si>
  <si>
    <t>@drfahrettinkoca İlaç satıcısı fahrinin çocuğu ,yakını olmadıktan sonra gerisi önemli değil  Onun görevi bizi aşı,i… https://t.co/zTFUPfcgBV</t>
  </si>
  <si>
    <t>1462540220918870017</t>
  </si>
  <si>
    <t>@drfahrettinkoca Virüsü yayan şu an okullar ve çocuklar ve siz bu konuda hicbirsey yapmıyorsunu</t>
  </si>
  <si>
    <t>1462540153784877056</t>
  </si>
  <si>
    <t>@drfahrettinkoca Tabloya bakılırsa size güvenen insan sayısı azalıyor. 😄</t>
  </si>
  <si>
    <t>1462539908237737985</t>
  </si>
  <si>
    <t>@drfahrettinkoca https://t.co/aH9XT6PgCn</t>
  </si>
  <si>
    <t>1462539839446921218</t>
  </si>
  <si>
    <t>@drfahrettinkoca Dünyayı alt üst edenlere ne yapmışlar bakın!   https://t.co/cUnRgovPPj</t>
  </si>
  <si>
    <t>1462539523611672578</t>
  </si>
  <si>
    <t>@drfahrettinkoca Aşılama oranları artıkça  vaka sayıları artıyor bi terslik olduğunu me zaman kabul edeceksiniz</t>
  </si>
  <si>
    <t>1462538716363304966</t>
  </si>
  <si>
    <t>@drfahrettinkoca Eee yani ne diyorsun? :)) Aşı tedarik edemiyor muyuz ,ne?  Yeminle  , aşı diye diye  kafayı yiyeceksin "Sayın bakanım"</t>
  </si>
  <si>
    <t>1462538551443271681</t>
  </si>
  <si>
    <t>@drfahrettinkoca Bakanım, yarın haftanın ilk günü ve umarım şimdiye kadar yaşadıklarımızın son günü olur. Sizden ar… https://t.co/mAhkmhR4Le</t>
  </si>
  <si>
    <t>1462537582466719768</t>
  </si>
  <si>
    <t>@drfahrettinkoca Kapanma ya da radikal kararlar şart! Her gün yüzlerce insanın ölümüne göz yumamazsınız. İnsan haya… https://t.co/xzmKLoGmvA</t>
  </si>
  <si>
    <t>1462536983876718598</t>
  </si>
  <si>
    <t>@drfahrettinkoca Annem öldükten snra Dr han7m izind oldğ için 2 ay gerekçli ölüm rprunu hast den almdık. Bnklar, re… https://t.co/hi0Gd4sIFj</t>
  </si>
  <si>
    <t>1462536925571604488</t>
  </si>
  <si>
    <t>1462536546020737036</t>
  </si>
  <si>
    <t>@drfahrettinkoca Bak Sn Bakan. Buna yanıt vermezseniz, siz ve yaverlerin o makamlar size zehir olsun. Ank Şeh Hast… https://t.co/7VYplzLDeS</t>
  </si>
  <si>
    <t>1462536121762603014</t>
  </si>
  <si>
    <t>@drfahrettinkoca https://t.co/jaBEj7x7Ov</t>
  </si>
  <si>
    <t>1462535874361630730</t>
  </si>
  <si>
    <t>@drfahrettinkoca @zeynemetin istekli insanlık= aşı üreticisi şirketler</t>
  </si>
  <si>
    <t>1462535544190214151</t>
  </si>
  <si>
    <t>@drfahrettinkoca Artık Avrupa ülkelerinde olduğu gibi bizim ülkemizde de aşı olmayanlara kısıtlamalar gelmeli.Bu za… https://t.co/GHsrnmKMGc</t>
  </si>
  <si>
    <t>1462535032682209285</t>
  </si>
  <si>
    <t>@drfahrettinkoca Bu kadının aşı fanatiklerine bir mesajı var  COVID-19 aşı sonrası durumunu ilk kez yayınlayan genç… https://t.co/JJdcTPfbeK</t>
  </si>
  <si>
    <t>1462534963111374859</t>
  </si>
  <si>
    <t>@drfahrettinkoca Sayın bakanım; tam doz aşılarıni ailece tam zamaninda olmuş , önerdiğiniz tüm önlemlere dikkat etm… https://t.co/qrMAYfFKwt</t>
  </si>
  <si>
    <t>1462534730121941000</t>
  </si>
  <si>
    <t>@drfahrettinkoca Sayi m. bakanım. ası. diye. israr. ediyorsunuzda. Çanakkale. ili. 0/80asılı. neden. hala. kırmızi.… https://t.co/bU1GtUkDvW</t>
  </si>
  <si>
    <t>1462534283034345474</t>
  </si>
  <si>
    <t>@drfahrettinkoca Okul açıldığına göre vakalar düşürülsün.</t>
  </si>
  <si>
    <t>1462533615091396618</t>
  </si>
  <si>
    <t>@drfahrettinkoca Aşı istemiyoruzz. * İsrail'den güncelleme – Aşılananlar hasta ve ölüyor Dünyanın en yüksek aşılı ü… https://t.co/rk2miuSjYh</t>
  </si>
  <si>
    <t>1462533032594788356</t>
  </si>
  <si>
    <t>@drfahrettinkoca Yemin ediyorum aşı olmamış son 5kişi kalsak aşı olmayanlardan sebep vakaları düşüremiyoruz tek sor… https://t.co/xEJtLwfh9h</t>
  </si>
  <si>
    <t>1462532925610766338</t>
  </si>
  <si>
    <t>@drfahrettinkoca Çok bilimsel aciklamalarindan ikna oldum da kolumun usumesinden korkuyorum. 🤣🤣🤣</t>
  </si>
  <si>
    <t>1462532624342204423</t>
  </si>
  <si>
    <t>@drfahrettinkoca İnsanlık aşı istemiyor. Küreselciler, aşı endüstrisi insanlığı kobay etme derdinde. İnsanlar ölüyo… https://t.co/f43SiejBE5</t>
  </si>
  <si>
    <t>1462531877676408839</t>
  </si>
  <si>
    <t>@drfahrettinkoca 😆İnsanlik asida istekli mi‼️Kimse benim adıma karar veremez! Ülkemzde ve dünyada,2 yıl geçmesne ra… https://t.co/3FpvgTJjJz</t>
  </si>
  <si>
    <t>1462531580832923654</t>
  </si>
  <si>
    <t>@drfahrettinkoca Sesimizi duyun Sayın bakanım ACİL YARDİM VE AFET YÖNETİCİ LERİ GOREV TANİMİNİ BEKLİYOR</t>
  </si>
  <si>
    <t>1462531039180505089</t>
  </si>
  <si>
    <t>@drfahrettinkoca Bizler için kat be kat daha zor kurulan bu düzenler dağılıyor.Ailemi işimi bırakıp ölüme gitmek is… https://t.co/cb6CMUzzEI</t>
  </si>
  <si>
    <t>1462530451902455820</t>
  </si>
  <si>
    <t>@drfahrettinkoca Bakan Bey... https://t.co/Kv8sxRg2wM</t>
  </si>
  <si>
    <t>1462530441894928390</t>
  </si>
  <si>
    <t>1462530382738427904</t>
  </si>
  <si>
    <t>@drfahrettinkoca İnsanlığın aşı için ne kadar isteksiz olduğu Avrupa'daki eylemlerle bencede ortada ama siz hâlâ at… https://t.co/gKquDQZ4Ez</t>
  </si>
  <si>
    <t>1462530099576770560</t>
  </si>
  <si>
    <t>@drfahrettinkoca İnsanlık diyor insanlar demiyor. Her neyse bu insanlık ağzı var dili yok, herkes onun adına konuşa… https://t.co/oVmVhEaHyL</t>
  </si>
  <si>
    <t>1462529975245053954</t>
  </si>
  <si>
    <t>@drfahrettinkoca Nüfusu tam aşılanmış olan cebelitarıkın durumu @drfahrettinkoca https://t.co/44G9dzrLpS</t>
  </si>
  <si>
    <t>1462529523480727556</t>
  </si>
  <si>
    <t>@drfahrettinkoca Ula senin pazarındamı yok</t>
  </si>
  <si>
    <t>1462528784637251597</t>
  </si>
  <si>
    <t>@drfahrettinkoca https://t.co/mgQ8nRmgLr</t>
  </si>
  <si>
    <t>1462528048067235852</t>
  </si>
  <si>
    <t>@drfahrettinkoca Hoca sürekli yeni hedef koyuyorsun birine ulasiyoruz hemen yeniliyorsun</t>
  </si>
  <si>
    <t>1462527976332005379</t>
  </si>
  <si>
    <t>@drfahrettinkoca O zaman önlemini alın karantina getirin her yere okullari kapatın !</t>
  </si>
  <si>
    <t>1462527602002903052</t>
  </si>
  <si>
    <t>@drfahrettinkoca Bu aşının faydası yok aşı olanlar virüse yakalaniyorlar. Bir oyun oynanıyor gibi geliyor bana 🤔</t>
  </si>
  <si>
    <t>1462527546935947270</t>
  </si>
  <si>
    <t>@drfahrettinkoca Sizin o tedavi dediğiniz zıkkım benim eşimi genç yaşta bizden aldı Yavrumda bende yetim kaldık Bu… https://t.co/7V95mEPtlz</t>
  </si>
  <si>
    <t>1462527064825905158</t>
  </si>
  <si>
    <t>@drfahrettinkoca Şimdide %80 diyor ya 😁😁😁 asikopat oldu millet</t>
  </si>
  <si>
    <t>1462526695655755778</t>
  </si>
  <si>
    <t>@drfahrettinkoca Kararsız değiliz bakanım kararımı verdim olmayacağım. Aşılı ailem korona şu anda. Okullar açık old… https://t.co/GHCqDfWKKV</t>
  </si>
  <si>
    <t>1462526682540216323</t>
  </si>
  <si>
    <t>@drfahrettinkoca Şu aşı sayıklamasını bırakın #Favipiravir mevzusundan bahsedin. Sizi de mi kandırdılar yoksa?</t>
  </si>
  <si>
    <t>1462526498171150336</t>
  </si>
  <si>
    <t>@drfahrettinkoca Aşılar epey işe yaramış (!) https://t.co/aeBjKX7EvG</t>
  </si>
  <si>
    <t>1462526061774782473</t>
  </si>
  <si>
    <t>@drfahrettinkoca Kimse istekli değil, insan haklarını eze eze bu mezalimi bize uygulayanlar, gün gelip hesap verecek</t>
  </si>
  <si>
    <t>1462525546479464450</t>
  </si>
  <si>
    <t>@drfahrettinkoca Ben asi hakkimi sana devrettim</t>
  </si>
  <si>
    <t>1462525228534407171</t>
  </si>
  <si>
    <t>@drfahrettinkoca Dünyada en çok a$ılama avrupada.. Ve avrupada vakalar tavan yaptı, kısıtlamaya gidiyorlar A$ısız ü… https://t.co/IIuGYvo9Ph</t>
  </si>
  <si>
    <t>1462524812765577218</t>
  </si>
  <si>
    <t>@drfahrettinkoca Millet uyandi artık. Yalanları yemiyor. Baska ürün bul bakan bey. Chip işine falan gir. Ya da yapa… https://t.co/TlcvJy0kzv</t>
  </si>
  <si>
    <t>1462524755668516866</t>
  </si>
  <si>
    <t>@drfahrettinkoca Yalancı MAHFETTİN bi gün foyan ortya çıkacak bi gün siz de yargılancaksnz bu dünyda olmasda Rabbim… https://t.co/3lxMKQCQFR</t>
  </si>
  <si>
    <t>1462524252712849418</t>
  </si>
  <si>
    <t>@drfahrettinkoca Aklımızı kullanalım! Virüs yaşlılardan mı gençlere bulaştı? Yoksa gençlerden yaşlılara bulaştığı i… https://t.co/KAgsYEsFah</t>
  </si>
  <si>
    <t>1462523809248985094</t>
  </si>
  <si>
    <t>@drfahrettinkoca #OkullarVirueshaneOldu</t>
  </si>
  <si>
    <t>1462522685091684358</t>
  </si>
  <si>
    <t>@drfahrettinkoca Takip edin bu genci @saglikbakanligi @sagliklicozum ! https://t.co/PBqioBzvwN</t>
  </si>
  <si>
    <t>1462522425128669185</t>
  </si>
  <si>
    <t>@drfahrettinkoca Hangi insanlık?!!!</t>
  </si>
  <si>
    <t>1462522261622112260</t>
  </si>
  <si>
    <t>@drfahrettinkoca Bizlerin canimizin hicmi onemi yok saglik bakanisiniz lutfen siz yapmayın sizde iyi biliyorsunuz… https://t.co/m47EXdACWG</t>
  </si>
  <si>
    <t>1462522092306550786</t>
  </si>
  <si>
    <t>@drfahrettinkoca Bizlerden bu vakalara inanmamizida beklersiniz simdi kendi universitenizi online yaptiniz bize hak… https://t.co/An0rNpJ05o</t>
  </si>
  <si>
    <t>1462521837624119310</t>
  </si>
  <si>
    <t>@drfahrettinkoca Biraz da SMA hastası olan evlatlarımız ı görün ayıptır günahtır</t>
  </si>
  <si>
    <t>1462521655381667844</t>
  </si>
  <si>
    <t>@drfahrettinkoca Sayın bakan bundan sonra ki hastalıklar uyuz ve çiçek hastalığı mı olucak söyleyin bilelim insanla… https://t.co/c5t2wMXIdD</t>
  </si>
  <si>
    <t>1462520936939335684</t>
  </si>
  <si>
    <t>@drfahrettinkoca Sayın bakanım  aşı  oranı bu kadar yüksekse  bu ölüler  cebimizdenmi düşüyor. Lütfen insan ları aydinlatin</t>
  </si>
  <si>
    <t>1462520469454786573</t>
  </si>
  <si>
    <t>@drfahrettinkoca Daha sen aşı derdindesin fahrettin koca #OnlineEğitimBirHaktır</t>
  </si>
  <si>
    <t>1462520248993726469</t>
  </si>
  <si>
    <t>@drfahrettinkoca Aşıdan zarar görmediyse insanlar neden 1. Dozu yapmalarına rağmen 2. Dozu yapmıyorlar?  Sormak ger… https://t.co/w5cGPdcDGM</t>
  </si>
  <si>
    <t>1462519904884727816</t>
  </si>
  <si>
    <t>@drfahrettinkoca Okullarkn bir hafta tatil olmasi vaka sayılarınida etkiledi düşüş bu yüzden bence</t>
  </si>
  <si>
    <t>1462519758071472138</t>
  </si>
  <si>
    <t>@drfahrettinkoca Dolar arttı, yoksulluk arttı ,kabine toplantısından önce de  virüs azaldı. #VelilerEndiseliOnlineGelmeli</t>
  </si>
  <si>
    <t>1462519358836596746</t>
  </si>
  <si>
    <t>@drfahrettinkoca Tüm nüfusu aşılayan ülkelerde vakalar patlıyor. Aşı olmayın, pandemi bitsin. https://t.co/vJN6N49Gkw</t>
  </si>
  <si>
    <t>1462519175944065025</t>
  </si>
  <si>
    <t>@drfahrettinkoca @AristideBanceVU Son aşısının üstünden altı ay geçmemiş olanlardan bir harita mı paylaşsanız artık acaba?</t>
  </si>
  <si>
    <t>1462517567134838797</t>
  </si>
  <si>
    <t>@drfahrettinkoca İnsanlık Deme Küreselciler de Biz Kimin Aşılamayı İstediğini Biliyoruz ayrıca Ben Hatırlatayım Dah… https://t.co/mHuHzKXy6l</t>
  </si>
  <si>
    <t>1462517505185001474</t>
  </si>
  <si>
    <t>@drfahrettinkoca Hocam devlet hstnesine Gece test olmaya gidiyoruz mesai saatlerinde gelin deniliyor biz bulaşıcı h… https://t.co/btdElHgM33</t>
  </si>
  <si>
    <t>1462517113625661450</t>
  </si>
  <si>
    <t>@drfahrettinkoca Bunun en az 10 katı ve daha fazla olduğunu Dünyadaki Bilim insanları söylüyor. Devletler saklıyor,… https://t.co/FDOqKV7mX9</t>
  </si>
  <si>
    <t>1462517011557269509</t>
  </si>
  <si>
    <t>1462516981018603529</t>
  </si>
  <si>
    <t>@drfahrettinkoca Favipiravir için de ilk biz getirdik demiştin stoklar bitene kadar.. Açıkça desene kaç doz aşı ile… https://t.co/ERlaPnGikK</t>
  </si>
  <si>
    <t>1462516353261350922</t>
  </si>
  <si>
    <t>@drfahrettinkoca NE ZAMAN ANLAYACAKSINIZ GRAFEN TARTIŞMASININ SONU GELMEZ BİR TARTIŞMA OLARAK A.Ş.I KARŞITI GRUP TA… https://t.co/vOYKECLZnx</t>
  </si>
  <si>
    <t>1462516350610546703</t>
  </si>
  <si>
    <t>@drfahrettinkoca AK PARTİLİ VE DİĞER KÖRLER 29  Savaş zihinlerinizde gözünüzle gördükleriniz ve önyargılar, kuruntu… https://t.co/88zcwlO7AW</t>
  </si>
  <si>
    <t>1462516332042326025</t>
  </si>
  <si>
    <t>@drfahrettinkoca Bir düşünün dostlar, Covid 19'u Rotschild'in üreterek 5 milyon insanı öldürdüğünü dünyada tek bile… https://t.co/JAgNv1xuCC</t>
  </si>
  <si>
    <t>1462516316020084744</t>
  </si>
  <si>
    <t>@drfahrettinkoca AK PARTİLİ KÖRLER 26  Onlar Adem Neslini yok etmeye girişti.  Allah bizlere rahmet etti. Düşünüp,… https://t.co/nvWGGXDBBH</t>
  </si>
  <si>
    <t>1462516299721060365</t>
  </si>
  <si>
    <t>@drfahrettinkoca Onlar, Allah'ın Adem Nesli ile Cinsoyunu hangi tarihte karşı karşıya getireceklerini biliyorlardı… https://t.co/8EDPL6xC6J</t>
  </si>
  <si>
    <t>1462516286890692623</t>
  </si>
  <si>
    <t>@drfahrettinkoca COVİD 19 KARANLIĞININ DELİLLERİ !  A.Ş.ININ DETOKSU !  KİŞİLİK BOZUKLUKLARI YALANIN ASLI VE TEDAVİ… https://t.co/5pCVxy9bEs</t>
  </si>
  <si>
    <t>1462516273703792645</t>
  </si>
  <si>
    <t>@drfahrettinkoca BENİM SİZLERE ANLATTIKLARIM VE GÖSTERDİKLERİMLE ADNAN OKTAR BAĞLANTISI KURABİLENLER, ALLAH'IN VERD… https://t.co/dQKuYpWFhb</t>
  </si>
  <si>
    <t>1462516261045297166</t>
  </si>
  <si>
    <t>@drfahrettinkoca Bu kadar zor olmamalı bizi böyle bekletmeye hakkınız yok  1 yıl oldu alım olmayali koskocaman bir… https://t.co/2NEe4fucKm</t>
  </si>
  <si>
    <t>1462515996049170432</t>
  </si>
  <si>
    <t>@drfahrettinkoca Sayın Fahrettin koca sizin bilim kurulu üyeniz Habertürk kanalına bağlanarak favipiravir ilacının… https://t.co/32Ji50sFsj</t>
  </si>
  <si>
    <t>1462515785943953415</t>
  </si>
  <si>
    <t>@drfahrettinkoca Bu kadar zor olmamalı bizi böyle bekletmeye hakkınız yok  1 yıl oldu alım olmayali koskocaman bir… https://t.co/LNiAxIiOo7</t>
  </si>
  <si>
    <t>1462515634672218122</t>
  </si>
  <si>
    <t>@drfahrettinkoca Cebelitarıkta herkes aşılı ve vakalar yüksek. İnanmayan ve inanmayı bırakmış yeni vatan dostları,… https://t.co/CS0StcZePI</t>
  </si>
  <si>
    <t>1462515326961262595</t>
  </si>
  <si>
    <t>@drfahrettinkoca https://t.co/NRWkGe5q5s</t>
  </si>
  <si>
    <t>1462515181842538496</t>
  </si>
  <si>
    <t>@drfahrettinkoca @saglikbakanligi Allah bizi sizlerden kurtarsın. Sağlık düşmanları. İnsanlara korku panik endişe v… https://t.co/gJq4nsihst</t>
  </si>
  <si>
    <t>1462514734155063296</t>
  </si>
  <si>
    <t>@drfahrettinkoca İlaç stoğu eldemi kaldi kar mı düştü</t>
  </si>
  <si>
    <t>1462514600159625217</t>
  </si>
  <si>
    <t>@drfahrettinkoca Tedarik edemeyenlere bizim payımıza düşeni verin Başımızın sadakası olsun ama kendin kullanırsan daha makbule geçer</t>
  </si>
  <si>
    <t>1462514394131279877</t>
  </si>
  <si>
    <t>@drfahrettinkoca Sayın bakan babam favicovirden öldüğü günden beri sizi sevmiyorum</t>
  </si>
  <si>
    <t>1462513615152504835</t>
  </si>
  <si>
    <t>@drfahrettinkoca Camilerde salgın öncesi saf düzenine geçildi👍Bugün Gs_Fb derbisi oynandı, 50.000 kişi, maske&amp;amp;mesaf… https://t.co/oDSGMCqpQJ</t>
  </si>
  <si>
    <t>1462513483346497538</t>
  </si>
  <si>
    <t>@drfahrettinkoca Oralara gönderin o zaman. Hatta bize bi iyilik yapın da sizde gidin.</t>
  </si>
  <si>
    <t>1462512468014649345</t>
  </si>
  <si>
    <t>@drfahrettinkoca Neden isteğe göre yüzyüze veya online eğitim gelmiyor iki taraf içinde iyi olur öğrenciler ikiye b… https://t.co/ccn9MDp0ep</t>
  </si>
  <si>
    <t>1462511753661714432</t>
  </si>
  <si>
    <t>@drfahrettinkoca Benim annem kıronik hastalığı var ve 3 tane çocuğum okula gidiyor yeter artık bu korkuyla yaşamak… https://t.co/l1yQPXxuR2</t>
  </si>
  <si>
    <t>1462511462841303043</t>
  </si>
  <si>
    <t>@drfahrettinkoca Ölenlerin vebali senin boynuna olucak ,bunun öteki tarafını unutuyorsun bu dünya geniş o tarafta… https://t.co/S7DXhZFJV8</t>
  </si>
  <si>
    <t>1462511246050267142</t>
  </si>
  <si>
    <t>@drfahrettinkoca https://t.co/TVdkxRxDkU</t>
  </si>
  <si>
    <t>1462511236063674373</t>
  </si>
  <si>
    <t>1462511123979292683</t>
  </si>
  <si>
    <t>@drfahrettinkoca https://t.co/jAXZvPvNAx</t>
  </si>
  <si>
    <t>1462511071676219393</t>
  </si>
  <si>
    <t>@drfahrettinkoca Klavuzu yarın bekliyoruz bakan bey</t>
  </si>
  <si>
    <t>1462510672860884999</t>
  </si>
  <si>
    <t>@drfahrettinkoca Bakan Bey... https://t.co/bD3GTxV0lu</t>
  </si>
  <si>
    <t>1462510031333691394</t>
  </si>
  <si>
    <t>@drfahrettinkoca Biz de farklı bir şey demiyoruz, istekli olanlara ne kadar istiyorlarsa yapın sayın bakan ama biz… https://t.co/MGgRoLFBEh</t>
  </si>
  <si>
    <t>1462509951537098752</t>
  </si>
  <si>
    <t>@drfahrettinkoca Yalancı yalancı sana kimse inanmaz...... Böyle bir çocuk şarkısı vardı hay Allah aklıma geldi şimd… https://t.co/bAzcbzqfaM</t>
  </si>
  <si>
    <t>1462509743394672650</t>
  </si>
  <si>
    <t>@drfahrettinkoca #Türkovac ne zaman geliyor birşey belli değil dimi ?</t>
  </si>
  <si>
    <t>1462509709341204488</t>
  </si>
  <si>
    <t>1462509556643287043</t>
  </si>
  <si>
    <t>@drfahrettinkoca İnsanlık istekliymiş! Gidin o istekli olanları sıvılayın o zaman, sizi tutan mı var? Başkalarının… https://t.co/uZ7bEpD0rH</t>
  </si>
  <si>
    <t>1462508699239473152</t>
  </si>
  <si>
    <t>@drfahrettinkoca FİZYOTERAPİSTLER ADİL KILAVUZ İSTİYORe</t>
  </si>
  <si>
    <t>1462508542313783300</t>
  </si>
  <si>
    <t>@drfahrettinkoca FİZYOTERAPİSTLER ADİL KILAVUZ İSTİYORd</t>
  </si>
  <si>
    <t>1462508504632250370</t>
  </si>
  <si>
    <t>@drfahrettinkoca FİZYOTERAPİSTLER ADİL KILAVUZ İSTİYORa</t>
  </si>
  <si>
    <t>1462508470075371522</t>
  </si>
  <si>
    <t>@drfahrettinkoca FİZYOTERAPİSTLER ADİL KILAVUZ İSTİYOR</t>
  </si>
  <si>
    <t>1462508396876378118</t>
  </si>
  <si>
    <t>@drfahrettinkoca FAVİPRAVİR İLE KİMİN CEBİ DOLDU SEN ÖNCE ONUN HESABINI VER SAĞLIK BAKANI TÜM ÜLKEDEKİ İNSANLARI DE… https://t.co/FkKwAHYCEN</t>
  </si>
  <si>
    <t>1462508374013186054</t>
  </si>
  <si>
    <t>@drfahrettinkoca 🧿</t>
  </si>
  <si>
    <t>1462507992008560640</t>
  </si>
  <si>
    <t>@drfahrettinkoca 3 doz asıyı olan yakınımız covıde yakalandı ve daha nicelerı kımse bılmedıgı sıvıyı vucuduna sokma… https://t.co/Bmqr7tKe9i</t>
  </si>
  <si>
    <t>1462507796566532104</t>
  </si>
  <si>
    <t>@drfahrettinkoca Bu insanlar sizin üstlerinde deney yapacağınız denekler değil,sizin ne hakkınız var ki kandırarak… https://t.co/JKTU8hb264</t>
  </si>
  <si>
    <t>1462507775263657988</t>
  </si>
  <si>
    <t>@drfahrettinkoca SAYIN BAKANIM.....  İki hafta önce 40 bin duyurusu..   geldi peki ya sonrası ....  yine bilinmezli… https://t.co/fxFdIu9Y7u</t>
  </si>
  <si>
    <t>1462507699686592518</t>
  </si>
  <si>
    <t>@drfahrettinkoca evet sayın bakan bey Almanya aşı tedarik edemiyor bi el atmaklazım</t>
  </si>
  <si>
    <t>1462507603385372683</t>
  </si>
  <si>
    <t>@drfahrettinkoca https://t.co/zWGSs1KMU7</t>
  </si>
  <si>
    <t>1462507461965983750</t>
  </si>
  <si>
    <t>@drfahrettinkoca https://t.co/sRTn8R2yER</t>
  </si>
  <si>
    <t>1462506933672366092</t>
  </si>
  <si>
    <t>@drfahrettinkoca İnşallah bu millet tez zamanda uyanırda gerçekleri görürler, sizin gibi yalancılara inanmazlar, du… https://t.co/RNKVzPkIf4</t>
  </si>
  <si>
    <t>1462506890936598535</t>
  </si>
  <si>
    <t>@drfahrettinkoca https://t.co/CxQblx0lbW</t>
  </si>
  <si>
    <t>1462506867125596161</t>
  </si>
  <si>
    <t>@drfahrettinkoca https://t.co/oFxoZKbbzb</t>
  </si>
  <si>
    <t>1462506823848763396</t>
  </si>
  <si>
    <t>@drfahrettinkoca 21 KASIM 2020 AŞI YOK! TEST SAYISI:152.214 VAKA SAYISI:Veri yok HASTA SAYISI:5.532 ÖLÜM:135  21 KA… https://t.co/rX90RU26df</t>
  </si>
  <si>
    <t>1462506564896665605</t>
  </si>
  <si>
    <t>@drfahrettinkoca Ne başarısı,neyin başarısı Bakan efendi!? İnsanlık aşıya istekliymiş! Vatandaş sana ve ruhsatsız s… https://t.co/3SrneAhSWC</t>
  </si>
  <si>
    <t>1462506430494294018</t>
  </si>
  <si>
    <t>@drfahrettinkoca Aşı ve ilaçlarla insanları dönüşü olmayan bir uçuruma sürüklüyorsunuz</t>
  </si>
  <si>
    <t>1462505704078589953</t>
  </si>
  <si>
    <t>@drfahrettinkoca Yeter yeter yeter Her geçen gün nefretimiz çoğalıyor Sahi bu hesabı kim yönetiyor?</t>
  </si>
  <si>
    <t>1462505695467786241</t>
  </si>
  <si>
    <t>@drfahrettinkoca 2 dozu olduktan 1 ay sonra Abim 34 yaşında kalp krizi geçirdi.Ulan Allahsizlar !! Eger ki abime bi… https://t.co/otqQcmoran</t>
  </si>
  <si>
    <t>1462505660571082754</t>
  </si>
  <si>
    <t>@drfahrettinkoca Helal olsun sana şanlı urfa...</t>
  </si>
  <si>
    <t>1462505618082873345</t>
  </si>
  <si>
    <t>@drfahrettinkoca Aşı pcr istemiyoruz duyun artık sesimizi</t>
  </si>
  <si>
    <t>1462505145619685378</t>
  </si>
  <si>
    <t>@drfahrettinkoca https://t.co/paDslhp6El</t>
  </si>
  <si>
    <t>1462505043387719687</t>
  </si>
  <si>
    <t>@drfahrettinkoca TURKOVAC NE ZAMAN CİKACAK . ASİ OLMAK İCİN ONU BEKLİYORUM @drfahrettinkoca</t>
  </si>
  <si>
    <t>1462504907110600714</t>
  </si>
  <si>
    <t>@drfahrettinkoca Eee yeter gayri.. 18 yaş üzeri %80 aşılanması yapılmadı mı ?? Bu neyin zoru...</t>
  </si>
  <si>
    <t>1462504379387457539</t>
  </si>
  <si>
    <t>@drfahrettinkoca Secilmiş insanlar, su acı çeken çocukları ve ızdırap içinde ki aileleri görüpte nasıl rahat uyuyor… https://t.co/ehEqOVVEYe</t>
  </si>
  <si>
    <t>1462904201407877130</t>
  </si>
  <si>
    <t>@drfahrettinkoca Tümü aşıda mavi kategoride. Bu veriler aşı olma isteğini artırmak bir yana azaltıcı etki yapar. İl… https://t.co/05rrCjC671</t>
  </si>
  <si>
    <t>1462545636671336448</t>
  </si>
  <si>
    <t>@drfahrettinkoca Bı baksana bu illerdeki aşılama oranları %80 üzerinde neden acaba vakalar artıyor. Birde aşılama o… https://t.co/Up4XszZgo7</t>
  </si>
  <si>
    <t>1462536973223137283</t>
  </si>
  <si>
    <t>1462536683988168719</t>
  </si>
  <si>
    <t>@drfahrettinkoca Eee ne gibi tedbir ler Almayı düşünüyorsunuz</t>
  </si>
  <si>
    <t>1462533087783436291</t>
  </si>
  <si>
    <t>@drfahrettinkoca Bakan bey birde bu illerdeki aşı oranını açıklarsanız daha iyi olur. Hani aşı koruyordu ya oyüzden</t>
  </si>
  <si>
    <t>1462530864882069509</t>
  </si>
  <si>
    <t>@drfahrettinkoca Üniversite okuyan çocuklarıma bir şey olursa o zaman dünya ahiret yakanızdayım 😠</t>
  </si>
  <si>
    <t>1462529657077698561</t>
  </si>
  <si>
    <t>@drfahrettinkoca Bu iller mavi asılanalım mı nolacak halimiz bir doz dahamı olsak artık 3doz şart gibi</t>
  </si>
  <si>
    <t>1462527143791972365</t>
  </si>
  <si>
    <t>@drfahrettinkoca Bakanim ben asi yerine her aksam iki duble raki atsam asilimi sayiliyorum yoksa asisizmi eger asis… https://t.co/tjiuYxHcY2</t>
  </si>
  <si>
    <t>1462526251156094976</t>
  </si>
  <si>
    <t>@drfahrettinkoca Aşı diye bir şey yok aldatmaca hepsi . Bakan resmen yalan konuşuyor</t>
  </si>
  <si>
    <t>1462520213908381705</t>
  </si>
  <si>
    <t>@drfahrettinkoca Bu duyarsız ,donuk , empatiden yoksun , buyrukçu tavriniz mide bulandırıcı. Ben 20 yıl size oy ver… https://t.co/fWFhaKX7XY</t>
  </si>
  <si>
    <t>1462518584282865666</t>
  </si>
  <si>
    <t>@drfahrettinkoca Reklam filmi</t>
  </si>
  <si>
    <t>1462514181840723982</t>
  </si>
  <si>
    <t>@drfahrettinkoca Ne ara ölümsüz olduğunu sanıyorsun .geber içe ks in unutma</t>
  </si>
  <si>
    <t>1462512823628701705</t>
  </si>
  <si>
    <t>@drfahrettinkoca SAYIN BAKANIM.....  İki hafta önce 40 bin duyurusu..   geldi peki ya sonrası ....  yine bilinmezli… https://t.co/vtYwKrwsW4</t>
  </si>
  <si>
    <t>1462507756682887168</t>
  </si>
  <si>
    <t>@drfahrettinkoca Okullar virushane oldu sınıflarda en az 2 karantina oluyor</t>
  </si>
  <si>
    <t>1462507729910747145</t>
  </si>
  <si>
    <t>@drfahrettinkoca Allah aşkına vaka sayıları bu kadar yüksekken yüz yüze eğitim için bu ısrarınız niye zaten 2 3 der… https://t.co/LcwLcRoLxG</t>
  </si>
  <si>
    <t>1462505572729856006</t>
  </si>
  <si>
    <t>@drfahrettinkoca 2022 bittiği günde veri paylaşımına devam edilecek.O zamana gelindiğinde sıradan halk için 5.doz aşılar açılacak.</t>
  </si>
  <si>
    <t>1462505326314496004</t>
  </si>
  <si>
    <t>@drfahrettinkoca Saygı deger bakanım egitime ara vermemeniz saygıyla karşılıyorum yanlız size işinizi ögretmek hadd… https://t.co/6pVvXfdQPr</t>
  </si>
  <si>
    <t>1462556829993553921</t>
  </si>
  <si>
    <t>@drfahrettinkoca https://t.co/sD89hyVCi7 Böylesi bir sistemde biat etmemiz isteniyor  Kim salak kim akıllı amaç sağ… https://t.co/3ndph5xSeJ</t>
  </si>
  <si>
    <t>1462545849225924611</t>
  </si>
  <si>
    <t>@drfahrettinkoca Sayın bakanım; tam doz aşılarını ailece tam zamanında olmuş , önerdiğiniz tüm önlemlere dikkat etm… https://t.co/b5e5H3T6zW</t>
  </si>
  <si>
    <t>1462544833826988033</t>
  </si>
  <si>
    <t>1462536442698211338</t>
  </si>
  <si>
    <t>@drfahrettinkoca haritadan anlaşılan o ki,korona kürtlere ve araplara olumsuz etki etmiyor..</t>
  </si>
  <si>
    <t>1462532806828044288</t>
  </si>
  <si>
    <t>@drfahrettinkoca 👇🏻 https://t.co/fcQhAoN2yR</t>
  </si>
  <si>
    <t>1462532345416851461</t>
  </si>
  <si>
    <t>1462531106893447168</t>
  </si>
  <si>
    <t>@drfahrettinkoca Gerçekten çok garip bu tabloyu nasıl atıyorsunuz aklımızla dalga geçer gibi aşılama oranı en yükse… https://t.co/XWiNLKV8pU</t>
  </si>
  <si>
    <t>1462528478289534981</t>
  </si>
  <si>
    <t>@drfahrettinkoca Artık kimse size güvenmiyor</t>
  </si>
  <si>
    <t>1462525220137361421</t>
  </si>
  <si>
    <t>@drfahrettinkoca Sayın bakanım böyle bir haber okudum.  FDA, #Pfizer'in Covid-19 aşı verilerini 2076 yılına kadar g… https://t.co/gAS7wt8MLz</t>
  </si>
  <si>
    <t>1462519379338448903</t>
  </si>
  <si>
    <t>@drfahrettinkoca En Fazla Aşı Yapılan İlimiz Olan Ordu Neden En Fazla 100000 Kişide En Fazla Vaka Olan İlimiz Oluyo… https://t.co/FSwQilEzEj</t>
  </si>
  <si>
    <t>1462513051706478596</t>
  </si>
  <si>
    <t>@drfahrettinkoca Nasıl diyolar bide korona azalıyor böyle mi azalıyor 😔</t>
  </si>
  <si>
    <t>1462511959593701387</t>
  </si>
  <si>
    <t>@drfahrettinkoca SAYIN BAKANIM.....  İki hafta önce 40 bin duyurusu..   geldi peki ya sonrası ....  yine bilinmezli… https://t.co/pya6EMzbo6</t>
  </si>
  <si>
    <t>1462507547580149776</t>
  </si>
  <si>
    <t>@drfahrettinkoca Yaptığınız bakanlığa bak hepiniz paranın esiri olmuşsunuz KAPATSANIZA OKULLARI #VelilerEndiseliOnlineGelmeli</t>
  </si>
  <si>
    <t>1462505135117058048</t>
  </si>
  <si>
    <t>@drfahrettinkoca Aşı herkes olduktan sonra 4doz diyecekler 5doz diye gitcek çünkü biz bir deney faresiyiz</t>
  </si>
  <si>
    <t>1462537548128047106</t>
  </si>
  <si>
    <t>@drfahrettinkoca Valla mümkün değil.</t>
  </si>
  <si>
    <t>1462205518949371906</t>
  </si>
  <si>
    <t>@drfahrettinkoca Fahrettin Koca istifa !!!</t>
  </si>
  <si>
    <t>1462201670998310918</t>
  </si>
  <si>
    <t>@drfahrettinkoca toplam aşı olan sayısı yanlış 117913662 olması lazım</t>
  </si>
  <si>
    <t>1462201569898909711</t>
  </si>
  <si>
    <t>@drfahrettinkoca Online eğitim istigıruuuuuuZzzzz</t>
  </si>
  <si>
    <t>1462199852629176327</t>
  </si>
  <si>
    <t>@drfahrettinkoca uzaktan eğitim yap. kendi Medipol üniversitende yüzyüze eğitim ve uzaktan eğitim isteğe bağlı iken… https://t.co/YMeo1rsRLk</t>
  </si>
  <si>
    <t>1462199673972736004</t>
  </si>
  <si>
    <t>@drfahrettinkoca #MebYökOnlineEğitimHakkımız</t>
  </si>
  <si>
    <t>1462198604060311555</t>
  </si>
  <si>
    <t>@drfahrettinkoca https://t.co/ZmowmyRQJM bu fotoğrafın baş mimari sizlersiniz. Eserlerinizle gurur duyun. Zolgensma… https://t.co/wj2fHZq1dh</t>
  </si>
  <si>
    <t>1462195585969180675</t>
  </si>
  <si>
    <t>@drfahrettinkoca Sn Koca, hukukçuların kullandığı şu "hayatın olağan akışı" kriteri var ya, siz de covid 19 tedbirl… https://t.co/1nLEkdJtTb</t>
  </si>
  <si>
    <t>1462195251762892813</t>
  </si>
  <si>
    <t>@drfahrettinkoca “Aşılar” kisvesi altında enjekte edilen trilyonlarca nano partikül , her gün ve gece boyunca aşı k… https://t.co/ddBlB9eeLd</t>
  </si>
  <si>
    <t>1462192427108810758</t>
  </si>
  <si>
    <t>@drfahrettinkoca hastanede yatanların 60% tan fazlası iki doz aşılı! Bu nasıl bir iş? Buna bir mantıklı açıklamanız… https://t.co/GSvNP96H9c</t>
  </si>
  <si>
    <t>1462191998878769166</t>
  </si>
  <si>
    <t>@drfahrettinkoca Hocam saygılar, Hollanda’da yaşayan bir Türk vatandaşıyım. Çok merak ediyorum, devletler olarak ne… https://t.co/C26akhTYwc</t>
  </si>
  <si>
    <t>1462191351727071241</t>
  </si>
  <si>
    <t>@drfahrettinkoca bu gün tablodaki pozitiflerden biri de benim😔</t>
  </si>
  <si>
    <t>1462190765837373443</t>
  </si>
  <si>
    <t>@drfahrettinkoca Hocam</t>
  </si>
  <si>
    <t>1462190723978125319</t>
  </si>
  <si>
    <t>@drfahrettinkoca @Abdullaha_nefes @Abdullaha_nefes</t>
  </si>
  <si>
    <t>1462190578595209217</t>
  </si>
  <si>
    <t>@drfahrettinkoca Halen asi diyor kimse asi olmasın uyanın</t>
  </si>
  <si>
    <t>1462190271920316418</t>
  </si>
  <si>
    <t>@drfahrettinkoca #hssktr</t>
  </si>
  <si>
    <t>1462189930948476938</t>
  </si>
  <si>
    <t>@drfahrettinkoca Duyun artık sesimizi #MebYoekOnlineEğitimHakkımız</t>
  </si>
  <si>
    <t>1462189423215456257</t>
  </si>
  <si>
    <t>@drfahrettinkoca Nasil bu virüs bu ya nedense hiç 30 bini gecmedi</t>
  </si>
  <si>
    <t>1462189292063756289</t>
  </si>
  <si>
    <t>@drfahrettinkoca İnsanların sağlığı ile göz göre oynuyorsunuz. Etkisiz olan hatta zararı olan bir ilacı insanlara v… https://t.co/TVbC22kKt3</t>
  </si>
  <si>
    <t>1462187856886214657</t>
  </si>
  <si>
    <t>@drfahrettinkoca Sen kendin aşı olsana. Canın kıymetlidir. Sadece millete baskı yaparsınız.  Kullandığınız enjektör… https://t.co/GxCdyqJ0ZQ</t>
  </si>
  <si>
    <t>1462187765886504976</t>
  </si>
  <si>
    <t>@drfahrettinkoca Doymadinizmi katliama aşılardan ölenleri  sakat kalanlari gençlerde çocuklarda kalp krizinden ölen… https://t.co/DhNwM1Ndlh</t>
  </si>
  <si>
    <t>1462187450223280135</t>
  </si>
  <si>
    <t>@drfahrettinkoca https://t.co/jnVx8siEg5</t>
  </si>
  <si>
    <t>1462185210322333704</t>
  </si>
  <si>
    <t>@drfahrettinkoca iki aydır yardım çığlığı atıyoruz, taglerimiz en üst sıralara yerleşiyor. NE GÖREN NE DUYAN VAR NE… https://t.co/6bcU5xUWRM</t>
  </si>
  <si>
    <t>1462185041459564553</t>
  </si>
  <si>
    <t>@drfahrettinkoca https://t.co/aKnDw9RmF6</t>
  </si>
  <si>
    <t>1462184914346987524</t>
  </si>
  <si>
    <t>@drfahrettinkoca TÜRKİYE ne yaptı?! *** Küresel Bomba: ABD Hükümeti Pfizer ile Gizli Anlaşma İmzalayarak Şirkete AB… https://t.co/w7Z7TfU0TP</t>
  </si>
  <si>
    <t>1462184250124517380</t>
  </si>
  <si>
    <t>@drfahrettinkoca aşı işe yaramıyor işte niye bu çaba, bilakis kalp krizinden öldürüyor. amacınız ne, yoğun bakım aş… https://t.co/QCbf2oNh5X</t>
  </si>
  <si>
    <t>1462183087014658050</t>
  </si>
  <si>
    <t>@drfahrettinkoca öğretmenleri sadece 24 Kasım'da düşünmeyin iki aydır yalvarıyoruz öğretmenler öğrenciler virüs kap… https://t.co/pFPdGl3kGK</t>
  </si>
  <si>
    <t>1462181593305559044</t>
  </si>
  <si>
    <t>@drfahrettinkoca Bu açıklamayı bugün değil en başından yapacaktınız çünkü sosyal medyadan ‘toplumun yüzde 80i aşı o… https://t.co/9C0etjSkt5</t>
  </si>
  <si>
    <t>1462181420395384832</t>
  </si>
  <si>
    <t>@drfahrettinkoca Okulları kapatın #MebYoekOnlineEğitimHakkımız</t>
  </si>
  <si>
    <t>1462180613239287812</t>
  </si>
  <si>
    <t>@drfahrettinkoca 2 Doz Biontech Oldum Olmaz Olsaydım Bundan Sonra İmkanı Yok Olmam 3.Doz Falan.</t>
  </si>
  <si>
    <t>1462178261979516933</t>
  </si>
  <si>
    <t>@drfahrettinkoca 200 bin kişinin derdini anlattığı TAG açıldı Öğrenciler öğretmenler okulda virüse maruz kalıyor aş… https://t.co/YH5ZML6wXv</t>
  </si>
  <si>
    <t>1462177936459636740</t>
  </si>
  <si>
    <t>@drfahrettinkoca Biktik sizden ya bi gidin artik</t>
  </si>
  <si>
    <t>1462177907154038788</t>
  </si>
  <si>
    <t>@drfahrettinkoca 200 bin kişinin derdini anlattığı TAG açıldı Öğrenciler öğretmenler okulda virüse maruz kalıyor aş… https://t.co/bgDC4CxloD</t>
  </si>
  <si>
    <t>1462177882231427082</t>
  </si>
  <si>
    <t>@drfahrettinkoca 200 bin kişinin derdini anlattığı TAG açıldı DİNLEDİNİZ Mİ BİZİ? NE ÖNLEMLER ALDINIZ? NE YAPTINIZ… https://t.co/yQ1rIC0N7x</t>
  </si>
  <si>
    <t>1462177174316855303</t>
  </si>
  <si>
    <t>@drfahrettinkoca 200 bin kişinin derdini anlattığı TAG açıldı DİNLEDİNİZ Mİ BİZİ? NE ÖNLEMLER ALDINIZ?NE YAPTINIZ B… https://t.co/YP2vt4Ijgl</t>
  </si>
  <si>
    <t>1462177095220662274</t>
  </si>
  <si>
    <t>@drfahrettinkoca Sayın bakanım üniversiteler ve okullar kesinlikle yüz yüze devam, kararınızdan ne olursa olsun sap… https://t.co/IGVl9T0prE</t>
  </si>
  <si>
    <t>1462175447882608649</t>
  </si>
  <si>
    <t>@drfahrettinkoca allah sezi akıl versin</t>
  </si>
  <si>
    <t>1462175197847556102</t>
  </si>
  <si>
    <t>@drfahrettinkoca Zolgensma ilacini getirin Fahrettin Bey!!! YETER ARTIK!!!!!</t>
  </si>
  <si>
    <t>1462175147826286594</t>
  </si>
  <si>
    <t>@drfahrettinkoca Veliler bile çocuklarını okulla yollamak istemiyor.</t>
  </si>
  <si>
    <t>1462174016395952142</t>
  </si>
  <si>
    <t>@drfahrettinkoca Aşı hiç bir işe yaramıyor niye bu kadar zorluyorsunuz</t>
  </si>
  <si>
    <t>1462173687982039043</t>
  </si>
  <si>
    <t>@drfahrettinkoca Daha fazla birbirimizi üzmeye gerek yok ne bizim yüzümüzden biri vefat etsin ne de benim ailem baş… https://t.co/ReN3OTnvlC</t>
  </si>
  <si>
    <t>1462173599700238343</t>
  </si>
  <si>
    <t>@drfahrettinkoca Allahın işine bak 23binde kaldı ve çıkmıyorrrr</t>
  </si>
  <si>
    <t>1462173554540261376</t>
  </si>
  <si>
    <t>@drfahrettinkoca Maskeyle rahat nefes alamazken dersleri o stres altın da anlayamıyoruz   #MebYokOnlineEğitimHakkımız</t>
  </si>
  <si>
    <t>1462173471056740358</t>
  </si>
  <si>
    <t>@drfahrettinkoca Arkadaşımın annesi arkadaşımdan kapıp vefat etti çocuk kendini suçluyor daha fazla ev üyesi eksilmeden online gelmeli</t>
  </si>
  <si>
    <t>1462173450672431106</t>
  </si>
  <si>
    <t>@drfahrettinkoca Çevir kazı yanmasın. Artık yemiyoruz sayın bakan, vazgeç artık</t>
  </si>
  <si>
    <t>1462173244576911361</t>
  </si>
  <si>
    <t>@drfahrettinkoca Sağlıklı bir eğitim için online eğitim istiyoruz #MebYokOnlineEğitimHakkımız</t>
  </si>
  <si>
    <t>1462173243285069829</t>
  </si>
  <si>
    <t>@drfahrettinkoca "Hadi oradan" derdi rahmetli Erbakan hoca bu gibi durumlarda</t>
  </si>
  <si>
    <t>1462173074388926465</t>
  </si>
  <si>
    <t>@drfahrettinkoca Herkesin okula gitmesi için özel aracı veya servise verecekleri paraları yok bu öğrenciler tıklım tıklım otobüslere biniyor</t>
  </si>
  <si>
    <t>1462173028121468932</t>
  </si>
  <si>
    <t>@drfahrettinkoca 8 dersi azaltın ölüyoruz nefes alamıyoruz!  40 dakikayı azaltın ölüyoruz maskeyle  eğitim sistemin… https://t.co/Tb6f8mEezi</t>
  </si>
  <si>
    <t>1462172924186660867</t>
  </si>
  <si>
    <t>@drfahrettinkoca Su tatilde bile vaka sayısı ve vefat sayısı düşmedi online eğitim gelmeli ve saat yasakları tekrar gelmelidir</t>
  </si>
  <si>
    <t>1462172910911635462</t>
  </si>
  <si>
    <t>@drfahrettinkoca Takke düştü malesef sayın bakanım.  Keli görenlere selam olsun.</t>
  </si>
  <si>
    <t>1462172711002771457</t>
  </si>
  <si>
    <t>@drfahrettinkoca 8 dersi azaltın ölüyoruz nefes alamıyoruz  40 dakikayı azaltın ölüyoruz maskeyle  eğitim sistemini… https://t.co/nEtFMNvBgv</t>
  </si>
  <si>
    <t>1462172698189123596</t>
  </si>
  <si>
    <t>@drfahrettinkoca 8 dersi azaltın ölüyoruz nefes alamıyoruz  40 dakikayı azaltın ölüyoruz maskeyle  eğitim sistemini… https://t.co/ciq35JcElY</t>
  </si>
  <si>
    <t>1462172579310014469</t>
  </si>
  <si>
    <t>@drfahrettinkoca Eveeet Paris antlaşmasınin gereği olan hayvan katliamına kanatlilardan başladılar. Büyük ve küçükb… https://t.co/Z4GumPSrlU</t>
  </si>
  <si>
    <t>1462170164217188353</t>
  </si>
  <si>
    <t>@drfahrettinkoca Eveeet Paris antlaşmasınin gereği olan hayvan katliamına kanatlilardan başladılar. Büyük ve küçükb… https://t.co/d2HTQdUIA4</t>
  </si>
  <si>
    <t>1462170081153142790</t>
  </si>
  <si>
    <t>@drfahrettinkoca Eveeet Paris antlaşmasınin gereği olan hayvan katliamına kanatlilardan başladılar. Büyük ve küçükb… https://t.co/OBDAHTpaUJ</t>
  </si>
  <si>
    <t>1462169992443703300</t>
  </si>
  <si>
    <t>@drfahrettinkoca Tüm ülkeler ayağa kalktı... Yahu milleti kırıp geçirdiniz aşılarla, 18 yaş altına uzanmayın!!! Aşı… https://t.co/vhJ0fQjL4b</t>
  </si>
  <si>
    <t>1462169470911270919</t>
  </si>
  <si>
    <t>@drfahrettinkoca Merhaba  Bizler Patoloji laboratuvar teknikeri bölümünden mezun olmuş meslek tanımı olmayan kimlik… https://t.co/BQei7xcNoa</t>
  </si>
  <si>
    <t>1462169217302732808</t>
  </si>
  <si>
    <t>@drfahrettinkoca Deney sıvısı ve biz denek!!!</t>
  </si>
  <si>
    <t>1462168904659255296</t>
  </si>
  <si>
    <t>@drfahrettinkoca 5 yaş üstüne de aşılama başlatın, en az %7-8 de ordan gelecektir</t>
  </si>
  <si>
    <t>1462168113781346308</t>
  </si>
  <si>
    <t>@drfahrettinkoca Siz dahil kimse bu rakamlara inanmıyor. Acilen online eğitime geçilmesi gerekiyor. Maske takan zat… https://t.co/18pj3trp46</t>
  </si>
  <si>
    <t>1462167233736622081</t>
  </si>
  <si>
    <t>@drfahrettinkoca Bu milleti yakıyor heba ediyor sunuz. İlaç öldürür aşı süründürür https://t.co/sqygd7bviz</t>
  </si>
  <si>
    <t>1462167196038316042</t>
  </si>
  <si>
    <t>@drfahrettinkoca L pnl    ln   m   .kjkkkkkjş</t>
  </si>
  <si>
    <t>1462167158113411082</t>
  </si>
  <si>
    <t>@drfahrettinkoca #MebYökOnlineEğitimHakkımız of</t>
  </si>
  <si>
    <t>1462167044128968705</t>
  </si>
  <si>
    <t>@drfahrettinkoca BAKANIM  Kadir inanır  asılıydı(allah acil şifalar versin)  geçmiş olsun  derken lutfen AŞI oldugu… https://t.co/6BBEX8hwmc</t>
  </si>
  <si>
    <t>1462166803552034829</t>
  </si>
  <si>
    <t>@drfahrettinkoca Ben çok içten ak partiliyim sirf şu aşı dayatması için oy vermeyeceğim sayın bakan</t>
  </si>
  <si>
    <t>1462166556423729158</t>
  </si>
  <si>
    <t>@drfahrettinkoca Sayın bakanım her gün 200 insan ölüyor neden bir şey yapılmadı</t>
  </si>
  <si>
    <t>1462166554888527872</t>
  </si>
  <si>
    <t>@drfahrettinkoca D</t>
  </si>
  <si>
    <t>1462165669412319239</t>
  </si>
  <si>
    <t>@drfahrettinkoca yüz de yüz olunca kimse ölmeyecek mi?</t>
  </si>
  <si>
    <t>1462164927402102787</t>
  </si>
  <si>
    <t>@drfahrettinkoca Geç olmadan online eğitim istiyoruz</t>
  </si>
  <si>
    <t>1462164534450393098</t>
  </si>
  <si>
    <t>@drfahrettinkoca Sayın Sağlık bakanı 2 doz sinovac olan teyzem bugün vefat etti Şimdi ne olacak? Alın size aşı ölen… https://t.co/ArICMv47YQ</t>
  </si>
  <si>
    <t>1462164467416973312</t>
  </si>
  <si>
    <t>@drfahrettinkoca @drfahrettinkoca   Sn. bakanim size tek bir soru sormak istiyorum okullar kapanmadigi takdirde All… https://t.co/g73y7lU3tw</t>
  </si>
  <si>
    <t>1462164102135128071</t>
  </si>
  <si>
    <t>@drfahrettinkoca https://t.co/redy5l4vAd</t>
  </si>
  <si>
    <t>1462163971964911630</t>
  </si>
  <si>
    <t>@drfahrettinkoca Bizi öldürmeye kafayı taktınız belli çocuklarımızdan uzak durun !!</t>
  </si>
  <si>
    <t>1462163049608105994</t>
  </si>
  <si>
    <t>@drfahrettinkoca Sayılarla ve insanlığa zulümle bozdunuz kafayı, siz kuklacılık oyununuzu oynarken Eskişehir ilimiz… https://t.co/u1DYtIHaLC</t>
  </si>
  <si>
    <t>1462162638864011264</t>
  </si>
  <si>
    <t>@drfahrettinkoca Cebelitarık %100 aşılandı değilmi peki neden günlük vaka ve ölümler oluyor sayın kahrettin hoca? Y… https://t.co/vq9F3wbXBr</t>
  </si>
  <si>
    <t>1462161745590591490</t>
  </si>
  <si>
    <t>@drfahrettinkoca Günlük 20-23 bin vaka, 200-230 arası ölüm, aylardır bu böyle, tezgahı tam dengede idare ediyonuz,</t>
  </si>
  <si>
    <t>1462161681803583497</t>
  </si>
  <si>
    <t>@drfahrettinkoca Aşı olunca ölümsüz olunmuyor ne olacak ve tam gün çalışırken maske içinde oksijensiz kalanlar sizi… https://t.co/H5tipNN59c</t>
  </si>
  <si>
    <t>1462158872483876871</t>
  </si>
  <si>
    <t>@drfahrettinkoca Böyle bıdı bıdı ile olmuyor 👎🏻</t>
  </si>
  <si>
    <t>1462158790258827268</t>
  </si>
  <si>
    <t>@drfahrettinkoca Süfyan!</t>
  </si>
  <si>
    <t>1462207298684784647</t>
  </si>
  <si>
    <t>@drfahrettinkoca Hadi ya lütfen kapat</t>
  </si>
  <si>
    <t>1462207272105484293</t>
  </si>
  <si>
    <t>@drfahrettinkoca Lan hayırsız desem dava açar en iyisi demim bence okulları kapat sınıfta korona çıktı ertesi ders okuldan kaçtım</t>
  </si>
  <si>
    <t>1462206694126141444</t>
  </si>
  <si>
    <t>@drfahrettinkoca Aşıların işe yaradığına inanıyorsunuz..!! Çok safsınız yazık..</t>
  </si>
  <si>
    <t>1462157830132318210</t>
  </si>
  <si>
    <t>@drfahrettinkoca Sma hastası bebeklere destek olun artık seslerini duyun lütfen https://t.co/QdcwW1CZFP</t>
  </si>
  <si>
    <t>1462157403781275651</t>
  </si>
  <si>
    <t>@drfahrettinkoca Dsö terör örgütüne aşkla mı yoksa korkuyla mı bağlısınız??!!! Sizi gidi terörist sevicileri sizi..… https://t.co/YpjQ1R81aU</t>
  </si>
  <si>
    <t>1462156853530570760</t>
  </si>
  <si>
    <t>@drfahrettinkoca Siz oyaladıkça biz tükeniyoruz.</t>
  </si>
  <si>
    <t>1462155009894891520</t>
  </si>
  <si>
    <t>@drfahrettinkoca Bi sus artık. Senin yüzünden millet işinden gücünden sağlığından oldu.</t>
  </si>
  <si>
    <t>1462154220786827272</t>
  </si>
  <si>
    <t>@drfahrettinkoca Senin asi mumessiligi disinda baska isin yokmu SMA lı bir bebegin annesi çaresizlik yüzunden hayat… https://t.co/NBAhexydyH</t>
  </si>
  <si>
    <t>1462154110418001934</t>
  </si>
  <si>
    <t>@drfahrettinkoca 20 KASIM 2020 AŞI YOK! TEST SAYISI:156.642 VAKA SAYISI:Veri yok HASTA SAYISI:5.103 ÖLÜM:141  20 KA… https://t.co/Sj9OahfqRd</t>
  </si>
  <si>
    <t>1462154095909871621</t>
  </si>
  <si>
    <t>@drfahrettinkoca Aşısızlardan değil Aşıdan korkun https://t.co/Raj0nMAnu1</t>
  </si>
  <si>
    <t>1462153835682672642</t>
  </si>
  <si>
    <t>@drfahrettinkoca https://t.co/f9Ju8mIkO1</t>
  </si>
  <si>
    <t>1462153734696411137</t>
  </si>
  <si>
    <t>@drfahrettinkoca vajinismus ne</t>
  </si>
  <si>
    <t>1462153463895314436</t>
  </si>
  <si>
    <t>@drfahrettinkoca Sayın bakanım sınavlar onlıne olsun okullarda onlıne olsun lütfen ortada can var vakalar artıyor v… https://t.co/ofXjQz4BL4</t>
  </si>
  <si>
    <t>1462153451819999236</t>
  </si>
  <si>
    <t>@drfahrettinkoca 18 yaş altındaki cocuklar bulaştırmiyor sanırım dikkate almadığıniza göre. Dünyanın en saçma istat… https://t.co/GlO963yyFq</t>
  </si>
  <si>
    <t>1462153038618140674</t>
  </si>
  <si>
    <t>@drfahrettinkoca Sen kimsin be adam?</t>
  </si>
  <si>
    <t>1462152734430355462</t>
  </si>
  <si>
    <t>@drfahrettinkoca YÜRÜ GİT.</t>
  </si>
  <si>
    <t>1462152386135437324</t>
  </si>
  <si>
    <t>@drfahrettinkoca Yakında pardon aşılar işe yaramadı diyeceklerine kesin gözüyle bakıyorum..!!!</t>
  </si>
  <si>
    <t>1462151713671024646</t>
  </si>
  <si>
    <t>@drfahrettinkoca Firmanın sahibi Bülent Atabay…  Şirketi 1939 yılında kuruldu. Köklü ilaç firması olarak tanınıyor.… https://t.co/4X38m7D4Un</t>
  </si>
  <si>
    <t>1462151569261142024</t>
  </si>
  <si>
    <t>@drfahrettinkoca Hesapsız, kitapsız aşı diye dayatıyorsun ya Daha düne kadar 8+8 millete verdiğiniz o ihtişamlı kon… https://t.co/ql4lr2PJOS</t>
  </si>
  <si>
    <t>1462150691540119560</t>
  </si>
  <si>
    <t>@drfahrettinkoca Sayın Bakanım SMA hastası bebeklerin umudu olan Zolgensma tedavisi artık devlet kapsamına alınsın… https://t.co/ggBokW2gH1</t>
  </si>
  <si>
    <t>1462150010716446725</t>
  </si>
  <si>
    <t>@drfahrettinkoca Müdür sen aşıyı boş-verde sekiz sekiz ilaç verip öldürülen insanların vebalini konuş. Olur böyle d… https://t.co/1MhO35rjJE</t>
  </si>
  <si>
    <t>1462149256480010241</t>
  </si>
  <si>
    <t>@drfahrettinkoca Valla helal olsun virüsümüze 23binlerde takildi bu seferde.kendince bir örüntü oluşturmuş ilerliyor...</t>
  </si>
  <si>
    <t>1462149244576538629</t>
  </si>
  <si>
    <t>@drfahrettinkoca #MebYokOnlineEğitimHakkımız  Gençler pisliğin içinde terkedilmiş durumda hiç mi vicdanınız merhame… https://t.co/OmB4sejlm8</t>
  </si>
  <si>
    <t>1462149059398062085</t>
  </si>
  <si>
    <t>@drfahrettinkoca Allah Devletimize Hükümetimize zeval vermesin.</t>
  </si>
  <si>
    <t>1462148953059864581</t>
  </si>
  <si>
    <t>@drfahrettinkoca #MebYokOnlineEğitimHakkımız  Artık aşı olmaz kimse.  Çünkü bir Allah'ın kulu size inanmıyor neden… https://t.co/1z0qmsSDhC</t>
  </si>
  <si>
    <t>1462148356713631753</t>
  </si>
  <si>
    <t>@drfahrettinkoca Çok korona var okul online daha iyi</t>
  </si>
  <si>
    <t>1462148308542136324</t>
  </si>
  <si>
    <t>@drfahrettinkoca #MebYokOnlineEğitimHakkımız  Neyin önlemi? @drfahrettinkoca  @tcmeb  @saglikbakanligi  @tcbestepe… https://t.co/7HjAQhINbZ</t>
  </si>
  <si>
    <t>1462147842282332162</t>
  </si>
  <si>
    <t>@drfahrettinkoca müdür aşı çalışmıyor. geçen senede 250 kişi ölüyordu günlük bu sene 230 . eeee aşı nereye getti müdür.</t>
  </si>
  <si>
    <t>1462147787425034243</t>
  </si>
  <si>
    <t>@drfahrettinkoca Yazık ki Ne Yazık Bugüne Kadar Dünya Tarihinde Gelmiş Geçmiş En Büyük Korku İmparatorluğuna Milyon… https://t.co/pHGkTazw1n</t>
  </si>
  <si>
    <t>1462147691421605889</t>
  </si>
  <si>
    <t>@drfahrettinkoca Her gün çıkıp yalan söylemek zor olmasa gerek 😉</t>
  </si>
  <si>
    <t>1462146089545515011</t>
  </si>
  <si>
    <t>@drfahrettinkoca @saglikbakanligi Bugün yapılan ataaof sınavından sonra haftaya bakın Kastamonudaki vaka sayısı nas… https://t.co/KtG9DLi5Lz</t>
  </si>
  <si>
    <t>1462146063150858247</t>
  </si>
  <si>
    <t>@drfahrettinkoca 1 yıldır atama bekleyenlerin sayısı hala 740 bin klavuz hala gelmedi ki 40 bini düşürelim</t>
  </si>
  <si>
    <t>1462144959117766671</t>
  </si>
  <si>
    <t>1462144750430179328</t>
  </si>
  <si>
    <t>1462144730758799360</t>
  </si>
  <si>
    <t>@drfahrettinkoca SAĞLIKÇILAR KILAVUZU BİR İKİ HAFTADIR DEĞİL KOCA BİR YILDIR BEKLİYORm</t>
  </si>
  <si>
    <t>1462144716296884232</t>
  </si>
  <si>
    <t>1462144698227822597</t>
  </si>
  <si>
    <t>1462144683107397643</t>
  </si>
  <si>
    <t>1462144668997726221</t>
  </si>
  <si>
    <t>1462144652144955404</t>
  </si>
  <si>
    <t>1462144637649436679</t>
  </si>
  <si>
    <t>@drfahrettinkoca 120 milyon doz aşıdan sonra vakalar ve ölümler x10 yapmış hala aşı diyorsun.</t>
  </si>
  <si>
    <t>1462144626677227523</t>
  </si>
  <si>
    <t>1462144622684221449</t>
  </si>
  <si>
    <t>1462144607727333376</t>
  </si>
  <si>
    <t>1462144593571598337</t>
  </si>
  <si>
    <t>1462144580166504462</t>
  </si>
  <si>
    <t>1462144565989847044</t>
  </si>
  <si>
    <t>1462144551276228617</t>
  </si>
  <si>
    <t>1462144529268682758</t>
  </si>
  <si>
    <t>1462144513577787400</t>
  </si>
  <si>
    <t>@drfahrettinkoca 1 2 3 4 doz deyip surekli revize ediyorsunuz, kimi yan etkiden kimi ağridan kimi artik surekli doz… https://t.co/fCvJuSxN1T</t>
  </si>
  <si>
    <t>1462144505700884482</t>
  </si>
  <si>
    <t>1462144497375141894</t>
  </si>
  <si>
    <t>1462144482242142216</t>
  </si>
  <si>
    <t>1462144467205505037</t>
  </si>
  <si>
    <t>@drfahrettinkoca Türkiye bu günleride atlatacak inşşallah</t>
  </si>
  <si>
    <t>1462144457529335817</t>
  </si>
  <si>
    <t>1462144452391317508</t>
  </si>
  <si>
    <t>1462144436956246019</t>
  </si>
  <si>
    <t>1462144422540361730</t>
  </si>
  <si>
    <t>1462144407642198033</t>
  </si>
  <si>
    <t>1462144391259344905</t>
  </si>
  <si>
    <t>1462144376608595971</t>
  </si>
  <si>
    <t>1462144362343800839</t>
  </si>
  <si>
    <t>1462144346489335811</t>
  </si>
  <si>
    <t>1462144330336980993</t>
  </si>
  <si>
    <t>1462144314222460939</t>
  </si>
  <si>
    <t>1462144297269092357</t>
  </si>
  <si>
    <t>1462144281049808897</t>
  </si>
  <si>
    <t>1462144264759037955</t>
  </si>
  <si>
    <t>1462144248388718601</t>
  </si>
  <si>
    <t>1462144231150080005</t>
  </si>
  <si>
    <t>1462144180482981890</t>
  </si>
  <si>
    <t>@drfahrettinkoca Aylardır atama bekliyoruz! Verilen sözler neden tutulmuyor?</t>
  </si>
  <si>
    <t>1462143892841811975</t>
  </si>
  <si>
    <t>@drfahrettinkoca Metaverse inşa edilirken hala vizyonu olmayan bakanlık asi olun diye fısıldıyor herkes uyuyor...</t>
  </si>
  <si>
    <t>1462143633713475584</t>
  </si>
  <si>
    <t>@drfahrettinkoca Aşıları münasip bir yerine sakla sayın bakanım.</t>
  </si>
  <si>
    <t>1462142779933474822</t>
  </si>
  <si>
    <t>@drfahrettinkoca Vicdan diye birşey var sadece insanlarda bulunur https://t.co/isC8HCOV0i</t>
  </si>
  <si>
    <t>1462142729438310403</t>
  </si>
  <si>
    <t>@drfahrettinkoca Avrupa  aşı oluyor , virüs rekor kırıyor sırayla kapanıyorlar, israil 3 doz tam aşılı virüs zirved… https://t.co/5NgJj5p4Sp</t>
  </si>
  <si>
    <t>1462142542095466504</t>
  </si>
  <si>
    <t>@drfahrettinkoca Sayın Bakanım, kamyon devrilmeden aşı olmayanlara bir önlem alsak. Ya teşvik ya kısıtlama, Avrupanın hali ortada.</t>
  </si>
  <si>
    <t>1462142443416137734</t>
  </si>
  <si>
    <t>@drfahrettinkoca Aşının üretildiği ve aşı orani en yüksek Almanya hastaliktan kırılıyor...siz artik oturun da ülke… https://t.co/HcU6tBvJr3</t>
  </si>
  <si>
    <t>1462142137752072194</t>
  </si>
  <si>
    <t>@drfahrettinkoca Bırak şu koronayı smalı bebeklere bir şeyler yap bugün bir anne intihar etti haberin vardır belki</t>
  </si>
  <si>
    <t>1462142066578927622</t>
  </si>
  <si>
    <t>@drfahrettinkoca Nerdeyse 1 yıldır aynı yalanı söylemekten bıkmadınız. Aşılanma arttıkça salgın bitmiyor hatta artıyor. Azcık akıl...</t>
  </si>
  <si>
    <t>1462141877533265925</t>
  </si>
  <si>
    <t>@drfahrettinkoca Bundan sonra rahat olun.virus banada geldi. canavar gibiyim.yakında TÜRK mutasyonunu… https://t.co/IeHzBnT8sV</t>
  </si>
  <si>
    <t>1462141839037845505</t>
  </si>
  <si>
    <t>@drfahrettinkoca #MebYoekOnlineEğitimHakkımız</t>
  </si>
  <si>
    <t>1462141774365929479</t>
  </si>
  <si>
    <t>@drfahrettinkoca Altı aydır siZi takip ediyorum günlük 200 Den fazla ölümler vardır bunu düşürmek için sadece aşımı… https://t.co/q99PHMlE2A</t>
  </si>
  <si>
    <t>1462141683869564931</t>
  </si>
  <si>
    <t>@drfahrettinkoca 12 yaş ve altında ki çocuklara aşı vurduran ailelerden çocuklar koruma altına alınıp aileye kasten… https://t.co/GTI3eW5Y9R</t>
  </si>
  <si>
    <t>1462140741388578819</t>
  </si>
  <si>
    <t>@drfahrettinkoca HASTASINIZ SİZ!! BEYNİNİZ KALBİNİZ HASTA!!!  #fahrettinkocaTUTUKLANSIN  #bilimkuruluTUTUKLANSIN… https://t.co/IxhSDN2wyT</t>
  </si>
  <si>
    <t>1462140703610441732</t>
  </si>
  <si>
    <t>@drfahrettinkoca Aşının koruduğu koca bi yalan bizim öğretmen test yaptırmış buğün korona olmuş bu öğretmenler aşılı</t>
  </si>
  <si>
    <t>1462140694617858049</t>
  </si>
  <si>
    <t>@drfahrettinkoca Koskoca Hükümette , Devletimizde , Allah  C.C den korkan , Sağlık Bakanına dur diyecek , Cumhurbaş… https://t.co/OK1AbiLZ46</t>
  </si>
  <si>
    <t>1462139608343498755</t>
  </si>
  <si>
    <t>@drfahrettinkoca https://t.co/xvgl8aQKX7</t>
  </si>
  <si>
    <t>1462139606539902980</t>
  </si>
  <si>
    <t>@drfahrettinkoca Bonibon mu bu ?  Tek tip DSÖ korona tedavi protokolü ile canınıza kastediliyor.… https://t.co/h9LZ0DsHn5</t>
  </si>
  <si>
    <t>1462138906976129031</t>
  </si>
  <si>
    <t>@drfahrettinkoca SAYIN BAKANIM SMA LI BEBEKLERİN SESİNİ DUYUYOR MUSUNUZ ❓SMA HASTASI MUZAFFER BEBEĞİN ANNESİ EVLADI… https://t.co/bPmFYcIR0V</t>
  </si>
  <si>
    <t>1462138352354869261</t>
  </si>
  <si>
    <t>@drfahrettinkoca Kovidin (gribin) aşısı olmaz . Her sene yenisi çıkar bunun. Prof. Dr. Canan Karatay 2020 plandemi… https://t.co/JWicS7mYbB</t>
  </si>
  <si>
    <t>1462138335971975169</t>
  </si>
  <si>
    <t>@drfahrettinkoca Ne oldu alacağını alamadınmı hala millete saldırıyorsunuz yine mahkemei kübrada görüşeceğiz elbet</t>
  </si>
  <si>
    <t>1462138050859962370</t>
  </si>
  <si>
    <t>@drfahrettinkoca Önlem sosyal mesafe vs diyorsunuz bağcılar devlet hastanesi ortapedi bölümünde sistem yok hekes ka… https://t.co/6mIq9t3VP4</t>
  </si>
  <si>
    <t>1462137935545913347</t>
  </si>
  <si>
    <t>@drfahrettinkoca Kılavuzu yayınlayın bakanım gözümüz kulağımız sizde beklemek çok yordu lütfen artık cağrılarımıza ses verin</t>
  </si>
  <si>
    <t>1462137874019762185</t>
  </si>
  <si>
    <t>@drfahrettinkoca Umarım pazartesi bu haberleri dikkate alarak karalar verirsiniz Acil online eğitim ‼️… https://t.co/mBC203CZ9e</t>
  </si>
  <si>
    <t>1462137860635742209</t>
  </si>
  <si>
    <t>@drfahrettinkoca https://t.co/bZoalrWGCK</t>
  </si>
  <si>
    <t>1462137818168410113</t>
  </si>
  <si>
    <t>@drfahrettinkoca Durmadan Aşı çığırtkanlığı yapacağına bu garibanları niye görmüyorsun. Sen ne biçim Sağlık Bakanıs… https://t.co/Qs505JQnFK</t>
  </si>
  <si>
    <t>1462137641000968193</t>
  </si>
  <si>
    <t>@drfahrettinkoca Çok güldüm sana</t>
  </si>
  <si>
    <t>1462137375983820803</t>
  </si>
  <si>
    <t>@drfahrettinkoca BOŞUNA YAZMANNN BİZİM TWEET LERE BAKMIYOR ALDIRIŞ BİLE ETMİYOR TAS OLSA CATLARDI BUNDA ÇİZİK BİLE YOK.</t>
  </si>
  <si>
    <t>1462137241480974343</t>
  </si>
  <si>
    <t>@drfahrettinkoca Ara tatilin bitmesine bir gün kaldı tüm aileler huzursuz vaziyetteyiz,Hava koşulları kötü ,lütfen… https://t.co/s1ysf9taX8</t>
  </si>
  <si>
    <t>1462137170257494035</t>
  </si>
  <si>
    <t>@drfahrettinkoca Bu gidiş nereye ? #BüyükSıfırlıyorlar  https://t.co/vqW5M0Vzpy</t>
  </si>
  <si>
    <t>1462137070193938432</t>
  </si>
  <si>
    <t>@drfahrettinkoca @drfahrettinkoca  .. HALKI KANDIRIP BAK HERKES OLDU SENDE OL U OYNUYOR.. İNANMAYIN !!...O HEP SİZE… https://t.co/KScPyHeXr4</t>
  </si>
  <si>
    <t>1462137055824289799</t>
  </si>
  <si>
    <t>@drfahrettinkoca Allah, seni yok defterine yazsın inşallah. Tavistock un Türkiye konsolosu, yalancı!...</t>
  </si>
  <si>
    <t>1462136725602459650</t>
  </si>
  <si>
    <t>@drfahrettinkoca Çok acil online eğitim‼️</t>
  </si>
  <si>
    <t>1462136483863838734</t>
  </si>
  <si>
    <t>@drfahrettinkoca Bakanım uzman doktorlar döner almıyor. Emekli maaşıyla çalışan doktor maaşı aynı. Artık doktorlara… https://t.co/I1Yba1OT8H</t>
  </si>
  <si>
    <t>1462136402221670402</t>
  </si>
  <si>
    <t>@drfahrettinkoca İnternete yazarsanız eğer yazın yapılan haberlerde sıcak kalbi etkiliyor , kışın yapılan haberlerd… https://t.co/vTzCc1kOKh</t>
  </si>
  <si>
    <t>1462134967165718531</t>
  </si>
  <si>
    <t>@drfahrettinkoca Bir haftadır rahattık huzurluyduk devam etmesini istiyoruz #MebYökOnlineEğitimHakkımız</t>
  </si>
  <si>
    <t>1462134571806478348</t>
  </si>
  <si>
    <t>@drfahrettinkoca 12-18 yaş arası kaç çocuğa, kaç doz yapıldı, açıkla!</t>
  </si>
  <si>
    <t>1462134570988494853</t>
  </si>
  <si>
    <t>@drfahrettinkoca Bu boşu alın burdan</t>
  </si>
  <si>
    <t>1462134463110987776</t>
  </si>
  <si>
    <t>@drfahrettinkoca sayın @drfahrettinkoca sizce de önlemleri artırmanın zamanı gelmedi mi şartlar ağırlaştı artık der… https://t.co/gn4dqhVchN</t>
  </si>
  <si>
    <t>1462134448200245251</t>
  </si>
  <si>
    <t>@drfahrettinkoca Hocam bence birbirimizi kandırmayalım. #MebYökOnlineEgitimHakkımız</t>
  </si>
  <si>
    <t>1462134190976163840</t>
  </si>
  <si>
    <t>@drfahrettinkoca Dünya ülkelerinin pandemi yöneticileri halkının sağlığı için tedbirler alıyor, kısıtlama getiriyor… https://t.co/v56OOENw4Y</t>
  </si>
  <si>
    <t>1462134126224592896</t>
  </si>
  <si>
    <t>@drfahrettinkoca #🅱️🅰️N🅰️🧿🧿🧿🧿🧿🧿🧿🧿Y🅰️🆑🅰️💰Ⓜ️🅰️🧿🧿🧿🧿🧿💉🅰️💲❗️💉🧿🧿🧿🧿🧿🧿🧿🧿⭕️LⓂ️🅰️Ⓜ️❌❌❌✅</t>
  </si>
  <si>
    <t>1462133886671073282</t>
  </si>
  <si>
    <t>@drfahrettinkoca Risk altında olmayan 18 yaş altı aşılamanın mı artması gerekiyor. Yoksa 18 yaş üstünün  3-5 doz aş… https://t.co/M4nGAZuqeb</t>
  </si>
  <si>
    <t>1462133456515784705</t>
  </si>
  <si>
    <t>@drfahrettinkoca Papaz:  "Aranızda baş kaldırıp doğruları söyleyecek yürekli insan olan yok mu!"  "Bırakın (Yahudi)… https://t.co/BrNLoMexx3</t>
  </si>
  <si>
    <t>1462132858974355456</t>
  </si>
  <si>
    <t>@drfahrettinkoca DSÖ protokolü dışında onlarca tedavi yöntemi varken neden 8 er 8 er işe yaramayan ilaçları içirdil… https://t.co/sWn9rqQYLD</t>
  </si>
  <si>
    <t>1462131609226956803</t>
  </si>
  <si>
    <t>@drfahrettinkoca En acilinden kılavuz istiyoruz @drfahrettinkoca</t>
  </si>
  <si>
    <t>1462131607796649984</t>
  </si>
  <si>
    <t>@drfahrettinkoca Geçtiğimiz hafta 60 kişi aynı amfide ara sınava girdik bugün korona oldum evde yatıyorum hâlâ saht… https://t.co/sIUAMRDdG2</t>
  </si>
  <si>
    <t>1462131523793178629</t>
  </si>
  <si>
    <t>@drfahrettinkoca Başaramayacaksın! Koşa koşa a$.ı olmaya gidenler bile sana inanmıyor artık!</t>
  </si>
  <si>
    <t>1462131523545706496</t>
  </si>
  <si>
    <t>@drfahrettinkoca insanlari ekonomik buhrana sürükleyerek .. aşı veya salgın basķısını artırarak son kozlarınızı oyn… https://t.co/kF1NRl6f3h</t>
  </si>
  <si>
    <t>1462131501009625093</t>
  </si>
  <si>
    <t>@drfahrettinkoca Ne kadar çok sıvı o kadar çok ölüm değil mi? Acele etmeyin. Daha karpuz keseceğiz.</t>
  </si>
  <si>
    <t>1462131268125179908</t>
  </si>
  <si>
    <t>@drfahrettinkoca Diğerleri de çocuk olduğu için olmasın o ... Bir şey deniyoruz bekleyin mi oluyor bu ???</t>
  </si>
  <si>
    <t>1462131186025873419</t>
  </si>
  <si>
    <t>1462130928256487425</t>
  </si>
  <si>
    <t>@drfahrettinkoca Sen halkın sağlık bakanı mısın? Yoksa Bill Gates'in sultanı mısın(!?). Öldürdüğünüz vatandaşlarımı… https://t.co/nofAIltZMT</t>
  </si>
  <si>
    <t>1462130867959222280</t>
  </si>
  <si>
    <t>@drfahrettinkoca Koca koca koca alla sen istifa et koca</t>
  </si>
  <si>
    <t>1462130501746106373</t>
  </si>
  <si>
    <t>@drfahrettinkoca Sen deneysel sıvının mümessili misin?</t>
  </si>
  <si>
    <t>1462130175571812355</t>
  </si>
  <si>
    <t>@drfahrettinkoca Şu an Bekçisi Polisi Avukatı Savcısı Hakimi elinizde güç sizde şu an .. ama unutmayın küresel orga… https://t.co/dngoVJJKio</t>
  </si>
  <si>
    <t>1462130148434710539</t>
  </si>
  <si>
    <t>@drfahrettinkoca Koca hırsız sahtekar zorba prosedürünün hesabını ver. Halkımızdan çaldığın paraları iade et. https://t.co/SLAXO376qL</t>
  </si>
  <si>
    <t>1462129706581602308</t>
  </si>
  <si>
    <t>@drfahrettinkoca size birşey söyliyim mi .. ne yaparsanız yapın kaybedeceksiniz .. ne yaparsanız yapın .. mutlaka a… https://t.co/mKZRymKW7P</t>
  </si>
  <si>
    <t>1462129235095691274</t>
  </si>
  <si>
    <t>@drfahrettinkoca https://t.co/uOoC9kZECd</t>
  </si>
  <si>
    <t>1462129120150704144</t>
  </si>
  <si>
    <t>@drfahrettinkoca Sayın bakan sizin durduk yere her gün insanlara nutuk çekmeniz yetti artık biz sürü değiliz bizi g… https://t.co/T1X54LM1yL</t>
  </si>
  <si>
    <t>1462128703941578753</t>
  </si>
  <si>
    <t>@drfahrettinkoca KAZLAR HAKKINDA SON GELİŞMELER VE KAZLAR HAKKINDA BİLGİ https://t.co/8MtAdl4kYu</t>
  </si>
  <si>
    <t>1462128359765417984</t>
  </si>
  <si>
    <t>@drfahrettinkoca sizin baska derdiniz kalmadimi ulke de ekonomik salgin var .. ak partili bir mv. cikip japonya eko… https://t.co/6Ekom4H6RH</t>
  </si>
  <si>
    <t>1462128221907005441</t>
  </si>
  <si>
    <t>@drfahrettinkoca Online Eğitim Gelmeli</t>
  </si>
  <si>
    <t>1462128130055970826</t>
  </si>
  <si>
    <t>@drfahrettinkoca https://t.co/54l3j8Osie</t>
  </si>
  <si>
    <t>1462128126130069505</t>
  </si>
  <si>
    <t>@drfahrettinkoca Cemaat,vakıflara yandaşa var. https://t.co/JdjcqBSqNo https://t.co/nqVVSaXbeY</t>
  </si>
  <si>
    <t>1462127731513212928</t>
  </si>
  <si>
    <t>@drfahrettinkoca Utanmaniz arlanmanizda yok... yaziklar olsun HAKKIMIZ HARAM OLSUN... https://t.co/YchYoz4ZHP</t>
  </si>
  <si>
    <t>1462127426247475200</t>
  </si>
  <si>
    <t>@drfahrettinkoca #MebYökOnlineEğitimHakkımız #MebYökOnlineEğitimHakkımız</t>
  </si>
  <si>
    <t>1462127028648435713</t>
  </si>
  <si>
    <t>1462127009254064129</t>
  </si>
  <si>
    <t>1462126962965721090</t>
  </si>
  <si>
    <t>@drfahrettinkoca Sn. Bakanım %80,5’in etkili olmadığı yerde, %100’e ulaşmanın bizi salgına karşı güçlü kılacağına i… https://t.co/7zBPujTvN5</t>
  </si>
  <si>
    <t>1462126727795200001</t>
  </si>
  <si>
    <t>@drfahrettinkoca Aşılama çok yavaş gidiyor, lütfen, Alışveriş merkezleri Restorantlara girişlerde Aşı sertifika istensin</t>
  </si>
  <si>
    <t>1462126723084914691</t>
  </si>
  <si>
    <t>@drfahrettinkoca Favipiravir konusunda sessiz kaldığınız müddetçe yok hükmündesiniz</t>
  </si>
  <si>
    <t>1462126598304509952</t>
  </si>
  <si>
    <t>@drfahrettinkoca Türkiye nüfusunun % 27 si 18 yaş altı. Yaklaşık 22 milyon. Yani küçük çocuklarınızı, bebekleriniz… https://t.co/jXP5kpc7Tl</t>
  </si>
  <si>
    <t>1462126416867344396</t>
  </si>
  <si>
    <t>@drfahrettinkoca İnsan vücüdu dokunulmazdır aşı olup olmamak insanın kendi tercihidir aşı olan vatandaşlara nasıl s… https://t.co/JW0v5X4pl1</t>
  </si>
  <si>
    <t>1462125787562356736</t>
  </si>
  <si>
    <t>@drfahrettinkoca Milletin ahı yakacak sizi</t>
  </si>
  <si>
    <t>1462125575456366601</t>
  </si>
  <si>
    <t>@drfahrettinkoca Mücadeleyi siz değil biz veriyoruz. Yaşamak için mücadele ediyoruz siz görmezden gelmeye devam edi… https://t.co/7q6NGaIJX1</t>
  </si>
  <si>
    <t>1462125346858352649</t>
  </si>
  <si>
    <t>@drfahrettinkoca %70 e az kalmış, bakalım neler olacak, 70i yakaladığınızda ne söyleyeceksiniz acaba... Hiçbsey değ… https://t.co/J3pywBtZGO</t>
  </si>
  <si>
    <t>1462125338893459459</t>
  </si>
  <si>
    <t>@drfahrettinkoca Buyuk uyanis basliyor fahrettin bey.Insaallah o aşilanan kardeslerimizde ki cogunu zoraki yaptirdi… https://t.co/pHNkBsCDpy</t>
  </si>
  <si>
    <t>1462125171536506880</t>
  </si>
  <si>
    <t>@drfahrettinkoca Gerçekten neyin peşindesiniz merak ediyorum elde etmek istediğiniz oran ne peki ? Sonuç almak için… https://t.co/5Gyw8ev0fV</t>
  </si>
  <si>
    <t>1462124857618059268</t>
  </si>
  <si>
    <t>@drfahrettinkoca Kış geldi sayın bakan bunlar son demleriniz! Ya biran önce gereğini yaparsınız ya da biz veliler y… https://t.co/PX0gXJ3e3A</t>
  </si>
  <si>
    <t>1462124133597208578</t>
  </si>
  <si>
    <t>@drfahrettinkoca Fahrettin koca mrna aşılarının sonuçları belli değil Türk milletine yapacak kadar asalak değiliz d… https://t.co/tbobhlIzCi</t>
  </si>
  <si>
    <t>1462124035312177160</t>
  </si>
  <si>
    <t>@drfahrettinkoca 65 yaş üstüyle başladı şimdi nüfusun tamamına oranı diye devam ediyor. Nüfusun tamamı kaç doz aşı… https://t.co/Mi7x8yPirJ</t>
  </si>
  <si>
    <t>1462123746823741443</t>
  </si>
  <si>
    <t>@drfahrettinkoca Bi kere de SÖZÜNÜZDE durun ERKEK  gibi ya. !!!!   %80 dediniz HER NE OLURSA OLSUN %80 oldu. Bi düş… https://t.co/1BUqtlHood</t>
  </si>
  <si>
    <t>1462123491587772417</t>
  </si>
  <si>
    <t>@drfahrettinkoca SAYIN  BAKANIM,  SAYIN @DrNecmettinUnal HOCAM.  SİZLERİN BİLGİLERİNE GÜVENİYORUZ.  SADECE 1 HAFTA… https://t.co/ab9SNLp7GP</t>
  </si>
  <si>
    <t>1462121855549120524</t>
  </si>
  <si>
    <t>@drfahrettinkoca Farklı rahatsızlıklar için hastaneye gidiş yok randevu yok olsen kimsenin umrunda değil ama asi iç… https://t.co/aPyhRs1L1C</t>
  </si>
  <si>
    <t>1462121443987230722</t>
  </si>
  <si>
    <t>@drfahrettinkoca Vefat sayıları maalesef düşmüyor. Okuldan virüs kaptım Covid oldum. Okullar devam edebilir ama sey… https://t.co/FDQpiHJ3DM</t>
  </si>
  <si>
    <t>1462121342426398736</t>
  </si>
  <si>
    <t>@drfahrettinkoca Hedef nedir</t>
  </si>
  <si>
    <t>1462120992550047748</t>
  </si>
  <si>
    <t>@drfahrettinkoca ALLAH RAZI OLSUN... BİNLERCE YÜREK SİZE MİNNETTAR... SAYIN BAKAN..</t>
  </si>
  <si>
    <t>1462120860219854858</t>
  </si>
  <si>
    <t>@drfahrettinkoca @drfahrettinkoca sayın bakanım ankarada çocuğumu sünnet ettirmek istiyorum ama hangi hastaneyi ara… https://t.co/hW6bRWuqSn</t>
  </si>
  <si>
    <t>1462120755861377024</t>
  </si>
  <si>
    <t>@drfahrettinkoca Şu haritaları paylaşmakla öldürdüğünüz vaktinizin binde birini Sma lı çocukları yaşatmak için harc… https://t.co/QhvDJwIrGB</t>
  </si>
  <si>
    <t>1462120093207379981</t>
  </si>
  <si>
    <t>@drfahrettinkoca UZAKTAN EĞİTİM ŞARTTIR @drfahrettinkoca</t>
  </si>
  <si>
    <t>1462119371871072264</t>
  </si>
  <si>
    <t>@drfahrettinkoca Okulları açık tutmak için sağlığımız önemsenmiyor</t>
  </si>
  <si>
    <t>1462118818181005312</t>
  </si>
  <si>
    <t>@drfahrettinkoca https://t.co/OcWy9GlvKU</t>
  </si>
  <si>
    <t>1462118383512600580</t>
  </si>
  <si>
    <t>@drfahrettinkoca Aşılama oranı arttıkça vaka sayılarında neden bir azalış seyri görülmüyor??</t>
  </si>
  <si>
    <t>1462117511185510401</t>
  </si>
  <si>
    <t>@drfahrettinkoca Bakanım İSTATİSTİKCİLER olarak merkezi atama bekliyoruz🙏 @saglikbakanligi @RTErdogan @tccbiko @iletisim</t>
  </si>
  <si>
    <t>1462117149858844684</t>
  </si>
  <si>
    <t>@drfahrettinkoca Çok şükür herkes gerçeği anladı ve aşılama yaptırmıyor, tek doz olan ikinciyi, iki doz olan üçüncü… https://t.co/0vu8j2f5Dt</t>
  </si>
  <si>
    <t>1462117091012718607</t>
  </si>
  <si>
    <t>@drfahrettinkoca Ya Allahını seversen hala kendini kandırmaya devam et.İnsanları salak yerine koymaya devam et.Bizi… https://t.co/rMuXE6Augo</t>
  </si>
  <si>
    <t>1462116753748766726</t>
  </si>
  <si>
    <t>@drfahrettinkoca Online eğitim şart</t>
  </si>
  <si>
    <t>1462116067879313410</t>
  </si>
  <si>
    <t>@drfahrettinkoca Oranı mı yükseltirsin Buranı mı yükseltirsin bilmiyorum ama! Sen yükselttikçe ölüm ve hasta sayıla… https://t.co/UPRctTVvak</t>
  </si>
  <si>
    <t>1462115582304731141</t>
  </si>
  <si>
    <t>@drfahrettinkoca Salgınla mücadele için neden okullarda önlem almıyorsunuz? Online eğitim hakkı olmadığı için istes… https://t.co/OtnorRpD5U</t>
  </si>
  <si>
    <t>1462114604897775618</t>
  </si>
  <si>
    <t>@drfahrettinkoca Her gün bir uçak dolusu insanın ölmesi normal mi?</t>
  </si>
  <si>
    <t>1462114520671866882</t>
  </si>
  <si>
    <t>1462114343227740177</t>
  </si>
  <si>
    <t>@drfahrettinkoca Daha ne kadar görmezden geleceksiniz? online eğitim şart.</t>
  </si>
  <si>
    <t>1462114210268262407</t>
  </si>
  <si>
    <t>@drfahrettinkoca Çok güzel 👏👏siz böyle devam edin. Günde 200 kişinin ölmesi nedir ki. Haber konusu bile yapmaya değ… https://t.co/A7vpOezYAf</t>
  </si>
  <si>
    <t>1462114103049211913</t>
  </si>
  <si>
    <t>@drfahrettinkoca Çokta umurunuzda değil ama #MebYökOnlineEğitimHakkımız</t>
  </si>
  <si>
    <t>1462114064541392901</t>
  </si>
  <si>
    <t>@drfahrettinkoca Bu iki doz aşılılardan kaç kişisi 2 sinovaclı çünkü biliyoruzki sinovac aşısının koruması az ve et… https://t.co/gr9yNob1sF</t>
  </si>
  <si>
    <t>1462113933133811712</t>
  </si>
  <si>
    <t>@drfahrettinkoca Ya yeter artık vallahi bıktım sizden sizin 3 maymunu oynamanızdan  20 yıl sonra eski sağlık bakanı… https://t.co/9cEJmg5O6d</t>
  </si>
  <si>
    <t>1462113813080203266</t>
  </si>
  <si>
    <t>@drfahrettinkoca Bill Gates’in küresel basına milyon dolarlar akıttığı belgelendi.  Peki, Bill Gates hangi basın ku… https://t.co/UeB0mFvGs9</t>
  </si>
  <si>
    <t>1462113260489039886</t>
  </si>
  <si>
    <t>@drfahrettinkoca Kar kış bastırmadan tercih verip atanabilecek miyiz? Belirsizliklerden ve sürekli negatif konuşan… https://t.co/5bz57w2pEN</t>
  </si>
  <si>
    <t>1462113102477074432</t>
  </si>
  <si>
    <t>@drfahrettinkoca Sabah sabah neden kılavuz gelmiyor diye haykırıyorum, illa bir etkinlik veya muhalefet mi olmak lazım @drfahrettinkoca</t>
  </si>
  <si>
    <t>1462113058810171397</t>
  </si>
  <si>
    <t>@drfahrettinkoca Aşı faşizm ine son verin.Bu yaptığınız faşizm başka birşey yok.</t>
  </si>
  <si>
    <t>1462113052011253761</t>
  </si>
  <si>
    <t>@drfahrettinkoca Böyle Ali cengiz oyunları ile ÇOCUKLARI AŞILAMAYA KALKMAYIN... 18 yaş altı covid19 riski 1/100.000… https://t.co/eR5joRiUIY</t>
  </si>
  <si>
    <t>1462113050681651203</t>
  </si>
  <si>
    <t>@drfahrettinkoca Sn @saglikbakanligi çalışanları Önlisans KPSS'ye gireli tam olarak 388 gün , atama almayalı 355 gü… https://t.co/DJY0cL6Xfr</t>
  </si>
  <si>
    <t>1462113018196774922</t>
  </si>
  <si>
    <t>@drfahrettinkoca Ben anlamadım gerçekten neden açıklama yok bir beklentimiz var 11 aydır süren ne zaman bitecek @drfahrettinkoca</t>
  </si>
  <si>
    <t>1462112973426724864</t>
  </si>
  <si>
    <t>@drfahrettinkoca Bakanım 10 gün fazla değil mi sizce de daha fazla beklemek mağdur edilmek istemiyoruz bugün en köt… https://t.co/VOpXwojj8y</t>
  </si>
  <si>
    <t>1462112936126816267</t>
  </si>
  <si>
    <t>@drfahrettinkoca Sayın CB; 740 bin sağlıkçı 11 aydır atama bekliyoruz. 40 bin duyurusu yapmıştiniz. Artık bekleyece… https://t.co/Uivz6Cc8TE</t>
  </si>
  <si>
    <t>1462112899057467394</t>
  </si>
  <si>
    <t>@drfahrettinkoca Bu da tam 1 sene öncesinin sayıları. Yani aşı henüz yokken. Yeni hasta sayımız 5.103 şuan ise 4 ka… https://t.co/NuIX1Td1TP</t>
  </si>
  <si>
    <t>1462112875045167104</t>
  </si>
  <si>
    <t>@drfahrettinkoca Geçen yıl bu zamanlarda Bn kpss çalışırken yaşıtlarım gezip tozuyordu Bnde kendime seneye bu zaman… https://t.co/m7jmdJOH6l</t>
  </si>
  <si>
    <t>1462112863208759301</t>
  </si>
  <si>
    <t>@drfahrettinkoca Evet yükselterek bu sonuca ulasmaliyiz. https://t.co/x8KBgfZoB8</t>
  </si>
  <si>
    <t>1462112852773421062</t>
  </si>
  <si>
    <t>@drfahrettinkoca Atama bekle açıklama bekle branş dağılımı bekle kılavuz bekle.. Bekle Allah bekle yazık günah gerç… https://t.co/KlZK7DF7u5</t>
  </si>
  <si>
    <t>1462112827825655820</t>
  </si>
  <si>
    <t>@drfahrettinkoca Alt tarafı atanacaktık ne bitmez çilemiz varmış 1 yıldır çek çek bitmedi biz sağlıkçılara bu yaptı… https://t.co/sm7ANbARlk</t>
  </si>
  <si>
    <t>1462112794439045125</t>
  </si>
  <si>
    <t>@drfahrettinkoca Günün Sorusu ??  40bin Sağlıkçı Müjdesini 12Ay Bekledik  11Gündür Kılavuz Bekliyoruz.. Sayın Bakan… https://t.co/crIKW0sZgJ</t>
  </si>
  <si>
    <t>1462112760678993924</t>
  </si>
  <si>
    <t>@drfahrettinkoca Ülkemizde Bugün de  KOCA Bir Sessizlik Var . Sağlığa Atama Ne Zaman Olacak Bu Kılavuz Nerede Kaldı ? Sayın @drfahrettinkoca</t>
  </si>
  <si>
    <t>1462112726226984966</t>
  </si>
  <si>
    <t>@drfahrettinkoca Şimdi de kılavuz diye diye dilimizde tüy bitti. Atanabilmek için daha ne kadar bekleyeceğiz?… https://t.co/rK1JCfBOAg</t>
  </si>
  <si>
    <t>1462112693414989825</t>
  </si>
  <si>
    <t>@drfahrettinkoca BU BİR KLAVUZ ÇAĞRISIDIR  BU BİR KLAVUZ ÇAĞRISIDIR  BU BİR KLAVUZ ÇAĞRISIDIR  BU BİR KLAVUZ ÇAĞRIS… https://t.co/n48QS3ZLYT</t>
  </si>
  <si>
    <t>1462112641653125129</t>
  </si>
  <si>
    <t>@drfahrettinkoca Bizler +85 puanlar ile atanamazken, hiçbir eğitim almamış ve sınava girmemiş TAŞERONLAR yerimizde… https://t.co/hy9ZaJyH0d</t>
  </si>
  <si>
    <t>1462112602348298244</t>
  </si>
  <si>
    <t>@drfahrettinkoca Çok Değerli SnBakanım Alımda ORTAÖĞRETİM HEMŞİRELERE güzel bir sayı verilse de bizde mavi olsak ma… https://t.co/yUQLKQMgHn</t>
  </si>
  <si>
    <t>1462112566281490438</t>
  </si>
  <si>
    <t>@drfahrettinkoca Neden her açıklamayı zora düştüğünüzde yapıyorsunuz? Net bilgiler paylaşmak neden bu kadar zor? +4… https://t.co/Gg8grBVnWL</t>
  </si>
  <si>
    <t>1462112508832104449</t>
  </si>
  <si>
    <t>@drfahrettinkoca peki dünyanın tek akıllısı siz misiniz? neden ALGI yaparak milleti kandırmaya çalışıyorsunuz?  siz… https://t.co/08Fku7i693</t>
  </si>
  <si>
    <t>1462112473356587010</t>
  </si>
  <si>
    <t>@drfahrettinkoca #üniversiteleronlineolsun</t>
  </si>
  <si>
    <t>1462112147601768455</t>
  </si>
  <si>
    <t>@drfahrettinkoca Vakalar düşsün artık ölümler azalsın</t>
  </si>
  <si>
    <t>1462112008493486081</t>
  </si>
  <si>
    <t>@drfahrettinkoca Dün haberini vermiştim! Dr. Thomas Jendges Chemnitz Klinik Direktörü intihar etti diye Bugün konuş… https://t.co/rAH6ntv3Bw</t>
  </si>
  <si>
    <t>1462111905410134027</t>
  </si>
  <si>
    <t>@drfahrettinkoca Kuyu kazan kendini hazırlasın. Ne doğrarsan kaşığına o gelir,,,,, ne ekersen onu biçersin... sayıı… https://t.co/rimiHv9KJ7</t>
  </si>
  <si>
    <t>1462111830353096707</t>
  </si>
  <si>
    <t>@drfahrettinkoca %80 aşılı yani 10 kişiden 8 i aşılı. Şimdi bize şunu söyleyip inanmamızı mı bekliyorsunuz: 8 kişi… https://t.co/dRdJ4gjfko</t>
  </si>
  <si>
    <t>1462111813324128256</t>
  </si>
  <si>
    <t>@drfahrettinkoca Hocam Dünya karışıyor. Siz hala aşı diye tutturuyorsunuz. Amaçları da bu zaten halkı mevcut yöneti… https://t.co/ecnuRroGgn</t>
  </si>
  <si>
    <t>1462111561951158275</t>
  </si>
  <si>
    <t>@drfahrettinkoca Biraz da kılavuzu konuşsak sayın bakanım</t>
  </si>
  <si>
    <t>1462110976044580880</t>
  </si>
  <si>
    <t>@drfahrettinkoca Online eğitim istiyoruz #MebYoekOnlineEğitimHakkımız</t>
  </si>
  <si>
    <t>1462110414628704257</t>
  </si>
  <si>
    <t>@drfahrettinkoca Atama bekliyoruz 1 yılı da geçiyor artık</t>
  </si>
  <si>
    <t>1462110311763398659</t>
  </si>
  <si>
    <t>@drfahrettinkoca Sn bakan KOCA neden atamaları bu kadar geciktirdin hala daha bekletiyorsun o kadar insan senin söz… https://t.co/ADGjQ8B1qP</t>
  </si>
  <si>
    <t>1462110098218749952</t>
  </si>
  <si>
    <t>1462109944921079819</t>
  </si>
  <si>
    <t>@drfahrettinkoca Vaka sayısı dün ile nasıl aynı olabilir ya?  #MebYökOnlineEğitimHakkımız</t>
  </si>
  <si>
    <t>1462109884191760384</t>
  </si>
  <si>
    <t>@drfahrettinkoca Mücadele vermekmişmiş haadi ordann Mücadele vermeyi ciddi anlamda düşünseydiniz taa başından beri… https://t.co/JhOWsaGBaw</t>
  </si>
  <si>
    <t>1462109849186181121</t>
  </si>
  <si>
    <t>@drfahrettinkoca @saglikbakanligi Aşı dan başka dertleri de var insanların, mesela daha kış bastırmadı sadece akşam… https://t.co/U1pYU4PBUi</t>
  </si>
  <si>
    <t>1462109225811861508</t>
  </si>
  <si>
    <t>@drfahrettinkoca ota boka para varda SMA hastası çocuklara 90 milyon dolar yokmu oğlum anneleri intihar etmesin ??… https://t.co/V4V1GmrRWv</t>
  </si>
  <si>
    <t>1462109162423345168</t>
  </si>
  <si>
    <t>@drfahrettinkoca #kronikhastalaraidariizin @sagliklicozum @saglikbakanligi @mebimdestek @tcmeb @TC_icisleri</t>
  </si>
  <si>
    <t>1462108865324015626</t>
  </si>
  <si>
    <t>@drfahrettinkoca Hala online egitim diye cigirtkanlik yapan vatan hainleri var. OKULLAR KAPANMAYACAK - KISITLAMA OL… https://t.co/hMyuON4JWZ</t>
  </si>
  <si>
    <t>1462108774345453583</t>
  </si>
  <si>
    <t>@drfahrettinkoca Sn. Bakan;  Bu ülkeye yapacağınız en iyi iyilik istifa etmeniz olacaktır.  Ancak faviripair gibi i… https://t.co/4VKNL3KvmF</t>
  </si>
  <si>
    <t>1462108630841536512</t>
  </si>
  <si>
    <t>@drfahrettinkoca @saglikbakanligi Arkadaşımın yakını fenalaşıp hasteneye gidiyor ve  gittiğinde doktor hemen bionte… https://t.co/EtwOyqmxu4</t>
  </si>
  <si>
    <t>1462108174207668231</t>
  </si>
  <si>
    <t>@drfahrettinkoca Bizim millet 11 rakamını pek bi sever Ak Partili, köpek severken bile eliyle 11 yapar, 11'in de ma… https://t.co/dZUcTcW5pv</t>
  </si>
  <si>
    <t>1462107559322607618</t>
  </si>
  <si>
    <t>@drfahrettinkoca Çok geç olmadan daha fazla kişi ölmeden lütfen online eğitim'i getirin</t>
  </si>
  <si>
    <t>1462107461733830662</t>
  </si>
  <si>
    <t>@drfahrettinkoca @saglikbakanligi Herkese 5 er doz aynı anda yapın acayip yükselir, işe yaramayan ilaçlar dan sonra… https://t.co/jH0PpANki1</t>
  </si>
  <si>
    <t>1462107365898133505</t>
  </si>
  <si>
    <t>@drfahrettinkoca BANA A.ŞI KONUSUNDA TAVIR YAPAN AK PARTİLİ ARKADAŞLAR.   ŞUNU BİLİN Kİ SİZİ KANDIRAN TERS KÖŞE İLE… https://t.co/5recrGPEum</t>
  </si>
  <si>
    <t>1462107339004203020</t>
  </si>
  <si>
    <t>@drfahrettinkoca Unutmayın dostlar, Resulullah çok tehlikeli bir zamanın geleceğini ve Müslümanların ahir zamanda a… https://t.co/U8t49el8HT</t>
  </si>
  <si>
    <t>1462107306552958977</t>
  </si>
  <si>
    <t>@drfahrettinkoca İnanmak istemeseniz de ben görmediklerinizi  size göstermek, bilmediklerinizi size bildirmek ve Al… https://t.co/wFqVqHifVH</t>
  </si>
  <si>
    <t>1462107267717816327</t>
  </si>
  <si>
    <t>@drfahrettinkoca Muayene için randevu alamıyoruz..! Zira; bir odacı bulmak gerekiyor..! Randevü işlerine dışardan m… https://t.co/C3xh2kZe4V</t>
  </si>
  <si>
    <t>1462107259840995340</t>
  </si>
  <si>
    <t>@drfahrettinkoca SİZE SADECE GERÇEKLERİ GÖSTERİYORUM!  ANLATIKLARIM İNSANLIĞIN KURTULUŞU İÇİN ALLAH'TAN BİZLERE RAH… https://t.co/dNE0NZULIH</t>
  </si>
  <si>
    <t>1462107187761844229</t>
  </si>
  <si>
    <t>@drfahrettinkoca ' Covid 19 ile insanlığın boynuna tasma taktık ' demek istiyor.   Asırlardır dünyayı kana bulayan… https://t.co/5FXH5OsLtQ</t>
  </si>
  <si>
    <t>1462107104022609929</t>
  </si>
  <si>
    <t>@drfahrettinkoca Bu kadıncağızın vebali dünya ahiret boynunuza olsun !!!! @RTErdogan Milyarlarca dolar vergi borçla… https://t.co/eadzkPgzWd</t>
  </si>
  <si>
    <t>1462106898602340353</t>
  </si>
  <si>
    <t>@drfahrettinkoca Hani toplumun %60 i asilaninca toplumsal bagisiklik olacagi icin salgin bitecekti..hemde ikidoz ol… https://t.co/2rbLIlWMpx</t>
  </si>
  <si>
    <t>1462106826007355400</t>
  </si>
  <si>
    <t>@drfahrettinkoca Ülkede saglık hemsıre doktor hastayı telefonla arıyo oksurugun varmı agrın varmı kovıd refakatcısı… https://t.co/A4ADWxsqkn</t>
  </si>
  <si>
    <t>1462106504287371267</t>
  </si>
  <si>
    <t>@drfahrettinkoca Allah belanızı versin... Aşı maşı olmayacağız Biz köle değiliz Bu millete hesap vereceksiniz  Bu h… https://t.co/kNMtTnrb4l</t>
  </si>
  <si>
    <t>1462106457432801284</t>
  </si>
  <si>
    <t>@drfahrettinkoca Daha ne kadar güçlendirmek lazım oran ver bakanım</t>
  </si>
  <si>
    <t>1462106283641823237</t>
  </si>
  <si>
    <t>@drfahrettinkoca Sizin  asinin da  dozunda ya  maskesiz  geziyrz arabalara  maskesiz biniyoruz sen hala  asi de ne… https://t.co/9OGujqGxeZ</t>
  </si>
  <si>
    <t>1462106173289738248</t>
  </si>
  <si>
    <t>@drfahrettinkoca 2 doz Sinovac kaç kişiye uygulanmıştı???</t>
  </si>
  <si>
    <t>1462106009716023299</t>
  </si>
  <si>
    <t>@drfahrettinkoca Allah  akil versin sana  fahrettin</t>
  </si>
  <si>
    <t>1462105957253668871</t>
  </si>
  <si>
    <t>@drfahrettinkoca Aşımsı sıvılarla ve yüksek doz antiviral ilaçlarla milleti kobay yaparak ancak ahiretinizi bitirir… https://t.co/Bj6I0Qnxpj</t>
  </si>
  <si>
    <t>1462105840450785282</t>
  </si>
  <si>
    <t>@drfahrettinkoca Sayın bakanımız medipol üniversitesi online olup niye diğer üniler yüz yüze onlar can digerleri patlıcan mı</t>
  </si>
  <si>
    <t>1462105831944634381</t>
  </si>
  <si>
    <t>@drfahrettinkoca Bizi zorla o okullara kapayamazsiniz #MebYoekOnlineEğitimHakkımız</t>
  </si>
  <si>
    <t>1462105577052676098</t>
  </si>
  <si>
    <t>@drfahrettinkoca Tek dert bu değil mi? Bulunamayan ilaçlar ne olacak bugün oğlumun astım ilaçlarını bulamadım ne de… https://t.co/l9Swszd2vv</t>
  </si>
  <si>
    <t>1462105491958648838</t>
  </si>
  <si>
    <t>@drfahrettinkoca HES uygulamasını tamamen kaldırmalısınız. HAYAT EVE SIĞMAZ SIĞMADI SIĞMAYACAK  İNSANIZ BİZ, ROBOT… https://t.co/cuAYjzu2Z3</t>
  </si>
  <si>
    <t>1462105480273305603</t>
  </si>
  <si>
    <t>@drfahrettinkoca Ulan mason ne aşısı İhanet ihanet Pinokyo</t>
  </si>
  <si>
    <t>1462105397523853322</t>
  </si>
  <si>
    <t>@drfahrettinkoca Bir işe yaramıyo neyi zorluyosunuz</t>
  </si>
  <si>
    <t>1462105396357832709</t>
  </si>
  <si>
    <t>@drfahrettinkoca Bakanim biraz insaf edin koca ülkeyi kendi başına birakamazsiniz lütfen biraz insanları düşünün ha… https://t.co/lq4cM1tn6i</t>
  </si>
  <si>
    <t>1462105258994327554</t>
  </si>
  <si>
    <t>@drfahrettinkoca BAKANIM bu ilaci kim stok  yaptı kim zorla kendi VATANDASINI DENEK yaptı   BU ilaç kaç ÖLÜME  sebe… https://t.co/HuN5NKg6gF</t>
  </si>
  <si>
    <t>1462105192330108930</t>
  </si>
  <si>
    <t>@drfahrettinkoca Bilmeyenler için #Shi #Shirtum $SHI nedir?  Sadece 3 ayda #Ronaldinho ve #Rakitic başta olmak üzer… https://t.co/DPplNXzUuG</t>
  </si>
  <si>
    <t>1462104804650631180</t>
  </si>
  <si>
    <t>@drfahrettinkoca @saglikbakanligi %80 de toplumsal bağışıklık başlıyordu. Noldu??? Nedir bu taciz??? Şimdide bebek… https://t.co/YOqTadaTaR</t>
  </si>
  <si>
    <t>1462104704008208385</t>
  </si>
  <si>
    <t>@drfahrettinkoca Haberlerde yine halisahada kalp krizinden öldü haberi izledik sayın bakanım. Yorumları okuyor musunuz acaba?</t>
  </si>
  <si>
    <t>1462104664950939651</t>
  </si>
  <si>
    <t>@drfahrettinkoca camilerde saf sıklaştırın maçlarda tam kapasite konserler herkese açık toplu taşıma hınç hınç onda… https://t.co/4t7zL3ofP0</t>
  </si>
  <si>
    <t>1462104636467384337</t>
  </si>
  <si>
    <t>@drfahrettinkoca Kılavuz ne zaman gelecek ? Çok yorulduk artık çok</t>
  </si>
  <si>
    <t>1462104396838445066</t>
  </si>
  <si>
    <t>@drfahrettinkoca @MuratAy64455651 #MebYoekOnlineEğitimHakkımız</t>
  </si>
  <si>
    <t>1462104330232815623</t>
  </si>
  <si>
    <t>@drfahrettinkoca Sizin tek amaciniz bizi öldürmek anlaşıldı #MebYoekOnlineEğitimHakkımız</t>
  </si>
  <si>
    <t>1462104125710245890</t>
  </si>
  <si>
    <t>@drfahrettinkoca tedavi yaptırmıyorusunuz anladık evlenen herkese test yaptıramaz mısınız  hiç vicdanınız sızlamaz mı #eminekiraz</t>
  </si>
  <si>
    <t>1462104023981510657</t>
  </si>
  <si>
    <t>@drfahrettinkoca Hadi bakalım yeni harita hayırlı olsun. Tüm nüfusa göre haritaya geçiş başladı. Aşı diye ölüp bite… https://t.co/Dvr0yPOeYo</t>
  </si>
  <si>
    <t>1462104010937323528</t>
  </si>
  <si>
    <t>@drfahrettinkoca Her gün 200 kişi ölüyor ve yaptıkları tek şey aşı çağrısı hicbir önlem yok #MebYoekOnlineEğitimHakkımız</t>
  </si>
  <si>
    <t>1462103829873373187</t>
  </si>
  <si>
    <t>@drfahrettinkoca Daha nekadar yükselmesi gerek %80,5 olmuş işte. %60-70 olduğunda toplum bağışıklığı oluşmasına yet… https://t.co/yof4El2UkC</t>
  </si>
  <si>
    <t>1462103695378849804</t>
  </si>
  <si>
    <t>@drfahrettinkoca Artık aşı tablosu değil de covid tablosu mu paylaşsanız sayın bakanım online eğitim falan gözünüzü… https://t.co/feVcsK6eci</t>
  </si>
  <si>
    <t>1462103612029640714</t>
  </si>
  <si>
    <t>@drfahrettinkoca 1 ayda neredeyse 6000 kişi koronadan dolayı vefat etmiş bu gösterilen sayı, peki gösterilmeyenler… https://t.co/oVuqeNN17t</t>
  </si>
  <si>
    <t>1462103585546813455</t>
  </si>
  <si>
    <t>@drfahrettinkoca FAHRETTİN KOCA OKULUN NEDEN UZAKTAN EĞİTİM</t>
  </si>
  <si>
    <t>1462103558409670657</t>
  </si>
  <si>
    <t>@drfahrettinkoca Aşı hiçbir işe yaramıyor anlamiyormusunuz #MebYoekOnlineEğitimHakkımız</t>
  </si>
  <si>
    <t>1462103557847588866</t>
  </si>
  <si>
    <t>@drfahrettinkoca Sayın Bakanım ölenlerin % kaçı çift doz aşılı?</t>
  </si>
  <si>
    <t>1462103515380293641</t>
  </si>
  <si>
    <t>@drfahrettinkoca İlk dozlarda da demiştiniz %70 olunca bitecek pandemi şimdi 2.dozda %80 olmuş hala yükseltmemiz la… https://t.co/YKgyG9C53I</t>
  </si>
  <si>
    <t>1462103318164029445</t>
  </si>
  <si>
    <t>@drfahrettinkoca PCR, kovid ve sıvılar arasında zerre korelasyon yok. https://t.co/aXwXg3TPyB sözde vaka sayısını k… https://t.co/uA7C12A9a3</t>
  </si>
  <si>
    <t>1462103311847497737</t>
  </si>
  <si>
    <t>1462102899056680966</t>
  </si>
  <si>
    <t>@drfahrettinkoca Sağlığımız risk altında duyun artık sesimizi Online Eğitim İstiyoruz @fahrettinaltun @erolozvar… https://t.co/8gopEiYyxR</t>
  </si>
  <si>
    <t>1462102876285804545</t>
  </si>
  <si>
    <t>@drfahrettinkoca Pandeminin başından beri evden çıkmadım kimseyle temas etmedim kendimi izole ettim ve hiçbir şekil… https://t.co/nX472wF1vb</t>
  </si>
  <si>
    <t>1462102833352912908</t>
  </si>
  <si>
    <t>@drfahrettinkoca Sağlığımız tehlikede hastalık gittikçe yayılıyor kış geldi havalar buz gibi vakalar daha da artaca… https://t.co/AyHp2HouVr</t>
  </si>
  <si>
    <t>1462102798070431757</t>
  </si>
  <si>
    <t>@drfahrettinkoca sabırsızlıkla beklediğim bir gün var sizin covit politalalarında yanliş yaptık yanlış tedavi uygul… https://t.co/3tjnbjO2If</t>
  </si>
  <si>
    <t>1462102782228508683</t>
  </si>
  <si>
    <t>@drfahrettinkoca Rica, minnet ile olmuyor bu iş değil mi? Sankiiii önlem alıp, uygulanıp uygulanmadığını denetlemek… https://t.co/9TXzxdI2dD</t>
  </si>
  <si>
    <t>1462102713790042120</t>
  </si>
  <si>
    <t>@drfahrettinkoca Bütün Dünya kırmızı alarm veriyor bizde alınan bir tane tedbir yok  Şartlar daha da ağırlaşmadan B… https://t.co/NyuUcvIOKO</t>
  </si>
  <si>
    <t>1462102701911773187</t>
  </si>
  <si>
    <t>@drfahrettinkoca Slayttan anlatılan dersleri dinlemek için yurtlarda kalıyoruz ve sağlığımız risk altında Bu dersle… https://t.co/oXCqmXAFlx</t>
  </si>
  <si>
    <t>1462102473494208519</t>
  </si>
  <si>
    <t>@drfahrettinkoca Durumumuz düzeleceğine daha da kötüye gidiyor. Önlem alınmazsa daha da kötüleşecek. Virüsün en çok… https://t.co/d8O47bIbVR</t>
  </si>
  <si>
    <t>1462102420289466368</t>
  </si>
  <si>
    <t>@drfahrettinkoca Okullarda alt yapı mevcut 1,5 yıldır öve öve bitiremediğiniz Online eğitimi istiyoruz sağlığımız r… https://t.co/YMq4tkTgjZ</t>
  </si>
  <si>
    <t>1462102375255183363</t>
  </si>
  <si>
    <t>@drfahrettinkoca 3.doz harita boyamasina ne zaman gececez örtmenim 🖐️</t>
  </si>
  <si>
    <t>1462102355940450312</t>
  </si>
  <si>
    <t>@drfahrettinkoca Kara kış gelmeden acil online eğitime geçilmeli sağlığımız tehlike altında aşı tamamen koruyucu de… https://t.co/a0VLIO9tts</t>
  </si>
  <si>
    <t>1462102285685825540</t>
  </si>
  <si>
    <t>@drfahrettinkoca Rüyamda aşı oluyordum... KÂBUS GİBİYDİ, çok şükür rüyaymış</t>
  </si>
  <si>
    <t>1462102215720673288</t>
  </si>
  <si>
    <t>@drfahrettinkoca 83 MİLYON  HÜKÜMETTEN DE 5 İHALECİ MÜTAHİTTEN DE BÜYÜKTÜR</t>
  </si>
  <si>
    <t>1462101978708910082</t>
  </si>
  <si>
    <t>@drfahrettinkoca Okullari zorunlu yapmayin ya da online a gecin boyle olmuyor</t>
  </si>
  <si>
    <t>1462101756796719112</t>
  </si>
  <si>
    <t>@drfahrettinkoca https://t.co/19NSFuyssr Izlememiz gerektigini dusnuyorum. Su an icin turkce cevirisi yok. Sorgulad… https://t.co/ELlIOfnRhs</t>
  </si>
  <si>
    <t>1462101752841482240</t>
  </si>
  <si>
    <t>@drfahrettinkoca GRİP AŞISI. NE OLDU GRİP AŞISI. GRİP AŞISI.</t>
  </si>
  <si>
    <t>1462101710701215754</t>
  </si>
  <si>
    <t>@drfahrettinkoca Bakanım bak The Lancet ne diyor? Bırakın artık bu aşılı aşısız ayrımını ve toplumu bir araya getir… https://t.co/QBfs0xS7mI</t>
  </si>
  <si>
    <t>1462101655369961493</t>
  </si>
  <si>
    <t>@drfahrettinkoca Maddi ve manevi olarak yıpranan öğrencileri ne zaman dikkate alacaksınız ?  @erolozvar… https://t.co/oww0xogrBD</t>
  </si>
  <si>
    <t>1462101418924552214</t>
  </si>
  <si>
    <t>@drfahrettinkoca Yalanını ben senin. Online eğitim istiyoruz. Derhal</t>
  </si>
  <si>
    <t>1462101294806704145</t>
  </si>
  <si>
    <t>@drfahrettinkoca Daha önce %80 yeterli değil miydi? Ben mi yanlış hatırlıyorum.</t>
  </si>
  <si>
    <t>1462101119874781205</t>
  </si>
  <si>
    <t>@drfahrettinkoca Yahu hiçbir işe yaramıyor görmüyor musun?!!! https://t.co/J0FItnTdyX</t>
  </si>
  <si>
    <t>1462101028027961346</t>
  </si>
  <si>
    <t>@drfahrettinkoca Maddi ve manevi olarak yıpranan öğrencileri ne zaman dikkate alacaksınız ? #MebYökOnlineEğitimHakkımız</t>
  </si>
  <si>
    <t>1462100870452154368</t>
  </si>
  <si>
    <t>@drfahrettinkoca SAĞLIKÇILAR KILAVUZU BİR HAFTADIR DEĞİL KOCA BİR YILDIR BEKLİYOR</t>
  </si>
  <si>
    <t>1462100157265235968</t>
  </si>
  <si>
    <t>@drfahrettinkoca Mesele Sağlık değil ... https://t.co/RRbeFYLKkB</t>
  </si>
  <si>
    <t>1462100053099790340</t>
  </si>
  <si>
    <t>@drfahrettinkoca Dünya ülkelerinin pandemi yöneticileri halkının sağlığı için tedbirler alıyor!! Bizde???? Bol bool… https://t.co/jcVg2elHce</t>
  </si>
  <si>
    <t>1462099951547203588</t>
  </si>
  <si>
    <t>@drfahrettinkoca Sayın  Bakanım, senin başka bir işin yok mu.</t>
  </si>
  <si>
    <t>1462099930701611015</t>
  </si>
  <si>
    <t>@drfahrettinkoca 5 11 yaşa aşı istiyoruz</t>
  </si>
  <si>
    <t>1462099913232289796</t>
  </si>
  <si>
    <t>@drfahrettinkoca Neyin mücadelesi? Siz mücadele etmiyorsunuz ki, mücadele eden bizim çocuklarımız! Ülkede hızlı tes… https://t.co/jASwxDLEMo</t>
  </si>
  <si>
    <t>1462099825885945872</t>
  </si>
  <si>
    <t>@drfahrettinkoca Kısmi kısıtlama yapılsın yeter artık</t>
  </si>
  <si>
    <t>1462099819632242689</t>
  </si>
  <si>
    <t>@drfahrettinkoca Bildirimler açık sizden gelen her twite heyecanla bakıyoruz acaba klavuz mu yayınlandı diye @drfahrettinkoca</t>
  </si>
  <si>
    <t>1462099641365897219</t>
  </si>
  <si>
    <t>@drfahrettinkoca Sn bakan eğer yüreğiniz yetiyorsa bey eğer şeffaf iseniz eğer adaletli iseniz ölenlerin kaçı 1 doz… https://t.co/KaHwI9z3eu</t>
  </si>
  <si>
    <t>1462099492719763457</t>
  </si>
  <si>
    <t>@drfahrettinkoca Ölümler 200 250 arası sabitlendi sanırım</t>
  </si>
  <si>
    <t>1462099390659764231</t>
  </si>
  <si>
    <t>@drfahrettinkoca KLAVUZU VERİN BAKAN BEY NEYİ BEKLİYORSUNUZ.  ÇILDIRIP KAFAYI YEMEMİZİ Mİ ?</t>
  </si>
  <si>
    <t>1462099260686708745</t>
  </si>
  <si>
    <t>@drfahrettinkoca Hani %75 iki doz olunca maskeler çıkacaktı?</t>
  </si>
  <si>
    <t>1462099255494168577</t>
  </si>
  <si>
    <t>@drfahrettinkoca tedbir yok üniversitelerde online artık şartı #MebYökOnlineEğitimHakkımız</t>
  </si>
  <si>
    <t>1462099168235773957</t>
  </si>
  <si>
    <t>@drfahrettinkoca 12 aydır bekliyoruz yeter artık duyun sağlıkçılari lütfen klavuzzzzzzzzzzzzzz</t>
  </si>
  <si>
    <t>1462098794594672648</t>
  </si>
  <si>
    <t>@drfahrettinkoca 12 aydır bekliyoruz yeter artık duyun sağlıkçılari lütfen kılavuzzzzzzzzzzzzzz</t>
  </si>
  <si>
    <t>1462098702873546756</t>
  </si>
  <si>
    <t>@drfahrettinkoca Bilim Kurulu Üyesi Prof. Dr. Serap Şimşek Yavuz:  “Türkiye'de koronavirüs salgını seyrinde maalese… https://t.co/5Bx0LEvvRg</t>
  </si>
  <si>
    <t>1462098630182121476</t>
  </si>
  <si>
    <t>1462098561429127171</t>
  </si>
  <si>
    <t>@drfahrettinkoca bişey demiyorum....</t>
  </si>
  <si>
    <t>1462098483314368525</t>
  </si>
  <si>
    <t>@drfahrettinkoca Sayın bakanım online eğitim istiyoruz sesimiz duyun kulaklarınız tikanmayin yeter artık</t>
  </si>
  <si>
    <t>1462098462028222474</t>
  </si>
  <si>
    <t>@drfahrettinkoca Sayın Bakanım 2 Doz Snovac 1 Doz Biontec olduk tekrar aşı olmamız gerekiyormu acaba</t>
  </si>
  <si>
    <t>1462098436472418306</t>
  </si>
  <si>
    <t>@drfahrettinkoca Vallahi billahi hicbir verinize inanmıyorum.</t>
  </si>
  <si>
    <t>1462098424229249031</t>
  </si>
  <si>
    <t>@drfahrettinkoca Klavuz bekliyoruz acil</t>
  </si>
  <si>
    <t>1462098369497739274</t>
  </si>
  <si>
    <t>@drfahrettinkoca Sayın @drfahrettinkoca kılavuz nerede?</t>
  </si>
  <si>
    <t>1462098359070638089</t>
  </si>
  <si>
    <t>@drfahrettinkoca Oran yükseldikçe vaka sayılarında, en azından ölümlerde bir çekilme olması lazım.. Orana orantılı… https://t.co/2mP7sBovV0</t>
  </si>
  <si>
    <t>1462098337302200332</t>
  </si>
  <si>
    <t>@drfahrettinkoca Kayyum iste, fahreddin... Senin işinde zor vallahi.</t>
  </si>
  <si>
    <t>1462098286114914306</t>
  </si>
  <si>
    <t>@drfahrettinkoca Lütfen altı ayda bir, rakamları “bir” artırarak tekrar okuyunuz. https://t.co/yuvBlqTYzt</t>
  </si>
  <si>
    <t>1462098211791900685</t>
  </si>
  <si>
    <t>@drfahrettinkoca Sayın bakan 1.dönemin sonuna kadar  👉#OkullarUzaktanEğitimeGecsin👈  #TümKademelereUzaktanEğitim</t>
  </si>
  <si>
    <t>1462098189117440006</t>
  </si>
  <si>
    <t>@drfahrettinkoca Haklıydık Kasım'da atama olacak dediniz 10 gün sonra Kasım bitiyor hala kılavuz yayımlanmadı</t>
  </si>
  <si>
    <t>1462098163288973316</t>
  </si>
  <si>
    <t>@drfahrettinkoca Aşıların bir halta yaramadığını sen de biliyorsun, Herkesi aşılamak istemekteki amacın, aşıların y… https://t.co/fzh14KnDyi</t>
  </si>
  <si>
    <t>1462098154971701255</t>
  </si>
  <si>
    <t>@drfahrettinkoca Koş vatandaş boş yok.. https://t.co/cDOgF5hvuo</t>
  </si>
  <si>
    <t>1462097963501694983</t>
  </si>
  <si>
    <t>@drfahrettinkoca Salgın nasıl mı biter Tarihini bilerek  https://t.co/XVMAfSxuzr</t>
  </si>
  <si>
    <t>1462097819683246087</t>
  </si>
  <si>
    <t>@drfahrettinkoca Pazartesi okullar açılacak Sn Bakan. Ama hiç bir iyileştirme haberi yok okullarla ilgiili #MebYökOnlineEğitimHakkımız</t>
  </si>
  <si>
    <t>1462097810669686790</t>
  </si>
  <si>
    <t>@drfahrettinkoca https://t.co/8nvEiEuEFh</t>
  </si>
  <si>
    <t>1462097707452010510</t>
  </si>
  <si>
    <t>@drfahrettinkoca Hidroksiklorakin  ve favipiravirden sonra nasıl yüzünüz kızarmadan hala millete tavsiyelerde bulunabiliyorsunuz?</t>
  </si>
  <si>
    <t>1462097623561691138</t>
  </si>
  <si>
    <t>@drfahrettinkoca Masallah YA ŞAFİ</t>
  </si>
  <si>
    <t>1462097579018276872</t>
  </si>
  <si>
    <t>@drfahrettinkoca Hala 200 küsür vefat var sağlığa önem veriyorsanız okulları online olarak devam ettirirsiniz okull… https://t.co/BFscl324Q6</t>
  </si>
  <si>
    <t>1462097577101385728</t>
  </si>
  <si>
    <t>@drfahrettinkoca Pazartesi kılavuz bekliyor olacağız sayın bakan</t>
  </si>
  <si>
    <t>1462097328081457165</t>
  </si>
  <si>
    <t>@drfahrettinkoca YA KAHHAR</t>
  </si>
  <si>
    <t>1462097309362180097</t>
  </si>
  <si>
    <t>@drfahrettinkoca Sebep? %60 yetiyordu. Doğal başıklık kazanan milyonlarca insan da katılınca o ooo! Eğeyce geçtik %… https://t.co/yTP45Fb2Um</t>
  </si>
  <si>
    <t>1462097244790919176</t>
  </si>
  <si>
    <t>@drfahrettinkoca Karabük aşılamada ilk sıralarda ama vakada da ilk sıralarda. 🧐</t>
  </si>
  <si>
    <t>1462097187635187716</t>
  </si>
  <si>
    <t>@drfahrettinkoca Bir kerede kapalidaki mahkumlar için konuşun sayin vekilim 13 kişilik koğuşta 42 kisi kalıyor her… https://t.co/O5cQfVGT8v</t>
  </si>
  <si>
    <t>1462097144878403597</t>
  </si>
  <si>
    <t>@drfahrettinkoca ⭕ Çok geç olmadan online eğitim !  ⚠ #MebYoekOnlineEğitimHakkımız @tcmeb</t>
  </si>
  <si>
    <t>1462097135709696006</t>
  </si>
  <si>
    <t>@drfahrettinkoca Soykırımcıları yargılamayı bırak  O koltuktan bile almıyolar  Bu dsö gücüne güvenin diye boşuna de… https://t.co/B9sdUBDpKd</t>
  </si>
  <si>
    <t>1462097135353085960</t>
  </si>
  <si>
    <t>@drfahrettinkoca Cebelitarik %100 asi oranina sahip olmasina ragmen durumu asagida. Bu konuda ne dusunuyorsunuz say… https://t.co/A4ZpqnYm6m</t>
  </si>
  <si>
    <t>1462097062355517448</t>
  </si>
  <si>
    <t>@drfahrettinkoca sn bakan bu ilaçtan birileri para mı kazanıyor ? etkisiz ilacı kullandırmakda neden ısrar ediyorsu… https://t.co/csqBlNTr4J</t>
  </si>
  <si>
    <t>1462097060258275338</t>
  </si>
  <si>
    <t>1462097006323769357</t>
  </si>
  <si>
    <t>@drfahrettinkoca Ben çiçek virüsünü bekliyorum (labarautuar versiyonu)  belki es kaza onun aşını yaptırırım. Bana y… https://t.co/mkjrUGZmqi</t>
  </si>
  <si>
    <t>1462096965878136844</t>
  </si>
  <si>
    <t>@drfahrettinkoca #Türkovac</t>
  </si>
  <si>
    <t>1462096911435972609</t>
  </si>
  <si>
    <t>@drfahrettinkoca Günlük yüzlerce insanımız hayatlarını yitirirken, Avrupa ve dünya hızla kapanmaya geçerken tedbiri… https://t.co/4fsEF4j6KG</t>
  </si>
  <si>
    <t>1462096770952007686</t>
  </si>
  <si>
    <t>@drfahrettinkoca %60’a karşılık geldiğini iddia ederken; 10 milyon mülteciyi saymıyorsunuz sanırım.</t>
  </si>
  <si>
    <t>1462096710726045702</t>
  </si>
  <si>
    <t>@drfahrettinkoca Sayın bakanım Sizin hesaba göre bu oranda salgın denilen şey bitmeliydi , ne orduda bitmedi ? Bird… https://t.co/W1NHpSX683</t>
  </si>
  <si>
    <t>1462096708754624514</t>
  </si>
  <si>
    <t>@drfahrettinkoca Lan tabloda 80 yazıyor beynim yandı aq açıklarsa birisi sevinirim</t>
  </si>
  <si>
    <t>1462096692375863302</t>
  </si>
  <si>
    <t>@drfahrettinkoca İlahi fahrettin, sen adamı öldürürsün</t>
  </si>
  <si>
    <t>1462096593365180428</t>
  </si>
  <si>
    <t>@drfahrettinkoca yeter artik ogrencinin sesini duyun #MebYökOnlineEğitimHakkımız</t>
  </si>
  <si>
    <t>1462096578634817548</t>
  </si>
  <si>
    <t>@drfahrettinkoca Kuru fasulye daha çok faydalı bu aşıdan hele kelle paça yemede yanında yat</t>
  </si>
  <si>
    <t>1464015387113181190</t>
  </si>
  <si>
    <t>@drfahrettinkoca Yeter ya asi aşı canin sikildikca asi diyorsun. Bi faydasini gördükte aklima mukayyet ol Allah im… https://t.co/akUDKvTbb7</t>
  </si>
  <si>
    <t>1465809798553915392</t>
  </si>
  <si>
    <t>@drfahrettinkoca Aşı vurduk da ne oldu yurdışına gidişte 500 tl pcr testi istedi yine yoksa sittin sene gidemezsin.… https://t.co/qZjtPB0YcP</t>
  </si>
  <si>
    <t>1462926222976028681</t>
  </si>
  <si>
    <t>@drfahrettinkoca O ilaçları alıp ölen oldumu 🤔 🤔</t>
  </si>
  <si>
    <t>1462914955276128264</t>
  </si>
  <si>
    <t>@drfahrettinkoca önce covid + olmuştum. biraz önce https://t.co/YnvzztEUeH olduğumu öğrendim. benim iki biontec aşı… https://t.co/4XavFN7LrK</t>
  </si>
  <si>
    <t>1462557729814454273</t>
  </si>
  <si>
    <t>@drfahrettinkoca Niye örnek  alalım  . Aba altından sopa gösteriyor  olmanız sizinde  başkalarının  uşağı olduğunuz… https://t.co/UoFVuVkBuo</t>
  </si>
  <si>
    <t>1462555004615761922</t>
  </si>
  <si>
    <t>@drfahrettinkoca Hemşireler ne durumda biliyormusunuz</t>
  </si>
  <si>
    <t>1462545309222019073</t>
  </si>
  <si>
    <t>@drfahrettinkoca Uzaktan Eğitim gelmeli bence...</t>
  </si>
  <si>
    <t>1462541340210864128</t>
  </si>
  <si>
    <t>@drfahrettinkoca Saygı deger bakanım aşının koruma gücü nedir 2 doz biyontek aşı yaptırıp ama covite yakalanıp baba… https://t.co/Vigftm7NAO</t>
  </si>
  <si>
    <t>1462538614349320193</t>
  </si>
  <si>
    <t>@drfahrettinkoca Randevular nolcak sağlıkta çağ atladıniz şehir hastaneleri yapıldı      sonuç sıfır eskiden eski v… https://t.co/yfqubaoSOB</t>
  </si>
  <si>
    <t>1462534394653167622</t>
  </si>
  <si>
    <t>@drfahrettinkoca Sayın bakanım ACİL YARDİM VE AFET YÖNETİCİ LERİ GOREV TANİMİNİ BEKLİYOR</t>
  </si>
  <si>
    <t>1462530959887249410</t>
  </si>
  <si>
    <t>@drfahrettinkoca 50 milyonda kaç kişiti takip ettin kaç kişi ne gibi yan etkiler oldu? Sana kimsenin inancı kalmadı… https://t.co/a5KmjIZaRH</t>
  </si>
  <si>
    <t>1462513793745969166</t>
  </si>
  <si>
    <t>@drfahrettinkoca Kur'an ı örnek alıyoruz,cogunlukdan kaçın der,zafer azınlığın der</t>
  </si>
  <si>
    <t>1462504207223824390</t>
  </si>
  <si>
    <t>@drfahrettinkoca Bi 50 MİLYON  kişide etki etmeyen AŞI  8 MİLYON  oluncami  etki edecek</t>
  </si>
  <si>
    <t>1462504204908613635</t>
  </si>
  <si>
    <t>@drfahrettinkoca Kararsız değiliz yahu değiliz.İS-TE-Mİ-YO-RUZ !!! Rahat verin artık !! Bu ülkenin başına gelebilec… https://t.co/moJpArch8A</t>
  </si>
  <si>
    <t>1462204535120842752</t>
  </si>
  <si>
    <t>@drfahrettinkoca Ben rüyamda bir ara şöyle bir şey gördüm; yüksek makamdaki bir kişiye birileri bir şeyler söylüyor… https://t.co/0un9eJobek</t>
  </si>
  <si>
    <t>1462204260494553088</t>
  </si>
  <si>
    <t>@drfahrettinkoca Ahkam kesmeye gerek yok .  Türkiye'deki sağlık sistemi en sağlam sistemlerden birtanesidir. Bir gü… https://t.co/Y4z3epDHxB</t>
  </si>
  <si>
    <t>1462203125062942727</t>
  </si>
  <si>
    <t>@drfahrettinkoca Reis sen vuruldunmu delikanli gibi goster  Ailene cevrene vurdurtunmu  Bana canlisini goster  Bend… https://t.co/zrbZ2abvTw</t>
  </si>
  <si>
    <t>1462202894858522647</t>
  </si>
  <si>
    <t>@drfahrettinkoca Ölüm oranı aşı oranıyla doğru orantılı değil ama. Hiç Aşısız dönemde  hasta/ölüm oranı 0,6 idi şimdi 0,7</t>
  </si>
  <si>
    <t>1462201509295407108</t>
  </si>
  <si>
    <t>@drfahrettinkoca İstersen hemen 2000 kişi bulur yerli aşıyı çıkarırsın ama yapmıyosun. Acaba gerçek sebebi ne ?</t>
  </si>
  <si>
    <t>1462201209046065152</t>
  </si>
  <si>
    <t>@drfahrettinkoca 50 milyonun kararı diyorsunuz da sayın bakan insanları mecbur bıraktığınız için bugün o rakamı ver… https://t.co/y5Bn5T58cG</t>
  </si>
  <si>
    <t>1462200646963273728</t>
  </si>
  <si>
    <t>@drfahrettinkoca Emine kiraz intihar etti sma li oğlunun sesini duyun diye ne zaman duyacaksın Fahrettin ağa  annes… https://t.co/mwheoQCytb</t>
  </si>
  <si>
    <t>1462199993641619465</t>
  </si>
  <si>
    <t>@drfahrettinkoca Favicovir için net açıklama bekliyoruz lokum dağıtır gibi dağıttınız herkese o ilaçları belki de y… https://t.co/qpvHaltQBV</t>
  </si>
  <si>
    <t>1462198577065865222</t>
  </si>
  <si>
    <t>@drfahrettinkoca https://t.co/ZmowmyRQJM</t>
  </si>
  <si>
    <t>1462195699970453505</t>
  </si>
  <si>
    <t>@drfahrettinkoca Sadece söylediğiniz tek bir şey doğru çıktı salgını sürdürmek için elimizden geleni yapacağız demi… https://t.co/vNMcLBSlMb</t>
  </si>
  <si>
    <t>1462195192711290897</t>
  </si>
  <si>
    <t>@drfahrettinkoca Nüfusumuz ne zaman dan beri 100 milyon oldu</t>
  </si>
  <si>
    <t>1462194973613436928</t>
  </si>
  <si>
    <t>@drfahrettinkoca Siz ilaçlar için de aynı şeyleri söylediniz bir bir onların foyası da ortaya çıkıyor bir halta yar… https://t.co/PMbu6Pu0XT</t>
  </si>
  <si>
    <t>1462194260674064386</t>
  </si>
  <si>
    <t>@drfahrettinkoca O 50 milyon kişinin yüzde kaçı işyeri, eğitim, seyahat vs baskıları nedeniyle aşı oldu?</t>
  </si>
  <si>
    <t>1462192805049245698</t>
  </si>
  <si>
    <t>@drfahrettinkoca 2.doz aşı olanlar, aşısız sayıldığına göre 75 milyon aşısız var demektir..Ve bu paradox her 6 ayda… https://t.co/iChS7Ml1Gc</t>
  </si>
  <si>
    <t>1462192556738060289</t>
  </si>
  <si>
    <t>@drfahrettinkoca 50 milyonun 30 unu mecbur bıraktığınızdandır</t>
  </si>
  <si>
    <t>1462191754736807937</t>
  </si>
  <si>
    <t>@drfahrettinkoca 50 milyon bizi örnek alsa pandemi diye birşey olmazdı..</t>
  </si>
  <si>
    <t>1462190022489251851</t>
  </si>
  <si>
    <t>@drfahrettinkoca Değil 50 milyon, benden başka herkes aşı yaptırmış olsa yine aşı olmayacağım.</t>
  </si>
  <si>
    <t>1462189788736503810</t>
  </si>
  <si>
    <t>@drfahrettinkoca çoğunluğa uyanların hali harap https://t.co/GPA1bOV2bv</t>
  </si>
  <si>
    <t>1462189384195784709</t>
  </si>
  <si>
    <t>@drfahrettinkoca Aşı olmazsanız işinizden olursunuz aşı olmazsanız seyahat edemez uçağa binimez otobüse binimez avm… https://t.co/QwJYK4i3Za</t>
  </si>
  <si>
    <t>1462189198832775173</t>
  </si>
  <si>
    <t>@drfahrettinkoca 3.doz sinovac 1 doz influenza aşısı oldum ve zatürre ile  tetenoz aşısı da olacağım . Bu imkanlard… https://t.co/ikQxZkiFZ1</t>
  </si>
  <si>
    <t>1462188504927154183</t>
  </si>
  <si>
    <t>@drfahrettinkoca @RTErdogan başkanım neden bu adama dur demiyosunuz</t>
  </si>
  <si>
    <t>1462188004706029573</t>
  </si>
  <si>
    <t>@drfahrettinkoca SENİN MATEMATİK HOCAN KİM ?</t>
  </si>
  <si>
    <t>1462186682346876933</t>
  </si>
  <si>
    <t>@drfahrettinkoca Sayın bakan toplam nüfusu neden baz alıyorsunuz? Şuanda aşı 16 yaş üstüne yapılıyor bu durumda aşı… https://t.co/l6x2UGPw1w</t>
  </si>
  <si>
    <t>1462186675581374468</t>
  </si>
  <si>
    <t>@drfahrettinkoca Çoğunluğun çoğu zorbalıkla tehditle aşıladınız hepsi pişman</t>
  </si>
  <si>
    <t>1462186501568147463</t>
  </si>
  <si>
    <t>@drfahrettinkoca 50 milyon çift doz aşılıkarın 30-35 milyonu işten çıkartılmamak ve işsiz kalmamak için oldu. Yani… https://t.co/7vKbyqWMs8</t>
  </si>
  <si>
    <t>1462186443187666944</t>
  </si>
  <si>
    <t>@drfahrettinkoca Paylaşımlarınız altindaki yorumları BASBAYA görüyorsunuz! Siz zalimlerdensiniz! Bu zehiri insanlar… https://t.co/e65xojYzvI</t>
  </si>
  <si>
    <t>1462186442520727559</t>
  </si>
  <si>
    <t>@drfahrettinkoca 1. Doz Aşıyı Ağustos ayında oldum 2. Dozu kasımın ilk haftası aile baskısı ve devlet baskısı yüzün… https://t.co/kzdD2MArQp</t>
  </si>
  <si>
    <t>1462186247112298502</t>
  </si>
  <si>
    <t>@drfahrettinkoca Aşı olanların hepsi hasta hemde kalp hastası ne aşı sevdalısı çıktın milletin eceli oldun be yeter… https://t.co/sNKayy7vLN</t>
  </si>
  <si>
    <t>1462184579213766663</t>
  </si>
  <si>
    <t>@drfahrettinkoca Yeryüzünde bulunanların çoğuna uyacak olursan, seni Allah’ın yolundan saptırırlar.* Onlar, zandan… https://t.co/NC8yUhLmoD</t>
  </si>
  <si>
    <t>1462184304033869830</t>
  </si>
  <si>
    <t>@drfahrettinkoca Bakanım lütfen gelsin artık kılavuz lütfen!!!</t>
  </si>
  <si>
    <t>1462183763643879425</t>
  </si>
  <si>
    <t>@drfahrettinkoca ne bu aşı telaşı yahu ,aşıda aşı aşıda aşı ,hayırdır</t>
  </si>
  <si>
    <t>1462183401843269638</t>
  </si>
  <si>
    <t>@drfahrettinkoca Aşı değil aşı adayı üreticisinin sorumluluk almadığı   kısa veya uzun dönem yan etkileri ne olacağ… https://t.co/PUhHMnxBto</t>
  </si>
  <si>
    <t>1462182746701316097</t>
  </si>
  <si>
    <t>@drfahrettinkoca @drfahrettinkoca   daha çok Aşı  daha çok hastalık riski  değil mi?     Neden açıklamıyorsunuz? https://t.co/aW7Cj67Qoc</t>
  </si>
  <si>
    <t>1462181724922814469</t>
  </si>
  <si>
    <t>@drfahrettinkoca Hocam yine boş isler pesindesiniz</t>
  </si>
  <si>
    <t>1462180242647359491</t>
  </si>
  <si>
    <t>@drfahrettinkoca https://t.co/b9KRcgZkQg</t>
  </si>
  <si>
    <t>1462180080579493888</t>
  </si>
  <si>
    <t>@drfahrettinkoca https://t.co/1t16KDXJA4</t>
  </si>
  <si>
    <t>1462180035264233478</t>
  </si>
  <si>
    <t>@drfahrettinkoca Yetmedi mi ??  %100 mü olmalı?! Avrupa'da en çok aşılanan ülkelerin başında geliyoruz</t>
  </si>
  <si>
    <t>1462180033804619779</t>
  </si>
  <si>
    <t>@drfahrettinkoca 50 milyonun kararını örnek aldık ve aşının vakaları ölümleri artırdığını gördük. O yüzden o sıvıyı olmayacağız.</t>
  </si>
  <si>
    <t>1462179488612159489</t>
  </si>
  <si>
    <t>@drfahrettinkoca Aşı olup kalp krizinden ölenleri mi örnek alıcam.kimseyi örnek almama gerek yok.kendimi örnek alıyorum.</t>
  </si>
  <si>
    <t>1462179341371166721</t>
  </si>
  <si>
    <t>@drfahrettinkoca Ne aşısı kimseyi korumuyor yaptığınız aşılar,milleti bi kıskaca almışsınız sıktıkça sıkıyorsunuz,b… https://t.co/wbEthF8S2z</t>
  </si>
  <si>
    <t>1462178850331373578</t>
  </si>
  <si>
    <t>@drfahrettinkoca Şu Sağlıkçılar-I anlayabiliyorum da tüm yalanları bunlar da ortak oluyorlar. Bir ara ilaçları kull… https://t.co/0GWxUotZcn</t>
  </si>
  <si>
    <t>1462178253767118857</t>
  </si>
  <si>
    <t>@drfahrettinkoca niçin hala vakalar aynı? niçin okullardan ailelere virüs bulaşıyor o halde? SORDUNUZ MU EKSİK NERE… https://t.co/axcEdUKVsf</t>
  </si>
  <si>
    <t>1462178246456483852</t>
  </si>
  <si>
    <t>@drfahrettinkoca Aşı ve pcr dayatmalarınız sonucu 3 çocuk babası bir aile sahibi olarak işsiz kalışımın… https://t.co/3dKQU90KpN</t>
  </si>
  <si>
    <t>1462177811003846663</t>
  </si>
  <si>
    <t>@drfahrettinkoca 200 bin kişinin derdini anlattığı TAG açıldı DİNLEDİNİZ Mİ BİZİ? NE ÖNLEMLER ALDINIZ?NE YAPTINIZ B… https://t.co/yp4gOpGUY8</t>
  </si>
  <si>
    <t>1462177218839330826</t>
  </si>
  <si>
    <t>@drfahrettinkoca Simdiye kadar cok sukur virus bulasmadi . Virusten ölürsemde pisman olmucam . Cunku asinin kör bir… https://t.co/TdCAhJUIxR</t>
  </si>
  <si>
    <t>1462177166666440716</t>
  </si>
  <si>
    <t>@drfahrettinkoca Valla ben aşiyi ureten firmayada bilim adamlarinada guvenmiyorum sayin bakanim . Sirketin kendisin… https://t.co/bTuRvdeXlG</t>
  </si>
  <si>
    <t>1462176695537090567</t>
  </si>
  <si>
    <t>@drfahrettinkoca 2 doz hatırlatmaya dönüp etkisini kaybetmemişmiydi? Yanlış mı hatırlıyorum yoksa siz mi unuttunuz😅… https://t.co/z1gcht6qdH</t>
  </si>
  <si>
    <t>1462176037685673985</t>
  </si>
  <si>
    <t>@drfahrettinkoca Ben kararsız değilim.</t>
  </si>
  <si>
    <t>1462175853509545987</t>
  </si>
  <si>
    <t>@drfahrettinkoca 🤔Orası hiç belli olmaz göreceğiz ileriki zamanlarda sonuçlarını, YANILARAK ilerleyen BİLİM  sahası… https://t.co/fCytnebhPv</t>
  </si>
  <si>
    <t>1462175650517766152</t>
  </si>
  <si>
    <t>@drfahrettinkoca Smalı çocuklar için ne zaman bişeyler yapacaksınız? Üç maymunu oynamak işinize mi geliyor?</t>
  </si>
  <si>
    <t>1462175270333566984</t>
  </si>
  <si>
    <t>@drfahrettinkoca Önce hastane randewuLarina çözüm buLun siz DSÖ Bakanı😡😡 uLkede doktor yok doktor,ayLarca tetkik sırası bekLiyor miLLet..</t>
  </si>
  <si>
    <t>1462174981392150530</t>
  </si>
  <si>
    <t>@drfahrettinkoca Sen küçükken aşılarını yaptıramamışlarmı senin içinde uhte mi kaldı nasıl bir sağlık bakanısın sen… https://t.co/VRrzhtyFoW</t>
  </si>
  <si>
    <t>1462174602365485058</t>
  </si>
  <si>
    <t>@drfahrettinkoca Benim kararım aşı olmamak ve bu kararım milyonlara örnek olsun</t>
  </si>
  <si>
    <t>1462174233036050441</t>
  </si>
  <si>
    <t>@drfahrettinkoca size güveni. Kalmadı istifa edin.</t>
  </si>
  <si>
    <t>1462174082246582276</t>
  </si>
  <si>
    <t>@drfahrettinkoca Aşı firmalarından ne kadar para aldınız söylemisiniz...</t>
  </si>
  <si>
    <t>1462173890852098048</t>
  </si>
  <si>
    <t>@drfahrettinkoca 2 doz aşımı oldum evet ama kendi kararım değildi saygılarımla</t>
  </si>
  <si>
    <t>1462173883252068353</t>
  </si>
  <si>
    <t>@drfahrettinkoca Eyyy @RTErdogan Fahrettini durdurmak, yeter demek sizin sorumluluğunuz !!!!!  HES kodlar ile, zorb… https://t.co/2RtymKK63g</t>
  </si>
  <si>
    <t>1462173494741975041</t>
  </si>
  <si>
    <t>@drfahrettinkoca Ben dahil, çevremdeki herkes, 3 doz aşı oldu, herkes gayet sağlıklı. Covid nedeniyle ölen veya yoğun bakımlık olan olmadı.</t>
  </si>
  <si>
    <t>1462173448696905732</t>
  </si>
  <si>
    <t>@drfahrettinkoca Aşısızlarla,ağzı burnu açık,maskesiz gezenlere yasaklar getirilmeli</t>
  </si>
  <si>
    <t>1462173388668030982</t>
  </si>
  <si>
    <t>@drfahrettinkoca Yaa evet madem faydası var da neden Ordu da vaka sayısı çok fazla aşı oranı az olan Şanlıurfa da v… https://t.co/Cde71SCAgx</t>
  </si>
  <si>
    <t>1462173282736779281</t>
  </si>
  <si>
    <t>@drfahrettinkoca Aşılarımı oldum ama muhalif olsam, sağlık bakanının bu açıklaması sonrası, meclis çoğunluğunun cum… https://t.co/54NOQeofTQ</t>
  </si>
  <si>
    <t>1462173009414963207</t>
  </si>
  <si>
    <t>@drfahrettinkoca 2 ila 3 arasında 6 ay olması gerekli degilmi ...</t>
  </si>
  <si>
    <t>1462172818347630593</t>
  </si>
  <si>
    <t>@drfahrettinkoca Yuva yıkılır mı devlet yuva yıkar mı hiç?. #HobiBahceleriYıkılmasın @fahrettinaltun… https://t.co/5BamRZElvn</t>
  </si>
  <si>
    <t>1462172729373859852</t>
  </si>
  <si>
    <t>@drfahrettinkoca 😏 çoğunluk akıl sahibi olsaydı dünya savaş çıkaranların peşinde heba olmazdı.</t>
  </si>
  <si>
    <t>1462172227047153674</t>
  </si>
  <si>
    <t>@drfahrettinkoca Aşı yaptırmayan 40 milyonu nihayet teleffuz ettiniz Sayın Bakan...</t>
  </si>
  <si>
    <t>1462171786217508872</t>
  </si>
  <si>
    <t>@drfahrettinkoca Kimsenin kararına uymak zorunda değilim. Bağımsızlığımıza zincir vurmaya çalışanlarla birlikte old… https://t.co/5g2rZq0NR7</t>
  </si>
  <si>
    <t>1462170901764575244</t>
  </si>
  <si>
    <t>@drfahrettinkoca Favipiravierin etkisizligi türk deneklerle kanıtlandı değil mi biz sadece aşıları deniyorsunuz zan… https://t.co/8qqVtdWmOV</t>
  </si>
  <si>
    <t>1462170756327092230</t>
  </si>
  <si>
    <t>@drfahrettinkoca Bakanım aşı demeyin artık deney sıvısını insanları kobay olarak kullanmayın yeter</t>
  </si>
  <si>
    <t>1462170549623402513</t>
  </si>
  <si>
    <t>@drfahrettinkoca Hoca,dozlar Almanya'dan geldiği gibi mi verildi.yoksa Zonguldak,takı gibi yarı yariyami bunu bir a… https://t.co/BHXQxzbrq1</t>
  </si>
  <si>
    <t>1462170410619920392</t>
  </si>
  <si>
    <t>@drfahrettinkoca Sana güvenip inanıp çocuğumu üniversite ne verdim.verdigim her kuruşun hesabı için ALLAHA HAVALE E… https://t.co/eSJaMBYgHY</t>
  </si>
  <si>
    <t>1462169872704671746</t>
  </si>
  <si>
    <t>@drfahrettinkoca https://t.co/2vT1TmpoOF  #fauci  'nin endişesini giderir misin @drfahrettinkoca  ?</t>
  </si>
  <si>
    <t>1462169710410223617</t>
  </si>
  <si>
    <t>@drfahrettinkoca Bakanım favipiravir etkisiz çıkmış o kadar yüksek dozlarla insanlar kimbilir ne zararlar gördü ???… https://t.co/qNljjKdpPD</t>
  </si>
  <si>
    <t>1462169621960839170</t>
  </si>
  <si>
    <t>@drfahrettinkoca 3doz aşı olan çok sevdiğimiz bir amcamızı Daha bugün covidden kaybettik kim kimi örnek alacak</t>
  </si>
  <si>
    <t>1462169420705447945</t>
  </si>
  <si>
    <t>@drfahrettinkoca Korona ilaçları etkisiz diye ortadan kaldırılmış aşılar için ne zaman bunu söylersiniz acaba aşıla… https://t.co/t8Vk4Kne1T</t>
  </si>
  <si>
    <t>1462169018832498688</t>
  </si>
  <si>
    <t>@drfahrettinkoca Favipravir'ler etkisiz cıktı., Yani faydası olmadı!  Fayda etmediyse zararını konuşalım! Bu ilaçla… https://t.co/xcsAnNmJXc</t>
  </si>
  <si>
    <t>1462168815870033923</t>
  </si>
  <si>
    <t>@drfahrettinkoca Bebeğe covid aşısı yapan kişiler için ne yapıldı? Hele onu söyleyin bakalım bakan bey. Bir bebek ö… https://t.co/cEItDFocXt</t>
  </si>
  <si>
    <t>1462168444984602624</t>
  </si>
  <si>
    <t>@drfahrettinkoca Sana güvenipte aşı olanın vay haline.</t>
  </si>
  <si>
    <t>1462168283734585347</t>
  </si>
  <si>
    <t>@drfahrettinkoca Milleti işiyle,okuluyla tehdit edip iğne olmaya zorlayanlar utansın.</t>
  </si>
  <si>
    <t>1462168157427228672</t>
  </si>
  <si>
    <t>@drfahrettinkoca 50 milyon potansiyel hasta ve yaşayan ölü 🙄🤔</t>
  </si>
  <si>
    <t>1462168004637175810</t>
  </si>
  <si>
    <t>@drfahrettinkoca 2 doz aşi olanlarin çoğunun ustunden  6 ay gecti. yani simdi herkeşşler ayni. simdi sende herkeş g… https://t.co/w3b0EMOxlD</t>
  </si>
  <si>
    <t>1462167987402772482</t>
  </si>
  <si>
    <t>@drfahrettinkoca Sandık varrr. Fahrettin zulmünüzde boğulacaksınız. Ötesi Allah var. Alemlerin yaradanı var. Hasbün… https://t.co/AanMI2equI</t>
  </si>
  <si>
    <t>1462167727704100865</t>
  </si>
  <si>
    <t>@drfahrettinkoca Çine git ya valla bak orda şansın daha çok 2 milyar kişide %50 desen 1 milyar temiz kota doldururs… https://t.co/SHdWdfQ3ig</t>
  </si>
  <si>
    <t>1462167384731623427</t>
  </si>
  <si>
    <t>@drfahrettinkoca ben beşinciyi olmak istiyorum nereden randevu alabilirim ???</t>
  </si>
  <si>
    <t>1462167084977340431</t>
  </si>
  <si>
    <t>@drfahrettinkoca Bı git yaw.Jimse seni iplemiyor boşuna konuşma,bı boka yaramıyor hâlâ diretiyorsun.İspat edin ulan… https://t.co/tWtpNVD3Mf</t>
  </si>
  <si>
    <t>1462166970325995527</t>
  </si>
  <si>
    <t>@drfahrettinkoca insanları dayatmalarla zorlayarak, hayatlarını kısıtlayarak,  aşını olmazsan haftada 2 kere PCR te… https://t.co/ivQKGffmoU</t>
  </si>
  <si>
    <t>1462166859806035974</t>
  </si>
  <si>
    <t>@drfahrettinkoca Allah hakkı için söyle sen aşı oldun mu, olduysan kaç doz oldun? Millete bu zulüm neden? Kamala Ha… https://t.co/qs3H8Gz4oU</t>
  </si>
  <si>
    <t>1462166857654407171</t>
  </si>
  <si>
    <t>@drfahrettinkoca https://t.co/tqD7QPhF0z Bunun hakkında ne diyorsunuz #Atabay ve  #medipol ortakları olarak..… https://t.co/Obfr042p1K</t>
  </si>
  <si>
    <t>1462166825790230542</t>
  </si>
  <si>
    <t>@drfahrettinkoca Bu devran mutlaka dönecektir. Acaba o zaman ne olacak? Çok merak ediyorum o günleri...</t>
  </si>
  <si>
    <t>1462166366929231874</t>
  </si>
  <si>
    <t>@drfahrettinkoca Değil Türkiye'de dünyada tek ben kalsam da o içerisinde GRAPHENE OXİDE olduğu bilinen sıvıyı almay… https://t.co/F66q4a3dJL</t>
  </si>
  <si>
    <t>1462165509571555333</t>
  </si>
  <si>
    <t>@drfahrettinkoca Biz sorumluluğumuz yerine getirdik ben 3 doz ,eşim 4doz aşımızı olduk.sizde sorumluluk alın artık… https://t.co/sE7NykJl3l</t>
  </si>
  <si>
    <t>1462165058021122050</t>
  </si>
  <si>
    <t>@drfahrettinkoca Size Sn falan demeyeceğim.Tutturdun bir aşı da aşı.Dün SMA lı bir çocuğun annesi evladının acıları… https://t.co/rtUAYop8NY</t>
  </si>
  <si>
    <t>1462164734812344323</t>
  </si>
  <si>
    <t>@drfahrettinkoca Üniversitelerde önlem alınmalı #MebYoekOnlineEğitimHakkımız</t>
  </si>
  <si>
    <t>1462163964041830403</t>
  </si>
  <si>
    <t>@drfahrettinkoca 2 yıldır gündem ne olursa olsun maske-aşı-covid diyen bakandan sıkılmadık mı cidden? %60-70 aşıdan… https://t.co/0YWCbLWGQI</t>
  </si>
  <si>
    <t>1462162942296834057</t>
  </si>
  <si>
    <t>@drfahrettinkoca Allah aşkına düşün bu insanların yakasından  Bir senedir insanlara yanlış hapları verip  Sonrada i… https://t.co/DDvePLM0Hq</t>
  </si>
  <si>
    <t>1462162597659226113</t>
  </si>
  <si>
    <t>@drfahrettinkoca Sınavlar online olsun</t>
  </si>
  <si>
    <t>1462162520278454275</t>
  </si>
  <si>
    <t>@drfahrettinkoca Daha neyi bekliyor aşı olmayanlar?</t>
  </si>
  <si>
    <t>1462161970308829194</t>
  </si>
  <si>
    <t>@drfahrettinkoca Dün Sinovac'ı övenler bugün işe yaramaz diyor.   Dün iki doz Biontech korur diyenler bugün 3. doz… https://t.co/6WNLJC9x2Z</t>
  </si>
  <si>
    <t>1462161214528802818</t>
  </si>
  <si>
    <t>@drfahrettinkoca Aşı bulaşmayı engellemiyor, hastalığı engellemiyor, yoğun bakımda yatmayı engellemiyor, ölümü de e… https://t.co/gNWOmuiEwl</t>
  </si>
  <si>
    <t>1462161047977172994</t>
  </si>
  <si>
    <t>@drfahrettinkoca Sayın Fahrettin Koca,annem 3 doz sinovak + zatürre aşısı olmuş,şuan covid nedeni ile Özel Adana Ha… https://t.co/cnHaglrjZy</t>
  </si>
  <si>
    <t>1462160407779491848</t>
  </si>
  <si>
    <t>@drfahrettinkoca 16 adet içilen ilaç için özür dileyecekmisiniz?</t>
  </si>
  <si>
    <t>1462160362007105547</t>
  </si>
  <si>
    <t>@drfahrettinkoca O 50 milyona sorun bakalım aşıdan memnun kalmışlar mı ?</t>
  </si>
  <si>
    <t>1462160299461648390</t>
  </si>
  <si>
    <t>@drfahrettinkoca 4 aşılı bir insanım,gerekeni yaparım.</t>
  </si>
  <si>
    <t>1462160084260241411</t>
  </si>
  <si>
    <t>@drfahrettinkoca Hclsin ve 8+ 8 hap konusunda da bir yorum yapsan</t>
  </si>
  <si>
    <t>1462160064064770056</t>
  </si>
  <si>
    <t>@drfahrettinkoca 2 doz aşı yapanlar neden yoğun bakımda eyyyy??</t>
  </si>
  <si>
    <t>1462159394033000453</t>
  </si>
  <si>
    <t>@drfahrettinkoca 50 milyon dan kaç kişi hastalandı? Kaç kişi yoğun bakıma alındı? Ve ya aşı sonrası kaç kişi kalp k… https://t.co/keKedZ1bXg</t>
  </si>
  <si>
    <t>1462159340350095368</t>
  </si>
  <si>
    <t>@drfahrettinkoca Ne halt olduğu belli olmayan aşıları vurmak akıl kârı değil. Şimdiye kadar tedavide kullandırılan… https://t.co/fz1ogG6MuL</t>
  </si>
  <si>
    <t>1462159294686769160</t>
  </si>
  <si>
    <t>@drfahrettinkoca 18 yaş altını o genel nüfustan düşün bence</t>
  </si>
  <si>
    <t>1462208740468350980</t>
  </si>
  <si>
    <t>@drfahrettinkoca https://t.co/HyFewV2rwt</t>
  </si>
  <si>
    <t>1462208410653544450</t>
  </si>
  <si>
    <t>@drfahrettinkoca Aşı bakanı</t>
  </si>
  <si>
    <t>1462158334275072001</t>
  </si>
  <si>
    <t>@drfahrettinkoca Yaptığınız yanlış tedavinin sorumluluğunu alıp ne vakit istifa edeceksiniz.insanları denek olarak kullandınız.</t>
  </si>
  <si>
    <t>1462158136702296068</t>
  </si>
  <si>
    <t>@drfahrettinkoca Aşı olduktan sonra 1 ay içinde kalp krizi geçirenlerin istatistiği var mı sayın bakan???</t>
  </si>
  <si>
    <t>1462157661345095688</t>
  </si>
  <si>
    <t>@drfahrettinkoca Dayatma olmasa kesinlikle olmazdım ili dozu da salak gibi olan bir vatandaş olarak diyorum aşı olm… https://t.co/ul7PcHQ7T7</t>
  </si>
  <si>
    <t>1462157526917693441</t>
  </si>
  <si>
    <t>@drfahrettinkoca BAKIN nüfusun %100 ü 8 doz aşı olsada bunlar illaki birşeyler yapacak. Yani şuan dünyada ve ülkemi… https://t.co/PEelAUXpxw</t>
  </si>
  <si>
    <t>1462157116291100690</t>
  </si>
  <si>
    <t>@drfahrettinkoca Önce onay ver,sonra karar iste,50 milyonun vebalide senin üstünde.</t>
  </si>
  <si>
    <t>1462156667727065091</t>
  </si>
  <si>
    <t>@drfahrettinkoca #AileyeKüreselSaldırı #SüresizNafaka Ömür boyu borçlu yaşamak Borcunun ne zaman biteceğini bilmeme… https://t.co/G3bsh9AN3h</t>
  </si>
  <si>
    <t>1462156650303959045</t>
  </si>
  <si>
    <t>@drfahrettinkoca Eğer sizde gram akıl varsa bende bişey bilmiyorum. Bu kadar mı kör olur bir insan. Bu kadar mı vat… https://t.co/U1bEzXeYs4</t>
  </si>
  <si>
    <t>1462156363535200265</t>
  </si>
  <si>
    <t>@drfahrettinkoca 50 milyon aşı olduğuna göre 18 yaş altı nüfus % ?? Pcr hata payı biliniyorda grip virüsü -covid ya… https://t.co/13lOvtjJPS</t>
  </si>
  <si>
    <t>1462156175991001095</t>
  </si>
  <si>
    <t>@drfahrettinkoca 21 Milyon kritik sınır demişti Bil'in Kurulunuz! Yetmemiş %60'ı da yakalamışsınız! Düşün artık yak… https://t.co/UmKYcYHBP6</t>
  </si>
  <si>
    <t>1462155512208834572</t>
  </si>
  <si>
    <t>@drfahrettinkoca Çocukları ve 20 yaş altını çıkarırsak toplumun yüzde 80'i aşılanmış oluyor. Genel nüfus üzerinden… https://t.co/T7yr1tkRAN</t>
  </si>
  <si>
    <t>1462155014533746690</t>
  </si>
  <si>
    <t>@drfahrettinkoca Bu zulmü dsö'ye güvenerek yapıyorsunuz ama, unutmayın ki  dsö'den büyük ALLAH var ve bunların hesabını size soracak.</t>
  </si>
  <si>
    <t>1462154958569148417</t>
  </si>
  <si>
    <t>@drfahrettinkoca ÇOK SAÇMA ! DÜNYADA TEK 'KÜLTÜR KRALİÇESİ  AŞI OLMAMİŞ KALSAM , YİNEDE OLMAM ! BEN SANA O MAKAMI V… https://t.co/Rig2y1VjP7</t>
  </si>
  <si>
    <t>1462154622152364034</t>
  </si>
  <si>
    <t>@drfahrettinkoca Gerçekler ortaya çıktığında aşılıları tedavi etmeye uğraşıcaz ve ben bunun için cebimden vergi ver… https://t.co/o2v3QkkJD9</t>
  </si>
  <si>
    <t>1462154567353782275</t>
  </si>
  <si>
    <t>@drfahrettinkoca Sma hastası çocuklar için de uğraşlarınızı görsek</t>
  </si>
  <si>
    <t>1462154095226142732</t>
  </si>
  <si>
    <t>@drfahrettinkoca Heralde Küresel Çete nin Türkiye ayağı sen oldun.</t>
  </si>
  <si>
    <t>1462154039995551752</t>
  </si>
  <si>
    <t>@drfahrettinkoca 🤔E tamam işte, %60'ta bu iş bitiyordu.</t>
  </si>
  <si>
    <t>1462153907719839751</t>
  </si>
  <si>
    <t>@drfahrettinkoca İşimden atılmayım diye beddua ede ede sıvı olanların ahı, virüsü doğal olarak atlattığı halde sosy… https://t.co/meji8pxG3l</t>
  </si>
  <si>
    <t>1462153632808382465</t>
  </si>
  <si>
    <t>@drfahrettinkoca Allah rızası için şu kılavuzu yayınlayın</t>
  </si>
  <si>
    <t>1462153048302800900</t>
  </si>
  <si>
    <t>@drfahrettinkoca #fahrettinkocaistifa  #fahrettinkocaistifa  #fahrettinkocaistifa</t>
  </si>
  <si>
    <t>1462152990392045571</t>
  </si>
  <si>
    <t>@drfahrettinkoca Ya ya bizde açtık kolları hemen canim başka bir isteğiniz varmi</t>
  </si>
  <si>
    <t>1462152954404868096</t>
  </si>
  <si>
    <t>@drfahrettinkoca Ey bakan varsa sana hakkım zehir zıkkım olsun.Tek kelime ile özetliyorum.Verdiğim her pcr için bed… https://t.co/IaDhuJ1RQV</t>
  </si>
  <si>
    <t>1462152864747372554</t>
  </si>
  <si>
    <t>@drfahrettinkoca Sayın Bakanım, sanıyorum ki kısıtlamalar olmadıkça 3-5 binlik vakalara düşemeyiz. Haftasonu kısıtl… https://t.co/x36QA1IbqT</t>
  </si>
  <si>
    <t>1462152735285993476</t>
  </si>
  <si>
    <t>@drfahrettinkoca Aşılarını tam olan AKP Maraş milletvekili İmran Kılıç COVİDDEN vefat etti. Allah rahmet eylesin. A… https://t.co/xkwc7vz2qh</t>
  </si>
  <si>
    <t>1462152522987188236</t>
  </si>
  <si>
    <t>@drfahrettinkoca O yüzde 60 aşı olmaya koşa koşa mı gitti bakan bey??</t>
  </si>
  <si>
    <t>1462152451189088261</t>
  </si>
  <si>
    <t>@drfahrettinkoca Bir düş yakamizdan  kararımızı saygı duy</t>
  </si>
  <si>
    <t>1462152285535055887</t>
  </si>
  <si>
    <t>@drfahrettinkoca Bu millet yaptıklarınızı asla unutmayacak</t>
  </si>
  <si>
    <t>1462152186792718341</t>
  </si>
  <si>
    <t>@drfahrettinkoca Bilin kurulu dürüst şekilde verileri aciklasa, insanlarda okadar kararlı olur bakan bey, insanları… https://t.co/VV2uZfeSrt</t>
  </si>
  <si>
    <t>1462152169172475915</t>
  </si>
  <si>
    <t>@drfahrettinkoca Ülkede devalasyon oluyor millet kan ağlıyor siz hala aşı diyorsunsunuz yazıklar olsun tüm siyasetç… https://t.co/xW76UL7XHP</t>
  </si>
  <si>
    <t>1462151815202590732</t>
  </si>
  <si>
    <t>@drfahrettinkoca Kılavuzu Fahri olanın kolu iğneli sıvıdan kurtulmaz.</t>
  </si>
  <si>
    <t>1462151797041254401</t>
  </si>
  <si>
    <t>@drfahrettinkoca Miraç Emir SMA tip 1 hastası bütün smalı çocuklar ölüme terk edilmiş durumda her iki cihanda da Ra… https://t.co/26ftFCxpAv</t>
  </si>
  <si>
    <t>1462151033883398146</t>
  </si>
  <si>
    <t>@drfahrettinkoca Sana şizofreni tanısı konması lazım kendi kendini yalanliyorsun.</t>
  </si>
  <si>
    <t>1462150888068427788</t>
  </si>
  <si>
    <t>@drfahrettinkoca Ulan utanmadan da söylüyor madem öyle neden vaka patlaması var ahlaksız yalan rüzgarı</t>
  </si>
  <si>
    <t>1462149761721581572</t>
  </si>
  <si>
    <t>@drfahrettinkoca Ama bir işe yaramıyor. Aksine milleti psikolojik hastalık sahibi ettiniz.</t>
  </si>
  <si>
    <t>1462149477796655117</t>
  </si>
  <si>
    <t>@drfahrettinkoca %30 la  hani  toplumda bağışıklık sağlanacaktı?  #KovitDeğilİlaçlarÖldürüyor</t>
  </si>
  <si>
    <t>1462149092289744897</t>
  </si>
  <si>
    <t>@drfahrettinkoca Öbür dünyada o ilaçları verip yanliş tedavi uygulanan insanların hesabını  vericeksiniz PCR YOK AŞ… https://t.co/69ftvHBa80</t>
  </si>
  <si>
    <t>1462147707666153482</t>
  </si>
  <si>
    <t>@drfahrettinkoca İstatistiği yanlış yorumlamayın sayın bakan. Yüzde60 ve 12 yaş altı çocuklar eklenerek o yüzdeyi v… https://t.co/aqeFe0Mb9x</t>
  </si>
  <si>
    <t>1462147235102310402</t>
  </si>
  <si>
    <t>@drfahrettinkoca Covid oldu diye millete verdiğiniz ilaçlardan iki tanesi (hidroksiklorokin favipravir) elinizde pe… https://t.co/09BuipaGiX</t>
  </si>
  <si>
    <t>1462146168025194496</t>
  </si>
  <si>
    <t>@drfahrettinkoca Ailecek aşımızı olduk.</t>
  </si>
  <si>
    <t>1462146164413939713</t>
  </si>
  <si>
    <t>@drfahrettinkoca Aşı bulaşı en gel le mi yoooooorrrrrr bazı yasakların geri gelmesi gerekiyorrrrrrr</t>
  </si>
  <si>
    <t>1462146159611465731</t>
  </si>
  <si>
    <t>@drfahrettinkoca 2 Sinovac 1 Biontek Olanlar 2 doz Biontek ne zaman olacak ,.! Konu ile DSÖ nün Onayladığı bir Süre varmı,.!</t>
  </si>
  <si>
    <t>1462146096931692549</t>
  </si>
  <si>
    <t>@drfahrettinkoca Sayın Bakanım hassasiyetinizi anlıyorum. Ama bu cuma namazında İmam, Diyanetin talimatı gereği ön… https://t.co/9k86OmKyUT</t>
  </si>
  <si>
    <t>1462146085024153604</t>
  </si>
  <si>
    <t>@drfahrettinkoca Sayın bakan ben milliyetçi bir vatandaş olarak inanmadığım halde Türk aşısını Konya ya bekliyorum… https://t.co/teAbDdiyPT</t>
  </si>
  <si>
    <t>1462145144682160130</t>
  </si>
  <si>
    <t>@drfahrettinkoca Sağ yol doğru , sol yol yanlış  Sola 10 kişinin,  saga 1 kişinin gitmesi sol yolun  doğru olduğunu göstermez</t>
  </si>
  <si>
    <t>1462144949957410816</t>
  </si>
  <si>
    <t>@drfahrettinkoca https://t.co/zRfW6erDoM</t>
  </si>
  <si>
    <t>1462144738501476365</t>
  </si>
  <si>
    <t>@drfahrettinkoca Yeter artık, çıkın birinizde deyin ki yarınları kaygılı, geçimi dertli, huzuru bozuk, güvencesi be… https://t.co/hX8qXUdqtu</t>
  </si>
  <si>
    <t>1462144467146792961</t>
  </si>
  <si>
    <t>@drfahrettinkoca 50 milyon denek kolay değil dile kolay ve neredeyse tanıdığım hemen hepsi kalıbından şikayetçi olm… https://t.co/Wn3LeU08zY</t>
  </si>
  <si>
    <t>1462144002321485830</t>
  </si>
  <si>
    <t>@drfahrettinkoca Sen artık sussssssss Allah aşkına sussssssss sesinden yüzünden ve hasta bakmadan tweet atmandan ye… https://t.co/veodgXWI9f</t>
  </si>
  <si>
    <t>1462143998437560320</t>
  </si>
  <si>
    <t>@drfahrettinkoca Koyun gibi sizde gelin öylemi, covit zaten bir zeka testi, akleden ve etmeyen ortada.</t>
  </si>
  <si>
    <t>1462143896180432905</t>
  </si>
  <si>
    <t>@drfahrettinkoca Hani şu iki dozdan sonra d-dimer testi yüksek çikan babamı mı örnek alayım. O da zaten sizin zorun… https://t.co/dYfDQUh5mz</t>
  </si>
  <si>
    <t>1462143745600729090</t>
  </si>
  <si>
    <t>@drfahrettinkoca ALMIYORUZ, sıvılı ülkeler hepsi can çekişiyor farkında değilmisin,  ama sizin işiniz zaten sözde s… https://t.co/uLvgsWm0me</t>
  </si>
  <si>
    <t>1462143212664074245</t>
  </si>
  <si>
    <t>@drfahrettinkoca Yok, onlar benim kararımı örnek alsın.  Küreselcilerin tasmalı köpeklerini zikleyecek değiliz sayın bakanım.</t>
  </si>
  <si>
    <t>1462143107542265861</t>
  </si>
  <si>
    <t>@drfahrettinkoca Mesele para olunca hesap sormuş bak, daha  bu yanlış tedavi sonucu ölen, hasar görenlerin  hesabı… https://t.co/SddW5wz0pv</t>
  </si>
  <si>
    <t>1462142097352499206</t>
  </si>
  <si>
    <t>@drfahrettinkoca Bakanım pandemi hala devam ediyor bitmiyorsa, bu süreci yanlış yöneterek başarısız olduğunuzu kabu… https://t.co/ti5CBzI9JA</t>
  </si>
  <si>
    <t>1462141268398682113</t>
  </si>
  <si>
    <t>@drfahrettinkoca sözde aşı saçmalığından ne zaman vaz geçeceğinizi söyleyeyim. olurda birgün batılı ülkeler aşının… https://t.co/xQIOFz0dan</t>
  </si>
  <si>
    <t>1462141210508865541</t>
  </si>
  <si>
    <t>@drfahrettinkoca İKİ DOZ AŞISINI YAPTIRAN 50 MİLYONUN üzerinde araştırma yapıldı mı? Takipleri yapılıyor mu? Ne gib… https://t.co/9IqQnCGXYu</t>
  </si>
  <si>
    <t>1462141104992792583</t>
  </si>
  <si>
    <t>@drfahrettinkoca Bu nasıl saçma birşey, örnek alarak aşılama mi olur. Komşunun çocuğunu örnek gösterir gibi</t>
  </si>
  <si>
    <t>1462140607007240201</t>
  </si>
  <si>
    <t>@drfahrettinkoca Hani așı olmak bireysel karardı erdoğan öğle dedi șimdide așı olanları örnek alalım diyorsun kimi… https://t.co/OvASiJHBLw</t>
  </si>
  <si>
    <t>1462140205725536263</t>
  </si>
  <si>
    <t>@drfahrettinkoca Daha kılavuzda geleydi.verem olduk</t>
  </si>
  <si>
    <t>1462139021077929994</t>
  </si>
  <si>
    <t>@drfahrettinkoca 3.yü yaptirdik bünye 4 4 4 diye bagiriyor</t>
  </si>
  <si>
    <t>1462138606072610817</t>
  </si>
  <si>
    <t>@drfahrettinkoca Bence aşı olanlar artık doz doz olmaktan vazgeçsinler ve olmayanları örnek alsınlar 🤗</t>
  </si>
  <si>
    <t>1462138247509905415</t>
  </si>
  <si>
    <t>@drfahrettinkoca Durmadan Aşı çığırtkanlığı yapacağına bu garibanları niye görmüyorsun. Sen ne biçim Sağlık Bakanıs… https://t.co/mQCmesKjOf</t>
  </si>
  <si>
    <t>1462138062532665349</t>
  </si>
  <si>
    <t>@drfahrettinkoca Ülkede alkol ve sigara kullanımı nüfusun %70'inden fazla... Alkol ve sigara kullanma konusunda kar… https://t.co/2Roi7h6Xur</t>
  </si>
  <si>
    <t>1462137859041808396</t>
  </si>
  <si>
    <t>@drfahrettinkoca Şu işe yaramayan ilacı da açıklar mısın sana zahmet</t>
  </si>
  <si>
    <t>1462137115823722503</t>
  </si>
  <si>
    <t>@drfahrettinkoca Yüzde 60'a mi düştü şimdi de</t>
  </si>
  <si>
    <t>1462137011066785793</t>
  </si>
  <si>
    <t>1462136941009412116</t>
  </si>
  <si>
    <t>@drfahrettinkoca aşı değil deney sıvısı</t>
  </si>
  <si>
    <t>1462136625027325959</t>
  </si>
  <si>
    <t>@drfahrettinkoca 2018 verilerine göre günlük 1700 kişinin ölmesi normal, koronadan önce gripten olum sayısı günde 3… https://t.co/vHIBwpuIBV</t>
  </si>
  <si>
    <t>1462136281325084673</t>
  </si>
  <si>
    <t>@drfahrettinkoca Çift doz a$i koruyor Demiştiniz ama aslı astarı yokmuş. Faviplavir de etkisizmiş.  Çift maske de k… https://t.co/M7d4UIrpaG</t>
  </si>
  <si>
    <t>1462136113364094977</t>
  </si>
  <si>
    <t>@drfahrettinkoca İki doz aşililar aşısız sayiliyordu o zaman ülkenin %60 i asisiz doğru mu?E birde tek doz aşılı ol… https://t.co/ElM9ipF493</t>
  </si>
  <si>
    <t>1462135952005111808</t>
  </si>
  <si>
    <t>@drfahrettinkoca https://t.co/d4m9Z9jKJI</t>
  </si>
  <si>
    <t>1462135875173769220</t>
  </si>
  <si>
    <t>@drfahrettinkoca 4 doz aşı olan Kadir İnanır'ın beyninde pıhtı attı.  Hidrosiklorokin ve Favipiravir'den vazgeçen b… https://t.co/Fm6KdrNc4d</t>
  </si>
  <si>
    <t>1462135855909326848</t>
  </si>
  <si>
    <t>@drfahrettinkoca İki doz aşililar aşisiz sayiliyordu bakan bey o zaman ülkenin %60 i asisiz doğru mu?E birde tek do… https://t.co/2Su0O3mGzT</t>
  </si>
  <si>
    <t>1462135624270499847</t>
  </si>
  <si>
    <t>@drfahrettinkoca İnsanlar işten çıkarılmakla tehdit edildiği için aşı oluyor ki çalıştığım fabrika da pazartesi baş… https://t.co/JjZofahUuD</t>
  </si>
  <si>
    <t>1462134854271836166</t>
  </si>
  <si>
    <t>@drfahrettinkoca https://t.co/nCEotx4yVO #fahrettinkocaTUTUKLANSIN</t>
  </si>
  <si>
    <t>1462134480794267661</t>
  </si>
  <si>
    <t>@drfahrettinkoca Aynı %50-55in günahının vebalinin bedelini tam 12 yıldır ödüyoruz zaten!!! Ne örnek almasından bah… https://t.co/RuYi0IlsUT</t>
  </si>
  <si>
    <t>1462134454445654023</t>
  </si>
  <si>
    <t>@drfahrettinkoca Kararsız değiliz ya biz kararımız verdik :)</t>
  </si>
  <si>
    <t>1462134363697684487</t>
  </si>
  <si>
    <t>@drfahrettinkoca Ya bı susar mısın artık 😒</t>
  </si>
  <si>
    <t>1462134013624209410</t>
  </si>
  <si>
    <t>@drfahrettinkoca O zaman toplumsal bağışıklık gerçekleşmiş durumda. Kaldırın tüm önlemleri. Hadi!</t>
  </si>
  <si>
    <t>1462133719674806280</t>
  </si>
  <si>
    <t>@drfahrettinkoca @mehmetcek06 Sınır nedir? Ne kadar oran olunca bitecek</t>
  </si>
  <si>
    <t>1462133587722051596</t>
  </si>
  <si>
    <t>@drfahrettinkoca What is this Mr.Koca?  Bence bütün doktorlar olarak bundan utanmalısınız!  Biz, sizin gibi doktorl… https://t.co/hoQQZHqYcz</t>
  </si>
  <si>
    <t>1462133185731608578</t>
  </si>
  <si>
    <t>@drfahrettinkoca %50'I NEDEN ÖRNEK ALINACAK? *BİR KISMINI MUHTEŞEM KORKUTTUNUZ *BİR KISMINI İŞİYLE TEHDİT ETTİNİZ *… https://t.co/xdxhKpZZcW</t>
  </si>
  <si>
    <t>1462133117842608130</t>
  </si>
  <si>
    <t>@drfahrettinkoca Allah aşkına ne yapacaksan yap da gunluk  şırınga proagandası yerıne  bızım yerımıze de   iğneyı… https://t.co/s8IXxvTgpp</t>
  </si>
  <si>
    <t>1462133075480133637</t>
  </si>
  <si>
    <t>@drfahrettinkoca Nuh as in ashabı on milyon idi. Ona inananlar 100, gemisine binenler 80 kişi idiler. Çoğunluk hep… https://t.co/d6JFAzaCBE</t>
  </si>
  <si>
    <t>1462133044693946371</t>
  </si>
  <si>
    <t>@drfahrettinkoca Aşıyı üreten gelip neden kullanılmaması gerektiğini uzun uzun anlatsa yine bu sevdadan vazgeçmez Fahrettin hoca.</t>
  </si>
  <si>
    <t>1462133010174779394</t>
  </si>
  <si>
    <t>@drfahrettinkoca https://t.co/MuQo4HKwGc</t>
  </si>
  <si>
    <t>1462132326515752971</t>
  </si>
  <si>
    <t>@drfahrettinkoca https://t.co/2jgzyQ7May</t>
  </si>
  <si>
    <t>1462132319221948419</t>
  </si>
  <si>
    <t>1462132240532525057</t>
  </si>
  <si>
    <t>@drfahrettinkoca Kendi kendine konuşan sağlık bakanı</t>
  </si>
  <si>
    <t>1462132221360447491</t>
  </si>
  <si>
    <t>@drfahrettinkoca Sayın bakanım daha ne kadar oyaliyacaksiniz bunca atama bekleyen genci hiç mi vebalden korkmuyorsu… https://t.co/dzeKaywscC</t>
  </si>
  <si>
    <t>1462132093870297091</t>
  </si>
  <si>
    <t>@drfahrettinkoca Hani %60 tek dozda bu iş bitiyordu ne oldu sizin favipiravir işi 1 sene önce dsö işe yaramıyor ded… https://t.co/UT6MxpHnQh</t>
  </si>
  <si>
    <t>1462132020356780037</t>
  </si>
  <si>
    <t>@drfahrettinkoca ABD karşıtı gibi görünüp her istediğini yapan politikacılar maalesef yıllardır aynı.Aşı, ilaç vs de de aynı</t>
  </si>
  <si>
    <t>1462131939595501569</t>
  </si>
  <si>
    <t>@drfahrettinkoca https://t.co/GqF0GD3TLy</t>
  </si>
  <si>
    <t>1462131850365833218</t>
  </si>
  <si>
    <t>@drfahrettinkoca Hem aşıyi zorunlu kıl hem de 50 milyonu örnek alın diyorsunuz 😂</t>
  </si>
  <si>
    <t>1462131795294658570</t>
  </si>
  <si>
    <t>@drfahrettinkoca Faho aşılarınıda defol git yerli şivemle diyorumki sana cahannem ol git.</t>
  </si>
  <si>
    <t>1462131776793583623</t>
  </si>
  <si>
    <t>@drfahrettinkoca Çoğunluğa göre mi karar alalım 😂</t>
  </si>
  <si>
    <t>1462131519074582533</t>
  </si>
  <si>
    <t>@drfahrettinkoca Bıktık sizin açıklamalarınızdan. Kafayı yemissiniz. Aşının yan etkileri gırla. Gözünuzu kapamış aş… https://t.co/5Lsz0ugYsO</t>
  </si>
  <si>
    <t>1462131305899040773</t>
  </si>
  <si>
    <t>@drfahrettinkoca Ey cemaat ben 42 yaşı da kalp pili tansiyon ve şeker hastasıyım ben buna yakalanmak için ilk çıktı… https://t.co/n7wXZN4AYF</t>
  </si>
  <si>
    <t>1462130979326279683</t>
  </si>
  <si>
    <t>@drfahrettinkoca Aşı olalım diye PCR zorunlu tuttular. Dilekçe verdik hakkımızda usulsüz ve yasal olmayan şekilde i… https://t.co/GQooq2ovSi</t>
  </si>
  <si>
    <t>1462130804943904775</t>
  </si>
  <si>
    <t>@drfahrettinkoca Fetönün darbe yapmasına ne gerek siz aşıyla darbenin alasını yaptınız zaten. Aşı eşittir hata artık kabul edin.</t>
  </si>
  <si>
    <t>1462130468762050566</t>
  </si>
  <si>
    <t>@drfahrettinkoca Neyini örnek alacağız zorlamalar ile sizlere beddua ede ede aşılanan çalışan/okuyan kesimimi yoksa… https://t.co/MihuUyihLo</t>
  </si>
  <si>
    <t>1462130189450858505</t>
  </si>
  <si>
    <t>@drfahrettinkoca Vakalar ve ölümler neden düşmüyor ? UTANMA KALMAMIŞ BAKANIM SİZDE ORTALIK UYUZ HASTALIĞINDAN KIRIL… https://t.co/lb1sO69ZkE</t>
  </si>
  <si>
    <t>1462130042637631488</t>
  </si>
  <si>
    <t>@drfahrettinkoca Nerde bu kılavuz ya</t>
  </si>
  <si>
    <t>1462129678442016780</t>
  </si>
  <si>
    <t>@drfahrettinkoca Hadi ya ciddi mi 50 milyonu işi ile aşı ile okulu ile tehdit edip yaptırdınız bizede şimdi onları… https://t.co/YUyUMu75hI</t>
  </si>
  <si>
    <t>1462129133459279874</t>
  </si>
  <si>
    <t>@drfahrettinkoca Yeter artık. Ne zaman istifa ediyorsun. En savilen bakandan en sevilmeyenlerin başına geçtin</t>
  </si>
  <si>
    <t>1462128657263218695</t>
  </si>
  <si>
    <t>@drfahrettinkoca Boşuna yırtılma OLMUYORUZ</t>
  </si>
  <si>
    <t>1462128551210237952</t>
  </si>
  <si>
    <t>@drfahrettinkoca Sayın bakan rahat uyuyabiliyormusunuz vefatlarına sebep olduğunuz insanlar rüyalarınıza giriyor mu</t>
  </si>
  <si>
    <t>1462128505081237508</t>
  </si>
  <si>
    <t>@drfahrettinkoca Çift doz aşılıların ne kadarı etki süresinin içinde ? Ne kadarı hangi marka aşıları tercih etti? Ş… https://t.co/woIysUiY2u</t>
  </si>
  <si>
    <t>1462128444905603076</t>
  </si>
  <si>
    <t>@drfahrettinkoca İnsanların işten atılma korkusu olmasaydı o zehirli sıvıyı ancak % 30 a yapardınız.. Avrupa ve Ame… https://t.co/M32bWtkDKC</t>
  </si>
  <si>
    <t>1462128403541286915</t>
  </si>
  <si>
    <t>@drfahrettinkoca Favipiravir hakkında resmi açıklama yapıldı mı?</t>
  </si>
  <si>
    <t>1462128236977078286</t>
  </si>
  <si>
    <t>@drfahrettinkoca Zaman gelecek aşısızlardan kan dilenecek millet</t>
  </si>
  <si>
    <t>1462128184321785867</t>
  </si>
  <si>
    <t>@drfahrettinkoca Ülkenin parasını bir halta yaramayan ilaç ve aşılara yatırdın... İlaç firmaları zengin ettiniz...… https://t.co/gVGWg9HbE3</t>
  </si>
  <si>
    <t>1462127877173002244</t>
  </si>
  <si>
    <t>@drfahrettinkoca Sn. Bakanım mantık devre dışı bırakılarak çoğunluğu örnek almak dinimize uygun bir davranış da değ… https://t.co/oVogqeo0qY</t>
  </si>
  <si>
    <t>1462127861809225732</t>
  </si>
  <si>
    <t>@drfahrettinkoca hayret ediyorum okadar ölen var tedavide verilen ilaçların faydasının olmadığı ortaya cıkıyor mily… https://t.co/qYwH7ValhG</t>
  </si>
  <si>
    <t>1462127848035078150</t>
  </si>
  <si>
    <t>@drfahrettinkoca Okula giremezsin dediniz, çalışamazsın dediniz. Genelge ile anayasaya aykırı zorladınız. Büyük bir… https://t.co/IxvuNBNRVD</t>
  </si>
  <si>
    <t>1462127795711188994</t>
  </si>
  <si>
    <t>@drfahrettinkoca Al aşı ver aşı SMA yüzünden çaresiz birakilan ailelerin aşısını istiyoruz artık. Yetmedi mi cektirdiginiz çile!!!</t>
  </si>
  <si>
    <t>1462127493956186116</t>
  </si>
  <si>
    <t>@drfahrettinkoca Vicdanlı doktorlarımız artık gelecek kaygısı duymadan görünür olmalı ve coronadan ölenlere verilen… https://t.co/IbqrUWiI9m</t>
  </si>
  <si>
    <t>1462127482350587905</t>
  </si>
  <si>
    <t>@drfahrettinkoca Kusura bakmayin da kimsenin Corona düşünecek dünyası kalmadı.herkesin geçmişi geleceği gitti. Bizi bitirdiniz.</t>
  </si>
  <si>
    <t>1462127200111632393</t>
  </si>
  <si>
    <t>@drfahrettinkoca aşı olup patır patır ölüp dökülenleri görüpte hala aşı olmak isteyen varmı harbiden</t>
  </si>
  <si>
    <t>1462127024630378504</t>
  </si>
  <si>
    <t>@drfahrettinkoca Faviprapir e benzemesin aşı da.</t>
  </si>
  <si>
    <t>1462126730202730498</t>
  </si>
  <si>
    <t>@drfahrettinkoca 🤣🤣🤣🤣</t>
  </si>
  <si>
    <t>1462126591698522116</t>
  </si>
  <si>
    <t>@drfahrettinkoca Hiç kimse de sormuyor  Siz ve diğerleri neden tek doz bile olmadınız diye !</t>
  </si>
  <si>
    <t>1462126410022244368</t>
  </si>
  <si>
    <t>@drfahrettinkoca https://t.co/Iu969lSpWB</t>
  </si>
  <si>
    <t>1462125756700667905</t>
  </si>
  <si>
    <t>@drfahrettinkoca Çoğunluğun kararı bizi bağlamıyor.. coronadan ölenlere otopsi izni çıkarılırsa sizinde gerçek yüzünüz ifşa olur.</t>
  </si>
  <si>
    <t>1462125504497164298</t>
  </si>
  <si>
    <t>@drfahrettinkoca Yauw he he 🤭</t>
  </si>
  <si>
    <t>1462124506504474630</t>
  </si>
  <si>
    <t>@drfahrettinkoca Pcr’ını da sıvını da alıp gider misin lütfen!</t>
  </si>
  <si>
    <t>1462124429899669505</t>
  </si>
  <si>
    <t>@drfahrettinkoca Ölenlerin kaçı aşılı kaçı aşısız?bunlarıda panoda yayınlarsanız seviniriz sadece aşıdan sorumlu aşı bakanımız🤗💉💊🎭😷👍</t>
  </si>
  <si>
    <t>1462124392188629001</t>
  </si>
  <si>
    <t>@drfahrettinkoca Yuh size artık yuhhhhh sözün bittiği yerdeyiz,size hiç bir şey işlemiyor,siz insamısınız gerçekten… https://t.co/D2hzc9ae9o</t>
  </si>
  <si>
    <t>1462124351537528839</t>
  </si>
  <si>
    <t>@drfahrettinkoca Sn. Bakanım daha öncesinde 18+ yaşın baz alındığı haritada 2 doz için %80i çoktan geçip aşıların t… https://t.co/850ND3oy5Y</t>
  </si>
  <si>
    <t>1462124164710547461</t>
  </si>
  <si>
    <t>@drfahrettinkoca Kim PARDON  diyecek https://t.co/GMSjYyIGT0</t>
  </si>
  <si>
    <t>1462123772262166528</t>
  </si>
  <si>
    <t>@drfahrettinkoca 50 milyon toplum bağışıklığı için yeterli değil mi? Neden vaka sayısı ve ölümler düşmüyor?</t>
  </si>
  <si>
    <t>1462123756898471936</t>
  </si>
  <si>
    <t>@drfahrettinkoca Yooo onlar  bizim kararımıza örnek olmalıydılar</t>
  </si>
  <si>
    <t>1462123585816907785</t>
  </si>
  <si>
    <t>@drfahrettinkoca 8 milyarın beni örnek alması lazım. O vakit 2 günde kökünüzü kazırız.</t>
  </si>
  <si>
    <t>1462123573661908999</t>
  </si>
  <si>
    <t>@drfahrettinkoca Çoğunluğun her yaptığına doğru gözüyle bakacaksak yandık! Hayati bir konuda araştırmak yerine çoğu… https://t.co/3s8puMv888</t>
  </si>
  <si>
    <t>1462123568481898505</t>
  </si>
  <si>
    <t>@drfahrettinkoca Hani sağlık çalışan memurlara sayın bakanım. https://t.co/6cy8Gl9mMN</t>
  </si>
  <si>
    <t>1462123072090214408</t>
  </si>
  <si>
    <t>@drfahrettinkoca Yeryüzünde bulunanların çoğuna uyarsan seni Allah yolundan saptırır; çünkü onlar, ancak zanna kapı… https://t.co/H1msbEhyad</t>
  </si>
  <si>
    <t>1462122759111286786</t>
  </si>
  <si>
    <t>1462122583470616582</t>
  </si>
  <si>
    <t>@drfahrettinkoca 📖 Eğer sen yeryüzündekilerin çoğuna uyarsan, onlar seni Allah yolundan saptırırlar. Onlar ancak za… https://t.co/JTJ8MrRHki</t>
  </si>
  <si>
    <t>1462122230096220160</t>
  </si>
  <si>
    <t>@drfahrettinkoca Bu saatten sonra aşı maşı  yok dayatmalardan bıktım.</t>
  </si>
  <si>
    <t>1462122190942486541</t>
  </si>
  <si>
    <t>@drfahrettinkoca Aç kalıcaz diye yaptırdık sayın Sağlık Bakanımız haberiniz olsun 😉 kendi istek ve arzumuz değildi mecbur kaldık</t>
  </si>
  <si>
    <t>1462121936671158272</t>
  </si>
  <si>
    <t>@drfahrettinkoca Bu kadar aşılamadan sonra hala bu kadar vaka oluyorsa..demekki aşı boş iş..</t>
  </si>
  <si>
    <t>1462121497187819520</t>
  </si>
  <si>
    <t>@drfahrettinkoca Pfizer aşı dediği bu deneysel sıvı verilerinin 2076 yılına kadar gizli kalmasını sağlamak için mah… https://t.co/1KwIfbph4A</t>
  </si>
  <si>
    <t>1462121460860956676</t>
  </si>
  <si>
    <t>@drfahrettinkoca Peki bakanım benim aşıdan sonra hayat kalitem düştü 3 merdiven çıkınca eklemlerimde  şiddetli ağrı… https://t.co/UnxXBmRexg</t>
  </si>
  <si>
    <t>1462121441554534401</t>
  </si>
  <si>
    <t>@drfahrettinkoca Peki hergün 200 can gidiyor ama hiç bir kısıtlama yok #ölüyoruz</t>
  </si>
  <si>
    <t>1462121429340758031</t>
  </si>
  <si>
    <t>@drfahrettinkoca "İki doz aşısını yaptırmak zorunda kalanların sayısı" desenize. Daha ahlaka uygun bir hareket olur… https://t.co/QUKVyGorlB</t>
  </si>
  <si>
    <t>1462121416640409601</t>
  </si>
  <si>
    <t>@drfahrettinkoca @drfahrettinkoca sayın bakanım ankarada çocuğumu sünnet ettirmek istiyorum ama hangi hastaneyi ara… https://t.co/tSPcZgiBd7</t>
  </si>
  <si>
    <t>1462120817966342146</t>
  </si>
  <si>
    <t>@drfahrettinkoca Çogunlugun yaptigı örneklik olamaz  ki çogunuda korkutarak aşıladıniz.Hak çogunluk degildir. Her s… https://t.co/EVrLSbSIu7</t>
  </si>
  <si>
    <t>1462120704648822793</t>
  </si>
  <si>
    <t>@drfahrettinkoca İnsan haklarını bu kadar ayaklar altına almak bize ne kazandıracak? Çoğunluğa uymak diye bir hak v… https://t.co/FGtfAkcxxT</t>
  </si>
  <si>
    <t>1462120472481615887</t>
  </si>
  <si>
    <t>@drfahrettinkoca Peki bu kadar aşıya ölüm oranı niye düşmüyor?</t>
  </si>
  <si>
    <t>1462120451682013189</t>
  </si>
  <si>
    <t>@drfahrettinkoca Sayın bakanım 5 kilo teneke  yağın fiyatından`da haberin varmi ?</t>
  </si>
  <si>
    <t>1462120228566052867</t>
  </si>
  <si>
    <t>@drfahrettinkoca https://t.co/ej9BHLeuoM</t>
  </si>
  <si>
    <t>1462119901330657293</t>
  </si>
  <si>
    <t>@drfahrettinkoca %60 diyor! Söylediğiniz her şey yalan, aldatmaca! https://t.co/IegAq960Ba</t>
  </si>
  <si>
    <t>1462119893348892691</t>
  </si>
  <si>
    <t>@drfahrettinkoca 1 kişide olsa,doğru dogrudur!!! https://t.co/yYSDKcffuh</t>
  </si>
  <si>
    <t>1462119682241085441</t>
  </si>
  <si>
    <t>@drfahrettinkoca Kurban olayim şu aşı olayini gecelim de KILAVUZA GELELİM LÜTFEN YA akıl sağlığımız kalmadı. Lütfen diyorum...</t>
  </si>
  <si>
    <t>1462119656962105355</t>
  </si>
  <si>
    <t>@drfahrettinkoca Biz neden sizi örnek alalım siz bizi örnek alın ozaman sizin eylemleriniz önemlide bizim düşüncele… https://t.co/wiCLcW6q27</t>
  </si>
  <si>
    <t>1462119160247468032</t>
  </si>
  <si>
    <t>@drfahrettinkoca Dahil olunan uluslararası kurum ve kuruluşlarda alınan kararların, iç hukuk ve Türkiye Cumhuriyeti… https://t.co/Q4RW4xSBZW</t>
  </si>
  <si>
    <t>1462118950712614914</t>
  </si>
  <si>
    <t>@drfahrettinkoca Bi git başımızdan</t>
  </si>
  <si>
    <t>1462118795582050309</t>
  </si>
  <si>
    <t>@drfahrettinkoca Bazı ülkeler aşısızlara her türlü kısıtlamaları yaptı. Cafe ve restoranlara sokmadı, toplu etkinli… https://t.co/5xaKXe3MHP</t>
  </si>
  <si>
    <t>1462118632855642116</t>
  </si>
  <si>
    <t>@drfahrettinkoca Sayın bakanımız bize faydalı olan şeyleri yapmak için getirildiğiniz makam da neden makamınızı kul… https://t.co/6BnpjULuoj</t>
  </si>
  <si>
    <t>1462118594825883655</t>
  </si>
  <si>
    <t>@drfahrettinkoca Sayin bakan aşılama yokken ne ölüm nede vaka bukadar tavan yapmamisti ve ona ramen yasaklar vardi… https://t.co/SfEevfT0qD</t>
  </si>
  <si>
    <t>1462118516283387904</t>
  </si>
  <si>
    <t>@drfahrettinkoca 👇👇👇👇👇 Bu da doktor farkındamısınız.. Helal olsun size 👍 hocam @OpDrBilgehan https://t.co/hkY1PVEWDB</t>
  </si>
  <si>
    <t>1462118343641636870</t>
  </si>
  <si>
    <t>@drfahrettinkoca Zorla yaptıramadınız yararlı olan bir aşıyı …. Yazık …. Ana yasa derki sayın bakan toplum sağlığın… https://t.co/eCL7kfLEYt</t>
  </si>
  <si>
    <t>1462118259814277124</t>
  </si>
  <si>
    <t>@drfahrettinkoca Rica ediyorum artık aşı tartışmasını bırakın ve aşılarınızı olun,sağlık şakası olmayan bir konu ki… https://t.co/EYrPlUnPkE</t>
  </si>
  <si>
    <t>1462117825871499267</t>
  </si>
  <si>
    <t>@drfahrettinkoca Verdiğiniz favipiravir ilaçları öldürdü o kadar insanın vebali boynunuza.. Şimdi işe yaramıyor diy… https://t.co/wCgtcs8Nv8</t>
  </si>
  <si>
    <t>1462117751661768704</t>
  </si>
  <si>
    <t>@drfahrettinkoca Adam ben sizi kandırdım dese yok ya aşka yapıyor fahrettincim yapmaz diyen keriz dolu ortalık</t>
  </si>
  <si>
    <t>1462117612238913540</t>
  </si>
  <si>
    <t>@drfahrettinkoca Sizde zararını görüp durduranlari,yasakları,maskeleri,takip uygulamasını kaldıranlari örnek alın da millet rahatlasın</t>
  </si>
  <si>
    <t>1462117416058638336</t>
  </si>
  <si>
    <t>@drfahrettinkoca O 50 milyonun büyük kısmı zorda bıraktığınız için aşı oldu. Kendi iradeleri ile değil.</t>
  </si>
  <si>
    <t>1462117414431346690</t>
  </si>
  <si>
    <t>1462117176337444871</t>
  </si>
  <si>
    <t>@drfahrettinkoca Ozaman toplum bağışıklığı oluşmuş daha ne ısrar ediyorsunuz... Olmuyorum senin emrinde  mi herkes istifa et artık...</t>
  </si>
  <si>
    <t>1462117104107376647</t>
  </si>
  <si>
    <t>@drfahrettinkoca %99,99999999999 da olsa  ben olmayacağım inşallah. Ve bu sahte salgın mavallarınız bitmeyecek yeni… https://t.co/YxoAovW8e9</t>
  </si>
  <si>
    <t>1462117030912528385</t>
  </si>
  <si>
    <t>@drfahrettinkoca Milletin seçmediği kişilerin yine millete sorulmadan ülkede varlık ve etkinliğine izin verdikleri… https://t.co/cK9DrGlJmt</t>
  </si>
  <si>
    <t>1462116982732595202</t>
  </si>
  <si>
    <t>@drfahrettinkoca 2 doz aşısını yaptıran annem ve babam pozitif oldular 2 doz biontech olan kardeşimde pozitif oldu… https://t.co/cOwY5Z9FDH</t>
  </si>
  <si>
    <t>1462116909621596165</t>
  </si>
  <si>
    <t>@drfahrettinkoca Milletin size olan güveni git gide azalmakta. Çünkü bilimsel ,kanıtlandı dediğiniz, verdiğiniz her… https://t.co/LiYy5qJxWY</t>
  </si>
  <si>
    <t>1462116889241563148</t>
  </si>
  <si>
    <t>@drfahrettinkoca Sizlerin de, pazarladığınız aşılarında sonu sinovac hidroksiklorokin ve favipiravir gibi olacak merak etmeyin; ETKİSİZ.</t>
  </si>
  <si>
    <t>1462116804831100932</t>
  </si>
  <si>
    <t>@drfahrettinkoca 50 milyon dediğin işiyle ekmeği ile tehdit edip zorla aşıladığın insanlar, sen onlarn kendi iradel… https://t.co/otzRdjGb6I</t>
  </si>
  <si>
    <t>1462116574924529665</t>
  </si>
  <si>
    <t>@drfahrettinkoca Gittiğiniz, tuttuğunuz her yol milleti ölüme sürükledi. Zamaninda kutu kutu yedirdiginiz ilaçlar k… https://t.co/KEZ33TGrqe</t>
  </si>
  <si>
    <t>1462116405407584258</t>
  </si>
  <si>
    <t>@drfahrettinkoca Daha önce de milyonlarca favipiravir kullananları örnek alanlar oldu. Sonuç araştırmalarla ortaya çıktı. Aman kalsın.</t>
  </si>
  <si>
    <t>1462116180014026756</t>
  </si>
  <si>
    <t>@drfahrettinkoca Senin bu bilimsel açıklamaların beni benden alıyor</t>
  </si>
  <si>
    <t>1462116069448036354</t>
  </si>
  <si>
    <t>@drfahrettinkoca Tweet_samet  Peygamber efendimiz bilee kızını kapanması  için zorlamazken sen kızını,karını kapanması için d@vemezsin</t>
  </si>
  <si>
    <t>1462116052255576064</t>
  </si>
  <si>
    <t>@drfahrettinkoca Tamam.</t>
  </si>
  <si>
    <t>1462115128032309266</t>
  </si>
  <si>
    <t>@drfahrettinkoca Almıyorum. Ne olacak? Hele senin ağzından çıkan hiçbir kelimeye değil harfe inanmıyorum. Seni o ma… https://t.co/KWSCHgDLls</t>
  </si>
  <si>
    <t>1462114757306200064</t>
  </si>
  <si>
    <t>@drfahrettinkoca AŞI KARŞITI BİR TOPLUM GÖRÜYORUM BURADA PEKİ ÇARESİ NE ? NE? DÜŞÜNÜYORSUNUZ HASTALIĞA KARŞI NASIL… https://t.co/pI0Aef8joy</t>
  </si>
  <si>
    <t>1462114581564862470</t>
  </si>
  <si>
    <t>@drfahrettinkoca Bakanım bizler ne olacağız neredeyse 1 yıldır alım bekliyoruz tükendik artık emeklerimizin karşılı… https://t.co/Rafqwf6Wbj</t>
  </si>
  <si>
    <t>1462114221278310404</t>
  </si>
  <si>
    <t>1462114198792683523</t>
  </si>
  <si>
    <t>@drfahrettinkoca Aşılıları aşı olmayanlar üzerinde baskı unsuru olarak kullanmak…Amaca adım adım yaklaşıyorsunuz.</t>
  </si>
  <si>
    <t>1462114095851782151</t>
  </si>
  <si>
    <t>@drfahrettinkoca Neden her açıklamayı zora düştüğünüzde yapıyorsunuz? Net bilgiler paylaşmak neden bu kadar zor? +4… https://t.co/l1lLMd8Rwd</t>
  </si>
  <si>
    <t>1462113639419232258</t>
  </si>
  <si>
    <t>@drfahrettinkoca Aşı omayanlar neyi bekliyorlar 50 milyon aşi olmuşsa az urnek deyil en kutu karar kararsızın kararıdır</t>
  </si>
  <si>
    <t>1462113524348592135</t>
  </si>
  <si>
    <t>@drfahrettinkoca Pandeminin başında herşey daha belirsizken iki doz aşısını yaptıran bir sağlık personeliyim. Şimdi… https://t.co/o9rMYgdZOO</t>
  </si>
  <si>
    <t>1462113209138176004</t>
  </si>
  <si>
    <t>@drfahrettinkoca Satışlar düşdümü bu ara, kriz sizide vurdu galiba…</t>
  </si>
  <si>
    <t>1462113174489120769</t>
  </si>
  <si>
    <t>@drfahrettinkoca Nedenmiş o??İnsanları kendi haline bırakın.A şi lamadan sonra vakalar ,ölümler arttı.İst eyen olsu… https://t.co/LBudGoeSbS</t>
  </si>
  <si>
    <t>1462112795995127820</t>
  </si>
  <si>
    <t>@drfahrettinkoca 50 milyonun 30 milyonu sizin zorbalığınızla Aşı oldu. İşiyle tehdit ettiniz, seyahat edemezsin Ded… https://t.co/bNLt5yIVls</t>
  </si>
  <si>
    <t>1462112575802556421</t>
  </si>
  <si>
    <t>@drfahrettinkoca Sn bakanım kardeşim lise öğrencisi covid oldu, sınavlarına giremedi  ve anneme de bulaştırdı.Ben ü… https://t.co/69Qs5LIFP6</t>
  </si>
  <si>
    <t>1462112528603959298</t>
  </si>
  <si>
    <t>@drfahrettinkoca 50 milyonun yüzde kaçı size beddua ediyor bakanım? Var mı bunun oranı?</t>
  </si>
  <si>
    <t>1462112262886498307</t>
  </si>
  <si>
    <t>@drfahrettinkoca Atama bekleyen sağlıkçılar KLAVUZ BEKLİYOR SAYIN BAKANIM. Bu bekleyişlerimiz hiç bitmiyor her sefe… https://t.co/hqR8NAWrji</t>
  </si>
  <si>
    <t>1462112021206470660</t>
  </si>
  <si>
    <t>@drfahrettinkoca Bunuda örnek almalimiyiz sayın bakan? https://t.co/zmLqkaYtc1</t>
  </si>
  <si>
    <t>1462111903958900736</t>
  </si>
  <si>
    <t>@drfahrettinkoca Yok yok kararsız olan yok bilakis sonuna kadar kararlıyız senin işin olmaz</t>
  </si>
  <si>
    <t>1462111873571209229</t>
  </si>
  <si>
    <t>@drfahrettinkoca Aşımız tamam sayın bakan pozitif çıktık evde yatıyoruz gönderilen ilacın skt tam 1 yıla yakın olmu… https://t.co/Sum9ZCgcFj</t>
  </si>
  <si>
    <t>1462111817912786946</t>
  </si>
  <si>
    <t>@drfahrettinkoca Ölenleri de sayıyorsunuz dimi</t>
  </si>
  <si>
    <t>1462111406858412033</t>
  </si>
  <si>
    <t>@drfahrettinkoca Gercekten aşı olmayanlar neden korkuyor bu kadar, ne kıymetli (?) canları varmış</t>
  </si>
  <si>
    <t>1462111305733656579</t>
  </si>
  <si>
    <t>@drfahrettinkoca Hocam cebinde bok taşıyan adamlar var yurdumda köpeğe kumpas için.. bırakın insan soyu tükensin</t>
  </si>
  <si>
    <t>1462111129690427392</t>
  </si>
  <si>
    <t>@drfahrettinkoca Tombala oynuyoruz https://t.co/EU1ZggtFMN</t>
  </si>
  <si>
    <t>1462110927503900680</t>
  </si>
  <si>
    <t>@drfahrettinkoca Hani şu işiyle ekmeğiyle tehdit ederek emnaet aldığınız devletin kanunlarını ucuz çıkarlarınıza ku… https://t.co/wyq3f2gYxo</t>
  </si>
  <si>
    <t>1462110503904460807</t>
  </si>
  <si>
    <t>@drfahrettinkoca ATAMA BEKLIYORUZ ATAMA</t>
  </si>
  <si>
    <t>1462110358588596225</t>
  </si>
  <si>
    <t>@drfahrettinkoca Nasil bir inat bu , enfekte olan cocuklardan siz sorumlusunuzzzz</t>
  </si>
  <si>
    <t>1462110308659601424</t>
  </si>
  <si>
    <t>@drfahrettinkoca "Aşı konusunda kararsız olanlar 50 milyonun kararını örnek mi almalı?" SAÇMALAMA KUZEN!!! 🤣🤣🤣</t>
  </si>
  <si>
    <t>1462109832371134472</t>
  </si>
  <si>
    <t>@drfahrettinkoca Sn bakan sizleri Allah'a havale ediyorum mevlam en sevdiğinizden sizleri ibretlik yapsın inşallah… https://t.co/wvwhdqLk2m</t>
  </si>
  <si>
    <t>1462109677953732612</t>
  </si>
  <si>
    <t>@drfahrettinkoca Bakalım bu işin altından nasıl kalkacaksınız yoksa kandırıldık mı diyeceksiniz?</t>
  </si>
  <si>
    <t>1462109582394806278</t>
  </si>
  <si>
    <t>@drfahrettinkoca Cocuklarimiz kobay mi, avrupa onlemini aldi, siz naptiniz maskeden baska?????</t>
  </si>
  <si>
    <t>1462109437586550793</t>
  </si>
  <si>
    <t>@drfahrettinkoca hm okula girebilmek için , işe gidebilmek için  , kapalı alanlarda bulunabilmek için mecburen yapt… https://t.co/n7mHyiGhK0</t>
  </si>
  <si>
    <t>1462109372209897475</t>
  </si>
  <si>
    <t>@drfahrettinkoca 50 milyonu denek yapmışsın zaten gözünüzü bize mi diktiniz şimdi aşı olmadım asla da olmucam evden… https://t.co/iDK8vlPjFi</t>
  </si>
  <si>
    <t>1462108759908573187</t>
  </si>
  <si>
    <t>@drfahrettinkoca Sayın bakanım her gün aşı diyorsunuz.Aşı olmadan da kovid atlatanlar var.Sma olan çocuklar, lösemi… https://t.co/0rBGM9voOb</t>
  </si>
  <si>
    <t>1462108603486199816</t>
  </si>
  <si>
    <t>@drfahrettinkoca Ölüm sayıları artacak demektir 😔</t>
  </si>
  <si>
    <t>1462108412662231041</t>
  </si>
  <si>
    <t>@drfahrettinkoca Sayın bakanım %80 olmalı ki kontrol altına alınabilsin. %60 az…</t>
  </si>
  <si>
    <t>1462108200266838021</t>
  </si>
  <si>
    <t>@drfahrettinkoca Bakanım lütfen gözünüzü açın ve çevrenize iyi bakın.  Aşı aşı diye insanları zorlamayın.</t>
  </si>
  <si>
    <t>1462108066380488715</t>
  </si>
  <si>
    <t>@drfahrettinkoca Aşı aşı diyip millete yardim ediyosunuz ya neden sma hastasi bebekler içinde ayni yardımı yapmiyos… https://t.co/VhTV73IgPi</t>
  </si>
  <si>
    <t>1462107984495104002</t>
  </si>
  <si>
    <t>@drfahrettinkoca https://t.co/KuECgDT2rC</t>
  </si>
  <si>
    <t>1462107657964245007</t>
  </si>
  <si>
    <t>@drfahrettinkoca Senin Allah belanı versin aşı dayatman yüzünden işimi bıraktım ama bu konuyu bırakmayacağım ahiret… https://t.co/58ELvVPScZ</t>
  </si>
  <si>
    <t>1462107528897208331</t>
  </si>
  <si>
    <t>@drfahrettinkoca Siz kesin baska bir Dunya dan yaziyorsunuz. Nasil eglencelimi bari uzaktan atip tutmak?</t>
  </si>
  <si>
    <t>1462107516553342988</t>
  </si>
  <si>
    <t>@drfahrettinkoca Fahro senin sonun kötü . DSÖ sana yaptırıyor ama seni ortada bırakacaklar başları sıkışınca .</t>
  </si>
  <si>
    <t>1462107411490254852</t>
  </si>
  <si>
    <t>@drfahrettinkoca Aşının sonu da  favipiravir gibi olmasın</t>
  </si>
  <si>
    <t>1462107384835358725</t>
  </si>
  <si>
    <t>@drfahrettinkoca Sayın bakan besikteki bebekte bu nüfusun içine giriyor. Onlara da mı aşı vuracaksiniz. Yapmayın Allah aşkına.</t>
  </si>
  <si>
    <t>1462107313049903115</t>
  </si>
  <si>
    <t>@drfahrettinkoca Allah virüslü şerrinizden emin eylesin</t>
  </si>
  <si>
    <t>1462107060561195019</t>
  </si>
  <si>
    <t>@drfahrettinkoca O halde ölümler neden artıyor?Tesirli bir aşı arttıkça ölüm oranları da artar mı?Basit bir matematik sordum.</t>
  </si>
  <si>
    <t>1462106883175731216</t>
  </si>
  <si>
    <t>@drfahrettinkoca Bu ne devletin nede sizin haddinize değil olup olmamak kişinin fikri hürriyetini bağlar siz aşının… https://t.co/fB8Kj6Pu9x</t>
  </si>
  <si>
    <t>1462106642875654146</t>
  </si>
  <si>
    <t>@drfahrettinkoca Kimi örnek alacağımı sen mi belirleyeceksin? Istediğim kararı alırım herkes haddini hududunu bilsi… https://t.co/PFb0vx6FKi</t>
  </si>
  <si>
    <t>1462106635648876545</t>
  </si>
  <si>
    <t>@drfahrettinkoca Benim favorim bu 👍 Böyle bilim yapan bilim adamları 10 doz diyorsa yapın, adam adam..👏👏👏👏👏 https://t.co/oyOWI8VicQ</t>
  </si>
  <si>
    <t>1462106559606140930</t>
  </si>
  <si>
    <t>@drfahrettinkoca Sırf işinden olmamak için aşı olmuş. Bunu mu örnek alacağım? Antalya Serkan Savlı yan etki yaşadı… https://t.co/DlULXbe73L</t>
  </si>
  <si>
    <t>1462106420501962763</t>
  </si>
  <si>
    <t>@drfahrettinkoca Akp li mv vekili iki doz aşı oldu koranadan oldu yüzlerce kişi aşı olduğu halde ölüyor halen aşı o… https://t.co/LwJkSnowhH</t>
  </si>
  <si>
    <t>1462106075549814807</t>
  </si>
  <si>
    <t>@drfahrettinkoca Bak işine benim hakkım olan aşılarıda al çoluğuna çocuğuna yap.</t>
  </si>
  <si>
    <t>1462105969761132556</t>
  </si>
  <si>
    <t>@drfahrettinkoca O 50 milyonun en az 35 milyonu işiyle okuluyla tehtid edilerek zorlananlar bakanımmmm</t>
  </si>
  <si>
    <t>1462105937389539330</t>
  </si>
  <si>
    <t>@drfahrettinkoca AZİZ NESİN TÜRK HALKININ  %60 APTALDIR DEYİNCE NE KIZMIŞTIK ONA. GEL GÖRKİ ZAMAN AZİZ NESİN İ HAKL… https://t.co/RZQn56nRGR</t>
  </si>
  <si>
    <t>1462105754110943233</t>
  </si>
  <si>
    <t>@drfahrettinkoca Örnek almıyoruz, aşsi da olmuyoruz. Siz hastanede kullandığınız ilaçların etkisiz olduğu itirafina bir deginin bakanım...</t>
  </si>
  <si>
    <t>1462105701258567682</t>
  </si>
  <si>
    <t>@drfahrettinkoca 2 doz aşı oldum ama kisisel kararimla sizin dayatmalariniz yuzunden eminim benim gibi dusunenlerin… https://t.co/ByDatega1G</t>
  </si>
  <si>
    <t>1462105468374073360</t>
  </si>
  <si>
    <t>@drfahrettinkoca 😂 😂 Gerıcekdıgınız alaç gıbı yarn pardon dıyeceksınız</t>
  </si>
  <si>
    <t>1462105439307509760</t>
  </si>
  <si>
    <t>1462104972175228929</t>
  </si>
  <si>
    <t>@drfahrettinkoca Bilmeyenler için #Shi #Shirtum $SHI nedir?  Sadece 3 ayda #Ronaldinho ve #Rakitic başta olmak üzer… https://t.co/4DJ1V8bKmU</t>
  </si>
  <si>
    <t>1462104821058711554</t>
  </si>
  <si>
    <t>@drfahrettinkoca Siz biz aşısızları örnek alın biz niye sizi örnek alalım</t>
  </si>
  <si>
    <t>1462104773432332299</t>
  </si>
  <si>
    <t>@drfahrettinkoca Ya hadi bak işine. Bi işe yaramıyo işte ne zaman anlıycan.</t>
  </si>
  <si>
    <t>1462104557656457228</t>
  </si>
  <si>
    <t>@drfahrettinkoca https://t.co/JgnGJhEdu4.düşmanı şeytan</t>
  </si>
  <si>
    <t>1462104537846669324</t>
  </si>
  <si>
    <t>@drfahrettinkoca 60 yaş altındaki aşılanmış İngilizler,  60 yaş altındaki aşısız İngilizlere göre  2 kat fazla ölüy… https://t.co/WCS8QeE2w3</t>
  </si>
  <si>
    <t>1462104455244038157</t>
  </si>
  <si>
    <t>@drfahrettinkoca Mason tapınakçı. Pinokyo https://t.co/6csGNlA9F3</t>
  </si>
  <si>
    <t>1462104438248722437</t>
  </si>
  <si>
    <t>@drfahrettinkoca Siz başarısız olunca istifa eden yabanci bakanları örnek alın.</t>
  </si>
  <si>
    <t>1462104258229288968</t>
  </si>
  <si>
    <t>@drfahrettinkoca Benim sağlığım benim kararım aşı olmak istemiyorum. Aşı haklarımı da  doz doz aşılanmak isteyenlere devrediyorum</t>
  </si>
  <si>
    <t>1462104237270347788</t>
  </si>
  <si>
    <t>@drfahrettinkoca klavuzu açıklamak da 11 ay sürecek bakanım</t>
  </si>
  <si>
    <t>1462104185084723203</t>
  </si>
  <si>
    <t>@drfahrettinkoca Ne örnek alması sayın bakan, ben aşı olduysam kimseyi örnek aldığımdan değil cezaevi çalışanlarına… https://t.co/WOWglos50W</t>
  </si>
  <si>
    <t>1462104063655526413</t>
  </si>
  <si>
    <t>@drfahrettinkoca Biz kararsız değiliz sayın fahrettin bey bizim Kararımız zaten belli Asi olmak için Asinin şifa Ol… https://t.co/lUSwubTWna</t>
  </si>
  <si>
    <t>1462103988954927109</t>
  </si>
  <si>
    <t>@drfahrettinkoca Irlanda’da önceki haftadan bir günlük istatistik; ölenler en az bir doz yada tam aşılı olanlar, ha… https://t.co/IDe6gVUggB</t>
  </si>
  <si>
    <t>1462103916603219977</t>
  </si>
  <si>
    <t>@drfahrettinkoca Sayın Koca 3 ay içinde aşısını buldula ama 2 yıl geçti tedavisini bulamadılar, alçaklar!</t>
  </si>
  <si>
    <t>1462103893475835916</t>
  </si>
  <si>
    <t>@drfahrettinkoca En çok aşı olmuş eyalet Vermont’da Kovid vakaları tavan yaptı. https://t.co/L3QieElLmT</t>
  </si>
  <si>
    <t>1462103891277926414</t>
  </si>
  <si>
    <t>@drfahrettinkoca Evet aşılanma oranı arttıkça ölüm oranları da artıyor ,siz bu ülkenin başına belamisiniz</t>
  </si>
  <si>
    <t>1462103868507107332</t>
  </si>
  <si>
    <t>@drfahrettinkoca Bugün Ankara şehir Hastanesi'ne gittim rezillik diz boyu röntgen çektirerecektim çeken kişi ortalı… https://t.co/DcZUXj5V9b</t>
  </si>
  <si>
    <t>1462103849259479042</t>
  </si>
  <si>
    <t>@drfahrettinkoca Çocuk vakaları %37 olmuş kalabalık sınıflarla çocuklar tehlikede..... #uzaktaneğitim</t>
  </si>
  <si>
    <t>1462103843106340874</t>
  </si>
  <si>
    <t>@drfahrettinkoca Bugün market çalışanı gözünü gösterdi. 2.doz biontech sonrası Sol gözü komple it dirseği ile dolmu… https://t.co/t8crlf4mp0</t>
  </si>
  <si>
    <t>1462103827994357767</t>
  </si>
  <si>
    <t>@drfahrettinkoca hocam,iki doz aşı olanlar içinde 5-8 ay önce iki doz sinovak olanlar dahil mi? bunların sayısı kaç?</t>
  </si>
  <si>
    <t>1462103802857852940</t>
  </si>
  <si>
    <t>@drfahrettinkoca Bu gün ikinci doz aşımı oldum sayemde ellimilyonu gectik sayın bakanım 😉😉😉</t>
  </si>
  <si>
    <t>1462103766577160199</t>
  </si>
  <si>
    <t>@drfahrettinkoca örnək alarıq, amma siz öncə məcbur vaksin olmuşları açıqlayın. İşdən qovulması ilə təhdid etdiklərinizi açıqlayın.</t>
  </si>
  <si>
    <t>1462103541791825932</t>
  </si>
  <si>
    <t>@drfahrettinkoca Anayasaya aykırı şekilde milleti mecbur ettiniz.Pcr la vatandaşın burnunu deşin diye talimat verdi… https://t.co/he8MNDNW3j</t>
  </si>
  <si>
    <t>1462103517984964611</t>
  </si>
  <si>
    <t>@drfahrettinkoca Sana ne vaat ettiler yada seni ne ile tehdit ettiler bilmiyoruz. Ama ne vaatleri gerçek ne tehditl… https://t.co/eHKUfvRuVy</t>
  </si>
  <si>
    <t>1462103333683044352</t>
  </si>
  <si>
    <t>@drfahrettinkoca Maraş milletvekili rahmetli İmran Kılıç içinde aşılarını olmuştu. Buna rağmen #COVID19 nedeniyle v… https://t.co/yidn4Xp607</t>
  </si>
  <si>
    <t>1462103318818435072</t>
  </si>
  <si>
    <t>@drfahrettinkoca Siz neden millete buyuruyorsunuz oraya halkın emeklerıyle geldiniz şu koltuk sevdanızdan vazgeçin… https://t.co/wYz2zYcC4S</t>
  </si>
  <si>
    <t>1462103276564922376</t>
  </si>
  <si>
    <t>@drfahrettinkoca Aşımızı olduk ama maksadınızın salgınla mücadele olduğunu düşünmüyorum.</t>
  </si>
  <si>
    <t>1462103034209648645</t>
  </si>
  <si>
    <t>@drfahrettinkoca Denek bebeklere ne oldu ?</t>
  </si>
  <si>
    <t>1462103021865811968</t>
  </si>
  <si>
    <t>@drfahrettinkoca 18 yaş üstü dediler şimdi o kısım %80i aşınca başladı tüm toplumun demeye. O da tamam olunca 3 doz… https://t.co/1rXRhBGm5y</t>
  </si>
  <si>
    <t>1462102865154125829</t>
  </si>
  <si>
    <t>@drfahrettinkoca Ne kararından bahsediyorsun sen ?  Zorla, tehditle, baskıyla aşı yapıyorsunuz. İnsanların eğitim h… https://t.co/0d1WuHQYeE</t>
  </si>
  <si>
    <t>1462102704185122816</t>
  </si>
  <si>
    <t>@drfahrettinkoca Covvid virüsüne karşı en iyi ilaç avokado ağacı kökü suyu tozudur. İşe yaramazsa bile zararı yoktu… https://t.co/4Jz5d9gvmh</t>
  </si>
  <si>
    <t>1462102679828807684</t>
  </si>
  <si>
    <t>@drfahrettinkoca Cehenneme giden kendine arkadaş ararmış... Senin ve efendilerinin iki dünyada da ateşi bol olsun.</t>
  </si>
  <si>
    <t>1462102646811205633</t>
  </si>
  <si>
    <t>@drfahrettinkoca Acaba bu tiwitleri attıktan sonra altındaki yorumları onemsiyormusunuz yoksa bakar körümu oynuyorsunuz</t>
  </si>
  <si>
    <t>1462102449012027395</t>
  </si>
  <si>
    <t>@drfahrettinkoca Onlar örnek alana kadar, her gün 200' ün üzerinde ölümü seyretmeye, kısıtlama tedbiri almamaya devam! AFERİN!</t>
  </si>
  <si>
    <t>1462101943766204422</t>
  </si>
  <si>
    <t>@drfahrettinkoca Bakan bey siz diyodunuz %60 Süru bagisikligina denk gelir diye salin artik tanam bitti sürü bagisiklandi.</t>
  </si>
  <si>
    <t>1462101796806180868</t>
  </si>
  <si>
    <t>@drfahrettinkoca Çokluk doğruluk sebebi midir sayın bakanım, biz doğrularımızı böyle basit akıl yürütmeler üzerine mi inşa edeceğiz???</t>
  </si>
  <si>
    <t>1462101506157686785</t>
  </si>
  <si>
    <t>@drfahrettinkoca Elli milyon benim kararımı örnek alsaydı keşke de aşı olmasalardı yazık. İnsanları kandırıyorsunuz… https://t.co/pyF8ac8CS9</t>
  </si>
  <si>
    <t>1462101487664910352</t>
  </si>
  <si>
    <t>@drfahrettinkoca Dünyada Hristiyan nüfusun müslümanlardan fazla olması, Hindistan'da Hinduların müslümanlardan kat… https://t.co/n8KN0jtjHA</t>
  </si>
  <si>
    <t>1462101460624228360</t>
  </si>
  <si>
    <t>@drfahrettinkoca Sayın bakanım siz aşı denen o sıvıyı vücudunuza oldunuzmu ...benim kalbime ne oluyorki sanki bazı… https://t.co/zsrEA4TKyw</t>
  </si>
  <si>
    <t>1462101324422684685</t>
  </si>
  <si>
    <t>@drfahrettinkoca Tatlım oy verenleriniz dahi size güvenmiyor ki aşı olmuyorlar. Biz ne yapalım bu saatten sonra. Ya… https://t.co/iKT1ir1Kex</t>
  </si>
  <si>
    <t>1462101029487534090</t>
  </si>
  <si>
    <t>@drfahrettinkoca Bakanım 40 bin atamaya işçi dahil edilmesin 🙏</t>
  </si>
  <si>
    <t>1462100991059406852</t>
  </si>
  <si>
    <t>@drfahrettinkoca OLDUK AMA PİŞMANIM 3.DOZ ASLA OLAMAYACAĞIM...</t>
  </si>
  <si>
    <t>1462100847920361473</t>
  </si>
  <si>
    <t>@drfahrettinkoca Sanki kendi istek ve arzularıyla yaptılar çoğu yapmak zorunda kaldığı için aşılarını vurdular.</t>
  </si>
  <si>
    <t>1462100612917641218</t>
  </si>
  <si>
    <t>@drfahrettinkoca 50 milyonun kaci kendi istek ve arzusu ile yaptırdı bir anket yapmaya var mısınız sayın bakanım.… https://t.co/5GiMkic387</t>
  </si>
  <si>
    <t>1462100481661153285</t>
  </si>
  <si>
    <t>@drfahrettinkoca Eğer ailemden tek bir kişi ölürse okulları online yapmadınız diye günahı vebali boynunuza olsun</t>
  </si>
  <si>
    <t>1462100299586453517</t>
  </si>
  <si>
    <t>@drfahrettinkoca Aşılar işe yarasaydı avrupa kapanmaya gitmezdi bi gidin artık bıktık sizin gereksiz sıvı propagandanızdan</t>
  </si>
  <si>
    <t>1462100183051866124</t>
  </si>
  <si>
    <t>@drfahrettinkoca Kaç milyona verdiğinizi de yazar mısınız? Birşey deniycez😁 https://t.co/LtBy8mfL6L</t>
  </si>
  <si>
    <t>1462100160436183040</t>
  </si>
  <si>
    <t>@drfahrettinkoca Üç yüz otuz üç (333) doz aşı yaptıranlar hiç aşı yaptırmamış gibidir.</t>
  </si>
  <si>
    <t>1462099863835926528</t>
  </si>
  <si>
    <t>@drfahrettinkoca Banane 50 milyondan olan olur olmayan olmaz 50 milyonda bizi örnek aldımi hayır biz niye onları örnek alacaz.</t>
  </si>
  <si>
    <t>1462099839475453957</t>
  </si>
  <si>
    <t>@drfahrettinkoca 50 milyon aşılı olanlarda 34 milyon olan eksik aşılı yada asisiz olanları ornek almalılar hemen he… https://t.co/gzD1niUelK</t>
  </si>
  <si>
    <t>1462099808890638338</t>
  </si>
  <si>
    <t>@drfahrettinkoca Her türlü zorlamayı yap insanları üstü kapalı mecbur et sonra da örnek alacakmışız. Tabi tabi</t>
  </si>
  <si>
    <t>1462099630930415620</t>
  </si>
  <si>
    <t>@drfahrettinkoca 50 milyon isteyerek mi yoksa dayatmalarla mı oldu birde onu sorgularsak iyi olur?</t>
  </si>
  <si>
    <t>1462099306572353540</t>
  </si>
  <si>
    <t>@drfahrettinkoca Ondan artıyor vakalar biz 30 milyonu bi kenara ayırın mümkün se</t>
  </si>
  <si>
    <t>1462099276000112654</t>
  </si>
  <si>
    <t>@drfahrettinkoca Şuan iki dozluların kaçı aşılı sayılıyor?</t>
  </si>
  <si>
    <t>1462098210906947586</t>
  </si>
  <si>
    <t>@drfahrettinkoca Netiz kararsızlık yok aşı istemiyoruz</t>
  </si>
  <si>
    <t>1462098182180151301</t>
  </si>
  <si>
    <t>@drfahrettinkoca Önce şu favipiravir i  bi açıklasanız mı?</t>
  </si>
  <si>
    <t>1462098121882800129</t>
  </si>
  <si>
    <t>@drfahrettinkoca Biz diğerlerini örnek aldığımız için așı olmadık. Dolaylı așı dayatmanız yüzünden olduk. Örnek alınacak bir durum yok.</t>
  </si>
  <si>
    <t>1462098050759942150</t>
  </si>
  <si>
    <t>@drfahrettinkoca O içeriği bilinmeyen sıvıların yan etkileri nedeniyle 50 milyon uyandığında bakalım nereye kaçacaksınız sayın bakan....</t>
  </si>
  <si>
    <t>1462097904038993933</t>
  </si>
  <si>
    <t>@drfahrettinkoca Kim kimi örnek alıyo üçüncü doza bakın sayın bakan.</t>
  </si>
  <si>
    <t>1462097613184983046</t>
  </si>
  <si>
    <t>@drfahrettinkoca Toplum nüfusu değil 12 yaş üstü nüfus a oranlarsanız yüzde 80 imiz aşılı demektir</t>
  </si>
  <si>
    <t>1462097092160233474</t>
  </si>
  <si>
    <t>@drfahrettinkoca Çok komik</t>
  </si>
  <si>
    <t>1462096870138863617</t>
  </si>
  <si>
    <t>@drfahrettinkoca Ben deyey faresi değilim özgür bir insanım kendi kararlarimi verebilirim ve benim vücuduma kimse y… https://t.co/XmuxSPJOI8</t>
  </si>
  <si>
    <t>1462096622125568007</t>
  </si>
  <si>
    <t>@drfahrettinkoca Kadın cinayeti çocuk tecavüzu şiddet yolsuzluk hayvan katliamı saygı sevgi bitmiş bunların hepsi b… https://t.co/sFOwlWVuqz</t>
  </si>
  <si>
    <t>1462923787989565440</t>
  </si>
  <si>
    <t>@drfahrettinkoca Sayın @şşı bakanı bu plandemi sürecinde sizin şımarttığınız ve tepemize çıkarttığınız sağlık çalış… https://t.co/nG5RK9Db7p</t>
  </si>
  <si>
    <t>1462891187170385920</t>
  </si>
  <si>
    <t>@drfahrettinkoca Bu şiddeti yapan ceza almayacak. Alsada anlamsız basit bir ceza yazılacak. Ve mahkemece cezası ert… https://t.co/1KfKBjLu0d</t>
  </si>
  <si>
    <t>1462542430419435523</t>
  </si>
  <si>
    <t>@drfahrettinkoca E hani klavuz hani branşlar</t>
  </si>
  <si>
    <t>1461844183275249664</t>
  </si>
  <si>
    <t>@drfahrettinkoca Bankalardaki kumbara hesabını açan anne babaya destek çıkarak her ay birikime %25 destek veren dev… https://t.co/qf2D7AKm51</t>
  </si>
  <si>
    <t>1461839435755102212</t>
  </si>
  <si>
    <t>@drfahrettinkoca Bankalarda kumbara hesaplarına destek veren devlet SMA lı bebeklerin kampanyalarına nasıl destek v… https://t.co/bNZ1gqt5Bk</t>
  </si>
  <si>
    <t>1461839018656739336</t>
  </si>
  <si>
    <t>@drfahrettinkoca Bu devlet nerede??? SMA lı bebeklere neden sahip çıkılmıyor !!!!??   #MuzafferBizeEmanet</t>
  </si>
  <si>
    <t>1461838764096032782</t>
  </si>
  <si>
    <t>@drfahrettinkoca Artık SMA görmezden gelinmemeli !!!   #MuzafferBizeEmanet</t>
  </si>
  <si>
    <t>1461838539272998913</t>
  </si>
  <si>
    <t>@drfahrettinkoca Minicik bedenler devletten destek bekliyor !!   #MuzafferBizeEmanet</t>
  </si>
  <si>
    <t>1461838380111736845</t>
  </si>
  <si>
    <t>@drfahrettinkoca #MuzafferBizeEmanet Size de emanet mi????</t>
  </si>
  <si>
    <t>1461837941857214476</t>
  </si>
  <si>
    <t>@drfahrettinkoca Artık bir şey yapılmalı!!! Sma lı çocuklar görmezden gelinmemeli ???!  Bir anne canını boşuna feda… https://t.co/lKfknAjy2B</t>
  </si>
  <si>
    <t>1461837828862709765</t>
  </si>
  <si>
    <t>@drfahrettinkoca Yasaları harekete gecirmediginiz sürece ancak bukadar oluyo sayın bakanım</t>
  </si>
  <si>
    <t>1461837742153908233</t>
  </si>
  <si>
    <t>@drfahrettinkoca #MuzafferBizeEmanet</t>
  </si>
  <si>
    <t>1461837470073511943</t>
  </si>
  <si>
    <t>@drfahrettinkoca Bir anne evladını duyurmak için canını feda etti!? Hala mı görmüyorsunuz!!!??   #MuzafferBizeEmanet</t>
  </si>
  <si>
    <t>1461837408790626306</t>
  </si>
  <si>
    <t>@drfahrettinkoca Sayın bakanım bana acilde iğneyi yanlış yere yapan hemşire ayağım uyuşupta yürüyemediğim zaman ort… https://t.co/CgxKOWpPcH</t>
  </si>
  <si>
    <t>1461837242339663872</t>
  </si>
  <si>
    <t>@drfahrettinkoca Muzaffer annesiz kaldı! Nasıl görmezden gelebiliyorsunuz hala ??   #MuzafferBizeEmanet</t>
  </si>
  <si>
    <t>1461837235377082378</t>
  </si>
  <si>
    <t>@drfahrettinkoca 😂😂😂😂😂😂</t>
  </si>
  <si>
    <t>1461836793062506504</t>
  </si>
  <si>
    <t>@drfahrettinkoca Sayın bakanım sağlıkta şiddetin artmasının en önemli nedeni azaltılmış sekreteryadır.. Saglık hizm… https://t.co/5Y3VakAJaG</t>
  </si>
  <si>
    <t>1461836163841470471</t>
  </si>
  <si>
    <t>@drfahrettinkoca Sayın bakanım lütfen  sahadan hekimlerle konuşun.. Lütfen.. Gerçekten size yardımcı olabiliriz. So… https://t.co/HpSVFAeJ5N</t>
  </si>
  <si>
    <t>1461835531852173313</t>
  </si>
  <si>
    <t>@drfahrettinkoca Bence doktor odalarına kamera konulması lazım hastaya tavır ve davranışları gözetim altında olursa… https://t.co/Z2NMxg0AQp</t>
  </si>
  <si>
    <t>1461835511782334465</t>
  </si>
  <si>
    <t>@drfahrettinkoca Sayın soykırımcı.aşı olmayı reddettiği için,hastaneye bile alınmadı yakınlarımız.sen Türkiye’deki… https://t.co/eatLjpJrRq</t>
  </si>
  <si>
    <t>1461835416336744451</t>
  </si>
  <si>
    <t>@drfahrettinkoca Sizin bakan olduğunuz sürece problemlerin süreceği aşikardır.</t>
  </si>
  <si>
    <t>1461834986093518853</t>
  </si>
  <si>
    <t>@drfahrettinkoca Kimse kusura bakmasın işini düzgün yapan sağlık çalışanlarına sözüm yok ama bazıları hak ediyor ge… https://t.co/5Gep620h5I</t>
  </si>
  <si>
    <t>1461834660435181573</t>
  </si>
  <si>
    <t>@drfahrettinkoca Sevdiklerimizi hava bile vermeyip ,maskeli öldürülüyo Dünyada yasaklanmış ilaçları bile bile depoy… https://t.co/rlgTWLMdQ8</t>
  </si>
  <si>
    <t>1461834364887744515</t>
  </si>
  <si>
    <t>@drfahrettinkoca Ya bakanım siz hiç normal vatandaş olarak bir devlet hastanesinde muayene oldunuz mu? Ben şiddete… https://t.co/UjGe2l9IMi</t>
  </si>
  <si>
    <t>1461833900007866370</t>
  </si>
  <si>
    <t>@drfahrettinkoca Sıddete karşıyız eyvallah lakin sağlık çalışanlarına iletişim eğitim vermeniz de şart bazı doktorl… https://t.co/ZYAtNuOuWp</t>
  </si>
  <si>
    <t>1461833399191195648</t>
  </si>
  <si>
    <t>@drfahrettinkoca Doktorlardan hemşireye hatta hasta kayıp personeli dahil hastahaneye gelen  hasta ve hasta yakınla… https://t.co/4xQaNzNiPd</t>
  </si>
  <si>
    <t>1461833112883798019</t>
  </si>
  <si>
    <t>1461832593352048643</t>
  </si>
  <si>
    <t>@drfahrettinkoca O zaman sorun toplumun değil ceza kanununun yani yeterince caydırıcı, önleyici değil. Bu arada bir… https://t.co/hbLZb9ohjD</t>
  </si>
  <si>
    <t>1461831509774671873</t>
  </si>
  <si>
    <t>@drfahrettinkoca Ne hikmetse bu sağlık personeli özel hastanelerde çok güler yüzlü cana yakın oluveriyor .  İnsanla… https://t.co/Qd5gp0wJed</t>
  </si>
  <si>
    <t>1461829881868791824</t>
  </si>
  <si>
    <t>@drfahrettinkoca Tek sağlık çalışanı dr.lar mi?8:30-18:30 cumartesi dahil çalışan eczane calisanlarini da gorseniz.… https://t.co/1p6pKIz8YR</t>
  </si>
  <si>
    <t>1461829451457695748</t>
  </si>
  <si>
    <t>@drfahrettinkoca @bilimkurulu Yani biz sağlıkçılara saygı gösteririz siz halka ne zaman saygı göstereceksiniz. Daya… https://t.co/LHlMZx5rQz</t>
  </si>
  <si>
    <t>1461829181768093706</t>
  </si>
  <si>
    <t>@drfahrettinkoca Evet bakanım artık yeter bu ülkede sadece saglik çalişanlarımız yok bizlerde varız kusura bakmayın… https://t.co/XvMZQdGBS4</t>
  </si>
  <si>
    <t>1461828890930864132</t>
  </si>
  <si>
    <t>@drfahrettinkoca Bekliyoruz , elbet bir gün....</t>
  </si>
  <si>
    <t>1461828868994748425</t>
  </si>
  <si>
    <t>@drfahrettinkoca @drfahrettinkoca   Engelli Sağlıkçılar, engelli memur , engelli hizmetli olabilmek için canımızı o… https://t.co/H8qcSZlDDT</t>
  </si>
  <si>
    <t>1461828398922321934</t>
  </si>
  <si>
    <t>@drfahrettinkoca Doktor yada herhangi bir çalışanın hastayı aşağılarsa tepeden bakıp insanca davranmazsa bu olanlar… https://t.co/x5IPgTpYS3</t>
  </si>
  <si>
    <t>1461828172882886666</t>
  </si>
  <si>
    <t>@drfahrettinkoca Hangi toplumu harekete geçireceksiniz 3  4 dozlu grafenli askerlerinizimi.</t>
  </si>
  <si>
    <t>1461827774126174224</t>
  </si>
  <si>
    <t>@drfahrettinkoca Toplum niye bu halde diye sormak lazım dimi Bakan.İnsanlar neden agresifleşti acaba?Bu kin ve dğşm… https://t.co/B2wTD6lwfO</t>
  </si>
  <si>
    <t>1461827265189355521</t>
  </si>
  <si>
    <t>@drfahrettinkoca Ne yazıktır ki bu konuda çok ama çok pasif kalınıyor. İş yükü hem artıyor, hem daha kaliteli hizme… https://t.co/UWuQyBM1HA</t>
  </si>
  <si>
    <t>1461827158876241930</t>
  </si>
  <si>
    <t>@drfahrettinkoca Dünyada milyonlar yanlış covit tedaviyi yüzünden öldürüldü. Hala resmi ruhsatı olmayan bir sıvıyı… https://t.co/2MGrcJ1Vbv</t>
  </si>
  <si>
    <t>1461826974461177873</t>
  </si>
  <si>
    <t>@drfahrettinkoca Sağlıkçılar yalnıza birkaç branştan ibaret değildir lütfen bunu göz önünde bulundurarak binlerce m… https://t.co/1puHwmbyQL</t>
  </si>
  <si>
    <t>1461826966831742979</t>
  </si>
  <si>
    <t>@drfahrettinkoca Sağlıkçılara şiddete de karşıyım, bazı sağlıkçılarin vatandaşa karşı işlediği suçlara da karşıyım.… https://t.co/f8OHN0BGyK</t>
  </si>
  <si>
    <t>1461826743690575878</t>
  </si>
  <si>
    <t>@drfahrettinkoca Kılavuzun hala gelmemesindeki sebep umarım 39 branşa da adil dağılımla alım yapmaya çalışmanızdır… https://t.co/CVJwfwrcSV</t>
  </si>
  <si>
    <t>1461826535858622468</t>
  </si>
  <si>
    <t>@drfahrettinkoca Bakanım yüksek puanlarla atanamayan bizler de “artık yeter” çığlıkları atıyoruz ancak sizlere kend… https://t.co/Sa4bqCLxYU</t>
  </si>
  <si>
    <t>1461826043673776135</t>
  </si>
  <si>
    <t>@drfahrettinkoca Sevgili atama bekleyen arkadaşlar. Şiddet haberi tweetine bile klavuz, atama yazmışsınız. Keşke bi… https://t.co/WCPfnBBIj1</t>
  </si>
  <si>
    <t>1461825851683741701</t>
  </si>
  <si>
    <t>@drfahrettinkoca Ülke olarak alabileceğimiz bir sakinleştirici var mı sayın bakan çok ihtiyacımız var çünkü</t>
  </si>
  <si>
    <t>1461825727117025280</t>
  </si>
  <si>
    <t>@drfahrettinkoca Aşınızı yaptırdıktan sonra çocuklarınızı  organlarını bağışlamayı unutmayın !!!!!! https://t.co/c6TJtr1zP3</t>
  </si>
  <si>
    <t>1461825636671045638</t>
  </si>
  <si>
    <t>@drfahrettinkoca Muhalefet partisi cozer sorunu bakanim😀😀</t>
  </si>
  <si>
    <t>1461825454982279178</t>
  </si>
  <si>
    <t>@drfahrettinkoca Hakettiğimiz yerlerde olmak, emeklerimizin karşılığını almak istiyoruz bakanım. Klavuz bekliyoruz</t>
  </si>
  <si>
    <t>1461823750777810944</t>
  </si>
  <si>
    <t>@drfahrettinkoca Bir çözüm söyleyeyim. Kamu çalışanlarına yönelik saldırı veya teşebbüste bulunanların sağlık sigortası kapsamından çıkarın.</t>
  </si>
  <si>
    <t>1461823357154902028</t>
  </si>
  <si>
    <t>@drfahrettinkoca Sevk zinciri olmayan "Aile hekimliği" sistemine sahibiz. Kalabalık hastaneler şiddetin en önemli n… https://t.co/u6kiuwYAkL</t>
  </si>
  <si>
    <t>1461822428309594118</t>
  </si>
  <si>
    <t>@drfahrettinkoca Yapma bakanım alırlar senide</t>
  </si>
  <si>
    <t>1461822092387700739</t>
  </si>
  <si>
    <t>@drfahrettinkoca sayın bakanım caydırıcı olmalı cezalar polis ekipleri koruma yapmalı hastane güvenlik işe yaramıyo… https://t.co/i2gP8WFfrW</t>
  </si>
  <si>
    <t>1461822059558940674</t>
  </si>
  <si>
    <t>@drfahrettinkoca Atama bekleyen sağlıkçı . https://t.co/4veLXSPyJP</t>
  </si>
  <si>
    <t>1461821922833047553</t>
  </si>
  <si>
    <t>@drfahrettinkoca Bugün bir kadın çocuğu sma tedavisini alamıyor diye intihar etti. Hergun çocuklar ölüyor. Ne zaman… https://t.co/bTnCjAENS9</t>
  </si>
  <si>
    <t>1461821858039357443</t>
  </si>
  <si>
    <t>@drfahrettinkoca https://t.co/k8ID2STt1X</t>
  </si>
  <si>
    <t>1461821710517391367</t>
  </si>
  <si>
    <t>@drfahrettinkoca Haklı degil belki ama bazı doktorlar insanları aşırı zorluyor. İnsanları azarlayıp köpek gibi işi… https://t.co/YVe7yyKWk0</t>
  </si>
  <si>
    <t>1461821628753580039</t>
  </si>
  <si>
    <t>@drfahrettinkoca Atanamayan bizlerde psikolojik şiddete maruz kalıyoruz. Bize de çözümünüz  var mı  bakanım?</t>
  </si>
  <si>
    <t>1461821584579170305</t>
  </si>
  <si>
    <t>@drfahrettinkoca Sağlık çalışanına saldırı.yani yine bir KADINA..erkekler adamligin cinsiyet değil karakter meseles… https://t.co/nby2r7CZh1</t>
  </si>
  <si>
    <t>1461821511975772162</t>
  </si>
  <si>
    <t>@drfahrettinkoca Gelen hastaya köpek gibi davranmasınlar,yaralı acılı çaresiz insanlar gider doktora biraz empati</t>
  </si>
  <si>
    <t>1461821027881734152</t>
  </si>
  <si>
    <t>@drfahrettinkoca Bi kerede şiddet uygulayan o insanları dinleyin,niye yapar bir insan kendine yardım etmesi gereken… https://t.co/jgeek1LKfz</t>
  </si>
  <si>
    <t>1461820802182135815</t>
  </si>
  <si>
    <t>@drfahrettinkoca Sayın bakan, toplumu değil yargıyı harekete geçirsek daha iyi olur. Kesin hapis+yüklü para cezası… https://t.co/l3IHXR0eoC</t>
  </si>
  <si>
    <t>1461820698754756616</t>
  </si>
  <si>
    <t>@drfahrettinkoca Sağlık çalışanları da insanlara insan gibi davransın</t>
  </si>
  <si>
    <t>1461820591267266568</t>
  </si>
  <si>
    <t>@drfahrettinkoca Sürekli sağlık çalışanına şiddet diyorsunuz önce doktorlara nasıl davranacağını öğretin insan gibi… https://t.co/lGGUoLvVCh</t>
  </si>
  <si>
    <t>1461820449424384016</t>
  </si>
  <si>
    <t>@drfahrettinkoca Toplum yeterince hareketli.Yapanın yanına kalmamaması için daha kaç sağlık çalışanı canından olsun… https://t.co/Pmn8KwR7Y3</t>
  </si>
  <si>
    <t>1461820210516738051</t>
  </si>
  <si>
    <t>@drfahrettinkoca @muzafferdmrsy Kadir Şeker ve benzeri davalar sonrası toplumun beklentileriniz ölçüsünde harekete… https://t.co/Mkg0WPx4Wm</t>
  </si>
  <si>
    <t>1461820095378907136</t>
  </si>
  <si>
    <t>@drfahrettinkoca Ülke battı ülke !!!!</t>
  </si>
  <si>
    <t>1461820088236097548</t>
  </si>
  <si>
    <t>@drfahrettinkoca Şiddet sağlıkçının tek sorunu değil! 8 bin Doktor yurtdışına gitti. Hemşireler de yurtdışına gitme… https://t.co/qU3JCtS9Rk</t>
  </si>
  <si>
    <t>1461820028739796997</t>
  </si>
  <si>
    <t>@drfahrettinkoca Tek dozlular normalde AŞISIZ sayılıyor. Demekki insanlar 90 yaşında bile iyileşebiliyor.  Eğer öls… https://t.co/z71rpUlU9G</t>
  </si>
  <si>
    <t>1461819645959229440</t>
  </si>
  <si>
    <t>@drfahrettinkoca Siddetin her türlüsüne karsiyim evet Yasalar korumuyor yeterli gelmiyor da; toplumu harekete geçir… https://t.co/9UEQPzBhNr</t>
  </si>
  <si>
    <t>1461819558961061893</t>
  </si>
  <si>
    <t>@drfahrettinkoca Sorunu sadece vadandaşta görüp diğer etkenlere bakmadığınız sürece bu çözülmez… https://t.co/LSPHVnqXif</t>
  </si>
  <si>
    <t>1461819184401297420</t>
  </si>
  <si>
    <t>@drfahrettinkoca Saldıran insanların ömür boyu devlet hastanelerinden hizmet almasını men edin, başlangıç olarak yeter sanırım sayın bakan.</t>
  </si>
  <si>
    <t>1461819029883138051</t>
  </si>
  <si>
    <t>@drfahrettinkoca 2 yıldır bize zorla ilaç ve aşı denen o şeyleri verip hasta haklarımızı ihlal ediyorsunuz. adalet… https://t.co/C9oE7a91fe</t>
  </si>
  <si>
    <t>1461818830137790476</t>
  </si>
  <si>
    <t>@drfahrettinkoca Bazılarıda hak edıyo valla</t>
  </si>
  <si>
    <t>1461818689276321805</t>
  </si>
  <si>
    <t>@drfahrettinkoca saglik bakanliginin uyguladigi asi ve pcr siddetini napalim? artik yeter diyoruz biz de ama duyan yok</t>
  </si>
  <si>
    <t>1461818535836012557</t>
  </si>
  <si>
    <t>@drfahrettinkoca Klavuzun  yayınlanmasını  Teknikerlere adil dağılım  İSTİYORUZ</t>
  </si>
  <si>
    <t>1461818535286644741</t>
  </si>
  <si>
    <t>@drfahrettinkoca Artık maalesef çok daha önemli bi mesele var...senin ve seni yönetenlerin Türk milletine verdiğini… https://t.co/7tUwXwW001</t>
  </si>
  <si>
    <t>1461818534510608393</t>
  </si>
  <si>
    <t>@drfahrettinkoca Toplumu harekete nasil gecireceksiniz???Bu toplumu yuklu miktarda para ya da agir hapis cezalariyl… https://t.co/6c72ETTdJR</t>
  </si>
  <si>
    <t>1461818191240474627</t>
  </si>
  <si>
    <t>@drfahrettinkoca Sma hastası bebeklerin anneleri çaresizlikten intihar ediyor. Bu bebeklere neden ses olmuyorsunuz.… https://t.co/yVvAhMHd4t</t>
  </si>
  <si>
    <t>1461818182667325440</t>
  </si>
  <si>
    <t>@drfahrettinkoca Şiddetin ve zorbalığın her türlüsüne karşıyız. Toplum harekete geçebilecek olsaydı; ‘pandemi’deki… https://t.co/GiWfMHZ6Xk</t>
  </si>
  <si>
    <t>1461817386676404228</t>
  </si>
  <si>
    <t>@drfahrettinkoca bakanım klavuz bekliyoruz artık sizcede bu süreç çok uzamadı mı</t>
  </si>
  <si>
    <t>1461816728271437825</t>
  </si>
  <si>
    <t>@drfahrettinkoca Harekete geçtik bakan duy bizi görün bizi çocuklar için 1 tane önlem yok mevcutlar 50 kişi 8 ders… https://t.co/P3Ih9Bw2FC</t>
  </si>
  <si>
    <t>1461816433697042444</t>
  </si>
  <si>
    <t>@drfahrettinkoca Odasına girip günaydın hocam dediğimiz doktor, karşısında düşman varmış gibi çık dışarı diyor.Hoca… https://t.co/0ORPO2UnY3</t>
  </si>
  <si>
    <t>1461816312150343680</t>
  </si>
  <si>
    <t>@drfahrettinkoca zorunluluk kaldırın ARTIK YETER CIGLIKLARI atmaktan bıktırmadınız sizlerde kalabalık sınıflara ris… https://t.co/G2yMUiz43b</t>
  </si>
  <si>
    <t>1461816136727769090</t>
  </si>
  <si>
    <t>@drfahrettinkoca Ağustosda 3.doz aşımı oldum aşı hakkım bitti bağışıklık bask kullanıyorum antikorum zaten oluşmadı… https://t.co/bjuoDtlQuM</t>
  </si>
  <si>
    <t>1461815765401804818</t>
  </si>
  <si>
    <t>@drfahrettinkoca Öncelikle Sağlık çalışanlarının Doktorların hastalara nasıl muamele edecekleri nasıl davranmaları… https://t.co/qndDcpzO2R</t>
  </si>
  <si>
    <t>1461815409649332232</t>
  </si>
  <si>
    <t>@drfahrettinkoca Bay bakan sen ya fetönün yada siyonistlerin köpeğisin katilsin katil çek pis elini necip milletin üzerinde</t>
  </si>
  <si>
    <t>1461815359858790405</t>
  </si>
  <si>
    <t>@drfahrettinkoca Okullar zorunluluk kaldirmalisiniz biz kronik hastaları göz göre ölüme davet edemezsiniz ,çocuklar… https://t.co/wAedQw0Rjt</t>
  </si>
  <si>
    <t>1461815213108379651</t>
  </si>
  <si>
    <t>@drfahrettinkoca CHP'li bakan da ondan diyor 😂</t>
  </si>
  <si>
    <t>1461814693237084169</t>
  </si>
  <si>
    <t>@drfahrettinkoca Sağlık çalışanına şiddet yolverilmez. Yargılanmalılar.  Sağlık çalışanlarının sahte aşı ve ilaçlar… https://t.co/SzLJQDTZ5d</t>
  </si>
  <si>
    <t>1461813252602703882</t>
  </si>
  <si>
    <t>@drfahrettinkoca Ceza çok az olduğu için değil 1,5 ile çarpmak 10la çarpılsa bile caydırmaz. Sağlık çalışanlarına k… https://t.co/f86zzwbSCe</t>
  </si>
  <si>
    <t>1461812836838088720</t>
  </si>
  <si>
    <t>@drfahrettinkoca O toplum biliyorki savcıya,polise,bankacıya,tapu memuruna,imama bunları yaparsa cezasını çeker ama… https://t.co/QWtQEqYnPS</t>
  </si>
  <si>
    <t>1461812804382564363</t>
  </si>
  <si>
    <t>@drfahrettinkoca E #günaydın bizahmet #şidedetin sebeplerini algılayıp da #toplum #piskoloji sini öğrenin! #ceza çözüm değil sonuçtur.</t>
  </si>
  <si>
    <t>1461812567454662657</t>
  </si>
  <si>
    <t>@drfahrettinkoca Ne zaman sayın bakan serzeniş çok icraat sıfırın altında vatandaş derki boş yapma</t>
  </si>
  <si>
    <t>1461812521036390409</t>
  </si>
  <si>
    <t>@drfahrettinkoca Sağlık çalışanlarına şiddet elbette kabul edilemez, ancak devlet hastanelerinde millete davranışla… https://t.co/dprDrAtUCZ</t>
  </si>
  <si>
    <t>1461812460705492995</t>
  </si>
  <si>
    <t>@drfahrettinkoca Ne zaman yayınlanacak şu kılavuz yaa</t>
  </si>
  <si>
    <t>1461812388655767559</t>
  </si>
  <si>
    <t>@drfahrettinkoca Toplum hareket geçmiş zaten! Biz Devletin harekete geçmesini bekliyoruz. Bu ülkede artık bir sağlık terörü var!</t>
  </si>
  <si>
    <t>1461812286230781955</t>
  </si>
  <si>
    <t>@drfahrettinkoca Kılavuzu yayimlayin Sayın Bakanım</t>
  </si>
  <si>
    <t>1461812248431710209</t>
  </si>
  <si>
    <t>@drfahrettinkoca Sayın Koca, bu olayı tasvip etmiyorum şiddet asla çözüm olamaz. Fakat şu da bir gerçek; öyle dokto… https://t.co/KWz2tbOd7P</t>
  </si>
  <si>
    <t>1461812213015060483</t>
  </si>
  <si>
    <t>1461812206744522754</t>
  </si>
  <si>
    <t>@drfahrettinkoca Birde pardon yanlışlıkla yada deneme usulü hayatini kaybeden insanların yanına da durun net cezala… https://t.co/Ctb7ZnvP34</t>
  </si>
  <si>
    <t>1461812145612595205</t>
  </si>
  <si>
    <t>@drfahrettinkoca Annemi bu ölüm ilaçlarıyla,maskeli,havasız,ambulansa bile almayarak öldürdüler..üstelik..kefen soy… https://t.co/lHTY3n8uDE</t>
  </si>
  <si>
    <t>1461812081657794573</t>
  </si>
  <si>
    <t>@drfahrettinkoca Her şey senin zamanında başladı daha bikaç hafta önce,bi tanıdık dedi ki..kadın 3 doz aşı olmuş fe… https://t.co/7AaULMCrBt</t>
  </si>
  <si>
    <t>1461811580958650376</t>
  </si>
  <si>
    <t>@drfahrettinkoca Durup dururken kimse kimseyi sarp edip şiddet uygulamıyor. Hak etmiştir.  Sizin @saglikbakanligi v… https://t.co/FOFSeOHyXM</t>
  </si>
  <si>
    <t>1461811499731759114</t>
  </si>
  <si>
    <t>@drfahrettinkoca Ülkenin en zeki insanları tıp okumayı tercih ediyor... Sonuç:hiç haketmedikleri şiddet.. Çözüm bir an önce bulunmalı..</t>
  </si>
  <si>
    <t>1461811172949299203</t>
  </si>
  <si>
    <t>@drfahrettinkoca Uzaktan eğitim şart.  Şiddetin her türlüsüne karşıyız.  Eğitimdede şiddete hayır sağlığınızın hiçe… https://t.co/6tOjQ9SIJg</t>
  </si>
  <si>
    <t>1461810909718921218</t>
  </si>
  <si>
    <t>@drfahrettinkoca Sağlık çalışanlarının yüzde 80 ni cümleleri tavırları ile vatandaşa şiddet uyguluyor.Bunu görebili… https://t.co/cj7VutXtUx</t>
  </si>
  <si>
    <t>1461810879100555269</t>
  </si>
  <si>
    <t>@drfahrettinkoca Cahil cesaretiyle her şeyi halletmeye çalışanlara daha ağır cezalar getirilmeli.</t>
  </si>
  <si>
    <t>1461810714167980039</t>
  </si>
  <si>
    <t>@drfahrettinkoca Net hapis cezası olmalı.Ama toplum cinnet geçiriyor.İnsanlar temel ihtiyaçlarını karşılayamayacak durumda.</t>
  </si>
  <si>
    <t>1461810695025184775</t>
  </si>
  <si>
    <t>@drfahrettinkoca Hep tek taraflıdır şiddet  zaten.siz hiç suçlu değilsinizdir annemi hava vermeden,maskeli öldürdü.… https://t.co/y6W211Y4iC</t>
  </si>
  <si>
    <t>1461810669796347910</t>
  </si>
  <si>
    <t>@drfahrettinkoca Odasinin isim ekranı bozuk diye saygısızlık yapıp içeri dalmayan anneme hecelemeyi öğrenin dedikod… https://t.co/1XcgY0C2Yl</t>
  </si>
  <si>
    <t>1461810598489083915</t>
  </si>
  <si>
    <t>@drfahrettinkoca Toplum değil de hukuk harekete geçse bakanım...</t>
  </si>
  <si>
    <t>1461810590041653250</t>
  </si>
  <si>
    <t>@drfahrettinkoca Zorunlu kamu hizmeti cezaları getirilmeli sayın bakanım. Hastanede yardımcı personel olarak çalışt… https://t.co/GahS4U5Aob</t>
  </si>
  <si>
    <t>1461810562619392002</t>
  </si>
  <si>
    <t>@drfahrettinkoca Gerçekten artık yeter biz o doktorlardan daha mağdur durumdayız çocuklarımızı göz göre göre ateşe… https://t.co/DJ50GhMbCT</t>
  </si>
  <si>
    <t>1461810434210729986</t>
  </si>
  <si>
    <t>@drfahrettinkoca Sayın bakanım vatandaş devlet çalışanlarına insan dışı bakıyor bizde devlet memuruyuz adamlar o ka… https://t.co/g66UGLOGQv</t>
  </si>
  <si>
    <t>1461810393152696320</t>
  </si>
  <si>
    <t>1461810221639213057</t>
  </si>
  <si>
    <t>@drfahrettinkoca Sn Bakanım, ALLAH için artik şu kılavuzu yayınlayın ya! Delirmemize az bir şey kaldı kafayi yemek… https://t.co/obuKfvo2df</t>
  </si>
  <si>
    <t>1461809780813701123</t>
  </si>
  <si>
    <t>@drfahrettinkoca Bugün SMA tip1 muzaffer bebeğin annesi kendini asarak yaşamına son verdi ‼️sayın bakan ne için Tür… https://t.co/VdO2kiGmjH</t>
  </si>
  <si>
    <t>1461809747900968967</t>
  </si>
  <si>
    <t>@drfahrettinkoca Bakanim Saglik personelenine  saldiranlar fislensin  hic bir saglik  yardimi  verilmesin hastanele… https://t.co/0fMGKrf2OT</t>
  </si>
  <si>
    <t>1461809710080921603</t>
  </si>
  <si>
    <t>@drfahrettinkoca Akp den olmaz</t>
  </si>
  <si>
    <t>1461809683124076544</t>
  </si>
  <si>
    <t>@drfahrettinkoca Yeter biz bıktık artık mobbing çok çalışma personelinden bile daha az maaş üstüne birde dayak yeter.</t>
  </si>
  <si>
    <t>1461809603742740497</t>
  </si>
  <si>
    <t>@drfahrettinkoca Ve burda şiddet yanlısı olanlar sözüm size varsa sıkıntılı bir durum şikayet edin başhekime sonra… https://t.co/8eCe1ZOv9G</t>
  </si>
  <si>
    <t>1461809522524237834</t>
  </si>
  <si>
    <t>@drfahrettinkoca Annemi de öldürdükleri ,Şimdi etkisiz dedikleri ölüm ilaçlarını ilkokul çocuklarına bile verdiler.… https://t.co/vJXLZopEpJ</t>
  </si>
  <si>
    <t>1461809484322553862</t>
  </si>
  <si>
    <t>@drfahrettinkoca Toplumu harekete geçirmeye çalışmakla vakit kaybetmeyin. Yasa çıkarabilirsiniz, iktidardasınız.</t>
  </si>
  <si>
    <t>1461809232966262791</t>
  </si>
  <si>
    <t>@drfahrettinkoca Sayın bakanım şiddete karşıyız evet ama birazda çuvaldızı kendinize batırsanız.saglik çalışanların… https://t.co/Wrww3IedSp</t>
  </si>
  <si>
    <t>1461809203950100480</t>
  </si>
  <si>
    <t>@drfahrettinkoca Kılavuz başkanım</t>
  </si>
  <si>
    <t>1461809077361782784</t>
  </si>
  <si>
    <t>@drfahrettinkoca Kanunları uygulayın yeter. Başka bir şeye gerek yok</t>
  </si>
  <si>
    <t>1461809051650736130</t>
  </si>
  <si>
    <t>@drfahrettinkoca Sağlık çalışanlarına silah taşıma ruhsatı verilsin belki caydırıcı olur!</t>
  </si>
  <si>
    <t>1461809033417998343</t>
  </si>
  <si>
    <t>1461808923967639553</t>
  </si>
  <si>
    <t>1461808764940656643</t>
  </si>
  <si>
    <t>@drfahrettinkoca Bende karşıyım sağlık çalışanların şiddete ama sizde.biraz dikkat edin o çalışan arkadaşların uslü… https://t.co/UehJJ9fOkv</t>
  </si>
  <si>
    <t>1461808742790582273</t>
  </si>
  <si>
    <t>@drfahrettinkoca nasil ?</t>
  </si>
  <si>
    <t>1461808739560960013</t>
  </si>
  <si>
    <t>@drfahrettinkoca Peki sayın bakan birde şu araştırılsa neden sağlık çalışanlarına şiddet uygulanıyor? Ben şahsım ad… https://t.co/J0Z8mdwsGv</t>
  </si>
  <si>
    <t>1461808697026486278</t>
  </si>
  <si>
    <t>@drfahrettinkoca Bence onu yapacağınıza hastane çalışanları ve doktorların hepsini tenzih ederim insan i davranış i… https://t.co/yLGYm9Ceui</t>
  </si>
  <si>
    <t>1461808549701509127</t>
  </si>
  <si>
    <t>@drfahrettinkoca bir yerden sonra yeter mi aslaaa daha da sürünün diyecek sandım ama iyi bari bunun yerine toplumu… https://t.co/rP5CV7FfII</t>
  </si>
  <si>
    <t>1461808532425261060</t>
  </si>
  <si>
    <t>@drfahrettinkoca Sorun uyduruk kanunlarınız ve uyduruk cezalarınız. Kesin hırsızın elini bak bi daha çalıyormu, öld… https://t.co/9ysmv3oj9S</t>
  </si>
  <si>
    <t>1461808337784393732</t>
  </si>
  <si>
    <t>@drfahrettinkoca bazı devlet hastanelerinde acilde aşı ve pcr yoksa barkot dahi kesilmiyor ve kesinlikle muayene ol… https://t.co/Q8dcDQjjAf</t>
  </si>
  <si>
    <t>1461808334676402177</t>
  </si>
  <si>
    <t>@drfahrettinkoca 5 yasinda bir kizim var ördüğüm el emeklerim ile gecinmeye calisiyorum desteginize ihtiyacim var alirmisin #destek #yardım</t>
  </si>
  <si>
    <t>1461808321036525576</t>
  </si>
  <si>
    <t>@drfahrettinkoca Sayın bakanım belki hekim arkadaşlar teknik olarak bilmeyebilir ben yardımcı… https://t.co/DvnqmhbGRa</t>
  </si>
  <si>
    <t>1461808298735382535</t>
  </si>
  <si>
    <t>@drfahrettinkoca Artik yeter ama.doktorlarin yuzde 90 nin iletisim problemi var.mufredata eklenmeli tip fakultesinde.</t>
  </si>
  <si>
    <t>1461808169143971852</t>
  </si>
  <si>
    <t>@drfahrettinkoca Cokmu zor kanun cıkarmak el atın gözyummayın ozaman</t>
  </si>
  <si>
    <t>1461808095194238979</t>
  </si>
  <si>
    <t>@drfahrettinkoca Valla sayın bakanım doktorlarınıza da yaşlılara yanında ciddi duruşlu bir evladı olmayan anne ve b… https://t.co/skCOJPioz2</t>
  </si>
  <si>
    <t>1461808016219639809</t>
  </si>
  <si>
    <t>@drfahrettinkoca Beyefendi madem çıkarttığıniz yasalar sağlık çalışanlarını koruyamıyor bir zahmet sizi bakan yapan… https://t.co/FcrW6TEUvv</t>
  </si>
  <si>
    <t>1461808015913402368</t>
  </si>
  <si>
    <t>@drfahrettinkoca Sağlık çalışanlarının yaptığı aşağılamalara veya görevini düzgün yapmayanlara ne ceza veriliyor. B… https://t.co/m4jflsk7p6</t>
  </si>
  <si>
    <t>1461808013573042194</t>
  </si>
  <si>
    <t>@drfahrettinkoca Hastanede doktoru döveni biz dövecez anlaşıldı ,tmmdr , bakanım o iş bizde nasipse 😄 uslanmıyorlar… https://t.co/wNgcIwZ9I7</t>
  </si>
  <si>
    <t>1461807877308493827</t>
  </si>
  <si>
    <t>@drfahrettinkoca Bırakın allahaşkına, samimi değilsiniz...</t>
  </si>
  <si>
    <t>1461807853816139788</t>
  </si>
  <si>
    <t>@drfahrettinkoca Milletin psikolojisini bozdunuz, herkes kafayı sıyırmak üzere  en küçük olumsuzluğa bile tahammül edemiyor.</t>
  </si>
  <si>
    <t>1461807823235563529</t>
  </si>
  <si>
    <t>@drfahrettinkoca Öncelikle kurumlardaki yönetici şiddetini bitirmeniz gerek...</t>
  </si>
  <si>
    <t>1461807802255618051</t>
  </si>
  <si>
    <t>@drfahrettinkoca Evet bakanım Artık yeter! Kılavuzu yayınlayın</t>
  </si>
  <si>
    <t>1461807740544856073</t>
  </si>
  <si>
    <t>@drfahrettinkoca Bakanım şiddet uygulayan bir süre kişisel sigortadan faydalanmasın, ücret ödeyerek sağlık hizmeti… https://t.co/eImzkcxlhg</t>
  </si>
  <si>
    <t>1461807730356854796</t>
  </si>
  <si>
    <t>@drfahrettinkoca Haklısınız. ""ARTIK YETER"'  halk yıllardır bu çığlığı atıyor.   Son çığlığın olması dileğiyle sayın bakanım.</t>
  </si>
  <si>
    <t>1461807721175474184</t>
  </si>
  <si>
    <t>@drfahrettinkoca 1.5 ile çarpmanın son 2 yılda ne faydasını gördünüz bakanım açıklar mısınız ?</t>
  </si>
  <si>
    <t>1461807708399706113</t>
  </si>
  <si>
    <t>@drfahrettinkoca Cezalar xaydırıcı değil en iyi ceza en uzak yerdeki sağlık ocağından metropoldeki şehir hastaneler… https://t.co/DhNRQl9BPB</t>
  </si>
  <si>
    <t>1461807666632790024</t>
  </si>
  <si>
    <t>@drfahrettinkoca ASIL MESELE ŞU DR BEY İNSANA HAYVAN GİBİ DAVRANIRSAN SONUÇ ÜZÜCÜ OLUR ISIRIRLAR (İSTİSNALAR BAŞIMI… https://t.co/8Ov3NamGg6</t>
  </si>
  <si>
    <t>1462196054032633857</t>
  </si>
  <si>
    <t>@drfahrettinkoca Aşıdan başka şeylerlede ilgileniyorsunuz demek nadirde olsa.insanlara avuçla verdirdiğiniz ilacın… https://t.co/nZnZNXb9D8</t>
  </si>
  <si>
    <t>1462195264295522305</t>
  </si>
  <si>
    <t>@drfahrettinkoca Şiddeti şuna buna diye ayırırsak malesef faydadan çok zarar getirir diye düşünüyorum. Sözlü veya f… https://t.co/ia5lGcfofG</t>
  </si>
  <si>
    <t>1462186366301843463</t>
  </si>
  <si>
    <t>@drfahrettinkoca iki aydır yardım çığlığı atıyoruz, taglerimiz en üst sıralara yerleşiyor. NE GÖREN NE DUYAN VAR NE… https://t.co/afEYpGI4iL</t>
  </si>
  <si>
    <t>1462185141158260742</t>
  </si>
  <si>
    <t>@drfahrettinkoca Yasaları harekete geçirseniz sayın bakanım? Mesela tutuklu yargılansalar? Hakaretin, tehdidin de h… https://t.co/5n7XtcVGVe</t>
  </si>
  <si>
    <t>1462181769390735367</t>
  </si>
  <si>
    <t>@drfahrettinkoca Ayaklanacazmı?? Hazırlanayım..</t>
  </si>
  <si>
    <t>1462179214371835913</t>
  </si>
  <si>
    <t>@drfahrettinkoca Azıcık da aşağıda yazanları okusanız ne yapmanız gerektiği yazıyor aslında</t>
  </si>
  <si>
    <t>1462177725423235072</t>
  </si>
  <si>
    <t>@drfahrettinkoca 200 bin kişinin derdini anlattığı TAG açıldı Öğrenciler öğretmenler okulda virüse maruz kalıyor aş… https://t.co/NxnjrvQ7Dl</t>
  </si>
  <si>
    <t>1462177671249641472</t>
  </si>
  <si>
    <t>@drfahrettinkoca 200 bin kişinin derdini anlattığı TAG açıldı DİNLEDİNİZ Mİ BİZİ? NE ÖNLEMLER ALDINIZ?NE YAPTINIZ B… https://t.co/TPEnRDyoI6</t>
  </si>
  <si>
    <t>1462177285205807114</t>
  </si>
  <si>
    <t>@drfahrettinkoca @saglikbakanligi Sn bakan, her şeyi bizden beklemeyin. Sağlık personelinin yükünü, sitresini azalt… https://t.co/nGKGbPtK5g</t>
  </si>
  <si>
    <t>1462172616970711041</t>
  </si>
  <si>
    <t>@drfahrettinkoca Hay Allah eliniz kolunuz bağlı değil mi? Anladık çok üzgünsünüz yapabileceğiniz hiçbir şey yok</t>
  </si>
  <si>
    <t>1462170946777882625</t>
  </si>
  <si>
    <t>@drfahrettinkoca "Artık gerçekten yeter" böyle gerizekalılar yüzünden bn hastanede 2 yıldır ihtiyacım olduğunda dok… https://t.co/gRjGDaXWCM</t>
  </si>
  <si>
    <t>1462169891176423425</t>
  </si>
  <si>
    <t>@drfahrettinkoca Ruhsatsız sıvı deneği olmak istemeyenleri hedef gösteren şahıs meslekten ihraç edilmeli bir daha d… https://t.co/9pXTPcRT7I</t>
  </si>
  <si>
    <t>1462169203499319305</t>
  </si>
  <si>
    <t>@drfahrettinkoca Yalnız bu durumda yasalar karşısında herkes eşit olmuyor bana biraz tuhaf geldi bu durum. Sağlık ç… https://t.co/d71ISTmpx1</t>
  </si>
  <si>
    <t>1462168826234163203</t>
  </si>
  <si>
    <t>@drfahrettinkoca ÇOK YÜKSEK PARA CEZALARI VERIPMELI(ORN: HEKIME TEMAS VARSA ENAZ 35-40 BİN TL PARA CEZASI)</t>
  </si>
  <si>
    <t>1462168044201984000</t>
  </si>
  <si>
    <t>@drfahrettinkoca @acilafetgovtr Vajinismus nedir ?</t>
  </si>
  <si>
    <t>1462167267781881860</t>
  </si>
  <si>
    <t>@drfahrettinkoca Doktorlar hemşireler, hastalara nasıl davranıyor , sizlerin görmediğiniz yüzüdür hastanelerin,bir… https://t.co/LDvOgvIQsq</t>
  </si>
  <si>
    <t>1462165026949799948</t>
  </si>
  <si>
    <t>@drfahrettinkoca saglık calisanlarinizin yaptigi siddet ? umuyorum o konuyada bir sey dusunmussunuzdur ?</t>
  </si>
  <si>
    <t>1462162471851020290</t>
  </si>
  <si>
    <t>@drfahrettinkoca Hi hi tmm</t>
  </si>
  <si>
    <t>1462161439511261184</t>
  </si>
  <si>
    <t>@drfahrettinkoca Bu saldırganlar hastaneye giremesin,ne zaman yapacaksınız sn bakan...Kapılara x-ray istiyoruz.</t>
  </si>
  <si>
    <t>1462159600246001667</t>
  </si>
  <si>
    <t>@drfahrettinkoca Sayın bakan,hekimine sahip çık</t>
  </si>
  <si>
    <t>1462159076448780293</t>
  </si>
  <si>
    <t>@drfahrettinkoca siz insanları zorla aşılarsaniz! aşılı asisiz !doktor hasta ayrimcilik yaparsanız ettiğiniz hipokr… https://t.co/bB8JUwwJax</t>
  </si>
  <si>
    <t>1462207052961492992</t>
  </si>
  <si>
    <t>@drfahrettinkoca Ben de bir sağlık çalışanıyım 2-3 yıldır şiddet görüyorum "Psikolojik şiddet' bunların da cezası i… https://t.co/9qFibjHroO</t>
  </si>
  <si>
    <t>1462157782354997262</t>
  </si>
  <si>
    <t>@drfahrettinkoca DOKTORLARIN SESINI DUYUN ARTIK</t>
  </si>
  <si>
    <t>1462156569588772868</t>
  </si>
  <si>
    <t>@drfahrettinkoca Doktor hanimi ziyaret edip fotoğraf çektirip hesabınızda paylaşsanız,yanımızda olduğunuzu hissetsek ne güzel olur</t>
  </si>
  <si>
    <t>1462156362419425290</t>
  </si>
  <si>
    <t>@drfahrettinkoca Önce aynaya karşınıza alın ve sorun kendine neden bu şekilde millet şiddet meyillesi. Şuan öyle do… https://t.co/hkyIoNxz9f</t>
  </si>
  <si>
    <t>1462154241498304516</t>
  </si>
  <si>
    <t>@drfahrettinkoca @esmaademirrr "artık yeter" çığlığı duyulalı çok oldu sayın Fahrettin Bey. Bu kişilerin sağlık hiz… https://t.co/M3vTMmqSvE</t>
  </si>
  <si>
    <t>1462150615006646274</t>
  </si>
  <si>
    <t>@drfahrettinkoca Toplumu harekete geçirmeden önce keşke siz biraz harekete geçseydiniz bizim bakanımız olarak. Uzak… https://t.co/BAWIHIjwj7</t>
  </si>
  <si>
    <t>1462150609830879234</t>
  </si>
  <si>
    <t>@drfahrettinkoca Beş dakikada bir hasta bak, hastanın rapor reçete dahil her türlü bilgisayar işini sen yap, sekret… https://t.co/EY5vY1v3kN</t>
  </si>
  <si>
    <t>1462149343809617921</t>
  </si>
  <si>
    <t>@drfahrettinkoca Sorun yine EĞİTİM de...Zorunlu eğitim sistemimizde DİSİPLİN YÖNETMELİĞİ ÇOK CILIZ,buna rağmen yöne… https://t.co/HUFKb5eyEq</t>
  </si>
  <si>
    <t>1462143146733846535</t>
  </si>
  <si>
    <t>@drfahrettinkoca devlet hastanelerinde dr elinde cep telefonu kalkıp muayene bile etmiyor cok dr gezdim devlet hast… https://t.co/PvA9ZEF9on</t>
  </si>
  <si>
    <t>1462139320626728961</t>
  </si>
  <si>
    <t>@drfahrettinkoca Evet kilavuz peki nezaman</t>
  </si>
  <si>
    <t>1462139192478244868</t>
  </si>
  <si>
    <t>@drfahrettinkoca Bu nasıl bir yasa? Sokaktaki adama karşı işlenen suç, sağlıkçıya işlenince neden 1.5 kat ceza alınıyor? Bu adalet mi?</t>
  </si>
  <si>
    <t>1462138201146023939</t>
  </si>
  <si>
    <t>@drfahrettinkoca Bence alkışlayalım 👏👏👏 Haa bi de sana göre toplum şiddet uygulayanı dışlar nasılsa 😉</t>
  </si>
  <si>
    <t>1462132275135582209</t>
  </si>
  <si>
    <t>@drfahrettinkoca İşini düzgün yapmayan sağlık çalışanlarına yaptırımınız olmadığı için binlerce hasta ve yakınların… https://t.co/yIcPQBxiN2</t>
  </si>
  <si>
    <t>1462128386231390212</t>
  </si>
  <si>
    <t>@drfahrettinkoca Sayın bakanım, aksi durumda hasta haklarını da koruyan ve aynı şekilde personeli de bilmem kaç kat… https://t.co/gUWLkpAwOK</t>
  </si>
  <si>
    <t>1462126069419552770</t>
  </si>
  <si>
    <t>@drfahrettinkoca Sayın bakanım sadece sağlık çalışanlarına değil tüm topluma şiddete karşıyız. Bazı sağlık çalışanl… https://t.co/uZH1EN0QwK</t>
  </si>
  <si>
    <t>1462125057719873538</t>
  </si>
  <si>
    <t>1462117231152803843</t>
  </si>
  <si>
    <t>@drfahrettinkoca Sayın bakanım pek çok savcı beyaz kod vermemize rağmen çoğu zaman dosyaya bile bakmadan beraat kar… https://t.co/Ro5f5fjfGe</t>
  </si>
  <si>
    <t>1462114218342293512</t>
  </si>
  <si>
    <t>@drfahrettinkoca @saglikbakanligi Şiddet karşıyım fakat bazı doktorlarımız hastaları bir çocuk azarlar gibi fırçalı… https://t.co/aw3xi73mKz</t>
  </si>
  <si>
    <t>1462111633493401601</t>
  </si>
  <si>
    <t>@drfahrettinkoca ATAMA YAPIN ARTIK</t>
  </si>
  <si>
    <t>1462110414595104768</t>
  </si>
  <si>
    <t>@drfahrettinkoca Hekimlikten tiksiniyorum artık Bu nasıl ülke</t>
  </si>
  <si>
    <t>1462107577014231049</t>
  </si>
  <si>
    <t>@drfahrettinkoca Ve yine hiçbir olmayacak. 🤣</t>
  </si>
  <si>
    <t>1462105768577187841</t>
  </si>
  <si>
    <t>@drfahrettinkoca GRİP AŞISI YOKKKKKK.  NE ZAMAN GELECEK.</t>
  </si>
  <si>
    <t>1462102591714824193</t>
  </si>
  <si>
    <t>@drfahrettinkoca Bir de kanunları uygulayamayan @herkesicinCHP yi ve @kilicdarogluk nu kınayın tam olsun bakanım 😂😂😂</t>
  </si>
  <si>
    <t>1462101962934169603</t>
  </si>
  <si>
    <t>@drfahrettinkoca Size güvenimizi de inancımızı da yitirdik ,romantik söylemeleriniz hiç bir zaman somut adımlara ulaşmadı !</t>
  </si>
  <si>
    <t>1462100989956308992</t>
  </si>
  <si>
    <t>@drfahrettinkoca sayın bakanım,  böyle insanlar için acil durumlar dışında men edilmesi yönünde kanun çıkarılmalı..… https://t.co/HuOrekXspa</t>
  </si>
  <si>
    <t>1462100562615455745</t>
  </si>
  <si>
    <t>@drfahrettinkoca Sayın Bakan Hamaset yapma Sen kabinede bir bakarsın Gereğini yap gereğini icraat yap Ona göre ağır… https://t.co/cztEGY0YVx</t>
  </si>
  <si>
    <t>1462100144694910978</t>
  </si>
  <si>
    <t>@drfahrettinkoca Sayın bakan lütfen hastahanelerde hastalara köpek muamelesi yapan sağlık çalışanlarını da denetley… https://t.co/BVUlNEv4oe</t>
  </si>
  <si>
    <t>1462099633912623110</t>
  </si>
  <si>
    <t>@drfahrettinkoca İktidara geldiğinizde yaparsınız artık 😯 0'ı ister 1,5 ile ister 5'le çarp fark etmez. Gerçek suçl… https://t.co/37I96BGNM5</t>
  </si>
  <si>
    <t>1462099559044337678</t>
  </si>
  <si>
    <t>@drfahrettinkoca Şiddet ciddi bir medeniyetsizlik göstergesi. Evet saglik calisanin kesinlikle hakki olsun. Peki sa… https://t.co/hc78BSHpTm</t>
  </si>
  <si>
    <t>1462099001424101376</t>
  </si>
  <si>
    <t>@drfahrettinkoca Şiddete karşıyız ancak sağlık çalışanlarının tavırları inanılmaz kötü özellikle şehir hastanelerinde</t>
  </si>
  <si>
    <t>1462098965650935819</t>
  </si>
  <si>
    <t>@drfahrettinkoca Sayın Bakan iktidarda olan sizsiniz, Bu açıklamayı ancak muhalefet partili biri yapar. Hesap verec… https://t.co/KqplV2uYc7</t>
  </si>
  <si>
    <t>1462098961725104139</t>
  </si>
  <si>
    <t>@drfahrettinkoca Şiddeti onaylamıyorum. Yalnız altını ve üstünü çizmek lazım Sağlık çalışanları vatandaşı bazen ins… https://t.co/NsbaP6sZg3</t>
  </si>
  <si>
    <t>1462098829675798534</t>
  </si>
  <si>
    <t>@drfahrettinkoca Peki Halk üzerinde ilaç aşı denemesi yapan, halkı labaratuvar faresi gibi aşı ilaç kobayı yapan ya… https://t.co/ZwXojSnRHw</t>
  </si>
  <si>
    <t>1462098337704853505</t>
  </si>
  <si>
    <t>@drfahrettinkoca Elbetteki şiddete karşıyız  Ama bu artan şiddet olayları sanki askeri vesayet kalkınca yerine şimd… https://t.co/6drzTzPtXm</t>
  </si>
  <si>
    <t>1462096726467174401</t>
  </si>
  <si>
    <t>1461821737289531397</t>
  </si>
  <si>
    <t>1462200567531458565</t>
  </si>
  <si>
    <t>@drfahrettinkoca iki aydır yardım çığlığı atıyoruz, taglerimiz en üst sıralara yerleşiyor NE GÖREN NE DUYAN VAR NE… https://t.co/Kt3gp4M3lr</t>
  </si>
  <si>
    <t>1462185299807719424</t>
  </si>
  <si>
    <t>1462117261913829381</t>
  </si>
  <si>
    <t>@drfahrettinkoca Bunlarla övünürken 1 yıldır atama yapmadıgınızı da yazın</t>
  </si>
  <si>
    <t>1462110552411582470</t>
  </si>
  <si>
    <t>@drfahrettinkoca Okullar kapanacak mı hocam</t>
  </si>
  <si>
    <t>1462100776097091589</t>
  </si>
  <si>
    <t>@drfahrettinkoca Sayın bakanım hastanelerde sıra bulabilirsem gideceğimde sıra yok napalım</t>
  </si>
  <si>
    <t>1462539643082227718</t>
  </si>
  <si>
    <t>@drfahrettinkoca ne bilmem neyine 40 dk çıkardınız ders saatlerini ve birde öğle yemeğini..okullar salgindan geçilm… https://t.co/C88oB1Ikyb</t>
  </si>
  <si>
    <t>1462522451770986499</t>
  </si>
  <si>
    <t>@drfahrettinkoca Şahsi düşüncemi belirtmek isterim,istifa da bir hizmettir sayın bakanım. Hastalık bitti de bizim m… https://t.co/yMW68TLlHj</t>
  </si>
  <si>
    <t>1461843954895360004</t>
  </si>
  <si>
    <t>@drfahrettinkoca #CBKilitOnlineİstiyor</t>
  </si>
  <si>
    <t>1461837247494373383</t>
  </si>
  <si>
    <t>@drfahrettinkoca Sayın bakanım bağcılar devlet hastanesi acil bölümün hekimleri teşhis koymak yerine ağrı kesici iğ… https://t.co/UN71Igldhd</t>
  </si>
  <si>
    <t>1461830603481964544</t>
  </si>
  <si>
    <t>@drfahrettinkoca %70 aşılama yapınca salgın biter diyordunuz 80 olmuş ama salgın artmış !!!</t>
  </si>
  <si>
    <t>1461829753997037574</t>
  </si>
  <si>
    <t>@drfahrettinkoca Korona değil, Sahte Aşılar ölü doğumu arttırıyor. Uyanın artık.😡😡😡😡 https://t.co/Va6rGlRSrI</t>
  </si>
  <si>
    <t>1461829455857467392</t>
  </si>
  <si>
    <t>@drfahrettinkoca Hizmet verecek kurumların çalışan sayısını azaltıp, yoğunluğu arttıran kimler acaba ! Hizmet veren… https://t.co/MP7ROc506Z</t>
  </si>
  <si>
    <t>1461828568007249923</t>
  </si>
  <si>
    <t>@drfahrettinkoca Şaka mı yapıyor ne yiyor ne içiyor neyin kafasını yaşıyor ise bizede ondan lazım</t>
  </si>
  <si>
    <t>1461827806279651328</t>
  </si>
  <si>
    <t>@drfahrettinkoca Bu ülkeye ve ülke insanına kim hainlik ediyorsa  cümlesinin ALLÂH BELASINI VERSİN ÂMİN</t>
  </si>
  <si>
    <t>1461821885491171330</t>
  </si>
  <si>
    <t>1461821783280164883</t>
  </si>
  <si>
    <t>@drfahrettinkoca ankara mamak da oturmaktayım cocugum sürekli hasta sürekli ishal ates vs okula gittim aman allahım… https://t.co/jJNC4U2EiH</t>
  </si>
  <si>
    <t>1461821225752219659</t>
  </si>
  <si>
    <t>@drfahrettinkoca Bugün cuma namazında haftaya pazar yerinde namaz yok camide sıkımsaf namaz var dediler. Bu durumda… https://t.co/UC46wBzBod</t>
  </si>
  <si>
    <t>1461820992398012422</t>
  </si>
  <si>
    <t>@drfahrettinkoca sayın bakanım metrolarda dolmuşlarda üst üste gidiyoruz sefer sayıları cogaltılmalı bu sürecte bil… https://t.co/k9XSiGc4rI</t>
  </si>
  <si>
    <t>1461820655473733635</t>
  </si>
  <si>
    <t>@drfahrettinkoca Beyler saat 3 en az yoğun saatiymiş.Hep beraber saat 3 te gidelim lütfen.</t>
  </si>
  <si>
    <t>1461815672250548226</t>
  </si>
  <si>
    <t>@drfahrettinkoca Hes kodu ile sınava alınıyoruz sözde. Ama her grip olduğunu sanan test yaptırmıyor. Hastalığın bağ… https://t.co/Y1JsrOwvxm</t>
  </si>
  <si>
    <t>1461814276553904130</t>
  </si>
  <si>
    <t>@drfahrettinkoca 12 ila 1 arası iyimi sayın bakanım hastaneler yada devlet dairleri ancak o zaman daha boş yada met… https://t.co/3wKL75WjEc</t>
  </si>
  <si>
    <t>1461814265493565442</t>
  </si>
  <si>
    <t>@drfahrettinkoca Şimdi soru şu,daha az yoğun olunan saatler nedir?Randevu zaten alınamıyor birçok yerden.Peki nasıl… https://t.co/EdMpG2YIDL</t>
  </si>
  <si>
    <t>1461813339718303744</t>
  </si>
  <si>
    <t>@drfahrettinkoca Şey ben anlamadım okula daha az yoğun olduğu saatte gitmem gerekirse gece gitmem gerekir…? #OnlineEğitimGerekli</t>
  </si>
  <si>
    <t>1461810226076790791</t>
  </si>
  <si>
    <t>@drfahrettinkoca Kısıtlamalardan sonuç alınmış hali 23 bin günlük yeni vaka 200 küsür ölüm</t>
  </si>
  <si>
    <t>1461810167205568522</t>
  </si>
  <si>
    <t>@drfahrettinkoca Senin yalanlarından bıktık artık Fahrettin koca Allah aşkına istifa et</t>
  </si>
  <si>
    <t>1461809709158182927</t>
  </si>
  <si>
    <t>@drfahrettinkoca Bakanım Siz Bu Tabloya İnanıyor Musunuz ?</t>
  </si>
  <si>
    <t>1461809195691479046</t>
  </si>
  <si>
    <t>@drfahrettinkoca Açlığa çare bulmazsanız, coronaya gerek kalmayacak. Milletin parası pul oldu  corona nedir ki ?</t>
  </si>
  <si>
    <t>1461809058718040080</t>
  </si>
  <si>
    <t>@drfahrettinkoca kurumlara girerken Hes uygulamasına bakılıyor ama içeride çalışan memurların arasında hala aşı olm… https://t.co/NLtuM11uwA</t>
  </si>
  <si>
    <t>1461808831311364101</t>
  </si>
  <si>
    <t>@drfahrettinkoca HERKES daha az yoğun vakitlerde gitsin lütfen!</t>
  </si>
  <si>
    <t>1461807962993967108</t>
  </si>
  <si>
    <t>@drfahrettinkoca Hizmet alacagimiz kurumlarin DAHA AZ YOĞUN oldukları saatleri yazin da bilelim madem.</t>
  </si>
  <si>
    <t>1462197004080230408</t>
  </si>
  <si>
    <t>@drfahrettinkoca Sen yırtınmaya devam et! Daha senin sorumlu olduğun yerler doğru düzgün iş yapmıyor. Göztepe çocuk… https://t.co/HQ5FkxwFen</t>
  </si>
  <si>
    <t>1462183171471118343</t>
  </si>
  <si>
    <t>@drfahrettinkoca Hangi saatlerde mesela?Herkes"DAHA AZ YOĞUN" olan saatte gitmeye kalkınca ne olacak?Yok şu varyant… https://t.co/Ot9TrYhVkc</t>
  </si>
  <si>
    <t>1462169580227411978</t>
  </si>
  <si>
    <t>@drfahrettinkoca O kadar insanı ilaçlarla öldürdünüz🤬babamı o ilaçlarla yoğun bakımda öldürdünüz ıkı elim ahirette yakanızda Fahrettin bey</t>
  </si>
  <si>
    <t>1462164717598818310</t>
  </si>
  <si>
    <t>@drfahrettinkoca Sayın bakanım söyler misiniz fakültenin daha az yoğun olduğu saatte fakülteye gitmeyi nasıl başarayım</t>
  </si>
  <si>
    <t>1462153295380762624</t>
  </si>
  <si>
    <t>1462117289390743559</t>
  </si>
  <si>
    <t>@drfahrettinkoca bu tablo cok mu iyi kisitlama soz konusu olmuyo , ISINI YAP #fahrettinkocaistifa</t>
  </si>
  <si>
    <t>1462114511905861633</t>
  </si>
  <si>
    <t>@drfahrettinkoca GÖNDERDİĞİNİZ İLAÇ !!!!! https://t.co/pu1aExZGmD</t>
  </si>
  <si>
    <t>1462112404582670351</t>
  </si>
  <si>
    <t>@drfahrettinkoca Kısıtlamalar yüzünden ekonomi, psikoloji ve bağışıklık çöktü!</t>
  </si>
  <si>
    <t>1462112118724087816</t>
  </si>
  <si>
    <t>@drfahrettinkoca KILAVUZ GELMEDİ 1 SENE OLDU</t>
  </si>
  <si>
    <t>1462110641037193220</t>
  </si>
  <si>
    <t>@drfahrettinkoca Havalar soğuk sınıflar havalandırılamayacak vakalar yükselişte çocukların hayatı tehlikede #uzaktaneğitim</t>
  </si>
  <si>
    <t>1462106076766216201</t>
  </si>
  <si>
    <t>@drfahrettinkoca Kamuya 5000 Fizyoterapist ataması istiyoruz https://t.co/Ef9HFqmKaj</t>
  </si>
  <si>
    <t>1462102831444500481</t>
  </si>
  <si>
    <t>@drfahrettinkoca @saglikbakanligi sayın bakanım hertürlü olumsuzluğa ve eleştiriye rağmen başından beri süreci çok… https://t.co/8BldA7B0SJ</t>
  </si>
  <si>
    <t>1462188998202474501</t>
  </si>
  <si>
    <t>@drfahrettinkoca S.a bakanım ben Bursa yazıyorum Kayseri ilde böyle kızımızın bir sorun varmış Allah razı olsun şim… https://t.co/Eg7wRUvymO</t>
  </si>
  <si>
    <t>1462142748367241225</t>
  </si>
  <si>
    <t>1462117316704055306</t>
  </si>
  <si>
    <t>1462117386337804294</t>
  </si>
  <si>
    <t>1462117428377366528</t>
  </si>
  <si>
    <t>1462117463714373637</t>
  </si>
  <si>
    <t>@drfahrettinkoca Aşı için birlik çağrısıymış 😂😂 te allam ya valla ilginç adam F/K</t>
  </si>
  <si>
    <t>1461839641359888384</t>
  </si>
  <si>
    <t>@drfahrettinkoca Yav iyi hoş da, söylemekle olmuyorsa, toplumu korumak için aşı olmayanlara kısıtlamalar getirmek g… https://t.co/MoVFfmy3iJ</t>
  </si>
  <si>
    <t>1461836508688756736</t>
  </si>
  <si>
    <t>@drfahrettinkoca İyiki cehennem var hesap günü var.</t>
  </si>
  <si>
    <t>1461826336130052096</t>
  </si>
  <si>
    <t>@drfahrettinkoca Faz süreleri dolmamış aşıların bir halta yaramadığı ortadayken; Tutturmuşsun aşıda aşı...  'Türk M… https://t.co/DDcYUXKW79</t>
  </si>
  <si>
    <t>1461824450316443653</t>
  </si>
  <si>
    <t>@drfahrettinkoca Hemen istifa edip git bence</t>
  </si>
  <si>
    <t>1461819690599301120</t>
  </si>
  <si>
    <t>@drfahrettinkoca 📌 Anı olarak kalsın, 2022'de arşivler fora açılacaktır..  İleride hem Hukuk, hem Tıp hem de diğer… https://t.co/N2hG64Jk9y</t>
  </si>
  <si>
    <t>1461818921552601101</t>
  </si>
  <si>
    <t>@drfahrettinkoca Bir A$I,iki A$I,üç A$I... İyi taktik; "VİRÜS!A$I olun,virüsten korunun." (+maske+mesafe) Olmadı;"M… https://t.co/u8VpLAtnDF</t>
  </si>
  <si>
    <t>1462183750670987265</t>
  </si>
  <si>
    <t>1462117494320160772</t>
  </si>
  <si>
    <t>@drfahrettinkoca Yeter yeter aydınlatma artık bizi. Aptal değiliz cahil değiliz. Okudum araştırdım kararımı verdim.… https://t.co/A1ddC70suB</t>
  </si>
  <si>
    <t>1462106395021561871</t>
  </si>
  <si>
    <t>@drfahrettinkoca Sayın bakanım bendeniz emekliyim,kovit gelip yasaklar başlamadan 20 gün önce yaşadığım bölgenin en… https://t.co/mHBmJSolZt</t>
  </si>
  <si>
    <t>1462507297675091981</t>
  </si>
  <si>
    <t>1462117525219680261</t>
  </si>
  <si>
    <t>@drfahrettinkoca Bir muz cumhuriyetinde halkını yarım milyar euro ya satan, onları ölüme gönderen faşist bir sözde… https://t.co/8Mtm6D6ae7</t>
  </si>
  <si>
    <t>1461812943390134277</t>
  </si>
  <si>
    <t>1462117551710908425</t>
  </si>
  <si>
    <t>@drfahrettinkoca Drfahrettin bey devlet hastanesi  acilden ACİL OLARAK ambulansla ÖZEL hastanelere gönderirken hiçb… https://t.co/oY9yr695yQ</t>
  </si>
  <si>
    <t>1462204059130253322</t>
  </si>
  <si>
    <t>@drfahrettinkoca SAYISIZ  İĞNELERLE  DOLU GEÇECEK  BİR  ÖMÜR !! #parmağımdelinmesin @anadoludiyabet @RTErdogan… https://t.co/750OZDNo8B</t>
  </si>
  <si>
    <t>1462522318769504263</t>
  </si>
  <si>
    <t>@drfahrettinkoca Biz sizin 2030 ve 2050 ajandalariniza uymak zorunda mıyız bizi siz haşa siz mi yarattınız</t>
  </si>
  <si>
    <t>1462564036952924172</t>
  </si>
  <si>
    <t>@drfahrettinkoca @drtopaloglu الحمدلله 🤲🤲</t>
  </si>
  <si>
    <t>1466546717172453377</t>
  </si>
  <si>
    <t>@drfahrettinkoca Aaa siz izin aldınız mı nasıl tweet atarsınız hayret...</t>
  </si>
  <si>
    <t>1466851920560242696</t>
  </si>
  <si>
    <t>@drfahrettinkoca Cehennem var biliyorsunuz değil mi?</t>
  </si>
  <si>
    <t>1461818909489782808</t>
  </si>
  <si>
    <t>@drfahrettinkoca Sayın bakan bütün bunlar fakir ülkeler için de geçerli olmalı.Hala aşıya ulaşamamış ulkeler var.Be… https://t.co/fBAZWKmynB</t>
  </si>
  <si>
    <t>1462520020941086721</t>
  </si>
  <si>
    <t>@drfahrettinkoca Daha önce 4b göreve başlamış meslektaşlarımızın tercih yapmasını sistem engelleyecek deniliyor yıl… https://t.co/MKi75WlwHu</t>
  </si>
  <si>
    <t>1469224289840861186</t>
  </si>
  <si>
    <t>@drfahrettinkoca Italyada %86</t>
  </si>
  <si>
    <t>1462874737923829762</t>
  </si>
  <si>
    <t>@drfahrettinkoca Lütfen Ameliyathane Teknikeri bölümünü bi arastırın yılda kaç bin menzun verıyor alımına da bir ba… https://t.co/qMxKaKXQzE</t>
  </si>
  <si>
    <t>1468636063518371842</t>
  </si>
  <si>
    <t>@drfahrettinkoca Sayın Bakanım  Artık umudum kalmadı Size yazıyorum  belkı yazdıklarımı görürsünüz devletin hıcmı A… https://t.co/zTE2ALSlqY</t>
  </si>
  <si>
    <t>1468635168084738051</t>
  </si>
  <si>
    <t>@drfahrettinkoca 2022 de birdaha alim yapmamak icin sureci bukadar uzattiniz ki daha yeni atama yaptik bidaha yapam… https://t.co/supIiYo25S</t>
  </si>
  <si>
    <t>1465799856375713806</t>
  </si>
  <si>
    <t>@drfahrettinkoca ama yok fazla sıkıntı yapmayin hic biz atama bekleyenlerin uzerinde hic ailesel baski yok hic sosy… https://t.co/d3mJvb65xi</t>
  </si>
  <si>
    <t>1465799403676053515</t>
  </si>
  <si>
    <t>@drfahrettinkoca Yani bu ay derken hani kasım olan bu ay dimi araliga girdikte</t>
  </si>
  <si>
    <t>1465799074284814336</t>
  </si>
  <si>
    <t>@drfahrettinkoca İyi geceler Sayın Bakanım sizden ricam yarına güzel haber olarak Ameliyathane Teknikeri alımına 15… https://t.co/IFJm05kVCU</t>
  </si>
  <si>
    <t>1462523101909037060</t>
  </si>
  <si>
    <t>@drfahrettinkoca @gozdekirisciogl E hala hala hala yok.</t>
  </si>
  <si>
    <t>1467556045627305993</t>
  </si>
  <si>
    <t>@drfahrettinkoca Onu tercih bunu tercih.Sonra Türkiye sınırları icinde kalın.Yurtdişina çıkmak isterseniz 4. ve 5. Bioteck yaptirin.</t>
  </si>
  <si>
    <t>1463278193448792066</t>
  </si>
  <si>
    <t>@drfahrettinkoca @acıkögretimsınavlarıonlineolsun @AOFAnadolum @RTErdogan @tcmeb</t>
  </si>
  <si>
    <t>1463245418830209025</t>
  </si>
  <si>
    <t>@drfahrettinkoca Sayın bakanım ben pozitif vaka olarak evde karantinadayım, hafta sonu açıköğretim sınavları var ve… https://t.co/Jf5SxMFhKV</t>
  </si>
  <si>
    <t>1463243945148825608</t>
  </si>
  <si>
    <t>@drfahrettinkoca Başıboş #Kopeksorunu bir insan hakları sorunudur. Sokak köpekleri tarafından parçalanan insanların… https://t.co/GiJp2qS12n</t>
  </si>
  <si>
    <t>1469091344060723202</t>
  </si>
  <si>
    <t>@drfahrettinkoca Allahım sen bize espiri ve bilmece anlayışı olan bakanlar nasip et @ali88647703  #dolar14TL #Ohal</t>
  </si>
  <si>
    <t>1470518731377979396</t>
  </si>
  <si>
    <t>@drfahrettinkoca Size inanmiyoruz her seyiniz yalan</t>
  </si>
  <si>
    <t>1469200246421045249</t>
  </si>
  <si>
    <t>@drfahrettinkoca Hocam almanyada Ücüncü doz aşıyı voruyorlar. İlerde Dördüncü de gelecek diyor almanya sağlık Bakan… https://t.co/AnQNZ9WJBh</t>
  </si>
  <si>
    <t>1473101654262231052</t>
  </si>
  <si>
    <t>@drfahrettinkoca Hâlâ bu yalanlara inananlar var mı yaa. Flash tv oyuncuları gibi o kadar yapmacık ve yalan ki. Mah… https://t.co/wfDCqIXQnY</t>
  </si>
  <si>
    <t>1466826563551387655</t>
  </si>
  <si>
    <t>@drfahrettinkoca İnsanlara zorla aşı yaparken bu adam kim ki ben aşı olmam diyor,birde perde arkasındaki ilişkileri… https://t.co/nZI01JzrCP</t>
  </si>
  <si>
    <t>1467615602248499206</t>
  </si>
  <si>
    <t>@drfahrettinkoca Maşallah yoğun bakım yol geçen hani kamerayı kapan yoğun bakımda</t>
  </si>
  <si>
    <t>1467581562623569924</t>
  </si>
  <si>
    <t>@drfahrettinkoca Bence bu arkadaş siyasete girsin çenesi bayağı kuvvetli covit çenesine vurmamiş</t>
  </si>
  <si>
    <t>1467581399939137540</t>
  </si>
  <si>
    <t>@drfahrettinkoca @turhaldh https://t.co/JJkt94VoGr</t>
  </si>
  <si>
    <t>1467567414783135747</t>
  </si>
  <si>
    <t>@drfahrettinkoca Have u ever visited india</t>
  </si>
  <si>
    <t>1469796033295126530</t>
  </si>
  <si>
    <t>@drfahrettinkoca @eadksk I google translate this post ,May it be right💙💜💚💙💙 https://t.co/yQJK133Ogj</t>
  </si>
  <si>
    <t>1467185441203961863</t>
  </si>
  <si>
    <t>@drfahrettinkoca Fahrettin bırak artık mahvettin</t>
  </si>
  <si>
    <t>1473303780980662286</t>
  </si>
  <si>
    <t>@drfahrettinkoca Selam çakmayı umutmamışsın abilerine. Bugün cübbelide reklam talimatını yerine getirdi. Zaten bili… https://t.co/hdxivLPFcJ</t>
  </si>
  <si>
    <t>1473280884904271877</t>
  </si>
  <si>
    <t>@drfahrettinkoca Bu kadar göze sokmayın 6 ları. #turkiyeisgalediliyor</t>
  </si>
  <si>
    <t>1473219362375020547</t>
  </si>
  <si>
    <t>@drfahrettinkoca şeytana selamını çakmışsın niyetini bu kadar belli öleceksin fahrettin bari adam gibi yaşa öyle öl</t>
  </si>
  <si>
    <t>1473210143491960832</t>
  </si>
  <si>
    <t>@drfahrettinkoca Sana ve senin yanında olanlara hakkımı helal etmiyorum. Rabbim büyüktür elbet bu dünya da hesap vereceksiniz</t>
  </si>
  <si>
    <t>1473179279844421637</t>
  </si>
  <si>
    <t>@drfahrettinkoca Bu rakamlar diğer hayata yolculuğu hızlandırıyor sanki, öyle hissettim</t>
  </si>
  <si>
    <t>1473174965331636228</t>
  </si>
  <si>
    <t>@drfahrettinkoca Noldu hala aşıdan haber yok</t>
  </si>
  <si>
    <t>1469048982877966338</t>
  </si>
  <si>
    <t>@drfahrettinkoca @drkubraorman takipcisiyseniz niye biz bunu pratikte goremiyoruz hergün bir siddet haberiyle can g… https://t.co/jAyJcACdc0</t>
  </si>
  <si>
    <t>1467228612445327365</t>
  </si>
  <si>
    <t>@drfahrettinkoca Sizinde sonunuz görünüyor inşallah.</t>
  </si>
  <si>
    <t>1464343003485646856</t>
  </si>
  <si>
    <t>@drfahrettinkoca #sağlıkcıisbırakıyor</t>
  </si>
  <si>
    <t>1466490128529035264</t>
  </si>
  <si>
    <t>@drfahrettinkoca @sagliklicozum @saglikbakanligi sma lı bir bebeğin annesi intihar etti, görüşlerinizi almak istiyorum, saygılarımla.</t>
  </si>
  <si>
    <t>1462177749905326081</t>
  </si>
  <si>
    <t>@drfahrettinkoca Hadi be artık gelsin 🥺🥺🥺</t>
  </si>
  <si>
    <t>1469018023801593867</t>
  </si>
  <si>
    <t>@drfahrettinkoca Aynen şu korona kabusu bitsin artık</t>
  </si>
  <si>
    <t>1466847788738695177</t>
  </si>
  <si>
    <t>@drfahrettinkoca Fa. Koca 122 cm de açıklamayı kesmeniz beni üzdü 😭 Boyle önemli bir konuda 1 cm kadar tweet i tama… https://t.co/7Sn2qaoSCf</t>
  </si>
  <si>
    <t>1462515070634795023</t>
  </si>
  <si>
    <t>@drfahrettinkoca Bu ülkenin en tehlikeli ölümcül bulaşıcı, riskli insanların canına hayatına sağlığına kast eden te… https://t.co/tbZqWiFBnU</t>
  </si>
  <si>
    <t>1461843656873287687</t>
  </si>
  <si>
    <t>@drfahrettinkoca Ağam yoqsa bızle eylenirsen?</t>
  </si>
  <si>
    <t>1461842572557623298</t>
  </si>
  <si>
    <t>@drfahrettinkoca Hâlâ maval okuyor bakan efendi, tam Mazhar Osmanlık, bu millet aptal değil gözlerinin içine bakara… https://t.co/2jtiG5rJ5T</t>
  </si>
  <si>
    <t>1461841789334298624</t>
  </si>
  <si>
    <t>@drfahrettinkoca 🙄 https://t.co/0H2Zx51JU7</t>
  </si>
  <si>
    <t>1461839988329439232</t>
  </si>
  <si>
    <t>@drfahrettinkoca cevabı buldum en sonunda 121 cm 125 cm nin altında.</t>
  </si>
  <si>
    <t>1461836865594605574</t>
  </si>
  <si>
    <t>@drfahrettinkoca Üşenmeyip yazmış bir de..🙄</t>
  </si>
  <si>
    <t>1461831565424697348</t>
  </si>
  <si>
    <t>@drfahrettinkoca SİZLERİN BOZGUNCU OLDUĞUNU İNSANOĞLUNA BİLDİREN ALEMLERİN RABBİNE NE KADAR HAMD, ŞÜKRETSEK AZDIR.… https://t.co/DsLWqLnKGr</t>
  </si>
  <si>
    <t>1461829531241693188</t>
  </si>
  <si>
    <t>@drfahrettinkoca Bir kişi ilaç baronlarından aferin veya başka bişey almak için kendini niye bu gülünç duruma sokar… https://t.co/E0oqGI3yWu</t>
  </si>
  <si>
    <t>1461829375658242051</t>
  </si>
  <si>
    <t>@drfahrettinkoca Eyvah eyvah helalim ile beraber yatamayacağız demek ki…😁😁😁</t>
  </si>
  <si>
    <t>1461829065271353348</t>
  </si>
  <si>
    <t>@drfahrettinkoca Yahu bi susun bırakın korku pompalamayı.</t>
  </si>
  <si>
    <t>1461828516639657990</t>
  </si>
  <si>
    <t>@drfahrettinkoca Ekonomi virüsü, Covit-19 vürüsünü unutturdu.. 😂</t>
  </si>
  <si>
    <t>1461827574510854144</t>
  </si>
  <si>
    <t>@drfahrettinkoca Bakanım şu bizim 2 kalemde aldığımız maaşlara bi el atsanız sağlık personelinin yüzünü güldürseniz…</t>
  </si>
  <si>
    <t>1461826920933433347</t>
  </si>
  <si>
    <t>@drfahrettinkoca Kendime güvenim arttı.Ben de çok rahat bakan olabilirim.</t>
  </si>
  <si>
    <t>1461826008202551306</t>
  </si>
  <si>
    <t>@drfahrettinkoca Akıl tutulması hiç bir yere koyamadım nasıl mantık var anlayan anlatsın</t>
  </si>
  <si>
    <t>1461825932583387139</t>
  </si>
  <si>
    <t>@drfahrettinkoca https://t.co/UsXS3AqEPd</t>
  </si>
  <si>
    <t>1461825551195381768</t>
  </si>
  <si>
    <t>@drfahrettinkoca Toplu taşımada tıka basa yolcu almayı biliyorsunuz ama</t>
  </si>
  <si>
    <t>1461824440463933445</t>
  </si>
  <si>
    <t>@drfahrettinkoca ağzınızda maske damarlarınızda sizi hiçbirseyden korumayan iğne, aralarınızda ise sebepsizce mesaf… https://t.co/bCwvGGF5Tm</t>
  </si>
  <si>
    <t>1461823440315420673</t>
  </si>
  <si>
    <t>@drfahrettinkoca Seçtiğiniz kukla sizinle dalga geçiyor ve siz buna musade ediyorsunuz üstelik begeniyorsunuz size… https://t.co/NO7KM88gDe</t>
  </si>
  <si>
    <t>1461822847219900418</t>
  </si>
  <si>
    <t>@drfahrettinkoca Yuhh ben bunu ınsta da gördüm fake hesap atmış maytap geçiyor sanmıştım  gercekmiş yokkk artık 😀😀😀😀😀😀</t>
  </si>
  <si>
    <t>1461822665036021769</t>
  </si>
  <si>
    <t>@drfahrettinkoca Bu gün yine başkaları için utandık.</t>
  </si>
  <si>
    <t>1461821086312640524</t>
  </si>
  <si>
    <t>@drfahrettinkoca Virüs servo motor gibi 150 santimi bir milim aşmıyor. Çok hassas.😀</t>
  </si>
  <si>
    <t>1461819999241256962</t>
  </si>
  <si>
    <t>@drfahrettinkoca Sağlık bakanı değil bildiğin ruh hastası</t>
  </si>
  <si>
    <t>1461818192720973828</t>
  </si>
  <si>
    <t>@drfahrettinkoca Bununla mı gezelim? https://t.co/Vf6zf8m7S3</t>
  </si>
  <si>
    <t>1461816949399298058</t>
  </si>
  <si>
    <t>@drfahrettinkoca Bilimde son nokta 😀😀</t>
  </si>
  <si>
    <t>1461816445696978948</t>
  </si>
  <si>
    <t>@drfahrettinkoca Keçileri saymaya gel çoğaldı bakanım sizinkiler galiba kaçmış sahip çıkın bence</t>
  </si>
  <si>
    <t>1461815576330919938</t>
  </si>
  <si>
    <t>@drfahrettinkoca Eror !!!!!!</t>
  </si>
  <si>
    <t>1461815569238351875</t>
  </si>
  <si>
    <t>@drfahrettinkoca Bu ne deli saçması bir tiwit yaa düş yakamızdan sana kalmamış ben komşumdan corana da alırım uyuzd… https://t.co/cdFBenyvj9</t>
  </si>
  <si>
    <t>1461815146649726979</t>
  </si>
  <si>
    <t>@drfahrettinkoca TV lerde diziler üst üste alt alta sabah ları metroya binemiyoruz vatandaşlarda makam aracı var za… https://t.co/7m6HuXI2RP</t>
  </si>
  <si>
    <t>1461813939839410176</t>
  </si>
  <si>
    <t>@drfahrettinkoca Şaka mı bu tweet ??</t>
  </si>
  <si>
    <t>1461813419229786122</t>
  </si>
  <si>
    <t>@drfahrettinkoca Tam okumalık olmuş benden demesi</t>
  </si>
  <si>
    <t>1461812506243084289</t>
  </si>
  <si>
    <t>@drfahrettinkoca Bu şahsiyet ne derse tersini yapın. İki senedir millete geri zekalı muamelesi yapıyorlar. Ağam bizimle yine eğleniyir.</t>
  </si>
  <si>
    <t>1461812223605714952</t>
  </si>
  <si>
    <t>@drfahrettinkoca tm</t>
  </si>
  <si>
    <t>1461810724120973317</t>
  </si>
  <si>
    <t>@drfahrettinkoca Bu normal bir tweet değil araştırılmalı</t>
  </si>
  <si>
    <t>1461810448962146305</t>
  </si>
  <si>
    <t>@drfahrettinkoca Komedi dükkanı...</t>
  </si>
  <si>
    <t>1461810438715359234</t>
  </si>
  <si>
    <t>@drfahrettinkoca Sosyal mesafeni al git katıldığın partilerde uygula maskeli Fahrettin koca</t>
  </si>
  <si>
    <t>1461810421409751040</t>
  </si>
  <si>
    <t>@drfahrettinkoca 🤣bu ne ya 😂</t>
  </si>
  <si>
    <t>1461810270301564943</t>
  </si>
  <si>
    <t>@drfahrettinkoca Ebeni seveyim, sülaleni seveyim fahrettin. İyi ki seni dünyaya getirmişler.</t>
  </si>
  <si>
    <t>1461809311005515785</t>
  </si>
  <si>
    <t>@drfahrettinkoca Bu millete bu bakan,tencere kapak gibi olmuş.</t>
  </si>
  <si>
    <t>1461809152720883719</t>
  </si>
  <si>
    <t>@drfahrettinkoca şaka mı bu paylaşım</t>
  </si>
  <si>
    <t>1461808961259282438</t>
  </si>
  <si>
    <t>@drfahrettinkoca Boş vaktim çok olunca ben☝🏼</t>
  </si>
  <si>
    <t>1461808783680839680</t>
  </si>
  <si>
    <t>@drfahrettinkoca Trolmü bu şakamı ??</t>
  </si>
  <si>
    <t>1461808605993316359</t>
  </si>
  <si>
    <t>@drfahrettinkoca Bu ne ya delirdinizmi siz  allahim akil ihsan eyle</t>
  </si>
  <si>
    <t>1461808501261586435</t>
  </si>
  <si>
    <t>@drfahrettinkoca Fahrettin bey iyi misiniz? Acaba diyorum, bir uzmana mı görünseniz? Lütfen gücenmeyin, herkes zama… https://t.co/3YxGBgjgL5</t>
  </si>
  <si>
    <t>1461808417845166085</t>
  </si>
  <si>
    <t>@drfahrettinkoca Ya bi defol git kabus gibisin senden nefret ediyorum</t>
  </si>
  <si>
    <t>1461808067079716865</t>
  </si>
  <si>
    <t>@drfahrettinkoca https://t.co/SFFwF6MeXN</t>
  </si>
  <si>
    <t>1461807891338481670</t>
  </si>
  <si>
    <t>@drfahrettinkoca Sayın bakan @drfahrettinkoca . Senin Bakırköy'ü ziyaret etmen farz olmuş gibi. Geciktirmeden bu zi… https://t.co/Ad17AJ3Q8U</t>
  </si>
  <si>
    <t>1462193868263280640</t>
  </si>
  <si>
    <t>@drfahrettinkoca Bu boş ölçüleri bırakın sayın pakan bey, yerin 200 cm.altında yatanları konuşalım</t>
  </si>
  <si>
    <t>1462181466599796736</t>
  </si>
  <si>
    <t>@drfahrettinkoca 149,1 cm olsa ne olur? Kurtarır mı?</t>
  </si>
  <si>
    <t>1462179563073687554</t>
  </si>
  <si>
    <t>@drfahrettinkoca Bu twiti gerçekten attin yani. Pes diyorum başka da birşey demiyorum. Hâlâ insanların aklıyla oynuyorsun.</t>
  </si>
  <si>
    <t>1462175548575297539</t>
  </si>
  <si>
    <t>@drfahrettinkoca Migdem bulaniyor sizden.sayenizde hiç bir doktora ve hiç bir hastaneye guvenmiyoruz.lanet olsun si… https://t.co/qWVf9pURO5</t>
  </si>
  <si>
    <t>1462169810767384591</t>
  </si>
  <si>
    <t>@drfahrettinkoca Fotoğrafı paylaşılmıştı, fake diye düşündüm. İnanmadım arttım. Ve şimdi de doğru olduğuna inanamad… https://t.co/PeNLClEO1N</t>
  </si>
  <si>
    <t>1462167797715324928</t>
  </si>
  <si>
    <t>@drfahrettinkoca Hocam mesafenin boyu değil de işlevi önemli değil mi ?</t>
  </si>
  <si>
    <t>1462165379963305987</t>
  </si>
  <si>
    <t>@drfahrettinkoca Ben bu tweeti ciddiye alıp mezurayla dolaşacak kendilerinden başka herkesi cahil bilen bilimkolikl… https://t.co/EpGKCc1xx4</t>
  </si>
  <si>
    <t>1462161736354643973</t>
  </si>
  <si>
    <t>@drfahrettinkoca Elimizde bir Koz var😅 Yakalanmamak gibi. Bunlar fasa fiso Sayın Bakan!</t>
  </si>
  <si>
    <t>1462138399574405129</t>
  </si>
  <si>
    <t>@drfahrettinkoca 90 bin kişilik konser düzenle mesafe arama ama camiye ibadete 1.5 m sosyal mesafe koy ne imansız v… https://t.co/r2dqljVuJm</t>
  </si>
  <si>
    <t>1462135132303863811</t>
  </si>
  <si>
    <t>@drfahrettinkoca Sonunda oldu, maske mesafe huni, 1,2,3,bakırköy yolcusu kalmasın, haydi kalkıyor delüler otbüsü..😜😂😜😅🤣😜</t>
  </si>
  <si>
    <t>1462125491352227848</t>
  </si>
  <si>
    <t>@drfahrettinkoca Dayı, bitirdin bizi yeminle</t>
  </si>
  <si>
    <t>1462123270107549706</t>
  </si>
  <si>
    <t>@drfahrettinkoca sayın bakan,  Camilerde""safları sıkıştıralım"" talimatını neye göre verdiniz ? Mesafe yaklaştıkca… https://t.co/U7Xfa5pR8M</t>
  </si>
  <si>
    <t>1462112695432396807</t>
  </si>
  <si>
    <t>@drfahrettinkoca Beyin olay yerini terk etmiş.</t>
  </si>
  <si>
    <t>1462109572441776138</t>
  </si>
  <si>
    <t>@drfahrettinkoca Ya bi git ya.  Yaptini cocuk yapmaz artik kimse inanmiyor sana. Popülerliğin düştü iyice</t>
  </si>
  <si>
    <t>1462108783044399108</t>
  </si>
  <si>
    <t>@drfahrettinkoca Aklımızla alay ediii , ağam 😂😂😂</t>
  </si>
  <si>
    <t>1462106886631796751</t>
  </si>
  <si>
    <t>@drfahrettinkoca Sayın Bakanım Özel Sektörde Çalışan Hamile bayanların Bebeklerinide Düşünün Lütfen Onlarda Canlı 🙏🙏🙏</t>
  </si>
  <si>
    <t>1469005319934255115</t>
  </si>
  <si>
    <t>@drfahrettinkoca @Alevleventoglu Hakkım helal etmiyorum size bakan bey bu virüs öyle bir lanse ediniz ki her kes  b… https://t.co/WfVVsaqEpn</t>
  </si>
  <si>
    <t>1473224757290147840</t>
  </si>
  <si>
    <t>@drfahrettinkoca Allaaaah belaaanı veersinnnnn</t>
  </si>
  <si>
    <t>1469081255853625354</t>
  </si>
  <si>
    <t>@drfahrettinkoca Allah'ım şahadetilerini kabul Makamları Cennet olsun. #VatanSağolsun..  Aile,arkadaş ve dostları'n… https://t.co/CfqrFkuAmc</t>
  </si>
  <si>
    <t>1469071459666604042</t>
  </si>
  <si>
    <t>@drfahrettinkoca Aşı olsaydı şehit olmazdı yazmamıssin iyiki yaparsın çünkü sen onu. Nasil komutladilarsa öyle deva… https://t.co/Ggokceks1f</t>
  </si>
  <si>
    <t>1469061363486146568</t>
  </si>
  <si>
    <t>@drfahrettinkoca https://t.co/6sYtcIyyqc</t>
  </si>
  <si>
    <t>1469055205031489546</t>
  </si>
  <si>
    <t>@drfahrettinkoca 🤲🇹🇷🤲 https://t.co/nwKZThBbFx</t>
  </si>
  <si>
    <t>1469050883967176710</t>
  </si>
  <si>
    <t>1469049450303823879</t>
  </si>
  <si>
    <t>@drfahrettinkoca Allah rahmet eylesin ruhları şad olsun</t>
  </si>
  <si>
    <t>1469049319806353412</t>
  </si>
  <si>
    <t>@drfahrettinkoca Allah cc rahmet eylesin başımız sağ olsun</t>
  </si>
  <si>
    <t>1469047231554666503</t>
  </si>
  <si>
    <t>@drfahrettinkoca Mevlam gani, gani rahmet etsin, kabirleri nur dolsun, makamları cennet olsun.</t>
  </si>
  <si>
    <t>1469045873556561921</t>
  </si>
  <si>
    <t>@drfahrettinkoca Allah rahmet eylesin mekanlari cennet olsun</t>
  </si>
  <si>
    <t>1469045204355371015</t>
  </si>
  <si>
    <t>@drfahrettinkoca Ası güzellemelerinden sonra şimdimi aklınıza geldi şehitlerimiz..Zoraki paylaşımlar  bunlar  sayın… https://t.co/ZsPlHaLxY2</t>
  </si>
  <si>
    <t>1469037111890300931</t>
  </si>
  <si>
    <t>@drfahrettinkoca Mekanları cennet olsun</t>
  </si>
  <si>
    <t>1469034641977925636</t>
  </si>
  <si>
    <t>@drfahrettinkoca Allah rahmet eylesin mekanları cennet olsun.</t>
  </si>
  <si>
    <t>1469026138773245958</t>
  </si>
  <si>
    <t>@drfahrettinkoca Başımız sağolsun Allah sabir versin Allah rahmet eylesin mekanı cennet olsun ailesinin başı sağolsun</t>
  </si>
  <si>
    <t>1469025574312366080</t>
  </si>
  <si>
    <t>@drfahrettinkoca Atamadığınız her Allah'ın günü attığınız her  tweeten altından yorumumu (ölüm kalım olmazsa) eksik… https://t.co/5hZM3PZ9pZ</t>
  </si>
  <si>
    <t>1469024773283979269</t>
  </si>
  <si>
    <t>@drfahrettinkoca ALLAH rahmet eylesin mekanı cennet olsun</t>
  </si>
  <si>
    <t>1469023405521440768</t>
  </si>
  <si>
    <t>@drfahrettinkoca Sma hastası olan 3 ay yaşındaki çocuk ayaklarını ve vücudunun birçok yerini hareket ettiremiyor..l… https://t.co/skRhQFooY3</t>
  </si>
  <si>
    <t>1469020793220829191</t>
  </si>
  <si>
    <t>@drfahrettinkoca Sma hastası olan 3 ay yaşındaki çocuk ayaklarını ve vücudunun birçok yerini hareket ettiremiyor..l… https://t.co/bdAUt1Ue5d</t>
  </si>
  <si>
    <t>1469020160543674370</t>
  </si>
  <si>
    <t>@drfahrettinkoca https://t.co/bZZdQdXrIZ https://t.co/q0akrq4yYt https://t.co/0Yjr8QCG8M https://t.co/vh9ekZGLbF… https://t.co/Wt6nywyflK</t>
  </si>
  <si>
    <t>1469020156072452098</t>
  </si>
  <si>
    <t>@drfahrettinkoca Sağlıkçı Arkadaşlar ÖSYM sitesinde kılavuzu tercih tarihini görmek istiyor.</t>
  </si>
  <si>
    <t>1469020129241579525</t>
  </si>
  <si>
    <t>@drfahrettinkoca https://t.co/bZZdQdXrIZ https://t.co/q0akrq4yYt https://t.co/0Yjr8QCG8M https://t.co/vh9ekZGLbF… https://t.co/tSEfMLR27I</t>
  </si>
  <si>
    <t>1469020114888581127</t>
  </si>
  <si>
    <t>@drfahrettinkoca Her ise karisma olur mu sen. Reis kızıyor sonra 83 milyonun karşısında, biz senin yerine utanıyoru… https://t.co/cwJSUE0cYm</t>
  </si>
  <si>
    <t>1469019504801947657</t>
  </si>
  <si>
    <t>@drfahrettinkoca Senin cennetinle bizim cennetimiz aynı mı ki?.Bu millete bu kadar zulmü reva görenler bizden olamaz.</t>
  </si>
  <si>
    <t>1469019269761490954</t>
  </si>
  <si>
    <t>@drfahrettinkoca Âmin</t>
  </si>
  <si>
    <t>1469019119962017793</t>
  </si>
  <si>
    <t>@drfahrettinkoca Başımız sagolsun Türkiye mekanı cennet olsun</t>
  </si>
  <si>
    <t>1469018853510365192</t>
  </si>
  <si>
    <t>@drfahrettinkoca O cenazeler bütün türk milletinin evinden çıkıyor</t>
  </si>
  <si>
    <t>1469018587859927053</t>
  </si>
  <si>
    <t>1469018343499833345</t>
  </si>
  <si>
    <t>1469018261178232835</t>
  </si>
  <si>
    <t>@drfahrettinkoca Ruhları şad olsun şehitlerimizin</t>
  </si>
  <si>
    <t>1469017670490198019</t>
  </si>
  <si>
    <t>@drfahrettinkoca Şehidimize Allahtan rahmet kalanlara sabır diliyorum. Bizi bu tweetin altına bile kılavuzu soracak… https://t.co/kKhQ4q9INj</t>
  </si>
  <si>
    <t>1469017648352698381</t>
  </si>
  <si>
    <t>@drfahrettinkoca Şehitler Ölmez, Vatan Bölünmez</t>
  </si>
  <si>
    <t>1469017262036336643</t>
  </si>
  <si>
    <t>@drfahrettinkoca https://t.co/QWZwRjCqiW</t>
  </si>
  <si>
    <t>1469017140053348355</t>
  </si>
  <si>
    <t>@drfahrettinkoca Allah Rahmet eylesin mekanları cennet olsun inşallah</t>
  </si>
  <si>
    <t>1469017128925868043</t>
  </si>
  <si>
    <t>@drfahrettinkoca 🤲🙏</t>
  </si>
  <si>
    <t>1469017118490382349</t>
  </si>
  <si>
    <t>@drfahrettinkoca Klavuzzzzz</t>
  </si>
  <si>
    <t>1469016635164004354</t>
  </si>
  <si>
    <t>@drfahrettinkoca Allah rahmet eylesin mekanı cennet olsun inşallah ailesine sabırlar versin inşallah allahım şehitler  olmez</t>
  </si>
  <si>
    <t>1469016613454286855</t>
  </si>
  <si>
    <t>1469016600317677569</t>
  </si>
  <si>
    <t>@drfahrettinkoca Rabbim mekanı cennet eylesin inşallah ailesine Allah tan sabır diliyoruz</t>
  </si>
  <si>
    <t>1469016485024698377</t>
  </si>
  <si>
    <t>@drfahrettinkoca 🇹🇷❤️🙏</t>
  </si>
  <si>
    <t>1469016410139643905</t>
  </si>
  <si>
    <t>1469016399897112576</t>
  </si>
  <si>
    <t>1469016357043908615</t>
  </si>
  <si>
    <t>@drfahrettinkoca @drfahrettinkoca @RTErdogan  siz nasıl insanlarsınız hayatımızı kararttınız gençliğimizi  kanımızı… https://t.co/UHO8Fu9Ftl</t>
  </si>
  <si>
    <t>1469771932031766530</t>
  </si>
  <si>
    <t>@drfahrettinkoca Allah’tan #şehitlerimize rahmet, #milletimize sabır, #devletimize güç, kuvvet, sabır niyaz ediyorum… #Vatansağolsun</t>
  </si>
  <si>
    <t>1469386187869769730</t>
  </si>
  <si>
    <t>@drfahrettinkoca Bütün öğrenci ve öğretmenlerin covid19 olmasını mı bekliyorsunuz? ÖNLEM YOK TEDBİR YOK 3. doz aşılar da açılmadı</t>
  </si>
  <si>
    <t>1469363473155039234</t>
  </si>
  <si>
    <t>@drfahrettinkoca 3. doz aşılarımızı açın da lütfen aşı olalım. aşı diyorsunuz hani aşı  açın artık madem</t>
  </si>
  <si>
    <t>1469361466318987273</t>
  </si>
  <si>
    <t>@drfahrettinkoca Allah rahmet etsin mekânları cennet olsun inşallah</t>
  </si>
  <si>
    <t>1469351633205309441</t>
  </si>
  <si>
    <t>@drfahrettinkoca Sn. @drfahrettinkoca  Hatun Daldal isimli bu hastaya bugün çam sakura şehir hastahanesi B. Blok Ac… https://t.co/fC8toLBIZh</t>
  </si>
  <si>
    <t>1469346757574283270</t>
  </si>
  <si>
    <t>@drfahrettinkoca Sn. @drfahrettinkoca  Hatun Daldal isimli bu hastaya bugün çam sakura şehir hastahanesi B. Blok Ac… https://t.co/c7b9MJg2WB</t>
  </si>
  <si>
    <t>1469346567689801739</t>
  </si>
  <si>
    <t>@drfahrettinkoca Allah c.c rahmet eylesin mekânları  cennet olsun inşaAllah.  Aileleri ve Yüce Türk milletine sabır… https://t.co/kL70BxxXI9</t>
  </si>
  <si>
    <t>1469345141894885382</t>
  </si>
  <si>
    <t>@drfahrettinkoca Sayın bakanım eyer bu twitimi görüyorsanız lütfen ama lütfen bana ulaşın mardin devlet hastanesind… https://t.co/Vhsu5AJqV6</t>
  </si>
  <si>
    <t>1469334680914874372</t>
  </si>
  <si>
    <t>@drfahrettinkoca "Birisi önümüzdeki birkaç yıl içinde dünya nüfusunun önemli bir bölümünü öldürmek isterse, şu anda… https://t.co/L3csYYvbnB</t>
  </si>
  <si>
    <t>1469327067716014087</t>
  </si>
  <si>
    <t>@drfahrettinkoca Herkesi aşıladınız şimdi sıra mallarımızı el koyma mı başladınız sakın mallarınızı satmayın dikkat… https://t.co/cflqrunm5e</t>
  </si>
  <si>
    <t>1469314930872569856</t>
  </si>
  <si>
    <t>@drfahrettinkoca Maskenizi bir dakika boyunca taktığınızda oksijen seviyenize olan şey budur.  İnsanlardan sokakta… https://t.co/WRrDXINUmA</t>
  </si>
  <si>
    <t>1469305315875246092</t>
  </si>
  <si>
    <t>@drfahrettinkoca Kılavuz ne zaman gelecek sayın bakanım alımı 2 ye mi böleceksiniz birde geniş çaplı dediğiniz bu mu yahu</t>
  </si>
  <si>
    <t>1469297889239351298</t>
  </si>
  <si>
    <t>@drfahrettinkoca Sayın bakanım siz atama bekleyen bi sağlıkçıların tüh sağlığını bozdunuz ciddi anlamda</t>
  </si>
  <si>
    <t>1469297748784693256</t>
  </si>
  <si>
    <t>@drfahrettinkoca Bu sporcuların hepsi aşılandı. Gerçeği gizleyemezsiniz.  #HesapVereceksiniz #fahrettinkocaistifa… https://t.co/gjuUqjBO0P</t>
  </si>
  <si>
    <t>1469297086298472454</t>
  </si>
  <si>
    <t>@drfahrettinkoca İngiliz avukatlar şimdi de İngiliz hükümetini covid için uluslararası ceza mahkemesine götürdü. Nü… https://t.co/Qn84FT954R</t>
  </si>
  <si>
    <t>1469292671957151751</t>
  </si>
  <si>
    <t>@drfahrettinkoca Sayın @RTErdogan  saglik bakanlığına 40.000 personel istihdam sözünü verdiniz ama henüz hareket ge… https://t.co/xc07aXTehn</t>
  </si>
  <si>
    <t>1469284501075464198</t>
  </si>
  <si>
    <t>@drfahrettinkoca Sayın bakan 2021 yılında bir atama yapacaktınız! Yılın bitmesine son 20 gün belki tarihten haberin… https://t.co/3Vi8xHPCk8</t>
  </si>
  <si>
    <t>1469277340589035527</t>
  </si>
  <si>
    <t>@drfahrettinkoca Sayın bakanım sağlık bakanlığından bebeğimiz için aşısı var oğlum Bilal Hamza elerji olduğu için r… https://t.co/kCGXfwdiTF</t>
  </si>
  <si>
    <t>1469241989958930442</t>
  </si>
  <si>
    <t>@drfahrettinkoca Rabbim Hazreti Muhammed (sallallahu eleyhi ve sellem) e komşu eylesin mekanları cennet olsun. Aile… https://t.co/ZK0pq40i60</t>
  </si>
  <si>
    <t>1469232456888950787</t>
  </si>
  <si>
    <t>@drfahrettinkoca رحمهم الله وجعل مثواهم الجنه وحشرهم مع الشهداء الصديقين</t>
  </si>
  <si>
    <t>1469224270207533056</t>
  </si>
  <si>
    <t>@drfahrettinkoca Allah rahmet eylesin mekanları cennet olsun inşallah</t>
  </si>
  <si>
    <t>1469212211239395329</t>
  </si>
  <si>
    <t>@drfahrettinkoca İyi Seyirler Türkiye https://t.co/7CcpcD6Ipv</t>
  </si>
  <si>
    <t>1469211446416453634</t>
  </si>
  <si>
    <t>@drfahrettinkoca Duanıza gönülden sonsuz amin Sayın @drfahrettinkoca Bakanım. Kahraman şehidimizi Hz. Muhammed (S.A… https://t.co/V0YC8pufwk</t>
  </si>
  <si>
    <t>1469211063241613321</t>
  </si>
  <si>
    <t>1469210771502604291</t>
  </si>
  <si>
    <t>@drfahrettinkoca Allahım rahmet eylesin mekanları cennet olsun inşallah</t>
  </si>
  <si>
    <t>1469202594715389952</t>
  </si>
  <si>
    <t>@drfahrettinkoca Amin, Türkiye nin başı sağolsun 🇹🇷🇹🇷🇹🇷👍</t>
  </si>
  <si>
    <t>1469199499344154628</t>
  </si>
  <si>
    <t>@drfahrettinkoca Sizin bu konuda bir hazırlığınız varmı! https://t.co/T7d8qJ9Jbv</t>
  </si>
  <si>
    <t>1465466064297414668</t>
  </si>
  <si>
    <t>@drfahrettinkoca Sayın Bakanım Kolay Gelsin. Size tekrar 🔂 ricam: Mersin’de yaşayan Biyosidal Mes. Md.’üm. Tam zama… https://t.co/euRKkNUThE</t>
  </si>
  <si>
    <t>1465464716197830660</t>
  </si>
  <si>
    <t>@drfahrettinkoca tedbir tehlike gelince değil ona önlem ve etkisi en minimum seviyeye insan diye alınır dünyadaki O… https://t.co/DFRGPfAg8G</t>
  </si>
  <si>
    <t>1465463992701366275</t>
  </si>
  <si>
    <t>@drfahrettinkoca bu eylül ayı sonuna doğru 36M Euro rüşvet alan bürokratlar, uzman hekimler vardı. Ne oldu o iş. Aç… https://t.co/iJsQ3oyHi2</t>
  </si>
  <si>
    <t>1465463237139480577</t>
  </si>
  <si>
    <t>@drfahrettinkoca @saglikbakanligi @haluklevent @ahbapplatformu @Haydi_Ahbap @Ahbap_Medya @gulbenergen @acunilicali… https://t.co/kqEubHsdVG</t>
  </si>
  <si>
    <t>1465446433184698371</t>
  </si>
  <si>
    <t>@drfahrettinkoca @saglikbakanligi @sagliklicozum @tcailesosyal https://t.co/Rv8ew25rEO</t>
  </si>
  <si>
    <t>1465444568137093120</t>
  </si>
  <si>
    <t>RT @LarTutunamayan: @drfahrettinkoca Bu kasıt değilde nedir ? https://t.co/EhzvLaiNhc</t>
  </si>
  <si>
    <t>1470543360691736584</t>
  </si>
  <si>
    <t>RT @sevgiyucelir: @drfahrettinkoca Birde size sevinçli haber vereyim, bakın Mevaya yüzde kaça gelmis.Allah izin verirse ilacınıda alır,iyil…</t>
  </si>
  <si>
    <t>1470543355083952133</t>
  </si>
  <si>
    <t>RT @LarTutunamayan: @drfahrettinkoca Bu kasıt degilde nedir ? https://t.co/GSTjmlQa9O</t>
  </si>
  <si>
    <t>1470542855647207425</t>
  </si>
  <si>
    <t>RT @MuzafarMuratov: @drfahrettinkoca Sonuçlarını bilmediğin sıvıyı enjekte ettin bu millete. Türk milleti seni asla unutmayacak. https://t.…</t>
  </si>
  <si>
    <t>1470539847483985923</t>
  </si>
  <si>
    <t>RT @alpunlumersin: @drfahrettinkoca Yanlış tedavi yöntemleri olan Dsö nün Bill Gatesin Biontecin protokolünü uygulayıp öldürdüğünüz  binler…</t>
  </si>
  <si>
    <t>1470539831679852555</t>
  </si>
  <si>
    <t>RT @bypipo82: @drfahrettinkoca Sizlerin engin ve derin tecrübelerinize inanarak evladıma bırak ismi cismi türevi ne olursa olsun sıvılarını…</t>
  </si>
  <si>
    <t>1470539818472022021</t>
  </si>
  <si>
    <t>RT @EE20356218: @drfahrettinkoca O zaman bir an önce çocuklarının sağlığı içün korku duyan annelerin size çağrısını duyun.Bir an önce istey…</t>
  </si>
  <si>
    <t>1470539793666879488</t>
  </si>
  <si>
    <t>RT @GnlAyyldz2: @drfahrettinkoca Telafisi olan hatalar affedilir ya telafisi yoksa o zaman aldığınız ahlar ah o ahlar</t>
  </si>
  <si>
    <t>1470539775627124740</t>
  </si>
  <si>
    <t>RT @LarTutunamayan: @drfahrettinkoca Hakımız helal degildir,yatacak yeriniz yoktur 7 cediniz kan kussun halka yaptığınız gibi,halkın kanınd…</t>
  </si>
  <si>
    <t>1470539766139699201</t>
  </si>
  <si>
    <t>RT @ozlllem7: @drfahrettinkoca Şu anda sağanak yağmur var. Çocuklar sınıflara hapis oldular. Madem kalabalıkta durmayın diyorsun bu ne teza…</t>
  </si>
  <si>
    <t>1470538711423242249</t>
  </si>
  <si>
    <t>@drfahrettinkoca DUS (Diş hekimliği Uzmanlık Sınavı), TUS gibi yılda 2 kez yapılmalı ve doktora kontenjanlarına sın… https://t.co/RswuVKMwYU</t>
  </si>
  <si>
    <t>1470538710278197253</t>
  </si>
  <si>
    <t>@drfahrettinkoca  @BilimKurulu_  Sizde bu şahısla aynı fikirdesiniz değilmi? 👇 https://t.co/EtGjMSgEnz</t>
  </si>
  <si>
    <t>1470537272248393728</t>
  </si>
  <si>
    <t>RT @MrWoland8: @drfahrettinkoca Ne aşı yahu Allah'tan kork . Biz aşı olmadık hanımla gayet kolay geçirdik. Aşılı arkadaşım kendi ve iki kız…</t>
  </si>
  <si>
    <t>1470536131863265282</t>
  </si>
  <si>
    <t>1470535723006758913</t>
  </si>
  <si>
    <t>RT @Orhan34441: @drfahrettinkoca Tezim ilk olarak elinize ulaştığında ne cevap vermiştiniz sayın bakanım? Hatırladınız mı?</t>
  </si>
  <si>
    <t>1470535089314582530</t>
  </si>
  <si>
    <t>RT @CemilCan5834: @drfahrettinkoca Direk ekran görüntüsü alın arkadaşlr  lazım olucak Bu tweet herseye yeterli gelir, sporcular ünlüler kal…</t>
  </si>
  <si>
    <t>1470534881801379841</t>
  </si>
  <si>
    <t>1470534115350953984</t>
  </si>
  <si>
    <t>@drfahrettinkoca  darısı size. Bu kadar insanın hayatını tehlikeye soktunuz. öyle helallikle falan bu işten kurtula… https://t.co/yxwR36HTVR</t>
  </si>
  <si>
    <t>1470533182990831618</t>
  </si>
  <si>
    <t>RT @Dr_Uysal18: @drfahrettinkoca Sn Bakan, Sağlık alanında profesyonel eğitim almış, Sağlık Yönetimi mezunlarına devletimizin kadro vermesi…</t>
  </si>
  <si>
    <t>1470532764751568899</t>
  </si>
  <si>
    <t>RT @BlentDanman3: @drfahrettinkoca Sayın Bakanım Bugün kızımın Okmeydanı SSK Hastahanesinde ameliyatı vardı sıra bize geldi çocuğun ameliya…</t>
  </si>
  <si>
    <t>1470531616426676235</t>
  </si>
  <si>
    <t>RT @KularSeref: @drfahrettinkoca Herseyi geçtim Çocukların gizlice aşı olmasına bile soruşturmayı bırak 1 kelam etmediniz belki bu işe orta…</t>
  </si>
  <si>
    <t>1470531531332591627</t>
  </si>
  <si>
    <t>1470530949960159232</t>
  </si>
  <si>
    <t>RT @HBYS_PLATFORMU: @drfahrettinkoca #hbys ihalesiyle çalışan 696khkda dışlanan bilgiişlem personelleri4d sürekliişçi kadrosunun açıklanmas…</t>
  </si>
  <si>
    <t>1470530365433520129</t>
  </si>
  <si>
    <t>RT @irfanalgul: @drfahrettinkoca En baştan beri söylediklerinizi sırayla yeniden kontrol etmenizi öneririz, hep bir öncekini yalanladı yapı…</t>
  </si>
  <si>
    <t>1470529340483985411</t>
  </si>
  <si>
    <t>RT @beko_bekous: @drfahrettinkoca Bak FDAin, Pfizer mRNA aşısının kullanıldığı ilk ayda;  160.000 yan etki, 1223 ölüm. 270 çocuk düşürme  2…</t>
  </si>
  <si>
    <t>1470529328437997574</t>
  </si>
  <si>
    <t>1470529306325565440</t>
  </si>
  <si>
    <t>RT @ozeroznuurr: @drfahrettinkoca Bizim atanabilmek için daha ne yapmamız gerekiyor ya yeter artık 100 tam puan mı almak lazım kamuda görev…</t>
  </si>
  <si>
    <t>1470527752419921922</t>
  </si>
  <si>
    <t>RT @ebruern: @drfahrettinkoca Bile bile ve önlem almadan  çocuklarımız tedbirsiz okullara gitmeye zorlanıyor.Hızlı test yok seyreltme yok.T…</t>
  </si>
  <si>
    <t>1470526674206965766</t>
  </si>
  <si>
    <t>RT @EymenGoker: @drfahrettinkoca Affetmiyoruz !</t>
  </si>
  <si>
    <t>1470526398213275650</t>
  </si>
  <si>
    <t>@drfahrettinkoca siz hala aşı demeye devam mı😡 https://t.co/VbRFzYgmZP</t>
  </si>
  <si>
    <t>1470524161625841665</t>
  </si>
  <si>
    <t>RT @Fatih27363711: @drfahrettinkoca Ölüm sayıları geçen yılla aynı https://t.co/N4KEiSskw7çen yıllarda bu ölüm sayısına kıyameti koparmıştı…</t>
  </si>
  <si>
    <t>1470523860541915140</t>
  </si>
  <si>
    <t>RT @Fizyoo2: @drfahrettinkoca Bizim bu ülke için vasfimiz ne?  Bizler zamanında tıp i tercih etmeyip bu bölüme gelen insanlarız ve  elimizd…</t>
  </si>
  <si>
    <t>1470523674113585159</t>
  </si>
  <si>
    <t>1470522787945140232</t>
  </si>
  <si>
    <t>RT @BEytader: @drfahrettinkoca Masallah 🧿🧿🧿🧿 Elhamdulillah 🤲🤲🤲🤲🤲🤲 Ya Safi</t>
  </si>
  <si>
    <t>1470522595917406215</t>
  </si>
  <si>
    <t>1470522066697076739</t>
  </si>
  <si>
    <t>RT @Gunesii78: @drfahrettinkoca Ne zaman doğru olani yapip online geçeceksiniz acaba kaç arkadaşım Corona oldu yurtlar zaten berbat halde d…</t>
  </si>
  <si>
    <t>1470521027251822600</t>
  </si>
  <si>
    <t>RT @mer64765933: @drfahrettinkoca Hastanelerde yoğun bakım odaları full dolu.!! Hastane önleri full dolu. Bütün ülkeler ayağa kalkmış,siz h…</t>
  </si>
  <si>
    <t>1470519389132922884</t>
  </si>
  <si>
    <t>RT @yedekhesapflm: @drfahrettinkoca Dalga mı geçiyorsun canım #TBMMsağlıkicinonlineeğitim</t>
  </si>
  <si>
    <t>1470519275316260878</t>
  </si>
  <si>
    <t>RT @JiGeLL_: @drfahrettinkoca Oo, 18 bin vaka, korona bitmiş, çıkartın maskeleri, arkadaş nedir bu vaka sayıları? Sanki KoronaVirüs bitti.</t>
  </si>
  <si>
    <t>1470519252755046407</t>
  </si>
  <si>
    <t>RT @followbanee: @drfahrettinkoca Hani 1000 vaka altına düsmeden okullar acılmayacaktır 3 aydır açık ?</t>
  </si>
  <si>
    <t>1470519240637788160</t>
  </si>
  <si>
    <t>RT @mer64765933: @drfahrettinkoca Nedenlerin ilk cevabını size ben söyleyeyim.!!! Sizin sanki salgın yokmuş gibi rahat ve önlemsiz tavırlar…</t>
  </si>
  <si>
    <t>1470519220815417345</t>
  </si>
  <si>
    <t>RT @pembegacesi: @drfahrettinkoca Bizde inandık zaten #TBMMsağlıkicinonlineeğitim</t>
  </si>
  <si>
    <t>1470519194508742666</t>
  </si>
  <si>
    <t>RT @karakteroyunu: @drfahrettinkoca FARK NEDİR? 1000 vakada online eğitime geçilip öğrenciler kışın kapalı alanlardan korunurken  Şu an 20b…</t>
  </si>
  <si>
    <t>1470519182278201348</t>
  </si>
  <si>
    <t>RT @ebruern: @drfahrettinkoca Nereye kadar düşürülecek bu güvenilir olmayan rakamlar?Peki ya 12 yaş altı çocuklar, halk sağlığı kapsamına g…</t>
  </si>
  <si>
    <t>1470519166029422595</t>
  </si>
  <si>
    <t>RT @karakteroyunu: @drfahrettinkoca KORKUTUCU DEĞİL Mİ?  171 CAN gitti. Kimi annesini kimi babasını kimi evladını toprağa verecek salgın bi…</t>
  </si>
  <si>
    <t>1470519153991852039</t>
  </si>
  <si>
    <t>RT @HandanTuncalp: @drfahrettinkoca Her gün aynı sayıda test yapılması şaşırtıcı. Okullar kalabalık ortamlar son derece bulaşıcı bir varyan…</t>
  </si>
  <si>
    <t>1470519128649879556</t>
  </si>
  <si>
    <t>RT @EE20356218: @drfahrettinkoca Sayın Koca hala covid korkutucu.Günlük ölüm sayılarına bakıp nasıl korkutucu değil diyorsunuz anlamıyorum.…</t>
  </si>
  <si>
    <t>1470519117518094338</t>
  </si>
  <si>
    <t>1470519094353010694</t>
  </si>
  <si>
    <t>RT @ilsen8585: @drfahrettinkoca İngiltere’de omicron vaka sayısı kısa sürede 3 bine ulaştı.Omicron varyantina bağlı ilk ölüm gerçekleşti.Ül…</t>
  </si>
  <si>
    <t>1470519045577445379</t>
  </si>
  <si>
    <t>RT @DenizKisisel74: @drfahrettinkoca 5-11yaş aşıları eksik mesela</t>
  </si>
  <si>
    <t>1470518978846117895</t>
  </si>
  <si>
    <t>RT @buradayalnizim: @drfahrettinkoca 171 insan ölmüş siz çıkıp neler söylüyorsunuz, sadece o 171 insanın ailesinin yerine koyun kendinizi.…</t>
  </si>
  <si>
    <t>1470518910898294789</t>
  </si>
  <si>
    <t>RT @Lavinia56398957: @drfahrettinkoca Fahrettin Koca arada fark olduğu yanılgısına kapılacağımızı düşünmeyin. Şu an vakalar görülenin çok ü…</t>
  </si>
  <si>
    <t>1470518895652052993</t>
  </si>
  <si>
    <t>RT @cengizclky: @drfahrettinkoca Online eğitim istiyoruz bakanım</t>
  </si>
  <si>
    <t>1470518886659506183</t>
  </si>
  <si>
    <t>RT @Lala23111660: @drfahrettinkoca Sen omicron vakasının olup olmadığını bile bi soru üzerine yanıtlamış insansın. Sana hayatta inanmayiz #…</t>
  </si>
  <si>
    <t>1470518863913697284</t>
  </si>
  <si>
    <t>RT @ulayk: @drfahrettinkoca 40 yapar? https://t.co/UWG6TzexwU</t>
  </si>
  <si>
    <t>1470518123409326080</t>
  </si>
  <si>
    <t>1470516680585531396</t>
  </si>
  <si>
    <t>1470516614244315142</t>
  </si>
  <si>
    <t>RT @simalefeoglu: @drfahrettinkoca Hbys taşeron işçilerine kadro sözü verilmisti hanı nerde nerde nerde nerde nerde?</t>
  </si>
  <si>
    <t>1470516609978613761</t>
  </si>
  <si>
    <t>RT @n_a_z_e_l_i_m: @drfahrettinkoca Sonunda bilmece geliyor sandım :)  haydi sor sor :))) aşı aşı aşı !  Çocuklarımıza aşı hakkı verin ! No…</t>
  </si>
  <si>
    <t>1470516596527534080</t>
  </si>
  <si>
    <t>RT @EbruZeybon: @drfahrettinkoca Neden şöyle neden böyle... Neden çocuklar korunmuyor NEDEN? #TBMMsağlıkicinonlineeğitim</t>
  </si>
  <si>
    <t>1470516521277472771</t>
  </si>
  <si>
    <t>RT @kralsizkole: @drfahrettinkoca @saglikbakanligi Hastanede çalışan hbys yani bilgi işlem personelleri taşeron yasası mağduru yazılım firm…</t>
  </si>
  <si>
    <t>1470514304105525255</t>
  </si>
  <si>
    <t>RT @ayhan_002: @drfahrettinkoca Sayın Bakanımız Hbys Sağlık Çalışanları Hastanelerde gece gündüz 7/24 esasına göre çalışan kadrosuz persone…</t>
  </si>
  <si>
    <t>1470514205698797575</t>
  </si>
  <si>
    <t>RT @batista0112: @drfahrettinkoca Sayın Bakanım sağlık bakanlığında hastanelerinizde taşeron bırakılan sadece HBYS Bilgi işlem çalışmaların…</t>
  </si>
  <si>
    <t>1470514188439232515</t>
  </si>
  <si>
    <t>RT @o2turkahmet: @drfahrettinkoca Sayın bakanım hatasız kul yoktur, neticede hepimiz insanız ancak 2018 yılında bakanlık devir tesliminde a…</t>
  </si>
  <si>
    <t>1470514173968896000</t>
  </si>
  <si>
    <t>RT @hbysmgsbys: @drfahrettinkoca HBYS Bilgi işlem personellerinize kadro verilmedi. Sayın Bakanım özellikli birimimiz olan kalifiye, hastan…</t>
  </si>
  <si>
    <t>1470514162283556869</t>
  </si>
  <si>
    <t>RT @yunus_diril: @drfahrettinkoca Yıllardır Hbys bilgi işlem personelleri eksik sayın bakanım. @vedatbilgn https://t.co/pyQKo0PLjO</t>
  </si>
  <si>
    <t>1470514147989331968</t>
  </si>
  <si>
    <t>RT @sametincir_: @drfahrettinkoca Sayın Koca. Hastanelerde çalışan beyin takımı HBYS Bilgi işlem/Yazılım Uzmanlarına sözler verdiniz. Tüm h…</t>
  </si>
  <si>
    <t>1470514137289662468</t>
  </si>
  <si>
    <t>RT @esarisaray: @drfahrettinkoca Hbys personeline söz verip de vermediğiniz kadro eksikliğimiz Sayın Bakanım.Verin kadroyu sevinelim artık…</t>
  </si>
  <si>
    <t>1470513962362052608</t>
  </si>
  <si>
    <t>1470513918003056640</t>
  </si>
  <si>
    <t>RT @Derya26745389: @drfahrettinkoca El gider Mersin'e biz gider Tersine #TBMMsağlıkiçinonlineeğitim</t>
  </si>
  <si>
    <t>1470513550519152651</t>
  </si>
  <si>
    <t>RT @ebruern: @drfahrettinkoca Ama sürekli de hata yapılmaz ki? Ben  ve birçok anne artık aylardır yazıyoruz ama bugüne kadar dikkate alınma…</t>
  </si>
  <si>
    <t>1470513316099465220</t>
  </si>
  <si>
    <t>1470513295442554895</t>
  </si>
  <si>
    <t>RT @hulya_yalvac: @drfahrettinkoca Herşeyi kabul ediyoruz Sn Bakanım. Bilinmeyen bir virüs ile mücadele etmeye çalıştınız. Bu dünyada herşe…</t>
  </si>
  <si>
    <t>1470513286420512772</t>
  </si>
  <si>
    <t>RT @Mualla0902: @drfahrettinkoca Hayır Sayın Koca!! Hatalardan oluşturduğunuz halkalar zincir oldu!! Biz size makamınıza defalarca uyarılar…</t>
  </si>
  <si>
    <t>1470513275171397636</t>
  </si>
  <si>
    <t>RT @elif74: @drfahrettinkoca Önce hatanızdan dönseniz de sonra helallik isteseniz. Okullar hala yüzyüze. Gerekçeniz düşen vaka sayısıysa il…</t>
  </si>
  <si>
    <t>1470513252220162055</t>
  </si>
  <si>
    <t>RT @EbruZeybon: @drfahrettinkoca Çocuklarımızın sağlığı için gösterdiğiniz çabasızlıktan dolayı asla affedilmeyeceksiniz #TBMMsağlıkiçinonl…</t>
  </si>
  <si>
    <t>1470513228501467141</t>
  </si>
  <si>
    <t>RT @EbruZeybon: @drfahrettinkoca Milletin takdirini okumuyorsunuz herhalde. #TBMMsağlıkiçinonlineeğitim</t>
  </si>
  <si>
    <t>1470513213896859650</t>
  </si>
  <si>
    <t>RT @vicdanadildir: @drfahrettinkoca PCR -AŞI-MASKE-HES KODU-KAPANMALARI kendi isteğimiz ve Genelgeler ile kabul ettiğimiz için hala devam e…</t>
  </si>
  <si>
    <t>1470512938867957765</t>
  </si>
  <si>
    <t>1470512453893165057</t>
  </si>
  <si>
    <t>RT @Elfidaa41412597: @drfahrettinkoca Fahrettin bey Bergama devlet Hastanesi'nde kapalı ameliyat olmak için malzeme yok malzeme 😠 annem iki…</t>
  </si>
  <si>
    <t>1470512366425100288</t>
  </si>
  <si>
    <t>RT @azucarem: @drfahrettinkoca Kast olmaması mı ? Bu kadar uyarıya rağmen sen, bilim kurulun ve yardakçılarınızın aşı baskıları yüzünden öl…</t>
  </si>
  <si>
    <t>1470511646602928147</t>
  </si>
  <si>
    <t>RT @Ulutasomer61: @drfahrettinkoca 😡 af dilersin ha 😡 AFFETMİYORUZ ne seni nede bizim adımıza özür dilediğin bizim olmayan VEKİLLERİ https:…</t>
  </si>
  <si>
    <t>1470511086138974208</t>
  </si>
  <si>
    <t>@drfahrettinkoca @abdulhamitgul Ülkemizdeki hukukun özeti! Buyrun devlet büyükleri! https://t.co/Kivavzj2mR</t>
  </si>
  <si>
    <t>1470510462760538118</t>
  </si>
  <si>
    <t>RT @azucarem: @drfahrettinkoca HATALI TANI, YANLIŞ TEDAVİLERLE VE AŞILARLA İNSANLARI CANINDAN, İŞİNDEN, EKMEĞİNDEN ETTİNİZ ! ŞİMDİ KALKMIŞ…</t>
  </si>
  <si>
    <t>1470510343365484552</t>
  </si>
  <si>
    <t>RT @oldtrafortman: @drfahrettinkoca Yine hemşire alımı olmuş sayın bakan 1 yıldır beklediğimiz geniş çaplı alım bu muydu? Bu sağlık bakanlı…</t>
  </si>
  <si>
    <t>1470509840019738629</t>
  </si>
  <si>
    <t>RT @Burus999: @drfahrettinkoca O hafif geçiriyorlar dediklerinizin arasında sizin de olmanız dileğiyle! #TBMMsağlıkicinonlineeğitim</t>
  </si>
  <si>
    <t>1470509740790792195</t>
  </si>
  <si>
    <t>RT @Derya26745389: @drfahrettinkoca İnanın bıktık yıldık tükendik. Ebeveynler olarak çocuklarımızın sağlığını canlarını koruyamıyoruz zorun…</t>
  </si>
  <si>
    <t>1470509610427727872</t>
  </si>
  <si>
    <t>RT @HdrEmmi3: @drfahrettinkoca Yaw olur olur da hiç doğrunuzu görmedik ki #TBMMsağlıkicinonlineeğitim</t>
  </si>
  <si>
    <t>1470509405707907096</t>
  </si>
  <si>
    <t>1470509376372936704</t>
  </si>
  <si>
    <t>1470509366960967693</t>
  </si>
  <si>
    <t>1470509125645787138</t>
  </si>
  <si>
    <t>1470509113197092867</t>
  </si>
  <si>
    <t>RT @Derya26745389: @drfahrettinkoca Vicdanen rahatmısınız rahat uyuyormusunuz? Çocuklar gençler eğitimciler Corona oluyor tek tek hastalanı…</t>
  </si>
  <si>
    <t>1470508974730620933</t>
  </si>
  <si>
    <t>1470508942463803392</t>
  </si>
  <si>
    <t>RT @Derya26745389: @drfahrettinkoca Çocuklar geçen sene nefes alarak hijyenik ortamda onlıne eğitim yaptılar çok da güzel ilerlediler bırak…</t>
  </si>
  <si>
    <t>1470508900147466249</t>
  </si>
  <si>
    <t>RT @yalan_yalan19: @drfahrettinkoca Önceden de öyleydi Tek farkı siz her yeri kapattınız Kapatmasaydınız da aynı şimdiki gibi olacaktı Ama…</t>
  </si>
  <si>
    <t>1470508780819558412</t>
  </si>
  <si>
    <t>RT @dryapl: @drfahrettinkoca Sağlık yönetimi mezunlarına yine tek bir kadro verilmemesi adalet mi sayın bakanım biz de bu ülkenin vatandaşı…</t>
  </si>
  <si>
    <t>1470508682031124485</t>
  </si>
  <si>
    <t>RT @yalan_yalan19: @drfahrettinkoca Fark nedir? Çünkü o sağlık bakanı.. Neden? Çünkü tıp okumuş Neden? Çünkü mtematikten iyi net yapmış Şim…</t>
  </si>
  <si>
    <t>1470508654579306496</t>
  </si>
  <si>
    <t>1470508099282874369</t>
  </si>
  <si>
    <t>RT @Fato34921635: @drfahrettinkoca Yaşattıklarını yaşamadan ölme  İnsanlar kimsesiz gömüldü ya sen gömülecek toprak bile bulma kimsesiz çür…</t>
  </si>
  <si>
    <t>1470507769761611782</t>
  </si>
  <si>
    <t>1470507674076950532</t>
  </si>
  <si>
    <t>1470507559752806400</t>
  </si>
  <si>
    <t>1470507421709877255</t>
  </si>
  <si>
    <t>1470507395092787209</t>
  </si>
  <si>
    <t>1470506871698202631</t>
  </si>
  <si>
    <t>RT @sivilnacibey: @drfahrettinkoca Biz sana hata yada yanlış yaptın demedik ki. Biz sana bile isteye Küresel Güçlere hizmet ettin. Milleti…</t>
  </si>
  <si>
    <t>1470506636351524864</t>
  </si>
  <si>
    <t>1470506549659549703</t>
  </si>
  <si>
    <t>RT @llavieestla: @drfahrettinkoca Sayın bakanım hemşire olmadığımız için özür dileriz.</t>
  </si>
  <si>
    <t>1470506312878460941</t>
  </si>
  <si>
    <t>@drfahrettinkoca Yahu adam! Hekimler grev yapacak çık iki kelime et, şiddet oluyor iki kelime et. Başlatma covidind… https://t.co/5HnJWSV6ry</t>
  </si>
  <si>
    <t>1470506234122051601</t>
  </si>
  <si>
    <t>@drfahrettinkoca şarkıcılara cevap vermeyi seversin bi cevap ver bakayım koca bakan https://t.co/Ob6RDxjqRo</t>
  </si>
  <si>
    <t>1470505676942229508</t>
  </si>
  <si>
    <t>1470505665164713987</t>
  </si>
  <si>
    <t>1470505656755146753</t>
  </si>
  <si>
    <t>RT @HuseyinHBYS: @drfahrettinkoca Sayın Bakanım HBYS - Hastane Bilgi İşlem Personelleri nin kadro sözünü siz yerine getirip eksikliğin kusu…</t>
  </si>
  <si>
    <t>1470505648056057857</t>
  </si>
  <si>
    <t>1470505636429451275</t>
  </si>
  <si>
    <t>1470505335626608654</t>
  </si>
  <si>
    <t>RT @ersindilseker35: @drfahrettinkoca KIRK YALAN FARETTİN HANGİ AŞI. BABABIM GÖZLERİNE 2AYDIR KAN OTUYOR SOL GÖZÜ İYİCE KÖTÜ OLMAYA BAŞLA..…</t>
  </si>
  <si>
    <t>1470504708674670592</t>
  </si>
  <si>
    <t>RT @TuncayAnK: @drfahrettinkoca #tıbbicihaz  ödeme bekliyor</t>
  </si>
  <si>
    <t>1470502537421852675</t>
  </si>
  <si>
    <t>RT @CemilCan5834: @drfahrettinkoca bu aşı adayları eski varyantları korumuyor diyor birçok bilim adamı,  Yeni varyantları nasıl koruyacakki…</t>
  </si>
  <si>
    <t>1470502458216661002</t>
  </si>
  <si>
    <t>RT @ayce_08_53: @drfahrettinkoca https://t.co/RlmSFFh9XE Hocam böyle birsey var. Herkes bir açıklama bekliyor. Günlerdir bu tarz görüntüler…</t>
  </si>
  <si>
    <t>1470501906036531215</t>
  </si>
  <si>
    <t>RT @HOR_B3Y: @drfahrettinkoca Senin Ekibin toplu yemek organizasyonlarında kolkola maskesiz fotoğraf çektirirken bilimin ışığında , ben yak…</t>
  </si>
  <si>
    <t>1470501835240837140</t>
  </si>
  <si>
    <t>RT @NEHIR__SIRIN: @drfahrettinkoca Sana hakkimi helal etmiyorum.Zikkim olsun.Öbür dunyada iki yakam elinde.Neler çektigimi bir ben bir Alla…</t>
  </si>
  <si>
    <t>1470501763694403592</t>
  </si>
  <si>
    <t>1470501675601481734</t>
  </si>
  <si>
    <t>1470501610656878609</t>
  </si>
  <si>
    <t>1470500964603940875</t>
  </si>
  <si>
    <t>1470500749620793344</t>
  </si>
  <si>
    <t>RT @FARAT24: @drfahrettinkoca https://t.co/OnZvqAq9pN</t>
  </si>
  <si>
    <t>1470500580942622721</t>
  </si>
  <si>
    <t>RT @etknlkhsp: @drfahrettinkoca Biz bunu hak etmiyoruz ne zaman bize hakkımız olanı vereceksiniz ne zaman? Ne zaman bizim için de yüksek al…</t>
  </si>
  <si>
    <t>1470500577159299072</t>
  </si>
  <si>
    <t>RT @etknlkhsp: @drfahrettinkoca Başarılı olup üniversite okuyoruz da ne oluyor değerimizi bilen yok sesimizi duyan yok bizi gören yok. Sağl…</t>
  </si>
  <si>
    <t>1470500553092481024</t>
  </si>
  <si>
    <t>1470500354013937675</t>
  </si>
  <si>
    <t>1470500055123701770</t>
  </si>
  <si>
    <t>1470500047536238600</t>
  </si>
  <si>
    <t>1470500024375205895</t>
  </si>
  <si>
    <t>1470499925494571020</t>
  </si>
  <si>
    <t>RT @MevltGnydn: @drfahrettinkoca Acaba cevap AŞI mı yoksa söylenmeyen vaka sayısıyla yansıtılan hayali bir olumluluk mu @drfahrettinkoca #T…</t>
  </si>
  <si>
    <t>1470499220532641807</t>
  </si>
  <si>
    <t>1470498533228912667</t>
  </si>
  <si>
    <t>1470498436533432329</t>
  </si>
  <si>
    <t>RT @Lala23111660: @drfahrettinkoca YALAN NEDİR? bu tabloda görebilirsiniz☺️ #TBMMsağlıkicinonlineeğitim</t>
  </si>
  <si>
    <t>1470498386365370375</t>
  </si>
  <si>
    <t>RT @online_sart: @drfahrettinkoca Sesimizi duyun zorunluluktan dolayı online eğitim istiyoruz keyfimizden değil  @RTErdogan @tcmeb @drfahre…</t>
  </si>
  <si>
    <t>1470498339783426053</t>
  </si>
  <si>
    <t>@drfahrettinkoca  Helal etmiyem edenin ...... Etmiyem https://t.co/y0UeiqyVlA</t>
  </si>
  <si>
    <t>1470498307738906633</t>
  </si>
  <si>
    <t>RT @Hacirask: @drfahrettinkoca Microsoftun sahibi yazılımcı aynı zamanda enfeksiyon hastalıkları uzmanı Prof Dr Bill Gates de diyor ki aşıl…</t>
  </si>
  <si>
    <t>1470498214847647748</t>
  </si>
  <si>
    <t>RT @urzfrkysm: @drfahrettinkoca Bende soruyorum. Bir bakan nasıl olurda acil kullanım onayı almış bir iğneye nasıl aşı der. Ben cevap verey…</t>
  </si>
  <si>
    <t>1470497940925997061</t>
  </si>
  <si>
    <t>RT @AliVahab12: @drfahrettinkoca @akadirkaraduman  @BirGun_Gazetesi  @avhamzadag  @birincimucahit  @mahirunal  @osmannnurika  Aşı zorunlu o…</t>
  </si>
  <si>
    <t>1470497905819664395</t>
  </si>
  <si>
    <t>1470497787460657160</t>
  </si>
  <si>
    <t>1470497431808876552</t>
  </si>
  <si>
    <t>1470497350716174351</t>
  </si>
  <si>
    <t>1470497239642615821</t>
  </si>
  <si>
    <t>RT @Hbys24: @drfahrettinkoca https://t.co/mnsi3XNmC0</t>
  </si>
  <si>
    <t>1470497229756633090</t>
  </si>
  <si>
    <t>1470497192955756552</t>
  </si>
  <si>
    <t>1470497186702057473</t>
  </si>
  <si>
    <t>1470497175482343429</t>
  </si>
  <si>
    <t>1470497172932206599</t>
  </si>
  <si>
    <t>1470497169434099720</t>
  </si>
  <si>
    <t>1470497141621727240</t>
  </si>
  <si>
    <t>1470497110118354951</t>
  </si>
  <si>
    <t>1470497100563681294</t>
  </si>
  <si>
    <t>1470497084763746304</t>
  </si>
  <si>
    <t>1470497036550213648</t>
  </si>
  <si>
    <t>RT @ishakbabat: @drfahrettinkoca Bu alımlarda da Sağlık Yönetimi mezunlarını görmediniz duymadınız @DrRecepAkdag @gozdekirisciogl @saglikba…</t>
  </si>
  <si>
    <t>1470497028811763714</t>
  </si>
  <si>
    <t>RT @SkyZeyn: @drfahrettinkoca https://t.co/tB3TKQKdn1</t>
  </si>
  <si>
    <t>1470496994665840640</t>
  </si>
  <si>
    <t>1470496916794449926</t>
  </si>
  <si>
    <t>1470496874331320328</t>
  </si>
  <si>
    <t>1470496809906847744</t>
  </si>
  <si>
    <t>RT @buradayalnizim: @drfahrettinkoca Online eğitime ısrarla geçmiyorsunuz. Neden? Bir de bunun cevabını verseniz iyi olur sayın bakan #TBMM…</t>
  </si>
  <si>
    <t>1470496770966839301</t>
  </si>
  <si>
    <t>1470496754214834187</t>
  </si>
  <si>
    <t>RT @zdndrn2: @drfahrettinkoca Baştan sona kasıt var.Planlanmış,kitleri önceden satın alınmış bir plandemi ile insanlar denek yapıldı.Özgürl…</t>
  </si>
  <si>
    <t>1470496717720240129</t>
  </si>
  <si>
    <t>RT @bayram_trkolu: @drfahrettinkoca Bu videoda kim eksik? Asrın firavunlarından bill gates, aşı yatırımı için 1'e 20 kazanç oldu demiş  htt…</t>
  </si>
  <si>
    <t>1470496713471406083</t>
  </si>
  <si>
    <t>1470496671318659072</t>
  </si>
  <si>
    <t>@drfahrettinkoca https://t.co/c6KV91Jx1C</t>
  </si>
  <si>
    <t>1470496643187421190</t>
  </si>
  <si>
    <t>1470496632110260230</t>
  </si>
  <si>
    <t>RT @Hac6868: @drfahrettinkoca Hatanız hbys ye kadro vermemeniz</t>
  </si>
  <si>
    <t>1470496615085580293</t>
  </si>
  <si>
    <t>1470496601185607685</t>
  </si>
  <si>
    <t>1470496599826706436</t>
  </si>
  <si>
    <t>1470496552724701192</t>
  </si>
  <si>
    <t>1470496532457787403</t>
  </si>
  <si>
    <t>1470496528028557315</t>
  </si>
  <si>
    <t>1470496512203440135</t>
  </si>
  <si>
    <t>RT @KostenceSeyfi: @drfahrettinkoca #hbys ihalesiyle çalışan 696khkda dışlanan bilgiişlem personelleri4d sürekliişçi kadrosunun açıklanması…</t>
  </si>
  <si>
    <t>1470496497968074753</t>
  </si>
  <si>
    <t>1470496485120876556</t>
  </si>
  <si>
    <t>1470496471111901191</t>
  </si>
  <si>
    <t>1470496442976514058</t>
  </si>
  <si>
    <t>RT @TurkAsil1: @drfahrettinkoca Hastanelerde gece gündüz demeden çalışan görevi başında covid pozitif olan Hbys çalışanları birinin roket a…</t>
  </si>
  <si>
    <t>1470496428879486984</t>
  </si>
  <si>
    <t>1470496422894133248</t>
  </si>
  <si>
    <t>RT @TurkAsil1: @drfahrettinkoca Sn Reisim @RTErdogan size YALAN ve YANLIŞ  bilgi vererek kendi rantı için Hastanede 7 24 sistemi ile çalışa…</t>
  </si>
  <si>
    <t>1470496415877156883</t>
  </si>
  <si>
    <t>RT @TurkAsil1: @drfahrettinkoca Hastanelerde724demeden çalışan HBYS çalışanları birisinin bilerek menfaati uğruna TAŞERON  bıraktığı Ailele…</t>
  </si>
  <si>
    <t>1470496385460015107</t>
  </si>
  <si>
    <t>1470496376698159124</t>
  </si>
  <si>
    <t>1470496370092093440</t>
  </si>
  <si>
    <t>1470496175186923525</t>
  </si>
  <si>
    <t>RT @Kemal7KRDS: @drfahrettinkoca @saglikbakanligi @RTErdogan @Hayat_Hastanesi 12.12.2021 tarihinde oğlumun yüksek ateş nedeni ile Bursa Hay…</t>
  </si>
  <si>
    <t>1470495901022138375</t>
  </si>
  <si>
    <t>1470495793517932548</t>
  </si>
  <si>
    <t>@drfahrettinkoca @RTErdogan https://t.co/fSwGjRl5WO</t>
  </si>
  <si>
    <t>1470495789428490244</t>
  </si>
  <si>
    <t>1470495773448146954</t>
  </si>
  <si>
    <t>1470495685267099651</t>
  </si>
  <si>
    <t>RT @Derya26745389: @drfahrettinkoca Artık size inanmıyoruz güvenmiyoruz. O yüzden #TBMMsağlıkiçinonlineeğitim</t>
  </si>
  <si>
    <t>1470495674940669954</t>
  </si>
  <si>
    <t>1470495630544019465</t>
  </si>
  <si>
    <t>1470495504899493893</t>
  </si>
  <si>
    <t>RT @canerslkx: @drfahrettinkoca Ülkeler kapanmaya geçiyor teker teker sizler neyi bekliyorsunuz yoğun bakımda yatan insan sayısı da çoğaldı…</t>
  </si>
  <si>
    <t>1470495491821604880</t>
  </si>
  <si>
    <t>1470495476331995138</t>
  </si>
  <si>
    <t>1470495468409008129</t>
  </si>
  <si>
    <t>RT @Derya26745389: @drfahrettinkoca O halde hatanızı düzeltin İNSAN SAĞLIĞINA ÖNEM VERİN. Çocukların can güvenliğine Önem verin koruyun kol…</t>
  </si>
  <si>
    <t>1470495456086089730</t>
  </si>
  <si>
    <t>1470495444178513926</t>
  </si>
  <si>
    <t>@drfahrettinkoca @NureddinNebati ne diyorsunuz bu işe 🤔 https://t.co/j1tVR1ros6</t>
  </si>
  <si>
    <t>1470493781820596225</t>
  </si>
  <si>
    <t>@drfahrettinkoca   Yaşlı bakım teknikerlerinin ataması olsun artıkk !!</t>
  </si>
  <si>
    <t>1470493540715221003</t>
  </si>
  <si>
    <t>RT @PolatAl68485222: @drfahrettinkoca GÜNLÜK YALAN TABLOSU</t>
  </si>
  <si>
    <t>1470493076871430145</t>
  </si>
  <si>
    <t>RT @mdkubilay: @drfahrettinkoca Hekim dısı personele yuzde 20 zam yapıp, hekim ve hemşire maaşını eşitleyen sendika.  Hekime düzenleme yapı…</t>
  </si>
  <si>
    <t>1470492772406898694</t>
  </si>
  <si>
    <t>1470492768019570690</t>
  </si>
  <si>
    <t>1470492753452806152</t>
  </si>
  <si>
    <t>@drfahrettinkoca @saglikbakanligi ben her gün aşı hakkım gelmiş mi diye bakarken, omicron varyantı hızla yayılıyork… https://t.co/u7pIiDjzuR</t>
  </si>
  <si>
    <t>1470492743285809158</t>
  </si>
  <si>
    <t>1470492617200873482</t>
  </si>
  <si>
    <t>RT @saglikci112112: @drfahrettinkoca İnsanız herkesin hatası olur mühim olan telafi etmek değil mi bakanım . @drfahrettinkoca</t>
  </si>
  <si>
    <t>1470492581184348175</t>
  </si>
  <si>
    <t>1470492454394679301</t>
  </si>
  <si>
    <t>RT @sirpereira61: @drfahrettinkoca GENÇLERİ OKULA GÖNDEREREK NASIL AZALIYOR DİYEBİLİRSİNİZ, GÖZLERİNİZİ AÇIN ARTIK!   #OnlineEğitimBirHaktı…</t>
  </si>
  <si>
    <t>1470492254058029060</t>
  </si>
  <si>
    <t>@drfahrettinkoca  ne diyosun bu habere https://t.co/GjAsfEHr8J</t>
  </si>
  <si>
    <t>1470492196608659459</t>
  </si>
  <si>
    <t>@drfahrettinkoca https://t.co/QzZBZk5JZi</t>
  </si>
  <si>
    <t>1470491620994957322</t>
  </si>
  <si>
    <t>1470491608915365889</t>
  </si>
  <si>
    <t>1470491516003131397</t>
  </si>
  <si>
    <t>1470491492263280646</t>
  </si>
  <si>
    <t>1470491478594101252</t>
  </si>
  <si>
    <t>1470491474995339265</t>
  </si>
  <si>
    <t>@drfahrettinkoca bunlarda da kasıt yok mu? Bilerek isteyerek yapılmış. Ailelerin bilgisi olmadan aşıyı bırakın müda… https://t.co/ydchYLoR2p</t>
  </si>
  <si>
    <t>1470491469135945745</t>
  </si>
  <si>
    <t>1470490922244874240</t>
  </si>
  <si>
    <t>@drfahrettinkoca https://t.co/yq8nF8w04J</t>
  </si>
  <si>
    <t>1470490549891260425</t>
  </si>
  <si>
    <t>1470490104070352910</t>
  </si>
  <si>
    <t>1470489647969193985</t>
  </si>
  <si>
    <t>1470489075077595148</t>
  </si>
  <si>
    <t>1470488952511545348</t>
  </si>
  <si>
    <t>1470488945540616194</t>
  </si>
  <si>
    <t>1470488803710226444</t>
  </si>
  <si>
    <t>1470488690606620681</t>
  </si>
  <si>
    <t>1470488280181481479</t>
  </si>
  <si>
    <t>RT @ERDEMARABACII: @drfahrettinkoca Oradaki farkı görmek istiyorsan çıktığın yere bak</t>
  </si>
  <si>
    <t>1470488108487610369</t>
  </si>
  <si>
    <t>1470488087298035721</t>
  </si>
  <si>
    <t>1470488049045934083</t>
  </si>
  <si>
    <t>1470488014736527365</t>
  </si>
  <si>
    <t>1470487642420781056</t>
  </si>
  <si>
    <t>RT @Bahadr07459033: @drfahrettinkoca Sağlık yönetimi bölümü sanki evlatlık çocuk ismi bile geçmiyor binlerce mezun verilmesine rağmen hala…</t>
  </si>
  <si>
    <t>1470487564880683018</t>
  </si>
  <si>
    <t>1470487542239793160</t>
  </si>
  <si>
    <t>1470487535671554056</t>
  </si>
  <si>
    <t>RT @FakePandemi1: @drfahrettinkoca 2. doz  aşı olma oranı %82 fakat hastaneler aşıdan zarar görenler ile dolu.. Bakın Allahı şahit tutuyoru…</t>
  </si>
  <si>
    <t>1470487383502168071</t>
  </si>
  <si>
    <t>RT @ERDEMARABACII: @drfahrettinkoca Ulan daha aşımı diyorsun sen gebereceksin  Bunca insanın ahı yanına kalmaz Allah var Allah</t>
  </si>
  <si>
    <t>1470486846744502277</t>
  </si>
  <si>
    <t>RT @beko_bekous: @drfahrettinkoca Sayın bakan, bu terörist halk düşmanı, hekim kisveli alçaklar için ve çocuk istismarcısı Kurugöl için, Pf…</t>
  </si>
  <si>
    <t>1470486676917178378</t>
  </si>
  <si>
    <t>1470486672450142214</t>
  </si>
  <si>
    <t>1470486669975560209</t>
  </si>
  <si>
    <t>1470486645061394433</t>
  </si>
  <si>
    <t>RT @FakePandemi1: @drfahrettinkoca https://t.co/fhXzzf5lOq</t>
  </si>
  <si>
    <t>1470486579856740360</t>
  </si>
  <si>
    <t>1470486326701137933</t>
  </si>
  <si>
    <t>@drfahrettinkoca ilaç bulunmuyor diye bir şey yok diyordunuz geçen mecliste. Annemin tansiyon ilaçlarını bulamıyoru… https://t.co/1DiXEwLtX5</t>
  </si>
  <si>
    <t>1470486257105055744</t>
  </si>
  <si>
    <t>RT @nuraygne4: @drfahrettinkoca #sağlıkbakanlığı #SağlıkcınınHakkınıVerin #hekimlereylemde</t>
  </si>
  <si>
    <t>1470486045246509083</t>
  </si>
  <si>
    <t>RT @ERDEMARABACII: @drfahrettinkoca Sizin dayatmalarınız yüzünden 6 eylülde işimden oldum unuturmuyum hiç ekonomimi alt üst ettin ödemeleri…</t>
  </si>
  <si>
    <t>1470486003290935301</t>
  </si>
  <si>
    <t>RT @Nedenbilmiyor: @drfahrettinkoca Halen aşı diyor ya #TBMMsağlıkicinonlineeğitim</t>
  </si>
  <si>
    <t>1470485995976105989</t>
  </si>
  <si>
    <t>1470485642698240018</t>
  </si>
  <si>
    <t>1470485601967353862</t>
  </si>
  <si>
    <t>1470485555397935113</t>
  </si>
  <si>
    <t>@drfahrettinkoca @saglikbakanligi https://t.co/z4X0r9WWEC</t>
  </si>
  <si>
    <t>1470485416004530176</t>
  </si>
  <si>
    <t>RT @EE20356218: @drfahrettinkoca Bütün  ülkeler önlem  üstüne önlem alırken, biz çocuklarımızı sadece  maskeyle kalabalık sınıflarda 8 saat…</t>
  </si>
  <si>
    <t>1470485374749360136</t>
  </si>
  <si>
    <t>RT @arsel26484113: @drfahrettinkoca Hbys personelleri 4yildir bekliyor söz verildi bizleri iş kur üzerinden alsanız</t>
  </si>
  <si>
    <t>1470485216028418048</t>
  </si>
  <si>
    <t>1470485046280785920</t>
  </si>
  <si>
    <t>@drfahrettinkoca  @saglikbakanligi https://t.co/1cPpZQz8oq</t>
  </si>
  <si>
    <t>1470485005126279175</t>
  </si>
  <si>
    <t>1470484975963279373</t>
  </si>
  <si>
    <t>1470484737756119045</t>
  </si>
  <si>
    <t>1470484634932813833</t>
  </si>
  <si>
    <t>RT @BOZOKKATALI: @drfahrettinkoca @vedatbilgn @_aliyalcin_ @OnderKahveci @NecioTaskin @ssbsemihdurmus</t>
  </si>
  <si>
    <t>1470484629845073927</t>
  </si>
  <si>
    <t>@drfahrettinkoca  @saglikbakanligi https://t.co/kb3BzsugH9</t>
  </si>
  <si>
    <t>1470484573243031556</t>
  </si>
  <si>
    <t>1470484513050480646</t>
  </si>
  <si>
    <t>1470484353419464704</t>
  </si>
  <si>
    <t>RT @FARAT24: @drfahrettinkoca https://t.co/Axwpvs5xUt</t>
  </si>
  <si>
    <t>1470484260112977924</t>
  </si>
  <si>
    <t>RT @ERDEMARABACII: @drfahrettinkoca Günah çıkarmak istiyorsan kiliseye git  Faho  Sana hakkımı helal etmiyorum</t>
  </si>
  <si>
    <t>1470484235421159427</t>
  </si>
  <si>
    <t>RT @FARAT24: @drfahrettinkoca https://t.co/F4PWQ4W8tv</t>
  </si>
  <si>
    <t>1470484233877696529</t>
  </si>
  <si>
    <t>1470484219449253888</t>
  </si>
  <si>
    <t>1470484184338776073</t>
  </si>
  <si>
    <t>@drfahrettinkoca #sağlıkbakanlığı #SağlıkcınınHakkınıVerin #hekimlereylemde https://t.co/xWQjnntHM0</t>
  </si>
  <si>
    <t>1470484125685620738</t>
  </si>
  <si>
    <t>1470484117666119684</t>
  </si>
  <si>
    <t>1470484078633828362</t>
  </si>
  <si>
    <t>RT @EyvLLh: @drfahrettinkoca Çocuklarımız okullarda ağzında maskeyle ders yapıyor. Artık buna bir Son verin . Geniz eti problemi olan çocuğ…</t>
  </si>
  <si>
    <t>1470484003958497280</t>
  </si>
  <si>
    <t>1470483981531557889</t>
  </si>
  <si>
    <t>1470483968323641357</t>
  </si>
  <si>
    <t>1470483950275596302</t>
  </si>
  <si>
    <t>1470483925579542537</t>
  </si>
  <si>
    <t>1470483914506620934</t>
  </si>
  <si>
    <t>RT @ERDEMARABACII: @drfahrettinkoca Bilim kurulunun herşeyi yanlış çıktı Helalleşme havasına girdiniz.Fakat inatla yanlışlarınızda devam ed…</t>
  </si>
  <si>
    <t>1470483863889715207</t>
  </si>
  <si>
    <t>RT @berkoc: @drfahrettinkoca Sayın bakanım. Hastane bilgi yönetim sistemi HBYS çalışanlarıda kadro alamadı. Verilmiş sözler var bizlerde ka…</t>
  </si>
  <si>
    <t>1470483863671648268</t>
  </si>
  <si>
    <t>1470483813029531651</t>
  </si>
  <si>
    <t>RT @ERDEMARABACII: @drfahrettinkoca Hiiiç götünü başını sallama faho  Bu aziz türk milletini küçümsedin işbirlikçilerinle birlikte ekmeğiyl…</t>
  </si>
  <si>
    <t>1470483805211439109</t>
  </si>
  <si>
    <t>1470483778376249344</t>
  </si>
  <si>
    <t>1470483771187212296</t>
  </si>
  <si>
    <t>1470483723967737864</t>
  </si>
  <si>
    <t>1470483622461427721</t>
  </si>
  <si>
    <t>1470483502365872132</t>
  </si>
  <si>
    <t>1470483339169742859</t>
  </si>
  <si>
    <t>1470483332404293640</t>
  </si>
  <si>
    <t>1470483279702810630</t>
  </si>
  <si>
    <t>RT @OzturkAytul: @drfahrettinkoca HATA VE NOKSAN ATAMASİ YAPİLMAYAN BOLUMLERE ONCELİK VERMEMENİZ .ADİL DAGİLİM YAPMAMANİZ...DİYETİSYENLER V…</t>
  </si>
  <si>
    <t>1470483076534964240</t>
  </si>
  <si>
    <t>RT @HuseyinHBYS: @drfahrettinkoca Sayın Bakanım , Hastanelerde çalışan biz HBYS - Bilgi İşlem Çalışanlarını Sürekli işçi kadrosuna dahil ed…</t>
  </si>
  <si>
    <t>1470482815712210950</t>
  </si>
  <si>
    <t>1470482762134171658</t>
  </si>
  <si>
    <t>RT @MhMtMmM: @drfahrettinkoca https://t.co/97QoM3ymdi</t>
  </si>
  <si>
    <t>1470482713970937872</t>
  </si>
  <si>
    <t>RT @ZBT_ZBT_: @drfahrettinkoca Annem 21 senesini bu bakanligin hizmetinde geçirmiş;hastasını kaybettiginde yataklara düşmüş bir sağlık http…</t>
  </si>
  <si>
    <t>1470482527173365769</t>
  </si>
  <si>
    <t>RT @Ayyce57791796: @drfahrettinkoca Bizi bitirdin be bakanım😁 Neden?  AF İSTİYORUZ</t>
  </si>
  <si>
    <t>1470482376316887040</t>
  </si>
  <si>
    <t>1470482132250378241</t>
  </si>
  <si>
    <t>1470482123534516228</t>
  </si>
  <si>
    <t>1470482102231654404</t>
  </si>
  <si>
    <t>1470482094191267846</t>
  </si>
  <si>
    <t>1470482055402303489</t>
  </si>
  <si>
    <t>1470481905195827212</t>
  </si>
  <si>
    <t>1470481896027082752</t>
  </si>
  <si>
    <t>RT @Lala23111660: @drfahrettinkoca Omicron geliyor, online eğitim geliyor, kapanma geliyor. 📢</t>
  </si>
  <si>
    <t>1470481876951437313</t>
  </si>
  <si>
    <t>1470481853182361605</t>
  </si>
  <si>
    <t>1470481842793033745</t>
  </si>
  <si>
    <t>RT @cigdemgursoyyy: @drfahrettinkoca Sizin o "hata" diye nitelendirdiğiniz ama gayet açık açık,bile isteye kabul ettiğiniz DSÖ'nün tedavi p…</t>
  </si>
  <si>
    <t>1470481836816183301</t>
  </si>
  <si>
    <t>1470481812183044105</t>
  </si>
  <si>
    <t>RT @hbys123456: @drfahrettinkoca Hbys ne olacak söz verip tutmadığınız. Aynı birimde çalışan personelleri birbirinden ayırdığınız. X hastan…</t>
  </si>
  <si>
    <t>1470481808231911427</t>
  </si>
  <si>
    <t>RT @elosh_: @drfahrettinkoca Canımızla ödedik neyinizi affedeceğiz ya nasıl böyle arsızca konuşursunuz… canımzdan olduk kafanızın dikine ya…</t>
  </si>
  <si>
    <t>1470481762581200899</t>
  </si>
  <si>
    <t>RT @frkntsb: @drfahrettinkoca Ve @saglikbakanligi nda 12 bin taşeron var . Diğer kamu kurumlarında yüzbinlerce... https://t.co/2BUCqAS5oX</t>
  </si>
  <si>
    <t>1470481735892807681</t>
  </si>
  <si>
    <t>1470481725394460675</t>
  </si>
  <si>
    <t>RT @EE20356218: @drfahrettinkoca Biz çocuklarımız için korkuyoruz.Korkmuyorsunuz diyemezsiniz.Bir sürü veli çocukları için Online Eğitim Ha…</t>
  </si>
  <si>
    <t>1470481719199424519</t>
  </si>
  <si>
    <t>RT @Serapblbl7: @drfahrettinkoca Ne affı, sizi Allah'a havale ediyorum. Bu kadar ölenlerin vebalini özürle mi? halledilecek siziniz. Anneci…</t>
  </si>
  <si>
    <t>1470481665965318149</t>
  </si>
  <si>
    <t>RT @MevltGnydn: @drfahrettinkoca İngiltere durumu ortada tekrar tekrar söylüyorum tedbir dediğiniz tehlike öncesi alınan önlemdir bir hasta…</t>
  </si>
  <si>
    <t>1470481586172870658</t>
  </si>
  <si>
    <t>RT @batista0112: @drfahrettinkoca @vedatbilgn  @jsarieroglu  @hakiskonf  @turkiskonf  @HakanToy06  @BY  @suayipbirinci @kilicdarogluk  @fet…</t>
  </si>
  <si>
    <t>1470481585254375432</t>
  </si>
  <si>
    <t>RT @meloo005: @drfahrettinkoca @vedatbilgn  @jsarieroglu  @hakiskonf  @turkiskonf  @HakanToy06  @BY  @suayipbirinci @kilicdarogluk  @fethig…</t>
  </si>
  <si>
    <t>1470481541272903700</t>
  </si>
  <si>
    <t>RT @Bar12366817: @drfahrettinkoca Kılavuz mu geliyor yoksam? @halis_aygun @OSYMbaskanligi @drfahrettinkoca #HalisAygunSagligaKilavuz</t>
  </si>
  <si>
    <t>1470481513137545217</t>
  </si>
  <si>
    <t>1470481466962456586</t>
  </si>
  <si>
    <t>1470481413040492549</t>
  </si>
  <si>
    <t>RT @PnarOzn: @drfahrettinkoca "ayyyyy pardon gunde 16 tane hap ve bilimum ilaçlarla yakınlarınızı tahtali köye gönderdik. aşı yan etkilerin…</t>
  </si>
  <si>
    <t>1470481353917575171</t>
  </si>
  <si>
    <t>1470481107862831109</t>
  </si>
  <si>
    <t>RT @atama_ads: @drfahrettinkoca Arttırmaya çalıştığınız sayı buysa arttırılmaya sayıyı çok merak ettik sayın bakan(!) Sağlık tarihi sizi sa…</t>
  </si>
  <si>
    <t>1470480883492737040</t>
  </si>
  <si>
    <t>1470480881265655811</t>
  </si>
  <si>
    <t>1470480827234631681</t>
  </si>
  <si>
    <t>1470480765037199362</t>
  </si>
  <si>
    <t>1470480758187905037</t>
  </si>
  <si>
    <t>1470480754002038785</t>
  </si>
  <si>
    <t>RT @X___RaYy: @drfahrettinkoca TESKILATINLA BIRLIKTE PESINDEN AYRILMADIGINIZ  ÖNLERINDE EL PENÇE DIVAN DURDUGUNUZ  DSÖ VE PIYONLARIYLA BIRL…</t>
  </si>
  <si>
    <t>1470480717813633029</t>
  </si>
  <si>
    <t>1470480670631804930</t>
  </si>
  <si>
    <t>1470480381484883981</t>
  </si>
  <si>
    <t>1470480300564176904</t>
  </si>
  <si>
    <t>RT @ozeroznuurr: @drfahrettinkoca Yüksek puanlarla diyetisyenleri ve daha pek çok meslek grubuna haksızlık ettiğinizi düşünmüyor musunuz @d…</t>
  </si>
  <si>
    <t>1470480292427321345</t>
  </si>
  <si>
    <t>1470480177197105155</t>
  </si>
  <si>
    <t>RT @AltayMalik: @drfahrettinkoca SAĞLIK YÖNETİMİ mezunlarının hakkını ne zaman verilecek</t>
  </si>
  <si>
    <t>1470480164349952005</t>
  </si>
  <si>
    <t>RT @Ayse50916517: @drfahrettinkoca Nerde Sağlık Yönetimi nerde adalet ? Yazıklar olsun @RTErdogan @drfahrettinkoca</t>
  </si>
  <si>
    <t>1470480115003969543</t>
  </si>
  <si>
    <t>1470480063355359235</t>
  </si>
  <si>
    <t>1470479998246998016</t>
  </si>
  <si>
    <t>1470479920769998851</t>
  </si>
  <si>
    <t>1470479865107390468</t>
  </si>
  <si>
    <t>1470479732328308744</t>
  </si>
  <si>
    <t>1470479647125262351</t>
  </si>
  <si>
    <t>RT @eypmng: @drfahrettinkoca hadi gelin beraber sorgulayalım bunu neden #hekimlereylemde ?</t>
  </si>
  <si>
    <t>1470479628036943874</t>
  </si>
  <si>
    <t>1470479436642492418</t>
  </si>
  <si>
    <t>RT @182alperen1905: @drfahrettinkoca Zamanında demiştik ki ileride af dileyeceksiniz.Bakın dilediniz. Ama biz de demiştik ki kuru bir özürl…</t>
  </si>
  <si>
    <t>1470479080822820866</t>
  </si>
  <si>
    <t>RT @EndruManson: @drfahrettinkoca Ne bu dünyada ne ahirette affın olmayacak. Önce hidroksiklorokin sonra favipiravir yükleyip kaybedilen in…</t>
  </si>
  <si>
    <t>1470479031460061184</t>
  </si>
  <si>
    <t>1470479021918015496</t>
  </si>
  <si>
    <t>1470478849238515716</t>
  </si>
  <si>
    <t>1470478776723296259</t>
  </si>
  <si>
    <t>1470478581105049611</t>
  </si>
  <si>
    <t>1470478549576568845</t>
  </si>
  <si>
    <t>@drfahrettinkoca isiniz yalan olmus https://t.co/hu21MAEzFJ</t>
  </si>
  <si>
    <t>1470478451811438593</t>
  </si>
  <si>
    <t>@drfahrettinkoca teknikeri bile büyük büyük yazıyorsunda lisans bölümleri fizyoterapisti, psikoloğu, diyetisyeni uf… https://t.co/OCfJrzCJaV</t>
  </si>
  <si>
    <t>1470478326389161990</t>
  </si>
  <si>
    <t>1470478116195913741</t>
  </si>
  <si>
    <t>1470478052928933890</t>
  </si>
  <si>
    <t>1470478014861488130</t>
  </si>
  <si>
    <t>1470477974390591490</t>
  </si>
  <si>
    <t>1470477932015538180</t>
  </si>
  <si>
    <t>1470477807071412226</t>
  </si>
  <si>
    <t>@drfahrettinkoca hayatta hiç ilâc kulmadım kullanmam yine de boşuna uğraşmayın ben bu günüme nasıl geldim biliyormu… https://t.co/fEUaaYe3dd</t>
  </si>
  <si>
    <t>1470477749844336651</t>
  </si>
  <si>
    <t>1470477739589353472</t>
  </si>
  <si>
    <t>1470477649390755844</t>
  </si>
  <si>
    <t>1470477396709101579</t>
  </si>
  <si>
    <t>RT @hakanozturk08: @drfahrettinkoca https://t.co/B4n1Kkof7x</t>
  </si>
  <si>
    <t>1470477376069021704</t>
  </si>
  <si>
    <t>RT @HBYS_PLATFORMU: @drfahrettinkoca #hbys ihalesindeki bilgiişlem personellerine birkere olsun açıklamalarınızda yer verin.Yanımızda olun.…</t>
  </si>
  <si>
    <t>1470477319236112395</t>
  </si>
  <si>
    <t>1470477288399679494</t>
  </si>
  <si>
    <t>1470477266270498825</t>
  </si>
  <si>
    <t>RT @hbys123456: @drfahrettinkoca Khk ile bir kısmını kadroya alıp diğer kısmını kadroya almadığınız hbys personelleri ile ilgili çalışma va…</t>
  </si>
  <si>
    <t>1470477206006779914</t>
  </si>
  <si>
    <t>1470477203943084032</t>
  </si>
  <si>
    <t>1470477196263362562</t>
  </si>
  <si>
    <t>1470477168111149062</t>
  </si>
  <si>
    <t>RT @ekremkirazz: @drfahrettinkoca Söz verilen hastane bilgi yönetim sistemi çalışanları ne olacak bakanım bir cevap da bize verin ne olacağ…</t>
  </si>
  <si>
    <t>1470477133281742850</t>
  </si>
  <si>
    <t>RT @geniusheads00: @drfahrettinkoca Bu saatten sonra kimse size inanmaz aaa pardon tv izleyenler inanabilir unutmusum😁</t>
  </si>
  <si>
    <t>1470477008010362884</t>
  </si>
  <si>
    <t>1470476933855072258</t>
  </si>
  <si>
    <t>1470476915194699783</t>
  </si>
  <si>
    <t>1470476908446031873</t>
  </si>
  <si>
    <t>1470476800807604224</t>
  </si>
  <si>
    <t>1470476785880113163</t>
  </si>
  <si>
    <t>1470476707060719616</t>
  </si>
  <si>
    <t>1470476620859387911</t>
  </si>
  <si>
    <t>RT @baglum_: @drfahrettinkoca Burası çok önemli, sizin yaptığınızı pratisyen hekim bile yapmazdı, son sınıf tıb ogrencisi de. Eksik yok, ta…</t>
  </si>
  <si>
    <t>1470476543432577029</t>
  </si>
  <si>
    <t>1470476496322113545</t>
  </si>
  <si>
    <t>1470476465082884098</t>
  </si>
  <si>
    <t>1470476439975772170</t>
  </si>
  <si>
    <t>1470476439350874114</t>
  </si>
  <si>
    <t>1470476432069562369</t>
  </si>
  <si>
    <t>RT @ayce_08_53: @drfahrettinkoca Milletimizin vicdanına emanet ettik diyor.🤔Bizde sagligimizi bu ülkenin hastanelerine ,doktorlarına, bakan…</t>
  </si>
  <si>
    <t>1470476409768452102</t>
  </si>
  <si>
    <t>1470476334585495557</t>
  </si>
  <si>
    <t>RT @Yasinyn8722: @drfahrettinkoca Kasıtlı olarak zorunlu  aşılama ve maske zorunluluğu için yeterince bilimsel çalışma olmadan, sözde bilim…</t>
  </si>
  <si>
    <t>1470476333214011395</t>
  </si>
  <si>
    <t>RT @hakaksheghduekk: @drfahrettinkoca Aile sesini duyurmak istiyor Bir twitle destek olur muyuz 👇👇👇 Kaza değil cinayet bu! Evlatları olan b…</t>
  </si>
  <si>
    <t>1470476331787993095</t>
  </si>
  <si>
    <t>1470476307901431824</t>
  </si>
  <si>
    <t>1470476283482152963</t>
  </si>
  <si>
    <t>@drfahrettinkoca https://t.co/kLQuheoWG8</t>
  </si>
  <si>
    <t>1470476228817784842</t>
  </si>
  <si>
    <t>1470476115374489600</t>
  </si>
  <si>
    <t>1470476100862193666</t>
  </si>
  <si>
    <t>RT @babaninoglu6134: @drfahrettinkoca Baştan sona kasıt baştan sona bilerek zulmettiniz!!  Sıyrılmaya çalışmayın sakın  Binlerce bilgi belg…</t>
  </si>
  <si>
    <t>1470476093236948996</t>
  </si>
  <si>
    <t>1470476057216233473</t>
  </si>
  <si>
    <t>1470476007505338376</t>
  </si>
  <si>
    <t>RT @yldz77_: @drfahrettinkoca Lanet olası çalışma bakanlığını unutmuşum. Hukuksuz genelgelerle bir sürü insanımızı aç gözlü patronların ins…</t>
  </si>
  <si>
    <t>1470475957035311113</t>
  </si>
  <si>
    <t>1470475871840612363</t>
  </si>
  <si>
    <t>1470475856086712325</t>
  </si>
  <si>
    <t>1470475841394159622</t>
  </si>
  <si>
    <t>1470475673080848385</t>
  </si>
  <si>
    <t>1470475652327432199</t>
  </si>
  <si>
    <t>1470475642462515210</t>
  </si>
  <si>
    <t>1470475566591709196</t>
  </si>
  <si>
    <t>1470475482885931011</t>
  </si>
  <si>
    <t>1470475347170840578</t>
  </si>
  <si>
    <t>1470475207072694273</t>
  </si>
  <si>
    <t>1470475092480118786</t>
  </si>
  <si>
    <t>RT @LarTutunamayan: @drfahrettinkoca Hastadan dayak yiyince tirübünlere oynayıp algı yapan sağlık çalışanlarınız.Okumak insanın cehlini alı…</t>
  </si>
  <si>
    <t>1470474895045931021</t>
  </si>
  <si>
    <t>1470474788254724099</t>
  </si>
  <si>
    <t>1470474777601187843</t>
  </si>
  <si>
    <t>RT @fizyoterap1st: @drfahrettinkoca Kelimeler kifayetsiz kalıyor artık ne yazarsam yazayım ülkenin başarılı gençlerine yazık ettiniz ahımız…</t>
  </si>
  <si>
    <t>1470474608298102786</t>
  </si>
  <si>
    <t>RT @empireBMW: @drfahrettinkoca Bu bir itirafmıdır. Yanıldık hata ettik. Pardon demekle bu iş bitecek mi ?</t>
  </si>
  <si>
    <t>1470474596092686340</t>
  </si>
  <si>
    <t>RT @Htcyysp: @drfahrettinkoca @saglikbakanligi  @TC_icisleri  @kadinhaklarikom  @aDilipak @Semamarasli @semrakuytul Bugün antalya da otobüs…</t>
  </si>
  <si>
    <t>1470474578136903688</t>
  </si>
  <si>
    <t>1470474562160758799</t>
  </si>
  <si>
    <t>RT @YasakSezgin: @drfahrettinkoca Sağlık yönetimi bölümüne neden atama verilmiyor bir kasıt mı var sayın bakan?</t>
  </si>
  <si>
    <t>1470474545417138179</t>
  </si>
  <si>
    <t>1470474543194124295</t>
  </si>
  <si>
    <t>1470474543118663681</t>
  </si>
  <si>
    <t>1470474533824090114</t>
  </si>
  <si>
    <t>RT @burakdemirci88: @drfahrettinkoca Sana izin verdiler mi konuşuyorsun. Para falan söylemedin dimi?</t>
  </si>
  <si>
    <t>1470474497195220996</t>
  </si>
  <si>
    <t>1470474459513565186</t>
  </si>
  <si>
    <t>1470474450516779010</t>
  </si>
  <si>
    <t>RT @Ayse50916517: @drfahrettinkoca Sağlık yönetimi adalet istiyor</t>
  </si>
  <si>
    <t>1470474216210374659</t>
  </si>
  <si>
    <t>1470473963163856906</t>
  </si>
  <si>
    <t>1470473780480851974</t>
  </si>
  <si>
    <t>1470473765029040131</t>
  </si>
  <si>
    <t>1470473694132768781</t>
  </si>
  <si>
    <t>@drfahrettinkoca hadi gelin beraber sorgulayalım bunu neden #hekimlereylemde ?</t>
  </si>
  <si>
    <t>1470473307027918849</t>
  </si>
  <si>
    <t>1470473275390234631</t>
  </si>
  <si>
    <t>1470473260005568523</t>
  </si>
  <si>
    <t>1470473245409357835</t>
  </si>
  <si>
    <t>1470473001753792513</t>
  </si>
  <si>
    <t>RT @ozeroznuurr: @drfahrettinkoca Diyetisyen, fizyoterapist, psikolog gibi meslekler yine arka plana atılmış KPSS de yüksek başarı sergiled…</t>
  </si>
  <si>
    <t>1470472986834706439</t>
  </si>
  <si>
    <t>1470472961970876417</t>
  </si>
  <si>
    <t>1470472301883838466</t>
  </si>
  <si>
    <t>1470472176943960067</t>
  </si>
  <si>
    <t>RT @nefretediyormm: @drfahrettinkoca Yazıklar olsun size #TBMMsağlıkicinonlineeğitim</t>
  </si>
  <si>
    <t>1470472142022184978</t>
  </si>
  <si>
    <t>RT @TubaAsi2: @drfahrettinkoca Mecliste toplananlar vicdana gelin Türkiye hariç her ülke online eğitime geçti vicdana gelinnn gelinnnn #TBM…</t>
  </si>
  <si>
    <t>1470472124796186634</t>
  </si>
  <si>
    <t>1470472086003101698</t>
  </si>
  <si>
    <t>1470472081481641993</t>
  </si>
  <si>
    <t>1470472062552715270</t>
  </si>
  <si>
    <t>1470472012233596929</t>
  </si>
  <si>
    <t>1470471902166720514</t>
  </si>
  <si>
    <t>1470471817190166545</t>
  </si>
  <si>
    <t>RT @yvztncy: @drfahrettinkoca Seni Allaha havale ettik bu kadar insanın günahı üzerinizde,rabbim sizi ne bu dünyada ne de ahirette cezasız…</t>
  </si>
  <si>
    <t>1470471798231814144</t>
  </si>
  <si>
    <t>1470471774563352578</t>
  </si>
  <si>
    <t>1470471756532097026</t>
  </si>
  <si>
    <t>1470471751402409988</t>
  </si>
  <si>
    <t>1470471740639821824</t>
  </si>
  <si>
    <t>RT @NurtenTurcan3: @drfahrettinkoca Bu ülkede 6284 gibi bir kanun kasıt değil de nedir?erkeği soykırımcı ilan eden,kadını oruspuluğa iten,e…</t>
  </si>
  <si>
    <t>1470471690782224396</t>
  </si>
  <si>
    <t>1470471661745065997</t>
  </si>
  <si>
    <t>1470471616735985675</t>
  </si>
  <si>
    <t>1470471568975400971</t>
  </si>
  <si>
    <t>1470471565556989959</t>
  </si>
  <si>
    <t>RT @ByKobra7: @drfahrettinkoca yarın 16 ya da 17 bin olacak.Sayfamı takip edin yalan söylersem engelleyin direk beni. #TBMMsağlıkiçinonline…</t>
  </si>
  <si>
    <t>1470471482232946699</t>
  </si>
  <si>
    <t>1470471481360584706</t>
  </si>
  <si>
    <t>RT @Timberarchitec: @drfahrettinkoca Millet olarak takdirimiz istifa etmenizdir ve DSÖ bagliliginizdan ötürü Bilim kurulunuz ile birlikte h…</t>
  </si>
  <si>
    <t>1470471468995813386</t>
  </si>
  <si>
    <t>1470471457830539271</t>
  </si>
  <si>
    <t>RT @Narinblack1: @drfahrettinkoca Hastaneler dolup taşarken bir sürü kişi hastalanırken vaka sayısı sadece 18 bin mi?? Türkiye de kesinlikl…</t>
  </si>
  <si>
    <t>1470471445012791297</t>
  </si>
  <si>
    <t>RT @sumeyyepoyrazz: @drfahrettinkoca Adil alım dediğiniz bu muydu bakanım. İki branş dışındakileri söylemiyorsunuz bile. Aylardır oyaladını…</t>
  </si>
  <si>
    <t>1470471399844286469</t>
  </si>
  <si>
    <t>1470471396631449605</t>
  </si>
  <si>
    <t>1470471309197029380</t>
  </si>
  <si>
    <t>1470471293170593794</t>
  </si>
  <si>
    <t>1470471247180054528</t>
  </si>
  <si>
    <t>RT @Onlne2021: @drfahrettinkoca Başlarındaki kadar korkutucu değil mi? Yalnız insanlar hala ölüyor vaka desen patlamış durumda. Nasıl korku…</t>
  </si>
  <si>
    <t>1470471207635984390</t>
  </si>
  <si>
    <t>RT @Yusuf17944329: @drfahrettinkoca https://t.co/YkZksGThAk</t>
  </si>
  <si>
    <t>1470471153676337156</t>
  </si>
  <si>
    <t>1470471136953651214</t>
  </si>
  <si>
    <t>1470471076434137092</t>
  </si>
  <si>
    <t>1470471054988652552</t>
  </si>
  <si>
    <t>1470470756979068928</t>
  </si>
  <si>
    <t>1470470679300653058</t>
  </si>
  <si>
    <t>1470470258289004553</t>
  </si>
  <si>
    <t>RT @EAYDN0000: @drfahrettinkoca Şu emir kipini kullanmaktan bir vazgeç sayın bakan ülke sizin çiftliğiniz değil.Ortada salgın falanda yok,ı…</t>
  </si>
  <si>
    <t>1470470194862690312</t>
  </si>
  <si>
    <t>1470470144530993159</t>
  </si>
  <si>
    <t>1470470021285564420</t>
  </si>
  <si>
    <t>1470470019679203328</t>
  </si>
  <si>
    <t>1470469846232141825</t>
  </si>
  <si>
    <t>1470469836773933056</t>
  </si>
  <si>
    <t>1470469812753252360</t>
  </si>
  <si>
    <t>1470469790535987204</t>
  </si>
  <si>
    <t>1470469757560397830</t>
  </si>
  <si>
    <t>1470469687343562756</t>
  </si>
  <si>
    <t>1470469676257918979</t>
  </si>
  <si>
    <t>1470469660927737862</t>
  </si>
  <si>
    <t>@drfahrettinkoca @sagliklicozum  Tarihi gün geldi çattı.  #SağlıktaBirlikGünü</t>
  </si>
  <si>
    <t>1467641238656630795</t>
  </si>
  <si>
    <t>@drfahrettinkoca @saglikbakanligi @adalet_bakanlik hiç birşey yapmıyor, ölümlere duyarsız. Sağlık Bakanlığında dene… https://t.co/M8I1INjAB8</t>
  </si>
  <si>
    <t>1467627738257367045</t>
  </si>
  <si>
    <t>@drfahrettinkoca Su SMA hastalari neoldu aga????? Gen tedavisi neoldu????  Sende utanma,Allahh korkusu yokmu aga???… https://t.co/LvHeBhZmnq</t>
  </si>
  <si>
    <t>1467623198116171783</t>
  </si>
  <si>
    <t>@drfahrettinkoca Sayın Bakanım Siz koya millet vekilisiniz Sizi her zaman taktir ediyorum Bir Akşehirli olarak Faka… https://t.co/G4C43mwahW</t>
  </si>
  <si>
    <t>1467620727322984454</t>
  </si>
  <si>
    <t>@drfahrettinkoca @saglikbakanligi evet bekliyoruz ne olacak. Her nöbet her pol aynı hikaye.  Yapanın yanına kalıyor… https://t.co/qvIeI3NgFE</t>
  </si>
  <si>
    <t>1467619472882159618</t>
  </si>
  <si>
    <t>@drfahrettinkoca @saglikbakanligi @Hekimsensndk #hekimleristifaediyor #hekimlerhaklarınıistiyor https://t.co/0GH68VDNeq</t>
  </si>
  <si>
    <t>1467619241528635393</t>
  </si>
  <si>
    <t>@drfahrettinkoca sayın bakanım tetkiklerinde arz ederim https://t.co/ImCSpwhi5R</t>
  </si>
  <si>
    <t>1467618722328289281</t>
  </si>
  <si>
    <t>@drfahrettinkoca Reçetisini e-devlet üzerinden gönerdim uzunca bir süre geçtiği halde firizyum ilacı gelmedi.Telefo… https://t.co/TxwhkQ4Zll</t>
  </si>
  <si>
    <t>1467617150361874444</t>
  </si>
  <si>
    <t>@drfahrettinkoca sayın bakanım epilepsi hastası olan oğlumun yurt dışından gelen firizyum adlı ilacı bulamıyoruz</t>
  </si>
  <si>
    <t>1467615967060578311</t>
  </si>
  <si>
    <t>@drfahrettinkoca #hekimlerhaklarınıistiyor https://t.co/ndvBOuxcL3</t>
  </si>
  <si>
    <t>1467615214455635970</t>
  </si>
  <si>
    <t>@drfahrettinkoca @RTErdogan https://t.co/8sX5ujUhb5</t>
  </si>
  <si>
    <t>1467613566152884230</t>
  </si>
  <si>
    <t>@drfahrettinkoca  #sağlıkbakanı https://t.co/ZkUQYJXXdj</t>
  </si>
  <si>
    <t>1467610424774434818</t>
  </si>
  <si>
    <t>@drfahrettinkoca  @saglikbakanligi  Doktorlarınıza sahip çıkmaktan acizsiniz.Çok büyük kaybedeceksiniz farkında değ… https://t.co/tdzU7eCtt9</t>
  </si>
  <si>
    <t>1467608446442819592</t>
  </si>
  <si>
    <t>@drfahrettinkoca sayın bakan, Kartal şehir hastanesinde acil doktorları kafalarına göre odalarını kapatıp hastaları… https://t.co/UNvHkEOjDT</t>
  </si>
  <si>
    <t>1467607414350524428</t>
  </si>
  <si>
    <t>@drfahrettinkoca Sn. Bakan bir yıldır 182 den hangi poliklinik için randevu almak istesem uygun bir randevu yok yoğ… https://t.co/xGJGvBWXsZ</t>
  </si>
  <si>
    <t>1467606654761979904</t>
  </si>
  <si>
    <t>@drfahrettinkoca vakaları yalan söyleyince cidden inanacağımızımı sanıyorsunuz din ile giden Parti'nin her şeyi yalan</t>
  </si>
  <si>
    <t>1467606125679890439</t>
  </si>
  <si>
    <t>@drfahrettinkoca sayın bakanımız takipçisi misiniz vakanın? https://t.co/A35zrTMwLM</t>
  </si>
  <si>
    <t>1467602478019530757</t>
  </si>
  <si>
    <t>@drfahrettinkoca @saglikbakanligi Bu şahıs gerek sağlık emekçilerinin görevini yapmasını engellemekte ve gerekse mu… https://t.co/8MLQUwwoqV</t>
  </si>
  <si>
    <t>1467600900768374786</t>
  </si>
  <si>
    <t>@drfahrettinkoca  @NoContextSag  @saglikbakanligi  @humanistresmi  @caliskanerh  #SMAlılarOEluemeTerkediliyor https://t.co/ypNTD4MKE7</t>
  </si>
  <si>
    <t>1467599399161315338</t>
  </si>
  <si>
    <t>@drfahrettinkoca @sagliklicozum  @saglikbakanligi Safra K. ameliyatım için İKÇÜ'de 6Aralık2021'e gün verildi. PCR t… https://t.co/touzpG4QFR</t>
  </si>
  <si>
    <t>1467594670838624256</t>
  </si>
  <si>
    <t>@drfahrettinkoca https://t.co/OgEqsz5Edo</t>
  </si>
  <si>
    <t>1467592167245897730</t>
  </si>
  <si>
    <t>@drfahrettinkoca hangi hastaneye randevu alsak iptal ediliyor bir insan bu insan ne istiyorsunuz ölmesinimi bir bak… https://t.co/TG4kaMBr8n</t>
  </si>
  <si>
    <t>1467588179360464898</t>
  </si>
  <si>
    <t>@drfahrettinkoca sayın Bakanım böyle bir sağlık sistemi yok olamaz ben babannemi hiç bir hastaneye yatıramıyorum  t… https://t.co/KwkLfdbPr9</t>
  </si>
  <si>
    <t>1467588021365227524</t>
  </si>
  <si>
    <t>@drfahrettinkoca #Hekimlerhaklariniistiyor</t>
  </si>
  <si>
    <t>1467585698865860615</t>
  </si>
  <si>
    <t>@drfahrettinkoca Sayın bakanım kış aylarının en çetin tarihlerinde 8 ve 9 Ocakta AFÖ yüz yüze sınavları kapılı orta… https://t.co/gd9DcdTyfJ</t>
  </si>
  <si>
    <t>1467583748262744064</t>
  </si>
  <si>
    <t>@drfahrettinkoca @ttborgtr @AHEF2008 #Hekimlerhaklariniistiyor https://t.co/kz7cEBAS5y</t>
  </si>
  <si>
    <t>1467581623533289473</t>
  </si>
  <si>
    <t>@drfahrettinkoca  @erolozvar  @tcmeb  #OnlineEğitimGerekli  #onlineEgitimTalepEdiyoruz https://t.co/3VhHpkeI4T</t>
  </si>
  <si>
    <t>1467579485356707847</t>
  </si>
  <si>
    <t>@drfahrettinkoca ne oldu doktor zamları diye sormazlar mı adama</t>
  </si>
  <si>
    <t>1467579134490464258</t>
  </si>
  <si>
    <t>@drfahrettinkoca #hekimlerhaklariniistiyor</t>
  </si>
  <si>
    <t>1467579080791007234</t>
  </si>
  <si>
    <t>@drfahrettinkoca  @tcmeb  @erolozvar  #OnlineİstiyoruzOkulaGitmiyoruz  #OnlineEğitimGerekli… https://t.co/j8z4aIeQLj</t>
  </si>
  <si>
    <t>1467579055935565824</t>
  </si>
  <si>
    <t>1467578950469758977</t>
  </si>
  <si>
    <t>@drfahrettinkoca sen ve @NureddinNebati @tcbestepe nasıl insanlarsınız ya #tıbbicihaz ödemelerini neden yapmıyorsun… https://t.co/C2wCfsgS65</t>
  </si>
  <si>
    <t>1467577390993973255</t>
  </si>
  <si>
    <t>@drfahrettinkoca https://t.co/ktGTrw81zy</t>
  </si>
  <si>
    <t>1467577002744029198</t>
  </si>
  <si>
    <t>@drfahrettinkoca @saglikbakanligi @Akparti @mkulunk bu şekilde aşı olmak istiyorum bende 😀😀 https://t.co/nRh8f4MVmQ</t>
  </si>
  <si>
    <t>1467576713433522185</t>
  </si>
  <si>
    <t>@drfahrettinkoca @fatihaltayli @fatihportakal @cuneytozdemir @yukselhos @ttborgtr @MuratMmturk @srkninci… https://t.co/Tf2e6CZ2MJ</t>
  </si>
  <si>
    <t>1467576282368155653</t>
  </si>
  <si>
    <t>1467573041681022984</t>
  </si>
  <si>
    <t>@drfahrettinkoca #başkentüniversitesihastanesi Doktorları hastalarla ilgilenmiyor. Hemşireler damar yolu açmayı bil… https://t.co/3ufyhpLUjZ</t>
  </si>
  <si>
    <t>1467572330293514248</t>
  </si>
  <si>
    <t>@drfahrettinkoca @RTErdogan @NureddinNebati @lutfielvan #tıbbicihaz Bu kadar insanin yıllarca çalisip didindiği işl… https://t.co/DwOtSr4eRg</t>
  </si>
  <si>
    <t>1467570085275611138</t>
  </si>
  <si>
    <t>@drfahrettinkoca Ne diyeceksin Senin film kurulu üyeleri nasıl aynı zamanda ašï çalışmasını yapanlar oluyor? Siz bu… https://t.co/4HtkSPlzVW</t>
  </si>
  <si>
    <t>1467568888380641282</t>
  </si>
  <si>
    <t>@drfahrettinkoca @saglikbakanligi #hekimlerhaklariniisyor https://t.co/mHQh1fzKsy</t>
  </si>
  <si>
    <t>1467567551161020419</t>
  </si>
  <si>
    <t>@drfahrettinkoca  #hekimlerhaklarınıistiyor https://t.co/N5xawIuQH8</t>
  </si>
  <si>
    <t>1467567459720962051</t>
  </si>
  <si>
    <t>@drfahrettinkoca https://t.co/mHQh1fzKsy</t>
  </si>
  <si>
    <t>1467567261078757376</t>
  </si>
  <si>
    <t>@drfahrettinkoca @RTErdogan https://t.co/kEwkvK2SMz</t>
  </si>
  <si>
    <t>1467566481626079233</t>
  </si>
  <si>
    <t>@drfahrettinkoca doktor bu ne? https://t.co/HaQluyklyJ</t>
  </si>
  <si>
    <t>1467565100953477122</t>
  </si>
  <si>
    <t>@drfahrettinkoca @RTErdogan zulmü kaldırın yeter artık https://t.co/8TgksEF88e</t>
  </si>
  <si>
    <t>1467565052786053126</t>
  </si>
  <si>
    <t>@drfahrettinkoca Sayın Tayyip bey izin alarak mı paylaştın bu sahte verileri. ? Türkiye’de kimse maske takmıyor sok… https://t.co/7UsOIa2IAK</t>
  </si>
  <si>
    <t>1467564121822576648</t>
  </si>
  <si>
    <t>@drfahrettinkoca https://t.co/Rz6pwqHE84</t>
  </si>
  <si>
    <t>1467563882558500866</t>
  </si>
  <si>
    <t>@drfahrettinkoca @haluklevent @DisKamu @AtesAtesKara https://t.co/dq4p7UrYOK</t>
  </si>
  <si>
    <t>1467563795149111311</t>
  </si>
  <si>
    <t>@drfahrettinkoca zam veriyoruz dediğinizde bile topluma yalan söylediniz maaşlarının bi kalemini siliyoruz demedini… https://t.co/oM1K2Tsruz</t>
  </si>
  <si>
    <t>1467561014954709003</t>
  </si>
  <si>
    <t>@drfahrettinkoca  #hekimlerhaklarınıistiyor   Her alanda ayri dert var. Hekimler zor durumda https://t.co/JIaSWaoLE0</t>
  </si>
  <si>
    <t>1467556677943713793</t>
  </si>
  <si>
    <t>@drfahrettinkoca bugün bi 5000 daha zam açıklayın yarın iptal edin sonra bi daha ama açıklarken sağır sultan duysun… https://t.co/8SXsNd6u94</t>
  </si>
  <si>
    <t>1467555136860041229</t>
  </si>
  <si>
    <t>1467554809654005768</t>
  </si>
  <si>
    <t>@drfahrettinkoca   #hekimlerhaklariniistiyor #hekimsendebirlesiyoruz</t>
  </si>
  <si>
    <t>1467554107724640264</t>
  </si>
  <si>
    <t>@drfahrettinkoca https://t.co/c3bQYDmxWp</t>
  </si>
  <si>
    <t>1467553915466047490</t>
  </si>
  <si>
    <t>@drfahrettinkoca https://t.co/aWl63wnX6n</t>
  </si>
  <si>
    <t>1467553692228460551</t>
  </si>
  <si>
    <t>@drfahrettinkoca https://t.co/EoEtIalh3R</t>
  </si>
  <si>
    <t>1467553515799207939</t>
  </si>
  <si>
    <t>@drfahrettinkoca https://t.co/MlCJkYbg1x</t>
  </si>
  <si>
    <t>1467551439199379460</t>
  </si>
  <si>
    <t>@drfahrettinkoca @bengibaser @serapsimsekyvz @mehmetceyhan23 @DrZekiBay @secondvirus @H_Ciloglu @aDilipak… https://t.co/fTc4ft7NIW</t>
  </si>
  <si>
    <t>1467550919348862983</t>
  </si>
  <si>
    <t>@drfahrettinkoca#hekimlerhaklariniistiyor</t>
  </si>
  <si>
    <t>1467550065065697281</t>
  </si>
  <si>
    <t>@drfahrettinkoca BKM Güldür Güldür videosuna bir göz at! #TikTok https://t.co/7kzMoaBuBy</t>
  </si>
  <si>
    <t>1467548681352196101</t>
  </si>
  <si>
    <t>@drfahrettinkoca @bengibaser @serapsimsekyvz @mehmetceyhan23 https://t.co/AWaqA3Aqfk</t>
  </si>
  <si>
    <t>1467546898412228617</t>
  </si>
  <si>
    <t>@drfahrettinkoca @bengibaser @serapsimsekyvz @mehmetceyhan23 @DrZekiBay @secondvirus @H_Ciloglu @aDilipak… https://t.co/Dhi5rGvAuI</t>
  </si>
  <si>
    <t>1467546300413620226</t>
  </si>
  <si>
    <t>@drfahrettinkoca https://t.co/LsRe5v77g8</t>
  </si>
  <si>
    <t>1467546204930203651</t>
  </si>
  <si>
    <t>@drfahrettinkoca https://t.co/dM78KOl2pt</t>
  </si>
  <si>
    <t>1467545929104429057</t>
  </si>
  <si>
    <t>@drfahrettinkoca @saglikbakanligi varsa böyle bir iddia derhal icabına bakılmalı! https://t.co/6dEXFq7JCr</t>
  </si>
  <si>
    <t>1467545321458839553</t>
  </si>
  <si>
    <t>@drfahrettinkoca https://t.co/Kq1ujFmoKC</t>
  </si>
  <si>
    <t>1467545022505566212</t>
  </si>
  <si>
    <t>@drfahrettinkoca 'nın bir türlü yerine gelmeyen vaatleri bir yandan;  duyumcunun, niyetçinin, habercilerin yayınlar… https://t.co/fBkwN26v70</t>
  </si>
  <si>
    <t>1467543643938562053</t>
  </si>
  <si>
    <t>@drfahrettinkoca @bengibaser @serapsimsekyvz @mehmetceyhan23 @DrZekiBay @secondvirus @H_Ciloglu @aDilipak… https://t.co/hw2rVxF7vJ</t>
  </si>
  <si>
    <t>1467543558412550148</t>
  </si>
  <si>
    <t>@drfahrettinkoca ?  #FKUyumaNerede40BinAtama</t>
  </si>
  <si>
    <t>1467543447284461578</t>
  </si>
  <si>
    <t>1467542175223320580</t>
  </si>
  <si>
    <t>@drfahrettinkoca #DoğumsalFelceDurDe</t>
  </si>
  <si>
    <t>1467541145936879627</t>
  </si>
  <si>
    <t>@drfahrettinkoca sayın bakan bu cavit i ne zaman bitireceksiniz artık yeter sıra da hangi varyant var. #biontechyanetki</t>
  </si>
  <si>
    <t>1467540649067044866</t>
  </si>
  <si>
    <t>@drfahrettinkoca https://t.co/01EOqwMA76</t>
  </si>
  <si>
    <t>1467538644785319936</t>
  </si>
  <si>
    <t>@drfahrettinkoca ;  Kenetlenmişsin kalbime ,ilmek ilmek , İşlenmiş gibisin hasretinle , yüreğime , Nereye böyle , a… https://t.co/O63ZSdjjxg</t>
  </si>
  <si>
    <t>1467537642212536327</t>
  </si>
  <si>
    <t>@drfahrettinkoca bakanım nerdesiniz bakanım @drfahrettinkoca #FKUyumaNerede40BinAtama</t>
  </si>
  <si>
    <t>1467536805541072905</t>
  </si>
  <si>
    <t>@drfahrettinkoca https://t.co/C5mOXy4XLq</t>
  </si>
  <si>
    <t>1467536504541089797</t>
  </si>
  <si>
    <t>@drfahrettinkoca @saglikbakanligi @sagliklicozum https://t.co/3vIehUNo4o</t>
  </si>
  <si>
    <t>1468346600540057600</t>
  </si>
  <si>
    <t>@drfahrettinkoca @saglikbakanligi @sagliklicozum https://t.co/7nnHuaGHtF</t>
  </si>
  <si>
    <t>1468346508856733704</t>
  </si>
  <si>
    <t>@drfahrettinkoca @RTErdogan @tcmeb https://t.co/cYPkAi3jaF</t>
  </si>
  <si>
    <t>1468346059625840649</t>
  </si>
  <si>
    <t>@drfahrettinkoca @saglikbakanligi @sagliklicozum @profsaltik @BilimKurulu @ttborgtr @tcmeb https://t.co/XNHhD1CjUr</t>
  </si>
  <si>
    <t>1468345837432586250</t>
  </si>
  <si>
    <t>@drfahrettinkoca sana diyi bakan efendi. Bı onur kırıntısı var mı sizde yahu? https://t.co/zfbA5obFls</t>
  </si>
  <si>
    <t>1468340818444488707</t>
  </si>
  <si>
    <t>@drfahrettinkoca  ve saz ekibin filim kurulun varmısınız? #12AralıktaTaksimdeyiz https://t.co/dhPIDkJVz5</t>
  </si>
  <si>
    <t>1468338956446142464</t>
  </si>
  <si>
    <t>@drfahrettinkoca oku ! Gerçi okuyosundur okumamış gibi yapıyorum pampa modunu takinirsin imanından supheliyim senin… https://t.co/0HK3cnepGb</t>
  </si>
  <si>
    <t>1468337208243408904</t>
  </si>
  <si>
    <t>@drfahrettinkoca @bengibaser @serapsimsekyvz @mehmetceyhan23 https://t.co/kVqWMHbLhS</t>
  </si>
  <si>
    <t>1468336466573107200</t>
  </si>
  <si>
    <t>@drfahrettinkoca sayın bakan neyapacakziniz bekliyoruz https://t.co/HDTVKVaIDM</t>
  </si>
  <si>
    <t>1468334714280886273</t>
  </si>
  <si>
    <t>@drfahrettinkoca @bengibaser @serapsimsekyvz @mehmetceyhan23 @DrZekiBay https://t.co/aq3iSgsPeo</t>
  </si>
  <si>
    <t>1468333623778717705</t>
  </si>
  <si>
    <t>@drfahrettinkoca @saglikbakanligi @sagliklicozum @BilimKurulu @ttborgtr https://t.co/yidS37xKEu</t>
  </si>
  <si>
    <t>1468332922965053446</t>
  </si>
  <si>
    <t>@drfahrettinkoca  @Hekimsensndk @saglikbakanligi @RTErdogan @kilicdarogluk @dbdevletbahceli @T_Karamollaoglu… https://t.co/sJWs3tVVrY</t>
  </si>
  <si>
    <t>1468332828144418821</t>
  </si>
  <si>
    <t>@drfahrettinkoca  @Hekimsensndk @saglikbakanligi @RTErdogan @kilicdarogluk @dbdevletbahceli @T_Karamollaoglu… https://t.co/MABAjkeI6w</t>
  </si>
  <si>
    <t>1468332730563837962</t>
  </si>
  <si>
    <t>@drfahrettinkoca  @Hekimsensndk @saglikbakanligi @RTErdogan @kilicdarogluk @dbdevletbahceli @T_Karamollaoglu… https://t.co/mdx6V7CSfP</t>
  </si>
  <si>
    <t>1468332665652887554</t>
  </si>
  <si>
    <t>@drfahrettinkoca @bengibaser @serapsimsekyvz @tcmeb @saglikbakanligi @sagliklicozum @profsaltik @BilimKurulu… https://t.co/SvNN2mcRSU</t>
  </si>
  <si>
    <t>1468331625222131718</t>
  </si>
  <si>
    <t>@drfahrettinkoca https://t.co/JsL8WbHRUt</t>
  </si>
  <si>
    <t>1468331355998150666</t>
  </si>
  <si>
    <t>@drfahrettinkoca @RTErdogan @tcmeb @saglikbakanligi @sagliklicozum @profsaltik @BilimKurulu @ttborgtr https://t.co/3UjKGRmFL9</t>
  </si>
  <si>
    <t>1468331227002327042</t>
  </si>
  <si>
    <t>@drfahrettinkoca @bengibaser @serapsimsekyvz @mehmetceyhan23 @DrZekiBay @secondvirus @H_Ciloglu @aDilipak… https://t.co/JOM5f5zwz2</t>
  </si>
  <si>
    <t>1468330675472326657</t>
  </si>
  <si>
    <t>@drfahrettinkoca @bengibaser @serapsimsekyvz @mehmetceyhan23 @DrZekiBay @secondvirus @H_Ciloglu @aDilipak… https://t.co/aRQl5uO3OG</t>
  </si>
  <si>
    <t>1468330146113495047</t>
  </si>
  <si>
    <t>@drfahrettinkoca  O gün  geldiğinde, "bilmiyordum, haberim yoktu" bile diyemiyeceksiniz.   Her fırsatta, her şekild… https://t.co/YvcWmclPew</t>
  </si>
  <si>
    <t>1468329809965158413</t>
  </si>
  <si>
    <t>@drfahrettinkoca https://t.co/WK2HphG3ra</t>
  </si>
  <si>
    <t>1468326314943918086</t>
  </si>
  <si>
    <t>@drfahrettinkoca  @RTErdogan https://t.co/9Dw6gIY8T7</t>
  </si>
  <si>
    <t>1468325993504985096</t>
  </si>
  <si>
    <t>@drfahrettinkoca #sonhekimgitmeden https://t.co/kpJXAEwMSl</t>
  </si>
  <si>
    <t>1468324587461136393</t>
  </si>
  <si>
    <t>@drfahrettinkoca Sayın bakanım siz evde kal dedikçe @VakifBank çok basit bir işlem için şubeye çağrıyor. Sizi dinle… https://t.co/PqbhcEFg3D</t>
  </si>
  <si>
    <t>1468322907965337606</t>
  </si>
  <si>
    <t>@drfahrettinkoca @RTErdogan devlet baba farkinda mi uzman doktor maaşları ek ödeme nöbet dahil 800 euro dünyada anc… https://t.co/aKjjFBbRMC</t>
  </si>
  <si>
    <t>1468322849572241421</t>
  </si>
  <si>
    <t>@drfahrettinkoca @saglikbakanligi @sagliklicozum  #SonHekimGitmeden</t>
  </si>
  <si>
    <t>1468321485026734092</t>
  </si>
  <si>
    <t>@drfahrettinkoca artık doktolarımız 36 saat çalılmayacak demişti ama hala doktorlar insan hayatına aykırı olmasına… https://t.co/6wGHbT4FIr</t>
  </si>
  <si>
    <t>1468317510776889345</t>
  </si>
  <si>
    <t>@drfahrettinkoca @RTErdogan  duyun sesimizi lütfen!!! https://t.co/E4BIsAj6tB</t>
  </si>
  <si>
    <t>1468317244648267779</t>
  </si>
  <si>
    <t>@drfahrettinkoca</t>
  </si>
  <si>
    <t>1468316548410621952</t>
  </si>
  <si>
    <t>1468312503629275144</t>
  </si>
  <si>
    <t>@drfahrettinkoca https://t.co/UcdhmP053Z</t>
  </si>
  <si>
    <t>1468312466987835393</t>
  </si>
  <si>
    <t>@drfahrettinkoca 36</t>
  </si>
  <si>
    <t>1468311990036803596</t>
  </si>
  <si>
    <t>@drfahrettinkoca https://t.co/rlhe7buow2</t>
  </si>
  <si>
    <t>1468307197801152518</t>
  </si>
  <si>
    <t>@drfahrettinkoca her daim neden 6</t>
  </si>
  <si>
    <t>1468306010158813187</t>
  </si>
  <si>
    <t>@drfahrettinkoca …sen harbiden aşı oldun mu …? https://t.co/46Gs4YzgaV</t>
  </si>
  <si>
    <t>1468304726014021633</t>
  </si>
  <si>
    <t>@drfahrettinkoca Marmara Üniversitesi Pendik hastanesinde iki gündür acilde müşahade odasında müdahale edilen ağır… https://t.co/4kdOUwjG4U</t>
  </si>
  <si>
    <t>1468304574456938505</t>
  </si>
  <si>
    <t>@drfahrettinkoca https://t.co/16c6QQVGbv</t>
  </si>
  <si>
    <t>1468304367484821513</t>
  </si>
  <si>
    <t>@drfahrettinkoca https://t.co/6iaWG1tswf</t>
  </si>
  <si>
    <t>1468304179034791938</t>
  </si>
  <si>
    <t>@drfahrettinkoca . #SağlıkçıyıOyalamaYılı</t>
  </si>
  <si>
    <t>1468303796778508290</t>
  </si>
  <si>
    <t>@drfahrettinkoca  #SağlıkçıyıOyalamaYılı</t>
  </si>
  <si>
    <t>1468303572664307714</t>
  </si>
  <si>
    <t>@drfahrettinkoca https://t.co/76Tbw7G5NG</t>
  </si>
  <si>
    <t>1468303167528095755</t>
  </si>
  <si>
    <t>@drfahrettinkoca #Sondakika 🟠 Z kuşağı  #kabinezkuşağıonlineistiyor tagı ile MEB ve YÖK'e sesleniyor .   Duyun şu ö… https://t.co/OX2LvT4OmA</t>
  </si>
  <si>
    <t>1468299493800095746</t>
  </si>
  <si>
    <t>1468297737909248009</t>
  </si>
  <si>
    <t>@drfahrettinkoca Dün yapılan hemşirelerin boykotu nedeniyle 76 yaşındaki zor randevü almış annemi 1 saatlik yolu çe… https://t.co/TOYjLDkhF3</t>
  </si>
  <si>
    <t>1468296330212790277</t>
  </si>
  <si>
    <t>@drfahrettinkoca @RTErdogan hadi artık sağlıkçılar bekliyor #CBonaylaKOCAkılavuzuYayımla</t>
  </si>
  <si>
    <t>1468296003140919307</t>
  </si>
  <si>
    <t>@drfahrettinkoca https://t.co/SjmrkJleP4</t>
  </si>
  <si>
    <t>1468295749955948547</t>
  </si>
  <si>
    <t>@drfahrettinkoca https://t.co/7MEuyRUdvw</t>
  </si>
  <si>
    <t>1468294391777435648</t>
  </si>
  <si>
    <t>@drfahrettinkoca https://t.co/jU7b4or5zm</t>
  </si>
  <si>
    <t>1468291824544538631</t>
  </si>
  <si>
    <t>@drfahrettinkoca https://t.co/xdmeUzO8J0</t>
  </si>
  <si>
    <t>1468291623587037189</t>
  </si>
  <si>
    <t>@drfahrettinkoca https://t.co/o87ISGbxI9</t>
  </si>
  <si>
    <t>1468291439234854912</t>
  </si>
  <si>
    <t>@drfahrettinkoca Pandemi nedeniyle fırsat bulunamadı herhalde. https://t.co/JZ12CZrXYA</t>
  </si>
  <si>
    <t>1468291415776149507</t>
  </si>
  <si>
    <t>@drfahrettinkoca sayın bakan sağlık çalışanları arasında ünvana göre zam yaptığınız için personel arasında müthiş b… https://t.co/A6c10cT88I</t>
  </si>
  <si>
    <t>1468289469002526722</t>
  </si>
  <si>
    <t>@drfahrettinkoca @saglikbakanligi bu hekim arkadaşımızın basın önünde ödüllendirilmesi mükemmel olmaz mı? #Maske… https://t.co/g2ePyR8vp0</t>
  </si>
  <si>
    <t>1468288177660211201</t>
  </si>
  <si>
    <t>1468287333577330689</t>
  </si>
  <si>
    <t>@drfahrettinkoca @cuneytozdemir @esaskenan @avukatergunn Çok güldürdü çok. 😂😂😂: https://t.co/rK3PY0O545</t>
  </si>
  <si>
    <t>1468286894307950595</t>
  </si>
  <si>
    <t>@drfahrettinkoca bakanım klavuzu bekliyoruz bu gece stresten değil heyecandan uyuyamayalım  #CBonaylaKOCAkılavuzuYayımla</t>
  </si>
  <si>
    <t>1468286840117600261</t>
  </si>
  <si>
    <t>@drfahrettinkoca   @RTErdogan   #CBonaylaKOCAkılavuzuYayımla</t>
  </si>
  <si>
    <t>1468285840136843271</t>
  </si>
  <si>
    <t>@drfahrettinkoca 🤲  #CBonaylaKOCAkılavuzuYayımla</t>
  </si>
  <si>
    <t>1468284749273833479</t>
  </si>
  <si>
    <t>@drfahrettinkoca sayın bakanım #SonHekimGitmeden lütfen hekimlere kulak verin. ülkede yeterli sayıda hekim kalmadığında telafisi olmayacak</t>
  </si>
  <si>
    <t>1468283673959096323</t>
  </si>
  <si>
    <t>@drfahrettinkoca sayın bakan hastanelerde sadece doktorlarmı çalışmakta? hastalarla daha çok temas halinde olan hem… https://t.co/S49wRwmlkd</t>
  </si>
  <si>
    <t>1468283615020830721</t>
  </si>
  <si>
    <t>@drfahrettinkoca @kilicdarogluk @meral_aksener https://t.co/8zd6ofb9yO</t>
  </si>
  <si>
    <t>1468282763350581251</t>
  </si>
  <si>
    <t>@drfahrettinkoca klavuzu istiyoruz   #CBonaylaKOCAkılavuzuYayımla</t>
  </si>
  <si>
    <t>1468282610019356677</t>
  </si>
  <si>
    <t>@drfahrettinkoca   #CBonaylaKOCAkılavuzuYayımla https://t.co/Uattj5hmcl</t>
  </si>
  <si>
    <t>1468282521423130624</t>
  </si>
  <si>
    <t>@drfahrettinkoca  #CBonaylaKOCAkılavuzuYayımla</t>
  </si>
  <si>
    <t>1468280514616430594</t>
  </si>
  <si>
    <t>@drfahrettinkoca @RTErdogan #CBonaylaKOCAkılavuzuYayımla</t>
  </si>
  <si>
    <t>1468280493347160068</t>
  </si>
  <si>
    <t>@drfahrettinkoca bekliyoruz bakanım   #CBonaylaKOCAkılavuzuYayımla</t>
  </si>
  <si>
    <t>1468280098726023175</t>
  </si>
  <si>
    <t>1468279067732553733</t>
  </si>
  <si>
    <t>@drfahrettinkoca @RTErdogan @halis_aygun #CBonaylaKOCAkılavuzuYayımla</t>
  </si>
  <si>
    <t>1468279031225278469</t>
  </si>
  <si>
    <t>@drfahrettinkoca @haluklevent @haintrn https://t.co/ucb8Hm8FJI</t>
  </si>
  <si>
    <t>1468277885144293377</t>
  </si>
  <si>
    <t>@drfahrettinkoca @fatihaltayli @meral_aksener @kilicdarogluk https://t.co/GVtCtATTuo</t>
  </si>
  <si>
    <t>1468276637615730697</t>
  </si>
  <si>
    <t>@drfahrettinkoca sizden beklentiler:  -Sağlıkta şiddete kesin çözüm -İnsani ve hakkaniyetli şartlarda asistanlık eğ… https://t.co/fx4OhSsXfa</t>
  </si>
  <si>
    <t>1468275282536771594</t>
  </si>
  <si>
    <t>@drfahrettinkoca   Bunu bize neden reva gördünüz ? https://t.co/1Xi8lxaqXm</t>
  </si>
  <si>
    <t>1468273851679322117</t>
  </si>
  <si>
    <t>@drfahrettinkoca @saglikbakanligi @SaHaDernegi @saglikperssonel @SaglTum @saglikcalisanla @selcukktepeli @FOXhaber https://t.co/5Yltk5FKr3</t>
  </si>
  <si>
    <t>1468273681113698317</t>
  </si>
  <si>
    <t>@drfahrettinkoca https://t.co/rL38UhNw3M</t>
  </si>
  <si>
    <t>1468270766244442114</t>
  </si>
  <si>
    <t>@drfahrettinkoca @fatihaltayli @kubrapc @vekilince @SerapBelet #SonHekimGitmeden https://t.co/5jcZfnkNTW</t>
  </si>
  <si>
    <t>1468269711196569604</t>
  </si>
  <si>
    <t>@drfahrettinkoca  #SonHekimGitmeden  #hekimlerhaklarınıistiyor  #hekimleristifaediyor</t>
  </si>
  <si>
    <t>1468267589973467137</t>
  </si>
  <si>
    <t>@drfahrettinkoca  sayin sağlık bakanım erzurum tek özel hastahanesi ve acil servisi tıklım tıklım https://t.co/jgijP9ASpc</t>
  </si>
  <si>
    <t>1468265780508831744</t>
  </si>
  <si>
    <t>@drfahrettinkoca @fatihportakal https://t.co/kmTQ7mbXfC</t>
  </si>
  <si>
    <t>1468265652024664069</t>
  </si>
  <si>
    <t>@drfahrettinkoca #SonHekimGitmeden https://t.co/qDUcSvyTN6</t>
  </si>
  <si>
    <t>1468265264030564360</t>
  </si>
  <si>
    <t>@drfahrettinkoca biliyorum çok ilginizi çekmiyor ama yine de paylaşmak istiyorum hani belki insafiniza geliriz https://t.co/KVuUiMP6CN</t>
  </si>
  <si>
    <t>1468264178930655235</t>
  </si>
  <si>
    <t>@drfahrettinkoca #SağlıkcıGrevde https://t.co/qCXr9fkBSU</t>
  </si>
  <si>
    <t>1468264098336940032</t>
  </si>
  <si>
    <t>@drfahrettinkoca @TC_icisleri @adalet_bakanlik https://t.co/dlLxuLV5l6</t>
  </si>
  <si>
    <t>1468263193906659328</t>
  </si>
  <si>
    <t>@drfahrettinkoca @Akparti @RTErdogan @mkulunk @samiltayyar27 @birincimucahit @BY @alpayozalan35 millete zülm etmekt… https://t.co/JVDblLQ2Q6</t>
  </si>
  <si>
    <t>1468262188796329984</t>
  </si>
  <si>
    <t>@drfahrettinkoca @saglikbakanligi @acilafetgovtr @suayipbirinci @Ghanevalilik @celalettin_kose #günyüzü köyü,… https://t.co/iSP0KyoFHa</t>
  </si>
  <si>
    <t>1468262110484381699</t>
  </si>
  <si>
    <t>@drfahrettinkoca beklemeye devam ediyoruz. #CBonaylaKOCAkılavuzuYayımla</t>
  </si>
  <si>
    <t>1468261095840358404</t>
  </si>
  <si>
    <t>@drfahrettinkoca  sayın bakanım size söyle bişey desem ben temaslıyım aşısızım .Karantinayı kabul etmiyorum desem n… https://t.co/2fMwZVKfJg</t>
  </si>
  <si>
    <t>1468259158705254411</t>
  </si>
  <si>
    <t>@drfahrettinkoca Umut aşısı varmı gönüllüsü olmak istiyorum. Bu kadar umutsuzluk ve bitkinlik bana göre değil. Haya… https://t.co/R6uC8uGAYt</t>
  </si>
  <si>
    <t>1468258055351582732</t>
  </si>
  <si>
    <t>@drfahrettinkoca https://t.co/7BEEyLbyGN</t>
  </si>
  <si>
    <t>1468256934277095425</t>
  </si>
  <si>
    <t>@drfahrettinkoca   #CBonaylaKOCAkılavuzuYayımla https://t.co/2DYraYBTzi</t>
  </si>
  <si>
    <t>1468255500928225281</t>
  </si>
  <si>
    <t>@drfahrettinkoca @NureddinNebati @HmbSosyalMedya @HMBakanligi @sagliklicozum @saglikbakanligi #tıbbicihaz… https://t.co/3lnDCifLhH</t>
  </si>
  <si>
    <t>1468252936329379842</t>
  </si>
  <si>
    <t>@drfahrettinkoca 2020 kpss puanları heba oluyor #CBonaylaKOCAkılavuzuYayımla</t>
  </si>
  <si>
    <t>1468251980904599555</t>
  </si>
  <si>
    <t>@drfahrettinkoca  beklemeye devam ediyoruz #CBonaylaKOCAkılavuzuYayımla</t>
  </si>
  <si>
    <t>1468251510765195274</t>
  </si>
  <si>
    <t>@drfahrettinkoca açıklama bekliyoruz bakanım  #CBonaylaKOCAkılavuzuYayımla</t>
  </si>
  <si>
    <t>1468251360453967877</t>
  </si>
  <si>
    <t>1468246111634796551</t>
  </si>
  <si>
    <t>@drfahrettinkoca Sayın bakanım.Diş hek.olarak çalışıyorum.Ben sağlık çalışanlarına ilişkin 4. aşı açıklamanıza isti… https://t.co/SEn7KcjZW3</t>
  </si>
  <si>
    <t>1468244640935682058</t>
  </si>
  <si>
    <t>@drfahrettinkoca @RTErdogan @gozdekirisciogl @fuatoktay @kilicdarogluk @selcukktepeli @FOXhaber… https://t.co/NkPNKac9kG</t>
  </si>
  <si>
    <t>1468243909163859968</t>
  </si>
  <si>
    <t>@drfahrettinkoca#CBonaylaKOCAkılavuzuYayımla</t>
  </si>
  <si>
    <t>1468243343809433614</t>
  </si>
  <si>
    <t>@drfahrettinkoca @RTErdogan @mehmetceyhan23 @DrZekiBay @bengibaser @serapsimsekyvz @tcmeb @saglikbakanligi… https://t.co/YCtug69szi</t>
  </si>
  <si>
    <t>1468243295050547209</t>
  </si>
  <si>
    <t>@drfahrettinkoca @RTErdogan 40 bin sağlıkçı alacağız dediklerinde hemen klavuz gelir zannetmiştim.  #CBonaylaKOCAkılavuzuYayımla</t>
  </si>
  <si>
    <t>1468242922994819072</t>
  </si>
  <si>
    <t>@drfahrettinkoca  Alın size belge virüsü kim yayıyor Aşılama dozları ve vaka oranları Virüs ü aşılanmışlar yayar ve… https://t.co/lFnfGn5Oo4</t>
  </si>
  <si>
    <t>1468241963052851201</t>
  </si>
  <si>
    <t>@drfahrettinkoca  Daha ne kadar bekleyeceğiz, daha ne kadar oyalayacağız.  #CBonaylaKOCAkılavuzuYayımla</t>
  </si>
  <si>
    <t>1468241904483590157</t>
  </si>
  <si>
    <t>@drfahrettinkoca @saglikbakanligi https://t.co/1rjProu15J</t>
  </si>
  <si>
    <t>1468240850815754256</t>
  </si>
  <si>
    <t>@drfahrettinkoca @saglikbakanligi @RTErdogan @Akparti buna verecek cevabınız var mı?? https://t.co/LXmpDuj78X</t>
  </si>
  <si>
    <t>1468235167873572874</t>
  </si>
  <si>
    <t>@drfahrettinkoca @diyanetbasin hastanelerde klozet rezilliğine son verin, bizler müslümanız klozetler pislik yuvası… https://t.co/yjusLQjmKA</t>
  </si>
  <si>
    <t>1468233989559308289</t>
  </si>
  <si>
    <t>1468232620119109651</t>
  </si>
  <si>
    <t>1468232510475747330</t>
  </si>
  <si>
    <t>@drfahrettinkoca omicron'un türkiye'ye geldiğini söyle artık!! #kabineuzaktaneğitimsart</t>
  </si>
  <si>
    <t>1468230534623080451</t>
  </si>
  <si>
    <t>@drfahrettinkoca türk milletine yapılan  Eziyetlerden demekki mutlu https://t.co/0BMU0a6GC9</t>
  </si>
  <si>
    <t>1468228512234545161</t>
  </si>
  <si>
    <t>@drfahrettinkoca  gelsin artık #CBonaylaKOCAkılavuzuYayımla</t>
  </si>
  <si>
    <t>1468224526232297472</t>
  </si>
  <si>
    <t>@drfahrettinkoca @saglikbakanligi @adalet_bakanlik @abdulhamitgul Tek soru adliyede bir savcı beye bir hakim beye m… https://t.co/FxMDvs9w4Y</t>
  </si>
  <si>
    <t>1468223738579726341</t>
  </si>
  <si>
    <t>@drfahrettinkoca  nerde #SağlıkçıGrevde</t>
  </si>
  <si>
    <t>1468223508023070727</t>
  </si>
  <si>
    <t>@drfahrettinkoca 1. #CBonaylaKOCAkılavuzuYayımla</t>
  </si>
  <si>
    <t>1468223160550137866</t>
  </si>
  <si>
    <t>@drfahrettinkoca ..... #CBonaylaKOCAkılavuzuYayımla</t>
  </si>
  <si>
    <t>1468223087502102528</t>
  </si>
  <si>
    <t>@drfahrettinkoca ay bitiyor artık gelsin klavuz #CBonaylaKOCAkılavuzuYayımla</t>
  </si>
  <si>
    <t>1468222960368504834</t>
  </si>
  <si>
    <t>@drfahrettinkoca  #CBonaylaKOCAkılavuzuYayımla https://t.co/o2YiqeQwqc</t>
  </si>
  <si>
    <t>1468222485942439936</t>
  </si>
  <si>
    <t>@drfahrettinkoca @RTErdogan  #CBonaylaKOCAkılavuzuYayımla Koca bey  biz hz Eyüp (s.a) değiliz biz düz insaniz bizim o kadar sabrımız yok ...</t>
  </si>
  <si>
    <t>1468221891009818628</t>
  </si>
  <si>
    <t>@drfahrettinkoca @OSYMbaskanligi #CBonaylaKOCAkılavuzuYayımla</t>
  </si>
  <si>
    <t>1468221713695617030</t>
  </si>
  <si>
    <t>@drfahrettinkoca  ne diyorsun bu haberlere gerçi zerre mushaf bir yetki sahibi olmadığını Erdoğan'a ,dizlerin titre… https://t.co/QSYhxsHfqn</t>
  </si>
  <si>
    <t>1468221178187853828</t>
  </si>
  <si>
    <t>@drfahrettinkoca sayın bakanım Ankara Keçiören de hastaneler bir bir kapatılıyor şehir hastanelerine gönderiliyor,… https://t.co/rLL2rvqVPK</t>
  </si>
  <si>
    <t>1468220836658225156</t>
  </si>
  <si>
    <t>@drfahrettinkoca klavuz gelsin. #CBonaylaKOCAkılavuzuYayımla</t>
  </si>
  <si>
    <t>1468220283161034764</t>
  </si>
  <si>
    <t>@drfahrettinkoca *  #CBonaylaKOCAkılavuzuYayımla</t>
  </si>
  <si>
    <t>1468220036506599434</t>
  </si>
  <si>
    <t>@drfahrettinkoca @RTErdogan online  #kabineuzaktaneğitimşart</t>
  </si>
  <si>
    <t>1468219991157882882</t>
  </si>
  <si>
    <t>1468219900137254914</t>
  </si>
  <si>
    <t>@drfahrettinkoca @drfahrettinkoca @BilimKurulu_ #kabineuzaktaneğitimşart</t>
  </si>
  <si>
    <t>1468219872106668039</t>
  </si>
  <si>
    <t>@drfahrettinkoca bakınız. Gören göz için burda neden #hekimleristifaediyor un 3-4 tane yanıtı var. https://t.co/NJ3XC8AGzc</t>
  </si>
  <si>
    <t>1468219673401561096</t>
  </si>
  <si>
    <t>@drfahrettinkoca   https://t.co/7SBBWkJjLV</t>
  </si>
  <si>
    <t>1465093520537047046</t>
  </si>
  <si>
    <t>@drfahrettinkoca @RTErdogan zulmü kaldırın yeter artık insanlar ölmesin... https://t.co/umjLuoqG3q</t>
  </si>
  <si>
    <t>1465082170725306370</t>
  </si>
  <si>
    <t>@drfahrettinkoca  adlı kişiye yanıt olarak Sayın bakanım doktora şiddede karşıyız.Bu yüzden bu ülkede 6000 e yakın… https://t.co/KS1TRUquTQ</t>
  </si>
  <si>
    <t>1465073106721157129</t>
  </si>
  <si>
    <t>@drfahrettinkoca @selcukktepeli #MebYökKurtuluşUzaktanEğitim</t>
  </si>
  <si>
    <t>1465073031643078665</t>
  </si>
  <si>
    <t>@drfahrettinkoca @saglikbakanligi @tcbestepe @RTErdogan Eskişehir Osmangazi hastenesindeki durum hastaya çarşaf bul… https://t.co/Xmd8I8XFvb</t>
  </si>
  <si>
    <t>1465072493442613250</t>
  </si>
  <si>
    <t>@drfahrettinkoca Söylediğiniz nerdeyse herşeyin tersi ve etkisiz ilaçlar ortaya çıktıkça, imdadınıza yeni varyantla… https://t.co/EJNejxnB38</t>
  </si>
  <si>
    <t>1465063467107422214</t>
  </si>
  <si>
    <t>@drfahrettinkoca https://t.co/0g8SLSF06P</t>
  </si>
  <si>
    <t>1465061825305796611</t>
  </si>
  <si>
    <t>@drfahrettinkoca @RTErdogan https://t.co/BG1Z5vooDu</t>
  </si>
  <si>
    <t>1465061326171037697</t>
  </si>
  <si>
    <t>@drfahrettinkoca Tügva gibi vakıflara para harcamak yerine bu çocuklara, ailelere çare bulunsun lütfen. https://t.co/hepOoGc0XK</t>
  </si>
  <si>
    <t>1465060423577874445</t>
  </si>
  <si>
    <t>@drfahrettinkoca Syn. Fahrettin bakanım artık sevenleri kavuşturabilir miyiz? @Fatique6</t>
  </si>
  <si>
    <t>1465055150649847809</t>
  </si>
  <si>
    <t>@drfahrettinkoca @sagliklicozum @saglikbakanligi  Artık yoruldum psikolojik dengem kalmadı ...</t>
  </si>
  <si>
    <t>1465054754040684563</t>
  </si>
  <si>
    <t>@drfahrettinkoca senle aramızda çok toksik bir ilişki var ve bu çok özel.</t>
  </si>
  <si>
    <t>1465053991495213063</t>
  </si>
  <si>
    <t>@drfahrettinkoca @RTErdogan  Tıpta uzmanlık sınavı, asistanlık sınavı tus sınavı sisteminin Değişmesini İSTEMİYORUZ… https://t.co/QyroLk79DR</t>
  </si>
  <si>
    <t>1465051360425037836</t>
  </si>
  <si>
    <t>@drfahrettinkoca Hocam gözünüzü seveyim nolur inanmamızı beklemeyin ya ! Hiç mi değişiklik olmaz. Takıldı yine 20 b… https://t.co/FsiBD0gzWp</t>
  </si>
  <si>
    <t>1465050353561444372</t>
  </si>
  <si>
    <t>@drfahrettinkoca  Sayın bakan dikkatinize havuz kanallarında bakın Canan Karatay ne diyor https://t.co/ERapQoBLKP</t>
  </si>
  <si>
    <t>1465046386827747335</t>
  </si>
  <si>
    <t>@drfahrettinkoca Tüm sınırlar kapatılmalı.Sizce?</t>
  </si>
  <si>
    <t>1465046338106703872</t>
  </si>
  <si>
    <t>@drfahrettinkoca göreve davet ediyoruz sizi.. https://t.co/baBCgyDTQl</t>
  </si>
  <si>
    <t>1465045275853135877</t>
  </si>
  <si>
    <t>@drfahrettinkoca @mehmetceyhan23 siz yalanda zirve Gunahta Lider insanlıktan cıkmada dunya şampiyonusunjz https://t.co/RZblB0yKbg</t>
  </si>
  <si>
    <t>1465044893773013002</t>
  </si>
  <si>
    <t>@drfahrettinkoca  @saglikbakanligi  @SavcilikC  @SiberayEGM https://t.co/mmT2XW0G3S https://t.co/SFwnqo3T9C</t>
  </si>
  <si>
    <t>1464014931913760772</t>
  </si>
  <si>
    <t>@drfahrettinkoca @drkaracenk  evet cevap veremeyen aşı yanlısı Dr ve bakanlığa gelsin bu https://t.co/wARZY7HdbY</t>
  </si>
  <si>
    <t>1464009331465142274</t>
  </si>
  <si>
    <t>@drfahrettinkoca  @vedatbilgn   hazır tahsisi yapılmış iken  #HBYS ihalesinde çalışan hastane bilgiişlem personelle… https://t.co/EA63C00GfO</t>
  </si>
  <si>
    <t>1464005217717039107</t>
  </si>
  <si>
    <t>@drfahrettinkoca  @vedatbilgn   hazır tahsisi yapılmış iken  #HBYS ihalesinde çalışan hastane bilgiişlem personelle… https://t.co/BTe6T1Rvfi</t>
  </si>
  <si>
    <t>1464005102138793989</t>
  </si>
  <si>
    <t>@drfahrettinkoca  @vedatbilgn   hazır tahsisi yapılmış iken  #HBYS ihalesinde çalışan hastane bilgiişlem personelle… https://t.co/k2b6sy8g4c</t>
  </si>
  <si>
    <t>1464004991111344139</t>
  </si>
  <si>
    <t>@drfahrettinkoca  @vedatbilgn   hazır tahsisi yapılmış iken  #HBYS ihalesinde çalışan hastane bilgiişlem personelle… https://t.co/jXdtwzOUfz</t>
  </si>
  <si>
    <t>1464004960874635267</t>
  </si>
  <si>
    <t>@drfahrettinkoca  @vedatbilgn   hazır tahsisi yapılmış iken  #HBYS ihalesinde çalışan hastane bilgiişlem personelle… https://t.co/eW9iS56IqR</t>
  </si>
  <si>
    <t>1464004834588303368</t>
  </si>
  <si>
    <t>@drfahrettinkoca  @vedatbilgn   hazır tahsisi yapılmış iken  #HBYS ihalesinde çalışan hastane bilgiişlem personelle… https://t.co/PbOSGd209o</t>
  </si>
  <si>
    <t>1464004739448852483</t>
  </si>
  <si>
    <t>@drfahrettinkoca  @vedatbilgn   hazır tahsisi yapılmış iken  #HBYS ihalesinde çalışan hastane bilgiişlem personelle… https://t.co/gHJxWt8JRf</t>
  </si>
  <si>
    <t>1464002294240923652</t>
  </si>
  <si>
    <t>@drfahrettinkoca  @vedatbilgn   hazır tahsisi yapılmış iken  #HBYS ihalesinde çalışan hastane bilgiişlem personelle… https://t.co/gPIglv1ucj</t>
  </si>
  <si>
    <t>1464002281926447110</t>
  </si>
  <si>
    <t>@drfahrettinkoca  @vedatbilgn   hazır tahsisi yapılmış iken  #HBYS ihalesinde çalışan hastane bilgiişlem personelle… https://t.co/vIsOLq0L0v</t>
  </si>
  <si>
    <t>1464002072362237954</t>
  </si>
  <si>
    <t>@drfahrettinkoca  @vedatbilgn   hazır tahsisi yapılmış iken  #HBYS ihalesinde çalışan hastane bilgiişlem personelle… https://t.co/XuNZTmov4L</t>
  </si>
  <si>
    <t>1464001985401790467</t>
  </si>
  <si>
    <t>@drfahrettinkoca  @vedatbilgn   hazır tahsisi yapılmış iken  #HBYS ihalesinde çalışan hastane bilgiişlem personelle… https://t.co/KcKp67ufNJ</t>
  </si>
  <si>
    <t>1464001904166510592</t>
  </si>
  <si>
    <t>@drfahrettinkoca  @vedatbilgn   hazır tahsisi yapılmış iken  #HBYS ihalesinde çalışan hastane bilgiişlem personelle… https://t.co/1EbZs6sOpb</t>
  </si>
  <si>
    <t>1463996883240685569</t>
  </si>
  <si>
    <t>@drfahrettinkoca  @vedatbilgn   hazır tahsisi yapılmış iken  #HBYS ihalesinde çalışan hastane bilgiişlem personelle… https://t.co/WK4ZVQf3ni</t>
  </si>
  <si>
    <t>1463996562095419400</t>
  </si>
  <si>
    <t>@drfahrettinkoca  @vedatbilgn   hazır tahsisi yapılmış iken  #HBYS ihalesinde çalışan hastane bilgiişlem personelle… https://t.co/DZXM20Iavf</t>
  </si>
  <si>
    <t>1463996524216688646</t>
  </si>
  <si>
    <t>@drfahrettinkoca  @vedatbilgn   hazır tahsisi yapılmış iken  #HBYS ihalesinde çalışan hastane bilgiişlem personelle… https://t.co/GKNukoFNHP</t>
  </si>
  <si>
    <t>1463996419505901583</t>
  </si>
  <si>
    <t>@drfahrettinkoca  @vedatbilgn   hazır tahsisi yapılmış iken  #HBYS ihalesinde çalışan hastane bilgiişlem personelle… https://t.co/5zmFtbGoB2</t>
  </si>
  <si>
    <t>1463996361272180746</t>
  </si>
  <si>
    <t>@drfahrettinkoca  @vedatbilgn   hazır tahsisi yapılmış iken  #HBYS ihalesinde çalışan hastane bilgiişlem personelle… https://t.co/1XjHDhcchr</t>
  </si>
  <si>
    <t>1463996310118359049</t>
  </si>
  <si>
    <t>@drfahrettinkoca  @vedatbilgn   hazır tahsisi yapılmış iken  #HBYS ihalesinde çalışan hastane bilgiişlem personelle… https://t.co/0JDxqj4XT8</t>
  </si>
  <si>
    <t>1463996173899939847</t>
  </si>
  <si>
    <t>@drfahrettinkoca  @vedatbilgn   hazır tahsisi yapılmış iken  #HBYS ihalesinde çalışan hastane bilgiişlem personelle… https://t.co/exCvUWMuVw</t>
  </si>
  <si>
    <t>1463996135987728387</t>
  </si>
  <si>
    <t>@drfahrettinkoca  @vedatbilgn   hazır tahsisi yapılmış iken  #HBYS ihalesinde çalışan hastane bilgiişlem personelle… https://t.co/QKG2OuLdJx</t>
  </si>
  <si>
    <t>1463996069885489157</t>
  </si>
  <si>
    <t>@drfahrettinkoca  @vedatbilgn   hazır tahsisi yapılmış iken  #HBYS ihalesinde çalışan hastane bilgiişlem personelle… https://t.co/b1eyMSncjt</t>
  </si>
  <si>
    <t>1463996061601697794</t>
  </si>
  <si>
    <t>@drfahrettinkoca  @vedatbilgn   hazır tahsisi yapılmış iken  #HBYS ihalesinde çalışan hastane bilgiişlem personelle… https://t.co/n5j3tkPP5M</t>
  </si>
  <si>
    <t>1463995896077639685</t>
  </si>
  <si>
    <t>@drfahrettinkoca  @vedatbilgn   hazır tahsisi yapılmış iken  #HBYS ihalesinde çalışan hastane bilgiişlem personelle… https://t.co/9K2kKqdzWg</t>
  </si>
  <si>
    <t>1463995812036464643</t>
  </si>
  <si>
    <t>@drfahrettinkoca  @vedatbilgn   hazır tahsisi yapılmış iken  #HBYS ihalesinde çalışan hastane bilgiişlem personelle… https://t.co/RJpooRGxlp</t>
  </si>
  <si>
    <t>1463995668373118985</t>
  </si>
  <si>
    <t>@drfahrettinkoca  @vedatbilgn   hazır tahsisi yapılmış iken  #HBYS ihalesinde çalışan hastane bilgiişlem personelle… https://t.co/00rJZRO4yo</t>
  </si>
  <si>
    <t>1463995652283772931</t>
  </si>
  <si>
    <t>@drfahrettinkoca  @vedatbilgn   hazır tahsisi yapılmış iken  #HBYS ihalesinde çalışan hastane bilgiişlem personelle… https://t.co/5Q0WocRuvr</t>
  </si>
  <si>
    <t>1463995423962640385</t>
  </si>
  <si>
    <t>@drfahrettinkoca  @vedatbilgn   hazır tahsisi yapılmış iken  #HBYS ihalesinde çalışan hastane bilgiişlem personelle… https://t.co/Y7UfiAyF9q</t>
  </si>
  <si>
    <t>1463995283931549703</t>
  </si>
  <si>
    <t>@drfahrettinkoca  @vedatbilgn   hazır tahsisi yapılmış iken  #HBYS ihalesinde çalışan hastane bilgiişlem personelle… https://t.co/PPSSVXLbYr</t>
  </si>
  <si>
    <t>1463995197629554689</t>
  </si>
  <si>
    <t>@drfahrettinkoca  öyle yorulduk ki beklemekten. Lütfen aklımızı geri verin #KılavuzRaftaSağlıkcıYasta</t>
  </si>
  <si>
    <t>1463994496530751490</t>
  </si>
  <si>
    <t>@drfahrettinkoca  Thy hala ucuyor Guney Afrika’ya hemen durdurulsun! https://t.co/pekm8i90na</t>
  </si>
  <si>
    <t>1463992876942114823</t>
  </si>
  <si>
    <t>@drfahrettinkoca @saglikbakanligi @titckgovtr @sagliklicozum https://t.co/8YCxbcmwuJ</t>
  </si>
  <si>
    <t>1463992716644204546</t>
  </si>
  <si>
    <t>@drfahrettinkoca @saglikbakanligi @kubraacar__ https://t.co/2sUA5hoGQW</t>
  </si>
  <si>
    <t>1463992391845785612</t>
  </si>
  <si>
    <t>@drfahrettinkoca  @vedatbilgn   hazır tahsisi yapılmış iken  #HBYS ihalesinde çalışan hastane bilgiişlem personelle… https://t.co/j561iWjU7t</t>
  </si>
  <si>
    <t>1463991479446093849</t>
  </si>
  <si>
    <t>@drfahrettinkoca  @vedatbilgn   hazır tahsisi yapılmış iken  #HBYS ihalesinde çalışan hastane bilgiişlem personelle… https://t.co/BJim5mXCs7</t>
  </si>
  <si>
    <t>1463991435603193863</t>
  </si>
  <si>
    <t>@drfahrettinkoca  @vedatbilgn   hazır tahsisi yapılmış iken  #HBYS ihalesinde çalışan hastane bilgiişlem personelle… https://t.co/bbY2rbtvr6</t>
  </si>
  <si>
    <t>1463991399016243202</t>
  </si>
  <si>
    <t>@drfahrettinkoca  @vedatbilgn   hazır tahsisi yapılmış iken  #HBYS ihalesinde çalışan hastane bilgiişlem personelle… https://t.co/9QnPadbSAz</t>
  </si>
  <si>
    <t>1463991364773896198</t>
  </si>
  <si>
    <t>@drfahrettinkoca  @vedatbilgn   hazır tahsisi yapılmış iken  #HBYS ihalesinde çalışan hastane bilgiişlem personelle… https://t.co/8XkYC8ine9</t>
  </si>
  <si>
    <t>1463991318208729098</t>
  </si>
  <si>
    <t>@drfahrettinkoca  @vedatbilgn   hazır tahsisi yapılmış iken  #HBYS ihalesinde çalışan hastane bilgiişlem personelle… https://t.co/wjDHex7JC0</t>
  </si>
  <si>
    <t>1463991277318545414</t>
  </si>
  <si>
    <t>@drfahrettinkoca  @vedatbilgn   hazır tahsisi yapılmış iken  #HBYS ihalesinde çalışan hastane bilgiişlem personelle… https://t.co/ZxMcFcKMcz</t>
  </si>
  <si>
    <t>1463991206229254151</t>
  </si>
  <si>
    <t>@drfahrettinkoca  @vedatbilgn   hazır tahsisi yapılmış iken  #HBYS ihalesinde çalışan hastane bilgiişlem personelle… https://t.co/K1oh2tFJ8E</t>
  </si>
  <si>
    <t>1463991095331799060</t>
  </si>
  <si>
    <t>@drfahrettinkoca  @vedatbilgn   hazır tahsisi yapılmış iken  #HBYS ihalesinde çalışan hastane bilgiişlem personelle… https://t.co/9oa9tcZn8F</t>
  </si>
  <si>
    <t>1463991045960646659</t>
  </si>
  <si>
    <t>@drfahrettinkoca birkez daha ispatlamış oldunuz sayın bakanım ,doktor bakanlığı olduğunuzu…biz varsak sizler varsın… https://t.co/3oTlt9xCPK</t>
  </si>
  <si>
    <t>1463990948095041539</t>
  </si>
  <si>
    <t>@drfahrettinkoca  @vedatbilgn   hazır tahsisi yapılmış iken  #HBYS ihalesinde çalışan hastane bilgiişlem personelle… https://t.co/OcRWfTKtBi</t>
  </si>
  <si>
    <t>1463990803827773449</t>
  </si>
  <si>
    <t>@drfahrettinkoca  @vedatbilgn   hazır tahsisi yapılmış iken  #HBYS ihalesinde çalışan hastane bilgiişlem personelle… https://t.co/UXEjXNmrUv</t>
  </si>
  <si>
    <t>1463990772915658754</t>
  </si>
  <si>
    <t>@drfahrettinkoca  @vedatbilgn   hazır tahsisi yapılmış iken  #HBYS ihalesinde çalışan hastane bilgiişlem personelle… https://t.co/ejEqvVTIAw</t>
  </si>
  <si>
    <t>1463990726761586691</t>
  </si>
  <si>
    <t>@drfahrettinkoca  @vedatbilgn   hazır tahsisi yapılmış iken  #HBYS ihalesinde çalışan hastane bilgiişlem personelle… https://t.co/bHYnoijzeQ</t>
  </si>
  <si>
    <t>1463990688396292096</t>
  </si>
  <si>
    <t>@drfahrettinkoca  @vedatbilgn   hazır tahsisi yapılmış iken  #HBYS ihalesinde çalışan hastane bilgiişlem personelle… https://t.co/m76WDN7HGQ</t>
  </si>
  <si>
    <t>1463990547274776582</t>
  </si>
  <si>
    <t>@drfahrettinkoca  @vedatbilgn   hazır tahsisi yapılmış iken  #HBYS ihalesinde çalışan hastane bilgiişlem personelle… https://t.co/u49q3Dd5QN</t>
  </si>
  <si>
    <t>1463990440999493635</t>
  </si>
  <si>
    <t>@drfahrettinkoca  @vedatbilgn   hazır tahsisi yapılmış iken  #HBYS ihalesinde çalışan hastane bilgiişlem personelle… https://t.co/VDGfLf4uNq</t>
  </si>
  <si>
    <t>1463990432833146880</t>
  </si>
  <si>
    <t>@drfahrettinkoca ayağa kalk ve @mansuryavas06 ‘in elini öp</t>
  </si>
  <si>
    <t>1463990045900214284</t>
  </si>
  <si>
    <t>@drfahrettinkoca  @vedatbilgn   hazır tahsisi yapılmış iken  #HBYS ihalesinde çalışan hastane bilgiişlem personelle… https://t.co/dCYmI9pmGD</t>
  </si>
  <si>
    <t>1463989911787388932</t>
  </si>
  <si>
    <t>@drfahrettinkoca  @vedatbilgn   hazır tahsisi yapılmış iken  #HBYS ihalesinde çalışan hastane bilgiişlem personelle… https://t.co/olEBs8BmTM</t>
  </si>
  <si>
    <t>1463989829553823748</t>
  </si>
  <si>
    <t>@drfahrettinkoca  @vedatbilgn   hazır tahsisi yapılmış iken  #HBYS ihalesinde çalışan hastane bilgiişlem personelle… https://t.co/8wyrnszc8F</t>
  </si>
  <si>
    <t>1463989619645636608</t>
  </si>
  <si>
    <t>@drfahrettinkoca  @vedatbilgn   hazır tahsisi yapılmış iken  #HBYS ihalesinde çalışan hastane bilgiişlem personelle… https://t.co/YoRECKJ7wh</t>
  </si>
  <si>
    <t>1463989576020729860</t>
  </si>
  <si>
    <t>@drfahrettinkoca sayın bakanım hastanelerde polikliniklerde (üniversite hasts) kendimde yaşadığım olay tek bir dokt… https://t.co/nkB5TC9I2w</t>
  </si>
  <si>
    <t>1463989527295496197</t>
  </si>
  <si>
    <t>@drfahrettinkoca  @vedatbilgn   hazır tahsisi yapılmış iken  #HBYS ihalesinde çalışan hastane bilgiişlem personelle… https://t.co/iERMvuWgL2</t>
  </si>
  <si>
    <t>1463989486161965057</t>
  </si>
  <si>
    <t>@drfahrettinkoca  @vedatbilgn   hazır tahsisi yapılmış iken  #HBYS ihalesinde çalışan hastane bilgiişlem personelle… https://t.co/Lmsz9wQHHc</t>
  </si>
  <si>
    <t>1463989423930949656</t>
  </si>
  <si>
    <t>@drfahrettinkoca @ikalin1 @saglikbakanligi @RTErdogan @TC_Disisleri @BilalEksiTHY hemen şimdi vakit kaybetmeyin. İs… https://t.co/YcFQmpRzYx</t>
  </si>
  <si>
    <t>1463989059966152715</t>
  </si>
  <si>
    <t>@drfahrettinkoca  @vedatbilgn   hazır tahsisi yapılmış iken  #HBYS ihalesinde çalışan hastane bilgiişlem personelle… https://t.co/wslA4o3rei</t>
  </si>
  <si>
    <t>1463988978789584907</t>
  </si>
  <si>
    <t>@drfahrettinkoca  @vedatbilgn   hazır tahsisi yapılmış iken  #HBYS ihalesinde çalışan hastane bilgiişlem personelle… https://t.co/vmgK6v5xLk</t>
  </si>
  <si>
    <t>1463988947806212101</t>
  </si>
  <si>
    <t>@drfahrettinkoca  @vedatbilgn   hazır tahsisi yapılmış iken  #HBYS ihalesinde çalışan hastane bilgiişlem personelle… https://t.co/0ph8n9XSqW</t>
  </si>
  <si>
    <t>1463988912976711687</t>
  </si>
  <si>
    <t>@drfahrettinkoca  @vedatbilgn   hazır tahsisi yapılmış iken  #HBYS ihalesinde çalışan hastane bilgiişlem personelle… https://t.co/eoyB9peFIZ</t>
  </si>
  <si>
    <t>1463988822362968068</t>
  </si>
  <si>
    <t>@drfahrettinkoca  @vedatbilgn   hazır tahsisi yapılmış iken  #HBYS ihalesinde çalışan hastane bilgiişlem personelle… https://t.co/6ImmedE3G3</t>
  </si>
  <si>
    <t>1463987927923503105</t>
  </si>
  <si>
    <t>@drfahrettinkoca  @vedatbilgn   hazır tahsisi yapılmış iken  #HBYS ihalesinde çalışan hastane bilgiişlem personelle… https://t.co/qCYe4Gds8c</t>
  </si>
  <si>
    <t>1463987887536582660</t>
  </si>
  <si>
    <t>@drfahrettinkoca  @vedatbilgn   hazır tahsisi yapılmış iken  #HBYS ihalesinde çalışan hastane bilgiişlem personelle… https://t.co/9YVzwBh6QT</t>
  </si>
  <si>
    <t>1463987655444684806</t>
  </si>
  <si>
    <t>@drfahrettinkoca  @vedatbilgn   hazır tahsisi yapılmış iken  #HBYS ihalesinde çalışan hastane bilgiişlem personelle… https://t.co/r9swdQEdcg</t>
  </si>
  <si>
    <t>1463987585294942211</t>
  </si>
  <si>
    <t>@drfahrettinkoca  @vedatbilgn   hazır tahsisi yapılmış iken  #HBYS ihalesinde çalışan hastane bilgiişlem personelle… https://t.co/W6zBMkMYTM</t>
  </si>
  <si>
    <t>1463987514780405770</t>
  </si>
  <si>
    <t>@drfahrettinkoca  @vedatbilgn   hazır tahsisi yapılmış iken  #HBYS ihalesinde çalışan hastane bilgiişlem personelle… https://t.co/l8VEAOvfXh</t>
  </si>
  <si>
    <t>1463987455959384064</t>
  </si>
  <si>
    <t>@drfahrettinkoca  @vedatbilgn   hazır tahsisi yapılmış iken  #HBYS ihalesinde çalışan hastane bilgiişlem personelle… https://t.co/wt7YDlZQ7r</t>
  </si>
  <si>
    <t>1463987393707626497</t>
  </si>
  <si>
    <t>@drfahrettinkoca  @vedatbilgn   hazır tahsisi yapılmış iken  #HBYS ihalesinde çalışan hastane bilgiişlem personelle… https://t.co/0CBGFAe8Mt</t>
  </si>
  <si>
    <t>1463987359494688770</t>
  </si>
  <si>
    <t>@drfahrettinkoca  @vedatbilgn   hazır tahsisi yapılmış iken  #HBYS ihalesinde çalışan hastane bilgiişlem personelle… https://t.co/mTIjZepB05</t>
  </si>
  <si>
    <t>1463987295292432394</t>
  </si>
  <si>
    <t>@drfahrettinkoca  @vedatbilgn   hazır tahsisi yapılmış iken  #HBYS ihalesinde çalışan hastane bilgiişlem personelle… https://t.co/ZWtYoHfIU6</t>
  </si>
  <si>
    <t>1463987220377968641</t>
  </si>
  <si>
    <t>@drfahrettinkoca  @vedatbilgn   hazır tahsisi yapılmış iken  #HBYS ihalesinde çalışan hastane bilgiişlem personelle… https://t.co/C9w90NPQqZ</t>
  </si>
  <si>
    <t>1463986787844562949</t>
  </si>
  <si>
    <t>@drfahrettinkoca 🤩 https://t.co/eNjRX5Seoc</t>
  </si>
  <si>
    <t>1463986545149493269</t>
  </si>
  <si>
    <t>@drfahrettinkoca  @vedatbilgn   hazır tahsisi yapılmış iken  #HBYS ihalesinde çalışan hastane bilgiişlem personelle… https://t.co/5LdnOS9sZt</t>
  </si>
  <si>
    <t>1463986477365444610</t>
  </si>
  <si>
    <t>@drfahrettinkoca  @vedatbilgn   hazır tahsisi yapılmış iken  #HBYS ihalesinde çalışan hastane bilgiişlem personelle… https://t.co/yZvPISZvfw</t>
  </si>
  <si>
    <t>1463986385593978884</t>
  </si>
  <si>
    <t>@drfahrettinkoca https://t.co/0Bu0HzEMt9</t>
  </si>
  <si>
    <t>1463986031821307913</t>
  </si>
  <si>
    <t>@drfahrettinkoca  @vedatbilgn   hazır tahsisi yapılmış iken  #HBYS ihalesinde çalışan hastane bilgiişlem personelle… https://t.co/u7Qt60ACts</t>
  </si>
  <si>
    <t>1463985076375597056</t>
  </si>
  <si>
    <t>@drfahrettinkoca  @vedatbilgn   hazır tahsisi yapılmış iken  #HBYS ihalesinde çalışan hastane bilgiişlem personelle… https://t.co/C0gXBNYJkn</t>
  </si>
  <si>
    <t>1463985003042418702</t>
  </si>
  <si>
    <t>@drfahrettinkoca  @vedatbilgn   hazır tahsisi yapılmış iken  #HBYS ihalesinde çalışan hastane bilgiişlem personelle… https://t.co/I9F4r1OqL2</t>
  </si>
  <si>
    <t>1463984776176672771</t>
  </si>
  <si>
    <t>@drfahrettinkoca  @vedatbilgn   hazır tahsisi yapılmış iken  #HBYS ihalesinde çalışan hastane bilgiişlem personelle… https://t.co/y0VdhPqSXu</t>
  </si>
  <si>
    <t>1463984721306828808</t>
  </si>
  <si>
    <t>@drfahrettinkoca  @vedatbilgn   hazır tahsisi yapılmış iken  #HBYS ihalesinde çalışan hastane bilgiişlem personelle… https://t.co/seR1ayTIvC</t>
  </si>
  <si>
    <t>1463984682249424900</t>
  </si>
  <si>
    <t>@drfahrettinkoca  @vedatbilgn   hazır tahsisi yapılmış iken  #HBYS ihalesinde çalışan hastane bilgiişlem personelle… https://t.co/ISnw6RbqG7</t>
  </si>
  <si>
    <t>1463984618814808064</t>
  </si>
  <si>
    <t>@drfahrettinkoca  @vedatbilgn   hazır tahsisi yapılmış iken  #HBYS ihalesinde çalışan hastane bilgiişlem personelle… https://t.co/bP9h87zOIy</t>
  </si>
  <si>
    <t>1463984456637812742</t>
  </si>
  <si>
    <t>@drfahrettinkoca  @vedatbilgn   hazır tahsisi yapılmış iken  #HBYS ihalesinde çalışan hastane bilgiişlem personelle… https://t.co/jufnOpJ6PV</t>
  </si>
  <si>
    <t>1463984418385760260</t>
  </si>
  <si>
    <t>@drfahrettinkoca  @vedatbilgn   hazır tahsisi yapılmış iken  #HBYS ihalesinde çalışan hastane bilgiişlem personelle… https://t.co/vCjsTsMO9G</t>
  </si>
  <si>
    <t>1463984358285623306</t>
  </si>
  <si>
    <t>@drfahrettinkoca  @vedatbilgn   hazır tahsisi yapılmış iken  #HBYS ihalesinde çalışan hastane bilgiişlem personelle… https://t.co/4pLiBdoQTT</t>
  </si>
  <si>
    <t>1463984297111662602</t>
  </si>
  <si>
    <t>@drfahrettinkoca  @vedatbilgn   hazır tahsisi yapılmış iken  #HBYS ihalesinde çalışan hastane bilgiişlem personelle… https://t.co/Nr7CLhtyR7</t>
  </si>
  <si>
    <t>1463984279629836293</t>
  </si>
  <si>
    <t>@drfahrettinkoca  @vedatbilgn   hazır tahsisi yapılmış iken  #HBYS ihalesinde çalışan hastane bilgiişlem personelle… https://t.co/j1qf6y0hTg</t>
  </si>
  <si>
    <t>1463984186944102407</t>
  </si>
  <si>
    <t>@drfahrettinkoca  @vedatbilgn   hazır tahsisi yapılmış iken  #HBYS ihalesinde çalışan hastane bilgiişlem personelle… https://t.co/ClF99ci7WB</t>
  </si>
  <si>
    <t>1463984103527702535</t>
  </si>
  <si>
    <t>@drfahrettinkoca  @vedatbilgn   hazır tahsisi yapılmış iken  #HBYS ihalesinde çalışan hastane bilgiişlem personelle… https://t.co/WuIsT3HdQv</t>
  </si>
  <si>
    <t>1463984055339393037</t>
  </si>
  <si>
    <t>@drfahrettinkoca  @vedatbilgn   hazır tahsisi yapılmış iken  #HBYS ihalesinde çalışan hastane bilgiişlem personelle… https://t.co/CvxHhDaSQU</t>
  </si>
  <si>
    <t>1463984007117479945</t>
  </si>
  <si>
    <t>@drfahrettinkoca  @vedatbilgn   hazır tahsisi yapılmış iken  #HBYS ihalesinde çalışan hastane bilgiişlem personelle… https://t.co/TZJLjkBvV8</t>
  </si>
  <si>
    <t>1463983915560058885</t>
  </si>
  <si>
    <t>@drfahrettinkoca  @vedatbilgn   hazır tahsisi yapılmış iken  #HBYS ihalesinde çalışan hastane bilgiişlem personelle… https://t.co/VViOkpLV5q</t>
  </si>
  <si>
    <t>1463983902075375626</t>
  </si>
  <si>
    <t>@drfahrettinkoca https://t.co/JUoW6BORTx</t>
  </si>
  <si>
    <t>1469088075045392397</t>
  </si>
  <si>
    <t>@drfahrettinkoca sayın bakanım Ankara şehir hastanesinde muayene olduğun doldura ikinci gün sonuca gittiğinde bulam… https://t.co/cjwzKzmP0L</t>
  </si>
  <si>
    <t>1469058960766476290</t>
  </si>
  <si>
    <t>@drfahrettinkoca 4b'li olarak atanlara kadro verilmeyecek mi???</t>
  </si>
  <si>
    <t>1469055235704430592</t>
  </si>
  <si>
    <t>@drfahrettinkoca @mehmetceyhan23 kötü işlere imza atıyorsunuz https://t.co/joVpwN1H9X</t>
  </si>
  <si>
    <t>1469054894145482762</t>
  </si>
  <si>
    <t>@drfahrettinkoca heryerde bas bas bağırıyorsun corona testi devlet hastanelerinde ücretsiz olacak bilmem ne 00.05 i… https://t.co/WyJtZHRrWQ</t>
  </si>
  <si>
    <t>1469052369883303939</t>
  </si>
  <si>
    <t>@drfahrettinkoca :Salgın son 6 haftada benzer günlük vaka sayılarıyla seyretti. Avrupa'da görülen ani artışlar ülke… https://t.co/2HvDijhboT</t>
  </si>
  <si>
    <t>1469050790664978435</t>
  </si>
  <si>
    <t>@drfahrettinkoca https://t.co/7v3m0HGL2z</t>
  </si>
  <si>
    <t>1469045048432017414</t>
  </si>
  <si>
    <t>@drfahrettinkoca Neden 18 yaş üstüne 3. doz açmıyorsunuz, neyi bekliyorsunuz? Anladık aşı karşıtlığına bir yatırımı… https://t.co/cSOnlXj2rc</t>
  </si>
  <si>
    <t>1469045011236937731</t>
  </si>
  <si>
    <t>@drfahrettinkoca neyi bekliyoruz daha ? #AcilOnlineEgitim #kabineomicrongelmedenonline #kabineuzaktaneğitimsart… https://t.co/QhGWCYeQOz</t>
  </si>
  <si>
    <t>1469039090943332358</t>
  </si>
  <si>
    <t>@drfahrettinkoca @saglikbakanligi @suayipbirinci @AzizAlperBiten @halileldemir @drtolgatolunay 40 bin personel alım… https://t.co/p7btX0zCuR</t>
  </si>
  <si>
    <t>1469037687504097290</t>
  </si>
  <si>
    <t>@drfahrettinkoca @saglikbakanligi @vedatbilgn @Akparti @RTErdogan @NureddinNebati @tcbestepe Sağlık çalışanları işç… https://t.co/RUBbk6Z4yz</t>
  </si>
  <si>
    <t>1469036098655559688</t>
  </si>
  <si>
    <t>@drfahrettinkoca @RTErdogan daha kimi etiketlesem ❗️❗️❗️❗️ https://t.co/NHLgjbvInZ</t>
  </si>
  <si>
    <t>1469029813524611078</t>
  </si>
  <si>
    <t>@drfahrettinkoca  insanlar sokakta, sahada, direksiyon başında kalp krizi geçiriyor. Aşı adlı sıvı sonrası artan ka… https://t.co/LOoWeIpdbd</t>
  </si>
  <si>
    <t>1469029182453731330</t>
  </si>
  <si>
    <t>@drfahrettinkoca Açıklama yapmak için Reis izin aldın mı? Uzun adamdan izin almadan kimse konuşamaz. https://t.co/GbgOH4mQRt</t>
  </si>
  <si>
    <t>1469018542280523782</t>
  </si>
  <si>
    <t>@drfahrettinkoca #FKocaYaKılavuzYaİstifa</t>
  </si>
  <si>
    <t>1469018196955082752</t>
  </si>
  <si>
    <t>@drfahrettinkoca https://t.co/3JpsPJn7SL</t>
  </si>
  <si>
    <t>1469013834346156040</t>
  </si>
  <si>
    <t>@drfahrettinkoca  ismindende nefret ediyorum inşallah 2022 de  böyle bir isim duymam... #FKocaYaKılavuzYaİstifa</t>
  </si>
  <si>
    <t>1469007413189787653</t>
  </si>
  <si>
    <t>@drfahrettinkoca  Sayın bakanım İZMİR İL SAĞLİK MÜDÜRLÜĞÜ İZMİR KARŞIYAKA AĞIZ VE DİŞ SAĞLIĞI MERKEZİ ne randevu bu… https://t.co/u4jNZzKRxi</t>
  </si>
  <si>
    <t>1469007241466556416</t>
  </si>
  <si>
    <t>@drfahrettinkoca bakanım sağlık çalışanları ataması ne oldu</t>
  </si>
  <si>
    <t>1469004914013659143</t>
  </si>
  <si>
    <t>@drfahrettinkoca kılavuzu açıklayıp mümkünse istifa dilekçenizi verin :) #FKocaYaKılavuzYaİstifa</t>
  </si>
  <si>
    <t>1469004549184790543</t>
  </si>
  <si>
    <t>@drfahrettinkoca oyaladığınız yeter bakanım.  Bunca gencin ahını almayın artık.  #FKocaYaKılavuzYaİstifa</t>
  </si>
  <si>
    <t>1469002129897631747</t>
  </si>
  <si>
    <t>@drfahrettinkoca @RTErdogan https://t.co/afRRBKbtfo</t>
  </si>
  <si>
    <t>1469000214228918277</t>
  </si>
  <si>
    <t>@drfahrettinkoca @saglikbakanligi @AgriSaglik  ne olmasını bekliyorsunuz?😓😞😡 https://t.co/doGn2S9xzZ</t>
  </si>
  <si>
    <t>1468995815423320065</t>
  </si>
  <si>
    <t>1468995657310609412</t>
  </si>
  <si>
    <t>@drfahrettinkoca https://t.co/leLQjbPya7</t>
  </si>
  <si>
    <t>1468992389289320448</t>
  </si>
  <si>
    <t>@drfahrettinkoca @RTErdogan #FKocaYaKılavuzYaİstifa</t>
  </si>
  <si>
    <t>1468991477472804866</t>
  </si>
  <si>
    <t>@drfahrettinkoca  #FKocaYaKılavuzYaİstifa</t>
  </si>
  <si>
    <t>1468989739588112386</t>
  </si>
  <si>
    <t>1468989635527331847</t>
  </si>
  <si>
    <t>1468987189942001673</t>
  </si>
  <si>
    <t>@drfahrettinkoca @RTErdogan @saglikbakanligi https://t.co/bsweThCESR</t>
  </si>
  <si>
    <t>1468986500092157956</t>
  </si>
  <si>
    <t>@drfahrettinkoca Sayın Sağlık Bakanım alışveriş merkezine girerken bir çok kişinin aşısız bir şekilde AVM’lere gird… https://t.co/doIJXWnPF3</t>
  </si>
  <si>
    <t>1468983633704886279</t>
  </si>
  <si>
    <t>@drfahrettinkoca @saglikbakanligi bugün Aydın Devlet Hastanesi acili. İnanılmaz temiz,hijyen dolu bir ortam. https://t.co/537BLv4MTs</t>
  </si>
  <si>
    <t>1468982960456024064</t>
  </si>
  <si>
    <t>@drfahrettinkoca @OSYMbaskanligi #FKocaYaKılavuzYaİstifa</t>
  </si>
  <si>
    <t>1468982132190191621</t>
  </si>
  <si>
    <t>@drfahrettinkoca bakanım sıcak mı soğuk mu onu söyleyin bari</t>
  </si>
  <si>
    <t>1468979711871262727</t>
  </si>
  <si>
    <t>@drfahrettinkoca #TürkiyedeSağlıkçıOlmak</t>
  </si>
  <si>
    <t>1468975461246152712</t>
  </si>
  <si>
    <t>@drfahrettinkoca sağlık sistemi öyle başı boş ki anlatamam. Bursa şehir hastahanesi ameliyat için verdiği tarihe uy… https://t.co/iamnGq3u9G</t>
  </si>
  <si>
    <t>1468971180107255808</t>
  </si>
  <si>
    <t>@drfahrettinkoca #FKocaYaKılavuzYaİstifa https://t.co/ENy5VkMR3X</t>
  </si>
  <si>
    <t>1468967045450514445</t>
  </si>
  <si>
    <t>@drfahrettinkoca @mesutyar @saglikbakanligi sağlıkta devrim yapıyorsunuz gerçekten randevu almak zaten zor bide 1 a… https://t.co/V5SnerRvj7</t>
  </si>
  <si>
    <t>1468966118404419598</t>
  </si>
  <si>
    <t>@drfahrettinkoca https://t.co/XwctXhhgsB</t>
  </si>
  <si>
    <t>1468965534880256008</t>
  </si>
  <si>
    <t>@drfahrettinkoca https://t.co/C5D0bFMcLk</t>
  </si>
  <si>
    <t>1468963947956998147</t>
  </si>
  <si>
    <t>@drfahrettinkoca Merkezi atamadan önce kılavuz yayınlansın #FKocaYaKılavuzYaİstifa</t>
  </si>
  <si>
    <t>1468963256446320650</t>
  </si>
  <si>
    <t>@drfahrettinkoca #FKocaYaKılavuzYaİstifa https://t.co/F2Nn2WtqpM</t>
  </si>
  <si>
    <t>1468961929846611977</t>
  </si>
  <si>
    <t>@drfahrettinkoca @OSYMbaskanligi @adalet_bakanlik @halis_aygun  @Hekimsensndk @DisKamu  @DisHekToplulugu… https://t.co/8qIxg10upv</t>
  </si>
  <si>
    <t>1468960373122367491</t>
  </si>
  <si>
    <t>@drfahrettinkoca BUNUN GERÇEK OLDUĞUNU HEPİMİZ ÇOK İYİ BİLİYORUZ! ZATEN ZOR ZAMANLAR GEÇİRİYOR SAĞLIK EMEKÇİLERİ Bİ… https://t.co/fPTe5XAQ0n</t>
  </si>
  <si>
    <t>1468959294112497667</t>
  </si>
  <si>
    <t>@drfahrettinkoca Atamaları ne zaman yapacaksınız sayın bakanım, evlenecez atama bekliyoruz be yeter yahu !</t>
  </si>
  <si>
    <t>1468956996497920006</t>
  </si>
  <si>
    <t>@drfahrettinkoca Atama bekleyen arkadaşları mağdur etmekten vazgeçin artık ve atandıklarında mali çöküntü yaşamamal… https://t.co/sOhP6GzWDE</t>
  </si>
  <si>
    <t>1468956597548294156</t>
  </si>
  <si>
    <t>@drfahrettinkoca https://t.co/4H6OthYRte</t>
  </si>
  <si>
    <t>1468956250138288143</t>
  </si>
  <si>
    <t>@drfahrettinkoca üçüncü doz aşıları nezaman olucaz sayın bakanım 50 yaş üstü en son dozun üzerinden 5 ay geçti</t>
  </si>
  <si>
    <t>1468955921703268360</t>
  </si>
  <si>
    <t>@drfahrettinkoca  @halis_aygun @OSYMbaskanligi   DusSonuclari NeZaman https://t.co/tAK6dXGNGE</t>
  </si>
  <si>
    <t>1468954815027761158</t>
  </si>
  <si>
    <t>@drfahrettinkoca . #SbMerkeziAtamaOEncesiKılavuz</t>
  </si>
  <si>
    <t>1468954807104782348</t>
  </si>
  <si>
    <t>@drfahrettinkoca   #SbMerkeziAtamaOEncesiKılavuz</t>
  </si>
  <si>
    <t>1468954090373664778</t>
  </si>
  <si>
    <t>@drfahrettinkoca @saglikbakanligi @adalet_bakanlik @adalet_basin @halis_aygun @OSYMbaskanligi dusu açıklayın artık DusSonuclari NeZaman</t>
  </si>
  <si>
    <t>1468952036146388995</t>
  </si>
  <si>
    <t>@drfahrettinkoca @saglikbakanligi  112 lerde saç sakal serbest mi? Devlet ahlakı yada memur ahlakı kalmadı mı? 1 ka… https://t.co/dzyhPWacGC</t>
  </si>
  <si>
    <t>1468951045267091470</t>
  </si>
  <si>
    <t>@drfahrettinkoca yeter</t>
  </si>
  <si>
    <t>1468949143129186306</t>
  </si>
  <si>
    <t>@drfahrettinkoca @saglikbakanligi Kim dedi o zaman??? Niye 5 dk da hasta baktırıyorsunuz bize. Madem doğru değil, k… https://t.co/EH5TTjO2ud</t>
  </si>
  <si>
    <t>1468939176049524746</t>
  </si>
  <si>
    <t>@drfahrettinkoca Duy artık sesimiziii!!! https://t.co/vZMMA2QedL</t>
  </si>
  <si>
    <t>1468936111070273541</t>
  </si>
  <si>
    <t>@drfahrettinkoca sayın bakanım Kocaeli'nde ikamet etmekteyim ve aylardır darica ağız ve diş sağlığı hastahanesine g… https://t.co/xN8GyLPBSt</t>
  </si>
  <si>
    <t>1468935339393826817</t>
  </si>
  <si>
    <t>@drfahrettinkoca Saat 16 16 Allah senin ve İskender Paşa cemaatinin bin belasını versin https://t.co/Rfq9Zd6YCC</t>
  </si>
  <si>
    <t>1468932827337142279</t>
  </si>
  <si>
    <t>@drfahrettinkoca sayın sağlık bakanı ilaç stokcularina ne zaman el atılacak insanlar öldükten sonrami ? #fahrettinkoca</t>
  </si>
  <si>
    <t>1468928466540244998</t>
  </si>
  <si>
    <t>@drfahrettinkoca @saglikbakanligi @RTErdogan @halis_aygun https://t.co/dIZnM7Exjj</t>
  </si>
  <si>
    <t>1468922108654804992</t>
  </si>
  <si>
    <t>@drfahrettinkoca @RTErdogan https://t.co/unL0iym3KE</t>
  </si>
  <si>
    <t>1468920180545884165</t>
  </si>
  <si>
    <t>@drfahrettinkoca  Sayın bakan Hakan Ural kimin gözünü çıkarmak ile tehdit etmiştir ! Bu şekil bir provokasyona izin… https://t.co/LO82GKmLQH</t>
  </si>
  <si>
    <t>1468917974295842825</t>
  </si>
  <si>
    <t>@drfahrettinkoca  Bakanım bu arkadaşı   sağlık bakanlığında bir yerlere getirirsek ciddi faydası olacağını düşünüyo… https://t.co/qVWiSZeexI</t>
  </si>
  <si>
    <t>1468902371917025285</t>
  </si>
  <si>
    <t>@drfahrettinkoca  @saglikbakanligi  @OnderKahveci  @ssbsemihdurmus   Sağlıkta sözlü ve fiili şiddet ne zaman son bu… https://t.co/WBQ5S3lYwT</t>
  </si>
  <si>
    <t>1468901789177204740</t>
  </si>
  <si>
    <t>@drfahrettinkoca nasil oldu bu? Rezalet https://t.co/DLDh5O8P2H</t>
  </si>
  <si>
    <t>1468900126429257734</t>
  </si>
  <si>
    <t>@drfahrettinkoca Şanlıurfa Mehmet Akif İnan eğitim araştırma hastanesi acil Dr u ve çocuk sağlığı hastalıkları Hali… https://t.co/wrR4nH6QHt</t>
  </si>
  <si>
    <t>1468898656795480066</t>
  </si>
  <si>
    <t>@drfahrettinkoca  kontrolsüz bırakılmış Mehmet Akif İnan eğitim araştırma hastanesi ek binası Dr lari hakaret ediyo… https://t.co/RUP6lBMJ24</t>
  </si>
  <si>
    <t>1468897765199695874</t>
  </si>
  <si>
    <t>@drfahrettinkoca @RTErdogan @OSYMbaskanligi #SbMerkeziAtamaÖncesiKılavuz cumhuriyet tarihinde atama dönenlerinin he… https://t.co/NmlsZL764u</t>
  </si>
  <si>
    <t>1468897646941245442</t>
  </si>
  <si>
    <t>@drfahrettinkoca ve @BilimKurulu_ derhal sorgulanmalı Şuana kadar yaptıkları ve dedikleri hiçbir tedavi ve önlem iş… https://t.co/5Z6GIukmIT</t>
  </si>
  <si>
    <t>1468892145754980355</t>
  </si>
  <si>
    <t>@drfahrettinkoca @RTErdogan https://t.co/XZ99JvGoPs</t>
  </si>
  <si>
    <t>1468888830635823106</t>
  </si>
  <si>
    <t>@drfahrettinkoca @saglikbakanligi doğru mu bu? https://t.co/eUTXfIFflB</t>
  </si>
  <si>
    <t>1468888549688811522</t>
  </si>
  <si>
    <t>@drfahrettinkoca   #SbMerkeziAtamaÖncesiKılavuz</t>
  </si>
  <si>
    <t>1468886136944836610</t>
  </si>
  <si>
    <t>@drfahrettinkoca bu kadar testi niye aldınız yoksa   aşkınız covıdi rüyanızdamı gördünüz? https://t.co/Zoj07u7JgM</t>
  </si>
  <si>
    <t>1468885715341787144</t>
  </si>
  <si>
    <t>@drfahrettinkoca @saglikbakanligi https://t.co/uLWzFr9t9L</t>
  </si>
  <si>
    <t>1468881578092806145</t>
  </si>
  <si>
    <t>@drfahrettinkoca Merhaba,Ben Funda işleyen.Babam Yusuf İşleyen’e(59) 28kasımda Almanyada entübe oldu.Akciğer, karac… https://t.co/p0tVEQksGg</t>
  </si>
  <si>
    <t>1468881166765854724</t>
  </si>
  <si>
    <t>@drfahrettinkoca Sayın Bakan,doktor secme   hakkımız olduğu halde randevu saatinde asistanlara muayene olmak zorund… https://t.co/q4tr4i2z8t</t>
  </si>
  <si>
    <t>1468880900297568264</t>
  </si>
  <si>
    <t>@drfahrettinkoca bu sapık şerefsizi odullendirmissiniz https://t.co/rdcHmSEFae</t>
  </si>
  <si>
    <t>1468877473504972806</t>
  </si>
  <si>
    <t>@drfahrettinkoca bu adam nasıl döner😳😖😖😖 https://t.co/ApQQES870E</t>
  </si>
  <si>
    <t>1468873835667542016</t>
  </si>
  <si>
    <t>@drfahrettinkoca @RTErdogan Allah hesabını tez zamanda sorsun hepsine... https://t.co/aGzS0QBZTg</t>
  </si>
  <si>
    <t>1468866241926504454</t>
  </si>
  <si>
    <t>@drfahrettinkoca @RTErdogan zulmü kaldırın yeter artık, nefretinizde boğulun... https://t.co/FKwXz8lDcE</t>
  </si>
  <si>
    <t>1468865681869492224</t>
  </si>
  <si>
    <t>@drfahrettinkoca @RTErdogan bu işe bulaşan herkes hesap verecek... https://t.co/UG2nYF7hYf</t>
  </si>
  <si>
    <t>1468860262467919874</t>
  </si>
  <si>
    <t>@drfahrettinkoca https://t.co/ZqWfNCxWof</t>
  </si>
  <si>
    <t>1468856861973786624</t>
  </si>
  <si>
    <t>@drfahrettinkoca şaşırdık mı? https://t.co/vdaQGZ3V0z</t>
  </si>
  <si>
    <t>1468855931253493760</t>
  </si>
  <si>
    <t>@drfahrettinkoca Ne yaptın Omicron var mı araştırıyor musun bulabildiniz mi? Bu günlük yapılan test sayısı niye ayl… https://t.co/K5dz7NHJxD</t>
  </si>
  <si>
    <t>1468852046761709570</t>
  </si>
  <si>
    <t>@drfahrettinkoca sayin bakanim hastanede bunu imzalamayani tedavi etmiyorlar hastaneden kovulduk tesekkurler https://t.co/fCcSVsjChx</t>
  </si>
  <si>
    <t>1468849578602549252</t>
  </si>
  <si>
    <t>@drfahrettinkoca https://t.co/Zu61GxQq1L</t>
  </si>
  <si>
    <t>1468842639919300608</t>
  </si>
  <si>
    <t>@drfahrettinkoca @saglikbakanligi https://t.co/dsiLCNPhlQ</t>
  </si>
  <si>
    <t>1468841261322981387</t>
  </si>
  <si>
    <t>@drfahrettinkoca  @saglikbakanligi Paylaşımları görmüyor okumuyor musunuz #pcrzulmüsonbulsun artık #TestBahane https://t.co/Nuytg78Quh</t>
  </si>
  <si>
    <t>1468838876319989760</t>
  </si>
  <si>
    <t>@drfahrettinkoca ilac firmaları depolarda ilaçları tutuyor şubatta zam gelecek diye insanlar zor durumda ölsünler mi hemen müdahale yapınız</t>
  </si>
  <si>
    <t>1468838809798381575</t>
  </si>
  <si>
    <t>@drfahrettinkoca https://t.co/hFexbZl15u</t>
  </si>
  <si>
    <t>1468837539939295232</t>
  </si>
  <si>
    <t>@drfahrettinkoca lütfen artık siyaset üstü hekimliğinin gereği insanların kalplerini dokunun. Bu yazıyı okuyun. Dor… https://t.co/05uhucgKzM</t>
  </si>
  <si>
    <t>1468833206241996801</t>
  </si>
  <si>
    <t>@drfahrettinkoca sağlıklı insanları teste mağdur etmenizden çalışamıyoruz @vedatbilgn @suleymansoylu https://t.co/KjqiwEzzlq</t>
  </si>
  <si>
    <t>1468830847109378052</t>
  </si>
  <si>
    <t>@drfahrettinkoca umarım doğru değildir ☹️🙄 https://t.co/lmhPzJMGlV</t>
  </si>
  <si>
    <t>1464371389851475972</t>
  </si>
  <si>
    <t>@drfahrettinkoca https://t.co/ZA5mqs7TIp</t>
  </si>
  <si>
    <t>1464369322969780227</t>
  </si>
  <si>
    <t>@drfahrettinkoca @saglikbakanligi https://t.co/yMm9knjkTj</t>
  </si>
  <si>
    <t>1464357627064995850</t>
  </si>
  <si>
    <t>@drfahrettinkoca 🤷 🤔 https://t.co/R32HUDZYjh</t>
  </si>
  <si>
    <t>1464351400759115779</t>
  </si>
  <si>
    <t>@drfahrettinkoca https://t.co/frGuyD822I</t>
  </si>
  <si>
    <t>1464347369282146314</t>
  </si>
  <si>
    <t>@drfahrettinkoca https://t.co/tPojDeQf9S</t>
  </si>
  <si>
    <t>1464346366952587281</t>
  </si>
  <si>
    <t>@drfahrettinkoca Bizim hasta sayımız az geldi biraz da ithal mi edelim dediniz?Bu cömert teklifin karşılığı nedir B… https://t.co/Zio3Z4pyji</t>
  </si>
  <si>
    <t>1464345942019260416</t>
  </si>
  <si>
    <t>@drfahrettinkoca https://t.co/GGmZLsNUEX</t>
  </si>
  <si>
    <t>1464345433724145670</t>
  </si>
  <si>
    <t>@drfahrettinkoca https://t.co/mLYhGO1rvY</t>
  </si>
  <si>
    <t>1464344045862498308</t>
  </si>
  <si>
    <t>@drfahrettinkoca cevap vermedikçe şüphem büyüyor https://t.co/M7FnWoyvda</t>
  </si>
  <si>
    <t>1464343166975463434</t>
  </si>
  <si>
    <t>@drfahrettinkoca #velilerdeonlineistiyor</t>
  </si>
  <si>
    <t>1464342733129199622</t>
  </si>
  <si>
    <t>@drfahrettinkoca sayın bakanımız yerli aşının müjdesini veriyor mecliste herkessevinirken  bir gurup kanı bozuk ona… https://t.co/Wcosk6UYL4</t>
  </si>
  <si>
    <t>1464342570381856777</t>
  </si>
  <si>
    <t>@drfahrettinkoca   ZamDeğil AFistiyoruz</t>
  </si>
  <si>
    <t>1468730080495026181</t>
  </si>
  <si>
    <t>@drfahrettinkoca  mikrofon sende konuş bu  işler  çocuklar gibi ülkeyi pastelle boyamaya benzemiyo https://t.co/xHxacoZFRi</t>
  </si>
  <si>
    <t>1468728145230585862</t>
  </si>
  <si>
    <t>@drfahrettinkoca @saglikbakanligi https://t.co/0TXtjOeMUa</t>
  </si>
  <si>
    <t>1468704148891783169</t>
  </si>
  <si>
    <t>@drfahrettinkoca anne olarak cevap bekliyoruz hergun savunmasız okula gönderdiğimiz çocuklarımız için endişeliyiz https://t.co/SmvTST01cX</t>
  </si>
  <si>
    <t>1468701960421494789</t>
  </si>
  <si>
    <t>@drfahrettinkoca @BilimKurulu_ https://t.co/2WpGfXkidW</t>
  </si>
  <si>
    <t>1468692997336354818</t>
  </si>
  <si>
    <t>@drfahrettinkoca Bu densiz ve hadsiz medya dedikoducusuna tüm sağlık çalışanları adına dava açmalı bu özürle tek ha… https://t.co/QMmaKkupFy</t>
  </si>
  <si>
    <t>1468691588603949057</t>
  </si>
  <si>
    <t>@drfahrettinkoca Hiçbir zaman vaktinde karar veremediniz bari bu sefer verin lütfen. 3. dozların aralığını 3 aya indirin.</t>
  </si>
  <si>
    <t>1468687512180768773</t>
  </si>
  <si>
    <t>@drfahrettinkoca DUYUYOR MUSUNUZ?? LÜTFEN ARTIK BİLİME KULAK VERİN. 3. DOZLAR 3 AY ARALIĞA İNDİRİLSİN https://t.co/SF5yPKuIWR</t>
  </si>
  <si>
    <t>1468686800080326666</t>
  </si>
  <si>
    <t>@drfahrettinkoca bu kadar duyarsız kalmanız akıl alır gibi değil. Harekete geçmeniz için toplu katiliamlar mı olmas… https://t.co/dJIjToxQS7</t>
  </si>
  <si>
    <t>1468685973013811203</t>
  </si>
  <si>
    <t>@drfahrettinkoca @saglikbakanligi https://t.co/m5RTR7McBC</t>
  </si>
  <si>
    <t>1468683973211697159</t>
  </si>
  <si>
    <t>@drfahrettinkoca https://t.co/03b6rKal7D</t>
  </si>
  <si>
    <t>1468682729512480779</t>
  </si>
  <si>
    <t>@drfahrettinkoca Değerli Başkanım, göğüsten altı omurilik felçlisinin kolları sağlam diye bakıcı parası da kesilmem… https://t.co/AM6JT7nQtI</t>
  </si>
  <si>
    <t>1468679105503805445</t>
  </si>
  <si>
    <t>@drfahrettinkoca Değerli Bakanım, göğüsten altı omurilik felçlisinin kolları sağlam diye bakıcı parası da kesilmeme… https://t.co/w7PaQsoK2P</t>
  </si>
  <si>
    <t>1468679030740295689</t>
  </si>
  <si>
    <t>@drfahrettinkoca hastaneleri denetleme yokmu sabır sabır diyoruz ama sabırda bir yere kadar hiç bir bölüme randevu… https://t.co/7BQ5Ia350p</t>
  </si>
  <si>
    <t>1468674909148692486</t>
  </si>
  <si>
    <t>@drfahrettinkoca sayın bakanım annemi bugün Göztepe PROF.DR.Süleyman Yalçın şehir hastanesi’nin götürdüm 15 gündür… https://t.co/XkiztVnk8E</t>
  </si>
  <si>
    <t>1468673705995874308</t>
  </si>
  <si>
    <t>@drfahrettinkoca @csgbakanligi #TaşeronaSahipÇık</t>
  </si>
  <si>
    <t>1468672959736913931</t>
  </si>
  <si>
    <t>@drfahrettinkoca @saglikbakanligi https://t.co/TKJwtWZIXA</t>
  </si>
  <si>
    <t>1468669399443849217</t>
  </si>
  <si>
    <t>@drfahrettinkoca @saglikbakanligi https://t.co/E4iBBc21o1</t>
  </si>
  <si>
    <t>1468668619039072265</t>
  </si>
  <si>
    <t>@drfahrettinkoca @RTErdogan https://t.co/6ASP8vdzsX</t>
  </si>
  <si>
    <t>1468668424335380496</t>
  </si>
  <si>
    <t>@drfahrettinkoca bu hadsize haddini bildirmeyecek misiniz? #ÖzürDileHakanUral</t>
  </si>
  <si>
    <t>1468663330835476483</t>
  </si>
  <si>
    <t>@drfahrettinkoca Bizim de bakanımz olur musunz?Çünkü bizi dilenci gibi görn önemsemeyn karşıma dahi çıkmayan bir ba… https://t.co/E4NWElkuLt</t>
  </si>
  <si>
    <t>1468663114912735234</t>
  </si>
  <si>
    <t>@drfahrettinkoca Bizim de bakanımz olur musunz?Çünkü bizi dilenci gibi görn önemsemeyn karşıma dahi çıkmayan bir ba… https://t.co/VajSq9FDBz</t>
  </si>
  <si>
    <t>1468663092649373700</t>
  </si>
  <si>
    <t>@drfahrettinkoca Bizim de bakanımz olur musunz?Çünkü bizi dilenci gibi görn önemsemeyn karşıma dahi çıkmayan bir ba… https://t.co/oRQLStaZfo</t>
  </si>
  <si>
    <t>1468663071153532928</t>
  </si>
  <si>
    <t>@drfahrettinkoca Bizim de bakanımz olur musunz?Çünkü bizi dilenci gibi görn önemsemeyn karşıma dahi çıkmayan bir ba… https://t.co/nlxQibIWgD</t>
  </si>
  <si>
    <t>1468663050798522376</t>
  </si>
  <si>
    <t>@drfahrettinkoca Bizim de bakanımz olur musunz?Çünkü bizi dilenci gibi görn önemsemeyn karşıma dahi çıkmayan bir ba… https://t.co/7BRZwGgJqC</t>
  </si>
  <si>
    <t>1468663023074217985</t>
  </si>
  <si>
    <t>@drfahrettinkoca Bizim de bakanımz olur musunz?Çünkü bizi dilenci gibi görn önemsemeyn karşıma dahi çıkmayan bir ba… https://t.co/RPLhJHiQqP</t>
  </si>
  <si>
    <t>1468662997346365440</t>
  </si>
  <si>
    <t>@drfahrettinkoca Bizim de bakanımz olur musunz?Çünkü bizi dilenci gibi görn önemsemeyn karşıma dahi çıkmayan bir ba… https://t.co/Vwbpz8jPa0</t>
  </si>
  <si>
    <t>1468662977201123330</t>
  </si>
  <si>
    <t>@drfahrettinkoca siz hâlâ aşı diyin belli bir aralıktan sonra sönümlenen aşının ve bağışıklıktan kaçan bir varyat v… https://t.co/p9zLKbQeZp</t>
  </si>
  <si>
    <t>1468662970783838218</t>
  </si>
  <si>
    <t>@drfahrettinkoca Bizim de bakanımz olur musunz?Çünkü bizi dilenci gibi görn önemsemeyn karşıma dahi çıkmayan bir ba… https://t.co/E9nnluJHKK</t>
  </si>
  <si>
    <t>1468662956976222215</t>
  </si>
  <si>
    <t>@drfahrettinkoca Bizim de bakanımz olur musunz?Çünkü bizi dilenci gibi görn önemsemeyn karşıma dahi çıkmayan bir ba… https://t.co/hJJgOGZPxc</t>
  </si>
  <si>
    <t>1468662934578544641</t>
  </si>
  <si>
    <t>@drfahrettinkoca Bizim de bakanımz olur musunz?Çünkü bizi dilenci gibi görn önemsemeyn karşıma dahi çıkmayan bir ba… https://t.co/IeG8XRChdX</t>
  </si>
  <si>
    <t>1468662913300893700</t>
  </si>
  <si>
    <t>@drfahrettinkoca Bizim de bakanımz olur musunz?Çünkü bizi dilenci gibi görn önemsemeyn karşıma dahi çıkmayan bir ba… https://t.co/8IAq1ZhHYV</t>
  </si>
  <si>
    <t>1468662891989643266</t>
  </si>
  <si>
    <t>@drfahrettinkoca Bizim de bakanımz olur musunz?Çünkü bizi dilenci gibi görn önemsemeyn karşıma dahi çıkmayan bir ba… https://t.co/WilS5k2rrf</t>
  </si>
  <si>
    <t>1468662870351269899</t>
  </si>
  <si>
    <t>@drfahrettinkoca Bizim de bakanımz olur musunz?Çünkü bizi dilenci gibi görn önemsemeyn karşıma dahi çıkmayan bir ba… https://t.co/lyLB7qzsMy</t>
  </si>
  <si>
    <t>1468662850126286850</t>
  </si>
  <si>
    <t>@drfahrettinkoca Bizim de bakanımz olur musunz?Çünkü bizi dilenci gibi görn önemsemeyn karşıma dahi çıkmayan bir ba… https://t.co/2AaJMGNrha</t>
  </si>
  <si>
    <t>1468662830488563724</t>
  </si>
  <si>
    <t>@drfahrettinkoca Bizim de bakanımz olur musunz?Çünkü bizi dilenci gibi görn önemsemeyn karşıma dahi çıkmayan bir ba… https://t.co/kRUwH6MLg9</t>
  </si>
  <si>
    <t>1468662811928801281</t>
  </si>
  <si>
    <t>@drfahrettinkoca Bizim de bakanımz olur musunz?Çünkü bizi dilenci gibi görn önemsemeyn karşıma dahi çıkmayan bir ba… https://t.co/o4vfSaroIv</t>
  </si>
  <si>
    <t>1468662792978894850</t>
  </si>
  <si>
    <t>@drfahrettinkoca Bizim de bakanımz olur musunz?Çünkü bizi dilenci gibi görn önemsemeyn karşıma dahi çıkmayan bir ba… https://t.co/x7UjGQyLSH</t>
  </si>
  <si>
    <t>1468662773739630593</t>
  </si>
  <si>
    <t>@drfahrettinkoca Bizim de bakanımz olur musunz?Çünkü bizi dilenci gibi görn önemsemeyn karşıma dahi çıkmayan bir ba… https://t.co/n6Guzl7a23</t>
  </si>
  <si>
    <t>1468662755007807489</t>
  </si>
  <si>
    <t>@drfahrettinkoca Bizim de bakanımz olur musunz?Çünkü bizi dilenci gibi görn önemsemeyn karşıma dahi çıkmayan bir ba… https://t.co/eTpyUme1o3</t>
  </si>
  <si>
    <t>1468662722602618884</t>
  </si>
  <si>
    <t>@drfahrettinkoca Bizim de bakanımz olur musunz?Çünkü bizi dilenci gibi görn önemsemeyn karşıma dahi çıkmayan bir ba… https://t.co/YAERQkyxxr</t>
  </si>
  <si>
    <t>1468662702830718979</t>
  </si>
  <si>
    <t>@drfahrettinkoca Bizim de bakanımz olur musunz?Çünkü bizi dilenci gibi görn önemsemeyn karşıma dahi çıkmayan bir ba… https://t.co/udnEuN5N05</t>
  </si>
  <si>
    <t>1468662682396020739</t>
  </si>
  <si>
    <t>@drfahrettinkoca Bizim de bakanımz olur musunz?Çünkü bizi dilenci gibi görn önemsemeyn karşıma dahi çıkmayan bir ba… https://t.co/hkYYL2xXQ2</t>
  </si>
  <si>
    <t>1468662662204698625</t>
  </si>
  <si>
    <t>@drfahrettinkoca Bizim de bakanımz olur musunz?Çünkü bizi dilenci gibi görn önemsemeyn karşıma dahi çıkmayan bir ba… https://t.co/reBTK5NAeR</t>
  </si>
  <si>
    <t>1468662642193670147</t>
  </si>
  <si>
    <t>@drfahrettinkoca Bizim de bakanımz olur musunz?Çünkü bizi dilenci gibi görn önemsemeyn karşıma dahi çıkmayan bir ba… https://t.co/hSWVUgYfcC</t>
  </si>
  <si>
    <t>1468662622476279808</t>
  </si>
  <si>
    <t>@drfahrettinkoca Bizim de bakanımz olur musunz?Çünkü bizi dilenci gibi görn önemsemeyn karşıma dahi çıkmayan bir ba… https://t.co/RzafyAQZLz</t>
  </si>
  <si>
    <t>1468662602502971396</t>
  </si>
  <si>
    <t>@drfahrettinkoca Bizim de bakanımz olur musunz?Çünkü bizi dilenci gibi görn önemsemeyn karşıma dahi çıkmayan bir ba… https://t.co/GXQT18xayG</t>
  </si>
  <si>
    <t>1468662578322804748</t>
  </si>
  <si>
    <t>@drfahrettinkoca https://t.co/fXft7Ykq2t</t>
  </si>
  <si>
    <t>1468662062981292032</t>
  </si>
  <si>
    <t>@drfahrettinkoca  Bizim de bakanımız olur musunuz ? Çünkü bizi dilenci gibi gören önemsemeyen karşıma dahi çıkmayan… https://t.co/FHEzkqo6D8</t>
  </si>
  <si>
    <t>1468658196197920774</t>
  </si>
  <si>
    <t>@drfahrettinkoca @EmniyetGM @saglikbakanligi sağlıkçılara edepsiz laf eden bu şahsa ceza yaptırımı yapılmayacak mı?? https://t.co/1QkxWXvOoA</t>
  </si>
  <si>
    <t>1468657879720898565</t>
  </si>
  <si>
    <t>@drfahrettinkoca Boşnak Hemşehrimiz Oyuncu Reshad Strik ; Cumhurbaşkanı Recep Tayyip Erdoğan ile ilgili sözler -Siz… https://t.co/GphrKPfKVG</t>
  </si>
  <si>
    <t>1468657172041064453</t>
  </si>
  <si>
    <t>@drfahrettinkoca ne ayaksın?? #TestBahane https://t.co/bLdytcyeDV</t>
  </si>
  <si>
    <t>1468655295643754496</t>
  </si>
  <si>
    <t>@drfahrettinkoca @kilicdarogluk @dbdevletbahceli @suleymansoylu @meral_aksener @metinbulut23 @zulfudemirbag23… https://t.co/teji2sfQLb</t>
  </si>
  <si>
    <t>1468654739038650369</t>
  </si>
  <si>
    <t>@drfahrettinkoca @kilicdarogluk @dbdevletbahceli @suleymansoylu @meral_aksener @metinbulut23 @zulfudemirbag23… https://t.co/ZHISb3cyrf</t>
  </si>
  <si>
    <t>1468654644436082699</t>
  </si>
  <si>
    <t>@drfahrettinkoca Sayın Erdoğan buyrun. 😥 https://t.co/ND8fJoFb6n</t>
  </si>
  <si>
    <t>1468652673247420421</t>
  </si>
  <si>
    <t>@drfahrettinkoca bunların önüne geçecek tek bir düşünceniz, planınız var mı? Hiç mi rahatsız olmuyorsunuz? https://t.co/Jk7Pwkqfx2</t>
  </si>
  <si>
    <t>1468651987814305797</t>
  </si>
  <si>
    <t>@drfahrettinkoca efendisinden izin almadan tweet bile atamıyor. Boşuna uğraşmayın. Meydan şaklabanlara kaldı. #Özürdilehakanural</t>
  </si>
  <si>
    <t>1468651892024791045</t>
  </si>
  <si>
    <t>@drfahrettinkoca @RTErdogan @tcbestepe https://t.co/e2WZBvdW1D</t>
  </si>
  <si>
    <t>1468651769718841351</t>
  </si>
  <si>
    <t>@drfahrettinkoca https://t.co/oHw2qmbl85</t>
  </si>
  <si>
    <t>1468651369393438728</t>
  </si>
  <si>
    <t>@drfahrettinkoca #TaşeronaSahipÇık SN: BAKANIM DEVLET HASTANELERİ KAPANIYOR VE TAŞERON ÇALIŞAN PERSONEL HBYS YEMEKH… https://t.co/Tc0WU60fpV</t>
  </si>
  <si>
    <t>1468649878679130116</t>
  </si>
  <si>
    <t>@drfahrettinkoca  Bizim de bakanımız olur musunuz ? Çünkü bizi dilenci gibi gören önemsemeyen karşıma dahi çıkmayan… https://t.co/3qWkXqdXwQ</t>
  </si>
  <si>
    <t>1468649275429199872</t>
  </si>
  <si>
    <t>@drfahrettinkoca  Bizim de bakanımız olur musunuz ? Çünkü bizi dilenci gibi gören önemsemeyen karşıma dahi çıkmayan… https://t.co/PfIrSY11sK</t>
  </si>
  <si>
    <t>1468649273948520451</t>
  </si>
  <si>
    <t>@drfahrettinkoca  Bizim de bakanımız olur musunuz ? Çünkü bizi dilenci gibi gören önemsemeyen karşıma dahi çıkmayan… https://t.co/DrIIXSEB3N</t>
  </si>
  <si>
    <t>1468649272245727245</t>
  </si>
  <si>
    <t>@drfahrettinkoca  Bizim de bakanımız olur musunuz ? Çünkü bizi dilenci gibi gören önemsemeyen karşıma dahi çıkmayan… https://t.co/6i2ReRuj8e</t>
  </si>
  <si>
    <t>1468649270257627143</t>
  </si>
  <si>
    <t>@drfahrettinkoca  Bizim de bakanımız olur musunuz ? Çünkü bizi dilenci gibi gören önemsemeyen karşıma dahi çıkmayan… https://t.co/2N81L1Ny0p</t>
  </si>
  <si>
    <t>1468649268957388805</t>
  </si>
  <si>
    <t>@drfahrettinkoca  Bizim de bakanımız olur musunuz ? Çünkü bizi dilenci gibi gören önemsemeyen karşıma dahi çıkmayan… https://t.co/jFld0uDed3</t>
  </si>
  <si>
    <t>1468649267581665284</t>
  </si>
  <si>
    <t>@drfahrettinkoca  Bizim de bakanımız olur musunuz ? Çünkü bizi dilenci gibi gören önemsemeyen karşıma dahi çıkmayan… https://t.co/rcyk3TQurp</t>
  </si>
  <si>
    <t>1468649264582742016</t>
  </si>
  <si>
    <t>@drfahrettinkoca  Bizim de bakanımız olur musunuz ? Çünkü bizi dilenci gibi gören önemsemeyen karşıma dahi çıkmayan… https://t.co/12GZBxn9XU</t>
  </si>
  <si>
    <t>1468649262263193601</t>
  </si>
  <si>
    <t>@drfahrettinkoca şu şahıs kadar değerimiz yok değil mi? #ÖzürDileHakanUral</t>
  </si>
  <si>
    <t>1468649012953817093</t>
  </si>
  <si>
    <t>@drfahrettinkoca ONUR HAVA YOLLARI Rezaleti devam ediyor!  Yaklaşık 23 aydır #OnurAir  yönetimi çalışanlarına pande… https://t.co/rU9aitPClf</t>
  </si>
  <si>
    <t>1468648157542236160</t>
  </si>
  <si>
    <t>@drfahrettinkoca o çubuğu al... #TestBahane</t>
  </si>
  <si>
    <t>1468646939755438082</t>
  </si>
  <si>
    <t>@drfahrettinkoca sayın bakan, sağlıkta şiddet var sağlıkta terör var! Sağlık emekçilerini korumayı, bu facianın önü… https://t.co/jwWseM5qj6</t>
  </si>
  <si>
    <t>1468646438771077133</t>
  </si>
  <si>
    <t>@drfahrettinkoca #TaşeronaSahipÇık SN:BAKANIM KADRO ALAMAYAN YÜZDE 70 ENGELİNE TAKILAN SAGLIKTA GECE GÜNDÜZ ÇALIŞAN… https://t.co/YFzZhK8odD</t>
  </si>
  <si>
    <t>1468646299524374537</t>
  </si>
  <si>
    <t>@drfahrettinkoca SN:BAKANIM KADRO ALAMAYAN YÜZDE 70 ENGELİNE TAKILAN SAGLIKTA GECE GÜNDÜZ ÇALIŞAN VE MESAİ ALMADAN… https://t.co/SeuoeoIGIx</t>
  </si>
  <si>
    <t>1468645929498652673</t>
  </si>
  <si>
    <t>@drfahrettinkoca  Bizim de bakanımız olur musunuz ? Çünkü bizi dilenci gibi gören önemsemeyen karşıma dahi çıkmayan… https://t.co/rbx51mF1B6</t>
  </si>
  <si>
    <t>1468645629845020679</t>
  </si>
  <si>
    <t>@drfahrettinkoca  Bizim de bakanımız olur musunuz? Çünkü bizi dilenci gibi gören önemsemeyen karşımıza çıkmayan bir… https://t.co/I2fLJ5Ip4h</t>
  </si>
  <si>
    <t>1468643202366386190</t>
  </si>
  <si>
    <t>@drfahrettinkoca Klavuzu yayınlamak için daha neyi bekliyorsunuz bakanım? Yeni yıla girince mi açıklayacaksınız? Bi… https://t.co/3DJRcPEeh7</t>
  </si>
  <si>
    <t>1468642014694625281</t>
  </si>
  <si>
    <t>@drfahrettinkoca  5-11 yaş çocuklara aşı hakkını tanımlayın isterseniz artık. https://t.co/hNbVyCLiQE</t>
  </si>
  <si>
    <t>1468641954691006468</t>
  </si>
  <si>
    <t>@drfahrettinkoca  Bizim de bakanımız olur musunuz ? Çünkü bizi dilenci gibi gören önemsemeyen karşıma dahi çıkmayan… https://t.co/aOSfXvGHnn</t>
  </si>
  <si>
    <t>1468641543196225538</t>
  </si>
  <si>
    <t>@drfahrettinkoca  Bizim de bakanımız olur musunuz ? Çünkü bizi dilenci gibi gören önemsemeyen karşıma dahi çıkmayan… https://t.co/ED3JRSeAx1</t>
  </si>
  <si>
    <t>1468641186554552324</t>
  </si>
  <si>
    <t>@drfahrettinkoca  Bizim de bakanımız olur musunuz ? Çünkü bizi dilenci gibi gören önemsemeyen karşıma dahi çıkmayan… https://t.co/FvRbin4XWG</t>
  </si>
  <si>
    <t>1468640833771614210</t>
  </si>
  <si>
    <t>@drfahrettinkoca  Bizim de bakanımız olur musunuz ? Çünkü bizi dilenci gibi gören önemsemeyen karşıma dahi çıkmayan… https://t.co/JnODA5laxy</t>
  </si>
  <si>
    <t>1468640380849729545</t>
  </si>
  <si>
    <t>@drfahrettinkoca  Bizim de bakanımız olur musunuz ? Çünkü bizi dilenci gibi gören önemsemeyen karşımıza dahi çıkmay… https://t.co/qUmkKYr4nw</t>
  </si>
  <si>
    <t>1468637079785684997</t>
  </si>
  <si>
    <t>@drfahrettinkoca  Bizim de bakanımız olur musunuz ? Çünkü bizi dilenci gibi gören önemsemeyen karşımıza dahi çıkmay… https://t.co/UrQgYOefHJ</t>
  </si>
  <si>
    <t>1468637078003015692</t>
  </si>
  <si>
    <t>@drfahrettinkoca  Bizim de bakanımız olur musunuz ? Çünkü bizi dilenci gibi gören önemsemeyen karşımıza dahi çıkmay… https://t.co/vRWIAyubed</t>
  </si>
  <si>
    <t>1468637067357868037</t>
  </si>
  <si>
    <t>@drfahrettinkoca  Bizim de bakanımız olur musunuz ? Çünkü bizi dilenci gibi gören önemsemeyen karşımıza dahi çıkmay… https://t.co/EchIGc7cJm</t>
  </si>
  <si>
    <t>1468637064338026497</t>
  </si>
  <si>
    <t>@drfahrettinkoca  Bizim de bakanımız olur musunuz ? Çünkü bizi dilenci gibi gören önemsemeyen karşımıza dahi çıkmay… https://t.co/BphmrZ8udx</t>
  </si>
  <si>
    <t>1468637061972430853</t>
  </si>
  <si>
    <t>@drfahrettinkoca  Bizim de bakanımız olur musunuz ? Çünkü bizi dilenci gibi gören önemsemeyen karşımıza dahi çıkmay… https://t.co/SluTSedDbg</t>
  </si>
  <si>
    <t>1468637060328210438</t>
  </si>
  <si>
    <t>@drfahrettinkoca  Bizim de bakanımız olur musunuz ? Çünkü bizi dilenci gibi gören önemsemeyen karşımıza dahi çıkmay… https://t.co/e0OiOblwSs</t>
  </si>
  <si>
    <t>1468637058407227394</t>
  </si>
  <si>
    <t>@drfahrettinkoca  Bizim de bakanımız olur musunuz ? Çünkü bizi dilenci gibi gören önemsemeyen karşımıza dahi çıkmay… https://t.co/WZq03C7njL</t>
  </si>
  <si>
    <t>1468637056645709838</t>
  </si>
  <si>
    <t>@drfahrettinkoca ŞartlarAğır AFşart https://t.co/AxqYIZ12gT</t>
  </si>
  <si>
    <t>1468636368922451971</t>
  </si>
  <si>
    <t>@drfahrettinkoca  Bizim de bakanımız olur musunuz ? Çünkü bizi dilenci gibi gören önemsemeyen karşıma dahi çıkmayan… https://t.co/Qkz9EHRCer</t>
  </si>
  <si>
    <t>1468635693740081153</t>
  </si>
  <si>
    <t>@drfahrettinkoca  Bizim de bakanımız olur musunuz ? Çünkü bizi dilenci gibi gören önemsemeyen karşıma dahi çıkmayan… https://t.co/Ko0CQXy48x</t>
  </si>
  <si>
    <t>1468635692364349440</t>
  </si>
  <si>
    <t>@drfahrettinkoca  Bizim de bakanımız olur musunuz ? Çünkü bizi dilenci gibi gören önemsemeyen karşıma dahi çıkmayan… https://t.co/tEdcnuCiJi</t>
  </si>
  <si>
    <t>1468635691080896513</t>
  </si>
  <si>
    <t>@drfahrettinkoca  Bizim de bakanımız olur musunuz ? Çünkü bizi dilenci gibi gören önemsemeyen karşıma dahi çıkmayan… https://t.co/l3e5iUoOK2</t>
  </si>
  <si>
    <t>1468635689550069770</t>
  </si>
  <si>
    <t>@drfahrettinkoca  Bizim de bakanımız olur musunuz ? Çünkü bizi dilenci gibi gören önemsemeyen karşıma dahi çıkmayan… https://t.co/62lGFkVgeS</t>
  </si>
  <si>
    <t>1468635688182501378</t>
  </si>
  <si>
    <t>@drfahrettinkoca @saglikbakanligi @DoktorlarSites https://t.co/mNjChZqLVv</t>
  </si>
  <si>
    <t>1468635059095810053</t>
  </si>
  <si>
    <t>@drfahrettinkoca  Bizim de bakanımız olur musunuz ? Çünkü bizi dilenci gören önemsemeyen karşıma dahi çıkmayan baka… https://t.co/JQUirciuML</t>
  </si>
  <si>
    <t>1468634202539278338</t>
  </si>
  <si>
    <t>@drfahrettinkoca Bizim de bakanımız olur musunuz?Çünkü bizi dilenci gibi gören önemsemeyen karşıma dahi çıkmayan bi… https://t.co/O0XCz03Vgc</t>
  </si>
  <si>
    <t>1468634167118372866</t>
  </si>
  <si>
    <t>@drfahrettinkoca Bizim de bakanımız olur musunuz?Çünkü bizi dilenci gibi gören önemsemeyen karşıma dahi çıkmayan bi… https://t.co/Jy7P1d57Ex</t>
  </si>
  <si>
    <t>1468634165763620883</t>
  </si>
  <si>
    <t>@drfahrettinkoca @saglikbakanligi lütfen yetkilinize iletin "medikal lobisi" stokçuluk için "bahane" üretiyor. Yok… https://t.co/DVyBUHCk2J</t>
  </si>
  <si>
    <t>1468634164652089348</t>
  </si>
  <si>
    <t>@drfahrettinkoca Bizim de bakanımız olur musunuz?Çünkü bizi dilenci gibi gören önemsemeyen karşıma dahi çıkmayan bi… https://t.co/zmOpklYj2i</t>
  </si>
  <si>
    <t>1468634164442370052</t>
  </si>
  <si>
    <t>@drfahrettinkoca  @OSYMbaskanligi https://t.co/x1gFbdrqMw</t>
  </si>
  <si>
    <t>1468633827174240261</t>
  </si>
  <si>
    <t>@drfahrettinkoca  Bizim de bakanımız olur musunuz ? Çünkü bizi dilenci gibi gören önemsemeyen karşıma dahi çıkmayan… https://t.co/IweIutepP3</t>
  </si>
  <si>
    <t>1468633621904998404</t>
  </si>
  <si>
    <t>@drfahrettinkoca  Bizim de bakanımız olur musunuz ? Çünkü bizi dilenci gibi gören önemsemeyen karşıma dahi çıkmayan… https://t.co/V6LGhluxdT</t>
  </si>
  <si>
    <t>1468633368606777350</t>
  </si>
  <si>
    <t>@drfahrettinkoca @saglikbakanligi tweeter takipcilerimiz bile  mRNA asilarinin dogru uygulamasinin 3. doz oldugunu… https://t.co/n8R9Jpf5eX</t>
  </si>
  <si>
    <t>1468632173724975109</t>
  </si>
  <si>
    <t>@drfahrettinkoca  Bizim de bakanımız olur musunuz ? Çünkü bizi dilenci gibi gören önemsemeyen karşıma dahi çıkmayan… https://t.co/Ct0jKOpiTl</t>
  </si>
  <si>
    <t>1468632000999276548</t>
  </si>
  <si>
    <t>@drfahrettinkoca @halis_aygun @RTErdogan  #SbMerkeziAtamaÖncesiKılavuz</t>
  </si>
  <si>
    <t>1468631822124957701</t>
  </si>
  <si>
    <t>@drfahrettinkoca  Bizim de bakanımız olur musunuz ? Çünkü bizi dilenci gibi gören önemsemeyen karşıma dahi çıkmayan… https://t.co/xqAU9H2kJC</t>
  </si>
  <si>
    <t>1468631701215760388</t>
  </si>
  <si>
    <t>@drfahrettinkoca  Bizim de bakanımız olur musunuz ? Çünkü bizi dilenci gibi gören önemsemeyen karşıma dahi çıkmayan… https://t.co/nI3uYZwFm7</t>
  </si>
  <si>
    <t>1468630526605107203</t>
  </si>
  <si>
    <t>@drfahrettinkoca Bizim de bakanımız olur musunuz ? Çünkü bizi dilenci gibi gören önemsemeyen karşıma dahi çıkmayan… https://t.co/VLrFerqfll</t>
  </si>
  <si>
    <t>1468630216411164679</t>
  </si>
  <si>
    <t>@drfahrettinkoca  Bizim de bakanımız olur musunuz ? Çünkü bizi dilenci gibi gören önemsemeyen karşıma dahi çıkmayan… https://t.co/4YmSTFgBrm</t>
  </si>
  <si>
    <t>1468629873111539720</t>
  </si>
  <si>
    <t>@drfahrettinkoca  @saglikbakanligi  @syigitoglu18  @avadursun  Sultangazi ilçe sağlık müdürlüğüne ulaşamadım. Kovid… https://t.co/QcPIHxsswN</t>
  </si>
  <si>
    <t>1468629816673030145</t>
  </si>
  <si>
    <t>@drfahrettinkoca Sayın Bakanım Kolay Gelsin. Size tekrar 🔂 ricam: Mersin’de yaşayan Biyosidal Mes. Md.’üm. Tam zama… https://t.co/oLlw4lqOOO</t>
  </si>
  <si>
    <t>1468629303613181952</t>
  </si>
  <si>
    <t>@drfahrettinkoca  Bizim de bakanımız olur musunuz ? Çünkü bizi dilenci gibi gören önemsemeyen karşıma dahi çıkmayan… https://t.co/0Xp8abOSAb</t>
  </si>
  <si>
    <t>1468629008208338955</t>
  </si>
  <si>
    <t>@drfahrettinkoca @RTErdogan aşısız ve hasta olmadığım için her hafta test istiyorlar, asıl testi aşılılara yapsınla… https://t.co/Bj2B1MzMV9</t>
  </si>
  <si>
    <t>1468628735192702983</t>
  </si>
  <si>
    <t>@drfahrettinkoca @saglikbakanligi https://t.co/m6dneCHsWV</t>
  </si>
  <si>
    <t>1468627520081874946</t>
  </si>
  <si>
    <t>@drfahrettinkoca  @saglikbakanligi https://t.co/4SM3dPqGQX</t>
  </si>
  <si>
    <t>1468627080732680195</t>
  </si>
  <si>
    <t>@drfahrettinkoca  Sayın bakan doktorların yaşadıkları bu şiddet iklimini sona erdirmeye yönelik bir  şeyler yapmayı… https://t.co/iM2AWP2oCH</t>
  </si>
  <si>
    <t>1468627080451702790</t>
  </si>
  <si>
    <t>@drfahrettinkoca Suç bizde  , biz seni ciddiye aldık .   #BirBakan40KocaYalan</t>
  </si>
  <si>
    <t>1469809242160963588</t>
  </si>
  <si>
    <t>@drfahrettinkoca pornu</t>
  </si>
  <si>
    <t>1469803772415299588</t>
  </si>
  <si>
    <t>@drfahrettinkoca @RTErdogan #BütçedenSağlığaNetAçıklama önce40 bin denilipsonra 30 bin alım olacağı söylenen vebir… https://t.co/WA9cfXyyOB</t>
  </si>
  <si>
    <t>1469801795572703232</t>
  </si>
  <si>
    <t>@drfahrettinkoca çok iyi sağlık sistemimizde ben covidken covid desteği 2 kere aramama rağmen tarafınıza geri dönüş… https://t.co/CzxHATIofG</t>
  </si>
  <si>
    <t>1469800561327366149</t>
  </si>
  <si>
    <t>@drfahrettinkoca size inandığım için ben salağım ben. Bu kadar saf olmamalıydım. Bari bu atamayı hemen yapında bizd… https://t.co/U9DIPC7Gdt</t>
  </si>
  <si>
    <t>1469796563220377602</t>
  </si>
  <si>
    <t>@drfahrettinkoca şu an marmara üniversitesi acilde bekliyoruz birbuçuk saat oldu hekimler 7 hasta baktılar  acilin… https://t.co/kZu4gJMy93</t>
  </si>
  <si>
    <t>1469795496399192065</t>
  </si>
  <si>
    <t>@drfahrettinkoca iç ses ' Kandırdımm nazlıı yariii'🎵 #BirBakan40KocaYalan</t>
  </si>
  <si>
    <t>1469794789310742531</t>
  </si>
  <si>
    <t>@drfahrettinkoca gerçekten tebrik ederim. Çok kötü bir yönetim sergileyip mevcut hemşirelerin hakkını yediğiniz yet… https://t.co/xMqYwCGMh1</t>
  </si>
  <si>
    <t>1469792710395674633</t>
  </si>
  <si>
    <t>@drfahrettinkoca efendi artık gerçekten iğrendirdiniz..Samîmi olun,âdil olun..Yeterrrr!!! #BütçedenSağlığaNetAçıklama</t>
  </si>
  <si>
    <t>1469791131105992705</t>
  </si>
  <si>
    <t>@drfahrettinkoca yakalanmamak &amp;gt; #omicron</t>
  </si>
  <si>
    <t>1469790447715373062</t>
  </si>
  <si>
    <t>@drfahrettinkoca 2 gün önce kızımın eli cam parçaları ile kesildi mimaroba medicell e acilen girdik ve 10 dikiş atı… https://t.co/Ny309GZFNo</t>
  </si>
  <si>
    <t>1469787548952272900</t>
  </si>
  <si>
    <t>@drfahrettinkoca. Cevap verin https://t.co/sUo0MdtIkc</t>
  </si>
  <si>
    <t>1469786306502971396</t>
  </si>
  <si>
    <t>@drfahrettinkoca  Bu konuda ne dersiniz sayın bakan pardon Sayın Sağlık Bakanı. https://t.co/FqQW7UiS4D</t>
  </si>
  <si>
    <t>1469783832022990848</t>
  </si>
  <si>
    <t>@drfahrettinkoca sayın koca bi yıllık suskunluğunuzu böyle bozdunuz madem 40 bin alımı önce 10 bin işçiyle 30 bine… https://t.co/BdDtEFKVBR</t>
  </si>
  <si>
    <t>1469783043833569285</t>
  </si>
  <si>
    <t>@drfahrettinkoca biz sağlıkçılar bı hizmetin olmadı bari istifa et . Hoş sen bunu da ikiye bölersin  #BirBakan40KocaYalan</t>
  </si>
  <si>
    <t>1469782613883854851</t>
  </si>
  <si>
    <t>@drfahrettinkoca   Bulduğun virüse soyle beni bulsun   #HerYerİstiklalHerYerDireniş</t>
  </si>
  <si>
    <t>1469782384241524737</t>
  </si>
  <si>
    <t>@drfahrettinkoca ÇARESİZ BEKLEYEN KADER MAHKUMLARINI VE AİLELERİNİ UNUTMAYIN SİZİNDE AİLENİZ VAR  MahkumAileleri  TalebiniDuyunn🇹🇷</t>
  </si>
  <si>
    <t>1469781683708776453</t>
  </si>
  <si>
    <t>@drfahrettinkoca https://t.co/V9k5RorwBj</t>
  </si>
  <si>
    <t>1469781343160745984</t>
  </si>
  <si>
    <t>@drfahrettinkoca ama  AŞI olanlar seyahat ediyor hocaa https://t.co/mN01lxfq7G</t>
  </si>
  <si>
    <t>1469780542140911617</t>
  </si>
  <si>
    <t>@drfahrettinkoca el'de olur da bizde niye olmasın kıskançlığı yapmış ki Omicron sevinci yaşıyor. https://t.co/0a6e6y5vJn</t>
  </si>
  <si>
    <t>1469780272262619136</t>
  </si>
  <si>
    <t>@drfahrettinkoca  https://t.co/JaNtMacOAh</t>
  </si>
  <si>
    <t>1469779913553190914</t>
  </si>
  <si>
    <t>@drfahrettinkoca @RTErdogan zulmü kaldırın yeter artık insanlar ölmesin... https://t.co/33Vzer5DTZ</t>
  </si>
  <si>
    <t>1469778816725929988</t>
  </si>
  <si>
    <t>@drfahrettinkoca Bakanım izmirdeki okullar kapansın bir süreliğine çok riskli... kalabalık olmayan bir yer yok. İşl… https://t.co/nY1Jv7kiQP</t>
  </si>
  <si>
    <t>1469778567672307715</t>
  </si>
  <si>
    <t>@drfahrettinkoca alımı niye böldünüz? Üniversite hastanelerinin kaç tanesine başvurmadım 30bin alım olacak diye. İt… https://t.co/dh5g5BLIWv</t>
  </si>
  <si>
    <t>1469778090754777093</t>
  </si>
  <si>
    <t>@drfahrettinkoca Sayın Bakanım insanlar fizik tedavi icin Devlet Hastanesi'nde 6 ay 1 yıl sıra bekliyor lütfen artı… https://t.co/GBZQzsqnlS</t>
  </si>
  <si>
    <t>1469777634263449604</t>
  </si>
  <si>
    <t>@drfahrettinkoca tarafından açıklanan 20+10 Bin sağlık personeli alımı EVET ama YETMEZ. 800 Bin sağlık mezunu var p… https://t.co/wfeaWUbiXV</t>
  </si>
  <si>
    <t>1469777516734918663</t>
  </si>
  <si>
    <t>@drfahrettinkoca https://t.co/ZNQ3SdJdOt</t>
  </si>
  <si>
    <t>1469777417644482574</t>
  </si>
  <si>
    <t>@drfahrettinkoca bakanım biz sağlıkçılar sana bir günde küsmedik tam 13 ayımızı aldı... Hani şair diyor ya "Birlikt… https://t.co/HeWOMN7Lhq</t>
  </si>
  <si>
    <t>1469777104363565061</t>
  </si>
  <si>
    <t>@drfahrettinkoca Sn. Bakan, ülkemizin bize ihtiyacı olduğunda, hiç tereddüt etmedik, elimizden ne gelirse de yaptık… https://t.co/dcqGKP9aBi</t>
  </si>
  <si>
    <t>1469775455049994240</t>
  </si>
  <si>
    <t>@drfahrettinkoca lütfen istifa edin! Öyle bir güven kırdınız ki sağlıkçı size asla güvenmeyecek.</t>
  </si>
  <si>
    <t>1469773789449887747</t>
  </si>
  <si>
    <t>@drfahrettinkoca aşıları lütfen erkene çekin</t>
  </si>
  <si>
    <t>1469773572004536327</t>
  </si>
  <si>
    <t>@drfahrettinkoca bakan koca   siz nasıl insanlarsınız hayatımızı kararttınız gençliğimizi  kanımızı emdiniz hayalle… https://t.co/OsjomvVscE</t>
  </si>
  <si>
    <t>1469772529011236869</t>
  </si>
  <si>
    <t>@drfahrettinkoca resmen kandırdınız bizi bu hayalkırıklığının hesabını kim verecek</t>
  </si>
  <si>
    <t>1469771467424469000</t>
  </si>
  <si>
    <t>@drfahrettinkoca Bak bu doğru işte. Ama tıp fakültelerinden hocaları uzaklaştıran, doktorluk mesleğini işkence hali… https://t.co/elNb5gORke</t>
  </si>
  <si>
    <t>1469770934152224773</t>
  </si>
  <si>
    <t>@drfahrettinkoca bu seferki "buyuk kozumuz" ne ? https://t.co/xjlfM9nVU4</t>
  </si>
  <si>
    <t>1469770410690498561</t>
  </si>
  <si>
    <t>@drfahrettinkoca  teşekkür ederim karekteriniz konusunda yanıltmadığınız için.</t>
  </si>
  <si>
    <t>1469769586962743296</t>
  </si>
  <si>
    <t>@drfahrettinkoca Binlerce kez  #YazıklarOlsunBakanKoca</t>
  </si>
  <si>
    <t>1469769537650315271</t>
  </si>
  <si>
    <t>@drfahrettinkoca diğer bakanlıklar alım yaparken sizin bizi düşürdüğünüz duruma bakın. İstifanızı bekliyoruz!</t>
  </si>
  <si>
    <t>1469768312137695233</t>
  </si>
  <si>
    <t>@drfahrettinkoca Çok şey söylerimde neyse https://t.co/FqutKJlWNo</t>
  </si>
  <si>
    <t>1469767746015608833</t>
  </si>
  <si>
    <t>@drfahrettinkoca  Yarın gel bana hasta olmadığım halde 5 kere pcr verdım niye Cevabı ver sen var ya senin milyonlar… https://t.co/EXBecU08VZ</t>
  </si>
  <si>
    <t>1469766055761526786</t>
  </si>
  <si>
    <t>@drfahrettinkoca duy sesimizi #VakalarArtmadanEğitimUzaktan</t>
  </si>
  <si>
    <t>1469765743197753353</t>
  </si>
  <si>
    <t>@drfahrettinkoca Saygı değer bakanım biz sizden razıyız Allah da sizden razı olsun. Zihniyeti bozuklar size ne kada… https://t.co/VyWBgr0bLv</t>
  </si>
  <si>
    <t>1469764437913616391</t>
  </si>
  <si>
    <t>@drfahrettinkoca @RTErdogan https://t.co/cDbwDtmknJ</t>
  </si>
  <si>
    <t>1469764436701421570</t>
  </si>
  <si>
    <t>@drfahrettinkoca #TürkiyeiçinErkenSeçim sandıkta büyük bi hesaplaşma olacak merak etmeyin</t>
  </si>
  <si>
    <t>1469763957749596170</t>
  </si>
  <si>
    <t>@drfahrettinkoca https://t.co/3EUFIk1hrY</t>
  </si>
  <si>
    <t>1469763898643558405</t>
  </si>
  <si>
    <t>@drfahrettinkoca https://t.co/WAPwKk1iuT</t>
  </si>
  <si>
    <t>1469763605822201856</t>
  </si>
  <si>
    <t>@drfahrettinkoca hocam salofalk arıyorum ama ne yazıkki 7 aydır bulamıyorum eşim raporlu ama ben nakit para ile alm… https://t.co/9nZbWO3lbj</t>
  </si>
  <si>
    <t>1469763440419954688</t>
  </si>
  <si>
    <t>@drfahrettinkoca sayın bakanım SALOFALK  yerini söyleyin kaç para ise gidip almak istiyorum eşimin bunu ömürboyu ku… https://t.co/afLjagCei4</t>
  </si>
  <si>
    <t>1469763125775851523</t>
  </si>
  <si>
    <t>@drfahrettinkoca  oyunu kuralina gore oynuyorsun aferim DSÖ ve Bill Gates sana madalya takar artik @RTErdogan  reis… https://t.co/DprXSAzWrm</t>
  </si>
  <si>
    <t>1469762847722901513</t>
  </si>
  <si>
    <t>@drfahrettinkoca bu ülkenin yetiştirdiği çok kıymetli, kendilerine minnet duyduğumuz çok hekimlerimiz var. Ancak do… https://t.co/PrwtMytAPC</t>
  </si>
  <si>
    <t>1469761850493526016</t>
  </si>
  <si>
    <t>@drfahrettinkoca 20 bin alımı duyurdu</t>
  </si>
  <si>
    <t>1469761124933554184</t>
  </si>
  <si>
    <t>@drfahrettinkoca #BuetcedenSağlığaNetAcıklama  Çok ağlarsınız seçimde… kimse yaşattıklarınızı unutmayacak!!! https://t.co/OZ65eGTpAI</t>
  </si>
  <si>
    <t>1469760751145746432</t>
  </si>
  <si>
    <t>@drfahrettinkoca  neden konuşmakta zorlanıyorsunuz</t>
  </si>
  <si>
    <t>1469760462069841921</t>
  </si>
  <si>
    <t>@drfahrettinkoca Mart diyorsa o en iyi ihtimalle haziranda olur</t>
  </si>
  <si>
    <t>1469759958925328389</t>
  </si>
  <si>
    <t>@drfahrettinkoca onca zaman bekleyip ikiye böldü ya atamayı yuh</t>
  </si>
  <si>
    <t>1469759746492321816</t>
  </si>
  <si>
    <t>@drfahrettinkoca @saglikbakanligi @meral_aksener @kilicdarogluk https://t.co/CDhpZXPP4V</t>
  </si>
  <si>
    <t>1469759082592718856</t>
  </si>
  <si>
    <t>@drfahrettinkoca @RTErdogan @saglikbakanligi #VakalarArtmadanEğitimUzaktan</t>
  </si>
  <si>
    <t>1469756586604253201</t>
  </si>
  <si>
    <t>@drfahrettinkoca @eczburhan  #BütçedenSağlığaNetAçıklama</t>
  </si>
  <si>
    <t>1469754763654975493</t>
  </si>
  <si>
    <t>@drfahrettinkoca @sgksosyalmedya @saglikbakanligi @NovartisTurkiye https://t.co/glK9q5CGAU</t>
  </si>
  <si>
    <t>1463638069345726465</t>
  </si>
  <si>
    <t>@drfahrettinkoca @suleymansoylu @RTErdogan https://t.co/S1tfFNJwKU</t>
  </si>
  <si>
    <t>1463637219722383364</t>
  </si>
  <si>
    <t>@drfahrettinkoca okullar hala tedbirsiz ve çocuklar tam gün okula gidiyor.Neyi bekliyorsunuz hala?aşı,ilaç konuşmaya devam mı</t>
  </si>
  <si>
    <t>1463635511227072520</t>
  </si>
  <si>
    <t>@drfahrettinkoca Defne minicik bedeniyle SMA ile kıran kırana bir savaşta sadece maddi değil manevi destekte çok ön… https://t.co/5HBl1H4HGz</t>
  </si>
  <si>
    <t>1463627764767109126</t>
  </si>
  <si>
    <t>@drfahrettinkoca  sayın  hocam ben eski sağlık  çalışanı Yusuf yavuz  Ankara Etimesgut şehit Sait Ertürk devlet has… https://t.co/wVlsbTeuXb</t>
  </si>
  <si>
    <t>1463625477076262918</t>
  </si>
  <si>
    <t>@drfahrettinkoca @suleymansoylu @RTErdogan @dbdevletbahceli @EmniyetGM @fahrettinaltun ah benim güzel ülkem komple… https://t.co/6rBMVy4cSR</t>
  </si>
  <si>
    <t>1463623987540508685</t>
  </si>
  <si>
    <t>@drfahrettinkoca @adalet_bakanlik örnek alırsınız belki! https://t.co/POVygGp0I2</t>
  </si>
  <si>
    <t>1463620613524885509</t>
  </si>
  <si>
    <t>@drfahrettinkoca OLMAYAN salgını NASIL yönetiyorsun sayın bakan baya merak ettim</t>
  </si>
  <si>
    <t>1463619357058207749</t>
  </si>
  <si>
    <t>@drfahrettinkoca Bunlarin fikri ve dayatmasi ile Aşi baskisi yaptiniz Millete demekki mesele sağlik degilmiş Hoca #EvdeKalBengiBaşer</t>
  </si>
  <si>
    <t>1463615898078654481</t>
  </si>
  <si>
    <t>@drfahrettinkoca @saglikbakanligi @mehmetceyhan23 @Akparti bunlara sebeb olan sizlersiniz Allah belanızı versin hep… https://t.co/ty4wfyBFUe</t>
  </si>
  <si>
    <t>1463615434679271433</t>
  </si>
  <si>
    <t>@drfahrettinkoca  Kime sordunuz da ettiniz bu teklifi? Hasta muayenesi için 5dk verdiğiniz Sağlık Personeline mi? R… https://t.co/IyzSuFO344</t>
  </si>
  <si>
    <t>1463612452260790277</t>
  </si>
  <si>
    <t>@drfahrettinkoca sizin bilim kurul üyeliğiniz çok vatan sever. Bilin istedim. https://t.co/xv6jGWVTuC</t>
  </si>
  <si>
    <t>1463608971978330115</t>
  </si>
  <si>
    <t>@drfahrettinkoca @RTErdogan https://t.co/HavtotI9G0</t>
  </si>
  <si>
    <t>1463608202852020225</t>
  </si>
  <si>
    <t>@drfahrettinkoca @RTErdogan @suleymansoylu https://t.co/A7DYqbNcBh</t>
  </si>
  <si>
    <t>1463607680820551681</t>
  </si>
  <si>
    <t>@drfahrettinkoca istediğimizi vermediginiz surece biz susmayacaz #velilerdeonlineistiyor</t>
  </si>
  <si>
    <t>1463607457150869506</t>
  </si>
  <si>
    <t>@drfahrettinkoca https://t.co/HCWshBmOW4</t>
  </si>
  <si>
    <t>1464737603836645388</t>
  </si>
  <si>
    <t>@drfahrettinkoca abi yeni bi varyant türemiş haberin var mı kapanacakmışız tekrardan kuşlar söyledi</t>
  </si>
  <si>
    <t>1464735754563817474</t>
  </si>
  <si>
    <t>@drfahrettinkoca Salgın bakanı küresel şeytani düzeninin elamanına açık ve net  bir soru... Vefat eden aşılıların a… https://t.co/WCp8C2rML8</t>
  </si>
  <si>
    <t>1464731599442956298</t>
  </si>
  <si>
    <t>@drfahrettinkoca cok huzla doluluklar artiyorken hastanelerde  kendi vatandaşınız  ne yapacak. Yurtdışına mi gönder… https://t.co/3jIDjlVLX6</t>
  </si>
  <si>
    <t>1464724283113066501</t>
  </si>
  <si>
    <t>@drfahrettinkoca https://t.co/Nngcl8ch3G</t>
  </si>
  <si>
    <t>1464723862986309635</t>
  </si>
  <si>
    <t>@drfahrettinkoca  bakanım merale  ne cevap yazmış ama helal olsun ama onlar anlamazlar bakanım</t>
  </si>
  <si>
    <t>1464723004223590407</t>
  </si>
  <si>
    <t>@drfahrettinkoca tam kapanma mı geliyor?</t>
  </si>
  <si>
    <t>1464719000185802761</t>
  </si>
  <si>
    <t>@drfahrettinkoca Geçen Yıl Yasaklar varken Hasta ve ölüm Sayıları düşükdü Bu yıl vakka Sayıları ve  ölümler yüksek… https://t.co/OecEqj1eKF</t>
  </si>
  <si>
    <t>1464718938835767303</t>
  </si>
  <si>
    <t>@drfahrettinkoca @bengibaser @serapsimsekyvz @mehmetceyhan23 @DrZekiBay @secondvirus @H_Ciloglu @aDilipak… https://t.co/FjrEEhBAL2</t>
  </si>
  <si>
    <t>1464718848083509248</t>
  </si>
  <si>
    <t>@drfahrettinkoca sayın bakanım hayırlı geceler..ismim fehmi tanış 2 gün önce istanbul-arnavutköy-devlet hastanesind… https://t.co/VhuNtb6P52</t>
  </si>
  <si>
    <t>1464715348930961411</t>
  </si>
  <si>
    <t>@drfahrettinkoca sayın bakanım covit izinleri 6ay uzadı diyorlar.çok teşekkür ederim. Sağlığımızı düşündünüz bizi k… https://t.co/Nk9u8szNYR</t>
  </si>
  <si>
    <t>1463292655337676803</t>
  </si>
  <si>
    <t>@drfahrettinkoca Huzurevlerinde yasayan binlerce yasli vatandasa hala 2. biontech asisini yapmadiniz!Bu insanlarin… https://t.co/6Nau12KpNW</t>
  </si>
  <si>
    <t>1463269535906246665</t>
  </si>
  <si>
    <t>@drfahrettinkoca Sayın Bakanım dün 70 yaşında annemi bağcılar devlet hastanesi ek binada kardiyoloji doktoruna götü… https://t.co/MCxL2ZVNZl</t>
  </si>
  <si>
    <t>1463268230311653381</t>
  </si>
  <si>
    <t>@drfahrettinkoca @RTErdogan https://t.co/teyKBHuMkY</t>
  </si>
  <si>
    <t>1463264326970757126</t>
  </si>
  <si>
    <t>@drfahrettinkoca @RTErdogan https://t.co/jv0o6Hd47y</t>
  </si>
  <si>
    <t>1463261654796447750</t>
  </si>
  <si>
    <t>@drfahrettinkoca Sn.Koca; Ordu ili ve civarında yaklaşık 750/800 bin insan yaşıyor Bütün bu insanların böbrek hasta… https://t.co/2VsxTgIOxz</t>
  </si>
  <si>
    <t>1463258554656296960</t>
  </si>
  <si>
    <t>@drfahrettinkoca  @RTErdogan  #VelilerEndişeliOnlineGelmeli</t>
  </si>
  <si>
    <t>1463252593942175744</t>
  </si>
  <si>
    <t>@drfahrettinkoca https://t.co/yI1j038E7T</t>
  </si>
  <si>
    <t>1463251910031552520</t>
  </si>
  <si>
    <t>@drfahrettinkoca #PfizerHesapVer alenen ortada bir sonuç neye dayanarak yapılıyor bu ısrar nedir ??@saglikbakanligi  @TRombudsman</t>
  </si>
  <si>
    <t>1467280766291914758</t>
  </si>
  <si>
    <t>@drfahrettinkoca ??? https://t.co/KkxToZTQxj</t>
  </si>
  <si>
    <t>1467280371515637766</t>
  </si>
  <si>
    <t>@drfahrettinkoca #hekimleristifaediyor</t>
  </si>
  <si>
    <t>1467278414679875589</t>
  </si>
  <si>
    <t>@drfahrettinkoca @drahmetrasim @mkulunk @sevdaturkusev @yazarmuratakan @Ferhatarslandr @ErkanTrukten @drkaanyl https://t.co/OKX5VRiBqy</t>
  </si>
  <si>
    <t>1467263451764510720</t>
  </si>
  <si>
    <t>@drfahrettinkoca https://t.co/x9X6l7b4kO</t>
  </si>
  <si>
    <t>1467263183131922438</t>
  </si>
  <si>
    <t>@drfahrettinkoca https://t.co/LGYNv1uRTj</t>
  </si>
  <si>
    <t>1467263059894882309</t>
  </si>
  <si>
    <t>@drfahrettinkoca @tcbestepe o fil dişi kulenizden çıkıp Halkın derdine yanın biraz! https://t.co/xRYUlajZob</t>
  </si>
  <si>
    <t>1467263045743390721</t>
  </si>
  <si>
    <t>@drfahrettinkoca @saglikbakanligi @Hekimsensndk #hekimleristifaediyor #HekimlerİstifaEdiyor https://t.co/PVrB1M130F</t>
  </si>
  <si>
    <t>1467254649610813442</t>
  </si>
  <si>
    <t>@drfahrettinkoca sayın bakanım burası okmeydanı prof. Cemil taşcıoğlu hastahanesi ve buradaki yaşlı teyzemiz acil b… https://t.co/jQFYoFOaJ1</t>
  </si>
  <si>
    <t>1467254462385381377</t>
  </si>
  <si>
    <t>@drfahrettinkoca @saglikbakanligi https://t.co/ND4mBlJl8C</t>
  </si>
  <si>
    <t>1467253174251802633</t>
  </si>
  <si>
    <t>@drfahrettinkoca Bakanım beni hatırladınız mı ? (Başhekime dikkat ) 🥰 https://t.co/mYvHagdgNi</t>
  </si>
  <si>
    <t>1467251025639837697</t>
  </si>
  <si>
    <t>@drfahrettinkoca @saglikbakanligi @ttborgtr #hekimleristifaediyor ve sadece izliyorsunuz</t>
  </si>
  <si>
    <t>1467248417818746882</t>
  </si>
  <si>
    <t>@drfahrettinkoca ne yaşıyoruz biz anlayan var mı #SağlıkçıyıOyalamaYılı</t>
  </si>
  <si>
    <t>1467248259731185669</t>
  </si>
  <si>
    <t>@drfahrettinkoca #hekimleristifaediyor @saglikbakanligi https://t.co/hqOkkm09bN</t>
  </si>
  <si>
    <t>1467245368748429315</t>
  </si>
  <si>
    <t>@drfahrettinkoca @saglikbakanligi #hekimleristifaediyor</t>
  </si>
  <si>
    <t>1467241388089786377</t>
  </si>
  <si>
    <t>@drfahrettinkoca ya durduk yere #PfizerHesapVer hashtag ile dolaylı saldırılar başlamış. Siyasi propagandanız batsın!</t>
  </si>
  <si>
    <t>1467241363041357824</t>
  </si>
  <si>
    <t>@drfahrettinkoca  Bu ülkenin en zeki insanları olan doktorları kaybetmek siz veya çocuğunuz her hastanın kaybetmesi demek.</t>
  </si>
  <si>
    <t>1467240640312455169</t>
  </si>
  <si>
    <t>@drfahrettinkoca @RTErdogan  ⚠️⚠️⚠️⚠️ acil onlem alın https://t.co/6PH4CwdQKq</t>
  </si>
  <si>
    <t>1467236150737838090</t>
  </si>
  <si>
    <t>@drfahrettinkoca @RTErdogan @saglikbakanligi https://t.co/ZdkVG0xMbO</t>
  </si>
  <si>
    <t>1467235535110512649</t>
  </si>
  <si>
    <t>@drfahrettinkoca #SagliktaBirlikGunu https://t.co/2y6m7PT7Bl</t>
  </si>
  <si>
    <t>1467234592658706437</t>
  </si>
  <si>
    <t>@drfahrettinkoca @adalet_bakanlik abd mahkemelerinde . Lütfenn bu aşı pcr ve hes kodu saçmalığını durdurun https://t.co/mBoBesWyf1</t>
  </si>
  <si>
    <t>1467234341768024064</t>
  </si>
  <si>
    <t>@drfahrettinkoca takipcisi olacaginiz beyaz kod olaylari vardi. Hatta bunlardan biri de randevusuz gelen savci idi.… https://t.co/u11kQtwaKs</t>
  </si>
  <si>
    <t>1467232877083598853</t>
  </si>
  <si>
    <t>@drfahrettinkoca @saglikbakanligi  #hekimleristifaediyor https://t.co/XAd9SLMuwD</t>
  </si>
  <si>
    <t>1467232182523604996</t>
  </si>
  <si>
    <t>@drfahrettinkoca #hekimleristifaediyor https://t.co/jB0lUEkYux</t>
  </si>
  <si>
    <t>1467232098520023043</t>
  </si>
  <si>
    <t>@drfahrettinkoca  Soru 1 =  Aynı ortamda bulunan ve fotograftaki 5 kişinin öncedeki 3 artist maskesız arkadaki 2 ki… https://t.co/qmxGJIP8H6</t>
  </si>
  <si>
    <t>1467230501337501697</t>
  </si>
  <si>
    <t>@drfahrettinkoca  zannedersin zorla getirmişler otutdurmuşlar doktorlarınızı kimsenin önceliği yok bu dünyada çünkü… https://t.co/h7FAVYKqMG</t>
  </si>
  <si>
    <t>1467229576573169670</t>
  </si>
  <si>
    <t>@drfahrettinkoca bugün akşam eskişehir şehir hastanesi acil servise eşimi götürdüm şikayeti diyabet olan ateşi 36,2… https://t.co/ZjlAWlgP2T</t>
  </si>
  <si>
    <t>1467227414489088006</t>
  </si>
  <si>
    <t>@drfahrettinkoca @RTErdogan  Artık somut adımlar atın lütfen yoksa ilerde devlette doktor kalmayacak. İsteğimiz ins… https://t.co/JAsmVHA5x9</t>
  </si>
  <si>
    <t>1467227017552740356</t>
  </si>
  <si>
    <t>@drfahrettinkoca halen doktor olduğunuzu hatırlarsınız umarım... #doktorlartakipleşiyor</t>
  </si>
  <si>
    <t>1467226506753724416</t>
  </si>
  <si>
    <t>@drfahrettinkoca bakanım bir destek çıkalım arkadaşa doktor gözetiminde demiş ama zaten uzmandan daha çok şey biliy… https://t.co/paMip0pKCc</t>
  </si>
  <si>
    <t>1467225068606398467</t>
  </si>
  <si>
    <t>1467222075265929222</t>
  </si>
  <si>
    <t>@drfahrettinkoca #SağlıkçıyıOyalamaYılı KOCA klavuz nerde unuttunuzmu siz sağlık bakanısınız başka bir bakanlık açıklamayacak klavuzu ...</t>
  </si>
  <si>
    <t>1467221919124664327</t>
  </si>
  <si>
    <t>@drfahrettinkoca @saglikbakanligi #hekimleristifaediyor https://t.co/XzouEfTTHa</t>
  </si>
  <si>
    <t>1467221880453144580</t>
  </si>
  <si>
    <t>1467221474368966661</t>
  </si>
  <si>
    <t>@drfahrettinkoca ödensin artık bu kesin çözümü olan hastalığın masrafları ❗️❗️❗️ kaybedecek 1 saniye yok ❗️❗️❗️ https://t.co/XxEE0NW4Av</t>
  </si>
  <si>
    <t>1467221078644871168</t>
  </si>
  <si>
    <t>1467220447259471873</t>
  </si>
  <si>
    <t>@drfahrettinkoca @tcmeb Bi aciklama yapsaniz mi artik</t>
  </si>
  <si>
    <t>1467220159618236418</t>
  </si>
  <si>
    <t>@drfahrettinkoca ben günde 100 hastaya bakıyorum size anatomi anlatacak değilim kelimeleri onur kırıcı ve üzücüdür… https://t.co/TuVcmBtL63</t>
  </si>
  <si>
    <t>1467219541738536965</t>
  </si>
  <si>
    <t>@drfahrettinkoca #hekimleristifaediyor #HekimlerİstifaEdiyor</t>
  </si>
  <si>
    <t>1467219464198533126</t>
  </si>
  <si>
    <t>@drfahrettinkoca Sayın bakanım Bursa şehir hastanesi nde görevli beyin ve sinir hastalıkları doktoru Fatih Aydemir… https://t.co/N5tOhnbIjU</t>
  </si>
  <si>
    <t>1467218919857569799</t>
  </si>
  <si>
    <t>@drfahrettinkoca Oturdum Almanca çalışıyorum şu an. 8 ayda 8000dr istifa etti. Tıp öğrencileri TUS değil Almanca ça… https://t.co/w0TmCiF0OQ</t>
  </si>
  <si>
    <t>1467218601891573773</t>
  </si>
  <si>
    <t>@drfahrettinkoca sayın bakanım siz de bir hekimsiniz, üstelik pediatri gibi ağır bir dalın uzmanısınız. koşulların… https://t.co/NLWyy9UPfS</t>
  </si>
  <si>
    <t>1467217848443486214</t>
  </si>
  <si>
    <t>@drfahrettinkoca #hekimleristifaediyor https://t.co/kdSsjRF9sP</t>
  </si>
  <si>
    <t>1467216492286689281</t>
  </si>
  <si>
    <t>@drfahrettinkoca  @saglikbakanligi efendim bu yönden size şikayetler geliyor mu bilmiyorum ama neredeyse eczaneleri… https://t.co/PyEcZbBH6B</t>
  </si>
  <si>
    <t>1467216471990362116</t>
  </si>
  <si>
    <t>@drfahrettinkoca #hekimleristifaediyor https://t.co/Ru6QdIdC7B</t>
  </si>
  <si>
    <t>1467216316532678656</t>
  </si>
  <si>
    <t>@drfahrettinkoca @RTErdogan https://t.co/sQEtGyOtEe</t>
  </si>
  <si>
    <t>1467214458883874821</t>
  </si>
  <si>
    <t>@drfahrettinkoca @RTErdogan zulmü kaldırın yeter artık insanlar ölmesin... https://t.co/SZGnXFSMk0</t>
  </si>
  <si>
    <t>1467214329929940998</t>
  </si>
  <si>
    <t>@drfahrettinkoca sayın bakan #hekimleristifaediyor siz sadece seyrediyorsunuz. Çok geç olmadan hekim maaşlarına zam… https://t.co/IkAyQzmWVa</t>
  </si>
  <si>
    <t>1467212414357807113</t>
  </si>
  <si>
    <t>@drfahrettinkoca  #hekimleristifaediyor Aaaa https://t.co/PqSDZiDLC3</t>
  </si>
  <si>
    <t>1467211404260347909</t>
  </si>
  <si>
    <t>@drfahrettinkoca gidip doktorlarla pratisyenle uzmanla hocayla internle hepsiyle konusun, hepsinin fikrini alin. bu… https://t.co/HgqlQmqIt2</t>
  </si>
  <si>
    <t>1467210477747023878</t>
  </si>
  <si>
    <t>@drfahrettinkoca  @suleymansoylu  @RTErdogan   Salgın şu duruma göre bitecek mi yayılacak mi?  #PfizerHesapVer… https://t.co/NhLcQvBWQe</t>
  </si>
  <si>
    <t>1467210025039024141</t>
  </si>
  <si>
    <t>@drfahrettinkoca  Bekleye bekleye sabır taşı olduk 1 yıl bir ömürden boş yere gitti artık klavuz istiyoruz! #SağlıkçıyıOyalamaYılı</t>
  </si>
  <si>
    <t>1467209934760779783</t>
  </si>
  <si>
    <t>@drfahrettinkoca  #hekimleristifaediyor ff https://t.co/Gp0M36ucSC</t>
  </si>
  <si>
    <t>1467209663766831106</t>
  </si>
  <si>
    <t>@drfahrettinkoca yazik gunah degil mi biz bu meslegi kutsal diye sectik ne hale getirdiniz.Tazminat davalari şiddet… https://t.co/cXICJoPLWc</t>
  </si>
  <si>
    <t>1467209245116534787</t>
  </si>
  <si>
    <t>@drfahrettinkoca  #hekimleristifaediyor asd https://t.co/MX2PAyUNHx</t>
  </si>
  <si>
    <t>1467208755662274575</t>
  </si>
  <si>
    <t>@drfahrettinkoca @saglikbakanligi @RTErdogan #hekimleristifaediyor  #hekimlertakiplesiyor  #hekimicinhekimsen… https://t.co/MyYevuVxUr</t>
  </si>
  <si>
    <t>1467208726654369804</t>
  </si>
  <si>
    <t>@drfahrettinkoca  #hekimleristifaediyor qq https://t.co/DTMXu3a42R</t>
  </si>
  <si>
    <t>1467208131923042318</t>
  </si>
  <si>
    <t>@drfahrettinkoca  #hekimleristifaediyor ww https://t.co/p8MfyGxPXZ</t>
  </si>
  <si>
    <t>1467208015921270786</t>
  </si>
  <si>
    <t>@drfahrettinkoca ya sorumuzu tekrarlıyoruz. Evrimin mekanizmalarından bahsetmeden covid'den bahsetmenizi rica ediyo… https://t.co/zM1EPXNq4H</t>
  </si>
  <si>
    <t>1467206232737996802</t>
  </si>
  <si>
    <t>@drfahrettinkoca #hekimleristifaediyor!!</t>
  </si>
  <si>
    <t>1467205027081211907</t>
  </si>
  <si>
    <t>@drfahrettinkoca… #hekimleristifaediyor</t>
  </si>
  <si>
    <t>1467204663607017476</t>
  </si>
  <si>
    <t>1467204592832241665</t>
  </si>
  <si>
    <t>@drfahrettinkoca bunlara karşı bi açıklama yapacak mısınız #hekimlertakiplesiyor #hekimleristifaediyor https://t.co/iLRZ6JxznN</t>
  </si>
  <si>
    <t>1467203075823882252</t>
  </si>
  <si>
    <t>@drfahrettinkoca Eşimle beraber verdiğimiz beyaz kod davasında biz para ceza aldık. Bize saldırıp terör estiren mad… https://t.co/1dBBfQxzz5</t>
  </si>
  <si>
    <t>1467202234165387267</t>
  </si>
  <si>
    <t>@drfahrettinkoca bakanım siz geceleri rahat uyuyonuz mu? Umudunu kırdığınız binlerce genç varken. https://t.co/CcZy6y9uTy</t>
  </si>
  <si>
    <t>1467201694102700038</t>
  </si>
  <si>
    <t>@drfahrettinkoca Duymayan bakan Taş olsa bu kadar Twete bu kadar isteğe cevap verir olumlu olumsuz Şaşıyor insan  #SağlıkçıyıOyalamaYılı</t>
  </si>
  <si>
    <t>1467201178756952074</t>
  </si>
  <si>
    <t>@drfahrettinkoca @fahrettinaltun @RTErdogan @suleymansoylu bunlari gorun ve asilari durdurun artik yasa cikarip AŞI… https://t.co/XRaEuC4oui</t>
  </si>
  <si>
    <t>1467201164894736386</t>
  </si>
  <si>
    <t>1467200682931458048</t>
  </si>
  <si>
    <t>1467199504625676295</t>
  </si>
  <si>
    <t>@drfahrettinkoca  #sağlıkcıyıoyalamayılı</t>
  </si>
  <si>
    <t>1467199488440045569</t>
  </si>
  <si>
    <t>@drfahrettinkoca #hekimlertakiplesiyor #hekimleristifaediyor https://t.co/5WoG7r90rq</t>
  </si>
  <si>
    <t>1467198483874603008</t>
  </si>
  <si>
    <t>@drfahrettinkoca #HekimlerİstifaEdiyor https://t.co/2RTr2hZDdS</t>
  </si>
  <si>
    <t>1467198470859763717</t>
  </si>
  <si>
    <t>@drfahrettinkoca @RTErdogan https://t.co/oKXd41UJCw</t>
  </si>
  <si>
    <t>1467197798647050246</t>
  </si>
  <si>
    <t>1467197582896205838</t>
  </si>
  <si>
    <t>@drfahrettinkoca @saglikbakanligi #hekimleristifaediyor https://t.co/i7q9byGtvn</t>
  </si>
  <si>
    <t>1467197230864076804</t>
  </si>
  <si>
    <t>@drfahrettinkoca   #hekimleristifaediyor</t>
  </si>
  <si>
    <t>1467196703254237210</t>
  </si>
  <si>
    <t>@drfahrettinkoca @RTErdogan https://t.co/odk7wAYkT0</t>
  </si>
  <si>
    <t>1467196393639002117</t>
  </si>
  <si>
    <t>@drfahrettinkoca @saglikbakanligi  #hekimleristifaediyor   Şartlarımızı iyileştirmedikçe #hekimleristifaediyor</t>
  </si>
  <si>
    <t>1467196336869150720</t>
  </si>
  <si>
    <t>@drfahrettinkoca lütfen corona testi yapılan tüm devlet hastanelerinde çocuklarda test olabilsin. Bugün test yapıla… https://t.co/MF3pXRZORD</t>
  </si>
  <si>
    <t>1467196023760203790</t>
  </si>
  <si>
    <t>@drfahrettinkoca Milli eğitim bakanı olsun #ÖğretmeneAcilZam</t>
  </si>
  <si>
    <t>1467194941357047816</t>
  </si>
  <si>
    <t>@drfahrettinkoca randevu alınamıyor çünkü #hekimleristifaediyor</t>
  </si>
  <si>
    <t>1467194917852176388</t>
  </si>
  <si>
    <t>1467194556659769354</t>
  </si>
  <si>
    <t>@drfahrettinkoca  bu gücüne güvenin diyordun 😂😂  Harbiden o güç ne oldu😂 https://t.co/BwWvU7ta3i</t>
  </si>
  <si>
    <t>1467191199597572100</t>
  </si>
  <si>
    <t>@drfahrettinkoca yeterince yıprandık bi açıklama yapmayacak mısınız. Olmayacak zammı bas bas bağırdınız şimdi sus p… https://t.co/BBkqwpYTlW</t>
  </si>
  <si>
    <t>1467189685999054848</t>
  </si>
  <si>
    <t>@drfahrettinkoca https://t.co/MXEaZrHI7r</t>
  </si>
  <si>
    <t>1467189542952353792</t>
  </si>
  <si>
    <t>@drfahrettinkoca #hekimleristifaediyor https://t.co/YmTB27753A</t>
  </si>
  <si>
    <t>1467187419665600520</t>
  </si>
  <si>
    <t>@drfahrettinkoca senin kaçacak yada yatacak yerin yok yargı önüne çıkacaksın bunun hesabı senden sorulacak emin ol. https://t.co/wxFMwcY45D</t>
  </si>
  <si>
    <t>1467186166617325581</t>
  </si>
  <si>
    <t>@drfahrettinkoca neyi bekliyorsunuz? https://t.co/NddQxbdixp</t>
  </si>
  <si>
    <t>1467184411925962754</t>
  </si>
  <si>
    <t>@drfahrettinkoca ecel değil mi?  ALLAH var mahşer var hesap günü var ALLLAH her şeyi görüyor ve biliyor  değil mi? https://t.co/hthAJsKxez</t>
  </si>
  <si>
    <t>1467181526748127232</t>
  </si>
  <si>
    <t>@drfahrettinkoca instagramdan etiketlemeyi engellemiş. Neden ? 🤔 İzin alman mi gerekiyor?  Yazık. ....… https://t.co/xRNVFZT2ce</t>
  </si>
  <si>
    <t>1467177369450561541</t>
  </si>
  <si>
    <t>@drfahrettinkoca Fahrettin amca o kadar çok acı çekiyoruz ki ölmek istemyoruz bizde yaşamak istiyoruz neolursun biz… https://t.co/MieviLfzE6</t>
  </si>
  <si>
    <t>1467177008270565385</t>
  </si>
  <si>
    <t>@drfahrettinkoca  @saglikbakanligi  #SağlıkçıyıOyalamaYılı</t>
  </si>
  <si>
    <t>1467174225505140736</t>
  </si>
  <si>
    <t>@drfahrettinkoca eee ne olacak şimdi millet bizi dünyanın zammını aldık diye biliyor….</t>
  </si>
  <si>
    <t>1467171237315203079</t>
  </si>
  <si>
    <t>@drfahrettinkoca https://t.co/hgy6EiMOsy</t>
  </si>
  <si>
    <t>1467171070847422467</t>
  </si>
  <si>
    <t>@drfahrettinkoca  sayin bakan hic haber izlemiyormusunuz su bebekleri gormuyormusunuz nasil vicdaniniz el veriyor s… https://t.co/8b6o2TGX4V</t>
  </si>
  <si>
    <t>1467170945613844488</t>
  </si>
  <si>
    <t>@drfahrettinkoca Tayyip Bey'  e :" siz izin vermeden konusur muyum efendim"  dediniz.  Madem kılavuza izni olmayaca… https://t.co/FnWAo9yAgR</t>
  </si>
  <si>
    <t>1467170673416183809</t>
  </si>
  <si>
    <t>RT @yldz77_: @drfahrettinkoca Ne hatası?Senin yaptıkların bizzat kasıttı!İç işleri bakanı ile milli eğitim bakanı ile el ele verdiniz,gözüm…</t>
  </si>
  <si>
    <t>1470179990524375043</t>
  </si>
  <si>
    <t>RT @alikadim6969: @drfahrettinkoca A$I olanda, olmayan kadar bulaştırıyor. Ve pcr testi sadece olmayandan isteniyorsa, burada konu insan sa…</t>
  </si>
  <si>
    <t>1470176697353969668</t>
  </si>
  <si>
    <t>RT @Derya26745389: @drfahrettinkoca Bunu söylüyoruz sayın Fahrettin bey aylardır yol yakın iken önlem almanız daha fazla çocukları gençleri…</t>
  </si>
  <si>
    <t>1470176194222084096</t>
  </si>
  <si>
    <t>RT @Portaka38983375: @drfahrettinkoca Her seyi kasıtlı yaptiniz cocuklarimiz okullarda kobay</t>
  </si>
  <si>
    <t>1470175975539462144</t>
  </si>
  <si>
    <t>@drfahrettinkoca   Bizler neyin ne olduğunu çok iyi biliyoruz https://t.co/9dGfYtTqXF</t>
  </si>
  <si>
    <t>1470175532985761795</t>
  </si>
  <si>
    <t>RT @YucelereD: @drfahrettinkoca Çok merak ediyoruz şu omicron varyantı ile delta vs varyantlarını tespit etme yönteminiz nedir ?  PCR testi…</t>
  </si>
  <si>
    <t>1470175515642322950</t>
  </si>
  <si>
    <t>RT @MrWoland8: @drfahrettinkoca Keşke öyle olsaydı , olmadı. Camide saf tutun diyorsun olmuyorlar. Artık yapıyı kökten bozdunuz . Hele ki g…</t>
  </si>
  <si>
    <t>1470173981428879367</t>
  </si>
  <si>
    <t>@drfahrettinkoca @AtesAtesKara @drtevfikozlu @AlpayAzap @fusuneyuboglu @dralpersener  @erolozvar @serapsimsekyvz… https://t.co/7VuPaPkJh4</t>
  </si>
  <si>
    <t>1470173922205343749</t>
  </si>
  <si>
    <t>@drfahrettinkoca @bengibaser @serapsimsekyvz @mehmetceyhan23 @DrZekiBay @secondvirus @H_Ciloglu @aDilipak… https://t.co/HXY7D5xqg2</t>
  </si>
  <si>
    <t>1470171888429248513</t>
  </si>
  <si>
    <t>@drfahrettinkoca @RTErdogan @tcmeb @saglikbakanligi @sagliklicozum @profsaltik @BilimKurulu @ttborgtr https://t.co/9z1C1umHTh</t>
  </si>
  <si>
    <t>1470171546652135432</t>
  </si>
  <si>
    <t>@drfahrettinkoca @RTErdogan @mehmetceyhan23 @DrZekiBay @bengibaser @serapsimsekyvz @tcmeb @saglikbakanligi… https://t.co/Cpb0f1eJsv</t>
  </si>
  <si>
    <t>1470171447112966150</t>
  </si>
  <si>
    <t>RT @Nilgun18760153: @drfahrettinkoca Şu anda hâlâ hata yapıyor olamazsınız herhalde. Az da olsa ders çıkartabildiyseniz okullara bir göz at…</t>
  </si>
  <si>
    <t>1470170367947939840</t>
  </si>
  <si>
    <t>RT @YahyaDeveli: @drfahrettinkoca Bakanım #Ehliyetaffı verin toplu taşıma ya binmek istemiyoruz ailemizi riske atmayalım</t>
  </si>
  <si>
    <t>1470169607650615299</t>
  </si>
  <si>
    <t>1470169399906738179</t>
  </si>
  <si>
    <t>RT @_dgnayse: @drfahrettinkoca @saglikbakanligi Bu çocuklarımız daha ne kadar acı çekecek ?   Bizler sesimizi duyuramıyoruz lütfen Ensar’ın…</t>
  </si>
  <si>
    <t>1470169253525344256</t>
  </si>
  <si>
    <t>RT @CemilCan5834: @drfahrettinkoca Aşılar Omicron a karşı nasıl koruyor, Buna inancak kadar safmı sanıyorsunuz insanları @drfahrettinkoca…</t>
  </si>
  <si>
    <t>1470169126261907456</t>
  </si>
  <si>
    <t>RT @ayce_08_53: @drfahrettinkoca Az önce kızımla konuşurken  birden "ahh"dedi ve kalbini https://t.co/Iz92Uh6xkV oluyor dedim kalbine mi bi…</t>
  </si>
  <si>
    <t>1470169111611252736</t>
  </si>
  <si>
    <t>RT @Busbusenn: @drfahrettinkoca Omicron dunyayi kasip kavurdu bize gelince neden sorun yok anlamiş değilim tüm dunya kapatmaya gidiyor Mahm…</t>
  </si>
  <si>
    <t>1470168983550709760</t>
  </si>
  <si>
    <t>1470168958624055299</t>
  </si>
  <si>
    <t>RT @beko_bekous: @drfahrettinkoca Bu omicron olan hastalar aşılı mı, aşısız mı? Aşısız olsa şimdi dünyayı yıkmıştınız siz. Aşısız oldukları…</t>
  </si>
  <si>
    <t>1470168925086396426</t>
  </si>
  <si>
    <t>1470168655359090694</t>
  </si>
  <si>
    <t>1470168521149759494</t>
  </si>
  <si>
    <t>RT @hilti_guclu: @drfahrettinkoca Tıp: O kadar gelişti ve ilerledi ki; Bilim adamları virüsü İzole edilmiyorlar ama, olmayan virüsün aşısın…</t>
  </si>
  <si>
    <t>1470168271529906178</t>
  </si>
  <si>
    <t>1470167681504530440</t>
  </si>
  <si>
    <t>RT @AhiirZamaan: @drfahrettinkoca Hiç bir yerde yanlış yapmadınız müsterih olunuz. Emir komuta merkeziniz ne dediyse uyguladınız. Sistem tı…</t>
  </si>
  <si>
    <t>1470166781381722118</t>
  </si>
  <si>
    <t>RT @MuzafarMuratov: @drfahrettinkoca E hani 20 mayıs 2020de salgının sonunu görmüştün, paralar tatlı geldi herhalde... bu gidişle varyantla…</t>
  </si>
  <si>
    <t>1470164749371703300</t>
  </si>
  <si>
    <t>@drfahrettinkoca Atma fahrettin atma, patronuna benzeme. https://t.co/Ejwq5ISAIz</t>
  </si>
  <si>
    <t>1470159751828938753</t>
  </si>
  <si>
    <t>@drfahrettinkoca @mkulunk @ErbakanFatih @izzetcapa https://t.co/1TKJixlCll</t>
  </si>
  <si>
    <t>1470156922477285388</t>
  </si>
  <si>
    <t>@drfahrettinkoca @TC_icisleri  Bir beka sorunu haline gelen  #TTBkapatılsın https://t.co/e1QnYa24AZ</t>
  </si>
  <si>
    <t>1470148197184114695</t>
  </si>
  <si>
    <t>@drfahrettinkoca @tcmeb #MahmutÖzerOkullarOnline https://t.co/NDRaqmmZpP</t>
  </si>
  <si>
    <t>1470147816181964802</t>
  </si>
  <si>
    <t>@drfahrettinkoca boşa geçen 50 yılın hesabını kes #BirBakan40KocaYalan https://t.co/J6swCHHTEq</t>
  </si>
  <si>
    <t>1470146468388429828</t>
  </si>
  <si>
    <t>@drfahrettinkoca @BilimKurulu_ https://t.co/HlM4UBf0nK</t>
  </si>
  <si>
    <t>1470144737726316544</t>
  </si>
  <si>
    <t>@drfahrettinkoca @erolozvar @RTErdogan @tcmeb  @yök sayın yetkileler duyun sesimizi gerçekten gençleriniz sağlığı i… https://t.co/XmDSX2aEyY</t>
  </si>
  <si>
    <t>1470142726674993165</t>
  </si>
  <si>
    <t>@drfahrettinkoca Buda senin doktorun benim verdiğim vergilerle bu adama maaş ödüyorsunuz haram zehir zıkkım olsun https://t.co/agL3IRLID3</t>
  </si>
  <si>
    <t>1470141652471853060</t>
  </si>
  <si>
    <t>@drfahrettinkoca @saglikbakanligi eczanelerde ilaç bulma ile ilgili problem yok dediniz de 2,5 yaşındaki evladım at… https://t.co/5FIOwkmEDM</t>
  </si>
  <si>
    <t>1470141247855763456</t>
  </si>
  <si>
    <t>@drfahrettinkoca bir tek sen dr değilsin. Her şey bir gün son bulur. @esenol @esingl30852807 @mehmetceyhan23… https://t.co/fX0XS8HiAt</t>
  </si>
  <si>
    <t>1470141214901088267</t>
  </si>
  <si>
    <t>@drfahrettinkoca @saglikbakanligi daha ne kadar sorumsuz olacaksınız? https://t.co/rb7xNHHHt2</t>
  </si>
  <si>
    <t>1470138928346841094</t>
  </si>
  <si>
    <t>@drfahrettinkoca @esenol @mehmetceyhan23 https://t.co/mgpuMv0Mse</t>
  </si>
  <si>
    <t>1470137353134297091</t>
  </si>
  <si>
    <t>@drfahrettinkoca Bunları bile bile, göz göre göre bu hale getirdiniz! Yine siz çözeceksiniz. Umarım bir an önce çöz… https://t.co/zJIAUExRKr</t>
  </si>
  <si>
    <t>1470135807566659585</t>
  </si>
  <si>
    <t>@drfahrettinkoca bu nasıl olabilir sayın bakan? Bu insanlar yalan mı söylüyor? Hamile kadınlara ağrı kesiciyi bile… https://t.co/Wt3JhV86kZ</t>
  </si>
  <si>
    <t>1470135318414249988</t>
  </si>
  <si>
    <t>@drfahrettinkoca @saglikbakanligi sayın bakan benim test pozitif 14 gün karantine tamam, hanım öğretmen okula mecbu… https://t.co/dDRjrS1tnP</t>
  </si>
  <si>
    <t>1470131007387058176</t>
  </si>
  <si>
    <t>@drfahrettinkoca Merhaba kolay gelsin kızım için yazıyorm sağlık bakanımızdan ricam olacak yardımcı olursanız sevin… https://t.co/XnAMIILsgu</t>
  </si>
  <si>
    <t>1470124258584150020</t>
  </si>
  <si>
    <t>@drfahrettinkoca #hekimlerhaklarınıistiyor #SakınAklınızdanGecirmeyin  Sayın bakan da farkında doktorların göç etti… https://t.co/0agGjfhVl6</t>
  </si>
  <si>
    <t>1470123855150780418</t>
  </si>
  <si>
    <t>@drfahrettinkoca https://t.co/igGhXbNC0w</t>
  </si>
  <si>
    <t>1470118127241474051</t>
  </si>
  <si>
    <t>@drfahrettinkoca sayın bakanım doktor hayat kurtarır biz böyle biliyoruz Doktorlar eyleme çıkınca bir kişi dahi öls… https://t.co/qdmlvOpLSB</t>
  </si>
  <si>
    <t>1470115754892836865</t>
  </si>
  <si>
    <t>@drfahrettinkoca https://t.co/rDSeIZreEM</t>
  </si>
  <si>
    <t>1470114601257914369</t>
  </si>
  <si>
    <t>@drfahrettinkoca @saglikbakanligi https://t.co/ToBHn2DHCi</t>
  </si>
  <si>
    <t>1470114533096181767</t>
  </si>
  <si>
    <t>@drfahrettinkoca Bir aydır aile hekimi ile randevu almaya çalışıyoruz. Sistem sürekli olarak uygun bir randevu olma… https://t.co/TxlzSB8SVV</t>
  </si>
  <si>
    <t>1470114440183955465</t>
  </si>
  <si>
    <t>@drfahrettinkoca https://t.co/VZv3zSGsYB</t>
  </si>
  <si>
    <t>1470113579181486084</t>
  </si>
  <si>
    <t>@drfahrettinkoca https://t.co/beSuUxRbHa</t>
  </si>
  <si>
    <t>1470113434092122113</t>
  </si>
  <si>
    <t>@drfahrettinkoca https://t.co/kzJe7BnzxL</t>
  </si>
  <si>
    <t>1470113030776238086</t>
  </si>
  <si>
    <t>@drfahrettinkoca https://t.co/i7MqxoLeZv</t>
  </si>
  <si>
    <t>1470112991484026883</t>
  </si>
  <si>
    <t>@drfahrettinkoca https://t.co/EPrL9lVrxe</t>
  </si>
  <si>
    <t>1470112567729270790</t>
  </si>
  <si>
    <t>@drfahrettinkoca YSP’lerin sözü ile sözünüzden döndünüz. Bu bize yapılan hak mı sayın bakanım?… https://t.co/k8MAr405I5</t>
  </si>
  <si>
    <t>1470110483260874765</t>
  </si>
  <si>
    <t>@drfahrettinkoca Hekimler haklarını istiyor. 2 asgari ücret ile elinizde hekim kalacak mı bakalım…… https://t.co/T8Gs5VSip6</t>
  </si>
  <si>
    <t>1470109959467773952</t>
  </si>
  <si>
    <t>@drfahrettinkoca Lütfen daha fazla aile tehlikeye atılmadan #MahmutÖzerOkullarOnline https://t.co/YWSniLsnsI</t>
  </si>
  <si>
    <t>1470105772944023556</t>
  </si>
  <si>
    <t>@drfahrettinkoca sayın bakanım..Özel hastaneler covid19 tedavisi için ücret talep edebiliyorlar mı?Bizden istediler… https://t.co/RjpQP44YvN</t>
  </si>
  <si>
    <t>1470102608518029314</t>
  </si>
  <si>
    <t>@drfahrettinkoca @vedatbilgn @_aliyalcin_ @OnderKahveci @NecioTaskin @ssbsemihdurmus https://t.co/TxQYYuQbhd</t>
  </si>
  <si>
    <t>1470102453941067778</t>
  </si>
  <si>
    <t>@drfahrettinkoca @RTErdogan @adalet_bakanlik https://t.co/KGO0PsJSxu</t>
  </si>
  <si>
    <t>1470100890342281216</t>
  </si>
  <si>
    <t>@drfahrettinkoca @tcmeb #MahmutÖzerOkullarOnline https://t.co/l6q5HvQKDo</t>
  </si>
  <si>
    <t>1470100741633282049</t>
  </si>
  <si>
    <t>@drfahrettinkoca  KOCA AYIP !😡 https://t.co/ZOMazA2hUA</t>
  </si>
  <si>
    <t>1470099311841230856</t>
  </si>
  <si>
    <t>@drfahrettinkoca @fatihaltayli @RavzaKavakci @saglikbakanligi https://t.co/JbP91ocVOe</t>
  </si>
  <si>
    <t>1470098858520858625</t>
  </si>
  <si>
    <t>@drfahrettinkoca Belirtiler hafif falan demeyin hiç. Bu okulların açık kalması için bahane olamaz. Hastalığın sonuç… https://t.co/ibZoOtFidm</t>
  </si>
  <si>
    <t>1470097150046576645</t>
  </si>
  <si>
    <t>@drfahrettinkoca şikayetvar isimli web sitesinde prof dr feriha öz pandemi hastanesi hakkında şikayetler bulunmakta… https://t.co/neZkEzM87a</t>
  </si>
  <si>
    <t>1470096352457678855</t>
  </si>
  <si>
    <t>@drfahrettinkoca ayın 5 de yatan maaşım bitti bilin istedim :)</t>
  </si>
  <si>
    <t>1470094610097655814</t>
  </si>
  <si>
    <t>@drfahrettinkoca  Sayılarla selam vermeye devam https://t.co/zY04xa7fvD</t>
  </si>
  <si>
    <t>1470094344774459392</t>
  </si>
  <si>
    <t>@drfahrettinkoca   Yeni varyantı ayın 11 ‘inde açıklamanı  Vaka sayısının 6 olması  6 doz 6 gün 6 kişi diye attığın… https://t.co/m221ZSwrr3</t>
  </si>
  <si>
    <t>1470092420331225090</t>
  </si>
  <si>
    <t>@drfahrettinkoca yokmu bir açıklama bu ne ? bunu soran  Cerrahpaşa Tıp Fakültesi mezunu  profesör doktor bülent tut… https://t.co/wX4I7cEp7s</t>
  </si>
  <si>
    <t>1470091375077203970</t>
  </si>
  <si>
    <t>@drfahrettinkoca dan başla o iyi bilir buişleri😀 https://t.co/lWTJc2f2r6</t>
  </si>
  <si>
    <t>1470089448339783682</t>
  </si>
  <si>
    <t>@drfahrettinkoca pratisyen doktor maaşı hakim ile eşitleyin ve doktor tazminatlarını devlet ödemesini istiyoruz</t>
  </si>
  <si>
    <t>1470088657637982219</t>
  </si>
  <si>
    <t>@drfahrettinkoca @Akparti @RTErdogan @mkulunk şimdi keyfiniz yerinizde milletin sesine kulak tikiyorsunuz gün gelir… https://t.co/GIfIsLtl7I</t>
  </si>
  <si>
    <t>1470088259669741570</t>
  </si>
  <si>
    <t>@drfahrettinkoca https://t.co/8mPyEtULM4</t>
  </si>
  <si>
    <t>1470087671171239941</t>
  </si>
  <si>
    <t>@drfahrettinkoca Doktor bu ne? https://t.co/AInH6eXnI4</t>
  </si>
  <si>
    <t>1470086599388151823</t>
  </si>
  <si>
    <t>@drfahrettinkoca https://t.co/jZHnY2E0vw</t>
  </si>
  <si>
    <t>1470085963993001991</t>
  </si>
  <si>
    <t>@drfahrettinkoca @NureddinNebati #tıbbicihaz @denizhanmedikal @tt_uder @saglikbakanligi @sagliklicozum @trbkamil https://t.co/WNm1BUxOXQ</t>
  </si>
  <si>
    <t>1470083177146466314</t>
  </si>
  <si>
    <t>@drfahrettinkoca maaşlarımıza zam yapılacağını tüm ülkeye duyurmuştunuz.Şimdi lütfen bu zammın yapılmadığını da söy… https://t.co/E2kSpgL5MH</t>
  </si>
  <si>
    <t>1470081613845307393</t>
  </si>
  <si>
    <t>@drfahrettinkoca  tedarik sıkıntısı yok diyorsunuz. Ama altı yüzden fazla ilaç çeşidi ülkemizde bulunmuyor. Eczanel… https://t.co/cw4FujWpi9</t>
  </si>
  <si>
    <t>1470080417218838535</t>
  </si>
  <si>
    <t>@drfahrettinkoca #doktormaasınazam sayın bakanım kendini doktor sanan hastane personelleriyle doldu etraf radyoloji… https://t.co/Y9lrv5MCUp</t>
  </si>
  <si>
    <t>1466915758403993607</t>
  </si>
  <si>
    <t>@drfahrettinkoca tarsus devlet hastnesi bt sonuçlarnı sistemsel hatadan dolayı yüklemiyor diye 72 yaşında kalp hast… https://t.co/jE3MGlXhFz</t>
  </si>
  <si>
    <t>1466908142919315456</t>
  </si>
  <si>
    <t>@drfahrettinkoca Konu hakkinda bilgi almak istiyoruz… https://t.co/IzAU1p7uGf</t>
  </si>
  <si>
    <t>1466905564731121672</t>
  </si>
  <si>
    <t>@drfahrettinkoca @mehmetceyhan23 siz nesiniz https://t.co/pJZfN8Kbwe</t>
  </si>
  <si>
    <t>1466905473546915840</t>
  </si>
  <si>
    <t>@drfahrettinkoca bu vatandaşa da gerekli cezayı istiyoruz,doktor ve hakim karşısında herkes eşittir. https://t.co/cu0O3OWcW1</t>
  </si>
  <si>
    <t>1466899529177968640</t>
  </si>
  <si>
    <t>@drfahrettinkoca @EmineErdogan @haluklevent @saglikbakanligi @RTErdogan @MuhammedEfeLev1 @acunilicali sesimiz siz d… https://t.co/jEp0ocmmX5</t>
  </si>
  <si>
    <t>1466899074444054528</t>
  </si>
  <si>
    <t>@drfahrettinkoca @saglikbakanligi #istanbulilsaglik #112 #sağlıkbakanlığı https://t.co/KGpBCSoKat</t>
  </si>
  <si>
    <t>1466898788728164360</t>
  </si>
  <si>
    <t>@drfahrettinkoca bunun hesabını vermek zor olacak https://t.co/bgkS7PmQQd</t>
  </si>
  <si>
    <t>1466897798977228809</t>
  </si>
  <si>
    <t>@drfahrettinkoca dürüst bakan, gerçeği söylüyor.. kınamayalım! https://t.co/UJ1uJnbahb</t>
  </si>
  <si>
    <t>1466895359620354051</t>
  </si>
  <si>
    <t>@drfahrettinkoca hayatımızı geleceğimizi tüketiyoruz ama kapida oturan sekreterden nöbet ücretim daha düşük insanla… https://t.co/copMZlvH8V</t>
  </si>
  <si>
    <t>1466894123084890114</t>
  </si>
  <si>
    <t>@drfahrettinkoca inşallah allah korkunuz vardır. Bizleri insanlara düşman ettiniz olmayan bir zam muhabbeti ile hak… https://t.co/pvPszBeWHW</t>
  </si>
  <si>
    <t>1466893399236173824</t>
  </si>
  <si>
    <t>@drfahrettinkoca yaptığınız bu son hamle ile yabancı dil öğrenme isteğimi daha da arttırdınız teşekkürler #bendoktorum #doktormaasınazam</t>
  </si>
  <si>
    <t>1466891062610440194</t>
  </si>
  <si>
    <t>@drfahrettinkoca @hanifhuman @OpDrBilgehan @pediat_surgeon @drserkanozkul @KaganKaraman @opdrokanozdemir https://t.co/iDcuEiEDZG</t>
  </si>
  <si>
    <t>1466890089749954562</t>
  </si>
  <si>
    <t>@drfahrettinkoca  sizin önderliğinizde doktorlar hiç almadığı maaş zammının lincini yedi 👏🏻 amacınız neydi acaba ?</t>
  </si>
  <si>
    <t>1466886605592051712</t>
  </si>
  <si>
    <t>@drfahrettinkoca   @suayipbirinci   @t_saglikis_1961   @hakiskonf   @turkiskonf   @HakanToy06   @devletsert… https://t.co/eZ3W4LmyZy</t>
  </si>
  <si>
    <t>1466886542107058188</t>
  </si>
  <si>
    <t>@drfahrettinkoca Dünyada bir kader var, ülkede bir kader var. Her kişi kendi alemine düşmüş seni beni kim anlar. Bu… https://t.co/P59M5DE3im</t>
  </si>
  <si>
    <t>1466885408713854976</t>
  </si>
  <si>
    <t>@drfahrettinkoca  doktorlara zam diyip doktorları halka ve özellikle sözde ekip arkadaşlarının önüne attınız. Ortad… https://t.co/hq7D2q82us</t>
  </si>
  <si>
    <t>1466882471534936065</t>
  </si>
  <si>
    <t>@drfahrettinkoca hadi cevap verin. Biz neden bekliyoruz? https://t.co/W6dGzW2DWh</t>
  </si>
  <si>
    <t>1466881363139870724</t>
  </si>
  <si>
    <t>@drfahrettinkoca tarama testleri nerede? İlla hasteneye gidip hastane yükünü artıracağız değil mi? Dünya tarama tes… https://t.co/CzuKHO0p6d</t>
  </si>
  <si>
    <t>1466878348861267972</t>
  </si>
  <si>
    <t>@drfahrettinkoca sayın bakanım TUS’a dokunmayın, lütfen</t>
  </si>
  <si>
    <t>1466875189426331653</t>
  </si>
  <si>
    <t>@drfahrettinkoca  Karıştırdın yine ortalığı😂</t>
  </si>
  <si>
    <t>1466874062941167618</t>
  </si>
  <si>
    <t>@drfahrettinkoca https://t.co/9BfkxsNYrq</t>
  </si>
  <si>
    <t>1466871103478026245</t>
  </si>
  <si>
    <t>@drfahrettinkoca Hastanelerde çalışan sağlık personellerine zam var diğer sağlık personellerine zam yok tam bir fiy… https://t.co/wN7GUoigXi</t>
  </si>
  <si>
    <t>1466869118011858949</t>
  </si>
  <si>
    <t>@drfahrettinkoca Her olaya sadece Bakan Fahrettin Koca.. Dur demek için neyi bekliyorsunuz. Yeni bir Rümeysa Berin… https://t.co/HwGu1YidbF</t>
  </si>
  <si>
    <t>1466867909800734727</t>
  </si>
  <si>
    <t>@drfahrettinkoca sayın bakanım 15 gün önce 4 Aralık tarihine Babaeski devlet hastanesinden Kırklareli devlet hastan… https://t.co/hhFL1zl4TA</t>
  </si>
  <si>
    <t>1466854885186588674</t>
  </si>
  <si>
    <t>@drfahrettinkoca @OpDrBilgehan @ProfSFindik https://t.co/GeTMT2VVii</t>
  </si>
  <si>
    <t>1466854557624021010</t>
  </si>
  <si>
    <t>@drfahrettinkoca @gergerliogluof @yilmaztunc ADALET İSTİYORUZ</t>
  </si>
  <si>
    <t>1466848214548688916</t>
  </si>
  <si>
    <t>@drfahrettinkoca  Bari şimdiki Dr lari kaçırmayın yeni nesil daha akıllı. https://t.co/z5JwcECofy</t>
  </si>
  <si>
    <t>1466847828756549632</t>
  </si>
  <si>
    <t>@drfahrettinkoca Selam mun aleyküm bakanım iş arkadaşımızın hanımı kornaya yakalandı Gebze Farabi devlet hastanesin… https://t.co/r6V0ijFNAs</t>
  </si>
  <si>
    <t>1466847693804904450</t>
  </si>
  <si>
    <t>@drfahrettinkoca  NEREYE KADAR? https://t.co/JYe54bC1Iz</t>
  </si>
  <si>
    <t>1466846878335705095</t>
  </si>
  <si>
    <t>@drfahrettinkoca https://t.co/zbq2dHfLCR</t>
  </si>
  <si>
    <t>1466846673313964033</t>
  </si>
  <si>
    <t>@drfahrettinkoca https://t.co/Bn1gZWfjJx</t>
  </si>
  <si>
    <t>1466844624597753859</t>
  </si>
  <si>
    <t>@drfahrettinkoca https://t.co/7XujJeC4XV</t>
  </si>
  <si>
    <t>1466838755529179137</t>
  </si>
  <si>
    <t>@drfahrettinkoca Sahadaki sağlıkçılar bu kadar yorgunken bizler sahaya taze kan olmak istiyoruz ancak sizin engelle… https://t.co/I0jk4XXBUW</t>
  </si>
  <si>
    <t>1466837837765124099</t>
  </si>
  <si>
    <t>@drfahrettinkoca Sahadaki sağlıkçılar bu kadar yorgunken bizler sahaya taze kan olmak istiyoruz ancak sizin engelle… https://t.co/3Wshk1Kdbz</t>
  </si>
  <si>
    <t>1466837836091596801</t>
  </si>
  <si>
    <t>@drfahrettinkoca Sahadaki sağlıkçılar bu kadar yorgunken bizler sahaya taze kan olmak istiyoruz ancak sizin engelle… https://t.co/mpIj2KBZOV</t>
  </si>
  <si>
    <t>1466837834589999113</t>
  </si>
  <si>
    <t>@drfahrettinkoca Sahadaki sağlıkçılar bu kadar yorgunken bizler sahaya taze kan olmak istiyoruz ancak sizin engelle… https://t.co/LDwMMWhBfr</t>
  </si>
  <si>
    <t>1466837832903839754</t>
  </si>
  <si>
    <t>@drfahrettinkoca Sahadaki sağlıkçılar bu kadar yorgunken bizler sahaya taze kan olmak istiyoruz ancak sizin engelle… https://t.co/hxwenOfKCc</t>
  </si>
  <si>
    <t>1466837831582724102</t>
  </si>
  <si>
    <t>@drfahrettinkoca Sahadaki sağlıkçılar bu kadar yorgunken bizler sahaya taze kan olmak istiyoruz ancak sizin engelle… https://t.co/75x9ACkgh9</t>
  </si>
  <si>
    <t>1466837830181822464</t>
  </si>
  <si>
    <t>@drfahrettinkoca Sahadaki sağlıkçılar bu kadar yorgunken bizler sahaya taze kan olmak istiyoruz ancak sizin engelle… https://t.co/OOW4G4lEGT</t>
  </si>
  <si>
    <t>1466837828940226568</t>
  </si>
  <si>
    <t>@drfahrettinkoca Sahadaki sağlıkçılar bu kadar yorgunken bizler sahaya taze kan olmak istiyoruz ancak sizin engelle… https://t.co/cOzi3tRV0J</t>
  </si>
  <si>
    <t>1466837827606491139</t>
  </si>
  <si>
    <t>@drfahrettinkoca Sahadaki sağlıkçılar bu kadar yorgunken bizler sahaya taze kan olmak istiyoruz ancak sizin engelle… https://t.co/zZPG3tmbAZ</t>
  </si>
  <si>
    <t>1466837825635110913</t>
  </si>
  <si>
    <t>@drfahrettinkoca Sahadaki sağlıkçılar bu kadar yorgunken bizler sahaya taze kan olmak istiyoruz ancak sizin engelle… https://t.co/0XE8MHWoeX</t>
  </si>
  <si>
    <t>1466837824347455491</t>
  </si>
  <si>
    <t>@drfahrettinkoca Sahadaki sağlıkçılar bu kadar yorgunken bizler sahaya taze kan olmak istiyoruz ancak sizin engelle… https://t.co/2P56rr1OPp</t>
  </si>
  <si>
    <t>1466837822925676552</t>
  </si>
  <si>
    <t>@drfahrettinkoca fahrettin bey son bi saattir maaşımızla ilgili bilgi vermedin çık bi canlı yayında yine de iyi alı… https://t.co/WKbFY565vX</t>
  </si>
  <si>
    <t>1466837104311377921</t>
  </si>
  <si>
    <t>@drfahrettinkoca @RTErdogan @erolozvar İstanbul üni doktora öğrencisiyim kaldı 4-5 hafta dönem bitene kadar online… https://t.co/1IvgkdAEuB</t>
  </si>
  <si>
    <t>1466835867616612354</t>
  </si>
  <si>
    <t>@drfahrettinkoca @gozdekirisciogl @halis_aygun @RTErdogan  #RteSağlığaKılavuzNerede https://t.co/T6pLL5i2Nr</t>
  </si>
  <si>
    <t>1466834985789403138</t>
  </si>
  <si>
    <t>@drfahrettinkoca hakim maaşına zam yapıldığı diye ayaklanan katip yokken, hekim maaşına zam yapıldığı diye ayaklana… https://t.co/4gKifYSHWv</t>
  </si>
  <si>
    <t>1466833341169258496</t>
  </si>
  <si>
    <t>@drfahrettinkoca sayın bakanım covit izinli mahkum um.izinler 2ay uzadı.ya sonra 31 ocakta.covitten Güldal Akşit ve… https://t.co/wXmJo2Zeue</t>
  </si>
  <si>
    <t>1466833294075514889</t>
  </si>
  <si>
    <t>@drfahrettinkoca eeeee #FKOyalamaKılavuzuYayınla</t>
  </si>
  <si>
    <t>1466833224030912513</t>
  </si>
  <si>
    <t>@drfahrettinkoca @RTErdogan @saglikbakanligi https://t.co/cG9sKs4igt</t>
  </si>
  <si>
    <t>1466832783326732294</t>
  </si>
  <si>
    <t>@drfahrettinkoca https://t.co/BaWpCIlATh</t>
  </si>
  <si>
    <t>1466830560328929284</t>
  </si>
  <si>
    <t>@drfahrettinkoca aşı bakanlığına ara verip, gerçek hastalıklarla ilgilensen diyorum.  #HemofiliSesiOl</t>
  </si>
  <si>
    <t>1466830147387068418</t>
  </si>
  <si>
    <t>@drfahrettinkoca Bakanım Engelli Sağlık Personeli ataması yapılacak mı?</t>
  </si>
  <si>
    <t>1466829882244087812</t>
  </si>
  <si>
    <t>@drfahrettinkoca   #FKOyalamaKılavuzuYayınla</t>
  </si>
  <si>
    <t>1466828984088420352</t>
  </si>
  <si>
    <t>@drfahrettinkoca @RTErdogan @RTErdogan @saglikbakanligi https://t.co/fsrZEEmVnu</t>
  </si>
  <si>
    <t>1466828381387960326</t>
  </si>
  <si>
    <t>@drfahrettinkoca Artık yorulduk... #FKOyalamaKılavuzuYayınla</t>
  </si>
  <si>
    <t>1466828358285729798</t>
  </si>
  <si>
    <t>@drfahrettinkoca  zam işi noldu hani 2.500 5.000tl zam aliyoduk. https://t.co/L4uTAfGnss</t>
  </si>
  <si>
    <t>1466827638887129088</t>
  </si>
  <si>
    <t>@drfahrettinkoca Sayın bakan siz CB önünde azar işitirken izledim #birazonurbirazgurur</t>
  </si>
  <si>
    <t>1466827484876394498</t>
  </si>
  <si>
    <t>@drfahrettinkoca @RTErdogan @saglikbakanligi https://t.co/PcvWRv5fy5</t>
  </si>
  <si>
    <t>1466827258623053830</t>
  </si>
  <si>
    <t>@drfahrettinkoca #TorbadaFiyaskoİstemiyoruz</t>
  </si>
  <si>
    <t>1466826442503774216</t>
  </si>
  <si>
    <t>@drfahrettinkoca @RTErdogan @saglikbakanligi https://t.co/mCT1o4sO8D</t>
  </si>
  <si>
    <t>1466826180192047112</t>
  </si>
  <si>
    <t>@drfahrettinkoca @halis_aygun Aralık ayına da girdik kılavuz nerde? Bari bir gün belirtin beklemek çok yordu ARTIKK… https://t.co/eHMqyeKpUi</t>
  </si>
  <si>
    <t>1466824327547035650</t>
  </si>
  <si>
    <t>@drfahrettinkoca Bu kadar vebalin hesabını nasıl vereceksiniz ! Siz ve sizin sözde tedavileriniz bir ay önce babamı… https://t.co/AVYUT7Hg0r</t>
  </si>
  <si>
    <t>1466824317409320968</t>
  </si>
  <si>
    <t>@drfahrettinkoca @saglikbakanligi @tcbestepe sn bakanım bi arkadaşımın annesi ANKARA şehir hastanesinde yatak vs yo… https://t.co/OIpk80fZoR</t>
  </si>
  <si>
    <t>1466821453513379848</t>
  </si>
  <si>
    <t>@drfahrettinkoca  bi #CumhurbaskanıErdoğan  a sorması gerek sorsun da gelsin..! https://t.co/xrSPUv3yah</t>
  </si>
  <si>
    <t>1466820000354873346</t>
  </si>
  <si>
    <t>@drfahrettinkoca @RTErdogan @mehmetceyhan23 @DrZekiBay @bengibaser @serapsimsekyvz @tcmeb @saglikbakanligi… https://t.co/ETifYGF5QR</t>
  </si>
  <si>
    <t>1466816348206608388</t>
  </si>
  <si>
    <t>@drfahrettinkoca @drfahrettinkoca #SağlıkcıİsBırakıyor #TorbadaFiyaskoİstemiyoruz #SağlıkcınınOyuYok https://t.co/FXmSrMWpHW</t>
  </si>
  <si>
    <t>1466815764040671238</t>
  </si>
  <si>
    <t>@drfahrettinkoca @RTErdogan #TorbadaFiyaskoİstemiyoruz #SağlıkcıİsBırakıyor #SağlıkcınınOyuYok https://t.co/E3ZNHEfmkv</t>
  </si>
  <si>
    <t>1466815439980437505</t>
  </si>
  <si>
    <t>@drfahrettinkoca kılavuz için onay mı bekliyor sunuz . Ne söyledi demesinden mi çekiniyor sunuz ? Bunca milleti bek… https://t.co/jKEiqvQdDF</t>
  </si>
  <si>
    <t>1466815254277541893</t>
  </si>
  <si>
    <t>@drfahrettinkoca @saglikbakanligi Bakan Koca verileri paylaşıp uyardı... https://t.co/cArFhBua8l</t>
  </si>
  <si>
    <t>1466814606760947721</t>
  </si>
  <si>
    <t>@drfahrettinkoca  #FKOyalamaKılavuzuYayınla ahh ahh https://t.co/iWvcaPvwiW</t>
  </si>
  <si>
    <t>1466813430132789248</t>
  </si>
  <si>
    <t>@drfahrettinkoca https://t.co/dJb1IgCuAz</t>
  </si>
  <si>
    <t>1466812838882816007</t>
  </si>
  <si>
    <t>@drfahrettinkoca https://t.co/LpeBQc1g1k</t>
  </si>
  <si>
    <t>1466550440774946816</t>
  </si>
  <si>
    <t>@drfahrettinkoca  #SağlıkcınınOyuYok  #SağlıkcılarİsBırakıyor https://t.co/msRS6OTz6T</t>
  </si>
  <si>
    <t>1466543939998162949</t>
  </si>
  <si>
    <t>@drfahrettinkoca GEREKİRSE SEVK YAZILSIN BİZİM Bİ BAŞIMIZ AĞRIDIĞI ZAMAN HASTANEYE KOŞUYORUZ BU KADIN GÖZÜMÜZÜN ÖNÜ… https://t.co/U8GgCDaa4a</t>
  </si>
  <si>
    <t>1466542671971819521</t>
  </si>
  <si>
    <t>@drfahrettinkoca istese de istemese de biz o ilacı alacağız Türkiye’nin en zayıf bebeği @ensaryasasin Kazandı darısı bize</t>
  </si>
  <si>
    <t>1466539010801553410</t>
  </si>
  <si>
    <t>@drfahrettinkoca https://t.co/Rk4gj5Hi1h</t>
  </si>
  <si>
    <t>1466535589147201536</t>
  </si>
  <si>
    <t>@drfahrettinkoca DSÖ ye 2021 yılını sağlıkçı yılı diye önerge verip show yapmak iyi güzel de gereğini yapmak neden… https://t.co/Cv96bfBmru</t>
  </si>
  <si>
    <t>1466534525547073539</t>
  </si>
  <si>
    <t>@drfahrettinkoca bakanlığı bırakıp doktorluğa dönecek sanırım yoksa neden sadece doktorlara zam yapılsın ki</t>
  </si>
  <si>
    <t>1466530730054492166</t>
  </si>
  <si>
    <t>@drfahrettinkoca sizin maaşınızıda biz belirlesek mesela  #SağlıkcıİsBırakıyor</t>
  </si>
  <si>
    <t>1466529940904448000</t>
  </si>
  <si>
    <t>@drfahrettinkoca   #SağlıkçıİşBırakıyor</t>
  </si>
  <si>
    <t>1466529484870340608</t>
  </si>
  <si>
    <t>@drfahrettinkoca insanda biraz haysiyet, onur olur. Kaç yaşına gelmişsin neden korkuyorsun da kula kul oluyorsun ay… https://t.co/DVZmp8IB3f</t>
  </si>
  <si>
    <t>1466524311280185345</t>
  </si>
  <si>
    <t>@drfahrettinkoca atamada unutuldu işte..</t>
  </si>
  <si>
    <t>1466521769905430532</t>
  </si>
  <si>
    <t>@drfahrettinkoca Biraz utanmanız kaldıysa istifa edin artık. Hakkımız olanı almayı geçtik defalarca halkı manipüle… https://t.co/kBKKYDj13r</t>
  </si>
  <si>
    <t>1466521714725109776</t>
  </si>
  <si>
    <t>@drfahrettinkoca @saglikbakanligi @AlpayAzap @KurtAzap @bengibaser @profsaltik @KAYIHANPALA @esenol @iftiharkoksal… https://t.co/Rq29S2y6U3</t>
  </si>
  <si>
    <t>1466521413016244225</t>
  </si>
  <si>
    <t>@drfahrettinkoca  Sayın Bakanım biz sizi söylerken doktorumuz da hizmetlimizde sağlık camiasındaki her bir çalışanı… https://t.co/9bWNP4Vr6S</t>
  </si>
  <si>
    <t>1466520879081349126</t>
  </si>
  <si>
    <t>@drfahrettinkoca      #SağlıkcıİsBırakıyor</t>
  </si>
  <si>
    <t>1466520127965478922</t>
  </si>
  <si>
    <t>@drfahrettinkoca ınanın halinize çok üzüldüm https://t.co/tqt4cftPBc</t>
  </si>
  <si>
    <t>1466520051666894854</t>
  </si>
  <si>
    <t>1466519757201543175</t>
  </si>
  <si>
    <t>@drfahrettinkoca çam sakura için bi denetim şart! Acil için gelen hasta 1,5 saat sıra bekliyor!</t>
  </si>
  <si>
    <t>1466516954211094535</t>
  </si>
  <si>
    <t>@drfahrettinkoca  neden bir açıklamada bulunurken ‘’Hekimler başta olmak üzere ‘’ diye başlayarak saglik çalışanlar… https://t.co/yW9CTJvq9o</t>
  </si>
  <si>
    <t>1466514914999214084</t>
  </si>
  <si>
    <t>@drfahrettinkoca Biz Diplomalarımızı Boşuna Almadık Yoğun Bakımlarda Acillerde Ameliyathanelerde Servislerde Polikl… https://t.co/BP6F0cjXqU</t>
  </si>
  <si>
    <t>1466514666440605716</t>
  </si>
  <si>
    <t>@drfahrettinkoca @saglikbakanligi #SağlıkçıİşBırakıyor</t>
  </si>
  <si>
    <t>1466514409040322561</t>
  </si>
  <si>
    <t>@drfahrettinkoca çok doğru https://t.co/3wvzxgX6Gt</t>
  </si>
  <si>
    <t>1466512552356155401</t>
  </si>
  <si>
    <t>@drfahrettinkoca @saglikbakanligi @RTErdogan size güvenerek aşı olduk ve annemin kolunu kaybedeceğiz. Biri bizimle… https://t.co/XrcWwzXzO0</t>
  </si>
  <si>
    <t>1466511263127773195</t>
  </si>
  <si>
    <t>@drfahrettinkoca @saglikbakanligi artık maillerime dönüş yapılsın. Geç kalınmadan müdehale bekliyoruz. Annemin kolunu kaybetmek istemiyorum</t>
  </si>
  <si>
    <t>1466511049432174592</t>
  </si>
  <si>
    <t>@drfahrettinkoca #SağlıkcıİsBırakıyor https://t.co/yHyHIlF1tc</t>
  </si>
  <si>
    <t>1466509977187672068</t>
  </si>
  <si>
    <t>@drfahrettinkoca #SağlıkçıİşBırakıyor https://t.co/eYrw7kt9B5</t>
  </si>
  <si>
    <t>1466509057540431877</t>
  </si>
  <si>
    <t>1466506757342117894</t>
  </si>
  <si>
    <t>@drfahrettinkoca hasta olanlara!!!!??? https://t.co/wtuRTSdUMn</t>
  </si>
  <si>
    <t>1466505577245425668</t>
  </si>
  <si>
    <t>@drfahrettinkoca @serapsimsekyvz  @dralpersener @AlpayAzap @drtevfikozlu @AtesAtesKara @fusuneyuboglu @esenol… https://t.co/Jeee50cooI</t>
  </si>
  <si>
    <t>1466503605926731783</t>
  </si>
  <si>
    <t>@drfahrettinkoca  #SağlıkcıİsBırakıyor  Çok haklı sitem. https://t.co/RpGmrBZOAk</t>
  </si>
  <si>
    <t>1466502123546460165</t>
  </si>
  <si>
    <t>@drfahrettinkoca Ağzımızla bir kuş tutmadığımız kaldı yinede yaranamadık. Sağlıkçı olamadık #SağlıkcıİsBırakıyor</t>
  </si>
  <si>
    <t>1466500991742840832</t>
  </si>
  <si>
    <t>@drfahrettinkoca her şartta ve her ortamda yaptığınız yanlış politikalara rağmen hep destekledik sizi ve hükümetini… https://t.co/V3Ks6tZqAt</t>
  </si>
  <si>
    <t>1466500526783307784</t>
  </si>
  <si>
    <t>@drfahrettinkoca hakkını yediğiniz her sağlık çalışanının eli üstünüzde, bu yük size fazla gelmiyor mu cidden? #sağlıkcıisbırakıyor</t>
  </si>
  <si>
    <t>1466500428481368075</t>
  </si>
  <si>
    <t>@drfahrettinkoca Biz Diplomaları MeslekiRiskleri Hekim Dışı Diye Ötekilştirin Yoksayın Diye Almadık… https://t.co/cLaV2tJR9C</t>
  </si>
  <si>
    <t>1466500244963745795</t>
  </si>
  <si>
    <t>@drfahrettinkoca sağlık bakanlığının doktor bakanlığı olduğunu bilmiyorduk. Siz öğrettiniz! #sağlıkcıisbırakıyor</t>
  </si>
  <si>
    <t>1466499566228934661</t>
  </si>
  <si>
    <t>@drfahrettinkoca SAĞLIK YÖNETİMİ bölümünü görmediği gibi @FOXhaber de bugünki yayınında SAĞLIK YÖNETİMİ bölümünü li… https://t.co/l03UCeB5oZ</t>
  </si>
  <si>
    <t>1466497712644403201</t>
  </si>
  <si>
    <t>@drfahrettinkoca https://t.co/34edu4Awdj</t>
  </si>
  <si>
    <t>1466496998610280448</t>
  </si>
  <si>
    <t>@drfahrettinkoca  NE YAPACAĞIZ ŞİMDİ ?  Yavrularımızı yaşama tutturacak; Anne - Babaların yüreğini ısıtacak, göz ya… https://t.co/BBiGCZVHmw</t>
  </si>
  <si>
    <t>1466496700588113923</t>
  </si>
  <si>
    <t>@drfahrettinkoca Hekimdışı nedir ya😡ben hemşireyim hemşirelik eğitimi aldım 👍 benim mesleğimin bir adı var...… https://t.co/HLvApefva2</t>
  </si>
  <si>
    <t>1466496668904398848</t>
  </si>
  <si>
    <t>@drfahrettinkoca https://t.co/bqtlYzel8Y</t>
  </si>
  <si>
    <t>1466496292448874496</t>
  </si>
  <si>
    <t>@drfahrettinkoca  @saglikbakanligi https://t.co/FuynwqKGre</t>
  </si>
  <si>
    <t>1466495465885687813</t>
  </si>
  <si>
    <t>@drfahrettinkoca Avrupa bizi kıskanıyormuş! Evet, kıskanıyor! 3 kuruş maaş alsa bile, insanına, teriyle, canıyla hi… https://t.co/dZnZK832mj</t>
  </si>
  <si>
    <t>1466494987374313482</t>
  </si>
  <si>
    <t>@drfahrettinkoca  @saglikbakanligi  @RTErdogan https://t.co/9ZPqVLJ1z7</t>
  </si>
  <si>
    <t>1466494980411863041</t>
  </si>
  <si>
    <t>@drfahrettinkoca  #SağlıkcıİsBırakıyor https://t.co/jNNXses8KC</t>
  </si>
  <si>
    <t>1466494959293452295</t>
  </si>
  <si>
    <t>@drfahrettinkoca  @saglikbakanligi https://t.co/lxmETVQHpp</t>
  </si>
  <si>
    <t>1466494840791867392</t>
  </si>
  <si>
    <t>@drfahrettinkoca  @saglikbakanligi https://t.co/KfpJ44q1qo</t>
  </si>
  <si>
    <t>1466494695044001793</t>
  </si>
  <si>
    <t>@drfahrettinkoca  @saglikbakanligi https://t.co/gcpn5vZ1yk</t>
  </si>
  <si>
    <t>1466494563288289289</t>
  </si>
  <si>
    <t>@drfahrettinkoca Biz pandemide öldük farkında mısınız mecaz değil kaç meslektaşımızı verdik toprağa yine yaranamadı… https://t.co/tGHsGQbaYh</t>
  </si>
  <si>
    <t>1466494499069341699</t>
  </si>
  <si>
    <t>@drfahrettinkoca veya @drfahrettinkoca şunun izahını yapar mısınız Allah için, ama bilimsel ama filimsel?… https://t.co/SXp1kQPOjA</t>
  </si>
  <si>
    <t>1466494424054181893</t>
  </si>
  <si>
    <t>@drfahrettinkoca  teşekurler. Zam için 5000 tl zam çok iyi geldi. 😠 gercekten sinirlendiriyosunuz. Birde bizi yukse… https://t.co/x38tw2W4iy</t>
  </si>
  <si>
    <t>1466494344232321032</t>
  </si>
  <si>
    <t>@drfahrettinkoca  @saglikbakanligi  @ssbsemihdurmus https://t.co/sokbHsAljs</t>
  </si>
  <si>
    <t>1466494293539971087</t>
  </si>
  <si>
    <t>@drfahrettinkoca  @saglikbakanligi  @ssbsemihdurmus https://t.co/fmt5HJVGAP</t>
  </si>
  <si>
    <t>1466494126548004864</t>
  </si>
  <si>
    <t>@drfahrettinkoca  @saglikbakanligi  @ssbsemihdurmus https://t.co/nh8YIwLcbk</t>
  </si>
  <si>
    <t>1466493657578708996</t>
  </si>
  <si>
    <t>@drfahrettinkoca  @saglikbakanligi https://t.co/OPbTQF4NYT</t>
  </si>
  <si>
    <t>1466493454939267081</t>
  </si>
  <si>
    <t>@drfahrettinkoca https://t.co/QduLjGiyPW</t>
  </si>
  <si>
    <t>1466492804864086017</t>
  </si>
  <si>
    <t>@drfahrettinkoca  @saglikbakanligi https://t.co/Me4MgG9EKR</t>
  </si>
  <si>
    <t>1466492679408300036</t>
  </si>
  <si>
    <t>@drfahrettinkoca  @saglikbakanligi https://t.co/JwVBHbzbwZ</t>
  </si>
  <si>
    <t>1466492604854554629</t>
  </si>
  <si>
    <t>@drfahrettinkoca https://t.co/wgbTCy4BEQ</t>
  </si>
  <si>
    <t>1466492562441748487</t>
  </si>
  <si>
    <t>@drfahrettinkoca @serapsimsekyvz  @dralpersener @AlpayAzap @drtevfikozlu @AtesAtesKara @fusuneyuboglu @esenol… https://t.co/IO2W9nEdZS</t>
  </si>
  <si>
    <t>1466491639023771652</t>
  </si>
  <si>
    <t>@drfahrettinkoca https://t.co/5OczZ5sBXH</t>
  </si>
  <si>
    <t>1466490079367544834</t>
  </si>
  <si>
    <t>@drfahrettinkoca    #SağlıkcıİsBırakıyor gun gelir kendi hastanenizde saglikci bulamazsiniz... İnsallah... Siz döne… https://t.co/ITzzJLKuHL</t>
  </si>
  <si>
    <t>1466488415436918792</t>
  </si>
  <si>
    <t>@drfahrettinkoca @drfahrettinkoca #SağlıkcıİsBırakıyor https://t.co/zVcjWuoInT</t>
  </si>
  <si>
    <t>1466487361580281872</t>
  </si>
  <si>
    <t>@drfahrettinkoca @ssbsemihdurmus @sagliksen @iletisim @RTErdogan @_aliyalcin_ @tcbestepe #hemsire… https://t.co/80b2SfD9Qg</t>
  </si>
  <si>
    <t>1466487181992673292</t>
  </si>
  <si>
    <t>@drfahrettinkoca #SağlıkcıİsBırakıyor https://t.co/4DfGvWSPGJ</t>
  </si>
  <si>
    <t>1466486864974696455</t>
  </si>
  <si>
    <t>@drfahrettinkoca https://t.co/Q4OZroPCw6</t>
  </si>
  <si>
    <t>1466486733739069445</t>
  </si>
  <si>
    <t>@drfahrettinkoca Halihazırda SMA lı olanlar ne olacak, onu deyiverin hele?!.. https://t.co/bNOKTvunme</t>
  </si>
  <si>
    <t>1466486107982471168</t>
  </si>
  <si>
    <t>1466485721699606539</t>
  </si>
  <si>
    <t>@drfahrettinkoca @saglikbakanligi @fahrettinaltun @RTErdogan #OnlineEğitimCanKurtarır https://t.co/UfP63NbZjQ</t>
  </si>
  <si>
    <t>1466485373245304832</t>
  </si>
  <si>
    <t>@drfahrettinkoca @RTErdogan #SağlıkcıİsBırakıyor https://t.co/y0s5R1bwv9</t>
  </si>
  <si>
    <t>1466485305863778308</t>
  </si>
  <si>
    <t>@drfahrettinkoca @RTErdogan @SaglikciBirligi @SaglTum @hemsireyizbiz #SağlıkcıİsBırakıyor  Yeter bu kadar parmaklar… https://t.co/SOsM9JLlMh</t>
  </si>
  <si>
    <t>1466484935443759112</t>
  </si>
  <si>
    <t>@drfahrettinkoca sor bakalım reise varyant gelmiş mi https://t.co/SCMZQ2IwZQ</t>
  </si>
  <si>
    <t>1466484615380717583</t>
  </si>
  <si>
    <t>@drfahrettinkoca  Sıvı Bakanı, bağlı olduğunuz Elçiniz güvenmezken, Millet mi? güvenecek. 😏 Kaldı ki,  Türkiye Cumh… https://t.co/sjQ6IIWDzG</t>
  </si>
  <si>
    <t>1466484344336404490</t>
  </si>
  <si>
    <t>@drfahrettinkoca @RTErdogan @SaglikciBirligi @SaglTum @hemsireyizbiz #SağlıkcıİsBırakıyor  Öğretmenler bu işi biliy… https://t.co/GNeIwfG4vp</t>
  </si>
  <si>
    <t>1466484265609314311</t>
  </si>
  <si>
    <t>@drfahrettinkoca @RTErdogan @SaglikciBirligi @SaglTum @hemsireyizbiz #SağlıkcıİsBırakıyor    belki destek buluruz,ç… https://t.co/3lccu9woVq</t>
  </si>
  <si>
    <t>1466483982586064904</t>
  </si>
  <si>
    <t>@drfahrettinkoca @RTErdogan @SaglikciBirligi @SaglTum @hemsireyizbiz #SağlıkcıİsBırakıyor  Sormaz ki bilsin Sorsa b… https://t.co/6QXfQIYtYu</t>
  </si>
  <si>
    <t>1466483761877499904</t>
  </si>
  <si>
    <t>@drfahrettinkoca @RTErdogan @SaglikciBirligi @SaglTum @hemsireyizbiz #SağlıkcıİsBırakıyor  tag uymasa da yorum tam… https://t.co/QWvdZzTAMw</t>
  </si>
  <si>
    <t>1466483465688342530</t>
  </si>
  <si>
    <t>@drfahrettinkoca sabit ek ödemeyi maaş kaleminin içine katıp sanki bir maaş artışı yapmış gibi medyaya pompalamak n… https://t.co/n7y350rITK</t>
  </si>
  <si>
    <t>1466482880511631369</t>
  </si>
  <si>
    <t>@drfahrettinkoca Avrupa işi bu noktaya taşıdı. Biz ne zaman? Kaç mutasyon daha bekleyelim? https://t.co/CGK6wqDnFU</t>
  </si>
  <si>
    <t>1466482808424173573</t>
  </si>
  <si>
    <t>1466482562382053388</t>
  </si>
  <si>
    <t>@drfahrettinkoca @RTErdogan @SaglikciBirligi @SaglTum @hemsireyizbiz #SağlıkcıİsBırakıyor   Bu insanları şehit bile… https://t.co/E9auZIEmer</t>
  </si>
  <si>
    <t>1466482396530974724</t>
  </si>
  <si>
    <t>@drfahrettinkoca bizi duymuyor sizden kılavuz istiyoruz @RTErdogan #RteSağlığaKılavuzNerede</t>
  </si>
  <si>
    <t>1466482382551326724</t>
  </si>
  <si>
    <t>@drfahrettinkoca @RTErdogan @SaglikciBirligi @SaglTum @hemsireyizbiz #SağlıkcıİsBırakıyor https://t.co/aXjvrsgivd</t>
  </si>
  <si>
    <t>1466481800289697797</t>
  </si>
  <si>
    <t>@drfahrettinkoca @RTErdogan @SaglikciBirligi @SaglTum @hemsireyizbiz #SağlıkcıİsBırakıyor https://t.co/WDKMbB2RnE</t>
  </si>
  <si>
    <t>1466481756002033666</t>
  </si>
  <si>
    <t>@drfahrettinkoca @RTErdogan @SaglikciBirligi @SaglTum @hemsireyizbiz #SağlıkcıİsBırakıyor https://t.co/LapPk8fi3D</t>
  </si>
  <si>
    <t>1466481695314558980</t>
  </si>
  <si>
    <t>@drfahrettinkoca @RTErdogan @SaglikciBirligi @SaglTum @hemsireyizbiz #SağlıkcıİsBırakıyor https://t.co/F1ZcGErlLX</t>
  </si>
  <si>
    <t>1466481516578590720</t>
  </si>
  <si>
    <t>@drfahrettinkoca @RTErdogan @SaglikciBirligi @SaglTum @hemsireyizbiz #SağlıkcıİsBırakıyor https://t.co/Ur9yuftbZf</t>
  </si>
  <si>
    <t>1466481123458965509</t>
  </si>
  <si>
    <t>@drfahrettinkoca @RTErdogan @SaglikciBirligi @SaglTum @hemsireyizbiz #SağlıkcıİsBırakıyor https://t.co/CogNo04B4o</t>
  </si>
  <si>
    <t>1466481056798945288</t>
  </si>
  <si>
    <t>@drfahrettinkoca @RTErdogan @SaglikciBirligi @SaglTum @hemsireyizbiz #SağlıkcıİsBırakıyor https://t.co/19K9EZnkho</t>
  </si>
  <si>
    <t>1466480653424381968</t>
  </si>
  <si>
    <t>@drfahrettinkoca @RTErdogan @SaglikciBirligi @SaglTum @hemsireyizbiz #SağlıkcıİsBırakıyor https://t.co/hbPnXNIUO0</t>
  </si>
  <si>
    <t>1466480530917146633</t>
  </si>
  <si>
    <t>@drfahrettinkoca @RTErdogan @SaglikciBirligi @SaglTum @hemsireyizbiz #SağlıkcıİsBırakıyor https://t.co/JWXY6wvJlx</t>
  </si>
  <si>
    <t>1466480469592190983</t>
  </si>
  <si>
    <t>@drfahrettinkoca @RTErdogan @SaglikciBirligi @SaglTum @hemsireyizbiz #SağlıkcıİsBırakıyor https://t.co/QDYdmKXvxX</t>
  </si>
  <si>
    <t>1466480386347835394</t>
  </si>
  <si>
    <t>@drfahrettinkoca @RTErdogan @SaglikciBirligi @SaglTum @hemsireyizbiz #SağlıkcıİsBırakıyor https://t.co/LJLbRD8gk5</t>
  </si>
  <si>
    <t>1466480336729223170</t>
  </si>
  <si>
    <t>@drfahrettinkoca @RTErdogan @SaglikciBirligi @SaglTum @hemsireyizbiz #SağlıkcıİsBırakıyor https://t.co/etpeJIHK4w</t>
  </si>
  <si>
    <t>1466480210598113290</t>
  </si>
  <si>
    <t>@drfahrettinkoca @RTErdogan @SaglikciBirligi @SaglTum @hemsireyizbiz #SağlıkcıİsBırakıyor https://t.co/SuMBhJLRuJ</t>
  </si>
  <si>
    <t>1466480178322935814</t>
  </si>
  <si>
    <t>@drfahrettinkoca @RTErdogan @SaglikciBirligi @SaglTum @hemsireyizbiz #SağlıkcıİsBırakıyor https://t.co/QZydSbnQGf</t>
  </si>
  <si>
    <t>1466480102175383555</t>
  </si>
  <si>
    <t>@drfahrettinkoca @RTErdogan @SaglikciBirligi @SaglTum @hemsireyizbiz #SağlıkcıİsBırakıyor https://t.co/HcikEuUnZN</t>
  </si>
  <si>
    <t>1466480024379432967</t>
  </si>
  <si>
    <t>@drfahrettinkoca @RTErdogan @SaglikciBirligi @SaglTum @hemsireyizbiz #SağlıkcıİsBırakıyor https://t.co/dsIsJfMA8H</t>
  </si>
  <si>
    <t>1466479980922167313</t>
  </si>
  <si>
    <t>@drfahrettinkoca #rtesağlığakılavuznerede</t>
  </si>
  <si>
    <t>1466479407606939661</t>
  </si>
  <si>
    <t>@drfahrettinkoca #YanındayızEnsar</t>
  </si>
  <si>
    <t>1466479149619589121</t>
  </si>
  <si>
    <t>@drfahrettinkoca Sağlık çalışanları derken sadece doktorlarımı dikkate alıyorsunuz o hemşirelerin canı çıkıyor, ist… https://t.co/VAr3q9clmE</t>
  </si>
  <si>
    <t>1466477655864266758</t>
  </si>
  <si>
    <t>@drfahrettinkoca @saglikbakanligi #SağlıkçıİşBırakıyor https://t.co/vlBN6uVBCj</t>
  </si>
  <si>
    <t>1466477444416815112</t>
  </si>
  <si>
    <t>@drfahrettinkoca https://t.co/MFDzzOdYbb</t>
  </si>
  <si>
    <t>1466477346521817088</t>
  </si>
  <si>
    <t>@drfahrettinkoca @RTErdogan @SaglikciBirligi @SaglTum @hemsireyizbiz #SağlıkcıİsBırakıyor  işiniz gücünüz boş vaad https://t.co/kBKImjJoZf</t>
  </si>
  <si>
    <t>1466477046662672386</t>
  </si>
  <si>
    <t>@drfahrettinkoca @RTErdogan @SaglikciBirligi @SaglTum @hemsireyizbiz #SağlıkcıİsBırakıyor  😅😅 https://t.co/Li7B6QYV3L</t>
  </si>
  <si>
    <t>1466476641199214594</t>
  </si>
  <si>
    <t>@drfahrettinkoca bakanım doktorlar tamam tabiiki hakediyorlar ama orantı gözçnünde tutulup hemşire ve sağlık hizmet… https://t.co/94PaMHhZAp</t>
  </si>
  <si>
    <t>1466476484609167362</t>
  </si>
  <si>
    <t>@drfahrettinkoca Fazlasını Değil Hakkımızı Aradığımızdan #SağlıkçıİşBırakıyor https://t.co/QFYOh6TdQc</t>
  </si>
  <si>
    <t>1466476398600720385</t>
  </si>
  <si>
    <t>@drfahrettinkoca @RTErdogan https://t.co/bXx5z7wu0O</t>
  </si>
  <si>
    <t>1466475833967718400</t>
  </si>
  <si>
    <t>@drfahrettinkoca @RTErdogan @SaglikciBirligi @SaglTum @hemsireyizbiz #SağlıkcıİsBırakıyor  Hiç inanmadım zaten https://t.co/IQmjUsWF8W</t>
  </si>
  <si>
    <t>1466475618086830080</t>
  </si>
  <si>
    <t>@drfahrettinkoca @RTErdogan @SaglikciBirligi @SaglTum @hemsireyizbiz #SağlıkcıİsBırakıyor 👏👏👏👏👏 https://t.co/7MXPz6XHY9</t>
  </si>
  <si>
    <t>1466475182323900421</t>
  </si>
  <si>
    <t>@drfahrettinkoca @RTErdogan @SaglikciBirligi @SaglTum @hemsireyizbiz #SağlıkcıİsBırakıyor  Amerika https://t.co/Qg4MrURkQx</t>
  </si>
  <si>
    <t>1466474082287996939</t>
  </si>
  <si>
    <t>@drfahrettinkoca @RTErdogan @SaglikciBirligi @SaglTum @hemsireyizbiz #SağlıkcıİsBırakıyor  Fotoğrafa iyi bakın. https://t.co/CdhotHg5Be</t>
  </si>
  <si>
    <t>1466473652006891525</t>
  </si>
  <si>
    <t>@drfahrettinkoca @RTErdogan @SaglikciBirligi @SaglTum @hemsireyizbiz #SağlıkcıİsBırakıyor  Evet başvurular yapıldı,… https://t.co/jYYVSUuv77</t>
  </si>
  <si>
    <t>1466473328663801857</t>
  </si>
  <si>
    <t>@drfahrettinkoca ben sizin yerinize bir vatandaş olarak bir sağlıkçı olarak yerin dibine girdim bu kaçıncı level ar… https://t.co/5ZOWovMROd</t>
  </si>
  <si>
    <t>1466473286553022467</t>
  </si>
  <si>
    <t>@drfahrettinkoca  Size diyoruz kulak verin lütfen. https://t.co/bLJKddyn0W</t>
  </si>
  <si>
    <t>1466473258195337223</t>
  </si>
  <si>
    <t>@drfahrettinkoca  @RTErdogan @meral_aksener https://t.co/9nmmbZI5BV</t>
  </si>
  <si>
    <t>1466473238947639298</t>
  </si>
  <si>
    <t>@drfahrettinkoca sağlık bakanımız saglikciları yılda bir kez hatırlar. Fizyoterapistler günü, hemşireler günü, ebel… https://t.co/xE9zN18dKt</t>
  </si>
  <si>
    <t>1466473113839976459</t>
  </si>
  <si>
    <t>@drfahrettinkoca @RTErdogan @SaglikciBirligi @SaglTum @hemsireyizbiz #SağlıkcıİsBırakıyor  Herkes sıcak evinde pand… https://t.co/zk109KjPLm</t>
  </si>
  <si>
    <t>1466472881840398337</t>
  </si>
  <si>
    <t>@drfahrettinkoca @tcbestepe @RTEdijital @dbdevletbahceli https://t.co/j73zy64O16</t>
  </si>
  <si>
    <t>1466472083559530500</t>
  </si>
  <si>
    <t>@drfahrettinkoca veya @mehmetceyhan23 şunun izahını yapın Allah için, ama bilimsel ama filimsel. #Aralık… https://t.co/qYz8odcqUH</t>
  </si>
  <si>
    <t>1466471683926245381</t>
  </si>
  <si>
    <t>@drfahrettinkoca @RTErdogan @SaglikciBirligi @SaglTum @hemsireyizbiz #SağlıkcıİsBırakıyor  Sağlık çalışanı kırgın https://t.co/YPqoOCuOs8</t>
  </si>
  <si>
    <t>1466471432007917573</t>
  </si>
  <si>
    <t>@drfahrettinkoca @RTErdogan https://t.co/046kafIi1u</t>
  </si>
  <si>
    <t>1466471412810629121</t>
  </si>
  <si>
    <t>@drfahrettinkoca bu gidişle ya biz bu işi bırakacağız ya siz #SağlıkçıİşBırakıyor</t>
  </si>
  <si>
    <t>1466471224150745101</t>
  </si>
  <si>
    <t>@drfahrettinkoca #SağlıkcıİsBırakıyor https://t.co/mHAr60uIti</t>
  </si>
  <si>
    <t>1466470113150971908</t>
  </si>
  <si>
    <t>@drfahrettinkoca size gore saglikci degiliz madem bizsizde yapabilirsiniz hastanelerde #SağlıkçıİşBırakıyor</t>
  </si>
  <si>
    <t>1466468631076917250</t>
  </si>
  <si>
    <t>@drfahrettinkoca @RTErdogan @SaglikciBirligi @SaglTum @hemsireyizbiz #SağlıkcıİsBırakıyor  Doktorlar ve diğerleri d… https://t.co/yU93t0okJy</t>
  </si>
  <si>
    <t>1466468032012771332</t>
  </si>
  <si>
    <t>@drfahrettinkoca https://t.co/XMYC392qYh</t>
  </si>
  <si>
    <t>1466467918510755842</t>
  </si>
  <si>
    <t>@drfahrettinkoca @RTErdogan @SaglikciBirligi @SaglTum @hemsireyizbiz #SağlıkcıİsBırakıyor   Sayıya takılmayın iyi g… https://t.co/UQ1SPAX5J5</t>
  </si>
  <si>
    <t>1466467728802340871</t>
  </si>
  <si>
    <t>@drfahrettinkoca @RTErdogan Hakkınız ödenmez lafı artık eskidi.. Kimse bedava ekmek vermiyor, kendi doymadan başkas… https://t.co/BpoERxdfBK</t>
  </si>
  <si>
    <t>1466467338451050499</t>
  </si>
  <si>
    <t>@drfahrettinkoca @RTErdogan @SaglikciBirligi @SaglTum @hemsireyizbiz #SağlıkcıİsBırakıyor  Konya https://t.co/fPFu97Ev5b</t>
  </si>
  <si>
    <t>1466466624530178060</t>
  </si>
  <si>
    <t>@drfahrettinkoca #SağlıkcıİsBırakıyor https://t.co/aRT5JxQKLa</t>
  </si>
  <si>
    <t>1466466265917186062</t>
  </si>
  <si>
    <t>@drfahrettinkoca @turksagliksengm #SağlıkçıİşBırakıyor</t>
  </si>
  <si>
    <t>1466466209034129420</t>
  </si>
  <si>
    <t>@drfahrettinkoca @RTErdogan @SaglikciBirligi @SaglTum @hemsireyizbiz #SağlıkcıİsBırakıyor  Neden sayı çok yavaş gid… https://t.co/azaXfRLZ28</t>
  </si>
  <si>
    <t>1466466046416719881</t>
  </si>
  <si>
    <t>@drfahrettinkoca @saglikbakanligi Anlık olarak biz 😅 https://t.co/THXMxHR033</t>
  </si>
  <si>
    <t>1466466038007140356</t>
  </si>
  <si>
    <t>@drfahrettinkoca #süleymanyalçınhastenesi #farukolgunöz https://t.co/cgkvXXSk8W</t>
  </si>
  <si>
    <t>1466465991412572162</t>
  </si>
  <si>
    <t>@drfahrettinkoca @RTErdogan @SaglikciBirligi @SaglTum @hemsireyizbiz #SağlıkcıİsBırakıyor   Bakanın Yoksa burda hak ararsın</t>
  </si>
  <si>
    <t>1466465792661364744</t>
  </si>
  <si>
    <t>@drfahrettinkoca @RTErdogan @SaglikciBirligi @SaglTum @hemsireyizbiz #SağlıkcıİsBırakıyor  Mesleğini yaparken covit… https://t.co/j9torl1Vrz</t>
  </si>
  <si>
    <t>1466465660616253450</t>
  </si>
  <si>
    <t>@drfahrettinkoca @RTErdogan @SaglikciBirligi @SaglTum @hemsireyizbiz #SağlıkcıİsBırakıyor  Sağlık çalışanı tek yürek</t>
  </si>
  <si>
    <t>1466465466021556230</t>
  </si>
  <si>
    <t>@drfahrettinkoca @RTErdogan @SaglikciBirligi @SaglTum @hemsireyizbiz #SağlıkcıİsBırakıyor  Mesai bitmez bizde,bu ha… https://t.co/XirfqTWGuE</t>
  </si>
  <si>
    <t>1466465337000566787</t>
  </si>
  <si>
    <t>@drfahrettinkoca Sağlık çalışanları sadece doktorlar değildir..!lütfen artık tüm Sağlık çalışanları eşit olsun...un… https://t.co/pc4N1nfmuZ</t>
  </si>
  <si>
    <t>1466464900046282757</t>
  </si>
  <si>
    <t>@drfahrettinkoca @RTErdogan #SağlıkçıİşBırakıyor https://t.co/VSBo3qvgRL</t>
  </si>
  <si>
    <t>1466464864877096965</t>
  </si>
  <si>
    <t>@drfahrettinkoca @saglikbakanligi #SağlıkcınınOyuYok #SağlıkcıİsBırakıyor #Doktorbakanlığı https://t.co/mfGfVonYL3</t>
  </si>
  <si>
    <t>1466464805783584770</t>
  </si>
  <si>
    <t>@drfahrettinkoca https://t.co/KVR2DpUPPp</t>
  </si>
  <si>
    <t>1466464566980890627</t>
  </si>
  <si>
    <t>@drfahrettinkoca @RTErdogan @SaglikciBirligi @SaglTum @hemsireyizbiz #SağlıkcıİsBırakıyor https://t.co/3uUiRlTImv</t>
  </si>
  <si>
    <t>1466464344846258191</t>
  </si>
  <si>
    <t>@drfahrettinkoca @RTErdogan @SaglikciBirligi @SaglTum @hemsireyizbiz #SağlıkcıİsBırakıyor https://t.co/rLoi0nL98Q</t>
  </si>
  <si>
    <t>1466464309157019652</t>
  </si>
  <si>
    <t>@drfahrettinkoca @RTErdogan @SaglikciBirligi @SaglTum @hemsireyizbiz #SağlıkcıİsBırakıyor https://t.co/fuyO9a2Sjz</t>
  </si>
  <si>
    <t>1466464260947652623</t>
  </si>
  <si>
    <t>@drfahrettinkoca @RTErdogan @SaglikciBirligi @SaglTum @hemsireyizbiz #SağlıkcıİsBırakıyor https://t.co/Ga5YgukdLs</t>
  </si>
  <si>
    <t>1466463973746876418</t>
  </si>
  <si>
    <t>@drfahrettinkoca @RTErdogan @SaglikciBirligi @SaglTum @hemsireyizbiz #SağlıkcıİsBırakıyor https://t.co/kPPs0CkOJ4</t>
  </si>
  <si>
    <t>1466463944508379142</t>
  </si>
  <si>
    <t>@drfahrettinkoca @RTErdogan @SaglikciBirligi @SaglTum @hemsireyizbiz #SağlıkcıİsBırakıyor https://t.co/WytMTdC8QI</t>
  </si>
  <si>
    <t>1466463913864830984</t>
  </si>
  <si>
    <t>@drfahrettinkoca @RTErdogan @SaglikciBirligi @SaglTum @hemsireyizbiz #SağlıkcıİsBırakıyor https://t.co/MDf6dQkd2U</t>
  </si>
  <si>
    <t>1466463886899658764</t>
  </si>
  <si>
    <t>@drfahrettinkoca @RTErdogan @SaglikciBirligi @SaglTum @hemsireyizbiz #SağlıkcıİsBırakıyor https://t.co/YQEXXQx51N</t>
  </si>
  <si>
    <t>1466463856587333641</t>
  </si>
  <si>
    <t>@drfahrettinkoca @RTErdogan @SaglikciBirligi @SaglTum @hemsireyizbiz #SağlıkcıİsBırakıyor https://t.co/AonouEXKfa</t>
  </si>
  <si>
    <t>1466463809980223496</t>
  </si>
  <si>
    <t>@drfahrettinkoca #Nilayıdoktoryapın https://t.co/ATwXc32yZc</t>
  </si>
  <si>
    <t>1466463768150482957</t>
  </si>
  <si>
    <t>@drfahrettinkoca @RTErdogan @SaglikciBirligi @SaglTum @hemsireyizbiz #SağlıkcıİsBırakıyor https://t.co/ogRz5DZhrT</t>
  </si>
  <si>
    <t>1466463764010749960</t>
  </si>
  <si>
    <t>@drfahrettinkoca @RTErdogan @SaglikciBirligi @SaglTum @hemsireyizbiz #SağlıkcıİsBırakıyor https://t.co/4IFdnng8DH</t>
  </si>
  <si>
    <t>1466463717336489984</t>
  </si>
  <si>
    <t>@drfahrettinkoca @RTErdogan @SaglikciBirligi @SaglTum @hemsireyizbiz #SağlıkcıİsBırakıyor https://t.co/hfiWPwTyBC</t>
  </si>
  <si>
    <t>1466463670628753414</t>
  </si>
  <si>
    <t>@drfahrettinkoca @RTErdogan @SaglikciBirligi @SaglTum @hemsireyizbiz #SağlıkcıİsBırakıyor https://t.co/V7elN6VRyi</t>
  </si>
  <si>
    <t>1466463492106555397</t>
  </si>
  <si>
    <t>@drfahrettinkoca @RTErdogan @SaglikciBirligi @SaglTum @hemsireyizbiz #SağlıkcıİsBırakıyor https://t.co/wXX9TQSfiy</t>
  </si>
  <si>
    <t>1466463459751649284</t>
  </si>
  <si>
    <t>1466463156277022723</t>
  </si>
  <si>
    <t>@drfahrettinkoca sayın bakanım cezaevinde fetöden dolayı hükümlü olan emniyet müdürüne fetöcü deyip hakaret ettiğim… https://t.co/7b2o2zVJn8</t>
  </si>
  <si>
    <t>1469449204342927363</t>
  </si>
  <si>
    <t>@drfahrettinkoca https://t.co/Bjs894deQO</t>
  </si>
  <si>
    <t>1469436364554973184</t>
  </si>
  <si>
    <t>@drfahrettinkoca sizin amaciniz nedir? İş barişi diye birşey kalmamiş, bilerekmi yapiyorsunuz? #SağlıkçıMaaşı10bintl</t>
  </si>
  <si>
    <t>1469433902225936388</t>
  </si>
  <si>
    <t>@drfahrettinkoca @RTErdogan özel sektör çalışanlarına dayatılan pcr testi zorunluluğu da son bulsun... https://t.co/OH6r6GfE9v</t>
  </si>
  <si>
    <t>1469423987457470469</t>
  </si>
  <si>
    <t>@drfahrettinkoca @NureddinNebati https://t.co/HQ3jTHbGg0</t>
  </si>
  <si>
    <t>1469411042547675139</t>
  </si>
  <si>
    <t>@drfahrettinkoca saglık çalışanları pandemide çok yoruldu maaşları enflasyona yenik düştü maaşlara 1500 tl seyyanen… https://t.co/WtqW8s7sbk</t>
  </si>
  <si>
    <t>1469409295041241100</t>
  </si>
  <si>
    <t>@drfahrettinkoca bu ekonomik krizin en büyük nedeni sensin kasada para bırakmadın yaooo ...</t>
  </si>
  <si>
    <t>1469407881070002184</t>
  </si>
  <si>
    <t>@drfahrettinkoca size diyor Bakanım!!! https://t.co/Yk54XAa0x4</t>
  </si>
  <si>
    <t>1469406498572976130</t>
  </si>
  <si>
    <t>@drfahrettinkoca https://t.co/cZI7SwKLAj</t>
  </si>
  <si>
    <t>1469404846214332416</t>
  </si>
  <si>
    <t>@drfahrettinkoca @saglikbakanligi @acilafetgovtr @kilicdarogluk @gozdekirisciogl @RTErdogan @halileldemir… https://t.co/P1qgnwl4WU</t>
  </si>
  <si>
    <t>1469403523037159429</t>
  </si>
  <si>
    <t>@drfahrettinkoca @saglikbakanligi @acilafetgovtr @kilicdarogluk @gozdekirisciogl @RTErdogan @halileldemir… https://t.co/BWIeTBKzka</t>
  </si>
  <si>
    <t>1469403521565011977</t>
  </si>
  <si>
    <t>@drfahrettinkoca @saglikbakanligi @acilafetgovtr @kilicdarogluk @gozdekirisciogl @RTErdogan @halileldemir… https://t.co/RK27MmNfa2</t>
  </si>
  <si>
    <t>1469403519937560579</t>
  </si>
  <si>
    <t>@drfahrettinkoca @saglikbakanligi @acilafetgovtr @kilicdarogluk @gozdekirisciogl @RTErdogan @halileldemir… https://t.co/rwe6SdX90f</t>
  </si>
  <si>
    <t>1469403514401079301</t>
  </si>
  <si>
    <t>@drfahrettinkoca @saglikbakanligi @acilafetgovtr @kilicdarogluk @gozdekirisciogl @RTErdogan @halileldemir… https://t.co/6JhHdDphpR</t>
  </si>
  <si>
    <t>1469403511364407297</t>
  </si>
  <si>
    <t>@drfahrettinkoca @saglikbakanligi @acilafetgovtr @kilicdarogluk @gozdekirisciogl @RTErdogan @halileldemir… https://t.co/hNH4z9buwh</t>
  </si>
  <si>
    <t>1469401996490903558</t>
  </si>
  <si>
    <t>@drfahrettinkoca @saglikbakanligi @acilafetgovtr @kilicdarogluk @gozdekirisciogl @RTErdogan @halileldemir… https://t.co/izh3TrtDtf</t>
  </si>
  <si>
    <t>1469401994997731339</t>
  </si>
  <si>
    <t>@drfahrettinkoca @saglikbakanligi @acilafetgovtr @kilicdarogluk @gozdekirisciogl @RTErdogan @halileldemir… https://t.co/1a3zBWqcaY</t>
  </si>
  <si>
    <t>1469401993424814087</t>
  </si>
  <si>
    <t>@drfahrettinkoca @saglikbakanligi @acilafetgovtr @kilicdarogluk @gozdekirisciogl @RTErdogan @halileldemir… https://t.co/1Q5wh6nRal</t>
  </si>
  <si>
    <t>1469401991763963909</t>
  </si>
  <si>
    <t>@drfahrettinkoca @saglikbakanligi @acilafetgovtr @kilicdarogluk @gozdekirisciogl @RTErdogan @halileldemir… https://t.co/4FmhlVxJzn</t>
  </si>
  <si>
    <t>1469401988215496705</t>
  </si>
  <si>
    <t>@drfahrettinkoca @RTErdogan @saglikbakanligi @acilafetgovtr @gozdekirisciogl @kilicdarogluk #FKocaHaftaAyYılOlduYeter</t>
  </si>
  <si>
    <t>1469401833147928582</t>
  </si>
  <si>
    <t>1469401831520538639</t>
  </si>
  <si>
    <t>1469401830190989316</t>
  </si>
  <si>
    <t>1469401828840333317</t>
  </si>
  <si>
    <t>1469401825610813453</t>
  </si>
  <si>
    <t>@drfahrettinkoca @halileldemir @RTErdogan @saglikbakanligi @acilafetgovtr @gozdekirisciogl #FKocaHaftaAyYılOlduYeter https://t.co/q3n2B2lI3M</t>
  </si>
  <si>
    <t>1469400453913980928</t>
  </si>
  <si>
    <t>@drfahrettinkoca @halileldemir @RTErdogan @saglikbakanligi @acilafetgovtr @gozdekirisciogl #FKocaHaftaAyYılOlduYeter https://t.co/KlEDTqRHqy</t>
  </si>
  <si>
    <t>1469400452131442695</t>
  </si>
  <si>
    <t>@drfahrettinkoca @halileldemir @RTErdogan @saglikbakanligi @acilafetgovtr @gozdekirisciogl #FKocaHaftaAyYılOlduYeter https://t.co/99JPlory4x</t>
  </si>
  <si>
    <t>1469400450596323338</t>
  </si>
  <si>
    <t>@drfahrettinkoca @halileldemir @RTErdogan @saglikbakanligi @acilafetgovtr @gozdekirisciogl #FKocaHaftaAyYılOlduYeter https://t.co/8pdEZXH8y1</t>
  </si>
  <si>
    <t>1469400448939474945</t>
  </si>
  <si>
    <t>@drfahrettinkoca @halileldemir @RTErdogan @saglikbakanligi @acilafetgovtr @gozdekirisciogl #FKocaHaftaAyYılOlduYeter https://t.co/mm9U5MmYXV</t>
  </si>
  <si>
    <t>1469400445525409804</t>
  </si>
  <si>
    <t>@drfahrettinkoca @saglikbakanligi @acilafetgovtr @kilicdarogluk @gozdekirisciogl @RTErdogan @halileldemir… https://t.co/xBVz5bdSIU</t>
  </si>
  <si>
    <t>1469399398366986247</t>
  </si>
  <si>
    <t>@drfahrettinkoca @saglikbakanligi @acilafetgovtr @kilicdarogluk @gozdekirisciogl @RTErdogan @halileldemir… https://t.co/A4P30Yp6j8</t>
  </si>
  <si>
    <t>1469399396970336268</t>
  </si>
  <si>
    <t>@drfahrettinkoca @saglikbakanligi @acilafetgovtr @kilicdarogluk @gozdekirisciogl @RTErdogan @halileldemir… https://t.co/k3kK9K2EMv</t>
  </si>
  <si>
    <t>1469399395464622087</t>
  </si>
  <si>
    <t>@drfahrettinkoca @saglikbakanligi @acilafetgovtr @kilicdarogluk @gozdekirisciogl @RTErdogan @halileldemir… https://t.co/YVvH6k0x8S</t>
  </si>
  <si>
    <t>1469399394072027140</t>
  </si>
  <si>
    <t>@drfahrettinkoca @saglikbakanligi @acilafetgovtr @kilicdarogluk @gozdekirisciogl @RTErdogan @halileldemir… https://t.co/HW8d9a6tK7</t>
  </si>
  <si>
    <t>1469399390917959682</t>
  </si>
  <si>
    <t>@drfahrettinkoca  ASGARİ ÜCRET 4000 olacak DAHA FAZLASI DA OLMALI BU ŞARTLARDA AMA BU ÜLKENİN HEKİMLERİ 4500 NET MA… https://t.co/k8wxNcsPlG</t>
  </si>
  <si>
    <t>1469395340856070151</t>
  </si>
  <si>
    <t>@drfahrettinkoca  @saglikbakanligi  Bizleri yok saydığınız gibi, böylesine bir kazayı da görmezlikten gelmeyi mi te… https://t.co/XBp4Rky9xv</t>
  </si>
  <si>
    <t>1469394792098447361</t>
  </si>
  <si>
    <t>@drfahrettinkoca @TC_icisleri @icesur @suleymansoylu @ibrahimkaragul @elonue @zafersahin06 @muhteremince… https://t.co/mpDivEWeUI</t>
  </si>
  <si>
    <t>1469393279036895241</t>
  </si>
  <si>
    <t>@drfahrettinkoca @RTErdogan @mehmetceyhan23 @DrZekiBay @bengibaser @serapsimsekyvz @tcmeb @saglikbakanligi… https://t.co/zMwnWfPejB</t>
  </si>
  <si>
    <t>1469390532329758720</t>
  </si>
  <si>
    <t>@drfahrettinkoca @ProfDrErsanSen #hekimlerisbırakacak https://t.co/pLGHBnrxQv</t>
  </si>
  <si>
    <t>1469389589047558159</t>
  </si>
  <si>
    <t>@drfahrettinkoca bakanım paralel kararlar alınmış sanki https://t.co/Dzxhg26nec</t>
  </si>
  <si>
    <t>1469389466590711811</t>
  </si>
  <si>
    <t>@drfahrettinkoca gerçekleri görün artık, her gün sınıflarımızdan pozitif öğrenci haberi alıyoruz   #kabineuzaktaneğitimşart</t>
  </si>
  <si>
    <t>1469388855438725128</t>
  </si>
  <si>
    <t>@drfahrettinkoca @FOXhaber https://t.co/PyxPPUrKak</t>
  </si>
  <si>
    <t>1469387616537694210</t>
  </si>
  <si>
    <t>@drfahrettinkoca @kilicdarogluk @meral_aksener @ativittta #hekimlerisbırakacak https://t.co/zvROxoAZbD</t>
  </si>
  <si>
    <t>1469384513742594058</t>
  </si>
  <si>
    <t>@drfahrettinkoca @RTErdogan @sagliksen https://t.co/ZtlRMzOPxh</t>
  </si>
  <si>
    <t>1469383480354217993</t>
  </si>
  <si>
    <t>@drfahrettinkoca https://t.co/XadY8QWxLR</t>
  </si>
  <si>
    <t>1469382059126837250</t>
  </si>
  <si>
    <t>@drfahrettinkoca Kemalpaşa’da yaşıyorum. Önceki gün komşumun iki kez aldığı göz muayene randevusu  iptal edildi. Me… https://t.co/27gOVOtnUb</t>
  </si>
  <si>
    <t>1469381594087661581</t>
  </si>
  <si>
    <t>@drfahrettinkoca  hocam hpn Hastanesi'nde yeşil alan Dr lari resmen ağır çekim çalışıyorlar.insanlar inliyor umurlarinda degil</t>
  </si>
  <si>
    <t>1469380936273956870</t>
  </si>
  <si>
    <t>@drfahrettinkoca hekimler yoksul, yorgun ve saygınlığını yitirdi. #hekimlerişbırakacak</t>
  </si>
  <si>
    <t>1469380260986859533</t>
  </si>
  <si>
    <t>@drfahrettinkoca  gerekçeleri ne? Pandemi mi bitti? 5/11 yaş aşılandı mı? Ki aşılansa bile bulaş oluyor? Mantık ne? https://t.co/oCjZBMIDKr</t>
  </si>
  <si>
    <t>1469379676464467974</t>
  </si>
  <si>
    <t>1469378986488836098</t>
  </si>
  <si>
    <t>@drfahrettinkoca @saglikbakanligi @mudriyebicakci @nurper1 @cgdayanisma @SaCoGeHak #40BinAlımda250CocukGelisimci</t>
  </si>
  <si>
    <t>1469374062862426116</t>
  </si>
  <si>
    <t>@drfahrettinkoca https://t.co/5Wpezss7cd</t>
  </si>
  <si>
    <t>1469373519058423817</t>
  </si>
  <si>
    <t>@drfahrettinkoca  @BilimKurulu_ https://t.co/ChXKq4zA2M</t>
  </si>
  <si>
    <t>1469369499237466116</t>
  </si>
  <si>
    <t>@drfahrettinkoca  @RTErdogan  @suleymansoylu  @adalet_bakanlik https://t.co/B6IAig9OUh</t>
  </si>
  <si>
    <t>1469369313639514116</t>
  </si>
  <si>
    <t>@drfahrettinkoca @saglikbakanligi  Aşı olun diye rica ediyorsunuz, 33 km yol gitgel 66km yol yapıp aşımızı olmaya g… https://t.co/QqQcuPzOhl</t>
  </si>
  <si>
    <t>1469367913522077699</t>
  </si>
  <si>
    <t>@drfahrettinkoca  ben masa başında oturan olmayan iş uydurulan o torpillilerinizden olmak istiyorum @Hekimsensndk… https://t.co/4snDKWDiUP</t>
  </si>
  <si>
    <t>1469365148141895680</t>
  </si>
  <si>
    <t>@drfahrettinkoca sayın bakan, sağlıkta şiddet haberi daha! Sizler şiddet yasasını revize etmediğiniz, bizleri korum… https://t.co/gpgQMhMmmk</t>
  </si>
  <si>
    <t>1469364254629314565</t>
  </si>
  <si>
    <t>@drfahrettinkoca sektöre göre para ödemek ne demek. Plağı, vidayı, çiviyi çakmadan önce  Hastayı uyutmanız lazım..… https://t.co/ygMQNQs1Hx</t>
  </si>
  <si>
    <t>1469364135582474247</t>
  </si>
  <si>
    <t>@drfahrettinkoca @RTErdogan @mehmetceyhan23 @DrZekiBay @bengibaser @serapsimsekyvz @tcmeb @saglikbakanligi… https://t.co/0VA24t4zSI</t>
  </si>
  <si>
    <t>1469362792570535951</t>
  </si>
  <si>
    <t>@drfahrettinkoca #hekimlerişbırakacak</t>
  </si>
  <si>
    <t>1469361931903508481</t>
  </si>
  <si>
    <t>@drfahrettinkoca Sayın Bakanım 2sinovak bir biontek aşı olduk son aşı yı olalı 5 ay oldu 2.biontek aşıyı olmalımıyı… https://t.co/3dYhKGudXs</t>
  </si>
  <si>
    <t>1469361444131164171</t>
  </si>
  <si>
    <t>@drfahrettinkoca https://t.co/jFKMxWH9kf</t>
  </si>
  <si>
    <t>1469360104709439494</t>
  </si>
  <si>
    <t>@drfahrettinkoca #FKocaHaftaAyYılOlduYeter</t>
  </si>
  <si>
    <t>1469359647119261699</t>
  </si>
  <si>
    <t>@drfahrettinkoca niye bu kadar bekletilmek niye</t>
  </si>
  <si>
    <t>1469359625875169284</t>
  </si>
  <si>
    <t>@drfahrettinkoca @saglikbakanligi @FOXhaber @Haberturk @fatihaltayli @fatihportakal #hekimlerişbırakacak https://t.co/NAd0Re9CSi</t>
  </si>
  <si>
    <t>1469359340800851969</t>
  </si>
  <si>
    <t>@drfahrettinkoca #hekimlerişbırakıyor https://t.co/QzniE9o6Lm</t>
  </si>
  <si>
    <t>1469358988496150528</t>
  </si>
  <si>
    <t>@drfahrettinkoca Cüneyt bey bunu kaç yıl önce söylemiş tüm hikaye buraya bağlanacak salgını hikayesinin amacı Cüney… https://t.co/xn3tQCfHRK</t>
  </si>
  <si>
    <t>1469357826153889792</t>
  </si>
  <si>
    <t>@drfahrettinkoca bizim bilim kurulu ne diyor? @BilimKurulu_ https://t.co/WdG6SpCNNg</t>
  </si>
  <si>
    <t>1469357596524134404</t>
  </si>
  <si>
    <t>@drfahrettinkoca sayın bakanım artık sesimizi duyun, bizler bu bölüme emek veren çocuk gelişimi sağlık lisansiyeriy… https://t.co/a66KSCjdb8</t>
  </si>
  <si>
    <t>1469356792878710785</t>
  </si>
  <si>
    <t>@drfahrettinkoca hak ettiklerimizi biliyorsunuz, hakkımızı almazsak #hekimlerişbırakacak</t>
  </si>
  <si>
    <t>1469353792122535946</t>
  </si>
  <si>
    <t>@drfahrettinkoca hakkımız ödenir, ÖDEYİN!!  #hekimlerişbırakacak</t>
  </si>
  <si>
    <t>1469352844801327111</t>
  </si>
  <si>
    <t>@drfahrettinkoca @RTErdogan #pcrzulmüsonbulsun  #TestBahane https://t.co/NzkKgPRDbd</t>
  </si>
  <si>
    <t>1469349229055332360</t>
  </si>
  <si>
    <t>@drfahrettinkoca hekimlerin sorunlarını çözecek mi? Acaba biliyor da ses mi çıkarmıyor. #hekimlerişbırakacak https://t.co/Srkhqs8XsX</t>
  </si>
  <si>
    <t>1469348713504063499</t>
  </si>
  <si>
    <t>@drfahrettinkoca bey farkında olduğunuzu biliyoruz. Ama harekete geçmeniz gerekiyor. #hekimlerişbırakacak</t>
  </si>
  <si>
    <t>1469347230075269122</t>
  </si>
  <si>
    <t>@drfahrettinkoca #kabineomicrongelmedenonline https://t.co/eb7pCH2rjc</t>
  </si>
  <si>
    <t>1469344257131622400</t>
  </si>
  <si>
    <t>@drfahrettinkoca günlerdir tek kelime etmemeniz çok acı ve vahim bi durum. Bizi buna siz zorluyorsunuz #hekimlerişbırakacak</t>
  </si>
  <si>
    <t>1469344207366197254</t>
  </si>
  <si>
    <t>@drfahrettinkoca #hekimlerişbırakacak Artık tükendik! Nasıl anlatsak bilemiyoruz!</t>
  </si>
  <si>
    <t>1469339808472444934</t>
  </si>
  <si>
    <t>@drfahrettinkoca @saglikbakanligi @RTErdogan Şartlar düzeltilmesi ise, 22 Aralık'ta hekimleri memnun edecek düzenle… https://t.co/dGTOMnWA6z</t>
  </si>
  <si>
    <t>1469338818784514055</t>
  </si>
  <si>
    <t>@drfahrettinkoca istifa #hekimlerişbırakacak</t>
  </si>
  <si>
    <t>1469338107573059584</t>
  </si>
  <si>
    <t>@drfahrettinkoca  @DrRecepAkdag   #hekimlerişbırakacak</t>
  </si>
  <si>
    <t>1469337428712427522</t>
  </si>
  <si>
    <t>@drfahrettinkoca @RTErdogan özel sektör çalışanlarına dayatılan pcr testi zorunluluğu da son bulsun https://t.co/U1IworywzY</t>
  </si>
  <si>
    <t>1469336639197659143</t>
  </si>
  <si>
    <t>@drfahrettinkoca  @saglikbakanligi   @adalet_bakanlik   @abdulhamitgul https://t.co/jL6reLyLcc</t>
  </si>
  <si>
    <t>1469332486534705152</t>
  </si>
  <si>
    <t>@drfahrettinkoca @esenol  Bu uyarıyı ciddiye alın Sayın Bakan! https://t.co/acUYmyA04C</t>
  </si>
  <si>
    <t>1469330637328896002</t>
  </si>
  <si>
    <t>@drfahrettinkoca  @vedatbilgn  @MemurSenKonf  @_aliyalcin_ https://t.co/1PJuyBWkTf</t>
  </si>
  <si>
    <t>1469330023626772483</t>
  </si>
  <si>
    <t>@drfahrettinkoca https://t.co/0vMLoLBhkr</t>
  </si>
  <si>
    <t>1469322604729221120</t>
  </si>
  <si>
    <t>@drfahrettinkoca Hilal’in tüm Türkiye’ye bir mesajı var ❤️ https://t.co/OEdn9P5KaS</t>
  </si>
  <si>
    <t>1469312179820236800</t>
  </si>
  <si>
    <t>1469308070035705865</t>
  </si>
  <si>
    <t>@drfahrettinkoca acaba bu ATAMA yı yapmak için neyi bekliyorsunuz?????? Biz de insanız bi hayatımız var bırakında i… https://t.co/xC6SMiXmNC</t>
  </si>
  <si>
    <t>1469305318362521605</t>
  </si>
  <si>
    <t>@drfahrettinkoca https://t.co/IcsOSJFXsN</t>
  </si>
  <si>
    <t>1469303833004322821</t>
  </si>
  <si>
    <t>@drfahrettinkoca  Müslüman sözünde durur. Bilin istedim. #FKocaHaftaAyYılOlduYeter</t>
  </si>
  <si>
    <t>1469300826099306496</t>
  </si>
  <si>
    <t>@drfahrettinkoca Sayın Bakan Vakka Sayıları inanılmaz derecede Yüksek Kapalı Alanlarda yer Bulmak da insanlar zorla… https://t.co/csHFLmrwUo</t>
  </si>
  <si>
    <t>1469295915773173760</t>
  </si>
  <si>
    <t>@drfahrettinkoca Sayın Bakanım, ALLAH rızası için Erzurum' daki kahvehanelerde sigara içilmesinin önlenmesi konusun… https://t.co/6rVofiC5ob</t>
  </si>
  <si>
    <t>1469288780532178945</t>
  </si>
  <si>
    <t>@drfahrettinkoca https://t.co/7VQhDgpdL6</t>
  </si>
  <si>
    <t>1469283307158446082</t>
  </si>
  <si>
    <t>@drfahrettinkoca ve film kurulu buyrun... Dayattığınız sıvıların sadece ilk üç aylık mahvettiği hayatlar... Ha kapa… https://t.co/vhorhsDIM0</t>
  </si>
  <si>
    <t>1469282533649043459</t>
  </si>
  <si>
    <t>@drfahrettinkoca  @_aliyalcin_  işimiz bu iki kişiye kaldıysa Allah yardımcımız olsun https://t.co/9AgWLT5ysm</t>
  </si>
  <si>
    <t>1469278535332372490</t>
  </si>
  <si>
    <t>@drfahrettinkoca Rezalet bir karar.#istemiyoruz #istifa https://t.co/pvD2q6wo1A</t>
  </si>
  <si>
    <t>1469277399875526659</t>
  </si>
  <si>
    <t>1469276378663112704</t>
  </si>
  <si>
    <t>@drfahrettinkoca #FKocaYaKılavuzYaİstifa Ahhh ahhh Fahrettin bey ne hale soltun bizi !! https://t.co/eZjhDh9x0r</t>
  </si>
  <si>
    <t>1469268789204242435</t>
  </si>
  <si>
    <t>@drfahrettinkoca Biontech 3.doz aşıyı 3 aya düşürün lütfen. 6 ayda omicron varyantina karşı etki az olduğu açıklandı.</t>
  </si>
  <si>
    <t>1469268679967887360</t>
  </si>
  <si>
    <t>@drfahrettinkoca @bengibaser @serapsimsekyvz @mehmetceyhan23 @DrZekiBay @secondvirus @H_Ciloglu @aDilipak… https://t.co/Mj4JGL3K15</t>
  </si>
  <si>
    <t>1469261876026646538</t>
  </si>
  <si>
    <t>@drfahrettinkoca Atamayı biz sorduk cevaplamadınız yarın  sıra sizde @barisatay  @sahmetsahmet @eczozgurozel  @kilicdarogluk  @herkesicinCHP</t>
  </si>
  <si>
    <t>1469246690607747077</t>
  </si>
  <si>
    <t>@drfahrettinkoca Sayın bakanım bakanlıkların alımları çakışmakta ve mülakatlı oldukları için kadroların yanma ihtim… https://t.co/AaLEvOsZ0V</t>
  </si>
  <si>
    <t>1469244236042223621</t>
  </si>
  <si>
    <t>@drfahrettinkoca https://t.co/VsdZXUdB8m</t>
  </si>
  <si>
    <t>1469240561211256832</t>
  </si>
  <si>
    <t>@drfahrettinkoca  Neden hastanelerde tıbbi malzeme sıkıntısı devam ediliyor? https://t.co/oAd6xYDLpP</t>
  </si>
  <si>
    <t>1469240394772885508</t>
  </si>
  <si>
    <t>@drfahrettinkoca @Fajarst121 https://t.co/8yz3Rzfqrj</t>
  </si>
  <si>
    <t>1469239903024074753</t>
  </si>
  <si>
    <t>@drfahrettinkoca @saglikbakanligi #SağlıktaSiddeteHayır https://t.co/7MufJKhv2Z</t>
  </si>
  <si>
    <t>1469233736118157312</t>
  </si>
  <si>
    <t>1469232189766348809</t>
  </si>
  <si>
    <t>@drfahrettinkoca https://t.co/ZAhIPdUL7D</t>
  </si>
  <si>
    <t>1469227321072795648</t>
  </si>
  <si>
    <t>@drfahrettinkoca Ülkenin Sağlık Bakanına bakın hele. Bakanım sizde gram utanma kalmamış ben bunu bu videoda çok iyi… https://t.co/LBzoePeBJG</t>
  </si>
  <si>
    <t>1469226847388979200</t>
  </si>
  <si>
    <t>@drfahrettinkoca Aşılarileilgili. Fatiherbakanın. açıklamaları. eksisiile. artısıile. tartışılır🇹🇷</t>
  </si>
  <si>
    <t>1469225780559364098</t>
  </si>
  <si>
    <t>@drfahrettinkoca @saglikbakanligi https://t.co/L9uZu4j5NR</t>
  </si>
  <si>
    <t>1469222057716113410</t>
  </si>
  <si>
    <t>@drfahrettinkoca bu milletin geleceğini mahvettin... Allah ta seni ve bu suvıları zorla dayatan herkesi   kahretsin https://t.co/fhNaDfHCrO</t>
  </si>
  <si>
    <t>1469218157739053057</t>
  </si>
  <si>
    <t>@drfahrettinkoca Balgatta senden önceki bakanlardan biri döneminde Kamu Hastaneleri Genel Sekreterliği Binasında gö… https://t.co/1sIANSTSaM</t>
  </si>
  <si>
    <t>1469218106887262214</t>
  </si>
  <si>
    <t>@drfahrettinkoca https://t.co/nWYTVT0x4z</t>
  </si>
  <si>
    <t>1469216959212441600</t>
  </si>
  <si>
    <t>@drfahrettinkoca  Bakanım bugün tesadüfen enabıza girdim 3.doz aşı sıram gelmiş. Bu mesajla bildirilemez mi? İyi günler.</t>
  </si>
  <si>
    <t>1469207589707821057</t>
  </si>
  <si>
    <t>@drfahrettinkoca Yeter artık aylardır randevu almaya çalışıyorum. Hastanelerde kuyrukları kaldırdık derken bütün hi… https://t.co/avpJ7ycJx5</t>
  </si>
  <si>
    <t>1469195050403905536</t>
  </si>
  <si>
    <t>@drfahrettinkoca https://t.co/HUge512pqA</t>
  </si>
  <si>
    <t>1469192487398957056</t>
  </si>
  <si>
    <t>@drfahrettinkoca @engelsizbestepe https://t.co/J0rq9JSKlm</t>
  </si>
  <si>
    <t>1469191860606414849</t>
  </si>
  <si>
    <t>@drfahrettinkoca  çocuğun durumu nedir bir açıklama yapsa https://t.co/NA9NbkiFIG</t>
  </si>
  <si>
    <t>1465815743250026497</t>
  </si>
  <si>
    <t>@drfahrettinkoca hayat eve sığar ? #YaOnlineYaCanımız</t>
  </si>
  <si>
    <t>1465813818857164806</t>
  </si>
  <si>
    <t>@drfahrettinkoca neden biz bunları kullanamıyoruz. Pardon döviz bu kadar yüksekken zor tabi. Onlarda 1 euro dur biz… https://t.co/0NpKpZT3BO</t>
  </si>
  <si>
    <t>1465812313882120193</t>
  </si>
  <si>
    <t>@drfahrettinkoca https://t.co/hjElDM52qO</t>
  </si>
  <si>
    <t>1465810631756587008</t>
  </si>
  <si>
    <t>1465810195423055874</t>
  </si>
  <si>
    <t>@drfahrettinkoca https://t.co/lHHU66RunA</t>
  </si>
  <si>
    <t>1465802334882209798</t>
  </si>
  <si>
    <t>@drfahrettinkoca Sayın Bakanım Afyonkarahisar Devlet Hastanesi Göğüs hastalıkları bölümünde yatmakta olan yengem il… https://t.co/d5juUfq6Ly</t>
  </si>
  <si>
    <t>1465798659958841348</t>
  </si>
  <si>
    <t>@drfahrettinkoca  yeter artık saglıkcılara eş durumu tayini gelsin çocuk bir yerde anne baba bir yerde</t>
  </si>
  <si>
    <t>1465792675311984641</t>
  </si>
  <si>
    <t>@drfahrettinkoca  Zaten dunyada nekadar negatif mevzu varsa Turkiyede yok!!! #Omikron 'ds yok zaten .....senin baka… https://t.co/4ujOpmj8f5</t>
  </si>
  <si>
    <t>1467996277694738433</t>
  </si>
  <si>
    <t>@drfahrettinkoca @bengibaser @esenol @mehmetceyhan23 @drkaanyl @BilimKurulu_ https://t.co/J4tSUKiUcb</t>
  </si>
  <si>
    <t>1467984195779764228</t>
  </si>
  <si>
    <t>@drfahrettinkoca @RTErdogan @mehmetceyhan23 @DrZekiBay @bengibaser @serapsimsekyvz @tcmeb @saglikbakanligi… https://t.co/JEzDWYFbHR</t>
  </si>
  <si>
    <t>1467980090768347136</t>
  </si>
  <si>
    <t>@drfahrettinkoca şu görüntülerden sonra istifa etsen onurunu kurtaranilirdin. Artık öyle bir imkanında kalmadı. https://t.co/euKQrmcq3d</t>
  </si>
  <si>
    <t>1467975837236535303</t>
  </si>
  <si>
    <t>@drfahrettinkoca Manisa şehir hastanesi 1 saati geçti bekliyoruz ve Dr odasını. Kapısı 1 saattir böyle , sonra kapa… https://t.co/GFOLOVrsSN</t>
  </si>
  <si>
    <t>1467975394422890503</t>
  </si>
  <si>
    <t>@drfahrettinkoca hani omicron yoktu #kabineuzaktaneğitimsart https://t.co/VYmkcGrzQv</t>
  </si>
  <si>
    <t>1467967353057161219</t>
  </si>
  <si>
    <t>@drfahrettinkoca sayın bakanım seni 80milyon önünde azarladı sen köklü bir aileden gelen birisin hemen istifa etmelisiniz</t>
  </si>
  <si>
    <t>1467966024226066436</t>
  </si>
  <si>
    <t>@drfahrettinkoca @tcmeb @FOXANAHABER @cnnturk @Haberturk @tv100 @halktvcomtr https://t.co/W8HKjHjl9O</t>
  </si>
  <si>
    <t>1467965462541705221</t>
  </si>
  <si>
    <t>@drfahrettinkoca dedem 3 doz aşı olmasına rağmen corona oldu ve şuan yoğun bakımda kusura bakmayın ama aşılarınız b… https://t.co/LBaasiwGj2</t>
  </si>
  <si>
    <t>1467961147487891469</t>
  </si>
  <si>
    <t>@drfahrettinkoca  @seferaycan https://t.co/YqHaLYBW6d</t>
  </si>
  <si>
    <t>1467959801254666243</t>
  </si>
  <si>
    <t>@drfahrettinkoca size gelsin sayın bakan https://t.co/O50JMnF7F6</t>
  </si>
  <si>
    <t>1467958117933719568</t>
  </si>
  <si>
    <t>@drfahrettinkoca https://t.co/0KJNBbhVX3</t>
  </si>
  <si>
    <t>1467947566994272270</t>
  </si>
  <si>
    <t>@drfahrettinkoca sn jocam bugün memorial hastanesinde 2. Biontech aşımı oldum ama şişesini incelediğimde üstünde ya… https://t.co/krEas2ZvH1</t>
  </si>
  <si>
    <t>1467947468264509442</t>
  </si>
  <si>
    <t>@drfahrettinkoca @RTErdogan @ProfDemirtas @meral_aksener @asistanlar #doktorlaristifaediyor</t>
  </si>
  <si>
    <t>1467946292114509827</t>
  </si>
  <si>
    <t>@drfahrettinkoca sağlık camiası artık çürükler ile dolmuş kimi çocukları denek yapar sesiniz çıkmaz sizi köpek gibi… https://t.co/tGhbuFddLh</t>
  </si>
  <si>
    <t>1467944945550041103</t>
  </si>
  <si>
    <t>1467944883885416452</t>
  </si>
  <si>
    <t>@drfahrettinkoca  @RTErdogan  @saglikbakanligi  @gozdekirisciogl   #40BinAtamayiYapKilicdaroglu https://t.co/vLhTrawQU6</t>
  </si>
  <si>
    <t>1467943991370924034</t>
  </si>
  <si>
    <t>@drfahrettinkoca @RTErdogan #meb @tcmeb #BilimKuruluOEğrencilerOnlineİstiyor #kabineuzaktaneğitimşart https://t.co/0DXxSxMlXk</t>
  </si>
  <si>
    <t>1467943846910865411</t>
  </si>
  <si>
    <t>@drfahrettinkoca : Bakın bu elimde gördüğünüz atamacık ne zaman istersem o zaman atarım senin de atarım seni de ata… https://t.co/FBnL38s6WO</t>
  </si>
  <si>
    <t>1467943627888689152</t>
  </si>
  <si>
    <t>@drfahrettinkoca  @RTErdogan  @gozdekirisciogl  klavuzzzz diye diye dilimizde tüy bitti https://t.co/aWt396S6rM</t>
  </si>
  <si>
    <t>1467943531574607872</t>
  </si>
  <si>
    <t>@drfahrettinkoca neredesin verdiğin sözler nerede? #40BinAtamayiYapKilicdaroglu</t>
  </si>
  <si>
    <t>1467942738586910723</t>
  </si>
  <si>
    <t>@drfahrettinkoca https://t.co/RfSOVz8aAN</t>
  </si>
  <si>
    <t>1467941902666321933</t>
  </si>
  <si>
    <t>@drfahrettinkoca bakanım artık atamayı daha fazla uzatmayın lütfen :( psikolojim artık bitti kalmadı. mutlu bir hem… https://t.co/IfFDzGROn5</t>
  </si>
  <si>
    <t>1467939787630084096</t>
  </si>
  <si>
    <t>@drfahrettinkoca @meb https://t.co/Y16vuuhIhy</t>
  </si>
  <si>
    <t>1467937127778463758</t>
  </si>
  <si>
    <t>@drfahrettinkoca siz atamayı ağırdan almaya devam edin sayın bakanım bu gençlerin elbet size verecek cevabı çok uzak değil</t>
  </si>
  <si>
    <t>1467936408870567940</t>
  </si>
  <si>
    <t>@drfahrettinkoca  #SağlıkçıGrevde</t>
  </si>
  <si>
    <t>1467935263771045895</t>
  </si>
  <si>
    <t>@drfahrettinkoca @RTErdogan @tcmeb #kabineuzaktaneğitimşart</t>
  </si>
  <si>
    <t>1467934485245214726</t>
  </si>
  <si>
    <t>@drfahrettinkoca #SağlıkçıGrevde</t>
  </si>
  <si>
    <t>1467934479532634116</t>
  </si>
  <si>
    <t>@drfahrettinkoca 28 #40BinAtamayiYapKilicdaroglu</t>
  </si>
  <si>
    <t>1467933892606898193</t>
  </si>
  <si>
    <t>@drfahrettinkoca 9 #40BinAtamayiYapKilicdaroglu</t>
  </si>
  <si>
    <t>1467933140664696839</t>
  </si>
  <si>
    <t>1467933050302570502</t>
  </si>
  <si>
    <t>@drfahrettinkoca farz etki  ben bir yalanım</t>
  </si>
  <si>
    <t>1467932694264885250</t>
  </si>
  <si>
    <t>@drfahrettinkoca aynı hastanede çalışan maaşı 20000 döneri 10000 olan doktor ekonomik krizden etkileniyorda 4000lir… https://t.co/Cmx2Xlayc3</t>
  </si>
  <si>
    <t>1467932126037385222</t>
  </si>
  <si>
    <t>@drfahrettinkoca  @RTErdogan  @kilicdarogluk  #40BinAtamayiYapKilicdaroglu</t>
  </si>
  <si>
    <t>1467931097459826689</t>
  </si>
  <si>
    <t>@drfahrettinkoca  lütfen yardımcı olun ablam adına yazıyorum yüzde kırk engelli var yürüme engelli ayağında açık ya… https://t.co/XiEEFDcePB</t>
  </si>
  <si>
    <t>1467927652191379457</t>
  </si>
  <si>
    <t>@drfahrettinkoca bu olaylar ligimizde olursa ne yapıcaksın çok merak ediyorum.. https://t.co/USYwihCzu7</t>
  </si>
  <si>
    <t>1467926216044916737</t>
  </si>
  <si>
    <t>@drfahrettinkoca @RTErdogan @csgbakanligi  Ayıp ya hu https://t.co/8T4zwZfCDG</t>
  </si>
  <si>
    <t>1467925322200977410</t>
  </si>
  <si>
    <t>@drfahrettinkoca https://t.co/tn7FW60Cy9</t>
  </si>
  <si>
    <t>1467924671005958146</t>
  </si>
  <si>
    <t>@drfahrettinkoca size açık net bir soru zincirleme özel hastahaneleriniz hiç ödeme konusunda zora düştü mü bizi anl… https://t.co/Nw2McQ88OS</t>
  </si>
  <si>
    <t>1467924539535466506</t>
  </si>
  <si>
    <t>@drfahrettinkoca Sayın bakanım, maaş zammı aldığımız ücrete yansıyacak mı, yoksa bahsedildiği gibi sabit dönerin öd… https://t.co/G2ZnNDHPD5</t>
  </si>
  <si>
    <t>1467924017575337995</t>
  </si>
  <si>
    <t>@drfahrettinkoca @RTErdogan @mehmetceyhan23 @DrZekiBay @bengibaser @serapsimsekyvz @tcmeb @saglikbakanligi… https://t.co/NsVRpOENGG</t>
  </si>
  <si>
    <t>1467921440234262534</t>
  </si>
  <si>
    <t>@drfahrettinkoca @RTErdogan @mehmetceyhan23 @DrZekiBay @bengibaser @serapsimsekyvz @tcmeb @saglikbakanligi… https://t.co/51AWNcvE06</t>
  </si>
  <si>
    <t>1467921260277555208</t>
  </si>
  <si>
    <t>@drfahrettinkoca @NureddinNebati @saglikbakanligi  #tıbbicihaz #tedarikdurdu https://t.co/mwYszWXEtz</t>
  </si>
  <si>
    <t>1467920468728586250</t>
  </si>
  <si>
    <t>@drfahrettinkoca @saglikbakanligi #HekimlerHaklarınıİstiyor #göreviminbasindayim https://t.co/y8UHcrHoDd</t>
  </si>
  <si>
    <t>1467919636163444750</t>
  </si>
  <si>
    <t>@drfahrettinkoca  Hekimlere büyük müjde verdiniz tebrik ederiz</t>
  </si>
  <si>
    <t>1467918711394902025</t>
  </si>
  <si>
    <t>@drfahrettinkoca @RTErdogan @RTErdogan @saglikbakanligi https://t.co/FQbhC0nlJF</t>
  </si>
  <si>
    <t>1467918154118610946</t>
  </si>
  <si>
    <t>@drfahrettinkoca ?  #kabineuzaktaneğitimşart https://t.co/D4KVmdvfiM</t>
  </si>
  <si>
    <t>1467916607058071557</t>
  </si>
  <si>
    <t>@drfahrettinkoca  sayin sağlık bakanım covidden dolayı sorun yasayan bir arkadaşım icin ozel hastanede yer sordum.… https://t.co/zqbChEGHVj</t>
  </si>
  <si>
    <t>1467913879132983301</t>
  </si>
  <si>
    <t>@drfahrettinkoca ÖZEL HASTANE ANNEMİN ÖLÜMÜNE SEBEP OLDU https://t.co/nynzC5XnYF</t>
  </si>
  <si>
    <t>1467913339028357128</t>
  </si>
  <si>
    <t>@drfahrettinkoca @saglikbakanligi     Şenay Sümeyra 🎵🎵🎶 videosuna bir göz at! #TikTok https://t.co/h3RNYMRE2c</t>
  </si>
  <si>
    <t>1462931401137963011</t>
  </si>
  <si>
    <t>@drfahrettinkoca  @RTErdogan  @tcbestepe  @saglikbakanligi  Gerçek bilim insanlarını dinleyin medya maymunu fonlana… https://t.co/0Ay9YXot4k</t>
  </si>
  <si>
    <t>1462923892650086405</t>
  </si>
  <si>
    <t>@drfahrettinkoca Esin hanım ne bileyim diyor.Bilim kurulu diye tartışılmaz kararlarla bu Ülke insanlarının canına o… https://t.co/auOp3ib99z</t>
  </si>
  <si>
    <t>1462917734388355075</t>
  </si>
  <si>
    <t>@drfahrettinkoca covidle mücadelemiz  sabah 09:30 dan gece 12ye kadar devam ediyor öyle mi? 12den sonra test verilmiyor hastanelerde</t>
  </si>
  <si>
    <t>1462899831152820227</t>
  </si>
  <si>
    <t>@drfahrettinkoca sayın bakanım neden vefat sayılarını açıklarken kaçının aşılı olup kaçının aşısız olduğunu açıklam… https://t.co/8sddy0yBIo</t>
  </si>
  <si>
    <t>1462894288774250502</t>
  </si>
  <si>
    <t>@drfahrettinkoca Sayın Bakanım,Sma tip 1 ölümcül kas hastası 100lerce bebeği ölümemi terk edeceğiz,hayata tutunmaya… https://t.co/1KXY4frSPF</t>
  </si>
  <si>
    <t>1462892738827988998</t>
  </si>
  <si>
    <t>@drfahrettinkoca @RTErdogan @mehmetceyhan23 @DrZekiBay @bengibaser @DrZekiBay @serapsimsekyvz @tcmeb… https://t.co/Qg9fapEPKB</t>
  </si>
  <si>
    <t>1462888946636107777</t>
  </si>
  <si>
    <t>@drfahrettinkoca  bu seni bagliyor https://t.co/pGzZVj65LR</t>
  </si>
  <si>
    <t>1462888334515134476</t>
  </si>
  <si>
    <t>@drfahrettinkoca @RTErdogan @tcbestepe @saglikbakanligi @sagliklicozum @TCTarim @TC_icisleri https://t.co/seqNSYiQEL</t>
  </si>
  <si>
    <t>1462888176079589384</t>
  </si>
  <si>
    <t>@drfahrettinkoca bakanım üç üniversite, iki doktora, Özaldan bu yana bütün Başbakanlara Bu son dönem hariç danışman… https://t.co/cX97ndDSVH</t>
  </si>
  <si>
    <t>1462886500769710084</t>
  </si>
  <si>
    <t>@drfahrettinkoca @RTErdogan @mehmetceyhan23 @DrZekiBay @bengibaser @serapsimsekyvz @tcmeb @saglikbakanligi… https://t.co/RKI9yG06qC</t>
  </si>
  <si>
    <t>1462886280480665604</t>
  </si>
  <si>
    <t>@drfahrettinkoca @saglikbakanligi  https://t.co/SEDAgOEHv5</t>
  </si>
  <si>
    <t>1462883599422795782</t>
  </si>
  <si>
    <t>@drfahrettinkoca @mehmetceyhan23 @DrZekiBay @bengibaser @serapsimsekyvz @tcmeb @saglikbakanligi @sagliklicozum… https://t.co/2jGPu3me3t</t>
  </si>
  <si>
    <t>1462882510954762240</t>
  </si>
  <si>
    <t>@drfahrettinkoca @RTErdogan @tcmeb @saglikbakanligi @sagliklicozum @profsaltik @BilimKurulu @ttborgtr https://t.co/NyarPmQv5q</t>
  </si>
  <si>
    <t>1462879944942534666</t>
  </si>
  <si>
    <t>@drfahrettinkoca @bengibaser @serapsimsekyvz @tcmeb @saglikbakanligi @sagliklicozum @profsaltik @BilimKurulu… https://t.co/CrGlSvu2ot</t>
  </si>
  <si>
    <t>1462879010833285128</t>
  </si>
  <si>
    <t>@drfahrettinkoca  bunları görmüyor musunuz , yoksa işinize mi gelmiyor ?? Aldığınız maaş haram size yemin ediyorum… https://t.co/12w4rBovCW</t>
  </si>
  <si>
    <t>1462878305384869894</t>
  </si>
  <si>
    <t>@drfahrettinkoca @RTErdogan  Kasım ayı içindeyken kilavuzu bekliyoruz https://t.co/kHpFe6QkyL</t>
  </si>
  <si>
    <t>1462878077877374980</t>
  </si>
  <si>
    <t>@drfahrettinkoca  bunları görmüyor musunuz , yoksa işinize mi gelmiyor ?? Aldığınız maaş haram size yemin ediyorum… https://t.co/H7Qs2eIFNV</t>
  </si>
  <si>
    <t>1462877995576795138</t>
  </si>
  <si>
    <t>@drfahrettinkoca @bengibaser @serapsimsekyvz @mehmetceyhan23 @DrZekiBay @secondvirus @5gvirusnewss @BilimKurulu… https://t.co/4KXSTfeTna</t>
  </si>
  <si>
    <t>1462877439437254659</t>
  </si>
  <si>
    <t>@drfahrettinkoca  @RTErdogan  @BY  @dbdevletbahceli  @fethigurer  @sabantck  @TurkAsil1 https://t.co/RaDg7NGsOQ</t>
  </si>
  <si>
    <t>1462877111274905600</t>
  </si>
  <si>
    <t>@drfahrettinkoca @mehmetceyhan23 @DrZekiBay @bengibaser @serapsimsekyvz @tcmeb @saglikbakanligi @sagliklicozum… https://t.co/LfpyUm4zkU</t>
  </si>
  <si>
    <t>1462876624706277377</t>
  </si>
  <si>
    <t>@drfahrettinkoca @bengibaser @serapsimsekyvz @mehmetceyhan23 @DrZekiBay @bengibaser @DrZekiBay @secondvirus… https://t.co/DCyq2A2clt</t>
  </si>
  <si>
    <t>1462876545719152651</t>
  </si>
  <si>
    <t>@drfahrettinkoca #sağlık #health #Covid_19 Sağlık Bakanlığı, Türkiye'nin son 24 saatlik aşı tablosunu açıkladı  https://t.co/udBuX0N1cB</t>
  </si>
  <si>
    <t>1462875736994369537</t>
  </si>
  <si>
    <t>@drfahrettinkoca https://t.co/rt41errSrG</t>
  </si>
  <si>
    <t>1462874779984306189</t>
  </si>
  <si>
    <t>@drfahrettinkoca 2 aya yakın süreçtir randevu alamiyorum beykoz devlet hastanesinden sayın bakanım.</t>
  </si>
  <si>
    <t>1462570084631728129</t>
  </si>
  <si>
    <t>@drfahrettinkoca  VE  saz ekibin  Filim kurulun   OYUN BİTTİ</t>
  </si>
  <si>
    <t>1462560977539510274</t>
  </si>
  <si>
    <t>@drfahrettinkoca @deryayanikashb https://t.co/4B8uDHZQz6</t>
  </si>
  <si>
    <t>1462558764154986500</t>
  </si>
  <si>
    <t>@drfahrettinkoca 👍</t>
  </si>
  <si>
    <t>1462554960328019971</t>
  </si>
  <si>
    <t>@drfahrettinkoca @erolozvar  #VelilerEndişeliOnlineGelmeli</t>
  </si>
  <si>
    <t>1462548076288086024</t>
  </si>
  <si>
    <t>@drfahrettinkoca https://t.co/AOcL3SlUPO</t>
  </si>
  <si>
    <t>1462544292249956362</t>
  </si>
  <si>
    <t>@drfahrettinkoca https://t.co/Ix7MrxDfGI</t>
  </si>
  <si>
    <t>1462543557734977539</t>
  </si>
  <si>
    <t>@drfahrettinkoca  yakınlarımız ölüyor #VelilerEndişeliOnlineGelmeli</t>
  </si>
  <si>
    <t>1462541140704391172</t>
  </si>
  <si>
    <t>@drfahrettinkoca  yaşamak istiyoruz  #VelilerEndişeliOnlineGelmeli</t>
  </si>
  <si>
    <t>1462541033376563202</t>
  </si>
  <si>
    <t>@drfahrettinkoca hocam duyun https://t.co/DPC7dxA6mX</t>
  </si>
  <si>
    <t>1462538089406943244</t>
  </si>
  <si>
    <t>@drfahrettinkoca @erolozvar https://t.co/k7wW2vQ46r</t>
  </si>
  <si>
    <t>1462538017302880258</t>
  </si>
  <si>
    <t>@drfahrettinkoca hocam ustune ustluk slayt olan seyi uzaktan egitimdede yapariz ve soguklarin artmasi vakslarin cog… https://t.co/iZqHAWMBgm</t>
  </si>
  <si>
    <t>1462538012487667714</t>
  </si>
  <si>
    <t>@drfahrettinkoca @erolozvar https://t.co/neAgXRkyC6</t>
  </si>
  <si>
    <t>1462537597469798407</t>
  </si>
  <si>
    <t>@drfahrettinkoca beni küfürcü haydoya dönüştürdüğün için sağol aşko</t>
  </si>
  <si>
    <t>1462537557686702085</t>
  </si>
  <si>
    <t>@drfahrettinkoca https://t.co/RllaiF9SUv</t>
  </si>
  <si>
    <t>1462537442288967688</t>
  </si>
  <si>
    <t>@drfahrettinkoca @erolozvar https://t.co/LJMwn5W0vP</t>
  </si>
  <si>
    <t>1462537271454973957</t>
  </si>
  <si>
    <t>@drfahrettinkoca https://t.co/oqleHqCqfI</t>
  </si>
  <si>
    <t>1462537182825091077</t>
  </si>
  <si>
    <t>@drfahrettinkoca bu gece İstanbul medivia hastanesine kızımı muayeneye götürdüm. Kızıma bakan doktor 25 yaşlarında… https://t.co/p3idMDKP67</t>
  </si>
  <si>
    <t>1462533783618568203</t>
  </si>
  <si>
    <t>@drfahrettinkoca acilllllll#VelilerEndişeliOnlineGelmeli</t>
  </si>
  <si>
    <t>1462527430778888192</t>
  </si>
  <si>
    <t>@drfahrettinkoca acillllllll #VelilerEndişeliOnlineGelmeli</t>
  </si>
  <si>
    <t>1462527372201242634</t>
  </si>
  <si>
    <t>@drfahrettinkoca @drfahrettinkoca @dbdevletbahceli @dbdevletbahceli https://t.co/xzBsweWKRQ</t>
  </si>
  <si>
    <t>1462526788769398788</t>
  </si>
  <si>
    <t>@drfahrettinkoca Uzaktan egitim saglımız tehlikede #VelilerEndişeliOnlineGelmeli</t>
  </si>
  <si>
    <t>1462526772042477571</t>
  </si>
  <si>
    <t>@drfahrettinkoca https://t.co/n7baWNpSvz</t>
  </si>
  <si>
    <t>1462523683038191626</t>
  </si>
  <si>
    <t>@drfahrettinkoca @saglikbakanligi Beylikdüzü devlet hastanesi deyiz hastamız covit servisinde 4 gündür yatıyor duru… https://t.co/ttyyu5JJna</t>
  </si>
  <si>
    <t>1462523580772716554</t>
  </si>
  <si>
    <t>@drfahrettinkoca @erolozvar @RTErdogan #VelilerEndişeliOnlineGelmeli</t>
  </si>
  <si>
    <t>1462517554648338441</t>
  </si>
  <si>
    <t>@drfahrettinkoca evinde pozitif hasta olan temaslılara aşılı olduğu için devam demeniz be pozitif hastaları okullar… https://t.co/pHA9hA6LN0</t>
  </si>
  <si>
    <t>1462517518803865601</t>
  </si>
  <si>
    <t>1462517426566881280</t>
  </si>
  <si>
    <t>@drfahrettinkoca ortada tehlikeli bir durum yoksa neden kendi üniversiten Online eğitime geçti?#VelilerEndişeliOnlineGelmeli</t>
  </si>
  <si>
    <t>1462516265239592969</t>
  </si>
  <si>
    <t>@drfahrettinkoca @RTErdogan @tcmeb Öğrenciler uzaktan eğitim istiyorlar ve bunu için nerdeyse her gün Tag açıp hakl… https://t.co/zQGwX9NcAE</t>
  </si>
  <si>
    <t>1462515983759949826</t>
  </si>
  <si>
    <t>@drfahrettinkoca https://t.co/gxAR0mBqHY</t>
  </si>
  <si>
    <t>1462513898356199429</t>
  </si>
  <si>
    <t>@drfahrettinkoca https://t.co/44sL1KeoFh</t>
  </si>
  <si>
    <t>1462513556772069382</t>
  </si>
  <si>
    <t>@drfahrettinkoca bu hastalığı karşılıycak devlet . Kimler ne milyon dolarlar götürdü , bunumu karşılayamayacak koca… https://t.co/G0I53iWBdh</t>
  </si>
  <si>
    <t>1462512280881582083</t>
  </si>
  <si>
    <t>@drfahrettinkoca @RTErdogan @tcmeb  lütfen artık duyun sesimizi #SağlığımızİcinUzaktanEğitim… https://t.co/K2zKJbufJa</t>
  </si>
  <si>
    <t>1462510577453047813</t>
  </si>
  <si>
    <t>@drfahrettinkoca buyrun cevap verin https://t.co/91BTPiMOoQ</t>
  </si>
  <si>
    <t>1462510280466915341</t>
  </si>
  <si>
    <t>@drfahrettinkoca #VelilerEndiseliOnlineGelmeli https://t.co/aXGGd4sdti</t>
  </si>
  <si>
    <t>1462510255351414785</t>
  </si>
  <si>
    <t>1462510199181398016</t>
  </si>
  <si>
    <t>@drfahrettinkoca @saglikbakanligi Duymuyor görmüyor musunuz? Cevap versenize yardım etsenize niye varsınız o makaml… https://t.co/ILEd5LCZoB</t>
  </si>
  <si>
    <t>1462510184065028096</t>
  </si>
  <si>
    <t>@drfahrettinkoca  hocam korona bitmiyo ama insanlık tükeniyor napicazzz</t>
  </si>
  <si>
    <t>1462508764502925316</t>
  </si>
  <si>
    <t>@drfahrettinkoca @erolozvar @tcmeb #VelilerEndişeliOnlineGerekli https://t.co/GaT2t3gg5o</t>
  </si>
  <si>
    <t>1462505618502303745</t>
  </si>
  <si>
    <t>@drfahrettinkoca  @tcmeb  Bitse bile bitmiyor bazen, gençlere bir şey olmuyor demeyi bırakmanın zamanı gelmedi mi? https://t.co/7vpaeOP7KZ</t>
  </si>
  <si>
    <t>1461826154869018628</t>
  </si>
  <si>
    <t>@drfahrettinkoca  @tcmeb  Bitse bile bitmiyor bazen, gençlere bir şey olmuyor demeyi bırakmanın zamanı gelmedi mi? https://t.co/vlh1cnYIvQ</t>
  </si>
  <si>
    <t>1461826125064245248</t>
  </si>
  <si>
    <t>@drfahrettinkoca  @tcmeb  Bitse bile bitmiyor bazen, gençlere bir şey olmuyor demeyi bırakmanın zamanı gelmedi mi? https://t.co/mFeHP5vXtT</t>
  </si>
  <si>
    <t>1461826083314098176</t>
  </si>
  <si>
    <t>@drfahrettinkoca  @tcmeb  Bitse bile bitmiyor bazen, gençlere bir şey olmuyor demeyi bırakmanın zamanı gelmedi mi? https://t.co/ZpEgFtFb2O</t>
  </si>
  <si>
    <t>1461826048694358021</t>
  </si>
  <si>
    <t>@drfahrettinkoca  @tcmeb  Bitse bile bitmiyor bazen, gençlere bir şey olmuyor demeyi bırakmanın zamanı gelmedi mi? https://t.co/6vQrCPRPSc</t>
  </si>
  <si>
    <t>1461826015983030283</t>
  </si>
  <si>
    <t>@drfahrettinkoca  @tcmeb  Bitse bile bitmiyor bazen, gençlere bir şey olmuyor demeyi bırakmanın zamanı gelmedi mi? https://t.co/nSclbTEBvL</t>
  </si>
  <si>
    <t>1461825963302563849</t>
  </si>
  <si>
    <t>@drfahrettinkoca  @tcmeb  Bitse bile bitmiyor bazen, gençlere bir şey olmuyor demeyi bırakmanın zamanı gelmedi mi? https://t.co/gHVed2knWu</t>
  </si>
  <si>
    <t>1461825918087929861</t>
  </si>
  <si>
    <t>@drfahrettinkoca  @tcmeb  Bitse bile bitmiyor bazen, gençlere bir şey olmuyor demeyi bırakmanın zamanı gelmedi mi? https://t.co/KEWw4FXR5W</t>
  </si>
  <si>
    <t>1461825864694472712</t>
  </si>
  <si>
    <t>@drfahrettinkoca  @tcmeb  Bitse bile bitmiyor bazen, gençlere bir şey olmuyor demeyi bırakmanın zamanı gelmedi mi? https://t.co/dcJUnMyVRB</t>
  </si>
  <si>
    <t>1461825820750761985</t>
  </si>
  <si>
    <t>@drfahrettinkoca  @tcmeb  Bitse bile bitmiyor bazen, gençlere bir şey olmuyor demeyi bırakmanın zamanı gelmedi mi? https://t.co/4QVFwEqfwf</t>
  </si>
  <si>
    <t>1461825783022985220</t>
  </si>
  <si>
    <t>@drfahrettinkoca  @tcmeb  Bitse bile bitmiyor bazen, gençlere bir şey olmuyor demeyi bırakmanın zamanı gelmedi mi? https://t.co/Ki47IXYtQn</t>
  </si>
  <si>
    <t>1461825749082681348</t>
  </si>
  <si>
    <t>@drfahrettinkoca  @tcmeb  Bitse bile bitmiyor bazen, gençlere bir şey olmuyor demeyi bırakmanın zamanı gelmedi mi? https://t.co/cxiThVvXAD</t>
  </si>
  <si>
    <t>1461825699484942340</t>
  </si>
  <si>
    <t>@drfahrettinkoca  @tcmeb  Bitse bile bitmiyor bazen, gençlere bir şey olmuyor demeyi bırakmanın zamanı gelmedi mi? https://t.co/rM15goifK4</t>
  </si>
  <si>
    <t>1461825654081662981</t>
  </si>
  <si>
    <t>@drfahrettinkoca  @tcmeb  Bitse bile bitmiyor bazen, gençlere bir şey olmuyor demeyi bırakmanın zamanı gelmedi mi? https://t.co/qGqJchHXOY</t>
  </si>
  <si>
    <t>1461825604018483208</t>
  </si>
  <si>
    <t>@drfahrettinkoca  @tcmeb  Bitse bile bitmiyor bazen, gençlere bir şey olmuyor demeyi bırakmanın zamanı gelmedi mi? https://t.co/lBjRZze93Y</t>
  </si>
  <si>
    <t>1461825552306905098</t>
  </si>
  <si>
    <t>@drfahrettinkoca  @tcmeb  Bitse bile bitmiyor bazen, gençlere bir şey olmuyor demeyi bırakmanın zamanı gelmedi mi? https://t.co/LNC0OhS2Oj</t>
  </si>
  <si>
    <t>1461825503837499401</t>
  </si>
  <si>
    <t>@drfahrettinkoca  @tcmeb  Bitse bile bitmiyor bazen, gençlere bir şey olmuyor demeyi bırakmanın zamanı gelmedi mi? https://t.co/Cl0z6LdIvI</t>
  </si>
  <si>
    <t>1461825458727788550</t>
  </si>
  <si>
    <t>@drfahrettinkoca  @tcmeb  Bitse bile bitmiyor bazen, gençlere bir şey olmuyor demeyi bırakmanın zamanı gelmedi mi? https://t.co/YzlEIbgRXe</t>
  </si>
  <si>
    <t>1461825419041255425</t>
  </si>
  <si>
    <t>@drfahrettinkoca  @tcmeb  Bitse bile bitmiyor bazen, gençlere bir şey olmuyor demeyi bırakmanın zamanı gelmedi mi? https://t.co/8MVpi01Hvi</t>
  </si>
  <si>
    <t>1461825326770794506</t>
  </si>
  <si>
    <t>@drfahrettinkoca  @tcmeb  Bitse bile bitmiyor bazen, gençlere bir şey olmuyor demeyi bırakmanın zamanı gelmedi mi? https://t.co/wNCCDFeWeU</t>
  </si>
  <si>
    <t>1461825278271963136</t>
  </si>
  <si>
    <t>@drfahrettinkoca https://t.co/afbhyIH8tY</t>
  </si>
  <si>
    <t>1461823767777366021</t>
  </si>
  <si>
    <t>@drfahrettinkoca @H24haberr @Osmanunsal58 @1453RuhuGeliyor @SavanGunay @ProfSFindik @DoganBekin @prof_aydal… https://t.co/ZJ6gIbYP2U</t>
  </si>
  <si>
    <t>1461818965110497284</t>
  </si>
  <si>
    <t>@drfahrettinkoca @esenol şimdiye kadar  neden açıklamadınız işe yaramadığını aslında başından beri işe yaramdigini… https://t.co/xjZHD53tsh</t>
  </si>
  <si>
    <t>1461809066737557509</t>
  </si>
  <si>
    <t>@drfahrettinkoca yönetemiyorsanız istifa etmenizde bir seçenek! https://t.co/ks7zWT6G8C</t>
  </si>
  <si>
    <t>1462201677742755851</t>
  </si>
  <si>
    <t>@drfahrettinkoca @lutfielvan @Cengizyavili @ismailsaymaz @nevsinmengu @muratemirchp @dogansenturk @KucukkayaIsmail… https://t.co/znrmjrZmAY</t>
  </si>
  <si>
    <t>1462200256893009922</t>
  </si>
  <si>
    <t>@drfahrettinkoca sağlık bakanında pandemi korona şiddet olaylarından hariç çalışmalar da bekliyoruz! Mesela: deneti… https://t.co/X9y2ml3Me4</t>
  </si>
  <si>
    <t>1462199689760149506</t>
  </si>
  <si>
    <t>@drfahrettinkoca evet bakanım en iyi tebdir evimizdir bu yüzden lütfen online eğitim #MebYökOnlineEğitimHakkımız</t>
  </si>
  <si>
    <t>1462199335932866564</t>
  </si>
  <si>
    <t>@drfahrettinkoca Tek taraflı adalet adalet değildir,şiddet kimden gelirse gelsin karşıyız lakin aynı savunmayı hast… https://t.co/qCDHEUf06O</t>
  </si>
  <si>
    <t>1462197979641753606</t>
  </si>
  <si>
    <t>@drfahrettinkoca devlet hastanelerinde #tıbbicihaz sıkıntısı var , halk soruyor neden bunların hakedişini ödemiyors… https://t.co/EBHxiAJAaj</t>
  </si>
  <si>
    <t>1462196342869139460</t>
  </si>
  <si>
    <t>@drfahrettinkoca bakanım bir iyilik be #MebYökOnlineEğitimHakkımız</t>
  </si>
  <si>
    <t>1462193247837638661</t>
  </si>
  <si>
    <t>@drfahrettinkoca #Favipiravir ilacının hiçbir işe yaramadığı ortaya çıktı. Üç sorum olacak 1) Bu ilaç halen insanla… https://t.co/fUqrH7jT03</t>
  </si>
  <si>
    <t>1462192732127076355</t>
  </si>
  <si>
    <t>@drfahrettinkoca NOLUR DUY BİZİ BAKANIM BİZİ KORU KOLLA İHTİYACIMIZ VAR LÜTFEN BİZİ ÇARESİZ BIRAKMA… https://t.co/12pajTwYn4</t>
  </si>
  <si>
    <t>1462187973580144640</t>
  </si>
  <si>
    <t>@drfahrettinkoca @abdulhamitgul @adalet_bakanlik 1 aylık bebeğin entübe edilmesi ile ilgili ne yapıldı acaba hastah… https://t.co/n7ixwu6Gyv</t>
  </si>
  <si>
    <t>1462186673484271625</t>
  </si>
  <si>
    <t>@drfahrettinkoca gör gör https://t.co/PSvL2CXSNY</t>
  </si>
  <si>
    <t>1462186451051941894</t>
  </si>
  <si>
    <t>1462179602814668812</t>
  </si>
  <si>
    <t>@drfahrettinkoca @saglikbakanligi @yenisafak @RTErdogan @TC_icisleri https://t.co/qcXXJn3sXA</t>
  </si>
  <si>
    <t>1462174589497266179</t>
  </si>
  <si>
    <t>@drfahrettinkoca  hani ya ilaçlar etkiliydi,bu kadın bilim kurulu üyesi değil mi.İnsanlari ilaçlara resmen denek et… https://t.co/cpGIPEJjVd</t>
  </si>
  <si>
    <t>1462163954097135620</t>
  </si>
  <si>
    <t>@drfahrettinkoca sayın bakanım sesimizi duyun artık  #MebYökOnlineEğitimHakkımız</t>
  </si>
  <si>
    <t>1462163751747084294</t>
  </si>
  <si>
    <t>@drfahrettinkoca bunu bilim kurulu üyesi diyor?  #MebYökOnlineEğitimHakkımız https://t.co/HtWoGdvPrp</t>
  </si>
  <si>
    <t>1462163691734978561</t>
  </si>
  <si>
    <t>@drfahrettinkoca sayın bakanım çok yorulduk sesimizi duyun artık  #MebYökOnlineEğitimHakkımız</t>
  </si>
  <si>
    <t>1462163623585931264</t>
  </si>
  <si>
    <t>@drfahrettinkoca Neden  Kapalı  Alanlarda Yasak Gelmiyor?Aşı olan Çevremdeki herkes maske takmıyor Mesafeye uymuyor… https://t.co/wV2egm6rjk</t>
  </si>
  <si>
    <t>1462163268273909765</t>
  </si>
  <si>
    <t>@drfahrettinkoca https://t.co/jpEPAWFbNg</t>
  </si>
  <si>
    <t>1462162597520846848</t>
  </si>
  <si>
    <t>@drfahrettinkoca sayın bakanım 22 Kasım da online eğitim gelmeli #MebYökOnlineEğitimHakkımız</t>
  </si>
  <si>
    <t>1462162187041091587</t>
  </si>
  <si>
    <t>@drfahrettinkoca sayın bakanım hakkımız olan online eğitimi istiyoruz... #MebYökOnlineEğitimHakkımız</t>
  </si>
  <si>
    <t>1462161668532801539</t>
  </si>
  <si>
    <t>@drfahrettinkoca @tcmeb en azından bir açıklamayı hak ettiğimizi düşünüyorum. Bunca tweet attık, karşılığı bu mu? G… https://t.co/7hexdQzQsZ</t>
  </si>
  <si>
    <t>1462161405675769859</t>
  </si>
  <si>
    <t>@drfahrettinkoca @tcmeb https://t.co/cucVOAPque</t>
  </si>
  <si>
    <t>1462160035719655435</t>
  </si>
  <si>
    <t>@drfahrettinkoca sizlere güvenmekle yapıyor bir vatandaş olarak bunu anladım sağol un var olun. Sağol un var olun.</t>
  </si>
  <si>
    <t>1462159497783394304</t>
  </si>
  <si>
    <t>@drfahrettinkoca  başarılarınızdan dolayı vallahide billahide hiç kimse sizin kadar bu ülkede sağlık hizmetini bu k… https://t.co/Nlifhe2fX1</t>
  </si>
  <si>
    <t>1462159001689468928</t>
  </si>
  <si>
    <t>@drfahrettinkoca @fahrettinaltun @tcbestepe @RTErdogan @hikmetgenc @Muratcicek24tv @birincimucahit @mkulunk… https://t.co/nsDCVttYDR</t>
  </si>
  <si>
    <t>1462207664381906944</t>
  </si>
  <si>
    <t>@drfahrettinkoca belirlese. Eskiden insanlar hastane koridorlarında sıra beklerdi şimdi ise yıl olmuş 2021 randevu… https://t.co/w6YPZnn6s6</t>
  </si>
  <si>
    <t>1462157924407644169</t>
  </si>
  <si>
    <t>@drfahrettinkoca  @RTErdogan   Nedersıniz?   #BüyükSıfırlıyorlar https://t.co/Kh0nf2MD9p</t>
  </si>
  <si>
    <t>1462157787719426056</t>
  </si>
  <si>
    <t>@drfahrettinkoca sayın bakanım maşallah devletimiz içinde sağlık sektöründe bütün doktorlarınıza günde kaç tane has… https://t.co/7thvGwNE3I</t>
  </si>
  <si>
    <t>1462156534176174085</t>
  </si>
  <si>
    <t>@drfahrettinkoca beşli çetelerin döktüğü asfalt kadar, köprü kadar kıymeti yok mu bu çocukların, annelerinin? Tek s… https://t.co/E0rAOOAmE5</t>
  </si>
  <si>
    <t>1462153632942596104</t>
  </si>
  <si>
    <t>@drfahrettinkoca her kudret elinizde. Isterseniz bir dakikada cafe ve restaurantlarin acik ve kapali alanlarinda si… https://t.co/lRmPyEMWSz</t>
  </si>
  <si>
    <t>1462150430591434760</t>
  </si>
  <si>
    <t>@drfahrettinkoca Türk milleti yaptıklarınızı asla unutmayacak ‼️ https://t.co/xKFFahahy4</t>
  </si>
  <si>
    <t>1462149245432127493</t>
  </si>
  <si>
    <t>@drfahrettinkoca @deryayanikashb @Akparti https://t.co/pBJMzXXWfD</t>
  </si>
  <si>
    <t>1462148770867601414</t>
  </si>
  <si>
    <t>@drfahrettinkoca @tcmeb #MebYökOnlineEğitimHakkımız başka yolu çıkarı yok!</t>
  </si>
  <si>
    <t>1462147975753383938</t>
  </si>
  <si>
    <t>@drfahrettinkoca @saglikbakanligi https://t.co/rFwsEnJWdm</t>
  </si>
  <si>
    <t>1462146854154649615</t>
  </si>
  <si>
    <t>@drfahrettinkoca  bizi sevmiyor muydun #MebYökOnlineEğitimHakkımız https://t.co/NTymQgrRSl</t>
  </si>
  <si>
    <t>1462140860380991490</t>
  </si>
  <si>
    <t>@drfahrettinkoca ve @saglikbakanligi yitim giden bir anne sonrası bebeğin de aynı akıbeti yaşamaması için harekete… https://t.co/l3Lfn7dZVa</t>
  </si>
  <si>
    <t>1462138021810167811</t>
  </si>
  <si>
    <t>@drfahrettinkoca ALLAH belanızı versin https://t.co/S8vHBBYcST</t>
  </si>
  <si>
    <t>1462136716396048386</t>
  </si>
  <si>
    <t>@drfahrettinkoca Instagram'dan bahsetmeyi kapattiniz ama asla peşinizi bırakmayacağız Lütfen sesimize ses olun,… https://t.co/LffJsjUmLp</t>
  </si>
  <si>
    <t>1462136104975536137</t>
  </si>
  <si>
    <t>@drfahrettinkoca @saglikbakanligi 3 saattir asker uğurlama töreni yapılıyor. Nasıl bitecek ülke de salgın? Maske yo… https://t.co/E6Sv3CVvct</t>
  </si>
  <si>
    <t>1462135000833400836</t>
  </si>
  <si>
    <t>@drfahrettinkoca bizde "Sosyal" ın mesafesi yok. Tokalaşıyor, sarılıyor, kucaklaşıyoruz. Riks artmadı, azalmadı. Es… https://t.co/LzZUJ81FvT</t>
  </si>
  <si>
    <t>1462134748810252294</t>
  </si>
  <si>
    <t>@drfahrettinkoca @tcmeb sizlerde bu ortamda olmak istermisiniz çünkü sizin yüzünüzden bu durumdayız!🤦… https://t.co/aIQVFGnYsM</t>
  </si>
  <si>
    <t>1462134692245909511</t>
  </si>
  <si>
    <t>@drfahrettinkoca simdi nasil hissediyorsunuz? Devletimiz bu kadar aciz mi? Evladinin ölümüne sahit olmaya dayanamay… https://t.co/jYVmXIrdW1</t>
  </si>
  <si>
    <t>1462133808510160896</t>
  </si>
  <si>
    <t>@drfahrettinkoca sizin robot olmadığınızı görmek istiyoruz...</t>
  </si>
  <si>
    <t>1462132951639113735</t>
  </si>
  <si>
    <t>@drfahrettinkoca sizin vicdanınıza hapsolacağınız güne karşı uyarıyorum. Hiçbir maddiyatın mülkün gücün kurtaramaya… https://t.co/VjQkVmSdAQ</t>
  </si>
  <si>
    <t>1462132664610213890</t>
  </si>
  <si>
    <t>@drfahrettinkoca yrdg</t>
  </si>
  <si>
    <t>1462132210555920390</t>
  </si>
  <si>
    <t>@drfahrettinkoca https://t.co/FetbjlAfup</t>
  </si>
  <si>
    <t>1462130604619796485</t>
  </si>
  <si>
    <t>@drfahrettinkoca @tcmeb bakın bakalım gündemin ilk sırasında ne var ? İnsanlar neden haykırıyor ? Bize bu saçmalığı… https://t.co/M7mKyUcIY5</t>
  </si>
  <si>
    <t>1462126387888898050</t>
  </si>
  <si>
    <t>@drfahrettinkoca https://t.co/abDgcLo476</t>
  </si>
  <si>
    <t>1462125928537067520</t>
  </si>
  <si>
    <t>@drfahrettinkoca aynen baya iyi eğitim sistemi https://t.co/o003cMRFYZ</t>
  </si>
  <si>
    <t>1462123476731543563</t>
  </si>
  <si>
    <t>@drfahrettinkoca sayın bakanım ankarada çocuğumu sünnet ettirmek istiyorum ama hangi hastaneyi aradıysam pandemi do… https://t.co/fyzmRGhM42</t>
  </si>
  <si>
    <t>1462120599568977933</t>
  </si>
  <si>
    <t>@drfahrettinkoca yeni dünya düzenine sert geçiş yaptık demişti? Bunun anlamı nedir hiç sorguladın mı? #BüyükSıfırlıyorlar</t>
  </si>
  <si>
    <t>1462119436543053836</t>
  </si>
  <si>
    <t>@drfahrettinkoca SMA hastası çocukların ailelerininin sesini duyun! #EmineKiraz https://t.co/EAh2bk6JuD</t>
  </si>
  <si>
    <t>1462116290139729923</t>
  </si>
  <si>
    <t>@drfahrettinkoca bütün vebali boynuna olsun https://t.co/hTsVkeEmcW</t>
  </si>
  <si>
    <t>1462116067426324482</t>
  </si>
  <si>
    <t>@drfahrettinkoca  @erolozvar  @tcmeb https://t.co/wgctCBr6sk</t>
  </si>
  <si>
    <t>1462114396453359630</t>
  </si>
  <si>
    <t>@drfahrettinkoca  @RTErdogan  @meral_aksener  @kilicdarogluk  TRT PAYININ YERİNE BU HASTALIKLAR İÇİN ÖDENEK ALINSIN… https://t.co/wsZ2N3KYSQ</t>
  </si>
  <si>
    <t>1462112355102375937</t>
  </si>
  <si>
    <t>@drfahrettinkoca @tcmeb https://t.co/KqBvtzNUTn</t>
  </si>
  <si>
    <t>1462111786912690187</t>
  </si>
  <si>
    <t>@drfahrettinkoca @RTErdogan uyanın artık... https://t.co/YmLmjpszrs</t>
  </si>
  <si>
    <t>1462111745569398785</t>
  </si>
  <si>
    <t>@drfahrettinkoca @RTErdogan https://t.co/IvImxFNYQW</t>
  </si>
  <si>
    <t>1462111001206267911</t>
  </si>
  <si>
    <t>@drfahrettinkoca https://t.co/JRmyFovoD1</t>
  </si>
  <si>
    <t>1462110862249017349</t>
  </si>
  <si>
    <t>@drfahrettinkoca  bundan habersiz yaşamayın !!! https://t.co/7KjknEFgYS</t>
  </si>
  <si>
    <t>1462110842204393478</t>
  </si>
  <si>
    <t>@drfahrettinkoca vakalar binin altına düşmeden okulları açarak çok büyük hata gyaptınız günde 250 ölüm normalleştir… https://t.co/0Yn3sMNnLr</t>
  </si>
  <si>
    <t>1462109376530075654</t>
  </si>
  <si>
    <t>@drfahrettinkoca @RTErdogan https://t.co/k5WSQwNznY</t>
  </si>
  <si>
    <t>1462109359593463817</t>
  </si>
  <si>
    <t>@drfahrettinkoca @tcmeb #MebYoekOnlineEğitimHakkımız https://t.co/BWe7yqY9Xf</t>
  </si>
  <si>
    <t>1462109254689689601</t>
  </si>
  <si>
    <t>@drfahrettinkoca https://t.co/otXpwd9SNd</t>
  </si>
  <si>
    <t>1462107327503425543</t>
  </si>
  <si>
    <t>@drfahrettinkoca   Sayın bakanım  Günlük 50 kişi öldüğünde her yeri kapatıyorduk. Aylar oldu her gün 200 kişi ölüyo… https://t.co/3t5GoP5i15</t>
  </si>
  <si>
    <t>1462107049286938641</t>
  </si>
  <si>
    <t>@drfahrettinkoca @tcmeb https://t.co/wd2gQCrAYH</t>
  </si>
  <si>
    <t>1462106819468349444</t>
  </si>
  <si>
    <t>@drfahrettinkoca @saglikbakanligi @saglikbakanligi @RTErdogan #MebYökOnlineEğitimHakkımız</t>
  </si>
  <si>
    <t>1462105778626641929</t>
  </si>
  <si>
    <t>1462105647978266626</t>
  </si>
  <si>
    <t>@drfahrettinkoca @tcmeb PARDON AMA NE YAPTĞINIZI SANIYORSUNUZ SİZ? BİZİ CANIMIZ İÇİM BÖYLE YALVARTMAYA NE HAKKINIZ… https://t.co/rd22pTNzed</t>
  </si>
  <si>
    <t>1462102055649226760</t>
  </si>
  <si>
    <t>@drfahrettinkoca  foto çekmek videoya almak yasak ama istanbul Bayrampaşa devlet hastanesinin hali içler acısı  pis… https://t.co/wVCw3GrrMh</t>
  </si>
  <si>
    <t>1462101467687493647</t>
  </si>
  <si>
    <t>@drfahrettinkoca https://t.co/P0bnPgP53r</t>
  </si>
  <si>
    <t>1462100743666683918</t>
  </si>
  <si>
    <t>@drfahrettinkoca @RTErdogan ölüyorlar yeter artık,... Soykırım bu... https://t.co/9MO9ZGaQqE</t>
  </si>
  <si>
    <t>1462099798190960641</t>
  </si>
  <si>
    <t>1462098857395949574</t>
  </si>
  <si>
    <t>@drfahrettinkoca sağlıklı beslenme nasıl olur? Anlatır mısınız?</t>
  </si>
  <si>
    <t>1473333144472461314</t>
  </si>
  <si>
    <t>RT @emregulasi: @drfahrettinkoca #SağlıktaSiddeteHayır https://t.co/BvN8FMHraa</t>
  </si>
  <si>
    <t>1473333049840607240</t>
  </si>
  <si>
    <t>1473332937403912201</t>
  </si>
  <si>
    <t>@drfahrettinkoca  Buyrun bakanım. https://t.co/mcYPMoZgxM</t>
  </si>
  <si>
    <t>1473332455163768833</t>
  </si>
  <si>
    <t>1473332448842899466</t>
  </si>
  <si>
    <t>1473331930368200712</t>
  </si>
  <si>
    <t>1473331478352347142</t>
  </si>
  <si>
    <t>1473331126383136771</t>
  </si>
  <si>
    <t>@drfahrettinkoca pes edip özel hastanede çalışsın diye mi bu suskunluk? Kamuda çalışan bu kadar sahipsiz mi… https://t.co/1fAfBvw036</t>
  </si>
  <si>
    <t>1473330681904250896</t>
  </si>
  <si>
    <t>1473330660362362880</t>
  </si>
  <si>
    <t>1473329983644966920</t>
  </si>
  <si>
    <t>1473329074361753602</t>
  </si>
  <si>
    <t>1473328850235006977</t>
  </si>
  <si>
    <t>@drfahrettinkoca @NureddinNebati @HmbSosyalMedya  @saglikbakanligi https://t.co/kSKMkyhduk</t>
  </si>
  <si>
    <t>1473328832346214407</t>
  </si>
  <si>
    <t>1473328766613078017</t>
  </si>
  <si>
    <t>1473328724124839938</t>
  </si>
  <si>
    <t>@drfahrettinkoca https://t.co/n0BT5QDxSa</t>
  </si>
  <si>
    <t>1473328486546878472</t>
  </si>
  <si>
    <t>1473328304065286149</t>
  </si>
  <si>
    <t>RT @draxx_drqxx: @drfahrettinkoca Arkadaşlar durmadan bu tweetin altına bu fotoğrafları atın artık gerçek bir açıklamaya ihtiyacimiz var in…</t>
  </si>
  <si>
    <t>1473328139501723657</t>
  </si>
  <si>
    <t>1473328123622141961</t>
  </si>
  <si>
    <t>1473328009008582658</t>
  </si>
  <si>
    <t>@drfahrettinkoca @saglikbakanligi #SağlıktaSiddeteHayır https://t.co/dRgFVeXVHO</t>
  </si>
  <si>
    <t>1473327986116071428</t>
  </si>
  <si>
    <t>RT @SevimTeke9: @drfahrettinkoca cimer tarafından Sağlık Yönetimi bölümü mezunlarının mesajına bu şekilde cevap gelmiştir. #demekki atama y…</t>
  </si>
  <si>
    <t>1473326985577435142</t>
  </si>
  <si>
    <t>1473326969832058886</t>
  </si>
  <si>
    <t>1473326328766156803</t>
  </si>
  <si>
    <t>1473326207378804744</t>
  </si>
  <si>
    <t>1473326117750775809</t>
  </si>
  <si>
    <t>1473326074297786378</t>
  </si>
  <si>
    <t>1473326059177353221</t>
  </si>
  <si>
    <t>1473325973059907598</t>
  </si>
  <si>
    <t>@drfahrettinkoca cimer tarafından Sağlık Yönetimi bölümü mezunlarının mesajına bu şekilde cevap gelmiştir. #demekki… https://t.co/V7lQHjxDhH</t>
  </si>
  <si>
    <t>1473325926360440835</t>
  </si>
  <si>
    <t>RT @Busbusenn: @drfahrettinkoca Bu nedir size artık kim inanır ? https://t.co/9wslpQ9UGU</t>
  </si>
  <si>
    <t>1473325832944898067</t>
  </si>
  <si>
    <t>1473325797029171207</t>
  </si>
  <si>
    <t>RT @TCKurbani: @drfahrettinkoca @WHO diyor ki omicron varyantına karşı etkili olan herhangi bir aşı tespit edilmedi, sen hala diyorsun aşı…</t>
  </si>
  <si>
    <t>1473325783993180163</t>
  </si>
  <si>
    <t>1473325777106186246</t>
  </si>
  <si>
    <t>1473325726359330818</t>
  </si>
  <si>
    <t>1473325700669128704</t>
  </si>
  <si>
    <t>RT @Der1kI: @drfahrettinkoca 16 aralık 36 bin vaka ? 19 aralık 34 bin vaka ? https://t.co/he0Ed8Mi7Q</t>
  </si>
  <si>
    <t>1473325697879973900</t>
  </si>
  <si>
    <t>1473325181053677572</t>
  </si>
  <si>
    <t>1473325027059716098</t>
  </si>
  <si>
    <t>1473324902111498251</t>
  </si>
  <si>
    <t>1473323804503986179</t>
  </si>
  <si>
    <t>1473323590527467522</t>
  </si>
  <si>
    <t>@drfahrettinkoca çocuklarımız bunun için mi sağlık çalışanı oluyor? https://t.co/IkPttG4NQV</t>
  </si>
  <si>
    <t>1473323139631398924</t>
  </si>
  <si>
    <t>@drfahrettinkoca sayın bakanım, devlet Has.acil de ne kadar çok sıra var, önümüzde 222 kişi var 1 saatte 50 kişi an… https://t.co/Q4shOrmaTS</t>
  </si>
  <si>
    <t>1473322993132658691</t>
  </si>
  <si>
    <t>1473322856373268484</t>
  </si>
  <si>
    <t>1473322551514435591</t>
  </si>
  <si>
    <t>RT @drilia31: @drfahrettinkoca @saglikbakanligi @ttborgtr #SağlıktaSiddeteHayır #SaglıkçıRehinKocaNerede #tutukluyargılansın @FOXhaber #Hal…</t>
  </si>
  <si>
    <t>1473322485873623041</t>
  </si>
  <si>
    <t>RT @Falcao5656: @drfahrettinkoca Öğrenciler online eğitim istiyor #BilimKuruluGerçekVakalarıAçıkla</t>
  </si>
  <si>
    <t>1473322223335313409</t>
  </si>
  <si>
    <t>1473322130116911110</t>
  </si>
  <si>
    <t>@drfahrettinkoca @saglikbakanligi @sağlıktaşiddetesonverartık https://t.co/Ij3mk4vRcL</t>
  </si>
  <si>
    <t>1473321842333077511</t>
  </si>
  <si>
    <t>1473321546798219268</t>
  </si>
  <si>
    <t>1473320816393736198</t>
  </si>
  <si>
    <t>@drfahrettinkoca @BilimKurulu_  Bilim Kurulu üyesi benden hazırlık yapmamı mı bekliyor? Hazırlık yaptınız mı? https://t.co/ePGkJGUi44</t>
  </si>
  <si>
    <t>1473320146009792512</t>
  </si>
  <si>
    <t>1473320144768225283</t>
  </si>
  <si>
    <t>1473319784049688581</t>
  </si>
  <si>
    <t>1473319592797868041</t>
  </si>
  <si>
    <t>1473319549642682369</t>
  </si>
  <si>
    <t>@drfahrettinkoca @saglikbakanligi @ttborgtr #SağlıktaSiddeteHayır #SaglıkçıRehinKocaNerede #tutukluyargılansın… https://t.co/OBNbio4lHC</t>
  </si>
  <si>
    <t>1473319371678404612</t>
  </si>
  <si>
    <t>1473319330016284681</t>
  </si>
  <si>
    <t>1473319217789378564</t>
  </si>
  <si>
    <t>1473318439330721798</t>
  </si>
  <si>
    <t>1473318432615583747</t>
  </si>
  <si>
    <t>1473317907149078536</t>
  </si>
  <si>
    <t>1473317852887269378</t>
  </si>
  <si>
    <t>1473317491854172171</t>
  </si>
  <si>
    <t>1473317381778939918</t>
  </si>
  <si>
    <t>RT @EbruZeybon: @drfahrettinkoca #BilimKuruluGerçekVakalarıAçıkla</t>
  </si>
  <si>
    <t>1473316779636281350</t>
  </si>
  <si>
    <t>1473316424999649282</t>
  </si>
  <si>
    <t>1473316411258904581</t>
  </si>
  <si>
    <t>1473315411349454855</t>
  </si>
  <si>
    <t>1473315405246648323</t>
  </si>
  <si>
    <t>1473315339941388291</t>
  </si>
  <si>
    <t>1473315285771902978</t>
  </si>
  <si>
    <t>1473314569489723399</t>
  </si>
  <si>
    <t>RT @neozade_offical: @drfahrettinkoca @tcmeb  #BilimKuruluGerçekVakalarıAçıkla Merhabalar Sağlığımızı öncelik olması için uzaktan eğitim is…</t>
  </si>
  <si>
    <t>1473314454687338502</t>
  </si>
  <si>
    <t>@drfahrettinkoca @abdulhamitgul @saglikbakanligi https://t.co/eR8LnfF2DV</t>
  </si>
  <si>
    <t>1473314354892267527</t>
  </si>
  <si>
    <t>1473314228626989060</t>
  </si>
  <si>
    <t>1473313999932596226</t>
  </si>
  <si>
    <t>1473313475778813956</t>
  </si>
  <si>
    <t>1473313441716883460</t>
  </si>
  <si>
    <t>1473313011251257345</t>
  </si>
  <si>
    <t>RT @CelenkAhmet: @drfahrettinkoca Hiçbir güvenilirliği olmayan, faz çalışmaları tamamlanmamış, yan etkileri ölüm ve sakatlanmalar olan aşıy…</t>
  </si>
  <si>
    <t>1473312605494255618</t>
  </si>
  <si>
    <t>1473312596677869571</t>
  </si>
  <si>
    <t>@drfahrettinkoca @saglikbakanligi Sade bir vatandaş olarak, sağlık çalışanlarına yönelik bu tür saldırıların önlenm… https://t.co/dQo0F1fKb2</t>
  </si>
  <si>
    <t>1473312444256817158</t>
  </si>
  <si>
    <t>1473312120557215750</t>
  </si>
  <si>
    <t>1473312086730149899</t>
  </si>
  <si>
    <t>1473311931444432898</t>
  </si>
  <si>
    <t>1473311922099470340</t>
  </si>
  <si>
    <t>1473311682487328774</t>
  </si>
  <si>
    <t>1473310809275121667</t>
  </si>
  <si>
    <t>1473310533864542210</t>
  </si>
  <si>
    <t>1473310413349654542</t>
  </si>
  <si>
    <t>RT @duckybads: @drfahrettinkoca @BilimKurulu_ #BilimKuruluGercekVakalarıAcıkla</t>
  </si>
  <si>
    <t>1473309822959423489</t>
  </si>
  <si>
    <t>@drfahrettinkoca sayin bakanim kizilaya nezaman kan verdimizde e nabizda ciksin saygilar</t>
  </si>
  <si>
    <t>1473309694475345924</t>
  </si>
  <si>
    <t>1473309560509190147</t>
  </si>
  <si>
    <t>1473309439243563015</t>
  </si>
  <si>
    <t>1473309425800781825</t>
  </si>
  <si>
    <t>RT @Yasinald2: @drfahrettinkoca @adalet_bakanlik</t>
  </si>
  <si>
    <t>1473309321236787206</t>
  </si>
  <si>
    <t>1473309147391266816</t>
  </si>
  <si>
    <t>1473308914699624451</t>
  </si>
  <si>
    <t>@drfahrettinkoca @adalet_bakanlik https://t.co/MB5AipT3CU</t>
  </si>
  <si>
    <t>1473308878645387273</t>
  </si>
  <si>
    <t>1473308875805929478</t>
  </si>
  <si>
    <t>@drfahrettinkoca @BilimKurulu_ #BilimKuruluGercekVakalarıAcıkla</t>
  </si>
  <si>
    <t>1473308784902746115</t>
  </si>
  <si>
    <t>@drfahrettinkoca @EmniyetGM @adalet_bakanlik @abdulhamitgul @cuneytozdemir @RTErdogan https://t.co/27K4JKoJUG</t>
  </si>
  <si>
    <t>1473308672931553290</t>
  </si>
  <si>
    <t>1473308612923740163</t>
  </si>
  <si>
    <t>1473308607689244674</t>
  </si>
  <si>
    <t>1473308457935773696</t>
  </si>
  <si>
    <t>@drfahrettinkoca @abdulhamitgul @EmniyetGM https://t.co/0S8ar92WPv</t>
  </si>
  <si>
    <t>1473308317694976001</t>
  </si>
  <si>
    <t>1473308189961641984</t>
  </si>
  <si>
    <t>1473308077747232771</t>
  </si>
  <si>
    <t>1473308042825502729</t>
  </si>
  <si>
    <t>1473307986626023424</t>
  </si>
  <si>
    <t>1473307977016872966</t>
  </si>
  <si>
    <t>RT @LordsJsx: @drfahrettinkoca DSÖ YE 34 BİN VAKA OLARAK YAZMIŞSINIZ BURAYA NEDEN 18 BİN AÇIKLAMA YAPIN.!</t>
  </si>
  <si>
    <t>1473307701790875655</t>
  </si>
  <si>
    <t>1473307668827844609</t>
  </si>
  <si>
    <t>1473307627547504657</t>
  </si>
  <si>
    <t>1473307556374323207</t>
  </si>
  <si>
    <t>1473307420420149250</t>
  </si>
  <si>
    <t>1473307278652620801</t>
  </si>
  <si>
    <t>1473307093583241218</t>
  </si>
  <si>
    <t>1473306951371177991</t>
  </si>
  <si>
    <t>1473306779371069448</t>
  </si>
  <si>
    <t>@drfahrettinkoca https://t.co/hVffbcXxtx</t>
  </si>
  <si>
    <t>1473306747754487811</t>
  </si>
  <si>
    <t>RT @DrGenetik1: @drfahrettinkoca @saglikbakanligi  Artık yeter ! Öldürmeye yönelik doktora saldırıyor ,serbets bırakılıyor bu nedir ya?</t>
  </si>
  <si>
    <t>1473306674312187905</t>
  </si>
  <si>
    <t>1473306531403862023</t>
  </si>
  <si>
    <t>1473306429964656648</t>
  </si>
  <si>
    <t>1473305956884926470</t>
  </si>
  <si>
    <t>1473305802643546120</t>
  </si>
  <si>
    <t>1473305671974195207</t>
  </si>
  <si>
    <t>RT @GungorGuvener: @drfahrettinkoca  @tcmeb  Neyi beklediğinizi söyleyinde bizde anlayalım nereye kadar?????</t>
  </si>
  <si>
    <t>1473305522631856128</t>
  </si>
  <si>
    <t>1473305449302736905</t>
  </si>
  <si>
    <t>@drfahrettinkoca @EmniyetGM https://t.co/ClLo04XzBt</t>
  </si>
  <si>
    <t>1473305366247219219</t>
  </si>
  <si>
    <t>1473304921894182915</t>
  </si>
  <si>
    <t>1473304864184745987</t>
  </si>
  <si>
    <t>1473304509992644620</t>
  </si>
  <si>
    <t>1473304455932166157</t>
  </si>
  <si>
    <t>@drfahrettinkoca @tcmeb  #BilimKuruluGerçekVakalarıAçıkla Merhabalar Sağlığımızı öncelik olması için uzaktan eğitim… https://t.co/AW0XzrjOPs</t>
  </si>
  <si>
    <t>1473304195235254273</t>
  </si>
  <si>
    <t>1473304137211256834</t>
  </si>
  <si>
    <t>1473303736592347143</t>
  </si>
  <si>
    <t>1473303659282841605</t>
  </si>
  <si>
    <t>1473303497277911044</t>
  </si>
  <si>
    <t>1473303460594524162</t>
  </si>
  <si>
    <t>1473303408715120652</t>
  </si>
  <si>
    <t>1473303200014819331</t>
  </si>
  <si>
    <t>1473303007261515784</t>
  </si>
  <si>
    <t>1473302753753583620</t>
  </si>
  <si>
    <t>1473302632727040005</t>
  </si>
  <si>
    <t>1473302165158563856</t>
  </si>
  <si>
    <t>1473302100092272649</t>
  </si>
  <si>
    <t>1473302094547492869</t>
  </si>
  <si>
    <t>1473302090952884225</t>
  </si>
  <si>
    <t>1473302089522716677</t>
  </si>
  <si>
    <t>1473302049999790086</t>
  </si>
  <si>
    <t>1473302019377090562</t>
  </si>
  <si>
    <t>1473301939609870343</t>
  </si>
  <si>
    <t>1473301876665991170</t>
  </si>
  <si>
    <t>1473301832705445899</t>
  </si>
  <si>
    <t>@drfahrettinkoca https://t.co/qyD6WCGoaK</t>
  </si>
  <si>
    <t>1473301826447499272</t>
  </si>
  <si>
    <t>@drfahrettinkoca #BilimKuruluGerçekVakalarıAçıkla</t>
  </si>
  <si>
    <t>1473301777781080082</t>
  </si>
  <si>
    <t>1473301777504165892</t>
  </si>
  <si>
    <t>1473301715579543561</t>
  </si>
  <si>
    <t>1473301659333931010</t>
  </si>
  <si>
    <t>1473301552970739714</t>
  </si>
  <si>
    <t>@drfahrettinkoca sayın bakanım, biz bunu haketmedik.. https://t.co/kQnl57Ddpw</t>
  </si>
  <si>
    <t>1473301549782810624</t>
  </si>
  <si>
    <t>RT @taghesabidir1: @drfahrettinkoca @AtesAtesKara @drtevfikozlu @AlpayAzap @fusuneyuboglu @dralpersener  @erolozvar @serapsimsekyvz @suleym…</t>
  </si>
  <si>
    <t>1473301547085930497</t>
  </si>
  <si>
    <t>1473301511040024584</t>
  </si>
  <si>
    <t>RT @rosapetalis: @drfahrettinkoca  #BilimKuruluGerçekVakalarıAçıkla</t>
  </si>
  <si>
    <t>1473301302759366664</t>
  </si>
  <si>
    <t>RT @DrGenetik1: @drfahrettinkoca @saglikbakanligi</t>
  </si>
  <si>
    <t>1473301212497858565</t>
  </si>
  <si>
    <t>RT @asmdmt1: @drfahrettinkoca @saglikbakanligi @tcbestepe  @TC_icisleri  @barisatay  @kilicdarogluk @meral_aksener sağlıkta şiddet yasasını…</t>
  </si>
  <si>
    <t>1473301183930540038</t>
  </si>
  <si>
    <t>1473301079207165956</t>
  </si>
  <si>
    <t>1473300927209738240</t>
  </si>
  <si>
    <t>RT @genperisi: @drfahrettinkoca eksik yaptiginiz bir sey mi var bu nasil hala olabiliyor???</t>
  </si>
  <si>
    <t>1473300833655832579</t>
  </si>
  <si>
    <t>1473300274458636291</t>
  </si>
  <si>
    <t>1473300031662956548</t>
  </si>
  <si>
    <t>1473300004941013002</t>
  </si>
  <si>
    <t>RT @akel0202: @drfahrettinkoca Sayın bakanım Adıyaman 400 yataklı devlet hastanesi nin verdiği hileli adlı rapor yüzünden abim ve amcam oğl…</t>
  </si>
  <si>
    <t>1473299844043321353</t>
  </si>
  <si>
    <t>@drfahrettinkoca @abdulhamitgul @suleymansoylu @saglikbakanligi @adalet_bakanlik @TC_icisleri  Ne zaman dur denecek… https://t.co/tDUQaXFghz</t>
  </si>
  <si>
    <t>1473299759154835469</t>
  </si>
  <si>
    <t>1473299211429068800</t>
  </si>
  <si>
    <t>1473299156072644617</t>
  </si>
  <si>
    <t>1473299043573014532</t>
  </si>
  <si>
    <t>@drfahrettinkoca @saglikbakanligi @sagliklicozum https://t.co/zZKPFUksqD</t>
  </si>
  <si>
    <t>1473299017983528975</t>
  </si>
  <si>
    <t>@drfahrettinkoca @abdulhamitgul https://t.co/vHgYyjSRju</t>
  </si>
  <si>
    <t>1473298903798018050</t>
  </si>
  <si>
    <t>1473298163754799105</t>
  </si>
  <si>
    <t>RT @uurcan_y: @drfahrettinkoca DSÖ yalan mı söylüyor sayın?  Biri bizim vaka tablomuz diğeri DSÖ ye ait..   @drfahrettinkoca @BilimKurulu_…</t>
  </si>
  <si>
    <t>1473298119177777155</t>
  </si>
  <si>
    <t>RT @uurcan_y: @drfahrettinkoca dsö’ye neden öyle demiyorsunuz bakan bey PATLADINIZ https://t.co/6ZRFE3Uc5D</t>
  </si>
  <si>
    <t>1473298065813643271</t>
  </si>
  <si>
    <t>1473297376274264069</t>
  </si>
  <si>
    <t>1473297126075609088</t>
  </si>
  <si>
    <t>1473296838270853130</t>
  </si>
  <si>
    <t>1473296536465518596</t>
  </si>
  <si>
    <t>RT @Keremgk05371085: @drfahrettinkoca  #BilimKuruluGerçekVakalarıAçıkla</t>
  </si>
  <si>
    <t>1473296391623557121</t>
  </si>
  <si>
    <t>1473296328046354441</t>
  </si>
  <si>
    <t>RT @duckybads: @drfahrettinkoca #BilimKuruluGerçekVakalarıAçıkla</t>
  </si>
  <si>
    <t>1473296246500691969</t>
  </si>
  <si>
    <t>1473296215718649861</t>
  </si>
  <si>
    <t>1473296213718016007</t>
  </si>
  <si>
    <t>RT @lambader9: @drfahrettinkoca  #BilimKuruluGerçekVakalarıAçıkla</t>
  </si>
  <si>
    <t>1473296212682018816</t>
  </si>
  <si>
    <t>1473296204683530242</t>
  </si>
  <si>
    <t>1473296141995454472</t>
  </si>
  <si>
    <t>1473295947727876096</t>
  </si>
  <si>
    <t>@drfahrettinkoca @c_ahmethoca https://t.co/bERKizTahO</t>
  </si>
  <si>
    <t>1473295694937362437</t>
  </si>
  <si>
    <t>1473295610367422465</t>
  </si>
  <si>
    <t>1473295603903959046</t>
  </si>
  <si>
    <t>@drfahrettinkoca @saglikbakanligi @tcbestepe  @TC_icisleri  @barisatay  @kilicdarogluk @meral_aksener sağlıkta şidd… https://t.co/vXg0xZaY32</t>
  </si>
  <si>
    <t>1473295344591118336</t>
  </si>
  <si>
    <t>1473295330737377285</t>
  </si>
  <si>
    <t>1473295221161086985</t>
  </si>
  <si>
    <t>1473295188210733057</t>
  </si>
  <si>
    <t>1473294953480699906</t>
  </si>
  <si>
    <t>1473294817224441872</t>
  </si>
  <si>
    <t>1473294772433522696</t>
  </si>
  <si>
    <t>1473294689407225856</t>
  </si>
  <si>
    <t>1473294681471655940</t>
  </si>
  <si>
    <t>@drfahrettinkoca eksik yaptiginiz bir sey mi var bu nasil hala olabiliyor??? https://t.co/eNHmsitcRi</t>
  </si>
  <si>
    <t>1473294489686925312</t>
  </si>
  <si>
    <t>1473294488126857226</t>
  </si>
  <si>
    <t>1473294422133592068</t>
  </si>
  <si>
    <t>@drfahrettinkoca Öğrenciler online eğitim istiyor #BilimKuruluGerçekVakalarıAçıkla</t>
  </si>
  <si>
    <t>1473294326864257027</t>
  </si>
  <si>
    <t>1473294229812228111</t>
  </si>
  <si>
    <t>@drfahrettinkoca  #BilimKuruluGerçekVakalarıAçıkla</t>
  </si>
  <si>
    <t>1473294192604495875</t>
  </si>
  <si>
    <t>1473293936190017537</t>
  </si>
  <si>
    <t>RT @Yorgun62367843: @drfahrettinkoca #MahmutÖzerIstifa  #KılıcdaroğlundanOnlineEğitim</t>
  </si>
  <si>
    <t>1473293840052326409</t>
  </si>
  <si>
    <t>1473293821916110852</t>
  </si>
  <si>
    <t>1473293724952240132</t>
  </si>
  <si>
    <t>1473293700914626564</t>
  </si>
  <si>
    <t>1473293565451198468</t>
  </si>
  <si>
    <t>1473293394793349126</t>
  </si>
  <si>
    <t>1473293332700934152</t>
  </si>
  <si>
    <t>1473293288409116681</t>
  </si>
  <si>
    <t>1473293285586358276</t>
  </si>
  <si>
    <t>1473293199129120770</t>
  </si>
  <si>
    <t>1473293197203980290</t>
  </si>
  <si>
    <t>1473293147098783745</t>
  </si>
  <si>
    <t>1473293073983709200</t>
  </si>
  <si>
    <t>1473292492271493123</t>
  </si>
  <si>
    <t>RT @OnlineEgitim11: @drfahrettinkoca  bakanım omikron deli gibi yayılırken Medipol üniversitesi gibi ONLİNE EĞİTİM İSTİYORUZ</t>
  </si>
  <si>
    <t>1473292393810173957</t>
  </si>
  <si>
    <t>1473292392098942978</t>
  </si>
  <si>
    <t>@drfahrettinkoca @AtesAtesKara @drtevfikozlu @AlpayAzap @fusuneyuboglu @dralpersener  @erolozvar @serapsimsekyvz… https://t.co/8fTO6SrRqt</t>
  </si>
  <si>
    <t>1473292342660673549</t>
  </si>
  <si>
    <t>1473292227900329986</t>
  </si>
  <si>
    <t>1473292138691678208</t>
  </si>
  <si>
    <t>1473292080139145216</t>
  </si>
  <si>
    <t>@drfahrettinkoca @saglikbakanligi https://t.co/JcvBZEi1y0</t>
  </si>
  <si>
    <t>1473291923184050177</t>
  </si>
  <si>
    <t>@drfahrettinkoca @saglikbakanligi  Artık yeter ! Öldürmeye yönelik doktora saldırıyor ,serbets bırakılıyor bu nedir… https://t.co/1LoNr2uxrN</t>
  </si>
  <si>
    <t>1473291863855616000</t>
  </si>
  <si>
    <t>1473291585873924103</t>
  </si>
  <si>
    <t>1473291134130700288</t>
  </si>
  <si>
    <t>1473290903339081730</t>
  </si>
  <si>
    <t>1473290826172145665</t>
  </si>
  <si>
    <t>@drfahrettinkoca adalet nerde? #tutukluyargılansın https://t.co/ip7busuAUQ</t>
  </si>
  <si>
    <t>1473290228542717955</t>
  </si>
  <si>
    <t>1473290182531166213</t>
  </si>
  <si>
    <t>RT @EbruZeybon: @drfahrettinkoca Okullardaki durumu HATIRLATMAK isterim. VAKTİNDE ALINAN TEDBİR DAHA ÇOK KORUR #KılıcdaroğlundanOnlineEğitim</t>
  </si>
  <si>
    <t>1473289864951087104</t>
  </si>
  <si>
    <t>1473289773100015623</t>
  </si>
  <si>
    <t>1473289074668679179</t>
  </si>
  <si>
    <t>1473288854681567239</t>
  </si>
  <si>
    <t>1473288114722545666</t>
  </si>
  <si>
    <t>RT @yurisgfm: @drfahrettinkoca dsö’ye neden öyle demiyorsunuz bakan bey PATLADINIZ https://t.co/y52A2qtdHf</t>
  </si>
  <si>
    <t>1473285118026567689</t>
  </si>
  <si>
    <t>RT @bennagliyom: @drfahrettinkoca peki bu tabloyu nasıl açıklayacaksınız https://t.co/QX9uNG148k</t>
  </si>
  <si>
    <t>1473285101588992003</t>
  </si>
  <si>
    <t>RT @Yunusefetw: @drfahrettinkoca Fahrettin Koca BUNU AÇIKLA! https://t.co/ntBHez8KfQ</t>
  </si>
  <si>
    <t>1473285089924726786</t>
  </si>
  <si>
    <t>RT @draxx_drqxx: @drfahrettinkoca Açıklama istiyoruz https://t.co/Q6XShVGori</t>
  </si>
  <si>
    <t>1473285078608494592</t>
  </si>
  <si>
    <t>RT @king345157: @drfahrettinkoca Cevap bekliyoruz sayın koca https://t.co/piHChMlWuy</t>
  </si>
  <si>
    <t>1473285061537632263</t>
  </si>
  <si>
    <t>1473285036510269448</t>
  </si>
  <si>
    <t>1473284994298793986</t>
  </si>
  <si>
    <t>@drfahrettinkoca  bakanım omikron deli gibi yayılırken Medipol üniversitesi gibi ONLİNE EĞİTİM İSTİYORUZ https://t.co/MhAhZoGCQ4</t>
  </si>
  <si>
    <t>1473284390075699210</t>
  </si>
  <si>
    <t>1473282849952481284</t>
  </si>
  <si>
    <t>RT @EvaHawa4: @drfahrettinkoca aynen bozuk plak gibi her gün aynı saçmalıkları duyuyoruz sizden. takibi bırakıyorum yeter kafam şişti ÇÖZÜM…</t>
  </si>
  <si>
    <t>1473282492421582853</t>
  </si>
  <si>
    <t>RT @ebruern: @drfahrettinkoca Vaka /vefat sayıları sabit,tedbir ve kural da yok. O zaman yayınlamaya da gerek yok. Grip = covit olmuş. Buz…</t>
  </si>
  <si>
    <t>1473282465292763143</t>
  </si>
  <si>
    <t>1473282176540102669</t>
  </si>
  <si>
    <t>@drfahrettinkoca #MahmutÖzerIstifa  #KılıcdaroğlundanOnlineEğitim https://t.co/VURKcJXd7O</t>
  </si>
  <si>
    <t>1473281590713360387</t>
  </si>
  <si>
    <t>@drfahrettinkoca @saglikbakanligi #haçkalıbabadevlethastanesi sıra alındığı halde sıra almayan kişiler aralara gire… https://t.co/s9QqkM6a4e</t>
  </si>
  <si>
    <t>1473281493107720194</t>
  </si>
  <si>
    <t>1473281220935139331</t>
  </si>
  <si>
    <t>RT @twdfamilyy_: @drfahrettinkoca Sağlık Bakanının az önce açıkladığı 19.000 Vaka!  Dünya Sağlık Örgütüne İletilen 48.356!  SIRF ONLİNE EĞİ…</t>
  </si>
  <si>
    <t>1473281079771643907</t>
  </si>
  <si>
    <t>RT @yurisgfm: @drfahrettinkoca https://t.co/c7aRCcEWUr</t>
  </si>
  <si>
    <t>1473281037916680192</t>
  </si>
  <si>
    <t>@drfahrettinkoca https://t.co/VmdnzR8U18</t>
  </si>
  <si>
    <t>1473280151408586761</t>
  </si>
  <si>
    <t>RT @ErsoyKandemir2: @drfahrettinkoca Al senin müdür atamak istediğin ve atayıp 3 ay sonra görevinden alınan  Şenol atanamsın diye yaptığım…</t>
  </si>
  <si>
    <t>1473277103269457920</t>
  </si>
  <si>
    <t>@drfahrettinkoca Al senin müdür atamak istediğin ve atayıp 3 ay sonra görevinden alınan  Şenol atanamsın diye yaptı… https://t.co/P9f6k296x5</t>
  </si>
  <si>
    <t>1473277078191681537</t>
  </si>
  <si>
    <t>@drfahrettinkoca @saglikbakanligi https://t.co/jWBr9r1HCr</t>
  </si>
  <si>
    <t>1473274745131081733</t>
  </si>
  <si>
    <t>1473273663789088769</t>
  </si>
  <si>
    <t>RT @Sleyman01348653: @drfahrettinkoca @suayipbirinci @hakiskonf @turkiskonf @HakanToy06 @MHP_Bilgi @herkesicinCHP @Akparti @kilicdarogluk @…</t>
  </si>
  <si>
    <t>1473272225981775880</t>
  </si>
  <si>
    <t>@drfahrettinkoca korona geçirenlere neden hala bu ilaç veriliyor? Hatta miadı dolmuş olan bu ilaçlar neden toplatıl… https://t.co/i9GBh11p1s</t>
  </si>
  <si>
    <t>1473270957271879683</t>
  </si>
  <si>
    <t>RT @Derya26745389: @drfahrettinkoca #BakanKocaGercekVakayıAcıkla yalansız açıkla ne oldu Türkiye'deki omicron bulaşanlara hiç söylemediniz?…</t>
  </si>
  <si>
    <t>1473270956915314689</t>
  </si>
  <si>
    <t>@drfahrettinkoca @bengibaser @serapsimsekyvz @tcmeb @saglikbakanligi @sagliklicozum @profsaltik @BilimKurulu… https://t.co/xgpultrTDS</t>
  </si>
  <si>
    <t>1473265941517676544</t>
  </si>
  <si>
    <t>RT @Cuneyt_07_: @drfahrettinkoca Aşı ya gerek kalmadı vakalar düşmüş maske, mesafe gerek yok okullar da istesek se maske mesafe olmuyor zat…</t>
  </si>
  <si>
    <t>1473265528450031622</t>
  </si>
  <si>
    <t>RT @emrekut64833568: @drfahrettinkoca Uzaktan egitim sart #KılıcdaroğlundanOnlineEğitim</t>
  </si>
  <si>
    <t>1473265465556357121</t>
  </si>
  <si>
    <t>RT @MevltGnydn: @drfahrettinkoca Sayın @drfahrettinkoca buna nasıl bir  cevabınız var tüm toplum olarak merak ediyoruz Aşı nidaları atıyors…</t>
  </si>
  <si>
    <t>1473264693359824902</t>
  </si>
  <si>
    <t>@drfahrettinkoca @IzmirValiligi @saglikbakanligi Sayın Bakanım, Omicron varyantı ile ilgili İzmir'de 5 vakanın görü… https://t.co/1QnHCNa0G0</t>
  </si>
  <si>
    <t>1473261516975714305</t>
  </si>
  <si>
    <t>RT @eraycantrtr: @drfahrettinkoca Fahrettin bey vaka sayılarını 2xle çarpmamızmı gerekiyor vaka sayılarını bulmak icin ? https://t.co/nwJCX…</t>
  </si>
  <si>
    <t>1473261365053771781</t>
  </si>
  <si>
    <t>1473261297919741958</t>
  </si>
  <si>
    <t>RT @prof_yorumcu: @drfahrettinkoca Dün DSÖ'ye 34 vaka ve 362 vefat bildirdiğiniz doğru mu? https://t.co/BqaM4Qo4Bc</t>
  </si>
  <si>
    <t>1473261242009722881</t>
  </si>
  <si>
    <t>1473261215430463492</t>
  </si>
  <si>
    <t>RT @mesut640: @drfahrettinkoca Sayın bakanım 18 Bin vaka diyorsunuz Dünya Sağlık örgütüne dün için 34 Bin vaka bildirilmiş ? https://t.co/2…</t>
  </si>
  <si>
    <t>1473261185835450374</t>
  </si>
  <si>
    <t>RT @yurisgfm: @drfahrettinkoca 34.000 vaka ama nasıl oluyor bu? https://t.co/cSmisjAtdc</t>
  </si>
  <si>
    <t>1473261130420260867</t>
  </si>
  <si>
    <t>RT @uzakyolcu81: @drfahrettinkoca Bugüne kadar koruduya bundan sonrada korur. Uğur şahin önceleri %98 korur diyordu ilk doz. Sonra %35 oldu…</t>
  </si>
  <si>
    <t>1473261108127539206</t>
  </si>
  <si>
    <t>1473261067291832325</t>
  </si>
  <si>
    <t>RT @DumanTv: @drfahrettinkoca Biran önce tüm üniversitelerde uzaktan online eğitime geçilmeli veya yoklama zorunluluğu kaldırılsın</t>
  </si>
  <si>
    <t>1473261004884791304</t>
  </si>
  <si>
    <t>RT @Onurhan40259035: @drfahrettinkoca Yav arkadaş önlem yok birşey yok tek aşı olun diyor ben aşı falan olmam aşı olanlarıda gördük hepside…</t>
  </si>
  <si>
    <t>1473260974228574210</t>
  </si>
  <si>
    <t>RT @uzakyolcu81: @drfahrettinkoca Öldüren korona değil. Öncelikle maskeleriniz. Sonra aşılarınız. Sonrada verdiğiniz ilaçlar. Famipiravirin…</t>
  </si>
  <si>
    <t>1473260877877022721</t>
  </si>
  <si>
    <t>1473260856167256072</t>
  </si>
  <si>
    <t>1473260833840975877</t>
  </si>
  <si>
    <t>RT @duckybads: @drfahrettinkoca 34 bin vaka ne olacak ???!!!!!</t>
  </si>
  <si>
    <t>1473260813498691590</t>
  </si>
  <si>
    <t>1473260770888671233</t>
  </si>
  <si>
    <t>1473260751276101633</t>
  </si>
  <si>
    <t>RT @uurcan_y: @drfahrettinkoca Sahne sizi bekliyor sayın @drfahrettinkoca bunu açıklamanız için tabi siz işi aşıya getirmeden açıklar mısın…</t>
  </si>
  <si>
    <t>1473260565275549699</t>
  </si>
  <si>
    <t>@drfahrettinkoca 7-) Tüm Bunları Hocalarının Yanında Yanlış Tedavi Dahil Söyledim Ancak Hoca'nın Tepkisi Yok Maales… https://t.co/XT2opICUic</t>
  </si>
  <si>
    <t>1473260552747196419</t>
  </si>
  <si>
    <t>RT @Busbusenn: @drfahrettinkoca Vaka sayilari yalanmış aaaaa çok ayıp valla ayıp</t>
  </si>
  <si>
    <t>1473260488943452167</t>
  </si>
  <si>
    <t>RT @EvaHawa4: @drfahrettinkoca her gün yalvartıyorsunuz bu kadar insanı, dertli olmayan yok</t>
  </si>
  <si>
    <t>1473260472996618241</t>
  </si>
  <si>
    <t>RT @EvaHawa4: @drfahrettinkoca inanmıyoruz artık size.</t>
  </si>
  <si>
    <t>1473260458454966273</t>
  </si>
  <si>
    <t>1473260396232462342</t>
  </si>
  <si>
    <t>1473260347083608068</t>
  </si>
  <si>
    <t>RT @dxehrmn: @drfahrettinkoca Derhal online eğitim derhal. Vaka 34 bin demişsiniz hatta daha fazladır da neyse.</t>
  </si>
  <si>
    <t>1473260288149499907</t>
  </si>
  <si>
    <t>1473260272139870210</t>
  </si>
  <si>
    <t>RT @Derya26745389: @drfahrettinkoca Koca gibi YALAN @drfahrettinkoca</t>
  </si>
  <si>
    <t>1473260229722787841</t>
  </si>
  <si>
    <t>@drfahrettinkoca 6-) Ben Emekli Bir Vatandaşım Onlar Bize Hakaret Etme Hakkını Nereden Alıyorlar ?  Yoksa Sakallı O… https://t.co/HIZCXyzwtB</t>
  </si>
  <si>
    <t>1473260054388297732</t>
  </si>
  <si>
    <t>RT @ebruern: @drfahrettinkoca Bozuk plak gibi aşıya bağlanmış yine. Bugüne kadar kaç çocuk pozitif geldi?Kaçında hastaneye yartış yapıldı?…</t>
  </si>
  <si>
    <t>1473259892593025029</t>
  </si>
  <si>
    <t>@drfahrettinkoca şu anda 74 yaşında babam için etlik gata dayım. Bugün 14.30 a Selahattin Bedir den randevu aldık.… https://t.co/IhypE39pBI</t>
  </si>
  <si>
    <t>1473259794618359820</t>
  </si>
  <si>
    <t>RT @HaydarSarg: @drfahrettinkoca FAZ3 DENEK olmak isteyen olabilir, ama başkasının bebelerine SARKMAYIN sakın !  MABAD korkusu yüzünden old…</t>
  </si>
  <si>
    <t>1473259510148087811</t>
  </si>
  <si>
    <t>1473259330652753927</t>
  </si>
  <si>
    <t>@drfahrettinkoca 5-) Dediğimde Senin İlacın Pahalı Hastanemiz Bunu Almaz Onun İçin Yazmadım Dedi Asistan (İsmi Bend… https://t.co/4plAORCExD</t>
  </si>
  <si>
    <t>1473258844113539074</t>
  </si>
  <si>
    <t>@drfahrettinkoca 4-) Kullanayım Diye Sordum 2'ye Böl 1,5 1,5 Kullan Dedi İlacı Çıkarıp Siz Bölün Dedim Çünkü İlaç Y… https://t.co/TAuuy5L4jq</t>
  </si>
  <si>
    <t>1473257779196534791</t>
  </si>
  <si>
    <t>@drfahrettinkoca 3-) Hastanın O İlacı Bağışlaması İçin;İyileşmesi / Vefat Etmesi Gerek,Halen Kullanan Hasta İlaç Ba… https://t.co/ECKTTxepbD</t>
  </si>
  <si>
    <t>1473256786081849347</t>
  </si>
  <si>
    <t>RT @lhami35595221: @drfahrettinkoca https://t.co/v1PG0EHI6z</t>
  </si>
  <si>
    <t>1473256636714213376</t>
  </si>
  <si>
    <t>1473255954774900736</t>
  </si>
  <si>
    <t>@drfahrettinkoca BU rezilliğe Niçin Duyarsız Kalıyorsunuz Buradaki Özel Güvenlik Görevlisi Bayan Bu Millete Terbiye… https://t.co/aZW33zzqKZ</t>
  </si>
  <si>
    <t>1473255841738510343</t>
  </si>
  <si>
    <t>@drfahrettinkoca 2-) Ben Akciğer Fibrozisi Sebebiyle Nefes Darlığı Yaşıyorum Bu Nedenle Kullandığım Ofev 150 mg İla… https://t.co/bqGPpnLyX4</t>
  </si>
  <si>
    <t>1473255554034421770</t>
  </si>
  <si>
    <t>@drfahrettinkoca  BU Rezillik An İtibariyle YALOVA Devler Hastahanesi 1. kat Bu Milleti Niçin Bukadar Sahipsiz Bıra… https://t.co/WUOqW9W9CV</t>
  </si>
  <si>
    <t>1473254966739537928</t>
  </si>
  <si>
    <t>@drfahrettinkoca bakanım hastane randevuları sıkıntılı,alamıyoruz.Oğlum yeşil reçeteli ilaç kullanıyor.Rapor bitmek… https://t.co/vvOCZ7Om9H</t>
  </si>
  <si>
    <t>1473254519509336064</t>
  </si>
  <si>
    <t>@drfahrettinkoca  Sayın Bakanım Yalova Devlet Hastahanesi Aşı ünitesi Tek Odada Milleti İterek Kakarak Hakaret eder… https://t.co/zRlj2dDJjU</t>
  </si>
  <si>
    <t>1473254197365776394</t>
  </si>
  <si>
    <t>@drfahrettinkoca 1-) Sayın Bakanım;Personelinize Ve İhtiyaç Sahibi Vatandaşlara Sahip Çıkmanız Takdire Şayan, Bana… https://t.co/OhJSnBQszX</t>
  </si>
  <si>
    <t>1473253761267216385</t>
  </si>
  <si>
    <t>@drfahrettinkoca @abdulhamitgul https://t.co/oedbH8Z7lR</t>
  </si>
  <si>
    <t>1473248737665466376</t>
  </si>
  <si>
    <t>RT @neslihansahintw: @drfahrettinkoca @mehmetceyhan23 siz de aynısından mı oldunuz</t>
  </si>
  <si>
    <t>1473247120530579458</t>
  </si>
  <si>
    <t>RT @CemilCan5834: @drfahrettinkoca Zamanında tedbirlere uyup bitecekti. Şimdi aşı ve tedbirlerle diyorsun, Ne oldu 2 doz koruyacaktı insanl…</t>
  </si>
  <si>
    <t>1473244230529302531</t>
  </si>
  <si>
    <t>1473243829025316867</t>
  </si>
  <si>
    <t>@drfahrettinkoca @mehmetceyhan23 siz de aynısından mı oldunuz https://t.co/VKCsN2HfrA</t>
  </si>
  <si>
    <t>1473243587718565892</t>
  </si>
  <si>
    <t>@drfahrettinkoca sayın bakanım kız kardeşim mersin mezitli sağlık ocağına 3.doz aşıyı yaptırmaya gıtmış çalışanlar… https://t.co/X8Jgk2etjt</t>
  </si>
  <si>
    <t>1473243181810601989</t>
  </si>
  <si>
    <t>RT @CemilCan5834: @drfahrettinkoca bak ne diyor arkadaş, yoğun bakımlardan yayın yapıyorsun ama bunları görmüyorsun</t>
  </si>
  <si>
    <t>1473242241548402696</t>
  </si>
  <si>
    <t>@drfahrettinkoca Muğla-Bodrum’da aşı randevusu ALAMIYORUM</t>
  </si>
  <si>
    <t>1473242174498160644</t>
  </si>
  <si>
    <t>1473239754275700736</t>
  </si>
  <si>
    <t>@drfahrettinkoca bak ne diyor arkadaş, yoğun bakımlardan yayın yapıyorsun ama bunları görmüyorsun https://t.co/mpzDkyKGDj</t>
  </si>
  <si>
    <t>1473237516258099200</t>
  </si>
  <si>
    <t>@drfahrettinkoca Sincan ilçe sağlık müdürlüğü yatalak hastaların aşısını evde yapmıyor mu randevu yok diğer ilçeler… https://t.co/04UNIiOITU</t>
  </si>
  <si>
    <t>1473236469108166658</t>
  </si>
  <si>
    <t>1473234768858951684</t>
  </si>
  <si>
    <t>@drfahrettinkoca  Babamı kusma, titreme gibi şikayetler ile Ankara Gülhane Acil'e götürdük. Bekleme sırasında babam… https://t.co/POu9oJR75l</t>
  </si>
  <si>
    <t>1473234581369282563</t>
  </si>
  <si>
    <t>@drfahrettinkoca   Yetmedi mi daha? https://t.co/o4nINUh80E</t>
  </si>
  <si>
    <t>1473233599445049345</t>
  </si>
  <si>
    <t>1473231651794788354</t>
  </si>
  <si>
    <t>@drfahrettinkoca @BilimKurulu_ @saglikbakanligi https://t.co/7LhYmeAIve</t>
  </si>
  <si>
    <t>1473231448987648003</t>
  </si>
  <si>
    <t>1473230893569486850</t>
  </si>
  <si>
    <t>1473229134490918921</t>
  </si>
  <si>
    <t>@drfahrettinkoca  @tcmeb  Neyi beklediğinizi söyleyinde bizde anlayalım nereye kadar????? https://t.co/A3mAzg2sHZ</t>
  </si>
  <si>
    <t>1473227999487082497</t>
  </si>
  <si>
    <t>RT @EvaHawa4: @drfahrettinkoca ONLINE EĞİTİM GELSİİİİİİİİİİİİİNNNNNNNNNNN</t>
  </si>
  <si>
    <t>1473227791277699072</t>
  </si>
  <si>
    <t>1473226175229181954</t>
  </si>
  <si>
    <t>@drfahrettinkoca  cesaretin ve yüreğin ve dsö izin alabilirsen otopsi yapabilirmisin?  Bak testleri negatıfmiş  Hod… https://t.co/GSvhaGOHUF</t>
  </si>
  <si>
    <t>1473226145722249217</t>
  </si>
  <si>
    <t>@drfahrettinkoca https://t.co/UzWLZrIhHE</t>
  </si>
  <si>
    <t>1473221926151729155</t>
  </si>
  <si>
    <t>@drfahrettinkoca @mehmetceyhan23 @DrZekiBay @bengibaser @serapsimsekyvz @tcmeb @saglikbakanligi @sagliklicozum… https://t.co/K9o6hVzXBj</t>
  </si>
  <si>
    <t>1473218940151250952</t>
  </si>
  <si>
    <t>@drfahrettinkoca @mehmetceyhan23 @DrZekiBay @bengibaser @serapsimsekyvz @tcmeb @saglikbakanligi @sagliklicozum… https://t.co/QfMrv0HGKi</t>
  </si>
  <si>
    <t>1473218833460645892</t>
  </si>
  <si>
    <t>@drfahrettinkoca  devlete giden ölsün değil mi ???? Siz sağlıkta devrim yaptınız değil mi ??? 3 ayyy nedir yahuuuuu… https://t.co/FQyrDIYEd4</t>
  </si>
  <si>
    <t>1473217881659916289</t>
  </si>
  <si>
    <t>RT @Kubraatsd: @drfahrettinkoca size diyoruz z kuşağını kandıramazsınızz doğru vakaları açıklamalısınız ve bu sayıda online gelmek zorunda…</t>
  </si>
  <si>
    <t>1473216682965536773</t>
  </si>
  <si>
    <t>RT @MsMervechan: @drfahrettinkoca Sayın Bakan, bu tarz haberler ve bilgileri ilk kez duymuyoruz, insanın içi açıyor. Hadi ölüm haktan. Anca…</t>
  </si>
  <si>
    <t>1473215045832216587</t>
  </si>
  <si>
    <t>RT @emine_urun: @drfahrettinkoca Peki diyelim 3 ay sonra vakti bitti bir kaç gün hatırlatma(!)dozunu yapamadık,o zaman ölürmüyüz? Buldunuz…</t>
  </si>
  <si>
    <t>1473214713186209798</t>
  </si>
  <si>
    <t>RT @satikartas_: @drfahrettinkoca @saglikbakanligi TECRİT altında, MOBİNG uygulanarak dayatılan @WHO/@saglikbakanligi "PCR testlerinin hata…</t>
  </si>
  <si>
    <t>1473214531576938496</t>
  </si>
  <si>
    <t>RT @satikartas_: @drfahrettinkoca @saglikbakanligi KANITLANMIŞ aşılarla TOPLUMSAL BAĞIŞIKLIK oluşmaz/zorlanmazken ve her yıl tekrar eden gr…</t>
  </si>
  <si>
    <t>1473214488669208581</t>
  </si>
  <si>
    <t>@drfahrettinkoca devlet Hastanesi'nde para veriyoruz yok böyle bi uygulama</t>
  </si>
  <si>
    <t>1473209214604660737</t>
  </si>
  <si>
    <t>1473207583217496071</t>
  </si>
  <si>
    <t>RT @camurcu_seyit: @drfahrettinkoca Sen bu milletle dalga geçiyorsun ya biz de seninle zamanı geldiğinde çok güzel dalga geçeceğiz sayın ba…</t>
  </si>
  <si>
    <t>1473207573486702593</t>
  </si>
  <si>
    <t>RT @ZgrtAa2: @drfahrettinkoca Piyon musunuz siz. Kimler getirdi sizi bu hale. Allah onların da dizin de cezalarınızi versin @drfahrettinkoc…</t>
  </si>
  <si>
    <t>1473207130203250694</t>
  </si>
  <si>
    <t>1473207090109890567</t>
  </si>
  <si>
    <t>RT @uzakyolcu81: @drfahrettinkoca 3. Dozla beraber vakalar yeniden tırmanışa geçecek buradan söylüyorum. Sonra vakalar çok yükseldi deyip y…</t>
  </si>
  <si>
    <t>1473206974993027073</t>
  </si>
  <si>
    <t>RT @dalgaliideniz: @drfahrettinkoca Şu okulları uzaktan eğitime döndürün diye diye dilimizde tüy bitti 60 kişilik sınıflarda kaç saat kapal…</t>
  </si>
  <si>
    <t>1473206499665227776</t>
  </si>
  <si>
    <t>1473204999492706306</t>
  </si>
  <si>
    <t>RT @FARAT24: @drfahrettinkoca Ben DSÖ saçmalıklarına değil Doğal hayatı savunan böyle araştırmacı ilim insanlarımıza güveniyor bu nedenle b…</t>
  </si>
  <si>
    <t>1473203018933940226</t>
  </si>
  <si>
    <t>RT @KELESkeles: @drfahrettinkoca babam 1 aydır hastanelerde sürünüyor. Bir teşhis konulup tedavi süreci başlanmıyor. Kartal lütfü kırdar ye…</t>
  </si>
  <si>
    <t>1473202730718142466</t>
  </si>
  <si>
    <t>1473202721004167171</t>
  </si>
  <si>
    <t>1473202389876453376</t>
  </si>
  <si>
    <t>RT @KaanCem33433371: @drfahrettinkoca Vakalar 34 bin mi 18 bin mi daha kendinizle çelişiyorsunuz.    #KılıcdaroğlundanOnlineEğitim</t>
  </si>
  <si>
    <t>1473202237736423426</t>
  </si>
  <si>
    <t>RT @Derya26745389: @drfahrettinkoca Siz cidden şaka yapıyorsunuz yada dalga geçiyorsunuz bizimle @drfahrettinkoca</t>
  </si>
  <si>
    <t>1473202230337720322</t>
  </si>
  <si>
    <t>1473202192911945729</t>
  </si>
  <si>
    <t>1473202021792731136</t>
  </si>
  <si>
    <t>1473201996354232322</t>
  </si>
  <si>
    <t>1473201991077842947</t>
  </si>
  <si>
    <t>1473201606116225026</t>
  </si>
  <si>
    <t>@drfahrettinkoca  #ITrustYouErdogan√ #WeTrustYouErdogan√</t>
  </si>
  <si>
    <t>1473201224874958848</t>
  </si>
  <si>
    <t>RT @Umut36928729: @drfahrettinkoca 2018 den beri engelli sağlıkçıların ataması yapılmıyor buna rağmen tek bir adım atılmadı verilen sözler…</t>
  </si>
  <si>
    <t>1473200357916430340</t>
  </si>
  <si>
    <t>1473197043829063684</t>
  </si>
  <si>
    <t>RT @Kubraatsd: @drfahrettinkoca hadi açıklayın bunuda nasıl canımızı tehlikeye attığınızı açıklayın #gerçekvakalaraçıklansın https://t.co/l…</t>
  </si>
  <si>
    <t>1473197002724974595</t>
  </si>
  <si>
    <t>@drfahrettinkoca babam 1 aydır hastanelerde sürünüyor. Bir teşhis konulup tedavi süreci başlanmıyor. Kartal lütfü k… https://t.co/g4v279Jnmk</t>
  </si>
  <si>
    <t>1473195227523563524</t>
  </si>
  <si>
    <t>@drfahrettinkoca @suayipbirinci @hakiskonf @turkiskonf @HakanToy06 @MHP_Bilgi @herkesicinCHP @Akparti… https://t.co/ooD57L8t1O</t>
  </si>
  <si>
    <t>1473193067414970370</t>
  </si>
  <si>
    <t>@drfahrettinkoca bugün Omicron için ne yaptınız?</t>
  </si>
  <si>
    <t>1473187561107599365</t>
  </si>
  <si>
    <t>1473187259780411397</t>
  </si>
  <si>
    <t>1473186357975654400</t>
  </si>
  <si>
    <t>@drfahrettinkoca 2+2 aşırıların durumu ne olacak slnovac in etkisi biteli aylar olduysa 2 doz biontech in üzerine 3… https://t.co/el9FjUCwti</t>
  </si>
  <si>
    <t>1473184822348718086</t>
  </si>
  <si>
    <t>@drfahrettinkoca https://t.co/ap4baGUHJJ</t>
  </si>
  <si>
    <t>1473183219893821441</t>
  </si>
  <si>
    <t>1473179729729658891</t>
  </si>
  <si>
    <t>1473179717121589249</t>
  </si>
  <si>
    <t>1473179697429233664</t>
  </si>
  <si>
    <t>RT @Furkan22609959: @drfahrettinkoca Sahtekarlık diz boyu #FAYZİRTEPETAKLAK https://t.co/LxraggmnK3</t>
  </si>
  <si>
    <t>1473178063995383811</t>
  </si>
  <si>
    <t>@drfahrettinkoca @jiimyy94 @bsc_trader  @MetakingsAI #Solana #mtk #metakings #Metaverse</t>
  </si>
  <si>
    <t>1473174512564899842</t>
  </si>
  <si>
    <t>RT @KushimAmerigo: @drfahrettinkoca Özet : Bakanlığımda çalışanlar yanlış yapmazlar, yapamazlar, yapsalar da dokunulmazlıkları vardır. Yasa…</t>
  </si>
  <si>
    <t>1473173159906000899</t>
  </si>
  <si>
    <t>1473171907499417605</t>
  </si>
  <si>
    <t>1473167398215856133</t>
  </si>
  <si>
    <t>RT @prof2run: @drfahrettinkoca Sağlık bakanı onu bırakın da biontech aşılarına nano parçaları eklemiş insanlarda denemek için.. bunun da ta…</t>
  </si>
  <si>
    <t>1473167263830315008</t>
  </si>
  <si>
    <t>RT @BeyhanUar10: @drfahrettinkoca Aşı korur mu? Kaç doz sonra korur mesela. Üç aşılı ağır geçiren koronalılara ve yan etki yaşayanlara burd…</t>
  </si>
  <si>
    <t>1473166803610345474</t>
  </si>
  <si>
    <t>1473165919669133313</t>
  </si>
  <si>
    <t>RT @ahadediyalan: @drfahrettinkoca Millet deliydi temelli delirttiniz. Bu gün 2 bayan yürüyüşte eşofmanla karşıdan geliyor bende onlara doğ…</t>
  </si>
  <si>
    <t>1473163298862477320</t>
  </si>
  <si>
    <t>RT @HandanTuncalp: @drfahrettinkoca Her gün aynı sayıları duyuyoruz sanki sabitlenmiş gibi, peki 5-11 yaş grubundaki aşısız çocuklarımız ka…</t>
  </si>
  <si>
    <t>1473162180354785281</t>
  </si>
  <si>
    <t>1473162168464031745</t>
  </si>
  <si>
    <t>1473162155679694851</t>
  </si>
  <si>
    <t>1473162134213337094</t>
  </si>
  <si>
    <t>1473160580542382085</t>
  </si>
  <si>
    <t>1473158269401247744</t>
  </si>
  <si>
    <t>1473157464476598275</t>
  </si>
  <si>
    <t>1473155782086737926</t>
  </si>
  <si>
    <t>1473153416276938755</t>
  </si>
  <si>
    <t>RT @CemilCan5834: @drfahrettinkoca https://t.co/uJ4QZCwu7W</t>
  </si>
  <si>
    <t>1473153197732737029</t>
  </si>
  <si>
    <t>1473152598312206336</t>
  </si>
  <si>
    <t>1473152460076290048</t>
  </si>
  <si>
    <t>1473152184988676097</t>
  </si>
  <si>
    <t>RT @CemilCan5834: @drfahrettinkoca https://t.co/DIg4Pv5q2N</t>
  </si>
  <si>
    <t>1473152138490621957</t>
  </si>
  <si>
    <t>1473150633024921606</t>
  </si>
  <si>
    <t>1473150525231312899</t>
  </si>
  <si>
    <t>1473149427296710657</t>
  </si>
  <si>
    <t>1473147701541933061</t>
  </si>
  <si>
    <t>1473145444410834946</t>
  </si>
  <si>
    <t>1473145009381773312</t>
  </si>
  <si>
    <t>RT @Furkan22609959: @drfahrettinkoca Tepe taklak olacağınız günler yakındır #FAYZİRTEPETAKLAK https://t.co/KpO6WajkgE</t>
  </si>
  <si>
    <t>1473144863956865027</t>
  </si>
  <si>
    <t>RT @gngr_hsks: @drfahrettinkoca @saglikbakanligi Birde kameraman arkadaşa şiddet uygulayan adı gazeteci olan ahlaksızı tutuklasanız eliniz…</t>
  </si>
  <si>
    <t>1473141384601341952</t>
  </si>
  <si>
    <t>RT @fatmazehraguner: @drfahrettinkoca Aynı adaleti  gazeteci Muharrem Sarıkaya içinde bekliyoruz ikisi arasında tek fark birinin alkollü ol…</t>
  </si>
  <si>
    <t>1473141356482768898</t>
  </si>
  <si>
    <t>RT @ierkn_: @drfahrettinkoca #Favipiravir ilacı ya da aşı sonrası #minnacık pıhtılar ya da başlardaki #sıtma ilacı,solunum vb yanlış tedavi…</t>
  </si>
  <si>
    <t>1473141161191690240</t>
  </si>
  <si>
    <t>RT @alisaglam2008: @drfahrettinkoca Şu yeni doğan bebeklere yanlışlıkla covid aşısı yaparak denek yapanlara noldu bu olay o kadar mı önemsi…</t>
  </si>
  <si>
    <t>1473140782404182017</t>
  </si>
  <si>
    <t>RT @uzakyolcu81: @drfahrettinkoca Herkes bir kişiyi ikna etsin aşının işe yaramafığına dair. Yoksa 3. Doz bu hızla giderse 1 aya vakalar pa…</t>
  </si>
  <si>
    <t>1473140483157286917</t>
  </si>
  <si>
    <t>1473140397174054916</t>
  </si>
  <si>
    <t>1473140223286652928</t>
  </si>
  <si>
    <t>1473140161894617089</t>
  </si>
  <si>
    <t>RT @politicomedia1: @drfahrettinkoca Memleket batıyor,millet zamların altına eziliyor,dolar uzaya uçuyor TL eridikce eriyor  sayın bakanda…</t>
  </si>
  <si>
    <t>1473140073931673600</t>
  </si>
  <si>
    <t>RT @Busbusenn: @drfahrettinkoca Biraz da aşıları sorgulayalım öyleyse :)</t>
  </si>
  <si>
    <t>1473140008588558342</t>
  </si>
  <si>
    <t>1473139966817542145</t>
  </si>
  <si>
    <t>1473139494551535616</t>
  </si>
  <si>
    <t>1473139197305405448</t>
  </si>
  <si>
    <t>1473139065243549703</t>
  </si>
  <si>
    <t>1473139009543196672</t>
  </si>
  <si>
    <t>1473131761672536073</t>
  </si>
  <si>
    <t>RT @Bilgi2aati: @drfahrettinkoca Dün DSÖ'ye 34 vaka ve 362 vefat bildirdiğiniz doğru mu? https://t.co/BqaM4Qo4Bc</t>
  </si>
  <si>
    <t>1473130796919705605</t>
  </si>
  <si>
    <t>1473130751612891138</t>
  </si>
  <si>
    <t>1473130468241518598</t>
  </si>
  <si>
    <t>RT @AdnanAkcakoyun2: @drfahrettinkoca Cezalar  gelmes se  vaka sayisi Almanyayi yeniden  gecer https://t.co/f6U8ExTJJe</t>
  </si>
  <si>
    <t>1473130190775758858</t>
  </si>
  <si>
    <t>1473129358571319300</t>
  </si>
  <si>
    <t>1473124132686639105</t>
  </si>
  <si>
    <t>RT @CemilCan5834: @drfahrettinkoca https://t.co/dQGlC5rUzp</t>
  </si>
  <si>
    <t>1473119033084071937</t>
  </si>
  <si>
    <t>1473118783367753729</t>
  </si>
  <si>
    <t>RT @Sonvirsbkc1: @drfahrettinkoca Eskiden mesajlar subliminal olurdu. Her bakan anlamazdı. Şimdi aleni veriliyor mesajlar. Yine de bakar kö…</t>
  </si>
  <si>
    <t>1473118177769013252</t>
  </si>
  <si>
    <t>RT @BeyhanUar10: @drfahrettinkoca Aşı kıymetl ve faydalı olsa millet geberse bulamazdı. Bıraaaak artık uydurmayı. Kalp iltihapları patladı,…</t>
  </si>
  <si>
    <t>1473118128485933065</t>
  </si>
  <si>
    <t>RT @Sezgiseldeneyim: @drfahrettinkoca ALLAH SENİN 666 KERE KADEMELİ 666 KADEMELİ SONSUZ 666 BELANI VERSIN,  SATILMIŞ fahrettin ! koca....</t>
  </si>
  <si>
    <t>1473118054393561090</t>
  </si>
  <si>
    <t>RT @vefarch: @drfahrettinkoca 666 şeytani rituel Allah belanizı verecek bekleyin</t>
  </si>
  <si>
    <t>1473117797882515461</t>
  </si>
  <si>
    <t>1473117676104998917</t>
  </si>
  <si>
    <t>1473111480606380032</t>
  </si>
  <si>
    <t>RT @celil_sanat: @drfahrettinkoca Verileri silmeyin bu kadarı fazla artık. https://t.co/6U2jHDhh6D</t>
  </si>
  <si>
    <t>1473111431864373249</t>
  </si>
  <si>
    <t>RT @bayram_trkolu: @drfahrettinkoca Virüsü sal ve reklamını yap İnsanları paniklet Ölümcül yan etkili sıvıya mecbur bırak Tedavi etmeyen il…</t>
  </si>
  <si>
    <t>1473110866753114116</t>
  </si>
  <si>
    <t>RT @ilker_erduran: @drfahrettinkoca Pfizer bionteçh mRNA aşıları ortakları kim  bilen araştıran ? Pfizer bionteçh mRNA aşıların sponsorları…</t>
  </si>
  <si>
    <t>1473110721114296323</t>
  </si>
  <si>
    <t>RT @FARAT24: @drfahrettinkoca https://t.co/ljGG85fpLK</t>
  </si>
  <si>
    <t>1473110594144329734</t>
  </si>
  <si>
    <t>1473109238679547911</t>
  </si>
  <si>
    <t>1473108658816962564</t>
  </si>
  <si>
    <t>1473106497747968005</t>
  </si>
  <si>
    <t>@drfahrettinkoca sayın Sağlık Bakanı bu yazıyı görün. Görmezden gelirseniz gözleriniz başka birşey göremesin. https://t.co/tNCVlTjgnG</t>
  </si>
  <si>
    <t>1473102943180230663</t>
  </si>
  <si>
    <t>RT @SkyZeyn: @drfahrettinkoca https://t.co/7iXu21IWne</t>
  </si>
  <si>
    <t>1473085968894861316</t>
  </si>
  <si>
    <t>RT @FreeThinker003: @drfahrettinkoca İngiltere'de NHS (sağlık servisi), 1/1/20 ile 31/1/21 arasında SADECE 10 hastanın covid 19'dan öldüğün…</t>
  </si>
  <si>
    <t>1473084374803431425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</si>
</sst>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5" x14ac:knownFonts="1">
    <font>
      <sz val="11"/>
      <color theme="1"/>
      <name val="Arial"/>
    </font>
    <font>
      <sz val="10"/>
      <color theme="1"/>
      <name val="Arial"/>
    </font>
    <font>
      <sz val="11"/>
      <color theme="1"/>
      <name val="Calibri"/>
    </font>
    <font>
      <u/>
      <sz val="10"/>
      <color rgb="FF0000FF"/>
      <name val="Arial"/>
    </font>
    <font>
      <u/>
      <sz val="11"/>
      <color rgb="FF0000FF"/>
      <name val="Arial"/>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xf numFmtId="0" fontId="2" fillId="0" borderId="0" xfId="0" applyFont="1" applyAlignment="1"/>
    <xf numFmtId="164" fontId="1" fillId="0" borderId="0" xfId="0" applyNumberFormat="1" applyFont="1"/>
    <xf numFmtId="0" fontId="2" fillId="0" borderId="0" xfId="0" applyFont="1"/>
    <xf numFmtId="0" fontId="3" fillId="0" borderId="0" xfId="0" applyFont="1"/>
    <xf numFmtId="0" fontId="4" fillId="0" borderId="0" xfId="0" applyFo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t.co/4zP3urNZwg" TargetMode="External"/><Relationship Id="rId18" Type="http://schemas.openxmlformats.org/officeDocument/2006/relationships/hyperlink" Target="https://t.co/3tt1w2fncx" TargetMode="External"/><Relationship Id="rId26" Type="http://schemas.openxmlformats.org/officeDocument/2006/relationships/hyperlink" Target="https://t.co/Pa26HqmVMT" TargetMode="External"/><Relationship Id="rId39" Type="http://schemas.openxmlformats.org/officeDocument/2006/relationships/hyperlink" Target="https://t.co/yQvwEcQ6pE" TargetMode="External"/><Relationship Id="rId21" Type="http://schemas.openxmlformats.org/officeDocument/2006/relationships/hyperlink" Target="https://t.co/YZi25Gedyp" TargetMode="External"/><Relationship Id="rId34" Type="http://schemas.openxmlformats.org/officeDocument/2006/relationships/hyperlink" Target="https://t.co/IDHckYOHwq" TargetMode="External"/><Relationship Id="rId42" Type="http://schemas.openxmlformats.org/officeDocument/2006/relationships/hyperlink" Target="https://t.co/GrnD12YZTY" TargetMode="External"/><Relationship Id="rId47" Type="http://schemas.openxmlformats.org/officeDocument/2006/relationships/hyperlink" Target="https://t.co/j1nfEgEdAw" TargetMode="External"/><Relationship Id="rId50" Type="http://schemas.openxmlformats.org/officeDocument/2006/relationships/hyperlink" Target="https://t.co/B36iearZZu" TargetMode="External"/><Relationship Id="rId55" Type="http://schemas.openxmlformats.org/officeDocument/2006/relationships/hyperlink" Target="https://t.co/qS6u7kVIOl" TargetMode="External"/><Relationship Id="rId7" Type="http://schemas.openxmlformats.org/officeDocument/2006/relationships/hyperlink" Target="https://t.co/2TXWyHb67h" TargetMode="External"/><Relationship Id="rId12" Type="http://schemas.openxmlformats.org/officeDocument/2006/relationships/hyperlink" Target="https://t.co/Er4nSJURuL" TargetMode="External"/><Relationship Id="rId17" Type="http://schemas.openxmlformats.org/officeDocument/2006/relationships/hyperlink" Target="https://t.co/bw8d2mckK7" TargetMode="External"/><Relationship Id="rId25" Type="http://schemas.openxmlformats.org/officeDocument/2006/relationships/hyperlink" Target="https://t.co/AEeyXpiyA1" TargetMode="External"/><Relationship Id="rId33" Type="http://schemas.openxmlformats.org/officeDocument/2006/relationships/hyperlink" Target="https://t.co/dbYdruJaaC" TargetMode="External"/><Relationship Id="rId38" Type="http://schemas.openxmlformats.org/officeDocument/2006/relationships/hyperlink" Target="https://t.co/bTV4ZSrUoq" TargetMode="External"/><Relationship Id="rId46" Type="http://schemas.openxmlformats.org/officeDocument/2006/relationships/hyperlink" Target="https://t.co/QyyvwnvMmK" TargetMode="External"/><Relationship Id="rId2" Type="http://schemas.openxmlformats.org/officeDocument/2006/relationships/hyperlink" Target="https://t.co/MOvzPARvQs" TargetMode="External"/><Relationship Id="rId16" Type="http://schemas.openxmlformats.org/officeDocument/2006/relationships/hyperlink" Target="https://t.co/tfsJcl03zP" TargetMode="External"/><Relationship Id="rId20" Type="http://schemas.openxmlformats.org/officeDocument/2006/relationships/hyperlink" Target="https://t.co/3XvMJZcCQj" TargetMode="External"/><Relationship Id="rId29" Type="http://schemas.openxmlformats.org/officeDocument/2006/relationships/hyperlink" Target="https://t.co/WdCcXU71bC" TargetMode="External"/><Relationship Id="rId41" Type="http://schemas.openxmlformats.org/officeDocument/2006/relationships/hyperlink" Target="https://t.co/EHMoWGk6NJ" TargetMode="External"/><Relationship Id="rId54" Type="http://schemas.openxmlformats.org/officeDocument/2006/relationships/hyperlink" Target="https://t.co/FxBqugicnw" TargetMode="External"/><Relationship Id="rId1" Type="http://schemas.openxmlformats.org/officeDocument/2006/relationships/hyperlink" Target="https://t.co/ZkBT2pfn7f" TargetMode="External"/><Relationship Id="rId6" Type="http://schemas.openxmlformats.org/officeDocument/2006/relationships/hyperlink" Target="https://t.co/1olZiwiXtH" TargetMode="External"/><Relationship Id="rId11" Type="http://schemas.openxmlformats.org/officeDocument/2006/relationships/hyperlink" Target="https://t.co/Ga4YX99Hlh" TargetMode="External"/><Relationship Id="rId24" Type="http://schemas.openxmlformats.org/officeDocument/2006/relationships/hyperlink" Target="https://t.co/IKCNLnTGYZ" TargetMode="External"/><Relationship Id="rId32" Type="http://schemas.openxmlformats.org/officeDocument/2006/relationships/hyperlink" Target="https://t.co/RYJk9o2kSd" TargetMode="External"/><Relationship Id="rId37" Type="http://schemas.openxmlformats.org/officeDocument/2006/relationships/hyperlink" Target="https://t.co/hYcFfznaHx" TargetMode="External"/><Relationship Id="rId40" Type="http://schemas.openxmlformats.org/officeDocument/2006/relationships/hyperlink" Target="https://t.co/EYw0cxHQs1" TargetMode="External"/><Relationship Id="rId45" Type="http://schemas.openxmlformats.org/officeDocument/2006/relationships/hyperlink" Target="https://t.co/pQl3wYpLbM" TargetMode="External"/><Relationship Id="rId53" Type="http://schemas.openxmlformats.org/officeDocument/2006/relationships/hyperlink" Target="https://t.co/fRF00sjzbz" TargetMode="External"/><Relationship Id="rId5" Type="http://schemas.openxmlformats.org/officeDocument/2006/relationships/hyperlink" Target="https://t.co/h9zwxCvy7v" TargetMode="External"/><Relationship Id="rId15" Type="http://schemas.openxmlformats.org/officeDocument/2006/relationships/hyperlink" Target="https://t.co/3p4fcUvLGv" TargetMode="External"/><Relationship Id="rId23" Type="http://schemas.openxmlformats.org/officeDocument/2006/relationships/hyperlink" Target="https://t.co/LiSZtqQikV" TargetMode="External"/><Relationship Id="rId28" Type="http://schemas.openxmlformats.org/officeDocument/2006/relationships/hyperlink" Target="https://t.co/jZimdpn5os" TargetMode="External"/><Relationship Id="rId36" Type="http://schemas.openxmlformats.org/officeDocument/2006/relationships/hyperlink" Target="https://t.co/fV08OkP27B" TargetMode="External"/><Relationship Id="rId49" Type="http://schemas.openxmlformats.org/officeDocument/2006/relationships/hyperlink" Target="https://t.co/RhJyFStDd8" TargetMode="External"/><Relationship Id="rId10" Type="http://schemas.openxmlformats.org/officeDocument/2006/relationships/hyperlink" Target="https://t.co/7MJj9UlN0B" TargetMode="External"/><Relationship Id="rId19" Type="http://schemas.openxmlformats.org/officeDocument/2006/relationships/hyperlink" Target="https://t.co/OPTh4noYEe" TargetMode="External"/><Relationship Id="rId31" Type="http://schemas.openxmlformats.org/officeDocument/2006/relationships/hyperlink" Target="https://t.co/v29BsHbmtr" TargetMode="External"/><Relationship Id="rId44" Type="http://schemas.openxmlformats.org/officeDocument/2006/relationships/hyperlink" Target="https://t.co/BnJ6lcrsnz" TargetMode="External"/><Relationship Id="rId52" Type="http://schemas.openxmlformats.org/officeDocument/2006/relationships/hyperlink" Target="https://t.co/GJmiPmvaei" TargetMode="External"/><Relationship Id="rId4" Type="http://schemas.openxmlformats.org/officeDocument/2006/relationships/hyperlink" Target="https://t.co/9PCD7DnGUE" TargetMode="External"/><Relationship Id="rId9" Type="http://schemas.openxmlformats.org/officeDocument/2006/relationships/hyperlink" Target="https://t.co/guYZK0aPum" TargetMode="External"/><Relationship Id="rId14" Type="http://schemas.openxmlformats.org/officeDocument/2006/relationships/hyperlink" Target="https://t.co/ACx7jWi4qj" TargetMode="External"/><Relationship Id="rId22" Type="http://schemas.openxmlformats.org/officeDocument/2006/relationships/hyperlink" Target="https://t.co/kC9FhECGYf" TargetMode="External"/><Relationship Id="rId27" Type="http://schemas.openxmlformats.org/officeDocument/2006/relationships/hyperlink" Target="https://t.co/TXbwfZ8voL" TargetMode="External"/><Relationship Id="rId30" Type="http://schemas.openxmlformats.org/officeDocument/2006/relationships/hyperlink" Target="https://t.co/AAB2kpShkG" TargetMode="External"/><Relationship Id="rId35" Type="http://schemas.openxmlformats.org/officeDocument/2006/relationships/hyperlink" Target="https://t.co/pfL3TH4s4L" TargetMode="External"/><Relationship Id="rId43" Type="http://schemas.openxmlformats.org/officeDocument/2006/relationships/hyperlink" Target="https://t.co/ts3CmRwYUN" TargetMode="External"/><Relationship Id="rId48" Type="http://schemas.openxmlformats.org/officeDocument/2006/relationships/hyperlink" Target="https://t.co/5AiAAWtzPc" TargetMode="External"/><Relationship Id="rId56" Type="http://schemas.openxmlformats.org/officeDocument/2006/relationships/hyperlink" Target="https://t.co/IuGiNSG4Qz" TargetMode="External"/><Relationship Id="rId8" Type="http://schemas.openxmlformats.org/officeDocument/2006/relationships/hyperlink" Target="https://t.co/UriHdxLrNT" TargetMode="External"/><Relationship Id="rId51" Type="http://schemas.openxmlformats.org/officeDocument/2006/relationships/hyperlink" Target="https://t.co/MNRIw62u6z" TargetMode="External"/><Relationship Id="rId3" Type="http://schemas.openxmlformats.org/officeDocument/2006/relationships/hyperlink" Target="https://t.co/XnnO2neYd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515"/>
  <sheetViews>
    <sheetView tabSelected="1" workbookViewId="0">
      <selection activeCell="D19529" sqref="D19529"/>
    </sheetView>
  </sheetViews>
  <sheetFormatPr defaultColWidth="12.625" defaultRowHeight="15" customHeight="1" x14ac:dyDescent="0.2"/>
  <cols>
    <col min="1" max="1" width="17.75" customWidth="1"/>
    <col min="2" max="2" width="10" customWidth="1"/>
    <col min="3" max="3" width="15.875" customWidth="1"/>
    <col min="4" max="4" width="17.75" customWidth="1"/>
    <col min="5" max="5" width="65.25" customWidth="1"/>
    <col min="6" max="26" width="7.625" customWidth="1"/>
  </cols>
  <sheetData>
    <row r="1" spans="1:5" x14ac:dyDescent="0.25">
      <c r="A1" s="1" t="s">
        <v>0</v>
      </c>
      <c r="B1" s="1" t="s">
        <v>1</v>
      </c>
      <c r="C1" s="1" t="s">
        <v>2</v>
      </c>
      <c r="D1" s="1" t="s">
        <v>3</v>
      </c>
      <c r="E1" s="2" t="s">
        <v>4</v>
      </c>
    </row>
    <row r="2" spans="1:5" x14ac:dyDescent="0.25">
      <c r="A2" s="1" t="s">
        <v>5</v>
      </c>
      <c r="B2" s="1">
        <v>0</v>
      </c>
      <c r="C2" s="3">
        <v>44550.699571759258</v>
      </c>
      <c r="D2" s="1" t="s">
        <v>6</v>
      </c>
      <c r="E2" s="4" t="str">
        <f ca="1">IFERROR(__xludf.DUMMYFUNCTION("GOOGLETRANSLATE(A2 , ""tr"" , ""en"")"),"RT @rterdogan: Shouting to Nation After Cabinet Meeting https://t.co/lfse61xozs")</f>
        <v>RT @rterdogan: Shouting to Nation After Cabinet Meeting https://t.co/lfse61xozs</v>
      </c>
    </row>
    <row r="3" spans="1:5" x14ac:dyDescent="0.25">
      <c r="A3" s="1" t="s">
        <v>7</v>
      </c>
      <c r="B3" s="1">
        <v>4027</v>
      </c>
      <c r="C3" s="3">
        <v>44550.681932870371</v>
      </c>
      <c r="D3" s="1" t="s">
        <v>8</v>
      </c>
      <c r="E3" s="4" t="str">
        <f ca="1">IFERROR(__xludf.DUMMYFUNCTION("GOOGLETRANSLATE(A3 , ""tr"" , ""en"")"),"Our ministry informs us that our citizens over 3 months over the designated vaccine calendar are informed of the phone message to make reminder dose. Reminder dose-time arrivals get their vaccinations immediately. Protects the vaccine in time more. https:"&amp;"//t.co/mqt95vum5b")</f>
        <v>Our ministry informs us that our citizens over 3 months over the designated vaccine calendar are informed of the phone message to make reminder dose. Reminder dose-time arrivals get their vaccinations immediately. Protects the vaccine in time more. https://t.co/mqt95vum5b</v>
      </c>
    </row>
    <row r="4" spans="1:5" x14ac:dyDescent="0.25">
      <c r="A4" s="1" t="s">
        <v>9</v>
      </c>
      <c r="B4" s="1">
        <v>8900</v>
      </c>
      <c r="C4" s="3">
        <v>44549.91578703704</v>
      </c>
      <c r="D4" s="1" t="s">
        <v>10</v>
      </c>
      <c r="E4" s="4" t="str">
        <f ca="1">IFERROR(__xludf.DUMMYFUNCTION("GOOGLETRANSLATE(A4 , ""tr"" , ""en"")"),"Ceeded by catching up! In the Didim State Hospital, the person who has violent violent physician was caught on camera records and new evidence. We thank Söke Republic Prosecutor's Prosecutor of Söke.")</f>
        <v>Ceeded by catching up! In the Didim State Hospital, the person who has violent violent physician was caught on camera records and new evidence. We thank Söke Republic Prosecutor's Prosecutor of Söke.</v>
      </c>
    </row>
    <row r="5" spans="1:5" x14ac:dyDescent="0.25">
      <c r="A5" s="1" t="s">
        <v>11</v>
      </c>
      <c r="B5" s="1">
        <v>3157</v>
      </c>
      <c r="C5" s="3">
        <v>44549.678611111114</v>
      </c>
      <c r="D5" s="1" t="s">
        <v>12</v>
      </c>
      <c r="E5" s="4" t="str">
        <f ca="1">IFERROR(__xludf.DUMMYFUNCTION("GOOGLETRANSLATE(A5 , ""tr"" , ""en"")"),"We are in a period that the outlays cannot be measured by the data in the daily table. Unhealthy effects of Covid-19 affecting the whole of life were already envisaged. The society is to know that this critical struggle means that this critical struggle m"&amp;"eans to defend the life quickly. https://t.co/au8hqhhmfu")</f>
        <v>We are in a period that the outlays cannot be measured by the data in the daily table. Unhealthy effects of Covid-19 affecting the whole of life were already envisaged. The society is to know that this critical struggle means that this critical struggle means to defend the life quickly. https://t.co/au8hqhhmfu</v>
      </c>
    </row>
    <row r="6" spans="1:5" x14ac:dyDescent="0.25">
      <c r="A6" s="1" t="s">
        <v>13</v>
      </c>
      <c r="B6" s="1">
        <v>11005</v>
      </c>
      <c r="C6" s="3">
        <v>44549.654965277776</v>
      </c>
      <c r="D6" s="1" t="s">
        <v>14</v>
      </c>
      <c r="E6" s="4" t="str">
        <f ca="1">IFERROR(__xludf.DUMMYFUNCTION("GOOGLETRANSLATE(A6 , ""tr"" , ""en"")"),"In Didim State Hospital, he was treated with severe violence crime by a person who was brought to the hospital police to the hospital for legal control, and four stitches were thrown to our friend. The release of the perpetrator has injured all of us. We "&amp;"will be a stable follower of the legal process to start.")</f>
        <v>In Didim State Hospital, he was treated with severe violence crime by a person who was brought to the hospital police to the hospital for legal control, and four stitches were thrown to our friend. The release of the perpetrator has injured all of us. We will be a stable follower of the legal process to start.</v>
      </c>
    </row>
    <row r="7" spans="1:5" x14ac:dyDescent="0.25">
      <c r="A7" s="1" t="s">
        <v>15</v>
      </c>
      <c r="B7" s="1">
        <v>4274</v>
      </c>
      <c r="C7" s="3">
        <v>44548.92759259259</v>
      </c>
      <c r="D7" s="1" t="s">
        <v>16</v>
      </c>
      <c r="E7" s="4" t="str">
        <f ca="1">IFERROR(__xludf.DUMMYFUNCTION("GOOGLETRANSLATE(A7 , ""tr"" , ""en"")"),"18 people injured in an İzmir KINIK in a mine quarter in a mineral incident, 6 people are under treatment in Bergama, 21 people in Soma State Hospital. We fix the injured number 45 14 ambulances at the scene are assigned to a total of 48 health personnel "&amp;"with 2 Umke Timi.")</f>
        <v>18 people injured in an İzmir KINIK in a mine quarter in a mineral incident, 6 people are under treatment in Bergama, 21 people in Soma State Hospital. We fix the injured number 45 14 ambulances at the scene are assigned to a total of 48 health personnel with 2 Umke Timi.</v>
      </c>
    </row>
    <row r="8" spans="1:5" x14ac:dyDescent="0.25">
      <c r="A8" s="1" t="s">
        <v>17</v>
      </c>
      <c r="B8" s="1">
        <v>4738</v>
      </c>
      <c r="C8" s="3">
        <v>44548.863263888888</v>
      </c>
      <c r="D8" s="1" t="s">
        <v>18</v>
      </c>
      <c r="E8" s="4" t="str">
        <f ca="1">IFERROR(__xludf.DUMMYFUNCTION("GOOGLETRANSLATE(A8 , ""tr"" , ""en"")"),"In a mineral in Izmir Kınığ, 9 people were injured in the post-bangs, the injured people were transported to hospitals with 8 emergency ambulance. According to the initial fastening injuries are slightly. We offer Izmir our wishes to get all our people.")</f>
        <v>In a mineral in Izmir Kınığ, 9 people were injured in the post-bangs, the injured people were transported to hospitals with 8 emergency ambulance. According to the initial fastening injuries are slightly. We offer Izmir our wishes to get all our people.</v>
      </c>
    </row>
    <row r="9" spans="1:5" x14ac:dyDescent="0.25">
      <c r="A9" s="1" t="s">
        <v>19</v>
      </c>
      <c r="B9" s="1">
        <v>3378</v>
      </c>
      <c r="C9" s="3">
        <v>44548.679791666669</v>
      </c>
      <c r="D9" s="1" t="s">
        <v>20</v>
      </c>
      <c r="E9" s="4" t="str">
        <f ca="1">IFERROR(__xludf.DUMMYFUNCTION("GOOGLETRANSLATE(A9 , ""tr"" , ""en"")"),"We will determine the course of the epidemic in our country. Together with the vaccine and we will reduce our losses by compliance with the measures. There is no virus ignoring but it will be no measure and vaccine. Do not neglect the reminder dose. https"&amp;"://t.co/ifgdxghwrp")</f>
        <v>We will determine the course of the epidemic in our country. Together with the vaccine and we will reduce our losses by compliance with the measures. There is no virus ignoring but it will be no measure and vaccine. Do not neglect the reminder dose. https://t.co/ifgdxghwrp</v>
      </c>
    </row>
    <row r="10" spans="1:5" x14ac:dyDescent="0.25">
      <c r="A10" s="1" t="s">
        <v>21</v>
      </c>
      <c r="B10" s="1">
        <v>1764</v>
      </c>
      <c r="C10" s="3">
        <v>44548.552476851852</v>
      </c>
      <c r="D10" s="1" t="s">
        <v>22</v>
      </c>
      <c r="E10" s="4" t="str">
        <f ca="1">IFERROR(__xludf.DUMMYFUNCTION("GOOGLETRANSLATE(A10 , ""tr"" , ""en"")"),"The case density between 4-10 years is the most increased by the previous week: Edirne, Artvin, Tekirdag, Army, Trabzon, Kırklareli, Yozgat, Rize, Isparta. https://t.co/oeerzplss6")</f>
        <v>The case density between 4-10 years is the most increased by the previous week: Edirne, Artvin, Tekirdag, Army, Trabzon, Kırklareli, Yozgat, Rize, Isparta. https://t.co/oeerzplss6</v>
      </c>
    </row>
    <row r="11" spans="1:5" x14ac:dyDescent="0.25">
      <c r="A11" s="1" t="s">
        <v>23</v>
      </c>
      <c r="B11" s="1">
        <v>2771</v>
      </c>
      <c r="C11" s="3">
        <v>44548.547256944446</v>
      </c>
      <c r="D11" s="1" t="s">
        <v>24</v>
      </c>
      <c r="E11" s="4" t="str">
        <f ca="1">IFERROR(__xludf.DUMMYFUNCTION("GOOGLETRANSLATE(A11 , ""tr"" , ""en"")"),"What was the total number of new Covid-19 Cases in 100,000 people in 100,000 Information on the Weekly Insidans map. https://t.co/vqxbm9hhcz")</f>
        <v>What was the total number of new Covid-19 Cases in 100,000 people in 100,000 Information on the Weekly Insidans map. https://t.co/vqxbm9hhcz</v>
      </c>
    </row>
    <row r="12" spans="1:5" x14ac:dyDescent="0.25">
      <c r="A12" s="1" t="s">
        <v>25</v>
      </c>
      <c r="B12" s="1">
        <v>2793</v>
      </c>
      <c r="C12" s="3">
        <v>44547.800324074073</v>
      </c>
      <c r="D12" s="1" t="s">
        <v>26</v>
      </c>
      <c r="E12" s="4" t="str">
        <f ca="1">IFERROR(__xludf.DUMMYFUNCTION("GOOGLETRANSLATE(A12 , ""tr"" , ""en"")"),"Ex-Prime Minister Assistant Professor Dr. EMRULLAH Things Brain Father Abdullah Things Gentlemanly treated in Ankara City Hospital. I wish my condolences to the family, friendly surroundings, especially for us. May Allah be the mercy, be heaven.")</f>
        <v>Ex-Prime Minister Assistant Professor Dr. EMRULLAH Things Brain Father Abdullah Things Gentlemanly treated in Ankara City Hospital. I wish my condolences to the family, friendly surroundings, especially for us. May Allah be the mercy, be heaven.</v>
      </c>
    </row>
    <row r="13" spans="1:5" x14ac:dyDescent="0.25">
      <c r="A13" s="1" t="s">
        <v>27</v>
      </c>
      <c r="B13" s="1">
        <v>1521</v>
      </c>
      <c r="C13" s="3">
        <v>44547.770613425928</v>
      </c>
      <c r="D13" s="1" t="s">
        <v>28</v>
      </c>
      <c r="E13" s="4" t="str">
        <f ca="1">IFERROR(__xludf.DUMMYFUNCTION("GOOGLETRANSLATE(A13 , ""tr"" , ""en"")"),"3. At the summit of Turkey-African Partnership, the Health Session followed by Sierra Leone, South Sudan, Libya, Ivory and Djibouti Health Ministry with bilateral interviews. We addressed health solidarity, help, cooperation issues. The pandem taught the "&amp;"world to the world that health was a common matter. https://t.co/cz0euwwlan")</f>
        <v>3. At the summit of Turkey-African Partnership, the Health Session followed by Sierra Leone, South Sudan, Libya, Ivory and Djibouti Health Ministry with bilateral interviews. We addressed health solidarity, help, cooperation issues. The pandem taught the world to the world that health was a common matter. https://t.co/cz0euwwlan</v>
      </c>
    </row>
    <row r="14" spans="1:5" x14ac:dyDescent="0.25">
      <c r="A14" s="1" t="s">
        <v>29</v>
      </c>
      <c r="B14" s="1">
        <v>1818</v>
      </c>
      <c r="C14" s="3">
        <v>44547.731874999998</v>
      </c>
      <c r="D14" s="1" t="s">
        <v>30</v>
      </c>
      <c r="E14" s="4" t="str">
        <f ca="1">IFERROR(__xludf.DUMMYFUNCTION("GOOGLETRANSLATE(A14 , ""tr"" , ""en"")"),"3. Turkey-African Partnership Summit Summit Health Session. The session of the potential for African health needs after the period of Pandemia and the African CDC emergency operation center chairman of the African CDC emergency operation center, 17 countr"&amp;"ies participated in the health ministers and DSÖ representatives. https://t.co/upwhaqwh8t")</f>
        <v>3. Turkey-African Partnership Summit Summit Health Session. The session of the potential for African health needs after the period of Pandemia and the African CDC emergency operation center chairman of the African CDC emergency operation center, 17 countries participated in the health ministers and DSÖ representatives. https://t.co/upwhaqwh8t</v>
      </c>
    </row>
    <row r="15" spans="1:5" x14ac:dyDescent="0.25">
      <c r="A15" s="1" t="s">
        <v>31</v>
      </c>
      <c r="B15" s="1">
        <v>4146</v>
      </c>
      <c r="C15" s="3">
        <v>44547.684641203705</v>
      </c>
      <c r="D15" s="1" t="s">
        <v>32</v>
      </c>
      <c r="E15" s="4" t="str">
        <f ca="1">IFERROR(__xludf.DUMMYFUNCTION("GOOGLETRANSLATE(A15 , ""tr"" , ""en"")"),"Reminder dose started to be applied early in Turkey and sudden cases were not experienced. This dose also increases the effects of vaccines against new variants. We suggest that our citizens passed for over 3 months over the specified vaccine calendar. ht"&amp;"tps://t.co/8rndpxmunr")</f>
        <v>Reminder dose started to be applied early in Turkey and sudden cases were not experienced. This dose also increases the effects of vaccines against new variants. We suggest that our citizens passed for over 3 months over the specified vaccine calendar. https://t.co/8rndpxmunr</v>
      </c>
    </row>
    <row r="16" spans="1:5" x14ac:dyDescent="0.25">
      <c r="A16" s="1" t="s">
        <v>33</v>
      </c>
      <c r="B16" s="1">
        <v>1795</v>
      </c>
      <c r="C16" s="3">
        <v>44546.83556712963</v>
      </c>
      <c r="D16" s="1" t="s">
        <v>34</v>
      </c>
      <c r="E16" s="4" t="str">
        <f ca="1">IFERROR(__xludf.DUMMYFUNCTION("GOOGLETRANSLATE(A16 , ""tr"" , ""en"")"),"During our council of guard, we have received their demands with our friends in various locators in various locations, and we benefited from their suggestions and criticism. Our sense of responsibility with our duty under the roof of the Supreme Council i"&amp;"s once again renewed. https://t.co/22lnxcti7r")</f>
        <v>During our council of guard, we have received their demands with our friends in various locators in various locations, and we benefited from their suggestions and criticism. Our sense of responsibility with our duty under the roof of the Supreme Council is once again renewed. https://t.co/22lnxcti7r</v>
      </c>
    </row>
    <row r="17" spans="1:5" x14ac:dyDescent="0.25">
      <c r="A17" s="1" t="s">
        <v>35</v>
      </c>
      <c r="B17" s="1">
        <v>2261</v>
      </c>
      <c r="C17" s="3">
        <v>44546.7655787037</v>
      </c>
      <c r="D17" s="1" t="s">
        <v>36</v>
      </c>
      <c r="E17" s="4" t="str">
        <f ca="1">IFERROR(__xludf.DUMMYFUNCTION("GOOGLETRANSLATE(A17 , ""tr"" , ""en"")"),"Ankara Deputy Sadir No Brain Precious Father Hacı Ibrahim Durmaz has lost your life. Shares the sadness of his family and all the friendly surroundings; The grant is the mercy from Allah, I wish their condolences to lovers. Prayers are very, the place of "&amp;"heaven.")</f>
        <v>Ankara Deputy Sadir No Brain Precious Father Hacı Ibrahim Durmaz has lost your life. Shares the sadness of his family and all the friendly surroundings; The grant is the mercy from Allah, I wish their condolences to lovers. Prayers are very, the place of heaven.</v>
      </c>
    </row>
    <row r="18" spans="1:5" x14ac:dyDescent="0.25">
      <c r="A18" s="1" t="s">
        <v>37</v>
      </c>
      <c r="B18" s="1">
        <v>3548</v>
      </c>
      <c r="C18" s="3">
        <v>44546.74113425926</v>
      </c>
      <c r="D18" s="1" t="s">
        <v>38</v>
      </c>
      <c r="E18" s="4" t="str">
        <f ca="1">IFERROR(__xludf.DUMMYFUNCTION("GOOGLETRANSLATE(A18 , ""tr"" , ""en"")"),"Yalova was over 75% in the second overdose rate, the Blue, Bitlis went over 65% to the yellow category. The odds rise slowly. Those who missed their vaccinations should do the right one for their own health and social life.")</f>
        <v>Yalova was over 75% in the second overdose rate, the Blue, Bitlis went over 65% to the yellow category. The odds rise slowly. Those who missed their vaccinations should do the right one for their own health and social life.</v>
      </c>
    </row>
    <row r="19" spans="1:5" x14ac:dyDescent="0.25">
      <c r="A19" s="1" t="s">
        <v>39</v>
      </c>
      <c r="B19" s="1">
        <v>3426</v>
      </c>
      <c r="C19" s="3">
        <v>44546.702592592592</v>
      </c>
      <c r="D19" s="1" t="s">
        <v>40</v>
      </c>
      <c r="E19" s="4" t="str">
        <f ca="1">IFERROR(__xludf.DUMMYFUNCTION("GOOGLETRANSLATE(A19 , ""tr"" , ""en"")"),"Let's go back to a moment of March 2020. No big differences between 21 months ago in terms of missing non-vaccines and vaccines: Everyone against Covid-19 needs to protect yourself with vaccination. https://t.co/ya1cnxhyvI")</f>
        <v>Let's go back to a moment of March 2020. No big differences between 21 months ago in terms of missing non-vaccines and vaccines: Everyone against Covid-19 needs to protect yourself with vaccination. https://t.co/ya1cnxhyvI</v>
      </c>
    </row>
    <row r="20" spans="1:5" x14ac:dyDescent="0.25">
      <c r="A20" s="1" t="s">
        <v>41</v>
      </c>
      <c r="B20" s="1">
        <v>2713</v>
      </c>
      <c r="C20" s="3">
        <v>44545.775902777779</v>
      </c>
      <c r="D20" s="1" t="s">
        <v>42</v>
      </c>
      <c r="E20" s="4" t="str">
        <f ca="1">IFERROR(__xludf.DUMMYFUNCTION("GOOGLETRANSLATE(A20 , ""tr"" , ""en"")"),"In our university hospitals, we met with doctors in the assistant. We addressed our problems with the equality of the word. Violence, the rights, working conditions, seizures and malpractice cases were our main issues. There is a lot to convert and offer "&amp;"our dreams to the service. https://t.co/pg5fe9hgje")</f>
        <v>In our university hospitals, we met with doctors in the assistant. We addressed our problems with the equality of the word. Violence, the rights, working conditions, seizures and malpractice cases were our main issues. There is a lot to convert and offer our dreams to the service. https://t.co/pg5fe9hgje</v>
      </c>
    </row>
    <row r="21" spans="1:5" ht="15.75" customHeight="1" x14ac:dyDescent="0.25">
      <c r="A21" s="1" t="s">
        <v>43</v>
      </c>
      <c r="B21" s="1">
        <v>4512</v>
      </c>
      <c r="C21" s="3">
        <v>44545.74590277778</v>
      </c>
      <c r="D21" s="1" t="s">
        <v>44</v>
      </c>
      <c r="E21" s="4" t="str">
        <f ca="1">IFERROR(__xludf.DUMMYFUNCTION("GOOGLETRANSLATE(A21 , ""tr"" , ""en"")"),"Omicron Measure: Our citizens over three months over the designated vaccine calendar may be the reminder dose. https://t.co/byfsjkpzsq")</f>
        <v>Omicron Measure: Our citizens over three months over the designated vaccine calendar may be the reminder dose. https://t.co/byfsjkpzsq</v>
      </c>
    </row>
    <row r="22" spans="1:5" ht="15.75" customHeight="1" x14ac:dyDescent="0.25">
      <c r="A22" s="1" t="s">
        <v>45</v>
      </c>
      <c r="B22" s="1">
        <v>2665</v>
      </c>
      <c r="C22" s="3">
        <v>44545.709791666668</v>
      </c>
      <c r="D22" s="1" t="s">
        <v>46</v>
      </c>
      <c r="E22" s="4" t="str">
        <f ca="1">IFERROR(__xludf.DUMMYFUNCTION("GOOGLETRANSLATE(A22 , ""tr"" , ""en"")"),"Our mind that I believe in our society is to live with the law of the law. Dr. Yucel Treasurer has left us. I have always accepted him a chance to identify him in terms of their figure. Mercy from Allah to himself; I wish his family to their lovers condol"&amp;"ences.")</f>
        <v>Our mind that I believe in our society is to live with the law of the law. Dr. Yucel Treasurer has left us. I have always accepted him a chance to identify him in terms of their figure. Mercy from Allah to himself; I wish his family to their lovers condolences.</v>
      </c>
    </row>
    <row r="23" spans="1:5" ht="15.75" customHeight="1" x14ac:dyDescent="0.25">
      <c r="A23" s="1" t="s">
        <v>47</v>
      </c>
      <c r="B23" s="1">
        <v>3417</v>
      </c>
      <c r="C23" s="3">
        <v>44545.704918981479</v>
      </c>
      <c r="D23" s="1" t="s">
        <v>48</v>
      </c>
      <c r="E23" s="4" t="str">
        <f ca="1">IFERROR(__xludf.DUMMYFUNCTION("GOOGLETRANSLATE(A23 , ""tr"" , ""en"")"),"We know the results of the vaccine: protects the person and ensures that the disease is generally undergone. Is that all? Are all related to health? Not. The vaccine makes the social life easier to return to normal. Be your missing vaccines to support lif"&amp;"e. https://t.co/bxiunresjt")</f>
        <v>We know the results of the vaccine: protects the person and ensures that the disease is generally undergone. Is that all? Are all related to health? Not. The vaccine makes the social life easier to return to normal. Be your missing vaccines to support life. https://t.co/bxiunresjt</v>
      </c>
    </row>
    <row r="24" spans="1:5" ht="15.75" customHeight="1" x14ac:dyDescent="0.25">
      <c r="A24" s="1" t="s">
        <v>49</v>
      </c>
      <c r="B24" s="1">
        <v>2160</v>
      </c>
      <c r="C24" s="3">
        <v>44545.344687500001</v>
      </c>
      <c r="D24" s="1" t="s">
        <v>50</v>
      </c>
      <c r="E24" s="4" t="str">
        <f ca="1">IFERROR(__xludf.DUMMYFUNCTION("GOOGLETRANSLATE(A24 , ""tr"" , ""en"")"),"The doctor is the person who is approaching the patient with love and affection.
Sometimes you love you love, sometimes it gives you life to your favorite. The burden is a heavy profession physician.
2022 HTTPS://T.CO/CRZ9CUUVJA from Budget Speech")</f>
        <v>The doctor is the person who is approaching the patient with love and affection.
Sometimes you love you love, sometimes it gives you life to your favorite. The burden is a heavy profession physician.
2022 HTTPS://T.CO/CRZ9CUUVJA from Budget Speech</v>
      </c>
    </row>
    <row r="25" spans="1:5" ht="15.75" customHeight="1" x14ac:dyDescent="0.25">
      <c r="A25" s="1" t="s">
        <v>51</v>
      </c>
      <c r="B25" s="1">
        <v>1909</v>
      </c>
      <c r="C25" s="3">
        <v>44545.315254629626</v>
      </c>
      <c r="D25" s="1" t="s">
        <v>52</v>
      </c>
      <c r="E25" s="4" t="str">
        <f ca="1">IFERROR(__xludf.DUMMYFUNCTION("GOOGLETRANSLATE(A25 , ""tr"" , ""en"")"),"Case density between November 27-December 3 most increased by the previous week: Çanakkale, Kırklareli, Edirne, Tekirdag, Eskisehir, Artvin, Sinop, Denizli, Giresun, Gumushane. https://t.co/eoauew1e2d")</f>
        <v>Case density between November 27-December 3 most increased by the previous week: Çanakkale, Kırklareli, Edirne, Tekirdag, Eskisehir, Artvin, Sinop, Denizli, Giresun, Gumushane. https://t.co/eoauew1e2d</v>
      </c>
    </row>
    <row r="26" spans="1:5" ht="15.75" customHeight="1" x14ac:dyDescent="0.25">
      <c r="A26" s="1" t="s">
        <v>53</v>
      </c>
      <c r="B26" s="1">
        <v>2957</v>
      </c>
      <c r="C26" s="3">
        <v>44545.310671296298</v>
      </c>
      <c r="D26" s="1" t="s">
        <v>54</v>
      </c>
      <c r="E26" s="4" t="str">
        <f ca="1">IFERROR(__xludf.DUMMYFUNCTION("GOOGLETRANSLATE(A26 , ""tr"" , ""en"")"),"What was a total of weekly new Covid-19 cases in 100,000 people on 27 November and 3 December? Information on the Weekly Insidans map. https://t.co/viwoygex07")</f>
        <v>What was a total of weekly new Covid-19 cases in 100,000 people on 27 November and 3 December? Information on the Weekly Insidans map. https://t.co/viwoygex07</v>
      </c>
    </row>
    <row r="27" spans="1:5" ht="15.75" customHeight="1" x14ac:dyDescent="0.25">
      <c r="A27" s="1" t="s">
        <v>55</v>
      </c>
      <c r="B27" s="1">
        <v>3175</v>
      </c>
      <c r="C27" s="3">
        <v>44544.763993055552</v>
      </c>
      <c r="D27" s="1" t="s">
        <v>56</v>
      </c>
      <c r="E27" s="4" t="str">
        <f ca="1">IFERROR(__xludf.DUMMYFUNCTION("GOOGLETRANSLATE(A27 , ""tr"" , ""en"")"),"We met at a 3-hour meeting with the students of Medicine Faculty. We have addressed our training processes to the future of the future and the expertise exam in medicine, in health violence in health. There is a lot to convert and offer our dreams to the "&amp;"service. https://t.co/y85kzfcqva")</f>
        <v>We met at a 3-hour meeting with the students of Medicine Faculty. We have addressed our training processes to the future of the future and the expertise exam in medicine, in health violence in health. There is a lot to convert and offer our dreams to the service. https://t.co/y85kzfcqva</v>
      </c>
    </row>
    <row r="28" spans="1:5" ht="15.75" customHeight="1" x14ac:dyDescent="0.25">
      <c r="A28" s="1" t="s">
        <v>57</v>
      </c>
      <c r="B28" s="1">
        <v>4637</v>
      </c>
      <c r="C28" s="3">
        <v>44544.69835648148</v>
      </c>
      <c r="D28" s="1" t="s">
        <v>58</v>
      </c>
      <c r="E28" s="4" t="str">
        <f ca="1">IFERROR(__xludf.DUMMYFUNCTION("GOOGLETRANSLATE(A28 , ""tr"" , ""en"")"),"The disease in winter conditions will be easy. Ventilation is limited, closed and crowded environments should be as possible. It should be noted that the vaccines are better in accordance with the specified periods. You have to take measures that are comp"&amp;"letely connected to you. https://t.co/rcxyhaengn")</f>
        <v>The disease in winter conditions will be easy. Ventilation is limited, closed and crowded environments should be as possible. It should be noted that the vaccines are better in accordance with the specified periods. You have to take measures that are completely connected to you. https://t.co/rcxyhaengn</v>
      </c>
    </row>
    <row r="29" spans="1:5" ht="15.75" customHeight="1" x14ac:dyDescent="0.25">
      <c r="A29" s="1" t="s">
        <v>59</v>
      </c>
      <c r="B29" s="1">
        <v>5570</v>
      </c>
      <c r="C29" s="3">
        <v>44543.711134259262</v>
      </c>
      <c r="D29" s="1" t="s">
        <v>60</v>
      </c>
      <c r="E29" s="4" t="str">
        <f ca="1">IFERROR(__xludf.DUMMYFUNCTION("GOOGLETRANSLATE(A29 , ""tr"" , ""en"")"),"In the place of work, the mistake is the mistake that is also deficit. The essential is the absence of intentional. Our nationality is fine in front of our neck hair.
2022 budget speaking https://t.co/f7lgsqfvg9")</f>
        <v>In the place of work, the mistake is the mistake that is also deficit. The essential is the absence of intentional. Our nationality is fine in front of our neck hair.
2022 budget speaking https://t.co/f7lgsqfvg9</v>
      </c>
    </row>
    <row r="30" spans="1:5" ht="15.75" customHeight="1" x14ac:dyDescent="0.25">
      <c r="A30" s="1" t="s">
        <v>61</v>
      </c>
      <c r="B30" s="1">
        <v>4272</v>
      </c>
      <c r="C30" s="3">
        <v>44543.687754629631</v>
      </c>
      <c r="D30" s="1" t="s">
        <v>62</v>
      </c>
      <c r="E30" s="4" t="str">
        <f ca="1">IFERROR(__xludf.DUMMYFUNCTION("GOOGLETRANSLATE(A30 , ""tr"" , ""en"")"),"WHAT IS THE DIFFERENCE? Covid-19 is not as frightening as the months of the release and the beginning of this year. Why? It does not destroy social life. Why? Most human disease spends quite light. Why? The first row of these questions is the vaccination."&amp;" Complete your missing vaccines https://t.co/ldp6tj6smx")</f>
        <v>WHAT IS THE DIFFERENCE? Covid-19 is not as frightening as the months of the release and the beginning of this year. Why? It does not destroy social life. Why? Most human disease spends quite light. Why? The first row of these questions is the vaccination. Complete your missing vaccines https://t.co/ldp6tj6smx</v>
      </c>
    </row>
    <row r="31" spans="1:5" ht="15.75" customHeight="1" x14ac:dyDescent="0.25">
      <c r="A31" s="1" t="s">
        <v>63</v>
      </c>
      <c r="B31" s="1">
        <v>2063</v>
      </c>
      <c r="C31" s="3">
        <v>44543.473622685182</v>
      </c>
      <c r="D31" s="1" t="s">
        <v>64</v>
      </c>
      <c r="E31" s="4" t="str">
        <f ca="1">IFERROR(__xludf.DUMMYFUNCTION("GOOGLETRANSLATE(A31 , ""tr"" , ""en"")"),"With the position of 10,000 contracted medical staff in the scope of forty thousand squads, 10,000 continuous workers will be purchased in March. Get health service to our citizens and the healthcare camiaz is auspicious.")</f>
        <v>With the position of 10,000 contracted medical staff in the scope of forty thousand squads, 10,000 continuous workers will be purchased in March. Get health service to our citizens and the healthcare camiaz is auspicious.</v>
      </c>
    </row>
    <row r="32" spans="1:5" ht="15.75" customHeight="1" x14ac:dyDescent="0.25">
      <c r="A32" s="1" t="s">
        <v>65</v>
      </c>
      <c r="B32" s="1">
        <v>1909</v>
      </c>
      <c r="C32" s="3">
        <v>44543.473622685182</v>
      </c>
      <c r="D32" s="1" t="s">
        <v>66</v>
      </c>
      <c r="E32" s="4" t="str">
        <f ca="1">IFERROR(__xludf.DUMMYFUNCTION("GOOGLETRANSLATE(A32 , ""tr"" , ""en"")"),"The preferred guide will be able to make candidates preferences from the dates specified in the guide of the Candidates after the EsYM is published via the website. Announcements can be followed by the General Directorate of Management Services of our Min"&amp;"istry and the OSYM internet.")</f>
        <v>The preferred guide will be able to make candidates preferences from the dates specified in the guide of the Candidates after the EsYM is published via the website. Announcements can be followed by the General Directorate of Management Services of our Ministry and the OSYM internet.</v>
      </c>
    </row>
    <row r="33" spans="1:5" ht="15.75" customHeight="1" x14ac:dyDescent="0.25">
      <c r="A33" s="1" t="s">
        <v>67</v>
      </c>
      <c r="B33" s="1">
        <v>1516</v>
      </c>
      <c r="C33" s="3">
        <v>44543.473611111112</v>
      </c>
      <c r="D33" s="1" t="s">
        <v>68</v>
      </c>
      <c r="E33" s="4" t="str">
        <f ca="1">IFERROR(__xludf.DUMMYFUNCTION("GOOGLETRANSLATE(A33 , ""tr"" , ""en"")"),"10.348 Nurse, 1,600 EB and 6,604 Health Technicians / Health Technicians with psychologist, social workers, biologist, audiologist, child development, dietitian, physiotherapist, business and occurring therapist, language and speech therapist, perfusionis"&amp;"t and health physicists will be made.")</f>
        <v>10.348 Nurse, 1,600 EB and 6,604 Health Technicians / Health Technicians with psychologist, social workers, biologist, audiologist, child development, dietitian, physiotherapist, business and occurring therapist, language and speech therapist, perfusionist and health physicists will be made.</v>
      </c>
    </row>
    <row r="34" spans="1:5" ht="15.75" customHeight="1" x14ac:dyDescent="0.25">
      <c r="A34" s="1" t="s">
        <v>69</v>
      </c>
      <c r="B34" s="1">
        <v>989</v>
      </c>
      <c r="C34" s="3">
        <v>44543.473611111112</v>
      </c>
      <c r="D34" s="1" t="s">
        <v>70</v>
      </c>
      <c r="E34" s="4" t="str">
        <f ca="1">IFERROR(__xludf.DUMMYFUNCTION("GOOGLETRANSLATE(A34 , ""tr"" , ""en"")"),"According to the KPSS score to be employed in our provincial organization, we start the purchase process of 20 thousand contracts with the central placement to be made by ÖSYM. The necessary information is given to ÖSYM to prepare the preferred manual.")</f>
        <v>According to the KPSS score to be employed in our provincial organization, we start the purchase process of 20 thousand contracts with the central placement to be made by ÖSYM. The necessary information is given to ÖSYM to prepare the preferred manual.</v>
      </c>
    </row>
    <row r="35" spans="1:5" ht="15.75" customHeight="1" x14ac:dyDescent="0.25">
      <c r="A35" s="1" t="s">
        <v>71</v>
      </c>
      <c r="B35" s="1">
        <v>8056</v>
      </c>
      <c r="C35" s="3">
        <v>44543.473611111112</v>
      </c>
      <c r="D35" s="1" t="s">
        <v>72</v>
      </c>
      <c r="E35" s="4" t="str">
        <f ca="1">IFERROR(__xludf.DUMMYFUNCTION("GOOGLETRANSLATE(A35 , ""tr"" , ""en"")"),"As is known, 30,000 contracted health personnel to our ministry by the Presidency has been a total of 40 thousand positions / squads, including 10 thousand continuous workers. The guide for the purchase of 20,000 contracted health personnel was sent to th"&amp;"e ÖSYM.")</f>
        <v>As is known, 30,000 contracted health personnel to our ministry by the Presidency has been a total of 40 thousand positions / squads, including 10 thousand continuous workers. The guide for the purchase of 20,000 contracted health personnel was sent to the ÖSYM.</v>
      </c>
    </row>
    <row r="36" spans="1:5" ht="15.75" customHeight="1" x14ac:dyDescent="0.25">
      <c r="A36" s="1" t="s">
        <v>73</v>
      </c>
      <c r="B36" s="1">
        <v>3038</v>
      </c>
      <c r="C36" s="3">
        <v>44542.709814814814</v>
      </c>
      <c r="D36" s="1" t="s">
        <v>74</v>
      </c>
      <c r="E36" s="4" t="str">
        <f ca="1">IFERROR(__xludf.DUMMYFUNCTION("GOOGLETRANSLATE(A36 , ""tr"" , ""en"")"),"Now from the mind of some, you have done missing, you may be late in the phrase, you may have thoughts as you didn't take enough attention to the blast subject. Of course we had the missing. In the place of work, the mistake is the mistake that is also de"&amp;"ficit. It is an intention that is essential to it. https://t.co/evnelx2z8z")</f>
        <v>Now from the mind of some, you have done missing, you may be late in the phrase, you may have thoughts as you didn't take enough attention to the blast subject. Of course we had the missing. In the place of work, the mistake is the mistake that is also deficit. It is an intention that is essential to it. https://t.co/evnelx2z8z</v>
      </c>
    </row>
    <row r="37" spans="1:5" ht="15.75" customHeight="1" x14ac:dyDescent="0.25">
      <c r="A37" s="1" t="s">
        <v>75</v>
      </c>
      <c r="B37" s="1">
        <v>4841</v>
      </c>
      <c r="C37" s="3">
        <v>44542.684236111112</v>
      </c>
      <c r="D37" s="1" t="s">
        <v>76</v>
      </c>
      <c r="E37" s="4" t="str">
        <f ca="1">IFERROR(__xludf.DUMMYFUNCTION("GOOGLETRANSLATE(A37 , ""tr"" , ""en"")"),"In our country, the Omicron Variant has been determined in total 6 people. One in Istanbul, 5 is in Izmir. This 6 people spend Covid-19 with light symptoms. Have not been needed to be hospitalized. Our citizens should not be worried, complied with measure"&amp;"s, complete incomplete vaccines. https://t.co/gugfvqfofj")</f>
        <v>In our country, the Omicron Variant has been determined in total 6 people. One in Istanbul, 5 is in Izmir. This 6 people spend Covid-19 with light symptoms. Have not been needed to be hospitalized. Our citizens should not be worried, complied with measures, complete incomplete vaccines. https://t.co/gugfvqfofj</v>
      </c>
    </row>
    <row r="38" spans="1:5" ht="15.75" customHeight="1" x14ac:dyDescent="0.25">
      <c r="A38" s="1" t="s">
        <v>77</v>
      </c>
      <c r="B38" s="1">
        <v>1802</v>
      </c>
      <c r="C38" s="3">
        <v>44542.665752314817</v>
      </c>
      <c r="D38" s="1" t="s">
        <v>78</v>
      </c>
      <c r="E38" s="4" t="str">
        <f ca="1">IFERROR(__xludf.DUMMYFUNCTION("GOOGLETRANSLATE(A38 , ""tr"" , ""en"")"),"The epidemic has set a cliff between individual life and social life. Made the two of each other's zında. Societies cannot continue this. Life cannot continue with a kind of public health prohibitions. Our attenance was: Social life with individual life w"&amp;"as defended together. https://t.co/4dqolb5ddj")</f>
        <v>The epidemic has set a cliff between individual life and social life. Made the two of each other's zında. Societies cannot continue this. Life cannot continue with a kind of public health prohibitions. Our attenance was: Social life with individual life was defended together. https://t.co/4dqolb5ddj</v>
      </c>
    </row>
    <row r="39" spans="1:5" ht="15.75" customHeight="1" x14ac:dyDescent="0.25">
      <c r="A39" s="1" t="s">
        <v>79</v>
      </c>
      <c r="B39" s="1">
        <v>2245</v>
      </c>
      <c r="C39" s="3">
        <v>44542.646215277775</v>
      </c>
      <c r="D39" s="1" t="s">
        <v>80</v>
      </c>
      <c r="E39" s="4" t="str">
        <f ca="1">IFERROR(__xludf.DUMMYFUNCTION("GOOGLETRANSLATE(A39 , ""tr"" , ""en"")"),"After approximately 50 years after Turkey has developed the vaccine with their possibilities. Going out of this value is the responsibility of all of us. With the transfer of technology to our country, we allowed to invest in our country to be invested in"&amp;" the chickenpox, hepatitis A and the rabies vaccine. https://t.co/0show1gwa8")</f>
        <v>After approximately 50 years after Turkey has developed the vaccine with their possibilities. Going out of this value is the responsibility of all of us. With the transfer of technology to our country, we allowed to invest in our country to be invested in the chickenpox, hepatitis A and the rabies vaccine. https://t.co/0show1gwa8</v>
      </c>
    </row>
    <row r="40" spans="1:5" ht="15.75" customHeight="1" x14ac:dyDescent="0.25">
      <c r="A40" s="1" t="s">
        <v>81</v>
      </c>
      <c r="B40" s="1">
        <v>4136</v>
      </c>
      <c r="C40" s="3">
        <v>44542.635787037034</v>
      </c>
      <c r="D40" s="1" t="s">
        <v>82</v>
      </c>
      <c r="E40" s="4" t="str">
        <f ca="1">IFERROR(__xludf.DUMMYFUNCTION("GOOGLETRANSLATE(A40 , ""tr"" , ""en"")"),"We are one of 6 countries that could produce COVID-19 vaccine. https://t.co/mnomhy0zuc")</f>
        <v>We are one of 6 countries that could produce COVID-19 vaccine. https://t.co/mnomhy0zuc</v>
      </c>
    </row>
    <row r="41" spans="1:5" ht="15.75" customHeight="1" x14ac:dyDescent="0.25">
      <c r="A41" s="1" t="s">
        <v>83</v>
      </c>
      <c r="B41" s="1">
        <v>2997</v>
      </c>
      <c r="C41" s="3">
        <v>44542.57984953704</v>
      </c>
      <c r="D41" s="1" t="s">
        <v>84</v>
      </c>
      <c r="E41" s="4" t="str">
        <f ca="1">IFERROR(__xludf.DUMMYFUNCTION("GOOGLETRANSLATE(A41 , ""tr"" , ""en"")"),"The re-vaccination was produced after 25 years in our country. It was a vaccine that has been developed as an antigen, starting from cell studies for the first time for more than 50 years. Each stage of our domestic inactive COVID-19 vaccines has been dev"&amp;"eloped in our country. https://t.co/zybe3fg3ue")</f>
        <v>The re-vaccination was produced after 25 years in our country. It was a vaccine that has been developed as an antigen, starting from cell studies for the first time for more than 50 years. Each stage of our domestic inactive COVID-19 vaccines has been developed in our country. https://t.co/zybe3fg3ue</v>
      </c>
    </row>
    <row r="42" spans="1:5" ht="15.75" customHeight="1" x14ac:dyDescent="0.25">
      <c r="A42" s="1" t="s">
        <v>85</v>
      </c>
      <c r="B42" s="1">
        <v>1867</v>
      </c>
      <c r="C42" s="3">
        <v>44542.553067129629</v>
      </c>
      <c r="D42" s="1" t="s">
        <v>86</v>
      </c>
      <c r="E42" s="4" t="str">
        <f ca="1">IFERROR(__xludf.DUMMYFUNCTION("GOOGLETRANSLATE(A42 , ""tr"" , ""en"")"),"We have not only made hospitals with the public private cooperation. The construction is completed from the overall budget and we have a total of 15 city hospitals ongoing construction. https://t.co/3poopuy22o")</f>
        <v>We have not only made hospitals with the public private cooperation. The construction is completed from the overall budget and we have a total of 15 city hospitals ongoing construction. https://t.co/3poopuy22o</v>
      </c>
    </row>
    <row r="43" spans="1:5" ht="15.75" customHeight="1" x14ac:dyDescent="0.25">
      <c r="A43" s="1" t="s">
        <v>87</v>
      </c>
      <c r="B43" s="1">
        <v>1730</v>
      </c>
      <c r="C43" s="3">
        <v>44542.521851851852</v>
      </c>
      <c r="D43" s="1" t="s">
        <v>88</v>
      </c>
      <c r="E43" s="4" t="str">
        <f ca="1">IFERROR(__xludf.DUMMYFUNCTION("GOOGLETRANSLATE(A43 , ""tr"" , ""en"")"),"No deliverance from the wrongs without clinging to the verification. Our nation has installed the responsibility of how to serve us with the power of our power, the opposition also installed the responsibility of criticizing us while we serve. We will all"&amp;" meet our task under this holy roof. https://t.co/gktm7vsldz")</f>
        <v>No deliverance from the wrongs without clinging to the verification. Our nation has installed the responsibility of how to serve us with the power of our power, the opposition also installed the responsibility of criticizing us while we serve. We will all meet our task under this holy roof. https://t.co/gktm7vsldz</v>
      </c>
    </row>
    <row r="44" spans="1:5" ht="15.75" customHeight="1" x14ac:dyDescent="0.25">
      <c r="A44" s="1" t="s">
        <v>89</v>
      </c>
      <c r="B44" s="1">
        <v>2561</v>
      </c>
      <c r="C44" s="3">
        <v>44542.51017361111</v>
      </c>
      <c r="D44" s="1" t="s">
        <v>90</v>
      </c>
      <c r="E44" s="4" t="str">
        <f ca="1">IFERROR(__xludf.DUMMYFUNCTION("GOOGLETRANSLATE(A44 , ""tr"" , ""en"")"),"We witnessed the bitter balance of health services that cannot be given in the countries allegedly developed. In our country; We have not seen patients in front of oxygen tubes in the corridors. We have brought our citizens to our country by all four of t"&amp;"he world. https://t.co/rqor6Iouoz")</f>
        <v>We witnessed the bitter balance of health services that cannot be given in the countries allegedly developed. In our country; We have not seen patients in front of oxygen tubes in the corridors. We have brought our citizens to our country by all four of the world. https://t.co/rqor6Iouoz</v>
      </c>
    </row>
    <row r="45" spans="1:5" ht="15.75" customHeight="1" x14ac:dyDescent="0.25">
      <c r="A45" s="1" t="s">
        <v>91</v>
      </c>
      <c r="B45" s="1">
        <v>2743</v>
      </c>
      <c r="C45" s="3">
        <v>44542.485856481479</v>
      </c>
      <c r="D45" s="1" t="s">
        <v>92</v>
      </c>
      <c r="E45" s="4" t="str">
        <f ca="1">IFERROR(__xludf.DUMMYFUNCTION("GOOGLETRANSLATE(A45 , ""tr"" , ""en"")"),"The 2022 budget of our Ministry was approved on the TBMM General Assembly. Presenting with constructive criticisms, I would like to thank all the deputies to the preparation of the budget to the preparation of the budget, confirming the budget by approvin"&amp;"g the budget. Get auspicious to our budget nation. https://t.co/asb4tyvygn")</f>
        <v>The 2022 budget of our Ministry was approved on the TBMM General Assembly. Presenting with constructive criticisms, I would like to thank all the deputies to the preparation of the budget to the preparation of the budget, confirming the budget by approving the budget. Get auspicious to our budget nation. https://t.co/asb4tyvygn</v>
      </c>
    </row>
    <row r="46" spans="1:5" ht="15.75" customHeight="1" x14ac:dyDescent="0.25">
      <c r="A46" s="1" t="s">
        <v>93</v>
      </c>
      <c r="B46" s="1">
        <v>5552</v>
      </c>
      <c r="C46" s="3">
        <v>44541.823125000003</v>
      </c>
      <c r="D46" s="1" t="s">
        <v>94</v>
      </c>
      <c r="E46" s="4" t="str">
        <f ca="1">IFERROR(__xludf.DUMMYFUNCTION("GOOGLETRANSLATE(A46 , ""tr"" , ""en"")"),"Our physicians are the best-grown physicians where the richest countries look with the receiving eyes. Do not forget this. https://t.co/qfevbqcdhx")</f>
        <v>Our physicians are the best-grown physicians where the richest countries look with the receiving eyes. Do not forget this. https://t.co/qfevbqcdhx</v>
      </c>
    </row>
    <row r="47" spans="1:5" ht="15.75" customHeight="1" x14ac:dyDescent="0.25">
      <c r="A47" s="1" t="s">
        <v>95</v>
      </c>
      <c r="B47" s="1">
        <v>2745</v>
      </c>
      <c r="C47" s="3">
        <v>44541.816053240742</v>
      </c>
      <c r="D47" s="1" t="s">
        <v>96</v>
      </c>
      <c r="E47" s="4" t="str">
        <f ca="1">IFERROR(__xludf.DUMMYFUNCTION("GOOGLETRANSLATE(A47 , ""tr"" , ""en"")"),"Health workers are subject to heavy cases, pay large compensation. The absence of the specialization court in this field drags the course of cases to the wrong directions. The physicians are adhering to their hand arm at the point where they need to inter"&amp;"fere with the patients with astronomical compensation. https://t.co/klmckkuag3g")</f>
        <v>Health workers are subject to heavy cases, pay large compensation. The absence of the specialization court in this field drags the course of cases to the wrong directions. The physicians are adhering to their hand arm at the point where they need to interfere with the patients with astronomical compensation. https://t.co/klmckkuag3g</v>
      </c>
    </row>
    <row r="48" spans="1:5" ht="15.75" customHeight="1" x14ac:dyDescent="0.25">
      <c r="A48" s="1" t="s">
        <v>97</v>
      </c>
      <c r="B48" s="1">
        <v>2042</v>
      </c>
      <c r="C48" s="3">
        <v>44541.809490740743</v>
      </c>
      <c r="D48" s="1" t="s">
        <v>98</v>
      </c>
      <c r="E48" s="4" t="str">
        <f ca="1">IFERROR(__xludf.DUMMYFUNCTION("GOOGLETRANSLATE(A48 , ""tr"" , ""en"")"),"When a new violent event finds Vuku, I'm getting incapable of finding the words to tell our employees. As all institutions, we have to create social solidarity against health violence. Law should protect the health worker who is connected to the hand arm "&amp;"with the moral of responsibility. https://t.co/9t5tgfqdkb")</f>
        <v>When a new violent event finds Vuku, I'm getting incapable of finding the words to tell our employees. As all institutions, we have to create social solidarity against health violence. Law should protect the health worker who is connected to the hand arm with the moral of responsibility. https://t.co/9t5tgfqdkb</v>
      </c>
    </row>
    <row r="49" spans="1:5" ht="15.75" customHeight="1" x14ac:dyDescent="0.25">
      <c r="A49" s="1" t="s">
        <v>99</v>
      </c>
      <c r="B49" s="1">
        <v>1907</v>
      </c>
      <c r="C49" s="3">
        <v>44541.802303240744</v>
      </c>
      <c r="D49" s="1" t="s">
        <v>100</v>
      </c>
      <c r="E49" s="4" t="str">
        <f ca="1">IFERROR(__xludf.DUMMYFUNCTION("GOOGLETRANSLATE(A49 , ""tr"" , ""en"")"),"We have been in dialogue for the rights of health workers. ""We have to throw the steps to be taken on the rights of your salaries, with the common will."" I have gratitude for the support you give to our Ministry and believe that your support will contin"&amp;"ue to the last point. https://t.co/achdwI76la")</f>
        <v>We have been in dialogue for the rights of health workers. "We have to throw the steps to be taken on the rights of your salaries, with the common will." I have gratitude for the support you give to our Ministry and believe that your support will continue to the last point. https://t.co/achdwI76la</v>
      </c>
    </row>
    <row r="50" spans="1:5" ht="15.75" customHeight="1" x14ac:dyDescent="0.25">
      <c r="A50" s="1" t="s">
        <v>101</v>
      </c>
      <c r="B50" s="1">
        <v>2795</v>
      </c>
      <c r="C50" s="3">
        <v>44541.795497685183</v>
      </c>
      <c r="D50" s="1" t="s">
        <v>102</v>
      </c>
      <c r="E50" s="4" t="str">
        <f ca="1">IFERROR(__xludf.DUMMYFUNCTION("GOOGLETRANSLATE(A50 , ""tr"" , ""en"")"),"Today I'm just as a physician in your peace, but also as a physician. The doctor is the person who is approaching the patient with love and affection. The burden is a heavy profession physician. Physicians that make a job free from all decompositions, fri"&amp;"ction and conflicts. https://t.co/l8lugf9xld")</f>
        <v>Today I'm just as a physician in your peace, but also as a physician. The doctor is the person who is approaching the patient with love and affection. The burden is a heavy profession physician. Physicians that make a job free from all decompositions, friction and conflicts. https://t.co/l8lugf9xld</v>
      </c>
    </row>
    <row r="51" spans="1:5" ht="15.75" customHeight="1" x14ac:dyDescent="0.25">
      <c r="A51" s="1" t="s">
        <v>103</v>
      </c>
      <c r="B51" s="1">
        <v>2298</v>
      </c>
      <c r="C51" s="3">
        <v>44541.78361111111</v>
      </c>
      <c r="D51" s="1" t="s">
        <v>104</v>
      </c>
      <c r="E51" s="4" t="str">
        <f ca="1">IFERROR(__xludf.DUMMYFUNCTION("GOOGLETRANSLATE(A51 , ""tr"" , ""en"")"),"""There are people in this budget. This budget has health. This budget has occupational ethics. There is conscience and mercy. Decomposition, conflict, no other stretches. ""
From the entrance to the TBMM General Assembly for the 2022 budget of our Minist"&amp;"ry. https://t.co/kvzenpa9op")</f>
        <v>"There are people in this budget. This budget has health. This budget has occupational ethics. There is conscience and mercy. Decomposition, conflict, no other stretches. "
From the entrance to the TBMM General Assembly for the 2022 budget of our Ministry. https://t.co/kvzenpa9op</v>
      </c>
    </row>
    <row r="52" spans="1:5" ht="15.75" customHeight="1" x14ac:dyDescent="0.25">
      <c r="A52" s="1" t="s">
        <v>105</v>
      </c>
      <c r="B52" s="1">
        <v>2484</v>
      </c>
      <c r="C52" s="3">
        <v>44541.713460648149</v>
      </c>
      <c r="D52" s="1" t="s">
        <v>106</v>
      </c>
      <c r="E52" s="4" t="str">
        <f ca="1">IFERROR(__xludf.DUMMYFUNCTION("GOOGLETRANSLATE(A52 , ""tr"" , ""en"")"),"We are in the TBMM General Assembly for the 2022 budget of our Ministry. https://t.co/bxtpczinyb")</f>
        <v>We are in the TBMM General Assembly for the 2022 budget of our Ministry. https://t.co/bxtpczinyb</v>
      </c>
    </row>
    <row r="53" spans="1:5" ht="15.75" customHeight="1" x14ac:dyDescent="0.25">
      <c r="A53" s="1" t="s">
        <v>107</v>
      </c>
      <c r="B53" s="1">
        <v>4421</v>
      </c>
      <c r="C53" s="3">
        <v>44541.688402777778</v>
      </c>
      <c r="D53" s="1" t="s">
        <v>108</v>
      </c>
      <c r="E53" s="4" t="str">
        <f ca="1">IFERROR(__xludf.DUMMYFUNCTION("GOOGLETRANSLATE(A53 , ""tr"" , ""en"")"),"Following the common vaccination, the process shows: The full-grown ones are usually mild to Covid-19. Those who are affected by the vaccine discourses are missing their vaccinations, they are young if they are young, they do not have chronic disorders. T"&amp;"he results of the vaccine are in the middle! https://t.co/z5q2aqov9d")</f>
        <v>Following the common vaccination, the process shows: The full-grown ones are usually mild to Covid-19. Those who are affected by the vaccine discourses are missing their vaccinations, they are young if they are young, they do not have chronic disorders. The results of the vaccine are in the middle! https://t.co/z5q2aqov9d</v>
      </c>
    </row>
    <row r="54" spans="1:5" ht="15.75" customHeight="1" x14ac:dyDescent="0.25">
      <c r="A54" s="1" t="s">
        <v>109</v>
      </c>
      <c r="B54" s="1">
        <v>5375</v>
      </c>
      <c r="C54" s="3">
        <v>44540.696331018517</v>
      </c>
      <c r="D54" s="1" t="s">
        <v>110</v>
      </c>
      <c r="E54" s="4" t="str">
        <f ca="1">IFERROR(__xludf.DUMMYFUNCTION("GOOGLETRANSLATE(A54 , ""tr"" , ""en"")"),"The concern of getting caught Covid-19 is increasingly decreasing. This is understandable for young people who have completed their vaccinations and treated. However, those in the risk group should show high precision of those with chronic diseases. Every"&amp;"one who is missing vaccines should complete their vaccinations. https://t.co/h6tba8bkgm")</f>
        <v>The concern of getting caught Covid-19 is increasingly decreasing. This is understandable for young people who have completed their vaccinations and treated. However, those in the risk group should show high precision of those with chronic diseases. Everyone who is missing vaccines should complete their vaccinations. https://t.co/h6tba8bkgm</v>
      </c>
    </row>
    <row r="55" spans="1:5" ht="15.75" customHeight="1" x14ac:dyDescent="0.25">
      <c r="A55" s="1" t="s">
        <v>111</v>
      </c>
      <c r="B55" s="1">
        <v>3318</v>
      </c>
      <c r="C55" s="3">
        <v>44539.78396990741</v>
      </c>
      <c r="D55" s="1">
        <v>1.46901622522112E+18</v>
      </c>
      <c r="E55" s="4" t="str">
        <f ca="1">IFERROR(__xludf.DUMMYFUNCTION("GOOGLETRANSLATE(A55 , ""tr"" , ""en"")"),"In the north of Iraq, I wish our Hero Soldiers in the north of the Paw-Yıldırım Operations. Let our martyrs be heaven. https://t.co/magth5sa4w")</f>
        <v>In the north of Iraq, I wish our Hero Soldiers in the north of the Paw-Yıldırım Operations. Let our martyrs be heaven. https://t.co/magth5sa4w</v>
      </c>
    </row>
    <row r="56" spans="1:5" ht="15.75" customHeight="1" x14ac:dyDescent="0.25">
      <c r="A56" s="1" t="s">
        <v>112</v>
      </c>
      <c r="B56" s="1">
        <v>4481</v>
      </c>
      <c r="C56" s="3">
        <v>44539.777187500003</v>
      </c>
      <c r="D56" s="1" t="s">
        <v>113</v>
      </c>
      <c r="E56" s="4" t="str">
        <f ca="1">IFERROR(__xludf.DUMMYFUNCTION("GOOGLETRANSLATE(A56 , ""tr"" , ""en"")"),"The epidemic was watched with similar daily cases of cases in the last 6 weeks. The sudden increases in Europe were not seen in our country. We should not compromise the incomplete vaccines to maintain this positive situation and to reduce our losses. htt"&amp;"ps://t.co/722f26y5ee")</f>
        <v>The epidemic was watched with similar daily cases of cases in the last 6 weeks. The sudden increases in Europe were not seen in our country. We should not compromise the incomplete vaccines to maintain this positive situation and to reduce our losses. https://t.co/722f26y5ee</v>
      </c>
    </row>
    <row r="57" spans="1:5" ht="15.75" customHeight="1" x14ac:dyDescent="0.25">
      <c r="A57" s="1" t="s">
        <v>114</v>
      </c>
      <c r="B57" s="1">
        <v>5069</v>
      </c>
      <c r="C57" s="3">
        <v>44538.704976851855</v>
      </c>
      <c r="D57" s="1" t="s">
        <v>115</v>
      </c>
      <c r="E57" s="4" t="str">
        <f ca="1">IFERROR(__xludf.DUMMYFUNCTION("GOOGLETRANSLATE(A57 , ""tr"" , ""en"")"),"What did those who try to intimidate our people from vaccination with prejudices? We know the conclusion of erroneous decisions. Important part of Covid-19 patients lying in intensive care has never been vaccinated or vaccinated. The vaccine is a decision"&amp;" to be taken. Don't expect to regret it. https://t.co/nf67x5okdk")</f>
        <v>What did those who try to intimidate our people from vaccination with prejudices? We know the conclusion of erroneous decisions. Important part of Covid-19 patients lying in intensive care has never been vaccinated or vaccinated. The vaccine is a decision to be taken. Don't expect to regret it. https://t.co/nf67x5okdk</v>
      </c>
    </row>
    <row r="58" spans="1:5" ht="15.75" customHeight="1" x14ac:dyDescent="0.25">
      <c r="A58" s="1" t="s">
        <v>116</v>
      </c>
      <c r="B58" s="1">
        <v>0</v>
      </c>
      <c r="C58" s="3">
        <v>44538.670497685183</v>
      </c>
      <c r="D58" s="1" t="s">
        <v>117</v>
      </c>
      <c r="E58" s="4" t="str">
        <f ca="1">IFERROR(__xludf.DUMMYFUNCTION("GOOGLETRANSLATE(A58 , ""tr"" , ""en"")"),"RT @rterdogan: Shouting Nation After Cabinet Meeting https://t.co/8v29aoasns")</f>
        <v>RT @rterdogan: Shouting Nation After Cabinet Meeting https://t.co/8v29aoasns</v>
      </c>
    </row>
    <row r="59" spans="1:5" ht="15.75" customHeight="1" x14ac:dyDescent="0.25">
      <c r="A59" s="1" t="s">
        <v>118</v>
      </c>
      <c r="B59" s="1">
        <v>4931</v>
      </c>
      <c r="C59" s="3">
        <v>44537.692743055559</v>
      </c>
      <c r="D59" s="1" t="s">
        <v>119</v>
      </c>
      <c r="E59" s="4" t="str">
        <f ca="1">IFERROR(__xludf.DUMMYFUNCTION("GOOGLETRANSLATE(A59 , ""tr"" , ""en"")"),"There are Covid-19 patients in intensive care all over Turkey. A significant portion of these has never been vaccinated or the fact that the vaccines are incomplete. It is not a major extent of grafted people's disease. Https://t.co/ef3znmn0lo rely on the"&amp;" consequences of 10 months behind")</f>
        <v>There are Covid-19 patients in intensive care all over Turkey. A significant portion of these has never been vaccinated or the fact that the vaccines are incomplete. It is not a major extent of grafted people's disease. Https://t.co/ef3znmn0lo rely on the consequences of 10 months behind</v>
      </c>
    </row>
    <row r="60" spans="1:5" ht="15.75" customHeight="1" x14ac:dyDescent="0.25">
      <c r="A60" s="1" t="s">
        <v>120</v>
      </c>
      <c r="B60" s="1">
        <v>6893</v>
      </c>
      <c r="C60" s="3">
        <v>44536.880324074074</v>
      </c>
      <c r="D60" s="1" t="s">
        <v>121</v>
      </c>
      <c r="E60" s="4" t="str">
        <f ca="1">IFERROR(__xludf.DUMMYFUNCTION("GOOGLETRANSLATE(A60 , ""tr"" , ""en"")"),"A great life lasted. Prof. Dr. Theeoman has no longer among us. I wish his condolences to the mercy, lovers from Allah.")</f>
        <v>A great life lasted. Prof. Dr. Theeoman has no longer among us. I wish his condolences to the mercy, lovers from Allah.</v>
      </c>
    </row>
    <row r="61" spans="1:5" ht="15.75" customHeight="1" x14ac:dyDescent="0.25">
      <c r="A61" s="1" t="s">
        <v>122</v>
      </c>
      <c r="B61" s="1">
        <v>4205</v>
      </c>
      <c r="C61" s="3">
        <v>44536.737881944442</v>
      </c>
      <c r="D61" s="1" t="s">
        <v>123</v>
      </c>
      <c r="E61" s="4" t="str">
        <f ca="1">IFERROR(__xludf.DUMMYFUNCTION("GOOGLETRANSLATE(A61 , ""tr"" , ""en"")"),"When a dose of a dose of Turkey was made in Turkey we were all happiness. We were aware that the vaccination was our task towards all individuals of society. Now the absence of serious increases is sadness. The 2nd dose rate in 30 provinces is below 75%. "&amp;"Maintains the importance of vaccination. https://t.co/LIXKJUNDIB")</f>
        <v>When a dose of a dose of Turkey was made in Turkey we were all happiness. We were aware that the vaccination was our task towards all individuals of society. Now the absence of serious increases is sadness. The 2nd dose rate in 30 provinces is below 75%. Maintains the importance of vaccination. https://t.co/LIXKJUNDIB</v>
      </c>
    </row>
    <row r="62" spans="1:5" ht="15.75" customHeight="1" x14ac:dyDescent="0.25">
      <c r="A62" s="1" t="s">
        <v>124</v>
      </c>
      <c r="B62" s="1">
        <v>3674</v>
      </c>
      <c r="C62" s="3">
        <v>44536.37877314815</v>
      </c>
      <c r="D62" s="1" t="s">
        <v>125</v>
      </c>
      <c r="E62" s="4" t="str">
        <f ca="1">IFERROR(__xludf.DUMMYFUNCTION("GOOGLETRANSLATE(A62 , ""tr"" , ""en"")"),"3.156 Emergency Health Services Station, 5.886 Our Black Ambulance, our 6 Sea Ambulance, our 12 helicopter ambulance, 3 airplane ambulances and 39,836 emergency health care staff with our emergency health care weekly. https://t.co/io4vsaeznl")</f>
        <v>3.156 Emergency Health Services Station, 5.886 Our Black Ambulance, our 6 Sea Ambulance, our 12 helicopter ambulance, 3 airplane ambulances and 39,836 emergency health care staff with our emergency health care weekly. https://t.co/io4vsaeznl</v>
      </c>
    </row>
    <row r="63" spans="1:5" ht="15.75" customHeight="1" x14ac:dyDescent="0.25">
      <c r="A63" s="1" t="s">
        <v>126</v>
      </c>
      <c r="B63" s="1">
        <v>5679</v>
      </c>
      <c r="C63" s="3">
        <v>44535.697488425925</v>
      </c>
      <c r="D63" s="1" t="s">
        <v>127</v>
      </c>
      <c r="E63" s="4" t="str">
        <f ca="1">IFERROR(__xludf.DUMMYFUNCTION("GOOGLETRANSLATE(A63 , ""tr"" , ""en"")"),"The number of cases falls below 20 thousands of great dealings and dedication. It depends on our stable determination to make this permanent. We should be immediately our vaccinations and do not make a taste compromise. https://t.co/8xotobjf5b")</f>
        <v>The number of cases falls below 20 thousands of great dealings and dedication. It depends on our stable determination to make this permanent. We should be immediately our vaccinations and do not make a taste compromise. https://t.co/8xotobjf5b</v>
      </c>
    </row>
    <row r="64" spans="1:5" ht="15.75" customHeight="1" x14ac:dyDescent="0.25">
      <c r="A64" s="1" t="s">
        <v>128</v>
      </c>
      <c r="B64" s="1">
        <v>2092</v>
      </c>
      <c r="C64" s="3">
        <v>44535.55265046296</v>
      </c>
      <c r="D64" s="1" t="s">
        <v>129</v>
      </c>
      <c r="E64" s="4" t="str">
        <f ca="1">IFERROR(__xludf.DUMMYFUNCTION("GOOGLETRANSLATE(A64 , ""tr"" , ""en"")"),"20-26 November the case density by the previous week by the previous week of our most increasing 10 provinces: Osmaniye, Adana, Mersin, Hatay, Kirklareli, Canakkale, Eskisehir, Burdur, Bilecik and Edirne. https://t.co/xwvdb5evjx")</f>
        <v>20-26 November the case density by the previous week by the previous week of our most increasing 10 provinces: Osmaniye, Adana, Mersin, Hatay, Kirklareli, Canakkale, Eskisehir, Burdur, Bilecik and Edirne. https://t.co/xwvdb5evjx</v>
      </c>
    </row>
    <row r="65" spans="1:5" ht="15.75" customHeight="1" x14ac:dyDescent="0.25">
      <c r="A65" s="1" t="s">
        <v>130</v>
      </c>
      <c r="B65" s="1">
        <v>3434</v>
      </c>
      <c r="C65" s="3">
        <v>44535.549178240741</v>
      </c>
      <c r="D65" s="1" t="s">
        <v>131</v>
      </c>
      <c r="E65" s="4" t="str">
        <f ca="1">IFERROR(__xludf.DUMMYFUNCTION("GOOGLETRANSLATE(A65 , ""tr"" , ""en"")"),"From November 20-26, what was a total of weekly new Covid-19 Cases in 100,000 people in 100,000. Information on the Weekly Insidans map. https://t.co/QI07nsj6lj")</f>
        <v>From November 20-26, what was a total of weekly new Covid-19 Cases in 100,000 people in 100,000. Information on the Weekly Insidans map. https://t.co/QI07nsj6lj</v>
      </c>
    </row>
    <row r="66" spans="1:5" ht="15.75" customHeight="1" x14ac:dyDescent="0.25">
      <c r="A66" s="1" t="s">
        <v>132</v>
      </c>
      <c r="B66" s="1">
        <v>4279</v>
      </c>
      <c r="C66" s="3">
        <v>44534.689027777778</v>
      </c>
      <c r="D66" s="1" t="s">
        <v>133</v>
      </c>
      <c r="E66" s="4" t="str">
        <f ca="1">IFERROR(__xludf.DUMMYFUNCTION("GOOGLETRANSLATE(A66 , ""tr"" , ""en"")"),"We all have the results that we all have to take off the conditions of the season. We should avoid being in the crowded environments in closed places. We often have to ventilate the enclosed environments. We should pay attention to cleanliness. In this pe"&amp;"riod where the risk increases, we must immediately do our vaccines. https://t.co/fejf2dwx64")</f>
        <v>We all have the results that we all have to take off the conditions of the season. We should avoid being in the crowded environments in closed places. We often have to ventilate the enclosed environments. We should pay attention to cleanliness. In this period where the risk increases, we must immediately do our vaccines. https://t.co/fejf2dwx64</v>
      </c>
    </row>
    <row r="67" spans="1:5" ht="15.75" customHeight="1" x14ac:dyDescent="0.25">
      <c r="A67" s="1" t="s">
        <v>134</v>
      </c>
      <c r="B67" s="1">
        <v>2036</v>
      </c>
      <c r="C67" s="3">
        <v>44534.62599537037</v>
      </c>
      <c r="D67" s="1" t="s">
        <v>135</v>
      </c>
      <c r="E67" s="4" t="str">
        <f ca="1">IFERROR(__xludf.DUMMYFUNCTION("GOOGLETRANSLATE(A67 , ""tr"" , ""en"")"),"SMA scan
With our project, the genetic structures of the Genetic Structures of SMA Patient Baby will be able to have children with the risk of risk with the tube doll method and the price will be met by our state. SMA patient dolls can be diagnosed in the"&amp;" stage where treatment is effective. https://t.co/mmphwmfung")</f>
        <v>SMA scan
With our project, the genetic structures of the Genetic Structures of SMA Patient Baby will be able to have children with the risk of risk with the tube doll method and the price will be met by our state. SMA patient dolls can be diagnosed in the stage where treatment is effective. https://t.co/mmphwmfung</v>
      </c>
    </row>
    <row r="68" spans="1:5" ht="15.75" customHeight="1" x14ac:dyDescent="0.25">
      <c r="A68" s="1" t="s">
        <v>136</v>
      </c>
      <c r="B68" s="1">
        <v>1529</v>
      </c>
      <c r="C68" s="3">
        <v>44534.619826388887</v>
      </c>
      <c r="D68" s="1" t="s">
        <v>137</v>
      </c>
      <c r="E68" s="4" t="str">
        <f ca="1">IFERROR(__xludf.DUMMYFUNCTION("GOOGLETRANSLATE(A68 , ""tr"" , ""en"")"),"Nusinersen is the effective ingredient, the borders of the impact in SMA patients are covered by the treatment applied in our country and the drug is provided free of charge. Results in our studies and patients indicate that the drug can benefit in the ea"&amp;"rly stage. https://t.co/wpyd7jczov")</f>
        <v>Nusinersen is the effective ingredient, the borders of the impact in SMA patients are covered by the treatment applied in our country and the drug is provided free of charge. Results in our studies and patients indicate that the drug can benefit in the early stage. https://t.co/wpyd7jczov</v>
      </c>
    </row>
    <row r="69" spans="1:5" ht="15.75" customHeight="1" x14ac:dyDescent="0.25">
      <c r="A69" s="1" t="s">
        <v>138</v>
      </c>
      <c r="B69" s="1">
        <v>1548</v>
      </c>
      <c r="C69" s="3">
        <v>44534.605416666665</v>
      </c>
      <c r="D69" s="1" t="s">
        <v>139</v>
      </c>
      <c r="E69" s="4" t="str">
        <f ca="1">IFERROR(__xludf.DUMMYFUNCTION("GOOGLETRANSLATE(A69 , ""tr"" , ""en"")"),"We are talking about the most fragile state of life while talking about SMA patients. Every promise on the subject has to observe this fragility. Not to be cleared with empty hopes but it is necessary to assess the smallest possible possibility. Our Minis"&amp;"try is trying to do this for SMA patients. https://t.co/cvx4ikmbuv")</f>
        <v>We are talking about the most fragile state of life while talking about SMA patients. Every promise on the subject has to observe this fragility. Not to be cleared with empty hopes but it is necessary to assess the smallest possible possibility. Our Ministry is trying to do this for SMA patients. https://t.co/cvx4ikmbuv</v>
      </c>
    </row>
    <row r="70" spans="1:5" ht="15.75" customHeight="1" x14ac:dyDescent="0.25">
      <c r="A70" s="1" t="s">
        <v>140</v>
      </c>
      <c r="B70" s="1">
        <v>2108</v>
      </c>
      <c r="C70" s="3">
        <v>44534.594467592593</v>
      </c>
      <c r="D70" s="1" t="s">
        <v>141</v>
      </c>
      <c r="E70" s="4" t="str">
        <f ca="1">IFERROR(__xludf.DUMMYFUNCTION("GOOGLETRANSLATE(A70 , ""tr"" , ""en"")"),"SMA Science Board Meeting Results in 4 items https://t.co/lydwt8we7c")</f>
        <v>SMA Science Board Meeting Results in 4 items https://t.co/lydwt8we7c</v>
      </c>
    </row>
    <row r="71" spans="1:5" ht="15.75" customHeight="1" x14ac:dyDescent="0.25">
      <c r="A71" s="1" t="s">
        <v>142</v>
      </c>
      <c r="B71" s="1">
        <v>4391</v>
      </c>
      <c r="C71" s="3">
        <v>44533.741886574076</v>
      </c>
      <c r="D71" s="1" t="s">
        <v>143</v>
      </c>
      <c r="E71" s="4" t="str">
        <f ca="1">IFERROR(__xludf.DUMMYFUNCTION("GOOGLETRANSLATE(A71 , ""tr"" , ""en"")"),"The day of the disabled. According to the national disabled database, we have very disabled individuals from 1.5 million in our country. In the world, we know that the disability rate is too high. Being disabled is not defect, if it is not positive, great"&amp;" mistake for societies. Life we ​​are together.")</f>
        <v>The day of the disabled. According to the national disabled database, we have very disabled individuals from 1.5 million in our country. In the world, we know that the disability rate is too high. Being disabled is not defect, if it is not positive, great mistake for societies. Life we ​​are together.</v>
      </c>
    </row>
    <row r="72" spans="1:5" ht="15.75" customHeight="1" x14ac:dyDescent="0.25">
      <c r="A72" s="1" t="s">
        <v>144</v>
      </c>
      <c r="B72" s="1">
        <v>3883</v>
      </c>
      <c r="C72" s="3">
        <v>44533.696840277778</v>
      </c>
      <c r="D72" s="1" t="s">
        <v>145</v>
      </c>
      <c r="E72" s="4" t="str">
        <f ca="1">IFERROR(__xludf.DUMMYFUNCTION("GOOGLETRANSLATE(A72 , ""tr"" , ""en"")"),"At the beginning of the Ministry, we have lost important responsibilities in our close-term political lives, have lost the Güldal Akşit, who had understood important responsibilities, with the case and his study. I wish himself from Allah to the mercy, hi"&amp;"s family and lovers.")</f>
        <v>At the beginning of the Ministry, we have lost important responsibilities in our close-term political lives, have lost the Güldal Akşit, who had understood important responsibilities, with the case and his study. I wish himself from Allah to the mercy, his family and lovers.</v>
      </c>
    </row>
    <row r="73" spans="1:5" ht="15.75" customHeight="1" x14ac:dyDescent="0.25">
      <c r="A73" s="1" t="s">
        <v>146</v>
      </c>
      <c r="B73" s="1">
        <v>4782</v>
      </c>
      <c r="C73" s="3">
        <v>44533.678495370368</v>
      </c>
      <c r="D73" s="1" t="s">
        <v>147</v>
      </c>
      <c r="E73" s="4" t="str">
        <f ca="1">IFERROR(__xludf.DUMMYFUNCTION("GOOGLETRANSLATE(A73 , ""tr"" , ""en"")"),"The Omicron variant has not been found in our country. This variant is known to be mutated in multiple gene zones of the virus. According to the preliminary information, the omicron variant is faster, but there is no finding that indicates that it is more"&amp;" self-fascinating. https://t.co/I1bvxg1bmc")</f>
        <v>The Omicron variant has not been found in our country. This variant is known to be mutated in multiple gene zones of the virus. According to the preliminary information, the omicron variant is faster, but there is no finding that indicates that it is more self-fascinating. https://t.co/I1bvxg1bmc</v>
      </c>
    </row>
    <row r="74" spans="1:5" ht="15.75" customHeight="1" x14ac:dyDescent="0.25">
      <c r="A74" s="1" t="s">
        <v>148</v>
      </c>
      <c r="B74" s="1">
        <v>4844</v>
      </c>
      <c r="C74" s="3">
        <v>44532.733773148146</v>
      </c>
      <c r="D74" s="1" t="s">
        <v>149</v>
      </c>
      <c r="E74" s="4" t="str">
        <f ca="1">IFERROR(__xludf.DUMMYFUNCTION("GOOGLETRANSLATE(A74 , ""tr"" , ""en"")"),"The epidemic has changed the life, throughout the epidemic. One of these changes was the partial flexibility of the measures with the possession of the vaccine. Today, we need to care about the vaccine for our life qualities. Just as much as we give to me"&amp;"asures on the first days. And we should be careful. https://t.co/dvywreojqh")</f>
        <v>The epidemic has changed the life, throughout the epidemic. One of these changes was the partial flexibility of the measures with the possession of the vaccine. Today, we need to care about the vaccine for our life qualities. Just as much as we give to measures on the first days. And we should be careful. https://t.co/dvywreojqh</v>
      </c>
    </row>
    <row r="75" spans="1:5" ht="15.75" customHeight="1" x14ac:dyDescent="0.25">
      <c r="A75" s="1" t="s">
        <v>150</v>
      </c>
      <c r="B75" s="1">
        <v>2684</v>
      </c>
      <c r="C75" s="3">
        <v>44532.63177083333</v>
      </c>
      <c r="D75" s="1" t="s">
        <v>151</v>
      </c>
      <c r="E75" s="4" t="str">
        <f ca="1">IFERROR(__xludf.DUMMYFUNCTION("GOOGLETRANSLATE(A75 , ""tr"" , ""en"")"),"SMA Science Board After our meeting, our press statement: https://t.co/1azpi0w8ck")</f>
        <v>SMA Science Board After our meeting, our press statement: https://t.co/1azpi0w8ck</v>
      </c>
    </row>
    <row r="76" spans="1:5" ht="15.75" customHeight="1" x14ac:dyDescent="0.25">
      <c r="A76" s="1" t="s">
        <v>152</v>
      </c>
      <c r="B76" s="1">
        <v>6528</v>
      </c>
      <c r="C76" s="3">
        <v>44532.278032407405</v>
      </c>
      <c r="D76" s="1" t="s">
        <v>153</v>
      </c>
      <c r="E76" s="4" t="str">
        <f ca="1">IFERROR(__xludf.DUMMYFUNCTION("GOOGLETRANSLATE(A76 , ""tr"" , ""en"")"),"Our new study mate in the cabin, Treasury and Finance Minister SN. Dr. I celebrate Nureddin Nebati for the important task he is appointed, I wish you success. Our mission is deactivated our valuable friend of friends sec. I would like to thank Lütfi Elvan"&amp;" on behalf of my Ministry for close cooperation.")</f>
        <v>Our new study mate in the cabin, Treasury and Finance Minister SN. Dr. I celebrate Nureddin Nebati for the important task he is appointed, I wish you success. Our mission is deactivated our valuable friend of friends sec. I would like to thank Lütfi Elvan on behalf of my Ministry for close cooperation.</v>
      </c>
    </row>
    <row r="77" spans="1:5" ht="15.75" customHeight="1" x14ac:dyDescent="0.25">
      <c r="A77" s="1" t="s">
        <v>154</v>
      </c>
      <c r="B77" s="1">
        <v>6603</v>
      </c>
      <c r="C77" s="3">
        <v>44531.758425925924</v>
      </c>
      <c r="D77" s="1" t="s">
        <v>155</v>
      </c>
      <c r="E77" s="4" t="str">
        <f ca="1">IFERROR(__xludf.DUMMYFUNCTION("GOOGLETRANSLATE(A77 , ""tr"" , ""en"")"),"SN. I desire my gratitude to our Presidentialism. I would like to thank the deputies and parties to the Ministry of Treasury and Finance to the Ministry of Treasury and the Ministry of Treasury and the Ministry of Labor and Social Security.")</f>
        <v>SN. I desire my gratitude to our Presidentialism. I would like to thank the deputies and parties to the Ministry of Treasury and Finance to the Ministry of Treasury and the Ministry of Treasury and the Ministry of Labor and Social Security.</v>
      </c>
    </row>
    <row r="78" spans="1:5" ht="15.75" customHeight="1" x14ac:dyDescent="0.25">
      <c r="A78" s="1" t="s">
        <v>156</v>
      </c>
      <c r="B78" s="1">
        <v>10010</v>
      </c>
      <c r="C78" s="3">
        <v>44531.758067129631</v>
      </c>
      <c r="D78" s="1" t="s">
        <v>157</v>
      </c>
      <c r="E78" s="4" t="str">
        <f ca="1">IFERROR(__xludf.DUMMYFUNCTION("GOOGLETRANSLATE(A78 , ""tr"" , ""en"")"),"Law materials to improve the financial rights of our health workers, especially the physicians, was raised in the Almighty Council. We know that these improvements are already deserved in society and believe that the results will be reflected in all of us"&amp;".")</f>
        <v>Law materials to improve the financial rights of our health workers, especially the physicians, was raised in the Almighty Council. We know that these improvements are already deserved in society and believe that the results will be reflected in all of us.</v>
      </c>
    </row>
    <row r="79" spans="1:5" ht="15.75" customHeight="1" x14ac:dyDescent="0.25">
      <c r="A79" s="1" t="s">
        <v>158</v>
      </c>
      <c r="B79" s="1">
        <v>3345</v>
      </c>
      <c r="C79" s="3">
        <v>44531.725983796299</v>
      </c>
      <c r="D79" s="1" t="s">
        <v>159</v>
      </c>
      <c r="E79" s="4" t="str">
        <f ca="1">IFERROR(__xludf.DUMMYFUNCTION("GOOGLETRANSLATE(A79 , ""tr"" , ""en"")"),"Our Science Board Meeting Post Prescription: https://t.co/ymmcvawwyv")</f>
        <v>Our Science Board Meeting Post Prescription: https://t.co/ymmcvawwyv</v>
      </c>
    </row>
    <row r="80" spans="1:5" ht="15.75" customHeight="1" x14ac:dyDescent="0.25">
      <c r="A80" s="1" t="s">
        <v>160</v>
      </c>
      <c r="B80" s="1">
        <v>4668</v>
      </c>
      <c r="C80" s="3">
        <v>44531.683321759258</v>
      </c>
      <c r="D80" s="1" t="s">
        <v>161</v>
      </c>
      <c r="E80" s="4" t="str">
        <f ca="1">IFERROR(__xludf.DUMMYFUNCTION("GOOGLETRANSLATE(A80 , ""tr"" , ""en"")"),"Viruses, as in Influenza, which leads to flu, undergo changes over time. The virus against the struggle and changing conditions we give, also gives the survival struggle. In Covid-19, be concerned from the new variants, but remember that the end of the ep"&amp;"idemic will come with weak variants. https://t.co/6xjir0d8mu")</f>
        <v>Viruses, as in Influenza, which leads to flu, undergo changes over time. The virus against the struggle and changing conditions we give, also gives the survival struggle. In Covid-19, be concerned from the new variants, but remember that the end of the epidemic will come with weak variants. https://t.co/6xjir0d8mu</v>
      </c>
    </row>
    <row r="81" spans="1:5" ht="15.75" customHeight="1" x14ac:dyDescent="0.25">
      <c r="A81" s="1" t="s">
        <v>162</v>
      </c>
      <c r="B81" s="1">
        <v>4600</v>
      </c>
      <c r="C81" s="3">
        <v>44530.885023148148</v>
      </c>
      <c r="D81" s="1" t="s">
        <v>163</v>
      </c>
      <c r="E81" s="4" t="str">
        <f ca="1">IFERROR(__xludf.DUMMYFUNCTION("GOOGLETRANSLATE(A81 , ""tr"" , ""en"")"),"63 people were injured in the Lodos storm-induced disaster events in Marmara region, 5 people have lost their life. 28 112 ambulances in disaster places were appointed 99 health personnel with 3 Umke Tims. I offer my condolences and past our nationality.")</f>
        <v>63 people were injured in the Lodos storm-induced disaster events in Marmara region, 5 people have lost their life. 28 112 ambulances in disaster places were appointed 99 health personnel with 3 Umke Tims. I offer my condolences and past our nationality.</v>
      </c>
    </row>
    <row r="82" spans="1:5" ht="15.75" customHeight="1" x14ac:dyDescent="0.25">
      <c r="A82" s="1" t="s">
        <v>164</v>
      </c>
      <c r="B82" s="1">
        <v>2665</v>
      </c>
      <c r="C82" s="3">
        <v>44530.75105324074</v>
      </c>
      <c r="D82" s="1" t="s">
        <v>165</v>
      </c>
      <c r="E82" s="4" t="str">
        <f ca="1">IFERROR(__xludf.DUMMYFUNCTION("GOOGLETRANSLATE(A82 , ""tr"" , ""en"")"),"Within the scope of the high-level health dialogue, we met the European Union Health Commissioner with the video conference method with Stella Kyriakides. In the interview; Covid-19 and Global Health Threat, the effects of climate change on health, have a"&amp;"ddressed cancer protection and mental health issues. https://t.co/ft0muu4vqa")</f>
        <v>Within the scope of the high-level health dialogue, we met the European Union Health Commissioner with the video conference method with Stella Kyriakides. In the interview; Covid-19 and Global Health Threat, the effects of climate change on health, have addressed cancer protection and mental health issues. https://t.co/ft0muu4vqa</v>
      </c>
    </row>
    <row r="83" spans="1:5" ht="15.75" customHeight="1" x14ac:dyDescent="0.25">
      <c r="A83" s="1" t="s">
        <v>166</v>
      </c>
      <c r="B83" s="1">
        <v>4628</v>
      </c>
      <c r="C83" s="3">
        <v>44530.737164351849</v>
      </c>
      <c r="D83" s="1" t="s">
        <v>167</v>
      </c>
      <c r="E83" s="4" t="str">
        <f ca="1">IFERROR(__xludf.DUMMYFUNCTION("GOOGLETRANSLATE(A83 , ""tr"" , ""en"")"),"There are 5,166,607 people without a second overdose, despite the knowledge of a dose and insistent warnings. In the third dose, we are very under the expected level: only 12,180,234 people have been third overdose. This corresponds to 20.01% of the adult"&amp;" population. Be your vaccines. https://t.co/2goggfleg2")</f>
        <v>There are 5,166,607 people without a second overdose, despite the knowledge of a dose and insistent warnings. In the third dose, we are very under the expected level: only 12,180,234 people have been third overdose. This corresponds to 20.01% of the adult population. Be your vaccines. https://t.co/2goggfleg2</v>
      </c>
    </row>
    <row r="84" spans="1:5" ht="15.75" customHeight="1" x14ac:dyDescent="0.25">
      <c r="A84" s="1" t="s">
        <v>168</v>
      </c>
      <c r="B84" s="1">
        <v>2445</v>
      </c>
      <c r="C84" s="3">
        <v>44530.254826388889</v>
      </c>
      <c r="D84" s="1" t="s">
        <v>169</v>
      </c>
      <c r="E84" s="4" t="str">
        <f ca="1">IFERROR(__xludf.DUMMYFUNCTION("GOOGLETRANSLATE(A84 , ""tr"" , ""en"")"),"13-19 November the case density is the most increasing 10 in the previous week: Tunceli, Adana, Gumushane, Mersin, Sinop, Hatay, Burdur, Kilis, Giresun, Mardin. https://t.co/PQMISHPFJA")</f>
        <v>13-19 November the case density is the most increasing 10 in the previous week: Tunceli, Adana, Gumushane, Mersin, Sinop, Hatay, Burdur, Kilis, Giresun, Mardin. https://t.co/PQMISHPFJA</v>
      </c>
    </row>
    <row r="85" spans="1:5" ht="15.75" customHeight="1" x14ac:dyDescent="0.25">
      <c r="A85" s="1" t="s">
        <v>170</v>
      </c>
      <c r="B85" s="1">
        <v>3566</v>
      </c>
      <c r="C85" s="3">
        <v>44530.251331018517</v>
      </c>
      <c r="D85" s="1" t="s">
        <v>171</v>
      </c>
      <c r="E85" s="4" t="str">
        <f ca="1">IFERROR(__xludf.DUMMYFUNCTION("GOOGLETRANSLATE(A85 , ""tr"" , ""en"")"),"What was the total number of new Covid-19 cases in 100,000 people within 100,000 November? Information on the Weekly Insidans map. https://t.co/6hxgh90ndg")</f>
        <v>What was the total number of new Covid-19 cases in 100,000 people within 100,000 November? Information on the Weekly Insidans map. https://t.co/6hxgh90ndg</v>
      </c>
    </row>
    <row r="86" spans="1:5" ht="15.75" customHeight="1" x14ac:dyDescent="0.25">
      <c r="A86" s="1" t="s">
        <v>172</v>
      </c>
      <c r="B86" s="1">
        <v>5588</v>
      </c>
      <c r="C86" s="3">
        <v>44529.713587962964</v>
      </c>
      <c r="D86" s="1" t="s">
        <v>173</v>
      </c>
      <c r="E86" s="4" t="str">
        <f ca="1">IFERROR(__xludf.DUMMYFUNCTION("GOOGLETRANSLATE(A86 , ""tr"" , ""en"")"),"The day of medical secretaries. In the presentation of health services, the role of quality increases and the organizing role is high, the reputable members of our community celebrate the day of our medical secretaries, wish them success.
The light of you"&amp;"r professionalism is reflected in all of us from the patient.")</f>
        <v>The day of medical secretaries. In the presentation of health services, the role of quality increases and the organizing role is high, the reputable members of our community celebrate the day of our medical secretaries, wish them success.
The light of your professionalism is reflected in all of us from the patient.</v>
      </c>
    </row>
    <row r="87" spans="1:5" ht="15.75" customHeight="1" x14ac:dyDescent="0.25">
      <c r="A87" s="1" t="s">
        <v>174</v>
      </c>
      <c r="B87" s="1">
        <v>4358</v>
      </c>
      <c r="C87" s="3">
        <v>44529.702534722222</v>
      </c>
      <c r="D87" s="1" t="s">
        <v>175</v>
      </c>
      <c r="E87" s="4" t="str">
        <f ca="1">IFERROR(__xludf.DUMMYFUNCTION("GOOGLETRANSLATE(A87 , ""tr"" , ""en"")"),"Omicron (NU) explained the development of the variant and the measure we received against it in November 26 and 27. Variants are a natural part of the epidemic process as we have already experienced their samples. New Variant has not been found in our cou"&amp;"ntry. The importance of the measure has occurred again. https://t.co/j8py2hluxe")</f>
        <v>Omicron (NU) explained the development of the variant and the measure we received against it in November 26 and 27. Variants are a natural part of the epidemic process as we have already experienced their samples. New Variant has not been found in our country. The importance of the measure has occurred again. https://t.co/j8py2hluxe</v>
      </c>
    </row>
    <row r="88" spans="1:5" ht="15.75" customHeight="1" x14ac:dyDescent="0.25">
      <c r="A88" s="1" t="s">
        <v>176</v>
      </c>
      <c r="B88" s="1">
        <v>1200</v>
      </c>
      <c r="C88" s="3">
        <v>44529.663194444445</v>
      </c>
      <c r="D88" s="1" t="s">
        <v>177</v>
      </c>
      <c r="E88" s="4" t="str">
        <f ca="1">IFERROR(__xludf.DUMMYFUNCTION("GOOGLETRANSLATE(A88 , ""tr"" , ""en"")"),"There are 24 112 ambulances in the events, 3 Umke Timi and 87 health personnel are in duty. We offer our wishes to the people and our condolences and past our country. Our work continues.")</f>
        <v>There are 24 112 ambulances in the events, 3 Umke Timi and 87 health personnel are in duty. We offer our wishes to the people and our condolences and past our country. Our work continues.</v>
      </c>
    </row>
    <row r="89" spans="1:5" ht="15.75" customHeight="1" x14ac:dyDescent="0.25">
      <c r="A89" s="1" t="s">
        <v>178</v>
      </c>
      <c r="B89" s="1">
        <v>1761</v>
      </c>
      <c r="C89" s="3">
        <v>44529.663194444445</v>
      </c>
      <c r="D89" s="1" t="s">
        <v>179</v>
      </c>
      <c r="E89" s="4" t="str">
        <f ca="1">IFERROR(__xludf.DUMMYFUNCTION("GOOGLETRANSLATE(A89 , ""tr"" , ""en"")"),"With the reputation of 17:30, the final situation in the event: 38 people were injured, 4 people have lost their life. The injured were transmitted to the hospital with 112 ambulances assigned to the scene.")</f>
        <v>With the reputation of 17:30, the final situation in the event: 38 people were injured, 4 people have lost their life. The injured were transmitted to the hospital with 112 ambulances assigned to the scene.</v>
      </c>
    </row>
    <row r="90" spans="1:5" ht="15.75" customHeight="1" x14ac:dyDescent="0.25">
      <c r="A90" s="1" t="s">
        <v>180</v>
      </c>
      <c r="B90" s="1">
        <v>4353</v>
      </c>
      <c r="C90" s="3">
        <v>44529.663182870368</v>
      </c>
      <c r="D90" s="1" t="s">
        <v>181</v>
      </c>
      <c r="E90" s="4" t="str">
        <f ca="1">IFERROR(__xludf.DUMMYFUNCTION("GOOGLETRANSLATE(A90 , ""tr"" , ""en"")"),"In the Lodos storm in the Marmara region; In Istanbul, Bursa and Bolu, financial damage and injury have occurred, Istanbul Esenyurt, Arnavutköy, Avcilar and Basakşehir districts were intensified in some districts of disasters in our districts.")</f>
        <v>In the Lodos storm in the Marmara region; In Istanbul, Bursa and Bolu, financial damage and injury have occurred, Istanbul Esenyurt, Arnavutköy, Avcilar and Basakşehir districts were intensified in some districts of disasters in our districts.</v>
      </c>
    </row>
    <row r="91" spans="1:5" ht="15.75" customHeight="1" x14ac:dyDescent="0.25">
      <c r="A91" s="1" t="s">
        <v>182</v>
      </c>
      <c r="B91" s="1">
        <v>9365</v>
      </c>
      <c r="C91" s="3">
        <v>44528.681979166664</v>
      </c>
      <c r="D91" s="1" t="s">
        <v>183</v>
      </c>
      <c r="E91" s="4" t="str">
        <f ca="1">IFERROR(__xludf.DUMMYFUNCTION("GOOGLETRANSLATE(A91 , ""tr"" , ""en"")"),"The former president of the Galatasaray Sports Club, which has been treated with heavy health problems, has left our old President Mustafa Cengiz. I wish himself from Allah to the mercy, his family, their relatives and all sports mosque. Rest in peace.")</f>
        <v>The former president of the Galatasaray Sports Club, which has been treated with heavy health problems, has left our old President Mustafa Cengiz. I wish himself from Allah to the mercy, his family, their relatives and all sports mosque. Rest in peace.</v>
      </c>
    </row>
    <row r="92" spans="1:5" ht="15.75" customHeight="1" x14ac:dyDescent="0.25">
      <c r="A92" s="1" t="s">
        <v>184</v>
      </c>
      <c r="B92" s="1">
        <v>3988</v>
      </c>
      <c r="C92" s="3">
        <v>44528.678553240738</v>
      </c>
      <c r="D92" s="1" t="s">
        <v>185</v>
      </c>
      <c r="E92" s="4" t="str">
        <f ca="1">IFERROR(__xludf.DUMMYFUNCTION("GOOGLETRANSLATE(A92 , ""tr"" , ""en"")"),"The table has not seen serious variability in a while. This cruise is facilitating control. If we are more sensitive to the measures, we can get better results in the number of cases. For exit from the epidemic environment, the vaccine is in the first pla"&amp;"ce on the agenda. Have your vaccine in time. https://t.co/jqjjyu7enw")</f>
        <v>The table has not seen serious variability in a while. This cruise is facilitating control. If we are more sensitive to the measures, we can get better results in the number of cases. For exit from the epidemic environment, the vaccine is in the first place on the agenda. Have your vaccine in time. https://t.co/jqjjyu7enw</v>
      </c>
    </row>
    <row r="93" spans="1:5" ht="15.75" customHeight="1" x14ac:dyDescent="0.25">
      <c r="A93" s="1" t="s">
        <v>186</v>
      </c>
      <c r="B93" s="1">
        <v>2501</v>
      </c>
      <c r="C93" s="3">
        <v>44528.669166666667</v>
      </c>
      <c r="D93" s="1" t="s">
        <v>187</v>
      </c>
      <c r="E93" s="4" t="str">
        <f ca="1">IFERROR(__xludf.DUMMYFUNCTION("GOOGLETRANSLATE(A93 , ""tr"" , ""en"")"),"Covid-19 and deaths. In the determination of the cause of death, we are based on the DSO criterion PCR. Unfindly cases are at least more death due to indirect reasons such as access to health care. In some patients, serious side disorders can also come ou"&amp;"t. https://t.co/m5qqduvzgg")</f>
        <v>Covid-19 and deaths. In the determination of the cause of death, we are based on the DSO criterion PCR. Unfindly cases are at least more death due to indirect reasons such as access to health care. In some patients, serious side disorders can also come out. https://t.co/m5qqduvzgg</v>
      </c>
    </row>
    <row r="94" spans="1:5" ht="15.75" customHeight="1" x14ac:dyDescent="0.25">
      <c r="A94" s="1" t="s">
        <v>188</v>
      </c>
      <c r="B94" s="1">
        <v>4346</v>
      </c>
      <c r="C94" s="3">
        <v>44528.662303240744</v>
      </c>
      <c r="D94" s="1" t="s">
        <v>189</v>
      </c>
      <c r="E94" s="4" t="str">
        <f ca="1">IFERROR(__xludf.DUMMYFUNCTION("GOOGLETRANSLATE(A94 , ""tr"" , ""en"")"),"Type-1 SMA. We give the drug with the active item to our patients with nusinersen. The SMA Science Board is collected next week to determine which patients can be used in Zolgensma. In order to prevent SMA, we are under Marriage compulsory scan. https://t"&amp;".co/5o58erb8zj")</f>
        <v>Type-1 SMA. We give the drug with the active item to our patients with nusinersen. The SMA Science Board is collected next week to determine which patients can be used in Zolgensma. In order to prevent SMA, we are under Marriage compulsory scan. https://t.co/5o58erb8zj</v>
      </c>
    </row>
    <row r="95" spans="1:5" ht="15.75" customHeight="1" x14ac:dyDescent="0.25">
      <c r="A95" s="1" t="s">
        <v>190</v>
      </c>
      <c r="B95" s="1">
        <v>2849</v>
      </c>
      <c r="C95" s="3">
        <v>44527.814155092594</v>
      </c>
      <c r="D95" s="1" t="s">
        <v>191</v>
      </c>
      <c r="E95" s="4" t="str">
        <f ca="1">IFERROR(__xludf.DUMMYFUNCTION("GOOGLETRANSLATE(A95 , ""tr"" , ""en"")"),"Molnupiravir. This drug was awarded the signature of our president in the world against Covid-19. Called to firms. The drug will be in use within 1 month. https://t.co/twqlsek51j")</f>
        <v>Molnupiravir. This drug was awarded the signature of our president in the world against Covid-19. Called to firms. The drug will be in use within 1 month. https://t.co/twqlsek51j</v>
      </c>
    </row>
    <row r="96" spans="1:5" ht="15.75" customHeight="1" x14ac:dyDescent="0.25">
      <c r="A96" s="1" t="s">
        <v>192</v>
      </c>
      <c r="B96" s="1">
        <v>2071</v>
      </c>
      <c r="C96" s="3">
        <v>44527.800266203703</v>
      </c>
      <c r="D96" s="1" t="s">
        <v>193</v>
      </c>
      <c r="E96" s="4" t="str">
        <f ca="1">IFERROR(__xludf.DUMMYFUNCTION("GOOGLETRANSLATE(A96 , ""tr"" , ""en"")"),"VIOLENCE. In our conversation in the Plan and Budget Commission, we stated that the law is far from the protection for us to the violence crimes in health last year, remaining ineffective in practice. We have expressed our claim that imprisonment was not "&amp;"fined. https://t.co/u7ifncks8s")</f>
        <v>VIOLENCE. In our conversation in the Plan and Budget Commission, we stated that the law is far from the protection for us to the violence crimes in health last year, remaining ineffective in practice. We have expressed our claim that imprisonment was not fined. https://t.co/u7ifncks8s</v>
      </c>
    </row>
    <row r="97" spans="1:5" ht="15.75" customHeight="1" x14ac:dyDescent="0.25">
      <c r="A97" s="1" t="s">
        <v>194</v>
      </c>
      <c r="B97" s="1">
        <v>2215</v>
      </c>
      <c r="C97" s="3">
        <v>44527.786840277775</v>
      </c>
      <c r="D97" s="1" t="s">
        <v>195</v>
      </c>
      <c r="E97" s="4" t="str">
        <f ca="1">IFERROR(__xludf.DUMMYFUNCTION("GOOGLETRANSLATE(A97 , ""tr"" , ""en"")"),"In our conversation at the Plan and Budget Commission, the transfer of fixed additional payment to the general budget to the overall budget increased to the overall budget, and we raised an important improvement after overtime operation. https://t.co/pvhr"&amp;"osICJQ")</f>
        <v>In our conversation at the Plan and Budget Commission, the transfer of fixed additional payment to the general budget to the overall budget increased to the overall budget, and we raised an important improvement after overtime operation. https://t.co/pvhrosICJQ</v>
      </c>
    </row>
    <row r="98" spans="1:5" ht="15.75" customHeight="1" x14ac:dyDescent="0.25">
      <c r="A98" s="1" t="s">
        <v>196</v>
      </c>
      <c r="B98" s="1">
        <v>3509</v>
      </c>
      <c r="C98" s="3">
        <v>44527.770474537036</v>
      </c>
      <c r="D98" s="1" t="s">
        <v>197</v>
      </c>
      <c r="E98" s="4" t="str">
        <f ca="1">IFERROR(__xludf.DUMMYFUNCTION("GOOGLETRANSLATE(A98 , ""tr"" , ""en"")"),"Seizures. The assistant does not want the physicians to run 36 hours, prefer and do not find the implementation. I don't find a 24-hour study. The period of time should go down to 16 hours. We may not be able to do this from today but in advance for 2-3 y"&amp;"ears later. https://t.co/2I7stJIaji")</f>
        <v>Seizures. The assistant does not want the physicians to run 36 hours, prefer and do not find the implementation. I don't find a 24-hour study. The period of time should go down to 16 hours. We may not be able to do this from today but in advance for 2-3 years later. https://t.co/2I7stJIaji</v>
      </c>
    </row>
    <row r="99" spans="1:5" ht="15.75" customHeight="1" x14ac:dyDescent="0.25">
      <c r="A99" s="1" t="s">
        <v>198</v>
      </c>
      <c r="B99" s="1">
        <v>2508</v>
      </c>
      <c r="C99" s="3">
        <v>44527.762627314813</v>
      </c>
      <c r="D99" s="1" t="s">
        <v>199</v>
      </c>
      <c r="E99" s="4" t="str">
        <f ca="1">IFERROR(__xludf.DUMMYFUNCTION("GOOGLETRANSLATE(A99 , ""tr"" , ""en"")"),"White reform. We want to perform well-established changes to the physicians they want to have expertise in the branches. No one should need to go abroad for this reason. A number of changes to retirement conditions from expertise, white reform. We will do"&amp;" that. https://t.co/sd01eoxrxe")</f>
        <v>White reform. We want to perform well-established changes to the physicians they want to have expertise in the branches. No one should need to go abroad for this reason. A number of changes to retirement conditions from expertise, white reform. We will do that. https://t.co/sd01eoxrxe</v>
      </c>
    </row>
    <row r="100" spans="1:5" ht="15.75" customHeight="1" x14ac:dyDescent="0.25">
      <c r="A100" s="1" t="s">
        <v>200</v>
      </c>
      <c r="B100" s="1">
        <v>2302</v>
      </c>
      <c r="C100" s="3">
        <v>44527.741932870369</v>
      </c>
      <c r="D100" s="1" t="s">
        <v>201</v>
      </c>
      <c r="E100" s="4" t="str">
        <f ca="1">IFERROR(__xludf.DUMMYFUNCTION("GOOGLETRANSLATE(A100 , ""tr"" , ""en"")"),"Turkey Vaccine R &amp; D and Production Center. We have completed project work. The tender of the 50,000 square meter-size plant will be held in the coming days, and plan to finish the next year. https://t.co/2frfbxbgky")</f>
        <v>Turkey Vaccine R &amp; D and Production Center. We have completed project work. The tender of the 50,000 square meter-size plant will be held in the coming days, and plan to finish the next year. https://t.co/2frfbxbgky</v>
      </c>
    </row>
    <row r="101" spans="1:5" ht="15.75" customHeight="1" x14ac:dyDescent="0.25">
      <c r="A101" s="1" t="s">
        <v>202</v>
      </c>
      <c r="B101" s="1">
        <v>3900</v>
      </c>
      <c r="C101" s="3">
        <v>44527.726377314815</v>
      </c>
      <c r="D101" s="1" t="s">
        <v>203</v>
      </c>
      <c r="E101" s="4" t="str">
        <f ca="1">IFERROR(__xludf.DUMMYFUNCTION("GOOGLETRANSLATE(A101 , ""tr"" , ""en"")"),"We are watching developments due to variants arising in different countries and we are taking precautions on the theme of our country. Your NU (Omicron) variant on the agenda is your earliest measures against the variant. The most common variant delta var"&amp;"iant in Turkey. Nu variant has not been found. https://t.co/O6IQCH604u")</f>
        <v>We are watching developments due to variants arising in different countries and we are taking precautions on the theme of our country. Your NU (Omicron) variant on the agenda is your earliest measures against the variant. The most common variant delta variant in Turkey. Nu variant has not been found. https://t.co/O6IQCH604u</v>
      </c>
    </row>
    <row r="102" spans="1:5" ht="15.75" customHeight="1" x14ac:dyDescent="0.25">
      <c r="A102" s="1" t="s">
        <v>204</v>
      </c>
      <c r="B102" s="1">
        <v>1922</v>
      </c>
      <c r="C102" s="3">
        <v>44527.717013888891</v>
      </c>
      <c r="D102" s="1" t="s">
        <v>205</v>
      </c>
      <c r="E102" s="4" t="str">
        <f ca="1">IFERROR(__xludf.DUMMYFUNCTION("GOOGLETRANSLATE(A102 , ""tr"" , ""en"")"),"Schwierige Phase in Durchlebt eine Schwierige Phase in der Pandemie. Gestern Erreichte Die Zahl der Neuinfektionen und Todesfälle Einen Neuen Höchststand. Wir Haben Verpflichtungen Gegeneriber Unseren Bürgern und der Menschheit. Wir Sind Bereit, Für Unser"&amp;"e Bürger Verantwortung Zu Übernehmen. https://t.co/yrd2dghobd")</f>
        <v>Schwierige Phase in Durchlebt eine Schwierige Phase in der Pandemie. Gestern Erreichte Die Zahl der Neuinfektionen und Todesfälle Einen Neuen Höchststand. Wir Haben Verpflichtungen Gegeneriber Unseren Bürgern und der Menschheit. Wir Sind Bereit, Für Unsere Bürger Verantwortung Zu Übernehmen. https://t.co/yrd2dghobd</v>
      </c>
    </row>
    <row r="103" spans="1:5" ht="15.75" customHeight="1" x14ac:dyDescent="0.25">
      <c r="A103" s="1" t="s">
        <v>206</v>
      </c>
      <c r="B103" s="1">
        <v>10865</v>
      </c>
      <c r="C103" s="3">
        <v>44527.668657407405</v>
      </c>
      <c r="D103" s="1" t="s">
        <v>207</v>
      </c>
      <c r="E103" s="4" t="str">
        <f ca="1">IFERROR(__xludf.DUMMYFUNCTION("GOOGLETRANSLATE(A103 , ""tr"" , ""en"")"),"84 million population inhabited by 3.5 million citizens is having difficult days in Germany. The highest number of daily cases was reached yesterday with 72.159, 374 people lost their life. We have tasks against our people and humanity. We are willing to "&amp;"take responsibility for our patient citizens.")</f>
        <v>84 million population inhabited by 3.5 million citizens is having difficult days in Germany. The highest number of daily cases was reached yesterday with 72.159, 374 people lost their life. We have tasks against our people and humanity. We are willing to take responsibility for our patient citizens.</v>
      </c>
    </row>
    <row r="104" spans="1:5" ht="15.75" customHeight="1" x14ac:dyDescent="0.25">
      <c r="A104" s="1" t="s">
        <v>208</v>
      </c>
      <c r="B104" s="1">
        <v>13904</v>
      </c>
      <c r="C104" s="3">
        <v>44527.620243055557</v>
      </c>
      <c r="D104" s="1" t="s">
        <v>209</v>
      </c>
      <c r="E104" s="4" t="str">
        <f ca="1">IFERROR(__xludf.DUMMYFUNCTION("GOOGLETRANSLATE(A104 , ""tr"" , ""en"")"),"SN. Meral Akşener,
The subject you are doing over the 5 million people living in Europe are the subject of those who are captured in Covid-19 in Covid-19 in Istanbul in an emergency hospital. German Health Minister announced that intensive care capacitie"&amp;"s began to fill. https://t.co/kkftxvps9a")</f>
        <v>SN. Meral Akşener,
The subject you are doing over the 5 million people living in Europe are the subject of those who are captured in Covid-19 in Covid-19 in Istanbul in an emergency hospital. German Health Minister announced that intensive care capacities began to fill. https://t.co/kkftxvps9a</v>
      </c>
    </row>
    <row r="105" spans="1:5" ht="15.75" customHeight="1" x14ac:dyDescent="0.25">
      <c r="A105" s="1" t="s">
        <v>210</v>
      </c>
      <c r="B105" s="1">
        <v>16701</v>
      </c>
      <c r="C105" s="3">
        <v>44526.763287037036</v>
      </c>
      <c r="D105" s="1" t="s">
        <v>211</v>
      </c>
      <c r="E105" s="4" t="str">
        <f ca="1">IFERROR(__xludf.DUMMYFUNCTION("GOOGLETRANSLATE(A105 , ""tr"" , ""en"")"),"Measure: Due to increasing cases of NU variant; Botswana, South African Republic, Mozambique, Namibia and Zimbabve will be not allowed to travel from this night through all land, air, sea and rail border doors.")</f>
        <v>Measure: Due to increasing cases of NU variant; Botswana, South African Republic, Mozambique, Namibia and Zimbabve will be not allowed to travel from this night through all land, air, sea and rail border doors.</v>
      </c>
    </row>
    <row r="106" spans="1:5" ht="15.75" customHeight="1" x14ac:dyDescent="0.25">
      <c r="A106" s="1" t="s">
        <v>212</v>
      </c>
      <c r="B106" s="1">
        <v>4414</v>
      </c>
      <c r="C106" s="3">
        <v>44526.684131944443</v>
      </c>
      <c r="D106" s="1" t="s">
        <v>213</v>
      </c>
      <c r="E106" s="4" t="str">
        <f ca="1">IFERROR(__xludf.DUMMYFUNCTION("GOOGLETRANSLATE(A106 , ""tr"" , ""en"")"),"We have to remove the epidemic disease from our agenda. However, we should not leave the measures in doing so. The continuity of the fight will bring us success. Variants and mutations should not take place on your agenda. Our Science Board is carefully w"&amp;"atching every situation for you. https://t.co/adlzokfxdt")</f>
        <v>We have to remove the epidemic disease from our agenda. However, we should not leave the measures in doing so. The continuity of the fight will bring us success. Variants and mutations should not take place on your agenda. Our Science Board is carefully watching every situation for you. https://t.co/adlzokfxdt</v>
      </c>
    </row>
    <row r="107" spans="1:5" ht="15.75" customHeight="1" x14ac:dyDescent="0.25">
      <c r="A107" s="1" t="s">
        <v>214</v>
      </c>
      <c r="B107" s="1">
        <v>6109</v>
      </c>
      <c r="C107" s="3">
        <v>44525.89199074074</v>
      </c>
      <c r="D107" s="1" t="s">
        <v>215</v>
      </c>
      <c r="E107" s="4" t="str">
        <f ca="1">IFERROR(__xludf.DUMMYFUNCTION("GOOGLETRANSLATE(A107 , ""tr"" , ""en"")"),"In Diyarbakır, a physician in the violence experienced in a family health center was injured by our friend knife. The displays reflected in the public are horrified. The attacker with psychiatric disorder was arrested. The law has taken action. In our hea"&amp;"lth, we are committed to our prevention case.")</f>
        <v>In Diyarbakır, a physician in the violence experienced in a family health center was injured by our friend knife. The displays reflected in the public are horrified. The attacker with psychiatric disorder was arrested. The law has taken action. In our health, we are committed to our prevention case.</v>
      </c>
    </row>
    <row r="108" spans="1:5" ht="15.75" customHeight="1" x14ac:dyDescent="0.25">
      <c r="A108" s="1" t="s">
        <v>216</v>
      </c>
      <c r="B108" s="1">
        <v>4373</v>
      </c>
      <c r="C108" s="3">
        <v>44525.680231481485</v>
      </c>
      <c r="D108" s="1" t="s">
        <v>217</v>
      </c>
      <c r="E108" s="4" t="str">
        <f ca="1">IFERROR(__xludf.DUMMYFUNCTION("GOOGLETRANSLATE(A108 , ""tr"" , ""en"")"),"We needed to get used to the fact that life continues in more outbreak conditions for a while. We have provided most of us adaptation. If we are a portion, she chooses to act as if there is no epidemic. For all of us, the right is to comply with the terms"&amp;" of the epidemic struggle when they are closing life to normal. https://t.co/dmxyzfzvjI")</f>
        <v>We needed to get used to the fact that life continues in more outbreak conditions for a while. We have provided most of us adaptation. If we are a portion, she chooses to act as if there is no epidemic. For all of us, the right is to comply with the terms of the epidemic struggle when they are closing life to normal. https://t.co/dmxyzfzvjI</v>
      </c>
    </row>
    <row r="109" spans="1:5" ht="15.75" customHeight="1" x14ac:dyDescent="0.25">
      <c r="A109" s="1" t="s">
        <v>218</v>
      </c>
      <c r="B109" s="1">
        <v>1794</v>
      </c>
      <c r="C109" s="3">
        <v>44525.400891203702</v>
      </c>
      <c r="D109" s="1" t="s">
        <v>219</v>
      </c>
      <c r="E109" s="4" t="str">
        <f ca="1">IFERROR(__xludf.DUMMYFUNCTION("GOOGLETRANSLATE(A109 , ""tr"" , ""en"")"),"Department of Health 2022 Plan and Budget Commission Meeting (Presentation 2nd Part) HTTPS://T.CO/K7G0TWLJQI")</f>
        <v>Department of Health 2022 Plan and Budget Commission Meeting (Presentation 2nd Part) HTTPS://T.CO/K7G0TWLJQI</v>
      </c>
    </row>
    <row r="110" spans="1:5" ht="15.75" customHeight="1" x14ac:dyDescent="0.25">
      <c r="A110" s="1" t="s">
        <v>220</v>
      </c>
      <c r="B110" s="1">
        <v>5280</v>
      </c>
      <c r="C110" s="3">
        <v>44525.386770833335</v>
      </c>
      <c r="D110" s="1" t="s">
        <v>221</v>
      </c>
      <c r="E110" s="4" t="str">
        <f ca="1">IFERROR(__xludf.DUMMYFUNCTION("GOOGLETRANSLATE(A110 , ""tr"" , ""en"")"),"On behalf of our nation-pleasing information: Our native Covid-19 vaccine has been applied to the emergency use approval for Turkovac. We aim to make common use by the end of the year. May Saint be auspicious to our nation. https://t.co/weos62fuci")</f>
        <v>On behalf of our nation-pleasing information: Our native Covid-19 vaccine has been applied to the emergency use approval for Turkovac. We aim to make common use by the end of the year. May Saint be auspicious to our nation. https://t.co/weos62fuci</v>
      </c>
    </row>
    <row r="111" spans="1:5" ht="15.75" customHeight="1" x14ac:dyDescent="0.25">
      <c r="A111" s="1" t="s">
        <v>222</v>
      </c>
      <c r="B111" s="1">
        <v>3511</v>
      </c>
      <c r="C111" s="3">
        <v>44525.301759259259</v>
      </c>
      <c r="D111" s="1" t="s">
        <v>223</v>
      </c>
      <c r="E111" s="4" t="str">
        <f ca="1">IFERROR(__xludf.DUMMYFUNCTION("GOOGLETRANSLATE(A111 , ""tr"" , ""en"")"),"Ministry of Health 2022 Plan and Budget Commission Meeting https://t.co/hm1izzxkzp")</f>
        <v>Ministry of Health 2022 Plan and Budget Commission Meeting https://t.co/hm1izzxkzp</v>
      </c>
    </row>
    <row r="112" spans="1:5" ht="15.75" customHeight="1" x14ac:dyDescent="0.25">
      <c r="A112" s="1" t="s">
        <v>224</v>
      </c>
      <c r="B112" s="1">
        <v>5576</v>
      </c>
      <c r="C112" s="3">
        <v>44525.256493055553</v>
      </c>
      <c r="D112" s="1" t="s">
        <v>225</v>
      </c>
      <c r="E112" s="4" t="str">
        <f ca="1">IFERROR(__xludf.DUMMYFUNCTION("GOOGLETRANSLATE(A112 , ""tr"" , ""en"")"),"Violence against women is one of the most sensitive problems of all humanity. By looking at this, we can consider that the level of boasting civilization is in greatest. In the day of fighting violently, I share a touching film with you, published in Bang"&amp;"ladesh. https://t.co/vnxr7dowmx")</f>
        <v>Violence against women is one of the most sensitive problems of all humanity. By looking at this, we can consider that the level of boasting civilization is in greatest. In the day of fighting violently, I share a touching film with you, published in Bangladesh. https://t.co/vnxr7dowmx</v>
      </c>
    </row>
    <row r="113" spans="1:5" ht="15.75" customHeight="1" x14ac:dyDescent="0.25">
      <c r="A113" s="1" t="s">
        <v>226</v>
      </c>
      <c r="B113" s="1">
        <v>1607</v>
      </c>
      <c r="C113" s="3">
        <v>44524.783634259256</v>
      </c>
      <c r="D113" s="1" t="s">
        <v>227</v>
      </c>
      <c r="E113" s="4" t="str">
        <f ca="1">IFERROR(__xludf.DUMMYFUNCTION("GOOGLETRANSLATE(A113 , ""tr"" , ""en"")"),"Sec @hans_kluge
From the beginning of the pendemia, I thank you for taking attention to the contribution of Turkey's international solidarity in the leadership of our President. I would like to share the gospel of 10 million dose vaccine grants more than "&amp;"COVAX formation. https://t.co/6gan3tvjws")</f>
        <v>Sec @hans_kluge
From the beginning of the pendemia, I thank you for taking attention to the contribution of Turkey's international solidarity in the leadership of our President. I would like to share the gospel of 10 million dose vaccine grants more than COVAX formation. https://t.co/6gan3tvjws</v>
      </c>
    </row>
    <row r="114" spans="1:5" ht="15.75" customHeight="1" x14ac:dyDescent="0.25">
      <c r="A114" s="1" t="s">
        <v>228</v>
      </c>
      <c r="B114" s="1">
        <v>1169</v>
      </c>
      <c r="C114" s="3">
        <v>44524.782083333332</v>
      </c>
      <c r="D114" s="1" t="s">
        <v>229</v>
      </c>
      <c r="E114" s="4" t="str">
        <f ca="1">IFERROR(__xludf.DUMMYFUNCTION("GOOGLETRANSLATE(A114 , ""tr"" , ""en"")"),"Dear @hans_kluge, Thanks for Pointing Out 🇹🇷's Contribution to international Solidarity Since Day One of the Pandemic Under The Leadership of President Erdogan. I Also Would Like to Share the Good News: 🇹🇷 Will Donate 10 Million More DoSes Via Covax F"&amp;"acility. https://t.co/6gan3tvjws")</f>
        <v>Dear @hans_kluge, Thanks for Pointing Out 🇹🇷's Contribution to international Solidarity Since Day One of the Pandemic Under The Leadership of President Erdogan. I Also Would Like to Share the Good News: 🇹🇷 Will Donate 10 Million More DoSes Via Covax Facility. https://t.co/6gan3tvjws</v>
      </c>
    </row>
    <row r="115" spans="1:5" ht="15.75" customHeight="1" x14ac:dyDescent="0.25">
      <c r="A115" s="1" t="s">
        <v>230</v>
      </c>
      <c r="B115" s="1">
        <v>4079</v>
      </c>
      <c r="C115" s="3">
        <v>44524.771793981483</v>
      </c>
      <c r="D115" s="1" t="s">
        <v>231</v>
      </c>
      <c r="E115" s="4" t="str">
        <f ca="1">IFERROR(__xludf.DUMMYFUNCTION("GOOGLETRANSLATE(A115 , ""tr"" , ""en"")"),"Our Science Board Meeting After Press Release: https://t.co/dqchr45xtl")</f>
        <v>Our Science Board Meeting After Press Release: https://t.co/dqchr45xtl</v>
      </c>
    </row>
    <row r="116" spans="1:5" ht="15.75" customHeight="1" x14ac:dyDescent="0.25">
      <c r="A116" s="1" t="s">
        <v>232</v>
      </c>
      <c r="B116" s="1">
        <v>4069</v>
      </c>
      <c r="C116" s="3">
        <v>44524.712060185186</v>
      </c>
      <c r="D116" s="1" t="s">
        <v>233</v>
      </c>
      <c r="E116" s="4" t="str">
        <f ca="1">IFERROR(__xludf.DUMMYFUNCTION("GOOGLETRANSLATE(A116 , ""tr"" , ""en"")"),"It broke the expectations that the epidemic process lasted much more than predicted, reduced motivation. But with high case numbers and deceased, real every day again. We can't count Covid-19. The struggle must be in an undisputable certainty as the prese"&amp;"nce of the epidemic. https://t.co/kgkjnlbqk6")</f>
        <v>It broke the expectations that the epidemic process lasted much more than predicted, reduced motivation. But with high case numbers and deceased, real every day again. We can't count Covid-19. The struggle must be in an undisputable certainty as the presence of the epidemic. https://t.co/kgkjnlbqk6</v>
      </c>
    </row>
    <row r="117" spans="1:5" ht="15.75" customHeight="1" x14ac:dyDescent="0.25">
      <c r="A117" s="1" t="s">
        <v>234</v>
      </c>
      <c r="B117" s="1">
        <v>10195</v>
      </c>
      <c r="C117" s="3">
        <v>44524.366782407407</v>
      </c>
      <c r="D117" s="1" t="s">
        <v>235</v>
      </c>
      <c r="E117" s="4" t="str">
        <f ca="1">IFERROR(__xludf.DUMMYFUNCTION("GOOGLETRANSLATE(A117 , ""tr"" , ""en"")"),"Our mathematics teachers have tried to teach us our mathematics, chemistry teachers chemistry, Turkish teachers to teach us the delicacy of our language. How is the good person bemn? This was the common subject of all. The teacher teaches to be the princi"&amp;"pal and human. Happy November 24 Teachers Day.")</f>
        <v>Our mathematics teachers have tried to teach us our mathematics, chemistry teachers chemistry, Turkish teachers to teach us the delicacy of our language. How is the good person bemn? This was the common subject of all. The teacher teaches to be the principal and human. Happy November 24 Teachers Day.</v>
      </c>
    </row>
    <row r="118" spans="1:5" ht="15.75" customHeight="1" x14ac:dyDescent="0.25">
      <c r="A118" s="1" t="s">
        <v>236</v>
      </c>
      <c r="B118" s="1">
        <v>3358</v>
      </c>
      <c r="C118" s="3">
        <v>44524.349861111114</v>
      </c>
      <c r="D118" s="1" t="s">
        <v>237</v>
      </c>
      <c r="E118" s="4" t="str">
        <f ca="1">IFERROR(__xludf.DUMMYFUNCTION("GOOGLETRANSLATE(A118 , ""tr"" , ""en"")"),"Afyonkarahisar has passed over 75% in the second overdose ratio by the blue category. Late, let's ploy the arms. Turkey, the color of the epidemic struggle!")</f>
        <v>Afyonkarahisar has passed over 75% in the second overdose ratio by the blue category. Late, let's ploy the arms. Turkey, the color of the epidemic struggle!</v>
      </c>
    </row>
    <row r="119" spans="1:5" ht="15.75" customHeight="1" x14ac:dyDescent="0.25">
      <c r="A119" s="1" t="s">
        <v>238</v>
      </c>
      <c r="B119" s="1">
        <v>4859</v>
      </c>
      <c r="C119" s="3">
        <v>44523.898020833331</v>
      </c>
      <c r="D119" s="1" t="s">
        <v>239</v>
      </c>
      <c r="E119" s="4" t="str">
        <f ca="1">IFERROR(__xludf.DUMMYFUNCTION("GOOGLETRANSLATE(A119 , ""tr"" , ""en"")"),"Our Hero Officer Infantry Major Mete Mete Yildirim has received the news that he lost his life as a result of an accident. The incident happened in the Peace Opera Operation Zone where he is official. Mercy from Allah to our martyr; We wish our family to "&amp;"our nation and our Ordım. https://t.co/uevc6fb3nz")</f>
        <v>Our Hero Officer Infantry Major Mete Mete Yildirim has received the news that he lost his life as a result of an accident. The incident happened in the Peace Opera Operation Zone where he is official. Mercy from Allah to our martyr; We wish our family to our nation and our Ordım. https://t.co/uevc6fb3nz</v>
      </c>
    </row>
    <row r="120" spans="1:5" ht="15.75" customHeight="1" x14ac:dyDescent="0.25">
      <c r="A120" s="1" t="s">
        <v>240</v>
      </c>
      <c r="B120" s="1">
        <v>9031</v>
      </c>
      <c r="C120" s="3">
        <v>44523.768703703703</v>
      </c>
      <c r="D120" s="1" t="s">
        <v>241</v>
      </c>
      <c r="E120" s="4" t="str">
        <f ca="1">IFERROR(__xludf.DUMMYFUNCTION("GOOGLETRANSLATE(A120 , ""tr"" , ""en"")"),"After the violence in the Pendik State Hospital, the attacker released by the judicial control, the attacker was detained by the delivery of the images to the proceeds by us. We are committed. We will not leave the perpetrators in any violent incident.")</f>
        <v>After the violence in the Pendik State Hospital, the attacker released by the judicial control, the attacker was detained by the delivery of the images to the proceeds by us. We are committed. We will not leave the perpetrators in any violent incident.</v>
      </c>
    </row>
    <row r="121" spans="1:5" ht="15.75" customHeight="1" x14ac:dyDescent="0.25">
      <c r="A121" s="1" t="s">
        <v>242</v>
      </c>
      <c r="B121" s="1">
        <v>3915</v>
      </c>
      <c r="C121" s="3">
        <v>44523.756111111114</v>
      </c>
      <c r="D121" s="1" t="s">
        <v>243</v>
      </c>
      <c r="E121" s="4" t="str">
        <f ca="1">IFERROR(__xludf.DUMMYFUNCTION("GOOGLETRANSLATE(A121 , ""tr"" , ""en"")"),"Covid-19 is a disease transmitted by respiration. It is increasing the possibility of transmission of the virus to touch our face without even aware of most times. We often have to wash our hands as it can be a virus on the surfaces we contact. We should "&amp;"not forget that the mask provides protection in this respect. https://t.co/rahbitwsff")</f>
        <v>Covid-19 is a disease transmitted by respiration. It is increasing the possibility of transmission of the virus to touch our face without even aware of most times. We often have to wash our hands as it can be a virus on the surfaces we contact. We should not forget that the mask provides protection in this respect. https://t.co/rahbitwsff</v>
      </c>
    </row>
    <row r="122" spans="1:5" ht="15.75" customHeight="1" x14ac:dyDescent="0.25">
      <c r="A122" s="1" t="s">
        <v>244</v>
      </c>
      <c r="B122" s="1">
        <v>3818</v>
      </c>
      <c r="C122" s="3">
        <v>44522.766701388886</v>
      </c>
      <c r="D122" s="1" t="s">
        <v>245</v>
      </c>
      <c r="E122" s="4" t="str">
        <f ca="1">IFERROR(__xludf.DUMMYFUNCTION("GOOGLETRANSLATE(A122 , ""tr"" , ""en"")"),"Our dentists give the most beautiful examples of the medicine profession and the rigors in the approach to the technology use and the patients in the approach to the patients approach. Protective measures are becoming widespread in the mouth and dental he"&amp;"alth. I just celebrate the day of dentists and these achievements for all of us. https://t.co/6g9ohHNNIJ")</f>
        <v>Our dentists give the most beautiful examples of the medicine profession and the rigors in the approach to the technology use and the patients in the approach to the patients approach. Protective measures are becoming widespread in the mouth and dental health. I just celebrate the day of dentists and these achievements for all of us. https://t.co/6g9ohHNNIJ</v>
      </c>
    </row>
    <row r="123" spans="1:5" ht="15.75" customHeight="1" x14ac:dyDescent="0.25">
      <c r="A123" s="1" t="s">
        <v>246</v>
      </c>
      <c r="B123" s="1">
        <v>3985</v>
      </c>
      <c r="C123" s="3">
        <v>44522.739953703705</v>
      </c>
      <c r="D123" s="1" t="s">
        <v>247</v>
      </c>
      <c r="E123" s="4" t="str">
        <f ca="1">IFERROR(__xludf.DUMMYFUNCTION("GOOGLETRANSLATE(A123 , ""tr"" , ""en"")"),"We have been experiencing the results of Covid-19 epidemic directly threatening public health. The epidemic does not remain with it, weakens all the areas of life in all countries. Vaccine and Measure means the defense of our life qualities, especially ou"&amp;"r health. Make your vaccine on time. https://t.co/hzyiag8ase")</f>
        <v>We have been experiencing the results of Covid-19 epidemic directly threatening public health. The epidemic does not remain with it, weakens all the areas of life in all countries. Vaccine and Measure means the defense of our life qualities, especially our health. Make your vaccine on time. https://t.co/hzyiag8ase</v>
      </c>
    </row>
    <row r="124" spans="1:5" ht="15.75" customHeight="1" x14ac:dyDescent="0.25">
      <c r="A124" s="1" t="s">
        <v>248</v>
      </c>
      <c r="B124" s="1">
        <v>0</v>
      </c>
      <c r="C124" s="3">
        <v>44522.66778935185</v>
      </c>
      <c r="D124" s="1" t="s">
        <v>249</v>
      </c>
      <c r="E124" s="4" t="str">
        <f ca="1">IFERROR(__xludf.DUMMYFUNCTION("GOOGLETRANSLATE(A124 , ""tr"" , ""en"")"),"RT @rterdogan: Recommend the Nation After Cabinet Meeting https://t.co/tms8roel1g")</f>
        <v>RT @rterdogan: Recommend the Nation After Cabinet Meeting https://t.co/tms8roel1g</v>
      </c>
    </row>
    <row r="125" spans="1:5" ht="15.75" customHeight="1" x14ac:dyDescent="0.25">
      <c r="A125" s="1" t="s">
        <v>250</v>
      </c>
      <c r="B125" s="1">
        <v>4369</v>
      </c>
      <c r="C125" s="3">
        <v>44521.690833333334</v>
      </c>
      <c r="D125" s="1" t="s">
        <v>251</v>
      </c>
      <c r="E125" s="4" t="str">
        <f ca="1">IFERROR(__xludf.DUMMYFUNCTION("GOOGLETRANSLATE(A125 , ""tr"" , ""en"")"),"Although the first dose has achieved success in vaccination, the second dose ratio of the second dose ratio has 59% remaining below 65% and below 80%. We would like to remind those who are still unstable in vaccinated: in the vaccination of humanity. Inoc"&amp;"ulation rate low countries are countries that cannot supply vaccines. https://t.co/75xub011yl")</f>
        <v>Although the first dose has achieved success in vaccination, the second dose ratio of the second dose ratio has 59% remaining below 65% and below 80%. We would like to remind those who are still unstable in vaccinated: in the vaccination of humanity. Inoculation rate low countries are countries that cannot supply vaccines. https://t.co/75xub011yl</v>
      </c>
    </row>
    <row r="126" spans="1:5" ht="15.75" customHeight="1" x14ac:dyDescent="0.25">
      <c r="A126" s="1" t="s">
        <v>252</v>
      </c>
      <c r="B126" s="1">
        <v>2465</v>
      </c>
      <c r="C126" s="3">
        <v>44521.397986111115</v>
      </c>
      <c r="D126" s="1" t="s">
        <v>253</v>
      </c>
      <c r="E126" s="4" t="str">
        <f ca="1">IFERROR(__xludf.DUMMYFUNCTION("GOOGLETRANSLATE(A126 , ""tr"" , ""en"")"),"6-12 November, case density is most increased by the previous week: Tunceli, Osmaniye, Canakkale, Kirklareli, Balikesir, Bilecik, Hatay, Tekirdag, Adana, Bartin. https://t.co/bqmo069psz")</f>
        <v>6-12 November, case density is most increased by the previous week: Tunceli, Osmaniye, Canakkale, Kirklareli, Balikesir, Bilecik, Hatay, Tekirdag, Adana, Bartin. https://t.co/bqmo069psz</v>
      </c>
    </row>
    <row r="127" spans="1:5" ht="15.75" customHeight="1" x14ac:dyDescent="0.25">
      <c r="A127" s="1" t="s">
        <v>254</v>
      </c>
      <c r="B127" s="1">
        <v>3925</v>
      </c>
      <c r="C127" s="3">
        <v>44521.389780092592</v>
      </c>
      <c r="D127" s="1" t="s">
        <v>255</v>
      </c>
      <c r="E127" s="4" t="str">
        <f ca="1">IFERROR(__xludf.DUMMYFUNCTION("GOOGLETRANSLATE(A127 , ""tr"" , ""en"")"),"What was the total number of new Covid-19 cases in 100,000 people within 6-12 November? Information on the Weekly Insidans map. https://t.co/1o0zr18xo0")</f>
        <v>What was the total number of new Covid-19 cases in 100,000 people within 6-12 November? Information on the Weekly Insidans map. https://t.co/1o0zr18xo0</v>
      </c>
    </row>
    <row r="128" spans="1:5" ht="15.75" customHeight="1" x14ac:dyDescent="0.25">
      <c r="A128" s="1" t="s">
        <v>256</v>
      </c>
      <c r="B128" s="1">
        <v>3826</v>
      </c>
      <c r="C128" s="3">
        <v>44520.676782407405</v>
      </c>
      <c r="D128" s="1" t="s">
        <v>257</v>
      </c>
      <c r="E128" s="4" t="str">
        <f ca="1">IFERROR(__xludf.DUMMYFUNCTION("GOOGLETRANSLATE(A128 , ""tr"" , ""en"")"),"We explained that the number of two dose of grafts has passed over 50 million and corresponds to 60% of the total population of 50 million. This rate appears to be 80.5% in the table because we were based on the age of 18 and above in the vaccination prog"&amp;"ram. We have to upgrade this rate for stronger fight against the epidemic. https://t.co/wqlgfnyzık")</f>
        <v>We explained that the number of two dose of grafts has passed over 50 million and corresponds to 60% of the total population of 50 million. This rate appears to be 80.5% in the table because we were based on the age of 18 and above in the vaccination program. We have to upgrade this rate for stronger fight against the epidemic. https://t.co/wqlgfnyzık</v>
      </c>
    </row>
    <row r="129" spans="1:5" ht="15.75" customHeight="1" x14ac:dyDescent="0.25">
      <c r="A129" s="1" t="s">
        <v>258</v>
      </c>
      <c r="B129" s="1">
        <v>8002</v>
      </c>
      <c r="C129" s="3">
        <v>44520.6096412037</v>
      </c>
      <c r="D129" s="1" t="s">
        <v>259</v>
      </c>
      <c r="E129" s="4" t="str">
        <f ca="1">IFERROR(__xludf.DUMMYFUNCTION("GOOGLETRANSLATE(A129 , ""tr"" , ""en"")"),"The number of two dose of overdoses has passed 50 million today. Two dose grafts are currently corresponding to 60% of the total population. Those who are still unstable on the vaccine should examine the decision of 50 million.")</f>
        <v>The number of two dose of overdoses has passed 50 million today. Two dose grafts are currently corresponding to 60% of the total population. Those who are still unstable on the vaccine should examine the decision of 50 million.</v>
      </c>
    </row>
    <row r="130" spans="1:5" ht="15.75" customHeight="1" x14ac:dyDescent="0.25">
      <c r="A130" s="1" t="s">
        <v>260</v>
      </c>
      <c r="B130" s="1">
        <v>7009</v>
      </c>
      <c r="C130" s="3">
        <v>44519.874398148146</v>
      </c>
      <c r="D130" s="1" t="s">
        <v>261</v>
      </c>
      <c r="E130" s="4" t="str">
        <f ca="1">IFERROR(__xludf.DUMMYFUNCTION("GOOGLETRANSLATE(A130 , ""tr"" , ""en"")"),"With the amendment made in 2020, the penalty of violent crimes of violence against health workers is 1.5. We could not get any result. Our two-year physician is our friend Dr. Attack to Esma is one of a large number of incidents. ""It's enough"" screaming"&amp;". The problem is all the society. We will mobilize the society.")</f>
        <v>With the amendment made in 2020, the penalty of violent crimes of violence against health workers is 1.5. We could not get any result. Our two-year physician is our friend Dr. Attack to Esma is one of a large number of incidents. "It's enough" screaming. The problem is all the society. We will mobilize the society.</v>
      </c>
    </row>
    <row r="131" spans="1:5" ht="15.75" customHeight="1" x14ac:dyDescent="0.25">
      <c r="A131" s="1" t="s">
        <v>262</v>
      </c>
      <c r="B131" s="1">
        <v>4261</v>
      </c>
      <c r="C131" s="3">
        <v>44519.712407407409</v>
      </c>
      <c r="D131" s="1" t="s">
        <v>263</v>
      </c>
      <c r="E131" s="4" t="str">
        <f ca="1">IFERROR(__xludf.DUMMYFUNCTION("GOOGLETRANSLATE(A131 , ""tr"" , ""en"")"),"In the 5.1 earthquake in Erzurum, there was small diameter damage in 2 villages. 4 people were injured as a result of events dependent on earthquake. A total of 27 health staff in the region in the region of 5 pcs 112 ambulance and 3 Umke Tim. To Erzurum,"&amp;" get over our country. We are next to the Erzurum. https://t.co/7urenoh9r1")</f>
        <v>In the 5.1 earthquake in Erzurum, there was small diameter damage in 2 villages. 4 people were injured as a result of events dependent on earthquake. A total of 27 health staff in the region in the region of 5 pcs 112 ambulance and 3 Umke Tim. To Erzurum, get over our country. We are next to the Erzurum. https://t.co/7urenoh9r1</v>
      </c>
    </row>
    <row r="132" spans="1:5" ht="15.75" customHeight="1" x14ac:dyDescent="0.25">
      <c r="A132" s="1" t="s">
        <v>264</v>
      </c>
      <c r="B132" s="1">
        <v>4101</v>
      </c>
      <c r="C132" s="3">
        <v>44519.696550925924</v>
      </c>
      <c r="D132" s="1" t="s">
        <v>265</v>
      </c>
      <c r="E132" s="4" t="str">
        <f ca="1">IFERROR(__xludf.DUMMYFUNCTION("GOOGLETRANSLATE(A132 , ""tr"" , ""en"")"),"Throughout the epidemic, many times daily life were placed on restrictions and conclusions were taken. Although the restrictions are no longer in question, we should consider them in our personal preferences. Let's go to the institutions we will get in th"&amp;"e hours they are less dense. https://t.co/2itmmf28UI")</f>
        <v>Throughout the epidemic, many times daily life were placed on restrictions and conclusions were taken. Although the restrictions are no longer in question, we should consider them in our personal preferences. Let's go to the institutions we will get in the hours they are less dense. https://t.co/2itmmf28UI</v>
      </c>
    </row>
    <row r="133" spans="1:5" ht="15.75" customHeight="1" x14ac:dyDescent="0.25">
      <c r="A133" s="1" t="s">
        <v>266</v>
      </c>
      <c r="B133" s="1">
        <v>5122</v>
      </c>
      <c r="C133" s="3">
        <v>44518.956805555557</v>
      </c>
      <c r="D133" s="1" t="s">
        <v>267</v>
      </c>
      <c r="E133" s="4" t="str">
        <f ca="1">IFERROR(__xludf.DUMMYFUNCTION("GOOGLETRANSLATE(A133 , ""tr"" , ""en"")"),"In the explosion that occurred in Kecioren; A daughter 2 years old from the same family and 35 years of father lost their life. The situation is heavy if your 5-year-old brother. The pregnant mother's treatment is being continued.")</f>
        <v>In the explosion that occurred in Kecioren; A daughter 2 years old from the same family and 35 years of father lost their life. The situation is heavy if your 5-year-old brother. The pregnant mother's treatment is being continued.</v>
      </c>
    </row>
    <row r="134" spans="1:5" ht="15.75" customHeight="1" x14ac:dyDescent="0.25">
      <c r="A134" s="1" t="s">
        <v>268</v>
      </c>
      <c r="B134" s="1">
        <v>3845</v>
      </c>
      <c r="C134" s="3">
        <v>44518.915532407409</v>
      </c>
      <c r="D134" s="1" t="s">
        <v>269</v>
      </c>
      <c r="E134" s="4" t="str">
        <f ca="1">IFERROR(__xludf.DUMMYFUNCTION("GOOGLETRANSLATE(A134 , ""tr"" , ""en"")"),"In Ankara Kecioren, we stated that 2 injuries in the explosion in a building in a building. Both of the serious injured ones are children. Unfortunately, despite all efforts, one of our offspring could not be recovered. The state of the other foves still "&amp;"keeps his severity. Sorry for your loss.")</f>
        <v>In Ankara Kecioren, we stated that 2 injuries in the explosion in a building in a building. Both of the serious injured ones are children. Unfortunately, despite all efforts, one of our offspring could not be recovered. The state of the other foves still keeps his severity. Sorry for your loss.</v>
      </c>
    </row>
    <row r="135" spans="1:5" ht="15.75" customHeight="1" x14ac:dyDescent="0.25">
      <c r="A135" s="1" t="s">
        <v>270</v>
      </c>
      <c r="B135" s="1">
        <v>3805</v>
      </c>
      <c r="C135" s="3">
        <v>44518.888842592591</v>
      </c>
      <c r="D135" s="1" t="s">
        <v>271</v>
      </c>
      <c r="E135" s="4" t="str">
        <f ca="1">IFERROR(__xludf.DUMMYFUNCTION("GOOGLETRANSLATE(A135 , ""tr"" , ""en"")"),"In Ankara Kecioren in an apartment in an apartment, the source has not yet been injured in the dignity of the unknown explosion. 8 112 ambulances are assigned instead of the scene and the injured are transported to hospitals with 112 ambulances. We are tr"&amp;"acking with our teams. https://t.co/anf4lz0nwt")</f>
        <v>In Ankara Kecioren in an apartment in an apartment, the source has not yet been injured in the dignity of the unknown explosion. 8 112 ambulances are assigned instead of the scene and the injured are transported to hospitals with 112 ambulances. We are tracking with our teams. https://t.co/anf4lz0nwt</v>
      </c>
    </row>
    <row r="136" spans="1:5" ht="15.75" customHeight="1" x14ac:dyDescent="0.25">
      <c r="A136" s="1" t="s">
        <v>272</v>
      </c>
      <c r="B136" s="1">
        <v>4982</v>
      </c>
      <c r="C136" s="3">
        <v>44518.769189814811</v>
      </c>
      <c r="D136" s="1" t="s">
        <v>273</v>
      </c>
      <c r="E136" s="4" t="str">
        <f ca="1">IFERROR(__xludf.DUMMYFUNCTION("GOOGLETRANSLATE(A136 , ""tr"" , ""en"")"),"Kahramanmaraş deputies, science and irfan man valuable brother of our brother and farewell to life in Ankara city hospital he sees treatment. Mercy from Allah to himself; I wish his family, friends and the people of Kahramanmaras. Rest in peace.")</f>
        <v>Kahramanmaraş deputies, science and irfan man valuable brother of our brother and farewell to life in Ankara city hospital he sees treatment. Mercy from Allah to himself; I wish his family, friends and the people of Kahramanmaras. Rest in peace.</v>
      </c>
    </row>
    <row r="137" spans="1:5" ht="15.75" customHeight="1" x14ac:dyDescent="0.25">
      <c r="A137" s="1" t="s">
        <v>274</v>
      </c>
      <c r="B137" s="1">
        <v>3994</v>
      </c>
      <c r="C137" s="3">
        <v>44518.688958333332</v>
      </c>
      <c r="D137" s="1" t="s">
        <v>275</v>
      </c>
      <c r="E137" s="4" t="str">
        <f ca="1">IFERROR(__xludf.DUMMYFUNCTION("GOOGLETRANSLATE(A137 , ""tr"" , ""en"")"),"Call of Union for Vaccination
We ask our people to adhere to the terms of the struggle of epidemics, delayed, to immediately make the doses from the time. Support to brighten up our vaccine unsteaders from our health community, we expect more insistence i"&amp;"n the public communication service for vaccine from all media. https://t.co/iwzejcjtch")</f>
        <v>Call of Union for Vaccination
We ask our people to adhere to the terms of the struggle of epidemics, delayed, to immediately make the doses from the time. Support to brighten up our vaccine unsteaders from our health community, we expect more insistence in the public communication service for vaccine from all media. https://t.co/iwzejcjtch</v>
      </c>
    </row>
    <row r="138" spans="1:5" ht="15.75" customHeight="1" x14ac:dyDescent="0.25">
      <c r="A138" s="1" t="s">
        <v>276</v>
      </c>
      <c r="B138" s="1">
        <v>2547</v>
      </c>
      <c r="C138" s="3">
        <v>44518.513599537036</v>
      </c>
      <c r="D138" s="1" t="s">
        <v>277</v>
      </c>
      <c r="E138" s="4" t="str">
        <f ca="1">IFERROR(__xludf.DUMMYFUNCTION("GOOGLETRANSLATE(A138 , ""tr"" , ""en"")"),"The HIMSS is the level of HIMSS in all Europe, except Turkey HIMSS is the level 7 of the hospital number 5. In our country, there are 5 hospitals reaching Level 7. In the digitalization processes of our mouth and dental health centers, 14 central levels 6"&amp;" and 2 are registered as central level 7. https://t.co/cqx65howuf")</f>
        <v>The HIMSS is the level of HIMSS in all Europe, except Turkey HIMSS is the level 7 of the hospital number 5. In our country, there are 5 hospitals reaching Level 7. In the digitalization processes of our mouth and dental health centers, 14 central levels 6 and 2 are registered as central level 7. https://t.co/cqx65howuf</v>
      </c>
    </row>
    <row r="139" spans="1:5" ht="15.75" customHeight="1" x14ac:dyDescent="0.25">
      <c r="A139" s="1" t="s">
        <v>278</v>
      </c>
      <c r="B139" s="1">
        <v>5155</v>
      </c>
      <c r="C139" s="3">
        <v>44517.849259259259</v>
      </c>
      <c r="D139" s="1" t="s">
        <v>279</v>
      </c>
      <c r="E139" s="4" t="str">
        <f ca="1">IFERROR(__xludf.DUMMYFUNCTION("GOOGLETRANSLATE(A139 , ""tr"" , ""en"")"),"Sivas went over 75% in the second overdose rate. Latest ones, let's plasting arms tomorrow. Turkey, the color of the epidemic struggle!")</f>
        <v>Sivas went over 75% in the second overdose rate. Latest ones, let's plasting arms tomorrow. Turkey, the color of the epidemic struggle!</v>
      </c>
    </row>
    <row r="140" spans="1:5" ht="15.75" customHeight="1" x14ac:dyDescent="0.25">
      <c r="A140" s="1" t="s">
        <v>280</v>
      </c>
      <c r="B140" s="1">
        <v>5203</v>
      </c>
      <c r="C140" s="3">
        <v>44517.742546296293</v>
      </c>
      <c r="D140" s="1" t="s">
        <v>281</v>
      </c>
      <c r="E140" s="4" t="str">
        <f ca="1">IFERROR(__xludf.DUMMYFUNCTION("GOOGLETRANSLATE(A140 , ""tr"" , ""en"")"),"We mastered the eternal emerging. Nice resurrection behind them left songs. https://t.co/d7sjgygtwx")</f>
        <v>We mastered the eternal emerging. Nice resurrection behind them left songs. https://t.co/d7sjgygtwx</v>
      </c>
    </row>
    <row r="141" spans="1:5" ht="15.75" customHeight="1" x14ac:dyDescent="0.25">
      <c r="A141" s="1" t="s">
        <v>282</v>
      </c>
      <c r="B141" s="1">
        <v>4274</v>
      </c>
      <c r="C141" s="3">
        <v>44517.731192129628</v>
      </c>
      <c r="D141" s="1" t="s">
        <v>283</v>
      </c>
      <c r="E141" s="4" t="str">
        <f ca="1">IFERROR(__xludf.DUMMYFUNCTION("GOOGLETRANSLATE(A141 , ""tr"" , ""en"")"),"There was no injury and life loss in the 5th violence in Duzce. Due to the event, 14 panic attacks and 5 trauma diagnosed patients were presented to health care. 112 emergency assistance and umke tims consisting of a total of 38 personnel are in the regio"&amp;"n. Get to Duzce and Turkey.")</f>
        <v>There was no injury and life loss in the 5th violence in Duzce. Due to the event, 14 panic attacks and 5 trauma diagnosed patients were presented to health care. 112 emergency assistance and umke tims consisting of a total of 38 personnel are in the region. Get to Duzce and Turkey.</v>
      </c>
    </row>
    <row r="142" spans="1:5" ht="15.75" customHeight="1" x14ac:dyDescent="0.25">
      <c r="A142" s="1" t="s">
        <v>284</v>
      </c>
      <c r="B142" s="1">
        <v>3766</v>
      </c>
      <c r="C142" s="3">
        <v>44517.705150462964</v>
      </c>
      <c r="D142" s="1" t="s">
        <v>285</v>
      </c>
      <c r="E142" s="4" t="str">
        <f ca="1">IFERROR(__xludf.DUMMYFUNCTION("GOOGLETRANSLATE(A142 , ""tr"" , ""en"")"),"Measure should be taken wherever it is necessary. For example, if there is no one nearby, the mask is unnecessary, the mask is indispensable if the human intensity is too much. Conditions have led to measure fatigue and serious neglect. Season winter. Let"&amp;"'s put measures in reasonably again. https://t.co/ht5xdle2fc")</f>
        <v>Measure should be taken wherever it is necessary. For example, if there is no one nearby, the mask is unnecessary, the mask is indispensable if the human intensity is too much. Conditions have led to measure fatigue and serious neglect. Season winter. Let's put measures in reasonably again. https://t.co/ht5xdle2fc</v>
      </c>
    </row>
    <row r="143" spans="1:5" ht="15.75" customHeight="1" x14ac:dyDescent="0.25">
      <c r="A143" s="1" t="s">
        <v>286</v>
      </c>
      <c r="B143" s="1">
        <v>1609</v>
      </c>
      <c r="C143" s="3">
        <v>44517.631481481483</v>
      </c>
      <c r="D143" s="1" t="s">
        <v>287</v>
      </c>
      <c r="E143" s="4" t="str">
        <f ca="1">IFERROR(__xludf.DUMMYFUNCTION("GOOGLETRANSLATE(A143 , ""tr"" , ""en"")"),"TÜSEB Saint Sancar 2021 We have presented a rewards of our 5 scientists worthy of science, service and incentive rewards. I am celebrating our friends that we believe in health science and technologies have qualifications at the international level in the"&amp;" future. https://t.co/chbyjk93mf")</f>
        <v>TÜSEB Saint Sancar 2021 We have presented a rewards of our 5 scientists worthy of science, service and incentive rewards. I am celebrating our friends that we believe in health science and technologies have qualifications at the international level in the future. https://t.co/chbyjk93mf</v>
      </c>
    </row>
    <row r="144" spans="1:5" ht="15.75" customHeight="1" x14ac:dyDescent="0.25">
      <c r="A144" s="1" t="s">
        <v>288</v>
      </c>
      <c r="B144" s="1">
        <v>1712</v>
      </c>
      <c r="C144" s="3">
        <v>44517.521319444444</v>
      </c>
      <c r="D144" s="1" t="s">
        <v>289</v>
      </c>
      <c r="E144" s="4" t="str">
        <f ca="1">IFERROR(__xludf.DUMMYFUNCTION("GOOGLETRANSLATE(A144 , ""tr"" , ""en"")"),"On the ongoing HIMSS Health Cognition and Technologies Conference in Antalya, we addressed the struggle against the global epidemic in the bilateral interviews in the Conference and Fair. https://t.co/bxxbifsmxe")</f>
        <v>On the ongoing HIMSS Health Cognition and Technologies Conference in Antalya, we addressed the struggle against the global epidemic in the bilateral interviews in the Conference and Fair. https://t.co/bxxbifsmxe</v>
      </c>
    </row>
    <row r="145" spans="1:5" ht="15.75" customHeight="1" x14ac:dyDescent="0.25">
      <c r="A145" s="1" t="s">
        <v>290</v>
      </c>
      <c r="B145" s="1">
        <v>1607</v>
      </c>
      <c r="C145" s="3">
        <v>44517.317245370374</v>
      </c>
      <c r="D145" s="1" t="s">
        <v>291</v>
      </c>
      <c r="E145" s="4" t="str">
        <f ca="1">IFERROR(__xludf.DUMMYFUNCTION("GOOGLETRANSLATE(A145 , ""tr"" , ""en"")"),"HIMSS Health Cognition and Technologies Conference and Fair 📍ANTALI HTTPS://T.CO/3HIL7XNSNW")</f>
        <v>HIMSS Health Cognition and Technologies Conference and Fair 📍ANTALI HTTPS://T.CO/3HIL7XNSNW</v>
      </c>
    </row>
    <row r="146" spans="1:5" ht="15.75" customHeight="1" x14ac:dyDescent="0.25">
      <c r="A146" s="1" t="s">
        <v>292</v>
      </c>
      <c r="B146" s="1">
        <v>4613</v>
      </c>
      <c r="C146" s="3">
        <v>44516.837766203702</v>
      </c>
      <c r="D146" s="1" t="s">
        <v>293</v>
      </c>
      <c r="E146" s="4" t="str">
        <f ca="1">IFERROR(__xludf.DUMMYFUNCTION("GOOGLETRANSLATE(A146 , ""tr"" , ""en"")"),"Karabük crossed over 75% in the second overdose rate rate. Latest ones, let's plasting arms tomorrow. Turkey, the color of the epidemic struggle!")</f>
        <v>Karabük crossed over 75% in the second overdose rate rate. Latest ones, let's plasting arms tomorrow. Turkey, the color of the epidemic struggle!</v>
      </c>
    </row>
    <row r="147" spans="1:5" ht="15.75" customHeight="1" x14ac:dyDescent="0.25">
      <c r="A147" s="1" t="s">
        <v>294</v>
      </c>
      <c r="B147" s="1">
        <v>4747</v>
      </c>
      <c r="C147" s="3">
        <v>44516.762395833335</v>
      </c>
      <c r="D147" s="1" t="s">
        <v>295</v>
      </c>
      <c r="E147" s="4" t="str">
        <f ca="1">IFERROR(__xludf.DUMMYFUNCTION("GOOGLETRANSLATE(A147 , ""tr"" , ""en"")"),"We will now have more time in indoor spaces. The risk of spreading the virus will increase because it is decreased to mask and distance measures. The fertilizers of the crowded families who live together with young people should pay more attention to the "&amp;"measures and complete the missing vaccines. https://t.co/3nt1mwr29g")</f>
        <v>We will now have more time in indoor spaces. The risk of spreading the virus will increase because it is decreased to mask and distance measures. The fertilizers of the crowded families who live together with young people should pay more attention to the measures and complete the missing vaccines. https://t.co/3nt1mwr29g</v>
      </c>
    </row>
    <row r="148" spans="1:5" ht="15.75" customHeight="1" x14ac:dyDescent="0.25">
      <c r="A148" s="1" t="s">
        <v>296</v>
      </c>
      <c r="B148" s="1">
        <v>12350</v>
      </c>
      <c r="C148" s="3">
        <v>44516.638611111113</v>
      </c>
      <c r="D148" s="1" t="s">
        <v>297</v>
      </c>
      <c r="E148" s="4" t="str">
        <f ca="1">IFERROR(__xludf.DUMMYFUNCTION("GOOGLETRANSLATE(A148 , ""tr"" , ""en"")"),"""Don't say fate, there is a fate above fate
What do they do has a decision from the empty heavens
What happens in the day Batsa are an architect repairing the night
If I burned there is a feeling made from the girl ""
We lost Sezai Karakoç. Our informati"&amp;"on is our poet no longer among us. Sorry for your loss. https://t.co/f9tjsaxdxp")</f>
        <v>"Don't say fate, there is a fate above fate
What do they do has a decision from the empty heavens
What happens in the day Batsa are an architect repairing the night
If I burned there is a feeling made from the girl "
We lost Sezai Karakoç. Our information is our poet no longer among us. Sorry for your loss. https://t.co/f9tjsaxdxp</v>
      </c>
    </row>
    <row r="149" spans="1:5" ht="15.75" customHeight="1" x14ac:dyDescent="0.25">
      <c r="A149" s="1" t="s">
        <v>298</v>
      </c>
      <c r="B149" s="1">
        <v>5630</v>
      </c>
      <c r="C149" s="3">
        <v>44515.745555555557</v>
      </c>
      <c r="D149" s="1" t="s">
        <v>299</v>
      </c>
      <c r="E149" s="4" t="str">
        <f ca="1">IFERROR(__xludf.DUMMYFUNCTION("GOOGLETRANSLATE(A149 , ""tr"" , ""en"")"),"Inoculation Speed ​​Signal: Pain Yellow, Karaman Blue!")</f>
        <v>Inoculation Speed ​​Signal: Pain Yellow, Karaman Blue!</v>
      </c>
    </row>
    <row r="150" spans="1:5" ht="15.75" customHeight="1" x14ac:dyDescent="0.25">
      <c r="A150" s="1" t="s">
        <v>300</v>
      </c>
      <c r="B150" s="1">
        <v>5389</v>
      </c>
      <c r="C150" s="3">
        <v>44515.689305555556</v>
      </c>
      <c r="D150" s="1" t="s">
        <v>301</v>
      </c>
      <c r="E150" s="4" t="str">
        <f ca="1">IFERROR(__xludf.DUMMYFUNCTION("GOOGLETRANSLATE(A150 , ""tr"" , ""en"")"),"In the Covid-19 table message, we want to move the vaccination rate of a province to the country agenda for the first time. Currently our second overdose ratio is the lowest province with 55.2% Şanlıurfa. We passed 80% in the average of Turkey. We invite "&amp;"the people of Sanliurfa to take faster steps in the fight against outbreak. https://t.co/qm1dca9sly")</f>
        <v>In the Covid-19 table message, we want to move the vaccination rate of a province to the country agenda for the first time. Currently our second overdose ratio is the lowest province with 55.2% Şanlıurfa. We passed 80% in the average of Turkey. We invite the people of Sanliurfa to take faster steps in the fight against outbreak. https://t.co/qm1dca9sly</v>
      </c>
    </row>
    <row r="151" spans="1:5" ht="15.75" customHeight="1" x14ac:dyDescent="0.25">
      <c r="A151" s="1" t="s">
        <v>302</v>
      </c>
      <c r="B151" s="1">
        <v>5172</v>
      </c>
      <c r="C151" s="3">
        <v>44515.379189814812</v>
      </c>
      <c r="D151" s="1" t="s">
        <v>303</v>
      </c>
      <c r="E151" s="4" t="str">
        <f ca="1">IFERROR(__xludf.DUMMYFUNCTION("GOOGLETRANSLATE(A151 , ""tr"" , ""en"")"),"The same month, the same star!
Happy 38 of the Turkish Republic of Northern Cyprus, happy birthday! We are considering all our heroes that struggle for independence and peace. https://t.co/oq1xsdcavp")</f>
        <v>The same month, the same star!
Happy 38 of the Turkish Republic of Northern Cyprus, happy birthday! We are considering all our heroes that struggle for independence and peace. https://t.co/oq1xsdcavp</v>
      </c>
    </row>
    <row r="152" spans="1:5" ht="15.75" customHeight="1" x14ac:dyDescent="0.25">
      <c r="A152" s="1" t="s">
        <v>304</v>
      </c>
      <c r="B152" s="1">
        <v>5817</v>
      </c>
      <c r="C152" s="3">
        <v>44514.76798611111</v>
      </c>
      <c r="D152" s="1" t="s">
        <v>305</v>
      </c>
      <c r="E152" s="4" t="str">
        <f ca="1">IFERROR(__xludf.DUMMYFUNCTION("GOOGLETRANSLATE(A152 , ""tr"" , ""en"")"),"75% should always pass together.
Yellow Provinces, let's glad Turkey!")</f>
        <v>75% should always pass together.
Yellow Provinces, let's glad Turkey!</v>
      </c>
    </row>
    <row r="153" spans="1:5" ht="15.75" customHeight="1" x14ac:dyDescent="0.25">
      <c r="A153" s="1" t="s">
        <v>306</v>
      </c>
      <c r="B153" s="1">
        <v>3312</v>
      </c>
      <c r="C153" s="3">
        <v>44514.767835648148</v>
      </c>
      <c r="D153" s="1" t="s">
        <v>307</v>
      </c>
      <c r="E153" s="4" t="str">
        <f ca="1">IFERROR(__xludf.DUMMYFUNCTION("GOOGLETRANSLATE(A153 , ""tr"" , ""en"")"),"75% should always pass together.
Orange Provinces, let's appreciate Turkey!")</f>
        <v>75% should always pass together.
Orange Provinces, let's appreciate Turkey!</v>
      </c>
    </row>
    <row r="154" spans="1:5" ht="15.75" customHeight="1" x14ac:dyDescent="0.25">
      <c r="A154" s="1" t="s">
        <v>308</v>
      </c>
      <c r="B154" s="1">
        <v>3437</v>
      </c>
      <c r="C154" s="3">
        <v>44514.697523148148</v>
      </c>
      <c r="D154" s="1" t="s">
        <v>309</v>
      </c>
      <c r="E154" s="4" t="str">
        <f ca="1">IFERROR(__xludf.DUMMYFUNCTION("GOOGLETRANSLATE(A154 , ""tr"" , ""en"")"),"World Diabetes Day
Diabetes disease becomes widespread due to many reasons such as incorrect nutrition, excess weight, hypertension, still lifestyle. The prevention of these chronic disease is largely dependent on us. A life that suits our bodies, natural"&amp;" stages and needs!")</f>
        <v>World Diabetes Day
Diabetes disease becomes widespread due to many reasons such as incorrect nutrition, excess weight, hypertension, still lifestyle. The prevention of these chronic disease is largely dependent on us. A life that suits our bodies, natural stages and needs!</v>
      </c>
    </row>
    <row r="155" spans="1:5" ht="15.75" customHeight="1" x14ac:dyDescent="0.25">
      <c r="A155" s="1" t="s">
        <v>310</v>
      </c>
      <c r="B155" s="1">
        <v>3900</v>
      </c>
      <c r="C155" s="3">
        <v>44514.691331018519</v>
      </c>
      <c r="D155" s="1" t="s">
        <v>311</v>
      </c>
      <c r="E155" s="4" t="str">
        <f ca="1">IFERROR(__xludf.DUMMYFUNCTION("GOOGLETRANSLATE(A155 , ""tr"" , ""en"")"),"Şanlıurfa, Mardin, Diyarbakir, Batman, Siirt, Bitlis, Mus, Bingöl, Pain: We want to promote anyone who is vaccine to upgrade the inoculation rate in 9 provinces. Contact your acquaintances in order to encourage the vaccine. Help the vaccination increased,"&amp;" to exceed indecision. https://t.co/gawnt9gtcs")</f>
        <v>Şanlıurfa, Mardin, Diyarbakir, Batman, Siirt, Bitlis, Mus, Bingöl, Pain: We want to promote anyone who is vaccine to upgrade the inoculation rate in 9 provinces. Contact your acquaintances in order to encourage the vaccine. Help the vaccination increased, to exceed indecision. https://t.co/gawnt9gtcs</v>
      </c>
    </row>
    <row r="156" spans="1:5" ht="15.75" customHeight="1" x14ac:dyDescent="0.25">
      <c r="A156" s="1" t="s">
        <v>312</v>
      </c>
      <c r="B156" s="1">
        <v>3689</v>
      </c>
      <c r="C156" s="3">
        <v>44513.682349537034</v>
      </c>
      <c r="D156" s="1" t="s">
        <v>313</v>
      </c>
      <c r="E156" s="4" t="str">
        <f ca="1">IFERROR(__xludf.DUMMYFUNCTION("GOOGLETRANSLATE(A156 , ""tr"" , ""en"")"),"The second overdose rate is less than 65% of our nine provinces: Şanlıurfa, Mardin, Diyarbakir, Batman, Siirt, Bitlis, Mus, Bingöl, Pain. Only the decision is enough to get the vaccination service. We are ready to provide all kinds of ease with our teams."&amp;" Enough that let's raise our rate of vaccination. https://t.co/cstevleeom")</f>
        <v>The second overdose rate is less than 65% of our nine provinces: Şanlıurfa, Mardin, Diyarbakir, Batman, Siirt, Bitlis, Mus, Bingöl, Pain. Only the decision is enough to get the vaccination service. We are ready to provide all kinds of ease with our teams. Enough that let's raise our rate of vaccination. https://t.co/cstevleeom</v>
      </c>
    </row>
    <row r="157" spans="1:5" ht="15.75" customHeight="1" x14ac:dyDescent="0.25">
      <c r="A157" s="1" t="s">
        <v>314</v>
      </c>
      <c r="B157" s="1">
        <v>2024</v>
      </c>
      <c r="C157" s="3">
        <v>44513.627905092595</v>
      </c>
      <c r="D157" s="1" t="s">
        <v>315</v>
      </c>
      <c r="E157" s="4" t="str">
        <f ca="1">IFERROR(__xludf.DUMMYFUNCTION("GOOGLETRANSLATE(A157 , ""tr"" , ""en"")"),"30 October-5 November Case Intensity The most increasing 10 products compared to the previous week: Sinop, Osmaniye, Kastamonu, Tunceli, Amasya, Balıkesir, Slap, Çankırı, Edirne, Giresun. https://t.co/nrefmjwvjd")</f>
        <v>30 October-5 November Case Intensity The most increasing 10 products compared to the previous week: Sinop, Osmaniye, Kastamonu, Tunceli, Amasya, Balıkesir, Slap, Çankırı, Edirne, Giresun. https://t.co/nrefmjwvjd</v>
      </c>
    </row>
    <row r="158" spans="1:5" ht="15.75" customHeight="1" x14ac:dyDescent="0.25">
      <c r="A158" s="1" t="s">
        <v>316</v>
      </c>
      <c r="B158" s="1">
        <v>3621</v>
      </c>
      <c r="C158" s="3">
        <v>44513.622708333336</v>
      </c>
      <c r="D158" s="1" t="s">
        <v>317</v>
      </c>
      <c r="E158" s="4" t="str">
        <f ca="1">IFERROR(__xludf.DUMMYFUNCTION("GOOGLETRANSLATE(A158 , ""tr"" , ""en"")"),"October 30-November 5, in 100,000 people in 100,000 people, a weekly new Covid-19 Case Number of Cases on Province basis? You can learn the situation in the provinces you have experienced, from our weekly incidence map. https://t.co/zqkgrnuqon")</f>
        <v>October 30-November 5, in 100,000 people in 100,000 people, a weekly new Covid-19 Case Number of Cases on Province basis? You can learn the situation in the provinces you have experienced, from our weekly incidence map. https://t.co/zqkgrnuqon</v>
      </c>
    </row>
    <row r="159" spans="1:5" ht="15.75" customHeight="1" x14ac:dyDescent="0.25">
      <c r="A159" s="1" t="s">
        <v>318</v>
      </c>
      <c r="B159" s="1">
        <v>6868</v>
      </c>
      <c r="C159" s="3">
        <v>44512.82199074074</v>
      </c>
      <c r="D159" s="1" t="s">
        <v>319</v>
      </c>
      <c r="E159" s="4" t="str">
        <f ca="1">IFERROR(__xludf.DUMMYFUNCTION("GOOGLETRANSLATE(A159 , ""tr"" , ""en"")"),"Latest ones, let's plasting the arms! The Hakkâri is blue!")</f>
        <v>Latest ones, let's plasting the arms! The Hakkâri is blue!</v>
      </c>
    </row>
    <row r="160" spans="1:5" ht="15.75" customHeight="1" x14ac:dyDescent="0.25">
      <c r="A160" s="1" t="s">
        <v>320</v>
      </c>
      <c r="B160" s="1">
        <v>4229</v>
      </c>
      <c r="C160" s="3">
        <v>44512.818622685183</v>
      </c>
      <c r="D160" s="1" t="s">
        <v>321</v>
      </c>
      <c r="E160" s="4" t="str">
        <f ca="1">IFERROR(__xludf.DUMMYFUNCTION("GOOGLETRANSLATE(A160 , ""tr"" , ""en"")"),"We switched to 3 colorful maps from 4 colorful maps!
Sanliurfa Orange, Target Single Color Blue!")</f>
        <v>We switched to 3 colorful maps from 4 colorful maps!
Sanliurfa Orange, Target Single Color Blue!</v>
      </c>
    </row>
    <row r="161" spans="1:5" ht="15.75" customHeight="1" x14ac:dyDescent="0.25">
      <c r="A161" s="1" t="s">
        <v>322</v>
      </c>
      <c r="B161" s="1">
        <v>4195</v>
      </c>
      <c r="C161" s="3">
        <v>44512.686550925922</v>
      </c>
      <c r="D161" s="1" t="s">
        <v>323</v>
      </c>
      <c r="E161" s="4" t="str">
        <f ca="1">IFERROR(__xludf.DUMMYFUNCTION("GOOGLETRANSLATE(A161 , ""tr"" , ""en"")"),"15% of the cases in the last 1 month are 60 years of age or older. However, 84.8% of the passages are over 60 years. The rate of children in the 8-16 age group in the school age was decreased by approximately 10% in total cases. This is important in terms"&amp;" of the course of the secret. https://t.co/b7efuwbggg")</f>
        <v>15% of the cases in the last 1 month are 60 years of age or older. However, 84.8% of the passages are over 60 years. The rate of children in the 8-16 age group in the school age was decreased by approximately 10% in total cases. This is important in terms of the course of the secret. https://t.co/b7efuwbggg</v>
      </c>
    </row>
    <row r="162" spans="1:5" ht="15.75" customHeight="1" x14ac:dyDescent="0.25">
      <c r="A162" s="1" t="s">
        <v>324</v>
      </c>
      <c r="B162" s="1">
        <v>3296</v>
      </c>
      <c r="C162" s="3">
        <v>44512.576099537036</v>
      </c>
      <c r="D162" s="1" t="s">
        <v>325</v>
      </c>
      <c r="E162" s="4" t="str">
        <f ca="1">IFERROR(__xludf.DUMMYFUNCTION("GOOGLETRANSLATE(A162 , ""tr"" , ""en"")"),"Pneumonia (pneumonia) is a contagious and risky disease. The aircraft in the lung is dollar with inflamed liquid. COPD, heart disease, renal failure, diabetes such as chronic diseases, elderly, young children are in the risk group. Pneumonia is a disease "&amp;"with vaccination. https://t.co/pvcjcsyo3o")</f>
        <v>Pneumonia (pneumonia) is a contagious and risky disease. The aircraft in the lung is dollar with inflamed liquid. COPD, heart disease, renal failure, diabetes such as chronic diseases, elderly, young children are in the risk group. Pneumonia is a disease with vaccination. https://t.co/pvcjcsyo3o</v>
      </c>
    </row>
    <row r="163" spans="1:5" ht="15.75" customHeight="1" x14ac:dyDescent="0.25">
      <c r="A163" s="1" t="s">
        <v>326</v>
      </c>
      <c r="B163" s="1">
        <v>3826</v>
      </c>
      <c r="C163" s="3">
        <v>44511.67732638889</v>
      </c>
      <c r="D163" s="1" t="s">
        <v>327</v>
      </c>
      <c r="E163" s="4" t="str">
        <f ca="1">IFERROR(__xludf.DUMMYFUNCTION("GOOGLETRANSLATE(A163 , ""tr"" , ""en"")"),"Approximately 8.6 million people did not have the 2nd or 3rd overdose of the time. Full of the vaccine depends on the extension of the dosage between the number of dose and doses. Our notifications are being made by these periods. To be able to benefit mo"&amp;"re than the power of vaccine, you must obey your vaccine calendar. https://t.co/xlaoolpmxc")</f>
        <v>Approximately 8.6 million people did not have the 2nd or 3rd overdose of the time. Full of the vaccine depends on the extension of the dosage between the number of dose and doses. Our notifications are being made by these periods. To be able to benefit more than the power of vaccine, you must obey your vaccine calendar. https://t.co/xlaoolpmxc</v>
      </c>
    </row>
    <row r="164" spans="1:5" ht="15.75" customHeight="1" x14ac:dyDescent="0.25">
      <c r="A164" s="1" t="s">
        <v>328</v>
      </c>
      <c r="B164" s="1">
        <v>5858</v>
      </c>
      <c r="C164" s="3">
        <v>44511.652465277781</v>
      </c>
      <c r="D164" s="1" t="s">
        <v>329</v>
      </c>
      <c r="E164" s="4" t="str">
        <f ca="1">IFERROR(__xludf.DUMMYFUNCTION("GOOGLETRANSLATE(A164 , ""tr"" , ""en"")"),"Our aircraft and helicopter ambulances were only 3,629 patients and injured in the country this year. In addition, 1 patient from abroad and 148 patients were transported to our country. We are in action against time for health.")</f>
        <v>Our aircraft and helicopter ambulances were only 3,629 patients and injured in the country this year. In addition, 1 patient from abroad and 148 patients were transported to our country. We are in action against time for health.</v>
      </c>
    </row>
    <row r="165" spans="1:5" ht="15.75" customHeight="1" x14ac:dyDescent="0.25">
      <c r="A165" s="1" t="s">
        <v>330</v>
      </c>
      <c r="B165" s="1">
        <v>3244</v>
      </c>
      <c r="C165" s="3">
        <v>44511.64130787037</v>
      </c>
      <c r="D165" s="1" t="s">
        <v>331</v>
      </c>
      <c r="E165" s="4" t="str">
        <f ca="1">IFERROR(__xludf.DUMMYFUNCTION("GOOGLETRANSLATE(A165 , ""tr"" , ""en"")"),"Air ambulance fleet
flies for seconds! https://t.co/s1cm2cz3qm")</f>
        <v>Air ambulance fleet
flies for seconds! https://t.co/s1cm2cz3qm</v>
      </c>
    </row>
    <row r="166" spans="1:5" ht="15.75" customHeight="1" x14ac:dyDescent="0.25">
      <c r="A166" s="1" t="s">
        <v>332</v>
      </c>
      <c r="B166" s="1">
        <v>5766</v>
      </c>
      <c r="C166" s="3">
        <v>44510.865405092591</v>
      </c>
      <c r="D166" s="1" t="s">
        <v>333</v>
      </c>
      <c r="E166" s="4" t="str">
        <f ca="1">IFERROR(__xludf.DUMMYFUNCTION("GOOGLETRANSLATE(A166 , ""tr"" , ""en"")"),"Our Emergency Health Services teams in Karaman moved to the mother candidate starting at the village today, starting from the village. Our team reached the mother candidate and realized the birth in the ambulance. A baby boy! A little hurried. Mother son "&amp;"is at the hospital and good. https://t.co/g82zmus8d7")</f>
        <v>Our Emergency Health Services teams in Karaman moved to the mother candidate starting at the village today, starting from the village. Our team reached the mother candidate and realized the birth in the ambulance. A baby boy! A little hurried. Mother son is at the hospital and good. https://t.co/g82zmus8d7</v>
      </c>
    </row>
    <row r="167" spans="1:5" ht="15.75" customHeight="1" x14ac:dyDescent="0.25">
      <c r="A167" s="1" t="s">
        <v>334</v>
      </c>
      <c r="B167" s="1">
        <v>4089</v>
      </c>
      <c r="C167" s="3">
        <v>44510.745000000003</v>
      </c>
      <c r="D167" s="1" t="s">
        <v>335</v>
      </c>
      <c r="E167" s="4" t="str">
        <f ca="1">IFERROR(__xludf.DUMMYFUNCTION("GOOGLETRANSLATE(A167 , ""tr"" , ""en"")"),"Koronavirus Science Board The status of our citizens in the risk group today, the course of the outbreak and vaccine program was collected with the agenda. https://t.co/qstgjnfbzk")</f>
        <v>Koronavirus Science Board The status of our citizens in the risk group today, the course of the outbreak and vaccine program was collected with the agenda. https://t.co/qstgjnfbzk</v>
      </c>
    </row>
    <row r="168" spans="1:5" ht="15.75" customHeight="1" x14ac:dyDescent="0.25">
      <c r="A168" s="1" t="s">
        <v>336</v>
      </c>
      <c r="B168" s="1">
        <v>3824</v>
      </c>
      <c r="C168" s="3">
        <v>44510.713368055556</v>
      </c>
      <c r="D168" s="1" t="s">
        <v>337</v>
      </c>
      <c r="E168" s="4" t="str">
        <f ca="1">IFERROR(__xludf.DUMMYFUNCTION("GOOGLETRANSLATE(A168 , ""tr"" , ""en"")"),"Being vaccinated will lead to major results than considering the epidemic measures to be done on the day of new doses. Because Covid-19 vaccine and measures do not protect us: The spread of the virus is narrows the area of ​​living. High vaccine ratio and"&amp;" measure breaks the power of the virus. https://t.co/aachsgiII7")</f>
        <v>Being vaccinated will lead to major results than considering the epidemic measures to be done on the day of new doses. Because Covid-19 vaccine and measures do not protect us: The spread of the virus is narrows the area of ​​living. High vaccine ratio and measure breaks the power of the virus. https://t.co/aachsgiII7</v>
      </c>
    </row>
    <row r="169" spans="1:5" ht="15.75" customHeight="1" x14ac:dyDescent="0.25">
      <c r="A169" s="1" t="s">
        <v>338</v>
      </c>
      <c r="B169" s="1">
        <v>16974</v>
      </c>
      <c r="C169" s="3">
        <v>44510.25372685185</v>
      </c>
      <c r="D169" s="1" t="s">
        <v>339</v>
      </c>
      <c r="E169" s="4" t="str">
        <f ca="1">IFERROR(__xludf.DUMMYFUNCTION("GOOGLETRANSLATE(A169 , ""tr"" , ""en"")"),"Ataturk was 57 when he left our call. A 57 Years that will not be held with years of knowing! As a leader, his life is a dedicated and works with our nation will live in thousands of years. We remember Him, respect for his memory and mercy. https://t.co/w"&amp;"mj4l1lnd0")</f>
        <v>Ataturk was 57 when he left our call. A 57 Years that will not be held with years of knowing! As a leader, his life is a dedicated and works with our nation will live in thousands of years. We remember Him, respect for his memory and mercy. https://t.co/wmj4l1lnd0</v>
      </c>
    </row>
    <row r="170" spans="1:5" ht="15.75" customHeight="1" x14ac:dyDescent="0.25">
      <c r="A170" s="1" t="s">
        <v>340</v>
      </c>
      <c r="B170" s="1">
        <v>3424</v>
      </c>
      <c r="C170" s="3">
        <v>44509.939664351848</v>
      </c>
      <c r="D170" s="1" t="s">
        <v>341</v>
      </c>
      <c r="E170" s="4" t="str">
        <f ca="1">IFERROR(__xludf.DUMMYFUNCTION("GOOGLETRANSLATE(A170 , ""tr"" , ""en"")"),"Recent Situation in Malatya: In the result of the collapse of a building, 8 of 13 people were discharged to be completed. 5 injured currently under treatment. We are in the scene with our 141 health employees, including 5 Umke Timi. Rescue work continues.")</f>
        <v>Recent Situation in Malatya: In the result of the collapse of a building, 8 of 13 people were discharged to be completed. 5 injured currently under treatment. We are in the scene with our 141 health employees, including 5 Umke Timi. Rescue work continues.</v>
      </c>
    </row>
    <row r="171" spans="1:5" ht="15.75" customHeight="1" x14ac:dyDescent="0.25">
      <c r="A171" s="1" t="s">
        <v>342</v>
      </c>
      <c r="B171" s="1">
        <v>3617</v>
      </c>
      <c r="C171" s="3">
        <v>44509.848391203705</v>
      </c>
      <c r="D171" s="1" t="s">
        <v>343</v>
      </c>
      <c r="E171" s="4" t="str">
        <f ca="1">IFERROR(__xludf.DUMMYFUNCTION("GOOGLETRANSLATE(A171 , ""tr"" , ""en"")"),"Our Umke teams have donated the worlds with the lives they saved from the debris in Malatya today. On behalf of Malatya and all of our people, you are good to have Umke! https://t.co/3y1bIph8yh")</f>
        <v>Our Umke teams have donated the worlds with the lives they saved from the debris in Malatya today. On behalf of Malatya and all of our people, you are good to have Umke! https://t.co/3y1bIph8yh</v>
      </c>
    </row>
    <row r="172" spans="1:5" ht="15.75" customHeight="1" x14ac:dyDescent="0.25">
      <c r="A172" s="1" t="s">
        <v>344</v>
      </c>
      <c r="B172" s="1">
        <v>3737</v>
      </c>
      <c r="C172" s="3">
        <v>44509.766388888886</v>
      </c>
      <c r="D172" s="1" t="s">
        <v>345</v>
      </c>
      <c r="E172" s="4" t="str">
        <f ca="1">IFERROR(__xludf.DUMMYFUNCTION("GOOGLETRANSLATE(A172 , ""tr"" , ""en"")"),"Our active case is about 450.126. We want to remind that the test should definitely observe the isolation conditions to avoid the spread of the disease, regardless of the level of complaints. Success in the fight against epidemics depends on common respon"&amp;"sibility. https://t.co/4mp5r4qcks")</f>
        <v>Our active case is about 450.126. We want to remind that the test should definitely observe the isolation conditions to avoid the spread of the disease, regardless of the level of complaints. Success in the fight against epidemics depends on common responsibility. https://t.co/4mp5r4qcks</v>
      </c>
    </row>
    <row r="173" spans="1:5" ht="15.75" customHeight="1" x14ac:dyDescent="0.25">
      <c r="A173" s="1" t="s">
        <v>346</v>
      </c>
      <c r="B173" s="1">
        <v>5419</v>
      </c>
      <c r="C173" s="3">
        <v>44509.668993055559</v>
      </c>
      <c r="D173" s="1" t="s">
        <v>347</v>
      </c>
      <c r="E173" s="4" t="str">
        <f ca="1">IFERROR(__xludf.DUMMYFUNCTION("GOOGLETRANSLATE(A173 , ""tr"" , ""en"")"),"13 people were injured due to the crashing of a building in the center of Malatya. The treatment of the injured continues in our hospitals. 28 ambulances and 2 Umke teams are appointed at the scene. Get past malatia. We are at your side.")</f>
        <v>13 people were injured due to the crashing of a building in the center of Malatya. The treatment of the injured continues in our hospitals. 28 ambulances and 2 Umke teams are appointed at the scene. Get past malatia. We are at your side.</v>
      </c>
    </row>
    <row r="174" spans="1:5" ht="15.75" customHeight="1" x14ac:dyDescent="0.25">
      <c r="A174" s="1" t="s">
        <v>348</v>
      </c>
      <c r="B174" s="1">
        <v>7772</v>
      </c>
      <c r="C174" s="3">
        <v>44509.587037037039</v>
      </c>
      <c r="D174" s="1" t="s">
        <v>349</v>
      </c>
      <c r="E174" s="4" t="str">
        <f ca="1">IFERROR(__xludf.DUMMYFUNCTION("GOOGLETRANSLATE(A174 , ""tr"" , ""en"")"),"Turkey, the Covid-19 vaccine did not oblurate to the citizen. But the conditions reveal that the vaccine should already be seen as an obligation. The will of people should consider the benefit of society. The sense of responsibility requires being vaccina"&amp;"ted. Is not hidden from responsibility in the epidemic.")</f>
        <v>Turkey, the Covid-19 vaccine did not oblurate to the citizen. But the conditions reveal that the vaccine should already be seen as an obligation. The will of people should consider the benefit of society. The sense of responsibility requires being vaccinated. Is not hidden from responsibility in the epidemic.</v>
      </c>
    </row>
    <row r="175" spans="1:5" ht="15.75" customHeight="1" x14ac:dyDescent="0.25">
      <c r="A175" s="1" t="s">
        <v>350</v>
      </c>
      <c r="B175" s="1">
        <v>3296</v>
      </c>
      <c r="C175" s="3">
        <v>44509.35527777778</v>
      </c>
      <c r="D175" s="1" t="s">
        <v>351</v>
      </c>
      <c r="E175" s="4" t="str">
        <f ca="1">IFERROR(__xludf.DUMMYFUNCTION("GOOGLETRANSLATE(A175 , ""tr"" , ""en"")"),"Bayburt crossed over 65% in the second overdose rate rate. In all provinces of the vaccine rate, we should reach 75% target.
Latest ones, let's plasting the arms!")</f>
        <v>Bayburt crossed over 65% in the second overdose rate rate. In all provinces of the vaccine rate, we should reach 75% target.
Latest ones, let's plasting the arms!</v>
      </c>
    </row>
    <row r="176" spans="1:5" ht="15.75" customHeight="1" x14ac:dyDescent="0.25">
      <c r="A176" s="1" t="s">
        <v>352</v>
      </c>
      <c r="B176" s="1">
        <v>3732</v>
      </c>
      <c r="C176" s="3">
        <v>44508.844178240739</v>
      </c>
      <c r="D176" s="1" t="s">
        <v>353</v>
      </c>
      <c r="E176" s="4" t="str">
        <f ca="1">IFERROR(__xludf.DUMMYFUNCTION("GOOGLETRANSLATE(A176 , ""tr"" , ""en"")"),"This time I thank our Umke teams not only as their colleagues, as a Konyon. Great little to every disaster, you are good! https://t.co/qowgi6mv3h")</f>
        <v>This time I thank our Umke teams not only as their colleagues, as a Konyon. Great little to every disaster, you are good! https://t.co/qowgi6mv3h</v>
      </c>
    </row>
    <row r="177" spans="1:5" ht="15.75" customHeight="1" x14ac:dyDescent="0.25">
      <c r="A177" s="1" t="s">
        <v>354</v>
      </c>
      <c r="B177" s="1">
        <v>7244</v>
      </c>
      <c r="C177" s="3">
        <v>44508.818483796298</v>
      </c>
      <c r="D177" s="1" t="s">
        <v>355</v>
      </c>
      <c r="E177" s="4" t="str">
        <f ca="1">IFERROR(__xludf.DUMMYFUNCTION("GOOGLETRANSLATE(A177 , ""tr"" , ""en"")"),"In 20.43, a 15.1 violence in Konya Meram has occurred. A person from the earthquake was affected. The Maltress 2 buildings were destroyed, 1 was damaged. We are at duty in the region. He hopes that the results of the earthquake will be limited to this muc"&amp;"h, say that we get to our Konya. Know us with you.")</f>
        <v>In 20.43, a 15.1 violence in Konya Meram has occurred. A person from the earthquake was affected. The Maltress 2 buildings were destroyed, 1 was damaged. We are at duty in the region. He hopes that the results of the earthquake will be limited to this much, say that we get to our Konya. Know us with you.</v>
      </c>
    </row>
    <row r="178" spans="1:5" ht="15.75" customHeight="1" x14ac:dyDescent="0.25">
      <c r="A178" s="1" t="s">
        <v>356</v>
      </c>
      <c r="B178" s="1">
        <v>8119</v>
      </c>
      <c r="C178" s="3">
        <v>44508.790127314816</v>
      </c>
      <c r="D178" s="1" t="s">
        <v>357</v>
      </c>
      <c r="E178" s="4" t="str">
        <f ca="1">IFERROR(__xludf.DUMMYFUNCTION("GOOGLETRANSLATE(A178 , ""tr"" , ""en"")"),"Our President has made the explanation. After a busy preparation process, the new health worker's decision to assign our friends. Our 40,000 friends will be in the service of our people with their feelings of qualified trainings and responsibility. Now, I"&amp;" say welcome to our call. https://t.co/bceqcsthrr")</f>
        <v>Our President has made the explanation. After a busy preparation process, the new health worker's decision to assign our friends. Our 40,000 friends will be in the service of our people with their feelings of qualified trainings and responsibility. Now, I say welcome to our call. https://t.co/bceqcsthrr</v>
      </c>
    </row>
    <row r="179" spans="1:5" ht="15.75" customHeight="1" x14ac:dyDescent="0.25">
      <c r="A179" s="1" t="s">
        <v>358</v>
      </c>
      <c r="B179" s="1">
        <v>3706</v>
      </c>
      <c r="C179" s="3">
        <v>44508.734074074076</v>
      </c>
      <c r="D179" s="1" t="s">
        <v>359</v>
      </c>
      <c r="E179" s="4" t="str">
        <f ca="1">IFERROR(__xludf.DUMMYFUNCTION("GOOGLETRANSLATE(A179 , ""tr"" , ""en"")"),"We insist on making missing vaccines and our vaccination rate should rise. Our stability on the field is in progress. But we should never forget that it is not only dependent on the vaccine. Measure to the increasing circulation rate of the virus. https:/"&amp;"/t.co/t3oxquwyqa")</f>
        <v>We insist on making missing vaccines and our vaccination rate should rise. Our stability on the field is in progress. But we should never forget that it is not only dependent on the vaccine. Measure to the increasing circulation rate of the virus. https://t.co/t3oxquwyqa</v>
      </c>
    </row>
    <row r="180" spans="1:5" ht="15.75" customHeight="1" x14ac:dyDescent="0.25">
      <c r="A180" s="1" t="s">
        <v>360</v>
      </c>
      <c r="B180" s="1">
        <v>0</v>
      </c>
      <c r="C180" s="3">
        <v>44508.697453703702</v>
      </c>
      <c r="D180" s="1" t="s">
        <v>361</v>
      </c>
      <c r="E180" s="4" t="str">
        <f ca="1">IFERROR(__xludf.DUMMYFUNCTION("GOOGLETRANSLATE(A180 , ""tr"" , ""en"")"),"RT @rterdogan: Shouting to Nation After Cabinet Meeting https://t.co/z1ufzszvrl")</f>
        <v>RT @rterdogan: Shouting to Nation After Cabinet Meeting https://t.co/z1ufzszvrl</v>
      </c>
    </row>
    <row r="181" spans="1:5" ht="15.75" customHeight="1" x14ac:dyDescent="0.25">
      <c r="A181" s="1" t="s">
        <v>362</v>
      </c>
      <c r="B181" s="1">
        <v>4092</v>
      </c>
      <c r="C181" s="3">
        <v>44507.677800925929</v>
      </c>
      <c r="D181" s="1" t="s">
        <v>363</v>
      </c>
      <c r="E181" s="4" t="str">
        <f ca="1">IFERROR(__xludf.DUMMYFUNCTION("GOOGLETRANSLATE(A181 , ""tr"" , ""en"")"),"We are aware that you are tired of the agenda. Observe the measures, be your vaccine; Whatever else should be done is that task is ours. Covid-19 tests, the treatment of our patients continues the preparation of Turkovac to widely use. Our goal is to be f"&amp;"orgotten at the moment of the following days. https://t.co/ksgwzitvxg")</f>
        <v>We are aware that you are tired of the agenda. Observe the measures, be your vaccine; Whatever else should be done is that task is ours. Covid-19 tests, the treatment of our patients continues the preparation of Turkovac to widely use. Our goal is to be forgotten at the moment of the following days. https://t.co/ksgwzitvxg</v>
      </c>
    </row>
    <row r="182" spans="1:5" ht="15.75" customHeight="1" x14ac:dyDescent="0.25">
      <c r="A182" s="1" t="s">
        <v>364</v>
      </c>
      <c r="B182" s="1">
        <v>2180</v>
      </c>
      <c r="C182" s="3">
        <v>44507.606956018521</v>
      </c>
      <c r="D182" s="1" t="s">
        <v>365</v>
      </c>
      <c r="E182" s="4" t="str">
        <f ca="1">IFERROR(__xludf.DUMMYFUNCTION("GOOGLETRANSLATE(A182 , ""tr"" , ""en"")"),"23-29 October between the previous week of the previous week, the most increasing 10 provinces: Yalova, Osmaniye, Balikesir, Ordu, Canakkale, Kirklareli, Tekirdag, Bilecik, Antalya, Izmir. https://t.co/x4vjiu7ac8")</f>
        <v>23-29 October between the previous week of the previous week, the most increasing 10 provinces: Yalova, Osmaniye, Balikesir, Ordu, Canakkale, Kirklareli, Tekirdag, Bilecik, Antalya, Izmir. https://t.co/x4vjiu7ac8</v>
      </c>
    </row>
    <row r="183" spans="1:5" ht="15.75" customHeight="1" x14ac:dyDescent="0.25">
      <c r="A183" s="1" t="s">
        <v>366</v>
      </c>
      <c r="B183" s="1">
        <v>3682</v>
      </c>
      <c r="C183" s="3">
        <v>44507.603356481479</v>
      </c>
      <c r="D183" s="1" t="s">
        <v>367</v>
      </c>
      <c r="E183" s="4" t="str">
        <f ca="1">IFERROR(__xludf.DUMMYFUNCTION("GOOGLETRANSLATE(A183 , ""tr"" , ""en"")"),"From 23-29 October, a weekly new Covid-19 cases in 100,000 people were in province basis? You can learn the situation in the province where you are experiencing, from our weekly incidence map. https://t.co/z80z8ZTPIT")</f>
        <v>From 23-29 October, a weekly new Covid-19 cases in 100,000 people were in province basis? You can learn the situation in the province where you are experiencing, from our weekly incidence map. https://t.co/z80z8ZTPIT</v>
      </c>
    </row>
    <row r="184" spans="1:5" ht="15.75" customHeight="1" x14ac:dyDescent="0.25">
      <c r="A184" s="1" t="s">
        <v>368</v>
      </c>
      <c r="B184" s="1">
        <v>3926</v>
      </c>
      <c r="C184" s="3">
        <v>44506.835960648146</v>
      </c>
      <c r="D184" s="1" t="s">
        <v>369</v>
      </c>
      <c r="E184" s="4" t="str">
        <f ca="1">IFERROR(__xludf.DUMMYFUNCTION("GOOGLETRANSLATE(A184 , ""tr"" , ""en"")"),"Batman is a small gift from our visit. We share a part of the tongue that belongs to the region ""I want a jacket"". By the greetings of the Batman people. https://t.co/qg32I3LBIT")</f>
        <v>Batman is a small gift from our visit. We share a part of the tongue that belongs to the region "I want a jacket". By the greetings of the Batman people. https://t.co/qg32I3LBIT</v>
      </c>
    </row>
    <row r="185" spans="1:5" ht="15.75" customHeight="1" x14ac:dyDescent="0.25">
      <c r="A185" s="1" t="s">
        <v>370</v>
      </c>
      <c r="B185" s="1">
        <v>4198</v>
      </c>
      <c r="C185" s="3">
        <v>44506.76421296296</v>
      </c>
      <c r="D185" s="1" t="s">
        <v>371</v>
      </c>
      <c r="E185" s="4" t="str">
        <f ca="1">IFERROR(__xludf.DUMMYFUNCTION("GOOGLETRANSLATE(A185 , ""tr"" , ""en"")"),"Due to the opening of the Education and Research Hospital, we were with Batmiths today. We had the opportunity to learn their demands. I thank each of those who offer us this possibility. https://t.co/dnhencf44w")</f>
        <v>Due to the opening of the Education and Research Hospital, we were with Batmiths today. We had the opportunity to learn their demands. I thank each of those who offer us this possibility. https://t.co/dnhencf44w</v>
      </c>
    </row>
    <row r="186" spans="1:5" ht="15.75" customHeight="1" x14ac:dyDescent="0.25">
      <c r="A186" s="1" t="s">
        <v>372</v>
      </c>
      <c r="B186" s="1">
        <v>3796</v>
      </c>
      <c r="C186" s="3">
        <v>44506.71875</v>
      </c>
      <c r="D186" s="1" t="s">
        <v>373</v>
      </c>
      <c r="E186" s="4" t="str">
        <f ca="1">IFERROR(__xludf.DUMMYFUNCTION("GOOGLETRANSLATE(A186 , ""tr"" , ""en"")"),"We are not able to achieve the vaccine success. Vaccination indecision among the important reasons of this. Those who don't have the first dose and the second dose should not leave the subject in caving the subject and solemnly. Our information source sci"&amp;"entists should all be an example if 79% are the decision of 79%. https://t.co/l5w1jrjuog")</f>
        <v>We are not able to achieve the vaccine success. Vaccination indecision among the important reasons of this. Those who don't have the first dose and the second dose should not leave the subject in caving the subject and solemnly. Our information source scientists should all be an example if 79% are the decision of 79%. https://t.co/l5w1jrjuog</v>
      </c>
    </row>
    <row r="187" spans="1:5" ht="15.75" customHeight="1" x14ac:dyDescent="0.25">
      <c r="A187" s="1" t="s">
        <v>374</v>
      </c>
      <c r="B187" s="1">
        <v>4903</v>
      </c>
      <c r="C187" s="3">
        <v>44506.597685185188</v>
      </c>
      <c r="D187" s="1" t="s">
        <v>375</v>
      </c>
      <c r="E187" s="4" t="str">
        <f ca="1">IFERROR(__xludf.DUMMYFUNCTION("GOOGLETRANSLATE(A187 , ""tr"" , ""en"")"),"Today a good health facility is served in Batman. Batman Education and Research Hospital will now grow new physicians. Congratulations. https://t.co/thletvk6gj")</f>
        <v>Today a good health facility is served in Batman. Batman Education and Research Hospital will now grow new physicians. Congratulations. https://t.co/thletvk6gj</v>
      </c>
    </row>
    <row r="188" spans="1:5" ht="15.75" customHeight="1" x14ac:dyDescent="0.25">
      <c r="A188" s="1" t="s">
        <v>376</v>
      </c>
      <c r="B188" s="1">
        <v>0</v>
      </c>
      <c r="C188" s="3">
        <v>44506.561331018522</v>
      </c>
      <c r="D188" s="1" t="s">
        <v>377</v>
      </c>
      <c r="E188" s="4" t="str">
        <f ca="1">IFERROR(__xludf.DUMMYFUNCTION("GOOGLETRANSLATE(A188 , ""tr"" , ""en"")"),"Rt @rterdogan: Batman Education and Research Hospital, 36 Factory, City Stadium and Completed Projects Bulk Opening Ceremony https://t.co/p...")</f>
        <v>Rt @rterdogan: Batman Education and Research Hospital, 36 Factory, City Stadium and Completed Projects Bulk Opening Ceremony https://t.co/p...</v>
      </c>
    </row>
    <row r="189" spans="1:5" ht="15.75" customHeight="1" x14ac:dyDescent="0.25">
      <c r="A189" s="1" t="s">
        <v>378</v>
      </c>
      <c r="B189" s="1">
        <v>2964</v>
      </c>
      <c r="C189" s="3">
        <v>44506.548101851855</v>
      </c>
      <c r="D189" s="1" t="s">
        <v>379</v>
      </c>
      <c r="E189" s="4" t="str">
        <f ca="1">IFERROR(__xludf.DUMMYFUNCTION("GOOGLETRANSLATE(A189 , ""tr"" , ""en"")"),"We open your Batman training and research hospital to the service of our batmanli nurses.
📍Batman https://t.co/lrtoazyokk")</f>
        <v>We open your Batman training and research hospital to the service of our batmanli nurses.
📍Batman https://t.co/lrtoazyokk</v>
      </c>
    </row>
    <row r="190" spans="1:5" ht="15.75" customHeight="1" x14ac:dyDescent="0.25">
      <c r="A190" s="1" t="s">
        <v>380</v>
      </c>
      <c r="B190" s="1">
        <v>3506</v>
      </c>
      <c r="C190" s="3">
        <v>44505.818391203706</v>
      </c>
      <c r="D190" s="1" t="s">
        <v>381</v>
      </c>
      <c r="E190" s="4" t="str">
        <f ca="1">IFERROR(__xludf.DUMMYFUNCTION("GOOGLETRANSLATE(A190 , ""tr"" , ""en"")"),"Kayseri and Kilis went over to the blue category of 75% in the second overdose rate. We have to reach this goal in all of our vaccine rate low. All 81 should be blue at a moment at a moment.")</f>
        <v>Kayseri and Kilis went over to the blue category of 75% in the second overdose rate. We have to reach this goal in all of our vaccine rate low. All 81 should be blue at a moment at a moment.</v>
      </c>
    </row>
    <row r="191" spans="1:5" ht="15.75" customHeight="1" x14ac:dyDescent="0.25">
      <c r="A191" s="1" t="s">
        <v>382</v>
      </c>
      <c r="B191" s="1">
        <v>3561</v>
      </c>
      <c r="C191" s="3">
        <v>44505.75136574074</v>
      </c>
      <c r="D191" s="1" t="s">
        <v>383</v>
      </c>
      <c r="E191" s="4" t="str">
        <f ca="1">IFERROR(__xludf.DUMMYFUNCTION("GOOGLETRANSLATE(A191 , ""tr"" , ""en"")"),"The ideal result against risk is obtained by full dose vaccine. The pregnant women are extremely important to those of those with chronic diseases and over 60 years of age. From the two dose MRNA vaccines, the present priority group can also make an appoi"&amp;"ntment without time. Does not come to procrastinate the vaccine. https://t.co/geaIkghfbo")</f>
        <v>The ideal result against risk is obtained by full dose vaccine. The pregnant women are extremely important to those of those with chronic diseases and over 60 years of age. From the two dose MRNA vaccines, the present priority group can also make an appointment without time. Does not come to procrastinate the vaccine. https://t.co/geaIkghfbo</v>
      </c>
    </row>
    <row r="192" spans="1:5" ht="15.75" customHeight="1" x14ac:dyDescent="0.25">
      <c r="A192" s="1" t="s">
        <v>384</v>
      </c>
      <c r="B192" s="1">
        <v>2880</v>
      </c>
      <c r="C192" s="3">
        <v>44505.584849537037</v>
      </c>
      <c r="D192" s="1" t="s">
        <v>385</v>
      </c>
      <c r="E192" s="4" t="str">
        <f ca="1">IFERROR(__xludf.DUMMYFUNCTION("GOOGLETRANSLATE(A192 , ""tr"" , ""en"")"),"We are in an awareness week of organ and tissue donation. We have 26.894 patients waiting for organ transplantation. Our organ transplant centers are quite successful. But some patients are waiting for years. The result depends on the widespread of organ "&amp;"donation, increasing those who hope to other lives. Join us.")</f>
        <v>We are in an awareness week of organ and tissue donation. We have 26.894 patients waiting for organ transplantation. Our organ transplant centers are quite successful. But some patients are waiting for years. The result depends on the widespread of organ donation, increasing those who hope to other lives. Join us.</v>
      </c>
    </row>
    <row r="193" spans="1:5" ht="15.75" customHeight="1" x14ac:dyDescent="0.25">
      <c r="A193" s="1" t="s">
        <v>386</v>
      </c>
      <c r="B193" s="1">
        <v>2681</v>
      </c>
      <c r="C193" s="3">
        <v>44504.795613425929</v>
      </c>
      <c r="D193" s="1" t="s">
        <v>387</v>
      </c>
      <c r="E193" s="4" t="str">
        <f ca="1">IFERROR(__xludf.DUMMYFUNCTION("GOOGLETRANSLATE(A193 , ""tr"" , ""en"")"),"Step-by-step follower for the correct application, we are committed to change! https://t.co/8ay1hayfqz")</f>
        <v>Step-by-step follower for the correct application, we are committed to change! https://t.co/8ay1hayfqz</v>
      </c>
    </row>
    <row r="194" spans="1:5" ht="15.75" customHeight="1" x14ac:dyDescent="0.25">
      <c r="A194" s="1" t="s">
        <v>388</v>
      </c>
      <c r="B194" s="1">
        <v>3762</v>
      </c>
      <c r="C194" s="3">
        <v>44504.79277777778</v>
      </c>
      <c r="D194" s="1" t="s">
        <v>389</v>
      </c>
      <c r="E194" s="4" t="str">
        <f ca="1">IFERROR(__xludf.DUMMYFUNCTION("GOOGLETRANSLATE(A194 , ""tr"" , ""en"")"),"Hatay passed over 75% in the second overdose vaccination rate. We have to reach this goal in all of our vaccine rate low. All 81 should be blue at a moment at a moment.")</f>
        <v>Hatay passed over 75% in the second overdose vaccination rate. We have to reach this goal in all of our vaccine rate low. All 81 should be blue at a moment at a moment.</v>
      </c>
    </row>
    <row r="195" spans="1:5" ht="15.75" customHeight="1" x14ac:dyDescent="0.25">
      <c r="A195" s="1" t="s">
        <v>390</v>
      </c>
      <c r="B195" s="1">
        <v>4203</v>
      </c>
      <c r="C195" s="3">
        <v>44504.677175925928</v>
      </c>
      <c r="D195" s="1" t="s">
        <v>391</v>
      </c>
      <c r="E195" s="4" t="str">
        <f ca="1">IFERROR(__xludf.DUMMYFUNCTION("GOOGLETRANSLATE(A195 , ""tr"" , ""en"")"),"The vaccine rates in the table should not mislead us, we should consider the provisions within 84 million. The ratio of a dose of vaccines to the entire population is 67.2%. The rate of two dose vaccines is only 59%. In order to provide social immunity, 7"&amp;"0% of this ratio is required. https://t.co/bsuszhgibc")</f>
        <v>The vaccine rates in the table should not mislead us, we should consider the provisions within 84 million. The ratio of a dose of vaccines to the entire population is 67.2%. The rate of two dose vaccines is only 59%. In order to provide social immunity, 70% of this ratio is required. https://t.co/bsuszhgibc</v>
      </c>
    </row>
    <row r="196" spans="1:5" ht="15.75" customHeight="1" x14ac:dyDescent="0.25">
      <c r="A196" s="1" t="s">
        <v>392</v>
      </c>
      <c r="B196" s="1">
        <v>1828</v>
      </c>
      <c r="C196" s="3">
        <v>44504.467152777775</v>
      </c>
      <c r="D196" s="1" t="s">
        <v>393</v>
      </c>
      <c r="E196" s="4" t="str">
        <f ca="1">IFERROR(__xludf.DUMMYFUNCTION("GOOGLETRANSLATE(A196 , ""tr"" , ""en"")"),"Thank you to those who share our visit, service suggestions and demands to our visit during our assembly. These seizures held in the presence of all representatives of the nation are a saint task for us. https://t.co/x02qumqdba")</f>
        <v>Thank you to those who share our visit, service suggestions and demands to our visit during our assembly. These seizures held in the presence of all representatives of the nation are a saint task for us. https://t.co/x02qumqdba</v>
      </c>
    </row>
    <row r="197" spans="1:5" ht="15.75" customHeight="1" x14ac:dyDescent="0.25">
      <c r="A197" s="1" t="s">
        <v>394</v>
      </c>
      <c r="B197" s="1">
        <v>3946</v>
      </c>
      <c r="C197" s="3">
        <v>44503.849594907406</v>
      </c>
      <c r="D197" s="1" t="s">
        <v>395</v>
      </c>
      <c r="E197" s="4" t="str">
        <f ca="1">IFERROR(__xludf.DUMMYFUNCTION("GOOGLETRANSLATE(A197 , ""tr"" , ""en"")"),"The accident has been experienced in Trabzon Arsin. We have received the knowledge of traumatic trauma due to the floating soil. Emergency teams did the first intervention on the scene. Ventilated with ambulance helicopter call. The Faculty Hospital is 48"&amp;" km away at 11 minutes. Diagnosis: Left femur neck fracture. https://t.co/wgchf7yrxo")</f>
        <v>The accident has been experienced in Trabzon Arsin. We have received the knowledge of traumatic trauma due to the floating soil. Emergency teams did the first intervention on the scene. Ventilated with ambulance helicopter call. The Faculty Hospital is 48 km away at 11 minutes. Diagnosis: Left femur neck fracture. https://t.co/wgchf7yrxo</v>
      </c>
    </row>
    <row r="198" spans="1:5" ht="15.75" customHeight="1" x14ac:dyDescent="0.25">
      <c r="A198" s="1" t="s">
        <v>396</v>
      </c>
      <c r="B198" s="1">
        <v>2814</v>
      </c>
      <c r="C198" s="3">
        <v>44503.844768518517</v>
      </c>
      <c r="D198" s="1" t="s">
        <v>397</v>
      </c>
      <c r="E198" s="4" t="str">
        <f ca="1">IFERROR(__xludf.DUMMYFUNCTION("GOOGLETRANSLATE(A198 , ""tr"" , ""en"")"),"Rize passed over 75% of the second overdose vaccination rate. We have to reach this goal in all of our vaccine rate low. All 81 should be blue at a moment at a moment. Let's get up to speed.")</f>
        <v>Rize passed over 75% of the second overdose vaccination rate. We have to reach this goal in all of our vaccine rate low. All 81 should be blue at a moment at a moment. Let's get up to speed.</v>
      </c>
    </row>
    <row r="199" spans="1:5" ht="15.75" customHeight="1" x14ac:dyDescent="0.25">
      <c r="A199" s="1" t="s">
        <v>398</v>
      </c>
      <c r="B199" s="1">
        <v>4079</v>
      </c>
      <c r="C199" s="3">
        <v>44503.822557870371</v>
      </c>
      <c r="D199" s="1" t="s">
        <v>399</v>
      </c>
      <c r="E199" s="4" t="str">
        <f ca="1">IFERROR(__xludf.DUMMYFUNCTION("GOOGLETRANSLATE(A199 , ""tr"" , ""en"")"),"In the Board of Science; MRNA vaccine, decided to be eligible for 6 months to past 6 months. Priority groups; More than 60 years of age, between the ages of 16-60 and are employees in high-risk occupations mainly with their additional illness. https://t.c"&amp;"o/bf0ldjpb5a")</f>
        <v>In the Board of Science; MRNA vaccine, decided to be eligible for 6 months to past 6 months. Priority groups; More than 60 years of age, between the ages of 16-60 and are employees in high-risk occupations mainly with their additional illness. https://t.co/bf0ldjpb5a</v>
      </c>
    </row>
    <row r="200" spans="1:5" ht="15.75" customHeight="1" x14ac:dyDescent="0.25">
      <c r="A200" s="1" t="s">
        <v>400</v>
      </c>
      <c r="B200" s="1">
        <v>5733</v>
      </c>
      <c r="C200" s="3">
        <v>44503.81622685185</v>
      </c>
      <c r="D200" s="1" t="s">
        <v>401</v>
      </c>
      <c r="E200" s="4" t="str">
        <f ca="1">IFERROR(__xludf.DUMMYFUNCTION("GOOGLETRANSLATE(A200 , ""tr"" , ""en"")"),"From the tomorrow, the reminder dose will be applied to the MRNA vaccine to the risk groups. https://t.co/lesa8jd198")</f>
        <v>From the tomorrow, the reminder dose will be applied to the MRNA vaccine to the risk groups. https://t.co/lesa8jd198</v>
      </c>
    </row>
    <row r="201" spans="1:5" ht="15.75" customHeight="1" x14ac:dyDescent="0.25">
      <c r="A201" s="1" t="s">
        <v>402</v>
      </c>
      <c r="B201" s="1">
        <v>2378</v>
      </c>
      <c r="C201" s="3">
        <v>44503.747499999998</v>
      </c>
      <c r="D201" s="1" t="s">
        <v>403</v>
      </c>
      <c r="E201" s="4" t="str">
        <f ca="1">IFERROR(__xludf.DUMMYFUNCTION("GOOGLETRANSLATE(A201 , ""tr"" , ""en"")"),"We are the pioneer of public health discipline in our country. Dr. We lost the nusret flares in 1990, 3 November. We remember our medical growth in the socializing the sample services, respectively. https://t.co/q3hlgnkifp")</f>
        <v>We are the pioneer of public health discipline in our country. Dr. We lost the nusret flares in 1990, 3 November. We remember our medical growth in the socializing the sample services, respectively. https://t.co/q3hlgnkifp</v>
      </c>
    </row>
    <row r="202" spans="1:5" ht="15.75" customHeight="1" x14ac:dyDescent="0.25">
      <c r="A202" s="1" t="s">
        <v>404</v>
      </c>
      <c r="B202" s="1">
        <v>6234</v>
      </c>
      <c r="C202" s="3">
        <v>44503.312002314815</v>
      </c>
      <c r="D202" s="1" t="s">
        <v>405</v>
      </c>
      <c r="E202" s="4" t="str">
        <f ca="1">IFERROR(__xludf.DUMMYFUNCTION("GOOGLETRANSLATE(A202 , ""tr"" , ""en"")"),"""Assigning those who wait are right. The number will be explained in this month. ""
They asked your place, have answered https://t.co/vns68kmaxq")</f>
        <v>"Assigning those who wait are right. The number will be explained in this month. "
They asked your place, have answered https://t.co/vns68kmaxq</v>
      </c>
    </row>
    <row r="203" spans="1:5" ht="15.75" customHeight="1" x14ac:dyDescent="0.25">
      <c r="A203" s="1" t="s">
        <v>406</v>
      </c>
      <c r="B203" s="1">
        <v>2010</v>
      </c>
      <c r="C203" s="3">
        <v>44503.29414351852</v>
      </c>
      <c r="D203" s="1" t="s">
        <v>407</v>
      </c>
      <c r="E203" s="4" t="str">
        <f ca="1">IFERROR(__xludf.DUMMYFUNCTION("GOOGLETRANSLATE(A203 , ""tr"" , ""en"")"),"Project against SMA disease: Pre-Marriage Scan test
They asked your place, have answered https://t.co/ulgdeyptyd")</f>
        <v>Project against SMA disease: Pre-Marriage Scan test
They asked your place, have answered https://t.co/ulgdeyptyd</v>
      </c>
    </row>
    <row r="204" spans="1:5" ht="15.75" customHeight="1" x14ac:dyDescent="0.25">
      <c r="A204" s="1" t="s">
        <v>408</v>
      </c>
      <c r="B204" s="1">
        <v>1790</v>
      </c>
      <c r="C204" s="3">
        <v>44502.84611111111</v>
      </c>
      <c r="D204" s="1" t="s">
        <v>409</v>
      </c>
      <c r="E204" s="4" t="str">
        <f ca="1">IFERROR(__xludf.DUMMYFUNCTION("GOOGLETRANSLATE(A204 , ""tr"" , ""en"")"),"Turkovac's serial production and voluntary need
They asked your place, have answered https://t.co/yukbkrrmqg")</f>
        <v>Turkovac's serial production and voluntary need
They asked your place, have answered https://t.co/yukbkrrmqg</v>
      </c>
    </row>
    <row r="205" spans="1:5" ht="15.75" customHeight="1" x14ac:dyDescent="0.25">
      <c r="A205" s="1" t="s">
        <v>410</v>
      </c>
      <c r="B205" s="1">
        <v>1738</v>
      </c>
      <c r="C205" s="3">
        <v>44502.839849537035</v>
      </c>
      <c r="D205" s="1" t="s">
        <v>411</v>
      </c>
      <c r="E205" s="4" t="str">
        <f ca="1">IFERROR(__xludf.DUMMYFUNCTION("GOOGLETRANSLATE(A205 , ""tr"" , ""en"")"),"3rd dose practice in mRNA vaccine
They asked your place, we answered https://t.co/la0szwgye6")</f>
        <v>3rd dose practice in mRNA vaccine
They asked your place, we answered https://t.co/la0szwgye6</v>
      </c>
    </row>
    <row r="206" spans="1:5" ht="15.75" customHeight="1" x14ac:dyDescent="0.25">
      <c r="A206" s="1" t="s">
        <v>412</v>
      </c>
      <c r="B206" s="1">
        <v>1450</v>
      </c>
      <c r="C206" s="3">
        <v>44502.833958333336</v>
      </c>
      <c r="D206" s="1" t="s">
        <v>413</v>
      </c>
      <c r="E206" s="4" t="str">
        <f ca="1">IFERROR(__xludf.DUMMYFUNCTION("GOOGLETRANSLATE(A206 , ""tr"" , ""en"")"),"Vaccination application in terms of under 18 years of age
They asked your place, have answered https://t.co/hnxerkoojz")</f>
        <v>Vaccination application in terms of under 18 years of age
They asked your place, have answered https://t.co/hnxerkoojz</v>
      </c>
    </row>
    <row r="207" spans="1:5" ht="15.75" customHeight="1" x14ac:dyDescent="0.25">
      <c r="A207" s="1" t="s">
        <v>414</v>
      </c>
      <c r="B207" s="1">
        <v>1475</v>
      </c>
      <c r="C207" s="3">
        <v>44502.826851851853</v>
      </c>
      <c r="D207" s="1" t="s">
        <v>415</v>
      </c>
      <c r="E207" s="4" t="str">
        <f ca="1">IFERROR(__xludf.DUMMYFUNCTION("GOOGLETRANSLATE(A207 , ""tr"" , ""en"")"),"The result and meaning of random PCR scan in schools
They asked your place, we answered https://t.co/o8xxtllijy")</f>
        <v>The result and meaning of random PCR scan in schools
They asked your place, we answered https://t.co/o8xxtllijy</v>
      </c>
    </row>
    <row r="208" spans="1:5" ht="15.75" customHeight="1" x14ac:dyDescent="0.25">
      <c r="A208" s="1" t="s">
        <v>416</v>
      </c>
      <c r="B208" s="1">
        <v>2737</v>
      </c>
      <c r="C208" s="3">
        <v>44502.822442129633</v>
      </c>
      <c r="D208" s="1" t="s">
        <v>417</v>
      </c>
      <c r="E208" s="4" t="str">
        <f ca="1">IFERROR(__xludf.DUMMYFUNCTION("GOOGLETRANSLATE(A208 , ""tr"" , ""en"")"),"Two shutdowns are also completely likelihood
They asked your place, we answered https://t.co/mxwaagzq4u")</f>
        <v>Two shutdowns are also completely likelihood
They asked your place, we answered https://t.co/mxwaagzq4u</v>
      </c>
    </row>
    <row r="209" spans="1:5" ht="15.75" customHeight="1" x14ac:dyDescent="0.25">
      <c r="A209" s="1" t="s">
        <v>418</v>
      </c>
      <c r="B209" s="1">
        <v>2104</v>
      </c>
      <c r="C209" s="3">
        <v>44502.816886574074</v>
      </c>
      <c r="D209" s="1" t="s">
        <v>419</v>
      </c>
      <c r="E209" s="4" t="str">
        <f ca="1">IFERROR(__xludf.DUMMYFUNCTION("GOOGLETRANSLATE(A209 , ""tr"" , ""en"")"),"Will improvements in reform value for assistant physicians
They asked your place, have answered https://t.co/fuz5nnsb9v")</f>
        <v>Will improvements in reform value for assistant physicians
They asked your place, have answered https://t.co/fuz5nnsb9v</v>
      </c>
    </row>
    <row r="210" spans="1:5" ht="15.75" customHeight="1" x14ac:dyDescent="0.25">
      <c r="A210" s="1" t="s">
        <v>420</v>
      </c>
      <c r="B210" s="1">
        <v>3320</v>
      </c>
      <c r="C210" s="3">
        <v>44502.810520833336</v>
      </c>
      <c r="D210" s="1" t="s">
        <v>421</v>
      </c>
      <c r="E210" s="4" t="str">
        <f ca="1">IFERROR(__xludf.DUMMYFUNCTION("GOOGLETRANSLATE(A210 , ""tr"" , ""en"")"),"Kütahya has passed over 75% in the second overdose of the second overdose. We have to reach this goal in all of our vaccine rate low.")</f>
        <v>Kütahya has passed over 75% in the second overdose of the second overdose. We have to reach this goal in all of our vaccine rate low.</v>
      </c>
    </row>
    <row r="211" spans="1:5" ht="15.75" customHeight="1" x14ac:dyDescent="0.25">
      <c r="A211" s="1" t="s">
        <v>422</v>
      </c>
      <c r="B211" s="1">
        <v>4505</v>
      </c>
      <c r="C211" s="3">
        <v>44502.720439814817</v>
      </c>
      <c r="D211" s="1" t="s">
        <v>423</v>
      </c>
      <c r="E211" s="4" t="str">
        <f ca="1">IFERROR(__xludf.DUMMYFUNCTION("GOOGLETRANSLATE(A211 , ""tr"" , ""en"")"),"Our first dose rate in the population of 18 years or older is close to 90%. Our second dose rate is at 79%. There are 11 points difference between the two. We have to turn off this difference. We have no doubt that the vaccine makes the process stable and"&amp;" reduces life losses. But the only dose is insufficient to get results! https://t.co/nm2tflmupe")</f>
        <v>Our first dose rate in the population of 18 years or older is close to 90%. Our second dose rate is at 79%. There are 11 points difference between the two. We have to turn off this difference. We have no doubt that the vaccine makes the process stable and reduces life losses. But the only dose is insufficient to get results! https://t.co/nm2tflmupe</v>
      </c>
    </row>
    <row r="212" spans="1:5" ht="15.75" customHeight="1" x14ac:dyDescent="0.25">
      <c r="A212" s="1" t="s">
        <v>424</v>
      </c>
      <c r="B212" s="1">
        <v>2143</v>
      </c>
      <c r="C212" s="3">
        <v>44502.519097222219</v>
      </c>
      <c r="D212" s="1" t="s">
        <v>425</v>
      </c>
      <c r="E212" s="4" t="str">
        <f ca="1">IFERROR(__xludf.DUMMYFUNCTION("GOOGLETRANSLATE(A212 , ""tr"" , ""en"")"),"16-22 October between Case Density The most increasing 10 of our previous week: Yalova, Tunceli, Edirne, Balikesir, Canakkale, Tekirdag, Kocaeli, Amasya, Osmaniye, Kırşehir. https://t.co/oggtncemp3")</f>
        <v>16-22 October between Case Density The most increasing 10 of our previous week: Yalova, Tunceli, Edirne, Balikesir, Canakkale, Tekirdag, Kocaeli, Amasya, Osmaniye, Kırşehir. https://t.co/oggtncemp3</v>
      </c>
    </row>
    <row r="213" spans="1:5" ht="15.75" customHeight="1" x14ac:dyDescent="0.25">
      <c r="A213" s="1" t="s">
        <v>426</v>
      </c>
      <c r="B213" s="1">
        <v>3126</v>
      </c>
      <c r="C213" s="3">
        <v>44502.507430555554</v>
      </c>
      <c r="D213" s="1" t="s">
        <v>427</v>
      </c>
      <c r="E213" s="4" t="str">
        <f ca="1">IFERROR(__xludf.DUMMYFUNCTION("GOOGLETRANSLATE(A213 , ""tr"" , ""en"")"),"From October 16-22, in 100,000 people, in 100,000 people, the total number of new Covid-19 cases was on Provincial basis? You can learn the situation in the province where you are experiencing, from our weekly incidence map. https://t.co/bjakpohw29")</f>
        <v>From October 16-22, in 100,000 people, in 100,000 people, the total number of new Covid-19 cases was on Provincial basis? You can learn the situation in the province where you are experiencing, from our weekly incidence map. https://t.co/bjakpohw29</v>
      </c>
    </row>
    <row r="214" spans="1:5" ht="15.75" customHeight="1" x14ac:dyDescent="0.25">
      <c r="A214" s="1" t="s">
        <v>428</v>
      </c>
      <c r="B214" s="1">
        <v>3818</v>
      </c>
      <c r="C214" s="3">
        <v>44501.770775462966</v>
      </c>
      <c r="D214" s="1" t="s">
        <v>429</v>
      </c>
      <c r="E214" s="4" t="str">
        <f ca="1">IFERROR(__xludf.DUMMYFUNCTION("GOOGLETRANSLATE(A214 , ""tr"" , ""en"")"),"Elazig crossed over 65% in the second dose vaccine rate. In all provinces of the vaccine rate, we should reach 75% target.
Latest ones, let's plasting arms tomorrow.")</f>
        <v>Elazig crossed over 65% in the second dose vaccine rate. In all provinces of the vaccine rate, we should reach 75% target.
Latest ones, let's plasting arms tomorrow.</v>
      </c>
    </row>
    <row r="215" spans="1:5" ht="15.75" customHeight="1" x14ac:dyDescent="0.25">
      <c r="A215" s="1" t="s">
        <v>430</v>
      </c>
      <c r="B215" s="1">
        <v>1918</v>
      </c>
      <c r="C215" s="3">
        <v>44501.731770833336</v>
      </c>
      <c r="D215" s="1" t="s">
        <v>431</v>
      </c>
      <c r="E215" s="4" t="str">
        <f ca="1">IFERROR(__xludf.DUMMYFUNCTION("GOOGLETRANSLATE(A215 , ""tr"" , ""en"")"),"98 years in the Republic
Firsts with white aprons
They were very forward from us in some maintenance. Even to understand what inspires them. We were able to place in the name of very few below. There is a lot of these firsts. Will be more! White-Prints, l"&amp;"et's watch: https://t.co/1cge9bawl0")</f>
        <v>98 years in the Republic
Firsts with white aprons
They were very forward from us in some maintenance. Even to understand what inspires them. We were able to place in the name of very few below. There is a lot of these firsts. Will be more! White-Prints, let's watch: https://t.co/1cge9bawl0</v>
      </c>
    </row>
    <row r="216" spans="1:5" ht="15.75" customHeight="1" x14ac:dyDescent="0.25">
      <c r="A216" s="1" t="s">
        <v>432</v>
      </c>
      <c r="B216" s="1">
        <v>4733</v>
      </c>
      <c r="C216" s="3">
        <v>44501.715474537035</v>
      </c>
      <c r="D216" s="1" t="s">
        <v>433</v>
      </c>
      <c r="E216" s="4" t="str">
        <f ca="1">IFERROR(__xludf.DUMMYFUNCTION("GOOGLETRANSLATE(A216 , ""tr"" , ""en"")"),"Some of whom the expected conclusion of the vaccine cannot be received. The case numbers may exceed 30 thousand, although the second overdose ratio passes 75%. Whereas there is an important result provided by vaccine. We no longer see quick climbs and pea"&amp;"ks. Stable instead of dramatic craven, have an easy course of control. https://t.co/ta6bir5IDV")</f>
        <v>Some of whom the expected conclusion of the vaccine cannot be received. The case numbers may exceed 30 thousand, although the second overdose ratio passes 75%. Whereas there is an important result provided by vaccine. We no longer see quick climbs and peaks. Stable instead of dramatic craven, have an easy course of control. https://t.co/ta6bir5IDV</v>
      </c>
    </row>
    <row r="217" spans="1:5" ht="15.75" customHeight="1" x14ac:dyDescent="0.25">
      <c r="A217" s="1" t="s">
        <v>434</v>
      </c>
      <c r="B217" s="1">
        <v>16098</v>
      </c>
      <c r="C217" s="3">
        <v>44501.273252314815</v>
      </c>
      <c r="D217" s="1" t="s">
        <v>435</v>
      </c>
      <c r="E217" s="4" t="str">
        <f ca="1">IFERROR(__xludf.DUMMYFUNCTION("GOOGLETRANSLATE(A217 , ""tr"" , ""en"")"),"I've run into a news that promises as likely to close schools. The news is wrong. Our Science Board has no such agenda. The Board member is misunderstood when the expression he chose while stressing the importance of a friend's vaccination. We wish our st"&amp;"udents full of success.")</f>
        <v>I've run into a news that promises as likely to close schools. The news is wrong. Our Science Board has no such agenda. The Board member is misunderstood when the expression he chose while stressing the importance of a friend's vaccination. We wish our students full of success.</v>
      </c>
    </row>
    <row r="218" spans="1:5" ht="15.75" customHeight="1" x14ac:dyDescent="0.25">
      <c r="A218" s="1" t="s">
        <v>436</v>
      </c>
      <c r="B218" s="1">
        <v>4445</v>
      </c>
      <c r="C218" s="3">
        <v>44500.686469907407</v>
      </c>
      <c r="D218" s="1" t="s">
        <v>437</v>
      </c>
      <c r="E218" s="4" t="str">
        <f ca="1">IFERROR(__xludf.DUMMYFUNCTION("GOOGLETRANSLATE(A218 , ""tr"" , ""en"")"),"Approximately 3 million people have not yet done the third overdose from the time. Scientists are referred to in the form of the third dose of protection shield. Have your third overdose. 3. If you are healthy in 18-59 and you can choose Turkovac for the "&amp;"dose. https://t.co/e8uh4tln81 https://t.co/afcuyrs2xa")</f>
        <v>Approximately 3 million people have not yet done the third overdose from the time. Scientists are referred to in the form of the third dose of protection shield. Have your third overdose. 3. If you are healthy in 18-59 and you can choose Turkovac for the dose. https://t.co/e8uh4tln81 https://t.co/afcuyrs2xa</v>
      </c>
    </row>
    <row r="219" spans="1:5" ht="15.75" customHeight="1" x14ac:dyDescent="0.25">
      <c r="A219" s="1" t="s">
        <v>438</v>
      </c>
      <c r="B219" s="1">
        <v>25781</v>
      </c>
      <c r="C219" s="3">
        <v>44500.58871527778</v>
      </c>
      <c r="D219" s="1" t="s">
        <v>439</v>
      </c>
      <c r="E219" s="4" t="str">
        <f ca="1">IFERROR(__xludf.DUMMYFUNCTION("GOOGLETRANSLATE(A219 , ""tr"" , ""en"")"),"Our dog sultan has fertilized our lives with the sevenfish brought to the world. Those who saw, mother-fathered spells :) said. We will put a little bit of magic names. Our other dog is the excitement, not aware of the event for now. https://t.co/clrf5cf6"&amp;"k1")</f>
        <v>Our dog sultan has fertilized our lives with the sevenfish brought to the world. Those who saw, mother-fathered spells :) said. We will put a little bit of magic names. Our other dog is the excitement, not aware of the event for now. https://t.co/clrf5cf6k1</v>
      </c>
    </row>
    <row r="220" spans="1:5" ht="15.75" customHeight="1" x14ac:dyDescent="0.25">
      <c r="A220" s="1" t="s">
        <v>440</v>
      </c>
      <c r="B220" s="1">
        <v>4064</v>
      </c>
      <c r="C220" s="3">
        <v>44499.687025462961</v>
      </c>
      <c r="D220" s="1" t="s">
        <v>441</v>
      </c>
      <c r="E220" s="4" t="str">
        <f ca="1">IFERROR(__xludf.DUMMYFUNCTION("GOOGLETRANSLATE(A220 , ""tr"" , ""en"")"),"October 30, 2020 Izmir earthquake had jerked all of us. We have 117 people in the earthquake. A disaster that leads to destruction at a time! Their losses; The disease, the process cannot be held of course with known deaths. But remember: only the current"&amp;" passage count 203. It should be prevented the measurements possible to prevent. https://t.co/gssywbelo2")</f>
        <v>October 30, 2020 Izmir earthquake had jerked all of us. We have 117 people in the earthquake. A disaster that leads to destruction at a time! Their losses; The disease, the process cannot be held of course with known deaths. But remember: only the current passage count 203. It should be prevented the measurements possible to prevent. https://t.co/gssywbelo2</v>
      </c>
    </row>
    <row r="221" spans="1:5" ht="15.75" customHeight="1" x14ac:dyDescent="0.25">
      <c r="A221" s="1" t="s">
        <v>442</v>
      </c>
      <c r="B221" s="1">
        <v>5533</v>
      </c>
      <c r="C221" s="3">
        <v>44499.624918981484</v>
      </c>
      <c r="D221" s="1" t="s">
        <v>443</v>
      </c>
      <c r="E221" s="4" t="str">
        <f ca="1">IFERROR(__xludf.DUMMYFUNCTION("GOOGLETRANSLATE(A221 , ""tr"" , ""en"")"),"We remember her elif baby. The name is elif perinçek, grown, full of prospects. In the Izmir earthquake last year, we were recovered at 65 hours from the wreckage of the born apartment. We wish our 117 people in Allah. Our pain is fresh. Sorry for your lo"&amp;"ss. https://t.co/gclvoyryji")</f>
        <v>We remember her elif baby. The name is elif perinçek, grown, full of prospects. In the Izmir earthquake last year, we were recovered at 65 hours from the wreckage of the born apartment. We wish our 117 people in Allah. Our pain is fresh. Sorry for your loss. https://t.co/gclvoyryji</v>
      </c>
    </row>
    <row r="222" spans="1:5" ht="15.75" customHeight="1" x14ac:dyDescent="0.25">
      <c r="A222" s="1" t="s">
        <v>444</v>
      </c>
      <c r="B222" s="1">
        <v>5153</v>
      </c>
      <c r="C222" s="3">
        <v>44499.620092592595</v>
      </c>
      <c r="D222" s="1" t="s">
        <v>445</v>
      </c>
      <c r="E222" s="4" t="str">
        <f ca="1">IFERROR(__xludf.DUMMYFUNCTION("GOOGLETRANSLATE(A222 , ""tr"" , ""en"")"),"We remember her baby in the month. The name is the traveler, a huge girl. Last year, the Izmir earthquake in the Izmir earthquake was recovered in 91 hours of the debris of the Riza Bey apartment. We wish our 117 people in Allah. Sorry for your loss. Take"&amp;"s the power of life from hopes. https://t.co/e1fqdkzhf3")</f>
        <v>We remember her baby in the month. The name is the traveler, a huge girl. Last year, the Izmir earthquake in the Izmir earthquake was recovered in 91 hours of the debris of the Riza Bey apartment. We wish our 117 people in Allah. Sorry for your loss. Takes the power of life from hopes. https://t.co/e1fqdkzhf3</v>
      </c>
    </row>
    <row r="223" spans="1:5" ht="15.75" customHeight="1" x14ac:dyDescent="0.25">
      <c r="A223" s="1" t="s">
        <v>446</v>
      </c>
      <c r="B223" s="1">
        <v>2980</v>
      </c>
      <c r="C223" s="3">
        <v>44499.596030092594</v>
      </c>
      <c r="D223" s="1" t="s">
        <v>447</v>
      </c>
      <c r="E223" s="4" t="str">
        <f ca="1">IFERROR(__xludf.DUMMYFUNCTION("GOOGLETRANSLATE(A223 , ""tr"" , ""en"")"),"""Would you hold my hand?""
In the October 30 İzmir earthquake, the recovery memory of Umke personnel with Eda and Pearl is still in our ears. We know that they are gathered in the past time. As they are talking, the pearl violin stolen. Takes the power o"&amp;"f life from hope.
 https://t.co/v6kebtly5I")</f>
        <v>"Would you hold my hand?"
In the October 30 İzmir earthquake, the recovery memory of Umke personnel with Eda and Pearl is still in our ears. We know that they are gathered in the past time. As they are talking, the pearl violin stolen. Takes the power of life from hope.
 https://t.co/v6kebtly5I</v>
      </c>
    </row>
    <row r="224" spans="1:5" ht="15.75" customHeight="1" x14ac:dyDescent="0.25">
      <c r="A224" s="1" t="s">
        <v>448</v>
      </c>
      <c r="B224" s="1">
        <v>3469</v>
      </c>
      <c r="C224" s="3">
        <v>44498.743518518517</v>
      </c>
      <c r="D224" s="1" t="s">
        <v>449</v>
      </c>
      <c r="E224" s="4" t="str">
        <f ca="1">IFERROR(__xludf.DUMMYFUNCTION("GOOGLETRANSLATE(A224 , ""tr"" , ""en"")"),"Kırıkkale was over 75% of the second dose vaccine rate. We have to reach this goal in all of our vaccine rate low.")</f>
        <v>Kırıkkale was over 75% of the second dose vaccine rate. We have to reach this goal in all of our vaccine rate low.</v>
      </c>
    </row>
    <row r="225" spans="1:5" ht="15.75" customHeight="1" x14ac:dyDescent="0.25">
      <c r="A225" s="1" t="s">
        <v>450</v>
      </c>
      <c r="B225" s="1">
        <v>6061</v>
      </c>
      <c r="C225" s="3">
        <v>44498.700821759259</v>
      </c>
      <c r="D225" s="1" t="s">
        <v>451</v>
      </c>
      <c r="E225" s="4" t="str">
        <f ca="1">IFERROR(__xludf.DUMMYFUNCTION("GOOGLETRANSLATE(A225 , ""tr"" , ""en"")"),"Pregnant deaths were increased by 52% compared to the pre-epidemic in 2020. If this year we lost 50% more mothers for the last year with Covid-19. It was 99% of the pregnant women we lost. The rate of vaccination in pregnant women is quite very low. Babie"&amp;"s should be born, mothers should live https://t.co/jsbbzneusd")</f>
        <v>Pregnant deaths were increased by 52% compared to the pre-epidemic in 2020. If this year we lost 50% more mothers for the last year with Covid-19. It was 99% of the pregnant women we lost. The rate of vaccination in pregnant women is quite very low. Babies should be born, mothers should live https://t.co/jsbbzneusd</v>
      </c>
    </row>
    <row r="226" spans="1:5" ht="15.75" customHeight="1" x14ac:dyDescent="0.25">
      <c r="A226" s="1" t="s">
        <v>452</v>
      </c>
      <c r="B226" s="1">
        <v>2999</v>
      </c>
      <c r="C226" s="3">
        <v>44498.503425925926</v>
      </c>
      <c r="D226" s="1" t="s">
        <v>453</v>
      </c>
      <c r="E226" s="4" t="str">
        <f ca="1">IFERROR(__xludf.DUMMYFUNCTION("GOOGLETRANSLATE(A226 , ""tr"" , ""en"")"),"With the flag, Istiklal star, Nice 98 in the Republic of the Republic, Turkey!
The founder of our Republic is Mustafa Kemal Atatürk and he respects his friends with respect, we celebrate our Republic Day 84 million. https://t.co/qhth6vomph")</f>
        <v>With the flag, Istiklal star, Nice 98 in the Republic of the Republic, Turkey!
The founder of our Republic is Mustafa Kemal Atatürk and he respects his friends with respect, we celebrate our Republic Day 84 million. https://t.co/qhth6vomph</v>
      </c>
    </row>
    <row r="227" spans="1:5" ht="15.75" customHeight="1" x14ac:dyDescent="0.25">
      <c r="A227" s="1" t="s">
        <v>454</v>
      </c>
      <c r="B227" s="1">
        <v>2904</v>
      </c>
      <c r="C227" s="3">
        <v>44498.481342592589</v>
      </c>
      <c r="D227" s="1" t="s">
        <v>455</v>
      </c>
      <c r="E227" s="4" t="str">
        <f ca="1">IFERROR(__xludf.DUMMYFUNCTION("GOOGLETRANSLATE(A227 , ""tr"" , ""en"")"),"We are in the 98th year of the Republic with the excitement of his first day. As health workers, we celebrate your October 29 Republic Day. https://t.co/nj0vfoso39")</f>
        <v>We are in the 98th year of the Republic with the excitement of his first day. As health workers, we celebrate your October 29 Republic Day. https://t.co/nj0vfoso39</v>
      </c>
    </row>
    <row r="228" spans="1:5" ht="15.75" customHeight="1" x14ac:dyDescent="0.25">
      <c r="A228" s="1" t="s">
        <v>456</v>
      </c>
      <c r="B228" s="1">
        <v>2788</v>
      </c>
      <c r="C228" s="3">
        <v>44497.789606481485</v>
      </c>
      <c r="D228" s="1" t="s">
        <v>457</v>
      </c>
      <c r="E228" s="4" t="str">
        <f ca="1">IFERROR(__xludf.DUMMYFUNCTION("GOOGLETRANSLATE(A228 , ""tr"" , ""en"")"),"His terror targeting our country K. In the operation in Iraq, the incumbent exceeds. Ç. Our Harun hardworking brother has fallen in martyr. Mercy from Allah to himself; I wish her family, herself to our condolences. The Union and Together is our task agai"&amp;"nst our martyrs that gave a liability. https://t.co/s2liwzkt3y")</f>
        <v>His terror targeting our country K. In the operation in Iraq, the incumbent exceeds. Ç. Our Harun hardworking brother has fallen in martyr. Mercy from Allah to himself; I wish her family, herself to our condolences. The Union and Together is our task against our martyrs that gave a liability. https://t.co/s2liwzkt3y</v>
      </c>
    </row>
    <row r="229" spans="1:5" ht="15.75" customHeight="1" x14ac:dyDescent="0.25">
      <c r="A229" s="1" t="s">
        <v>458</v>
      </c>
      <c r="B229" s="1">
        <v>4816</v>
      </c>
      <c r="C229" s="3">
        <v>44497.691828703704</v>
      </c>
      <c r="D229" s="1" t="s">
        <v>459</v>
      </c>
      <c r="E229" s="4" t="str">
        <f ca="1">IFERROR(__xludf.DUMMYFUNCTION("GOOGLETRANSLATE(A229 , ""tr"" , ""en"")"),"Adana crossed over 75% in the second overdose rate. We have to reach this goal in all of our vaccine rate low.")</f>
        <v>Adana crossed over 75% in the second overdose rate. We have to reach this goal in all of our vaccine rate low.</v>
      </c>
    </row>
    <row r="230" spans="1:5" ht="15.75" customHeight="1" x14ac:dyDescent="0.25">
      <c r="A230" s="1" t="s">
        <v>460</v>
      </c>
      <c r="B230" s="1">
        <v>3687</v>
      </c>
      <c r="C230" s="3">
        <v>44497.68478009259</v>
      </c>
      <c r="D230" s="1" t="s">
        <v>461</v>
      </c>
      <c r="E230" s="4" t="str">
        <f ca="1">IFERROR(__xludf.DUMMYFUNCTION("GOOGLETRANSLATE(A230 , ""tr"" , ""en"")"),"25.528 The test was positive. 229 people lost their life of the disease. The second overdose rate is increasing in low speed in our 42 provinces below 75%. We know that the vaccine reduces the risk. Have your vaccine at a moment. On behalf of those who va"&amp;"lue you, please. https://t.co/9wo8iiwk92")</f>
        <v>25.528 The test was positive. 229 people lost their life of the disease. The second overdose rate is increasing in low speed in our 42 provinces below 75%. We know that the vaccine reduces the risk. Have your vaccine at a moment. On behalf of those who value you, please. https://t.co/9wo8iiwk92</v>
      </c>
    </row>
    <row r="231" spans="1:5" ht="15.75" customHeight="1" x14ac:dyDescent="0.25">
      <c r="A231" s="1" t="s">
        <v>462</v>
      </c>
      <c r="B231" s="1">
        <v>3096</v>
      </c>
      <c r="C231" s="3">
        <v>44497.341736111113</v>
      </c>
      <c r="D231" s="1" t="s">
        <v>463</v>
      </c>
      <c r="E231" s="4" t="str">
        <f ca="1">IFERROR(__xludf.DUMMYFUNCTION("GOOGLETRANSLATE(A231 , ""tr"" , ""en"")"),"Tunceli passed over 75% in the second overdose rate of the second overdose. We have to reach this goal in all of our vaccine rate low.")</f>
        <v>Tunceli passed over 75% in the second overdose rate of the second overdose. We have to reach this goal in all of our vaccine rate low.</v>
      </c>
    </row>
    <row r="232" spans="1:5" ht="15.75" customHeight="1" x14ac:dyDescent="0.25">
      <c r="A232" s="1" t="s">
        <v>464</v>
      </c>
      <c r="B232" s="1">
        <v>1654</v>
      </c>
      <c r="C232" s="3">
        <v>44497.293958333335</v>
      </c>
      <c r="D232" s="1" t="s">
        <v>465</v>
      </c>
      <c r="E232" s="4" t="str">
        <f ca="1">IFERROR(__xludf.DUMMYFUNCTION("GOOGLETRANSLATE(A232 , ""tr"" , ""en"")"),"Science Board Agenda, Covid-19 and Turkey https://t.co/cpbwrn1gqs")</f>
        <v>Science Board Agenda, Covid-19 and Turkey https://t.co/cpbwrn1gqs</v>
      </c>
    </row>
    <row r="233" spans="1:5" ht="15.75" customHeight="1" x14ac:dyDescent="0.25">
      <c r="A233" s="1" t="s">
        <v>466</v>
      </c>
      <c r="B233" s="1">
        <v>4138</v>
      </c>
      <c r="C233" s="3">
        <v>44496.854224537034</v>
      </c>
      <c r="D233" s="1" t="s">
        <v>467</v>
      </c>
      <c r="E233" s="4" t="str">
        <f ca="1">IFERROR(__xludf.DUMMYFUNCTION("GOOGLETRANSLATE(A233 , ""tr"" , ""en"")"),"Healthcasses Agenda
New assignments https://t.co/sdjegb4472")</f>
        <v>Healthcasses Agenda
New assignments https://t.co/sdjegb4472</v>
      </c>
    </row>
    <row r="234" spans="1:5" ht="15.75" customHeight="1" x14ac:dyDescent="0.25">
      <c r="A234" s="1" t="s">
        <v>468</v>
      </c>
      <c r="B234" s="1">
        <v>1540</v>
      </c>
      <c r="C234" s="3">
        <v>44496.849652777775</v>
      </c>
      <c r="D234" s="1" t="s">
        <v>469</v>
      </c>
      <c r="E234" s="4" t="str">
        <f ca="1">IFERROR(__xludf.DUMMYFUNCTION("GOOGLETRANSLATE(A234 , ""tr"" , ""en"")"),"Healthcasses Agenda
Improving economic conditions https://t.co/1g5qx5ne62")</f>
        <v>Healthcasses Agenda
Improving economic conditions https://t.co/1g5qx5ne62</v>
      </c>
    </row>
    <row r="235" spans="1:5" ht="15.75" customHeight="1" x14ac:dyDescent="0.25">
      <c r="A235" s="1" t="s">
        <v>470</v>
      </c>
      <c r="B235" s="1">
        <v>1361</v>
      </c>
      <c r="C235" s="3">
        <v>44496.844282407408</v>
      </c>
      <c r="D235" s="1" t="s">
        <v>471</v>
      </c>
      <c r="E235" s="4" t="str">
        <f ca="1">IFERROR(__xludf.DUMMYFUNCTION("GOOGLETRANSLATE(A235 , ""tr"" , ""en"")"),"Healthcasses Agenda
Violence against employees https://t.co/qjbepxohv4")</f>
        <v>Healthcasses Agenda
Violence against employees https://t.co/qjbepxohv4</v>
      </c>
    </row>
    <row r="236" spans="1:5" ht="15.75" customHeight="1" x14ac:dyDescent="0.25">
      <c r="A236" s="1" t="s">
        <v>472</v>
      </c>
      <c r="B236" s="1">
        <v>1471</v>
      </c>
      <c r="C236" s="3">
        <v>44496.839988425927</v>
      </c>
      <c r="D236" s="1" t="s">
        <v>473</v>
      </c>
      <c r="E236" s="4" t="str">
        <f ca="1">IFERROR(__xludf.DUMMYFUNCTION("GOOGLETRANSLATE(A236 , ""tr"" , ""en"")"),"Healthcasses Agenda
The first developments on seizures https://t.co/PTTHXUI7FU")</f>
        <v>Healthcasses Agenda
The first developments on seizures https://t.co/PTTHXUI7FU</v>
      </c>
    </row>
    <row r="237" spans="1:5" ht="15.75" customHeight="1" x14ac:dyDescent="0.25">
      <c r="A237" s="1" t="s">
        <v>474</v>
      </c>
      <c r="B237" s="1">
        <v>1749</v>
      </c>
      <c r="C237" s="3">
        <v>44496.836296296293</v>
      </c>
      <c r="D237" s="1" t="s">
        <v>475</v>
      </c>
      <c r="E237" s="4" t="str">
        <f ca="1">IFERROR(__xludf.DUMMYFUNCTION("GOOGLETRANSLATE(A237 , ""tr"" , ""en"")"),"Healthcasses Agenda
We will be following for reasonable seizure app https://t.co/wqoutm72e8")</f>
        <v>Healthcasses Agenda
We will be following for reasonable seizure app https://t.co/wqoutm72e8</v>
      </c>
    </row>
    <row r="238" spans="1:5" ht="15.75" customHeight="1" x14ac:dyDescent="0.25">
      <c r="A238" s="1" t="s">
        <v>476</v>
      </c>
      <c r="B238" s="1">
        <v>2718</v>
      </c>
      <c r="C238" s="3">
        <v>44496.829375000001</v>
      </c>
      <c r="D238" s="1" t="s">
        <v>477</v>
      </c>
      <c r="E238" s="4" t="str">
        <f ca="1">IFERROR(__xludf.DUMMYFUNCTION("GOOGLETRANSLATE(A238 , ""tr"" , ""en"")"),"Event that allows us all: Assistant Dr. Rumeysa Şen's death. https://t.co/4fxqrhuczj")</f>
        <v>Event that allows us all: Assistant Dr. Rumeysa Şen's death. https://t.co/4fxqrhuczj</v>
      </c>
    </row>
    <row r="239" spans="1:5" ht="15.75" customHeight="1" x14ac:dyDescent="0.25">
      <c r="A239" s="1" t="s">
        <v>478</v>
      </c>
      <c r="B239" s="1">
        <v>2552</v>
      </c>
      <c r="C239" s="3">
        <v>44496.726736111108</v>
      </c>
      <c r="D239" s="1" t="s">
        <v>479</v>
      </c>
      <c r="E239" s="4" t="str">
        <f ca="1">IFERROR(__xludf.DUMMYFUNCTION("GOOGLETRANSLATE(A239 , ""tr"" , ""en"")"),"In our present press statement, we have received the problems of our health workers. We share the agenda at the meeting of the Science Board as well as always.
video: https://t.co/RW4OBDISZ4")</f>
        <v>In our present press statement, we have received the problems of our health workers. We share the agenda at the meeting of the Science Board as well as always.
video: https://t.co/RW4OBDISZ4</v>
      </c>
    </row>
    <row r="240" spans="1:5" ht="15.75" customHeight="1" x14ac:dyDescent="0.25">
      <c r="A240" s="1" t="s">
        <v>480</v>
      </c>
      <c r="B240" s="1">
        <v>4288</v>
      </c>
      <c r="C240" s="3">
        <v>44496.688993055555</v>
      </c>
      <c r="D240" s="1" t="s">
        <v>481</v>
      </c>
      <c r="E240" s="4" t="str">
        <f ca="1">IFERROR(__xludf.DUMMYFUNCTION("GOOGLETRANSLATE(A240 , ""tr"" , ""en"")"),"26,896 tests were positively out. 210 people lost their life of the disease. Some of these deaths can be dependent on and avoided to meet multiple causes. For example, a factor that increases the risk of accompanying Covid-19 chronic diseases. The full do"&amp;"se vaccine reduces this risk. https://t.co/chispgkykj")</f>
        <v>26,896 tests were positively out. 210 people lost their life of the disease. Some of these deaths can be dependent on and avoided to meet multiple causes. For example, a factor that increases the risk of accompanying Covid-19 chronic diseases. The full dose vaccine reduces this risk. https://t.co/chispgkykj</v>
      </c>
    </row>
    <row r="241" spans="1:5" ht="15.75" customHeight="1" x14ac:dyDescent="0.25">
      <c r="A241" s="1" t="s">
        <v>482</v>
      </c>
      <c r="B241" s="1">
        <v>4736</v>
      </c>
      <c r="C241" s="3">
        <v>44495.739305555559</v>
      </c>
      <c r="D241" s="1" t="s">
        <v>483</v>
      </c>
      <c r="E241" s="4" t="str">
        <f ca="1">IFERROR(__xludf.DUMMYFUNCTION("GOOGLETRANSLATE(A241 , ""tr"" , ""en"")"),"Kocaeli passed over 75% in the second overdose rate rate. We have to reach this goal in all of our vaccine rate low.")</f>
        <v>Kocaeli passed over 75% in the second overdose rate rate. We have to reach this goal in all of our vaccine rate low.</v>
      </c>
    </row>
    <row r="242" spans="1:5" ht="15.75" customHeight="1" x14ac:dyDescent="0.25">
      <c r="A242" s="1" t="s">
        <v>484</v>
      </c>
      <c r="B242" s="1">
        <v>4331</v>
      </c>
      <c r="C242" s="3">
        <v>44495.705752314818</v>
      </c>
      <c r="D242" s="1" t="s">
        <v>485</v>
      </c>
      <c r="E242" s="4" t="str">
        <f ca="1">IFERROR(__xludf.DUMMYFUNCTION("GOOGLETRANSLATE(A242 , ""tr"" , ""en"")"),"Covid-19 is increasingly likely to be severe when he met with chronic diseases. The vaccine is greatly changing the table against this possibility. Be careful about the vaccine if you have chronic illness. Note that the desired result is taken when the do"&amp;"ses are full. https://t.co/n9kj4ne5op")</f>
        <v>Covid-19 is increasingly likely to be severe when he met with chronic diseases. The vaccine is greatly changing the table against this possibility. Be careful about the vaccine if you have chronic illness. Note that the desired result is taken when the doses are full. https://t.co/n9kj4ne5op</v>
      </c>
    </row>
    <row r="243" spans="1:5" ht="15.75" customHeight="1" x14ac:dyDescent="0.25">
      <c r="A243" s="1" t="s">
        <v>486</v>
      </c>
      <c r="B243" s="1">
        <v>3038</v>
      </c>
      <c r="C243" s="3">
        <v>44494.797395833331</v>
      </c>
      <c r="D243" s="1" t="s">
        <v>487</v>
      </c>
      <c r="E243" s="4" t="str">
        <f ca="1">IFERROR(__xludf.DUMMYFUNCTION("GOOGLETRANSLATE(A243 , ""tr"" , ""en"")"),"""I'm forty years old. I've hadn't been living until this age. If I knew that I'm going to be caught so bad I would love to have a vaccine. "" https://t.co/klpfhaigik")</f>
        <v>"I'm forty years old. I've hadn't been living until this age. If I knew that I'm going to be caught so bad I would love to have a vaccine. " https://t.co/klpfhaigik</v>
      </c>
    </row>
    <row r="244" spans="1:5" ht="15.75" customHeight="1" x14ac:dyDescent="0.25">
      <c r="A244" s="1" t="s">
        <v>488</v>
      </c>
      <c r="B244" s="1">
        <v>4690</v>
      </c>
      <c r="C244" s="3">
        <v>44494.774467592593</v>
      </c>
      <c r="D244" s="1" t="s">
        <v>489</v>
      </c>
      <c r="E244" s="4" t="str">
        <f ca="1">IFERROR(__xludf.DUMMYFUNCTION("GOOGLETRANSLATE(A244 , ""tr"" , ""en"")"),"Bursa was over 75% in the second dose vaccine rate, the blue, Şırnak was over 65% of the yellow category. We have to overcome the 75% target in all of our provinces.")</f>
        <v>Bursa was over 75% in the second dose vaccine rate, the blue, Şırnak was over 65% of the yellow category. We have to overcome the 75% target in all of our provinces.</v>
      </c>
    </row>
    <row r="245" spans="1:5" ht="15.75" customHeight="1" x14ac:dyDescent="0.25">
      <c r="A245" s="1" t="s">
        <v>490</v>
      </c>
      <c r="B245" s="1">
        <v>4160</v>
      </c>
      <c r="C245" s="3">
        <v>44494.759351851855</v>
      </c>
      <c r="D245" s="1" t="s">
        <v>491</v>
      </c>
      <c r="E245" s="4" t="str">
        <f ca="1">IFERROR(__xludf.DUMMYFUNCTION("GOOGLETRANSLATE(A245 , ""tr"" , ""en"")"),"The second overdose ratio is a social success that will be proud to pass 77.5% in Turkey. Currently, our 56 province is under the country average, the difference in some provinces is great. We should not forget that measures are important. https://t.co/te"&amp;"jrtqfsbt")</f>
        <v>The second overdose ratio is a social success that will be proud to pass 77.5% in Turkey. Currently, our 56 province is under the country average, the difference in some provinces is great. We should not forget that measures are important. https://t.co/tejrtqfsbt</v>
      </c>
    </row>
    <row r="246" spans="1:5" ht="15.75" customHeight="1" x14ac:dyDescent="0.25">
      <c r="A246" s="1" t="s">
        <v>492</v>
      </c>
      <c r="B246" s="1">
        <v>0</v>
      </c>
      <c r="C246" s="3">
        <v>44494.68346064815</v>
      </c>
      <c r="D246" s="1" t="s">
        <v>493</v>
      </c>
      <c r="E246" s="4" t="str">
        <f ca="1">IFERROR(__xludf.DUMMYFUNCTION("GOOGLETRANSLATE(A246 , ""tr"" , ""en"")"),"RT @rterdogan: Shouting Nation After Cabinet Meeting https://t.co/elfmgbwtcd")</f>
        <v>RT @rterdogan: Shouting Nation After Cabinet Meeting https://t.co/elfmgbwtcd</v>
      </c>
    </row>
    <row r="247" spans="1:5" ht="15.75" customHeight="1" x14ac:dyDescent="0.25">
      <c r="A247" s="1" t="s">
        <v>494</v>
      </c>
      <c r="B247" s="1">
        <v>4889</v>
      </c>
      <c r="C247" s="3">
        <v>44493.686805555553</v>
      </c>
      <c r="D247" s="1" t="s">
        <v>495</v>
      </c>
      <c r="E247" s="4" t="str">
        <f ca="1">IFERROR(__xludf.DUMMYFUNCTION("GOOGLETRANSLATE(A247 , ""tr"" , ""en"")"),"The table says symptoms seriously or lightly, 24,792 people from our call. We know that the grafted ones usually spend the disease. The vaccine is taking the body in advance. Be careful of the risks, make your vaccination also be strong from the beginning"&amp;" against the disease. https://t.co/wgh7brkzn8")</f>
        <v>The table says symptoms seriously or lightly, 24,792 people from our call. We know that the grafted ones usually spend the disease. The vaccine is taking the body in advance. Be careful of the risks, make your vaccination also be strong from the beginning against the disease. https://t.co/wgh7brkzn8</v>
      </c>
    </row>
    <row r="248" spans="1:5" ht="15.75" customHeight="1" x14ac:dyDescent="0.25">
      <c r="A248" s="1" t="s">
        <v>496</v>
      </c>
      <c r="B248" s="1">
        <v>3292</v>
      </c>
      <c r="C248" s="3">
        <v>44492.690208333333</v>
      </c>
      <c r="D248" s="1" t="s">
        <v>497</v>
      </c>
      <c r="E248" s="4" t="str">
        <f ca="1">IFERROR(__xludf.DUMMYFUNCTION("GOOGLETRANSLATE(A248 , ""tr"" , ""en"")"),"Data of the daily case numbers are around 28-30 thousand, the data of the final period of 28-30 thousand shows that 4,2 of every 1,000 cases require treatment. Pneumonia in patients is again 4.2% in this period. Our heavy patient rate compared to the numb"&amp;"er of cases is 6,6 per thousand. https://t.co/lb3p0hdplq")</f>
        <v>Data of the daily case numbers are around 28-30 thousand, the data of the final period of 28-30 thousand shows that 4,2 of every 1,000 cases require treatment. Pneumonia in patients is again 4.2% in this period. Our heavy patient rate compared to the number of cases is 6,6 per thousand. https://t.co/lb3p0hdplq</v>
      </c>
    </row>
    <row r="249" spans="1:5" ht="15.75" customHeight="1" x14ac:dyDescent="0.25">
      <c r="A249" s="1" t="s">
        <v>498</v>
      </c>
      <c r="B249" s="1">
        <v>5911</v>
      </c>
      <c r="C249" s="3">
        <v>44492.678576388891</v>
      </c>
      <c r="D249" s="1" t="s">
        <v>499</v>
      </c>
      <c r="E249" s="4" t="str">
        <f ca="1">IFERROR(__xludf.DUMMYFUNCTION("GOOGLETRANSLATE(A249 , ""tr"" , ""en"")"),"If you didn't have your vaccinations or you don't see the continued dose between your priority issues, talk to your acquaintances that have been living. Those who have the most realistic idea of ​​the vaccine are those wholmun to the Covid-19 with the hel"&amp;"p of vaccine. Please make your vaccines.")</f>
        <v>If you didn't have your vaccinations or you don't see the continued dose between your priority issues, talk to your acquaintances that have been living. Those who have the most realistic idea of ​​the vaccine are those wholmun to the Covid-19 with the help of vaccine. Please make your vaccines.</v>
      </c>
    </row>
    <row r="250" spans="1:5" ht="15.75" customHeight="1" x14ac:dyDescent="0.25">
      <c r="A250" s="1" t="s">
        <v>500</v>
      </c>
      <c r="B250" s="1">
        <v>2042</v>
      </c>
      <c r="C250" s="3">
        <v>44492.612430555557</v>
      </c>
      <c r="D250" s="1" t="s">
        <v>501</v>
      </c>
      <c r="E250" s="4" t="str">
        <f ca="1">IFERROR(__xludf.DUMMYFUNCTION("GOOGLETRANSLATE(A250 , ""tr"" , ""en"")"),"9-15 October between the previous week of the previous week of the most increasing 10 provinces: Kastamonu, Zonguldak, Karabük, Kilis, Tunceli, Ardahan, Cankiri, Kahramanmaras, Osmaniye, Erzincan. https://t.co/9tgawmx0vn")</f>
        <v>9-15 October between the previous week of the previous week of the most increasing 10 provinces: Kastamonu, Zonguldak, Karabük, Kilis, Tunceli, Ardahan, Cankiri, Kahramanmaras, Osmaniye, Erzincan. https://t.co/9tgawmx0vn</v>
      </c>
    </row>
    <row r="251" spans="1:5" ht="15.75" customHeight="1" x14ac:dyDescent="0.25">
      <c r="A251" s="1" t="s">
        <v>502</v>
      </c>
      <c r="B251" s="1">
        <v>3309</v>
      </c>
      <c r="C251" s="3">
        <v>44492.605833333335</v>
      </c>
      <c r="D251" s="1" t="s">
        <v>503</v>
      </c>
      <c r="E251" s="4" t="str">
        <f ca="1">IFERROR(__xludf.DUMMYFUNCTION("GOOGLETRANSLATE(A251 , ""tr"" , ""en"")"),"From October 9-15, where was a total of weekly new Covid-19 Cases in 100,000 people in 100,000 people. You can learn the situation in the province where you are experiencing, from our weekly incidence map. https://t.co/px3zgqwk9e")</f>
        <v>From October 9-15, where was a total of weekly new Covid-19 Cases in 100,000 people in 100,000 people. You can learn the situation in the province where you are experiencing, from our weekly incidence map. https://t.co/px3zgqwk9e</v>
      </c>
    </row>
    <row r="252" spans="1:5" ht="15.75" customHeight="1" x14ac:dyDescent="0.25">
      <c r="A252" s="1" t="s">
        <v>504</v>
      </c>
      <c r="B252" s="1">
        <v>2769</v>
      </c>
      <c r="C252" s="3">
        <v>44492.584664351853</v>
      </c>
      <c r="D252" s="1" t="s">
        <v>505</v>
      </c>
      <c r="E252" s="4" t="str">
        <f ca="1">IFERROR(__xludf.DUMMYFUNCTION("GOOGLETRANSLATE(A252 , ""tr"" , ""en"")"),"We are on the 10th anniversary of the van earthquake in October 23, 2011. We believe that our life-losing people are mercy, we believe that similar suffering will not be experienced. Earthquakes was the most cattle exams, our nation has always showed the "&amp;"unity and the association against the disasters. https://t.co/tf2xqkpigp")</f>
        <v>We are on the 10th anniversary of the van earthquake in October 23, 2011. We believe that our life-losing people are mercy, we believe that similar suffering will not be experienced. Earthquakes was the most cattle exams, our nation has always showed the unity and the association against the disasters. https://t.co/tf2xqkpigp</v>
      </c>
    </row>
    <row r="253" spans="1:5" ht="15.75" customHeight="1" x14ac:dyDescent="0.25">
      <c r="A253" s="1" t="s">
        <v>506</v>
      </c>
      <c r="B253" s="1">
        <v>3528</v>
      </c>
      <c r="C253" s="3">
        <v>44491.784583333334</v>
      </c>
      <c r="D253" s="1" t="s">
        <v>507</v>
      </c>
      <c r="E253" s="4" t="str">
        <f ca="1">IFERROR(__xludf.DUMMYFUNCTION("GOOGLETRANSLATE(A253 , ""tr"" , ""en"")"),"""Uncle Mehmet, we've come to you.""
We are doing the vaccines of our elders who will be forced to come to our health institutions and the vaccinations of those who need at home. https://t.co/23yf86moxy")</f>
        <v>"Uncle Mehmet, we've come to you."
We are doing the vaccines of our elders who will be forced to come to our health institutions and the vaccinations of those who need at home. https://t.co/23yf86moxy</v>
      </c>
    </row>
    <row r="254" spans="1:5" ht="15.75" customHeight="1" x14ac:dyDescent="0.25">
      <c r="A254" s="1" t="s">
        <v>508</v>
      </c>
      <c r="B254" s="1">
        <v>4907</v>
      </c>
      <c r="C254" s="3">
        <v>44491.699826388889</v>
      </c>
      <c r="D254" s="1" t="s">
        <v>509</v>
      </c>
      <c r="E254" s="4" t="str">
        <f ca="1">IFERROR(__xludf.DUMMYFUNCTION("GOOGLETRANSLATE(A254 , ""tr"" , ""en"")"),"According to the data of 1 month; 1.38% of the new cases are 0-4 years, 4,86% of the ages of 5-9 years, 16.24% from 10-14 years and 12.94% of the 15-19 age group. Accordingly, the rate of 19 years and gold in cases is 35.42%. But the virus does not lead t"&amp;"o the problem in this group generally. Our elders should be careful. https://t.co/rxjj9n5vxw")</f>
        <v>According to the data of 1 month; 1.38% of the new cases are 0-4 years, 4,86% of the ages of 5-9 years, 16.24% from 10-14 years and 12.94% of the 15-19 age group. Accordingly, the rate of 19 years and gold in cases is 35.42%. But the virus does not lead to the problem in this group generally. Our elders should be careful. https://t.co/rxjj9n5vxw</v>
      </c>
    </row>
    <row r="255" spans="1:5" ht="15.75" customHeight="1" x14ac:dyDescent="0.25">
      <c r="A255" s="1" t="s">
        <v>510</v>
      </c>
      <c r="B255" s="1">
        <v>3766</v>
      </c>
      <c r="C255" s="3">
        <v>44491.367615740739</v>
      </c>
      <c r="D255" s="1" t="s">
        <v>511</v>
      </c>
      <c r="E255" s="4" t="str">
        <f ca="1">IFERROR(__xludf.DUMMYFUNCTION("GOOGLETRANSLATE(A255 , ""tr"" , ""en"")"),"Your patients ""be your vaccine!"" give ears on their warnings. Scientists know the virus, the disease of the actual living. Most, who are missing no vaccines or vaccines. Please take your vaccine today.")</f>
        <v>Your patients "be your vaccine!" give ears on their warnings. Scientists know the virus, the disease of the actual living. Most, who are missing no vaccines or vaccines. Please take your vaccine today.</v>
      </c>
    </row>
    <row r="256" spans="1:5" ht="15.75" customHeight="1" x14ac:dyDescent="0.25">
      <c r="A256" s="1" t="s">
        <v>512</v>
      </c>
      <c r="B256" s="1">
        <v>9341</v>
      </c>
      <c r="C256" s="3">
        <v>44491.343287037038</v>
      </c>
      <c r="D256" s="1" t="s">
        <v>513</v>
      </c>
      <c r="E256" s="4" t="str">
        <f ca="1">IFERROR(__xludf.DUMMYFUNCTION("GOOGLETRANSLATE(A256 , ""tr"" , ""en"")"),"Although he has made their vaccinations, Covid-19 has been caught and ill. But none wish I wasn't the vaccination. Those who have the most realistic idea of ​​the vaccine are Covid-19 with the help of vaccination. Please take your vaccine today.")</f>
        <v>Although he has made their vaccinations, Covid-19 has been caught and ill. But none wish I wasn't the vaccination. Those who have the most realistic idea of ​​the vaccine are Covid-19 with the help of vaccination. Please take your vaccine today.</v>
      </c>
    </row>
    <row r="257" spans="1:5" ht="15.75" customHeight="1" x14ac:dyDescent="0.25">
      <c r="A257" s="1" t="s">
        <v>514</v>
      </c>
      <c r="B257" s="1">
        <v>4871</v>
      </c>
      <c r="C257" s="3">
        <v>44490.780856481484</v>
      </c>
      <c r="D257" s="1" t="s">
        <v>515</v>
      </c>
      <c r="E257" s="4" t="str">
        <f ca="1">IFERROR(__xludf.DUMMYFUNCTION("GOOGLETRANSLATE(A257 , ""tr"" , ""en"")"),"Trabzon is very close to blue.
Tunceli is very close to blue.
Bursa, so close to blue.
Idy is very close to the yellow.
We don't have the category changing the category today.")</f>
        <v>Trabzon is very close to blue.
Tunceli is very close to blue.
Bursa, so close to blue.
Idy is very close to the yellow.
We don't have the category changing the category today.</v>
      </c>
    </row>
    <row r="258" spans="1:5" ht="15.75" customHeight="1" x14ac:dyDescent="0.25">
      <c r="A258" s="1" t="s">
        <v>516</v>
      </c>
      <c r="B258" s="1">
        <v>1162</v>
      </c>
      <c r="C258" s="3">
        <v>44490.711539351854</v>
      </c>
      <c r="D258" s="1" t="s">
        <v>517</v>
      </c>
      <c r="E258" s="4" t="str">
        <f ca="1">IFERROR(__xludf.DUMMYFUNCTION("GOOGLETRANSLATE(A258 , ""tr"" , ""en"")"),"5.
We have a large number of citizens from the time of the second dose and reminder dose vaccines. They are required to complete their vaccines without time. This is first self-important behavior for all society first.
We are stable and insistent to your "&amp;"health in the fight against outbreak.")</f>
        <v>5.
We have a large number of citizens from the time of the second dose and reminder dose vaccines. They are required to complete their vaccines without time. This is first self-important behavior for all society first.
We are stable and insistent to your health in the fight against outbreak.</v>
      </c>
    </row>
    <row r="259" spans="1:5" ht="15.75" customHeight="1" x14ac:dyDescent="0.25">
      <c r="A259" s="1" t="s">
        <v>518</v>
      </c>
      <c r="B259" s="1">
        <v>1257</v>
      </c>
      <c r="C259" s="3">
        <v>44490.711527777778</v>
      </c>
      <c r="D259" s="1" t="s">
        <v>519</v>
      </c>
      <c r="E259" s="4" t="str">
        <f ca="1">IFERROR(__xludf.DUMMYFUNCTION("GOOGLETRANSLATE(A259 , ""tr"" , ""en"")"),"4.
Unfortunately, the propagation will continue until the community immunity is obtained. Currently, the level of vaccination is not assured for non-vaccines. ""Somehow others have become the vaccination I wouldn't be,"" The thought is wrong. The vaccine "&amp;"protects people with vaccines in the first degree.")</f>
        <v>4.
Unfortunately, the propagation will continue until the community immunity is obtained. Currently, the level of vaccination is not assured for non-vaccines. "Somehow others have become the vaccination I wouldn't be," The thought is wrong. The vaccine protects people with vaccines in the first degree.</v>
      </c>
    </row>
    <row r="260" spans="1:5" ht="15.75" customHeight="1" x14ac:dyDescent="0.25">
      <c r="A260" s="1" t="s">
        <v>520</v>
      </c>
      <c r="B260" s="1">
        <v>471</v>
      </c>
      <c r="C260" s="3">
        <v>44490.711527777778</v>
      </c>
      <c r="D260" s="1" t="s">
        <v>521</v>
      </c>
      <c r="E260" s="4" t="str">
        <f ca="1">IFERROR(__xludf.DUMMYFUNCTION("GOOGLETRANSLATE(A260 , ""tr"" , ""en"")"),"3.
Over 65 years old, in the first period of the epidemic. Currently there is no restriction but they should not forget they are in the risk group. It is vital if they completed their vaccinations. The vaccine is limited to the protection that it will pro"&amp;"vide if completed.")</f>
        <v>3.
Over 65 years old, in the first period of the epidemic. Currently there is no restriction but they should not forget they are in the risk group. It is vital if they completed their vaccinations. The vaccine is limited to the protection that it will provide if completed.</v>
      </c>
    </row>
    <row r="261" spans="1:5" ht="15.75" customHeight="1" x14ac:dyDescent="0.25">
      <c r="A261" s="1" t="s">
        <v>522</v>
      </c>
      <c r="B261" s="1">
        <v>524</v>
      </c>
      <c r="C261" s="3">
        <v>44490.711516203701</v>
      </c>
      <c r="D261" s="1" t="s">
        <v>523</v>
      </c>
      <c r="E261" s="4" t="str">
        <f ca="1">IFERROR(__xludf.DUMMYFUNCTION("GOOGLETRANSLATE(A261 , ""tr"" , ""en"")"),"2nd.
Teenagers have responsibilities against the bigger ones too fewer than they are sick. In the new period, the virus is known to be spread over young people. Therefore, they should be able to create a healthy educational environment and to protect fami"&amp;"ly circles.")</f>
        <v>2nd.
Teenagers have responsibilities against the bigger ones too fewer than they are sick. In the new period, the virus is known to be spread over young people. Therefore, they should be able to create a healthy educational environment and to protect family circles.</v>
      </c>
    </row>
    <row r="262" spans="1:5" ht="15.75" customHeight="1" x14ac:dyDescent="0.25">
      <c r="A262" s="1" t="s">
        <v>524</v>
      </c>
      <c r="B262" s="1">
        <v>4663</v>
      </c>
      <c r="C262" s="3">
        <v>44490.711516203701</v>
      </c>
      <c r="D262" s="1" t="s">
        <v>525</v>
      </c>
      <c r="E262" s="4" t="str">
        <f ca="1">IFERROR(__xludf.DUMMYFUNCTION("GOOGLETRANSLATE(A262 , ""tr"" , ""en"")"),"Status assessment, 1
The mean age of the cases fell. Nearly closely over 30 years of age. Our hospital capacity is not forced as a result of vaccination. The majority of Covid-19 patients lying in services with intensive care units are still elderly and t"&amp;"hose with chronic diseases. https://t.co/krcpmwhmro")</f>
        <v>Status assessment, 1
The mean age of the cases fell. Nearly closely over 30 years of age. Our hospital capacity is not forced as a result of vaccination. The majority of Covid-19 patients lying in services with intensive care units are still elderly and those with chronic diseases. https://t.co/krcpmwhmro</v>
      </c>
    </row>
    <row r="263" spans="1:5" ht="15.75" customHeight="1" x14ac:dyDescent="0.25">
      <c r="A263" s="1" t="s">
        <v>526</v>
      </c>
      <c r="B263" s="1">
        <v>3376</v>
      </c>
      <c r="C263" s="3">
        <v>44490.556944444441</v>
      </c>
      <c r="D263" s="1" t="s">
        <v>527</v>
      </c>
      <c r="E263" s="4" t="str">
        <f ca="1">IFERROR(__xludf.DUMMYFUNCTION("GOOGLETRANSLATE(A263 , ""tr"" , ""en"")"),"In Tunceli Ovacik, the terrorist organization in the conflict with the heroes of the hero, gendarmerie expert sergeant has fallen. I wish our martyr's soldier than Allah to the mercy, his family, our Ordam and our nation. https://t.co/cvdpqmybnz")</f>
        <v>In Tunceli Ovacik, the terrorist organization in the conflict with the heroes of the hero, gendarmerie expert sergeant has fallen. I wish our martyr's soldier than Allah to the mercy, his family, our Ordam and our nation. https://t.co/cvdpqmybnz</v>
      </c>
    </row>
    <row r="264" spans="1:5" ht="15.75" customHeight="1" x14ac:dyDescent="0.25">
      <c r="A264" s="1" t="s">
        <v>528</v>
      </c>
      <c r="B264" s="1">
        <v>3360</v>
      </c>
      <c r="C264" s="3">
        <v>44489.823217592595</v>
      </c>
      <c r="D264" s="1" t="s">
        <v>529</v>
      </c>
      <c r="E264" s="4" t="str">
        <f ca="1">IFERROR(__xludf.DUMMYFUNCTION("GOOGLETRANSLATE(A264 , ""tr"" , ""en"")"),"Teenagers should meet the measures to your homes, loved ones, to your loved ones, do not carry the viruses to your homes, your loved ones, and you must become full-grown as soon as possible. Teenagers, I invite you the front safa in the fight. https://t.c"&amp;"o/hu4uasty1y")</f>
        <v>Teenagers should meet the measures to your homes, loved ones, to your loved ones, do not carry the viruses to your homes, your loved ones, and you must become full-grown as soon as possible. Teenagers, I invite you the front safa in the fight. https://t.co/hu4uasty1y</v>
      </c>
    </row>
    <row r="265" spans="1:5" ht="15.75" customHeight="1" x14ac:dyDescent="0.25">
      <c r="A265" s="1" t="s">
        <v>530</v>
      </c>
      <c r="B265" s="1">
        <v>4350</v>
      </c>
      <c r="C265" s="3">
        <v>44489.801585648151</v>
      </c>
      <c r="D265" s="1" t="s">
        <v>531</v>
      </c>
      <c r="E265" s="4" t="str">
        <f ca="1">IFERROR(__xludf.DUMMYFUNCTION("GOOGLETRANSLATE(A265 , ""tr"" , ""en"")"),"Turkey, compared to the population, among the best countries. However, there are significant differences between our daily case and loss of life. According to the vaccine everywhere will show similar effect, I wonder where are we mistaking? Are poor in me"&amp;"asures. Inoculation should also increase the measure. https://t.co/5raogva0kq")</f>
        <v>Turkey, compared to the population, among the best countries. However, there are significant differences between our daily case and loss of life. According to the vaccine everywhere will show similar effect, I wonder where are we mistaking? Are poor in measures. Inoculation should also increase the measure. https://t.co/5raogva0kq</v>
      </c>
    </row>
    <row r="266" spans="1:5" ht="15.75" customHeight="1" x14ac:dyDescent="0.25">
      <c r="A266" s="1" t="s">
        <v>532</v>
      </c>
      <c r="B266" s="1">
        <v>10808</v>
      </c>
      <c r="C266" s="3">
        <v>44489.789722222224</v>
      </c>
      <c r="D266" s="1" t="s">
        <v>533</v>
      </c>
      <c r="E266" s="4" t="str">
        <f ca="1">IFERROR(__xludf.DUMMYFUNCTION("GOOGLETRANSLATE(A266 , ""tr"" , ""en"")"),"In the presence of 84 million, you don't know what to give the passage of the passage every day. As your Minister of Health and Road is your friends, please earn my calls on the vaccination with epidemic measures. Our Vephate Count 214.")</f>
        <v>In the presence of 84 million, you don't know what to give the passage of the passage every day. As your Minister of Health and Road is your friends, please earn my calls on the vaccination with epidemic measures. Our Vephate Count 214.</v>
      </c>
    </row>
    <row r="267" spans="1:5" ht="15.75" customHeight="1" x14ac:dyDescent="0.25">
      <c r="A267" s="1" t="s">
        <v>534</v>
      </c>
      <c r="B267" s="1">
        <v>3977</v>
      </c>
      <c r="C267" s="3">
        <v>44488.783877314818</v>
      </c>
      <c r="D267" s="1" t="s">
        <v>535</v>
      </c>
      <c r="E267" s="4" t="str">
        <f ca="1">IFERROR(__xludf.DUMMYFUNCTION("GOOGLETRANSLATE(A267 , ""tr"" , ""en"")"),"In Kırşehir, the second overdose ratio appeared over 75%. Kırşehir, in the blue category. We should continue to upgrade this rate, we must make our vaccines at all without disruption. Be late is to take a risk.")</f>
        <v>In Kırşehir, the second overdose ratio appeared over 75%. Kırşehir, in the blue category. We should continue to upgrade this rate, we must make our vaccines at all without disruption. Be late is to take a risk.</v>
      </c>
    </row>
    <row r="268" spans="1:5" ht="15.75" customHeight="1" x14ac:dyDescent="0.25">
      <c r="A268" s="1" t="s">
        <v>536</v>
      </c>
      <c r="B268" s="1">
        <v>4854</v>
      </c>
      <c r="C268" s="3">
        <v>44488.733553240738</v>
      </c>
      <c r="D268" s="1" t="s">
        <v>537</v>
      </c>
      <c r="E268" s="4" t="str">
        <f ca="1">IFERROR(__xludf.DUMMYFUNCTION("GOOGLETRANSLATE(A268 , ""tr"" , ""en"")"),"There are approximately 5 million people, even when it comes to time, even the weeks of weeks. There are hospitals in these groups.
We insist on having the third dose of those who prefer inactive vaccines. The third dose is the dose of protection shield. "&amp;"https://t.co/50hfkvxtwt")</f>
        <v>There are approximately 5 million people, even when it comes to time, even the weeks of weeks. There are hospitals in these groups.
We insist on having the third dose of those who prefer inactive vaccines. The third dose is the dose of protection shield. https://t.co/50hfkvxtwt</v>
      </c>
    </row>
    <row r="269" spans="1:5" ht="15.75" customHeight="1" x14ac:dyDescent="0.25">
      <c r="A269" s="1" t="s">
        <v>538</v>
      </c>
      <c r="B269" s="1">
        <v>7904</v>
      </c>
      <c r="C269" s="3">
        <v>44488.549259259256</v>
      </c>
      <c r="D269" s="1" t="s">
        <v>539</v>
      </c>
      <c r="E269" s="4" t="str">
        <f ca="1">IFERROR(__xludf.DUMMYFUNCTION("GOOGLETRANSLATE(A269 , ""tr"" , ""en"")"),"We remember the King of Wise. https://t.co/lbtmxhsslx")</f>
        <v>We remember the King of Wise. https://t.co/lbtmxhsslx</v>
      </c>
    </row>
    <row r="270" spans="1:5" ht="15.75" customHeight="1" x14ac:dyDescent="0.25">
      <c r="A270" s="1" t="s">
        <v>540</v>
      </c>
      <c r="B270" s="1">
        <v>6003</v>
      </c>
      <c r="C270" s="3">
        <v>44487.895300925928</v>
      </c>
      <c r="D270" s="1" t="s">
        <v>541</v>
      </c>
      <c r="E270" s="4" t="str">
        <f ca="1">IFERROR(__xludf.DUMMYFUNCTION("GOOGLETRANSLATE(A270 , ""tr"" , ""en"")"),"""I couldn't ever love anything at all. I could never love the medium at all. I always loved it. "" We remember Nuri Pakdil late. (1934 - October 18, 2019) https://t.co/44ncgkrupq")</f>
        <v>"I couldn't ever love anything at all. I could never love the medium at all. I always loved it. " We remember Nuri Pakdil late. (1934 - October 18, 2019) https://t.co/44ncgkrupq</v>
      </c>
    </row>
    <row r="271" spans="1:5" ht="15.75" customHeight="1" x14ac:dyDescent="0.25">
      <c r="A271" s="1" t="s">
        <v>542</v>
      </c>
      <c r="B271" s="1">
        <v>3839</v>
      </c>
      <c r="C271" s="3">
        <v>44487.873622685183</v>
      </c>
      <c r="D271" s="1" t="s">
        <v>543</v>
      </c>
      <c r="E271" s="4" t="str">
        <f ca="1">IFERROR(__xludf.DUMMYFUNCTION("GOOGLETRANSLATE(A271 , ""tr"" , ""en"")"),"Hopelessness is also risky as being noose!
If we are hopeless, we do not find the power to do what we need to do in ourselves. In our lives that drive both in the epidemic and on the epidemic environment! Conditions will change with common vaccination. Th"&amp;"e world is in focus on this output path. Good evening.")</f>
        <v>Hopelessness is also risky as being noose!
If we are hopeless, we do not find the power to do what we need to do in ourselves. In our lives that drive both in the epidemic and on the epidemic environment! Conditions will change with common vaccination. The world is in focus on this output path. Good evening.</v>
      </c>
    </row>
    <row r="272" spans="1:5" ht="15.75" customHeight="1" x14ac:dyDescent="0.25">
      <c r="A272" s="1" t="s">
        <v>544</v>
      </c>
      <c r="B272" s="1">
        <v>3020</v>
      </c>
      <c r="C272" s="3">
        <v>44487.783587962964</v>
      </c>
      <c r="D272" s="1" t="s">
        <v>545</v>
      </c>
      <c r="E272" s="4" t="str">
        <f ca="1">IFERROR(__xludf.DUMMYFUNCTION("GOOGLETRANSLATE(A272 , ""tr"" , ""en"")"),"""I have neglected Covid-19 vaccine as a physician. I have been treating for about 1 month. I'm gathered very much. "" https://t.co/rltrsbdg5s")</f>
        <v>"I have neglected Covid-19 vaccine as a physician. I have been treating for about 1 month. I'm gathered very much. " https://t.co/rltrsbdg5s</v>
      </c>
    </row>
    <row r="273" spans="1:5" ht="15.75" customHeight="1" x14ac:dyDescent="0.25">
      <c r="A273" s="1" t="s">
        <v>546</v>
      </c>
      <c r="B273" s="1">
        <v>3503</v>
      </c>
      <c r="C273" s="3">
        <v>44487.769849537035</v>
      </c>
      <c r="D273" s="1" t="s">
        <v>547</v>
      </c>
      <c r="E273" s="4" t="str">
        <f ca="1">IFERROR(__xludf.DUMMYFUNCTION("GOOGLETRANSLATE(A273 , ""tr"" , ""en"")"),"The second overdose in Van appeared over 65%. Van in the yellow category. Let's have the second or third overdose vaccines that are time. Be late is to take a risk.")</f>
        <v>The second overdose in Van appeared over 65%. Van in the yellow category. Let's have the second or third overdose vaccines that are time. Be late is to take a risk.</v>
      </c>
    </row>
    <row r="274" spans="1:5" ht="15.75" customHeight="1" x14ac:dyDescent="0.25">
      <c r="A274" s="1" t="s">
        <v>548</v>
      </c>
      <c r="B274" s="1">
        <v>3700</v>
      </c>
      <c r="C274" s="3">
        <v>44487.764606481483</v>
      </c>
      <c r="D274" s="1" t="s">
        <v>549</v>
      </c>
      <c r="E274" s="4" t="str">
        <f ca="1">IFERROR(__xludf.DUMMYFUNCTION("GOOGLETRANSLATE(A274 , ""tr"" , ""en"")"),"The second overdose in Tokat appeared over 75%. Slap in the blue category. We should continue to upgrade this rate, we must make our vaccines at all without disruption. Be late is to take a risk.")</f>
        <v>The second overdose in Tokat appeared over 75%. Slap in the blue category. We should continue to upgrade this rate, we must make our vaccines at all without disruption. Be late is to take a risk.</v>
      </c>
    </row>
    <row r="275" spans="1:5" ht="15.75" customHeight="1" x14ac:dyDescent="0.25">
      <c r="A275" s="1" t="s">
        <v>550</v>
      </c>
      <c r="B275" s="1">
        <v>4205</v>
      </c>
      <c r="C275" s="3">
        <v>44487.737905092596</v>
      </c>
      <c r="D275" s="1" t="s">
        <v>551</v>
      </c>
      <c r="E275" s="4" t="str">
        <f ca="1">IFERROR(__xludf.DUMMYFUNCTION("GOOGLETRANSLATE(A275 , ""tr"" , ""en"")"),"Of the chronic disease and our elders spend Covid-19 heavy. We insist on having full dose vaccines. Our call to the young is going on. The full dose grafting in the group of 18-25 years is 53.77%.
The world is focused on the vaccine as an output way. Vacc"&amp;"ine should not be neglected! https://t.co/yte4g6xskw")</f>
        <v>Of the chronic disease and our elders spend Covid-19 heavy. We insist on having full dose vaccines. Our call to the young is going on. The full dose grafting in the group of 18-25 years is 53.77%.
The world is focused on the vaccine as an output way. Vaccine should not be neglected! https://t.co/yte4g6xskw</v>
      </c>
    </row>
    <row r="276" spans="1:5" ht="15.75" customHeight="1" x14ac:dyDescent="0.25">
      <c r="A276" s="1" t="s">
        <v>552</v>
      </c>
      <c r="B276" s="1">
        <v>5515</v>
      </c>
      <c r="C276" s="3">
        <v>44487.482002314813</v>
      </c>
      <c r="D276" s="1" t="s">
        <v>553</v>
      </c>
      <c r="E276" s="4" t="str">
        <f ca="1">IFERROR(__xludf.DUMMYFUNCTION("GOOGLETRANSLATE(A276 , ""tr"" , ""en"")"),"Turkey lost a great value. Eren industrialist, who has unique dreams for the nation and to realize many of them, the entrepreneurial Özdemir Bayraktar brother walked right.
Your life was a challenge to difficulties. May the heaven of space Özdemir Shovage"&amp;"! https://t.co/vscniafunh")</f>
        <v>Turkey lost a great value. Eren industrialist, who has unique dreams for the nation and to realize many of them, the entrepreneurial Özdemir Bayraktar brother walked right.
Your life was a challenge to difficulties. May the heaven of space Özdemir Shovage! https://t.co/vscniafunh</v>
      </c>
    </row>
    <row r="277" spans="1:5" ht="15.75" customHeight="1" x14ac:dyDescent="0.25">
      <c r="A277" s="1" t="s">
        <v>554</v>
      </c>
      <c r="B277" s="1">
        <v>6529</v>
      </c>
      <c r="C277" s="3">
        <v>44487.223541666666</v>
      </c>
      <c r="D277" s="1" t="s">
        <v>555</v>
      </c>
      <c r="E277" s="4" t="str">
        <f ca="1">IFERROR(__xludf.DUMMYFUNCTION("GOOGLETRANSLATE(A277 , ""tr"" , ""en"")"),"I wish a good week.
One of the purposes that combine us as society, to gain achievement against epidemic disease. We want to leave behind this long, strenuous agenda. People all over the world are similar. And the world is in vaccination mobilization for "&amp;"this purpose. Make your vaccines without disruption.")</f>
        <v>I wish a good week.
One of the purposes that combine us as society, to gain achievement against epidemic disease. We want to leave behind this long, strenuous agenda. People all over the world are similar. And the world is in vaccination mobilization for this purpose. Make your vaccines without disruption.</v>
      </c>
    </row>
    <row r="278" spans="1:5" ht="15.75" customHeight="1" x14ac:dyDescent="0.25">
      <c r="A278" s="1" t="s">
        <v>556</v>
      </c>
      <c r="B278" s="1">
        <v>7106</v>
      </c>
      <c r="C278" s="3">
        <v>44486.677812499998</v>
      </c>
      <c r="D278" s="1" t="s">
        <v>557</v>
      </c>
      <c r="E278" s="4" t="str">
        <f ca="1">IFERROR(__xludf.DUMMYFUNCTION("GOOGLETRANSLATE(A278 , ""tr"" , ""en"")"),"I would like to call our youth in the presence of everyone: Tomorrow starts a new week. We look forward to our health institutions, especially your vaccines. It is not necessary to come to be a vaccination, we are ready to answer if you have a question. N"&amp;"o matter what happens, don't neglect! https://t.co/c8nn5emkex")</f>
        <v>I would like to call our youth in the presence of everyone: Tomorrow starts a new week. We look forward to our health institutions, especially your vaccines. It is not necessary to come to be a vaccination, we are ready to answer if you have a question. No matter what happens, don't neglect! https://t.co/c8nn5emkex</v>
      </c>
    </row>
    <row r="279" spans="1:5" ht="15.75" customHeight="1" x14ac:dyDescent="0.25">
      <c r="A279" s="1" t="s">
        <v>558</v>
      </c>
      <c r="B279" s="1">
        <v>5184</v>
      </c>
      <c r="C279" s="3">
        <v>44486.60359953704</v>
      </c>
      <c r="D279" s="1" t="s">
        <v>559</v>
      </c>
      <c r="E279" s="4" t="str">
        <f ca="1">IFERROR(__xludf.DUMMYFUNCTION("GOOGLETRANSLATE(A279 , ""tr"" , ""en"")"),"Our Prophet of the Universal Example of Good Behavior Hz. We are on Muhammad's birth year. MABLID HARDIL MUBARK, your prayers get accepted. Hürum and our love to Him, ""Man's horizon Prophet is the horizon of poetry."" Sezai Karakoç tells what beautiful! "&amp;"https://t.co/tf86TQIVSP")</f>
        <v>Our Prophet of the Universal Example of Good Behavior Hz. We are on Muhammad's birth year. MABLID HARDIL MUBARK, your prayers get accepted. Hürum and our love to Him, "Man's horizon Prophet is the horizon of poetry." Sezai Karakoç tells what beautiful! https://t.co/tf86TQIVSP</v>
      </c>
    </row>
    <row r="280" spans="1:5" ht="15.75" customHeight="1" x14ac:dyDescent="0.25">
      <c r="A280" s="1" t="s">
        <v>560</v>
      </c>
      <c r="B280" s="1">
        <v>2381</v>
      </c>
      <c r="C280" s="3">
        <v>44486.435428240744</v>
      </c>
      <c r="D280" s="1" t="s">
        <v>561</v>
      </c>
      <c r="E280" s="4" t="str">
        <f ca="1">IFERROR(__xludf.DUMMYFUNCTION("GOOGLETRANSLATE(A280 , ""tr"" , ""en"")"),"Case density between 2-8 October The most increasing 10 in the previous week: Giresun, Army, Ardahan, Kastamonu, Çorum, Samsun, Tokat, Amasya, Kahramanmaras, Karabük. https://t.co/v36nakw4bx")</f>
        <v>Case density between 2-8 October The most increasing 10 in the previous week: Giresun, Army, Ardahan, Kastamonu, Çorum, Samsun, Tokat, Amasya, Kahramanmaras, Karabük. https://t.co/v36nakw4bx</v>
      </c>
    </row>
    <row r="281" spans="1:5" ht="15.75" customHeight="1" x14ac:dyDescent="0.25">
      <c r="A281" s="1" t="s">
        <v>562</v>
      </c>
      <c r="B281" s="1">
        <v>3289</v>
      </c>
      <c r="C281" s="3">
        <v>44486.4297337963</v>
      </c>
      <c r="D281" s="1" t="s">
        <v>563</v>
      </c>
      <c r="E281" s="4" t="str">
        <f ca="1">IFERROR(__xludf.DUMMYFUNCTION("GOOGLETRANSLATE(A281 , ""tr"" , ""en"")"),"What was the total number of new Covid-19 Cases in 100,000 people in October 2-8? You can learn the situation in the province where you are experiencing, from our weekly incidence map. https://t.co/bbh5dgl0nf")</f>
        <v>What was the total number of new Covid-19 Cases in 100,000 people in October 2-8? You can learn the situation in the province where you are experiencing, from our weekly incidence map. https://t.co/bbh5dgl0nf</v>
      </c>
    </row>
    <row r="282" spans="1:5" ht="15.75" customHeight="1" x14ac:dyDescent="0.25">
      <c r="A282" s="1" t="s">
        <v>564</v>
      </c>
      <c r="B282" s="1">
        <v>3965</v>
      </c>
      <c r="C282" s="3">
        <v>44485.797025462962</v>
      </c>
      <c r="D282" s="1" t="s">
        <v>565</v>
      </c>
      <c r="E282" s="4" t="str">
        <f ca="1">IFERROR(__xludf.DUMMYFUNCTION("GOOGLETRANSLATE(A282 , ""tr"" , ""en"")"),"In Diyarbakır and Batman, the second overdose ratio appeared over 55%. These two provinces are in the Orange Provincial Category. Let's not disrupt our vaccines that are time. Be late is to take a risk.")</f>
        <v>In Diyarbakır and Batman, the second overdose ratio appeared over 55%. These two provinces are in the Orange Provincial Category. Let's not disrupt our vaccines that are time. Be late is to take a risk.</v>
      </c>
    </row>
    <row r="283" spans="1:5" ht="15.75" customHeight="1" x14ac:dyDescent="0.25">
      <c r="A283" s="1" t="s">
        <v>566</v>
      </c>
      <c r="B283" s="1">
        <v>4560</v>
      </c>
      <c r="C283" s="3">
        <v>44485.779016203705</v>
      </c>
      <c r="D283" s="1" t="s">
        <v>567</v>
      </c>
      <c r="E283" s="4" t="str">
        <f ca="1">IFERROR(__xludf.DUMMYFUNCTION("GOOGLETRANSLATE(A283 , ""tr"" , ""en"")"),"In Bolu, the second overdose ratio appeared over 75%. Bolu in the Blue Provincial category. Let's not disrupt our vaccines that are time. Be late is to take a risk.")</f>
        <v>In Bolu, the second overdose ratio appeared over 75%. Bolu in the Blue Provincial category. Let's not disrupt our vaccines that are time. Be late is to take a risk.</v>
      </c>
    </row>
    <row r="284" spans="1:5" ht="15.75" customHeight="1" x14ac:dyDescent="0.25">
      <c r="A284" s="1" t="s">
        <v>568</v>
      </c>
      <c r="B284" s="1">
        <v>3271</v>
      </c>
      <c r="C284" s="3">
        <v>44485.717662037037</v>
      </c>
      <c r="D284" s="1" t="s">
        <v>569</v>
      </c>
      <c r="E284" s="4" t="str">
        <f ca="1">IFERROR(__xludf.DUMMYFUNCTION("GOOGLETRANSLATE(A284 , ""tr"" , ""en"")"),"Covid-19 Measures, last year, gribal infections have reduced very greatly. Symptoms are similar in these infections, such as Covid-19, there is severe increases due to the omissions in season conditions, mask and distance measures. Please try to obey the "&amp;"measures against both risk. https://t.co/pvnl7ainh0")</f>
        <v>Covid-19 Measures, last year, gribal infections have reduced very greatly. Symptoms are similar in these infections, such as Covid-19, there is severe increases due to the omissions in season conditions, mask and distance measures. Please try to obey the measures against both risk. https://t.co/pvnl7ainh0</v>
      </c>
    </row>
    <row r="285" spans="1:5" ht="15.75" customHeight="1" x14ac:dyDescent="0.25">
      <c r="A285" s="1" t="s">
        <v>570</v>
      </c>
      <c r="B285" s="1">
        <v>6126</v>
      </c>
      <c r="C285" s="3">
        <v>44485.686226851853</v>
      </c>
      <c r="D285" s="1" t="s">
        <v>571</v>
      </c>
      <c r="E285" s="4" t="str">
        <f ca="1">IFERROR(__xludf.DUMMYFUNCTION("GOOGLETRANSLATE(A285 , ""tr"" , ""en"")"),"In new cases, the proportion of young people increases. Unlike umulan, the rate of vaccination between our university students is low. For a healthy educational environment, our young people should make their vaccinations without disrupting. Society expec"&amp;"ts all their young people to participate in the fight. https://t.co/clzuj2a3qo")</f>
        <v>In new cases, the proportion of young people increases. Unlike umulan, the rate of vaccination between our university students is low. For a healthy educational environment, our young people should make their vaccinations without disrupting. Society expects all their young people to participate in the fight. https://t.co/clzuj2a3qo</v>
      </c>
    </row>
    <row r="286" spans="1:5" ht="15.75" customHeight="1" x14ac:dyDescent="0.25">
      <c r="A286" s="1" t="s">
        <v>572</v>
      </c>
      <c r="B286" s="1">
        <v>2989</v>
      </c>
      <c r="C286" s="3">
        <v>44485.575162037036</v>
      </c>
      <c r="D286" s="1" t="s">
        <v>573</v>
      </c>
      <c r="E286" s="4" t="str">
        <f ca="1">IFERROR(__xludf.DUMMYFUNCTION("GOOGLETRANSLATE(A286 , ""tr"" , ""en"")"),"October 16 World Anesthesia Day
We thank our anesthesia experts and anesthesia team members today on the occasion of the anesthesia teams preparing the operation conditions to our patients. Anesthesia, a breakthrough in medical history, brought great conv"&amp;"eniences to health services. https://t.co/yx15n96odf")</f>
        <v>October 16 World Anesthesia Day
We thank our anesthesia experts and anesthesia team members today on the occasion of the anesthesia teams preparing the operation conditions to our patients. Anesthesia, a breakthrough in medical history, brought great conveniences to health services. https://t.co/yx15n96odf</v>
      </c>
    </row>
    <row r="287" spans="1:5" ht="15.75" customHeight="1" x14ac:dyDescent="0.25">
      <c r="A287" s="1" t="s">
        <v>574</v>
      </c>
      <c r="B287" s="1">
        <v>4603</v>
      </c>
      <c r="C287" s="3">
        <v>44485.372337962966</v>
      </c>
      <c r="D287" s="1" t="s">
        <v>575</v>
      </c>
      <c r="E287" s="4" t="str">
        <f ca="1">IFERROR(__xludf.DUMMYFUNCTION("GOOGLETRANSLATE(A287 , ""tr"" , ""en"")"),"Ardahan and Antalya with the vaccines made yesterday to the blue category of 75% in the second overdose rate; Gaziantep went over 65% to the yellow category. Let us raise our second overdose ratio all over Turkey.")</f>
        <v>Ardahan and Antalya with the vaccines made yesterday to the blue category of 75% in the second overdose rate; Gaziantep went over 65% to the yellow category. Let us raise our second overdose ratio all over Turkey.</v>
      </c>
    </row>
    <row r="288" spans="1:5" ht="15.75" customHeight="1" x14ac:dyDescent="0.25">
      <c r="A288" s="1" t="s">
        <v>576</v>
      </c>
      <c r="B288" s="1">
        <v>5058</v>
      </c>
      <c r="C288" s="3">
        <v>44484.705543981479</v>
      </c>
      <c r="D288" s="1" t="s">
        <v>577</v>
      </c>
      <c r="E288" s="4" t="str">
        <f ca="1">IFERROR(__xludf.DUMMYFUNCTION("GOOGLETRANSLATE(A288 , ""tr"" , ""en"")"),"The year will damage us. Note that we are struggling with a vaccine contagious disease. We need some time and full dose inoculation rate. This is a morale source of real enough. Many diseases leading to outbreaks have eliminated with common vaccines. http"&amp;"s://t.co/gub2b804cb")</f>
        <v>The year will damage us. Note that we are struggling with a vaccine contagious disease. We need some time and full dose inoculation rate. This is a morale source of real enough. Many diseases leading to outbreaks have eliminated with common vaccines. https://t.co/gub2b804cb</v>
      </c>
    </row>
    <row r="289" spans="1:5" ht="15.75" customHeight="1" x14ac:dyDescent="0.25">
      <c r="A289" s="1" t="s">
        <v>578</v>
      </c>
      <c r="B289" s="1">
        <v>5739</v>
      </c>
      <c r="C289" s="3">
        <v>44484.324999999997</v>
      </c>
      <c r="D289" s="1" t="s">
        <v>579</v>
      </c>
      <c r="E289" s="4" t="str">
        <f ca="1">IFERROR(__xludf.DUMMYFUNCTION("GOOGLETRANSLATE(A289 , ""tr"" , ""en"")"),"COVID-19 has done the three things that make the vaccinations without disrupting: it takes itself to protect. In the nearby and reduces the risk in the city. It strengthens 84 million in the challenging struggle he gives against his epidemic. We have earn"&amp;"ed less with such a responsibility against ourselves and all society.")</f>
        <v>COVID-19 has done the three things that make the vaccinations without disrupting: it takes itself to protect. In the nearby and reduces the risk in the city. It strengthens 84 million in the challenging struggle he gives against his epidemic. We have earned less with such a responsibility against ourselves and all society.</v>
      </c>
    </row>
    <row r="290" spans="1:5" ht="15.75" customHeight="1" x14ac:dyDescent="0.25">
      <c r="A290" s="1" t="s">
        <v>580</v>
      </c>
      <c r="B290" s="1">
        <v>7947</v>
      </c>
      <c r="C290" s="3">
        <v>44484.242986111109</v>
      </c>
      <c r="D290" s="1" t="s">
        <v>581</v>
      </c>
      <c r="E290" s="4" t="str">
        <f ca="1">IFERROR(__xludf.DUMMYFUNCTION("GOOGLETRANSLATE(A290 , ""tr"" , ""en"")"),"Currently in our children's classes. The rule requires them to wear a mask so that the mouth and nose are closed. Including our six-year-old married.
Let's think as parents: When they share the burden of outbreak of the struggle, what are the society negl"&amp;"ecting? Good morning..")</f>
        <v>Currently in our children's classes. The rule requires them to wear a mask so that the mouth and nose are closed. Including our six-year-old married.
Let's think as parents: When they share the burden of outbreak of the struggle, what are the society neglecting? Good morning..</v>
      </c>
    </row>
    <row r="291" spans="1:5" ht="15.75" customHeight="1" x14ac:dyDescent="0.25">
      <c r="A291" s="1" t="s">
        <v>582</v>
      </c>
      <c r="B291" s="1">
        <v>3109</v>
      </c>
      <c r="C291" s="3">
        <v>44483.843460648146</v>
      </c>
      <c r="D291" s="1" t="s">
        <v>583</v>
      </c>
      <c r="E291" s="4" t="str">
        <f ca="1">IFERROR(__xludf.DUMMYFUNCTION("GOOGLETRANSLATE(A291 , ""tr"" , ""en"")"),"In MUŞ, the second overdose ratio appeared over 55%. MUŞ, entering the orange provincial category, the rate should upgrade. Single dose vaccine does not provide protection. We have to do our second dose of overdose without being late.")</f>
        <v>In MUŞ, the second overdose ratio appeared over 55%. MUŞ, entering the orange provincial category, the rate should upgrade. Single dose vaccine does not provide protection. We have to do our second dose of overdose without being late.</v>
      </c>
    </row>
    <row r="292" spans="1:5" ht="15.75" customHeight="1" x14ac:dyDescent="0.25">
      <c r="A292" s="1" t="s">
        <v>584</v>
      </c>
      <c r="B292" s="1">
        <v>4772</v>
      </c>
      <c r="C292" s="3">
        <v>44483.814814814818</v>
      </c>
      <c r="D292" s="1" t="s">
        <v>585</v>
      </c>
      <c r="E292" s="4" t="str">
        <f ca="1">IFERROR(__xludf.DUMMYFUNCTION("GOOGLETRANSLATE(A292 , ""tr"" , ""en"")"),"In Erzurum, the second overdose ratio appeared over 65%. Erzurum that enters the category of yellow provinces should raise the rate. The risk will be reduced as the vaccination rate increases.")</f>
        <v>In Erzurum, the second overdose ratio appeared over 65%. Erzurum that enters the category of yellow provinces should raise the rate. The risk will be reduced as the vaccination rate increases.</v>
      </c>
    </row>
    <row r="293" spans="1:5" ht="15.75" customHeight="1" x14ac:dyDescent="0.25">
      <c r="A293" s="1" t="s">
        <v>586</v>
      </c>
      <c r="B293" s="1">
        <v>4843</v>
      </c>
      <c r="C293" s="3">
        <v>44483.748715277776</v>
      </c>
      <c r="D293" s="1" t="s">
        <v>587</v>
      </c>
      <c r="E293" s="4" t="str">
        <f ca="1">IFERROR(__xludf.DUMMYFUNCTION("GOOGLETRANSLATE(A293 , ""tr"" , ""en"")"),"Our daily case count has been over 30 thousands for a while. If the conditions are considered, there is more likely to rise. We know the media where the mask is required, let's not remove the mask out of our lives. Let's pay attention to the social distan"&amp;"ce rule. Let's be our vaccinations. https://t.co/3IYQBB890")</f>
        <v>Our daily case count has been over 30 thousands for a while. If the conditions are considered, there is more likely to rise. We know the media where the mask is required, let's not remove the mask out of our lives. Let's pay attention to the social distance rule. Let's be our vaccinations. https://t.co/3IYQBB890</v>
      </c>
    </row>
    <row r="294" spans="1:5" ht="15.75" customHeight="1" x14ac:dyDescent="0.25">
      <c r="A294" s="1" t="s">
        <v>588</v>
      </c>
      <c r="B294" s="1">
        <v>8160</v>
      </c>
      <c r="C294" s="3">
        <v>44483.463865740741</v>
      </c>
      <c r="D294" s="1" t="s">
        <v>589</v>
      </c>
      <c r="E294" s="4" t="str">
        <f ca="1">IFERROR(__xludf.DUMMYFUNCTION("GOOGLETRANSLATE(A294 , ""tr"" , ""en"")"),"We provide the vitamin D is very large, we provide the result of direct contact with sun rays. The vitamin D is important for muscle and bone health also strengthens immunity. We had a long time off life. More sunlight comes well to our health. A little m"&amp;"ore sun? https://t.co/lg6v25vtka")</f>
        <v>We provide the vitamin D is very large, we provide the result of direct contact with sun rays. The vitamin D is important for muscle and bone health also strengthens immunity. We had a long time off life. More sunlight comes well to our health. A little more sun? https://t.co/lg6v25vtka</v>
      </c>
    </row>
    <row r="295" spans="1:5" ht="15.75" customHeight="1" x14ac:dyDescent="0.25">
      <c r="A295" s="1" t="s">
        <v>590</v>
      </c>
      <c r="B295" s="1">
        <v>8676</v>
      </c>
      <c r="C295" s="3">
        <v>44483.18178240741</v>
      </c>
      <c r="D295" s="1" t="s">
        <v>591</v>
      </c>
      <c r="E295" s="4" t="str">
        <f ca="1">IFERROR(__xludf.DUMMYFUNCTION("GOOGLETRANSLATE(A295 , ""tr"" , ""en"")"),"Good morning,
Are the bags ready?
Teenagers, have we made our breakfast?
My message to parents, children, universities:
Yesterday, the Science Board was collected. 40% of the active cases have shared the knowledge that there are 23 years of age. Let's be "&amp;"careful. Let's be our vaccines when we are 18 years old.")</f>
        <v>Good morning,
Are the bags ready?
Teenagers, have we made our breakfast?
My message to parents, children, universities:
Yesterday, the Science Board was collected. 40% of the active cases have shared the knowledge that there are 23 years of age. Let's be careful. Let's be our vaccines when we are 18 years old.</v>
      </c>
    </row>
    <row r="296" spans="1:5" ht="15.75" customHeight="1" x14ac:dyDescent="0.25">
      <c r="A296" s="1" t="s">
        <v>592</v>
      </c>
      <c r="B296" s="1">
        <v>3623</v>
      </c>
      <c r="C296" s="3">
        <v>44482.85083333333</v>
      </c>
      <c r="D296" s="1" t="s">
        <v>593</v>
      </c>
      <c r="E296" s="4" t="str">
        <f ca="1">IFERROR(__xludf.DUMMYFUNCTION("GOOGLETRANSLATE(A296 , ""tr"" , ""en"")"),"DO NOT WORRY. Our vaccine rate is rising, our provinces that have been blue are increasing. The full dose vaccine ensures that the disease is slightly in the event of your caught.
Concern. The mask users decreased, the society of tenderness is weak. There"&amp;" are a large number of people that are missing the vaccines yet.")</f>
        <v>DO NOT WORRY. Our vaccine rate is rising, our provinces that have been blue are increasing. The full dose vaccine ensures that the disease is slightly in the event of your caught.
Concern. The mask users decreased, the society of tenderness is weak. There are a large number of people that are missing the vaccines yet.</v>
      </c>
    </row>
    <row r="297" spans="1:5" ht="15.75" customHeight="1" x14ac:dyDescent="0.25">
      <c r="A297" s="1" t="s">
        <v>594</v>
      </c>
      <c r="B297" s="1">
        <v>4028</v>
      </c>
      <c r="C297" s="3">
        <v>44482.846354166664</v>
      </c>
      <c r="D297" s="1" t="s">
        <v>595</v>
      </c>
      <c r="E297" s="4" t="str">
        <f ca="1">IFERROR(__xludf.DUMMYFUNCTION("GOOGLETRANSLATE(A297 , ""tr"" , ""en"")"),"VIOLENCE! Most of the events are not reflected in the media. The white code application is referenced in very little situation. A statement that is not encountered in the world is often the news title: ""Violence in Health!"" We had a new example of a fam"&amp;"ily medicine in Sanliurfa. We never have tolerance. Will be done by!")</f>
        <v>VIOLENCE! Most of the events are not reflected in the media. The white code application is referenced in very little situation. A statement that is not encountered in the world is often the news title: "Violence in Health!" We had a new example of a family medicine in Sanliurfa. We never have tolerance. Will be done by!</v>
      </c>
    </row>
    <row r="298" spans="1:5" ht="15.75" customHeight="1" x14ac:dyDescent="0.25">
      <c r="A298" s="1" t="s">
        <v>596</v>
      </c>
      <c r="B298" s="1">
        <v>3702</v>
      </c>
      <c r="C298" s="3">
        <v>44482.833599537036</v>
      </c>
      <c r="D298" s="1" t="s">
        <v>597</v>
      </c>
      <c r="E298" s="4" t="str">
        <f ca="1">IFERROR(__xludf.DUMMYFUNCTION("GOOGLETRANSLATE(A298 , ""tr"" , ""en"")"),"Expected Development from Adiyaman!
We stepped over 65% at the second overdose rate. As we are in prepared yellow, let's raise the rate quickly.")</f>
        <v>Expected Development from Adiyaman!
We stepped over 65% at the second overdose rate. As we are in prepared yellow, let's raise the rate quickly.</v>
      </c>
    </row>
    <row r="299" spans="1:5" ht="15.75" customHeight="1" x14ac:dyDescent="0.25">
      <c r="A299" s="1" t="s">
        <v>598</v>
      </c>
      <c r="B299" s="1">
        <v>2517</v>
      </c>
      <c r="C299" s="3">
        <v>44482.828900462962</v>
      </c>
      <c r="D299" s="1" t="s">
        <v>599</v>
      </c>
      <c r="E299" s="4" t="str">
        <f ca="1">IFERROR(__xludf.DUMMYFUNCTION("GOOGLETRANSLATE(A299 , ""tr"" , ""en"")"),"Blue Çankırı: ""We have made our 2nd dose of 3 of all 4 people!""
The second overdose ratio must act all provinces below 75%. Common target with high vaccine rate, community immunity!")</f>
        <v>Blue Çankırı: "We have made our 2nd dose of 3 of all 4 people!"
The second overdose ratio must act all provinces below 75%. Common target with high vaccine rate, community immunity!</v>
      </c>
    </row>
    <row r="300" spans="1:5" ht="15.75" customHeight="1" x14ac:dyDescent="0.25">
      <c r="A300" s="1" t="s">
        <v>600</v>
      </c>
      <c r="B300" s="1">
        <v>3572</v>
      </c>
      <c r="C300" s="3">
        <v>44482.807233796295</v>
      </c>
      <c r="D300" s="1" t="s">
        <v>601</v>
      </c>
      <c r="E300" s="4" t="str">
        <f ca="1">IFERROR(__xludf.DUMMYFUNCTION("GOOGLETRANSLATE(A300 , ""tr"" , ""en"")"),"In order to use our own vaccine, there is a need to participate in TURKOVAC vaccine reminder dose. In the emergence of our own vaccination I also invite all of our volunteers to participate in our volunteers.
Application: https://t.co/e8uh4tln81 alo 184")</f>
        <v>In order to use our own vaccine, there is a need to participate in TURKOVAC vaccine reminder dose. In the emergence of our own vaccination I also invite all of our volunteers to participate in our volunteers.
Application: https://t.co/e8uh4tln81 alo 184</v>
      </c>
    </row>
    <row r="301" spans="1:5" ht="15.75" customHeight="1" x14ac:dyDescent="0.25">
      <c r="A301" s="1" t="s">
        <v>602</v>
      </c>
      <c r="B301" s="1">
        <v>2328</v>
      </c>
      <c r="C301" s="3">
        <v>44482.795671296299</v>
      </c>
      <c r="D301" s="1" t="s">
        <v>603</v>
      </c>
      <c r="E301" s="4" t="str">
        <f ca="1">IFERROR(__xludf.DUMMYFUNCTION("GOOGLETRANSLATE(A301 , ""tr"" , ""en"")"),"Our science assembly met the course of the outbreak, the effect of on young people, our vaccine program and our domestic vaccine to evaluate the current status of Turkovac. https://t.co/pwulwxjut0")</f>
        <v>Our science assembly met the course of the outbreak, the effect of on young people, our vaccine program and our domestic vaccine to evaluate the current status of Turkovac. https://t.co/pwulwxjut0</v>
      </c>
    </row>
    <row r="302" spans="1:5" ht="15.75" customHeight="1" x14ac:dyDescent="0.25">
      <c r="A302" s="1" t="s">
        <v>604</v>
      </c>
      <c r="B302" s="1">
        <v>5152</v>
      </c>
      <c r="C302" s="3">
        <v>44482.739074074074</v>
      </c>
      <c r="D302" s="1" t="s">
        <v>605</v>
      </c>
      <c r="E302" s="4" t="str">
        <f ca="1">IFERROR(__xludf.DUMMYFUNCTION("GOOGLETRANSLATE(A302 , ""tr"" , ""en"")"),"31,248 The person's Covid-19 test is positive. This number will most likely reflect on the number of passages in the coming days. Some people will need intense care that will spend the disease heavy. We know that the full dose of overdose prevents them gr"&amp;"eatly. It is witnessed that measures give results. https://t.co/fxgx3wnxep")</f>
        <v>31,248 The person's Covid-19 test is positive. This number will most likely reflect on the number of passages in the coming days. Some people will need intense care that will spend the disease heavy. We know that the full dose of overdose prevents them greatly. It is witnessed that measures give results. https://t.co/fxgx3wnxep</v>
      </c>
    </row>
    <row r="303" spans="1:5" ht="15.75" customHeight="1" x14ac:dyDescent="0.25">
      <c r="A303" s="1" t="s">
        <v>606</v>
      </c>
      <c r="B303" s="1">
        <v>7225</v>
      </c>
      <c r="C303" s="3">
        <v>44482.412129629629</v>
      </c>
      <c r="D303" s="1" t="s">
        <v>607</v>
      </c>
      <c r="E303" s="4" t="str">
        <f ca="1">IFERROR(__xludf.DUMMYFUNCTION("GOOGLETRANSLATE(A303 , ""tr"" , ""en"")"),"We are preparing to offer Turkovac to Turkey's service. Previously 2 dose of overdoses, Covid-19 has not been spent 18-59 years old everyone can support us! 3. The dose vaccine preference is free. But in Madem Vehicles Native Vaccine In Turkovac, we shoul"&amp;"d choose our at least 3,000 Turkovac! https://t.co/hubujj7xyr")</f>
        <v>We are preparing to offer Turkovac to Turkey's service. Previously 2 dose of overdoses, Covid-19 has not been spent 18-59 years old everyone can support us! 3. The dose vaccine preference is free. But in Madem Vehicles Native Vaccine In Turkovac, we should choose our at least 3,000 Turkovac! https://t.co/hubujj7xyr</v>
      </c>
    </row>
    <row r="304" spans="1:5" ht="15.75" customHeight="1" x14ac:dyDescent="0.25">
      <c r="A304" s="1" t="s">
        <v>608</v>
      </c>
      <c r="B304" s="1">
        <v>8259</v>
      </c>
      <c r="C304" s="3">
        <v>44482.224641203706</v>
      </c>
      <c r="D304" s="1" t="s">
        <v>609</v>
      </c>
      <c r="E304" s="4" t="str">
        <f ca="1">IFERROR(__xludf.DUMMYFUNCTION("GOOGLETRANSLATE(A304 , ""tr"" , ""en"")"),"Good morning,
I have examined the information belonging to Covid-19 patients who were held yesterday. The ratio of young people who have not been vaccinated increased in our patients. Those who have chronic disease are vaccinated, they can also be affecte"&amp;"d by the virus. Our young people should be vaccinated, our elders should be careful.")</f>
        <v>Good morning,
I have examined the information belonging to Covid-19 patients who were held yesterday. The ratio of young people who have not been vaccinated increased in our patients. Those who have chronic disease are vaccinated, they can also be affected by the virus. Our young people should be vaccinated, our elders should be careful.</v>
      </c>
    </row>
    <row r="305" spans="1:5" ht="15.75" customHeight="1" x14ac:dyDescent="0.25">
      <c r="A305" s="1" t="s">
        <v>610</v>
      </c>
      <c r="B305" s="1">
        <v>3173</v>
      </c>
      <c r="C305" s="3">
        <v>44481.821481481478</v>
      </c>
      <c r="D305" s="1" t="s">
        <v>611</v>
      </c>
      <c r="E305" s="4" t="str">
        <f ca="1">IFERROR(__xludf.DUMMYFUNCTION("GOOGLETRANSLATE(A305 , ""tr"" , ""en"")"),"We passed critical threshold in Mardin.
We are over 55% at the second overdose rate. While we had our place in the orange category, let us talk about us. If the question we are wondering about, let us ask our medical officers. The more we complete our vac"&amp;"cines, it will be in our favor.")</f>
        <v>We passed critical threshold in Mardin.
We are over 55% at the second overdose rate. While we had our place in the orange category, let us talk about us. If the question we are wondering about, let us ask our medical officers. The more we complete our vaccines, it will be in our favor.</v>
      </c>
    </row>
    <row r="306" spans="1:5" ht="15.75" customHeight="1" x14ac:dyDescent="0.25">
      <c r="A306" s="1" t="s">
        <v>612</v>
      </c>
      <c r="B306" s="1">
        <v>5020</v>
      </c>
      <c r="C306" s="3">
        <v>44481.791168981479</v>
      </c>
      <c r="D306" s="1" t="s">
        <v>613</v>
      </c>
      <c r="E306" s="4" t="str">
        <f ca="1">IFERROR(__xludf.DUMMYFUNCTION("GOOGLETRANSLATE(A306 , ""tr"" , ""en"")"),"Blue Samsun: ""We have made our overdose of all 4 people!""
The blue province has reached 28. 53 provinces left behind should move fast!")</f>
        <v>Blue Samsun: "We have made our overdose of all 4 people!"
The blue province has reached 28. 53 provinces left behind should move fast!</v>
      </c>
    </row>
    <row r="307" spans="1:5" ht="15.75" customHeight="1" x14ac:dyDescent="0.25">
      <c r="A307" s="1" t="s">
        <v>614</v>
      </c>
      <c r="B307" s="1">
        <v>6183</v>
      </c>
      <c r="C307" s="3">
        <v>44481.75371527778</v>
      </c>
      <c r="D307" s="1" t="s">
        <v>615</v>
      </c>
      <c r="E307" s="4" t="str">
        <f ca="1">IFERROR(__xludf.DUMMYFUNCTION("GOOGLETRANSLATE(A307 , ""tr"" , ""en"")"),"There is a stopness at the rate of vaccination in the last days. Could there be a hesitation on the vaccine of the case numbers in height? But remember that: Thanks to the vaccination of Covid-19, the number of skips like the flu are now competing with th"&amp;"em. Most of our losses, non-vaccines. https://t.co/g86g5rjbqn")</f>
        <v>There is a stopness at the rate of vaccination in the last days. Could there be a hesitation on the vaccine of the case numbers in height? But remember that: Thanks to the vaccination of Covid-19, the number of skips like the flu are now competing with them. Most of our losses, non-vaccines. https://t.co/g86g5rjbqn</v>
      </c>
    </row>
    <row r="308" spans="1:5" ht="15.75" customHeight="1" x14ac:dyDescent="0.25">
      <c r="A308" s="1" t="s">
        <v>616</v>
      </c>
      <c r="B308" s="1">
        <v>8477</v>
      </c>
      <c r="C308" s="3">
        <v>44481.291527777779</v>
      </c>
      <c r="D308" s="1" t="s">
        <v>617</v>
      </c>
      <c r="E308" s="4" t="str">
        <f ca="1">IFERROR(__xludf.DUMMYFUNCTION("GOOGLETRANSLATE(A308 , ""tr"" , ""en"")"),"There's a way all this experience shows. We should maintain our normal life, we only have to be careful. We have to do our vaccines. Rates are rising. A little more patience, post-victory!")</f>
        <v>There's a way all this experience shows. We should maintain our normal life, we only have to be careful. We have to do our vaccines. Rates are rising. A little more patience, post-victory!</v>
      </c>
    </row>
    <row r="309" spans="1:5" ht="15.75" customHeight="1" x14ac:dyDescent="0.25">
      <c r="A309" s="1" t="s">
        <v>618</v>
      </c>
      <c r="B309" s="1">
        <v>2893</v>
      </c>
      <c r="C309" s="3">
        <v>44480.806331018517</v>
      </c>
      <c r="D309" s="1" t="s">
        <v>619</v>
      </c>
      <c r="E309" s="4" t="str">
        <f ca="1">IFERROR(__xludf.DUMMYFUNCTION("GOOGLETRANSLATE(A309 , ""tr"" , ""en"")"),"In Bitlis, we are about half as vaccines in Bitlis. Let us talk about 55% and get the vaccination in the ready-made orange category. If the question we are wondering about, let us ask our medical officers. The more we complete our vaccines, it will be in "&amp;"our favor.")</f>
        <v>In Bitlis, we are about half as vaccines in Bitlis. Let us talk about 55% and get the vaccination in the ready-made orange category. If the question we are wondering about, let us ask our medical officers. The more we complete our vaccines, it will be in our favor.</v>
      </c>
    </row>
    <row r="310" spans="1:5" ht="15.75" customHeight="1" x14ac:dyDescent="0.25">
      <c r="A310" s="1" t="s">
        <v>620</v>
      </c>
      <c r="B310" s="1">
        <v>3615</v>
      </c>
      <c r="C310" s="3">
        <v>44480.789699074077</v>
      </c>
      <c r="D310" s="1" t="s">
        <v>621</v>
      </c>
      <c r="E310" s="4" t="str">
        <f ca="1">IFERROR(__xludf.DUMMYFUNCTION("GOOGLETRANSLATE(A310 , ""tr"" , ""en"")"),"75% in the order!
In Aksaray and Gümüşhane, the second overdose ratio has passed 65% today. The new goal of these two provinces in the yellow category are blue! Let's get the second overdose vaccines ever!")</f>
        <v>75% in the order!
In Aksaray and Gümüşhane, the second overdose ratio has passed 65% today. The new goal of these two provinces in the yellow category are blue! Let's get the second overdose vaccines ever!</v>
      </c>
    </row>
    <row r="311" spans="1:5" ht="15.75" customHeight="1" x14ac:dyDescent="0.25">
      <c r="A311" s="1" t="s">
        <v>622</v>
      </c>
      <c r="B311" s="1">
        <v>3088</v>
      </c>
      <c r="C311" s="3">
        <v>44480.741886574076</v>
      </c>
      <c r="D311" s="1" t="s">
        <v>623</v>
      </c>
      <c r="E311" s="4" t="str">
        <f ca="1">IFERROR(__xludf.DUMMYFUNCTION("GOOGLETRANSLATE(A311 , ""tr"" , ""en"")"),"İsmet We lost our teen-year-old brother. Was a versatile politician with education and Aydın ID in different fields. The enthusiastic speaking was added to its accumulation. Early death is also a discretion. May his family be right on the head of their fr"&amp;"iends. I wish herself mercy from Allah.")</f>
        <v>İsmet We lost our teen-year-old brother. Was a versatile politician with education and Aydın ID in different fields. The enthusiastic speaking was added to its accumulation. Early death is also a discretion. May his family be right on the head of their friends. I wish herself mercy from Allah.</v>
      </c>
    </row>
    <row r="312" spans="1:5" ht="15.75" customHeight="1" x14ac:dyDescent="0.25">
      <c r="A312" s="1" t="s">
        <v>624</v>
      </c>
      <c r="B312" s="1">
        <v>5064</v>
      </c>
      <c r="C312" s="3">
        <v>44480.716689814813</v>
      </c>
      <c r="D312" s="1" t="s">
        <v>625</v>
      </c>
      <c r="E312" s="4" t="str">
        <f ca="1">IFERROR(__xludf.DUMMYFUNCTION("GOOGLETRANSLATE(A312 , ""tr"" , ""en"")"),"Covid-19 was the question of how many life losses today was the question of these hours. Even if we do not recognize, we are not indifferent to the pain of our people, the sorrow we hear from the number of passages is separated from most society. This ten"&amp;"derness is a great force. Let's keep each other. https://t.co/i54Iexpnvc")</f>
        <v>Covid-19 was the question of how many life losses today was the question of these hours. Even if we do not recognize, we are not indifferent to the pain of our people, the sorrow we hear from the number of passages is separated from most society. This tenderness is a great force. Let's keep each other. https://t.co/i54Iexpnvc</v>
      </c>
    </row>
    <row r="313" spans="1:5" ht="15.75" customHeight="1" x14ac:dyDescent="0.25">
      <c r="A313" s="1" t="s">
        <v>626</v>
      </c>
      <c r="B313" s="1">
        <v>0</v>
      </c>
      <c r="C313" s="3">
        <v>44480.684155092589</v>
      </c>
      <c r="D313" s="1" t="s">
        <v>627</v>
      </c>
      <c r="E313" s="4" t="str">
        <f ca="1">IFERROR(__xludf.DUMMYFUNCTION("GOOGLETRANSLATE(A313 , ""tr"" , ""en"")"),"RT @rterdogan: Shouting the Nation After Cabinet Meeting https://t.co/jyngjf6d6x")</f>
        <v>RT @rterdogan: Shouting the Nation After Cabinet Meeting https://t.co/jyngjf6d6x</v>
      </c>
    </row>
    <row r="314" spans="1:5" ht="15.75" customHeight="1" x14ac:dyDescent="0.25">
      <c r="A314" s="1" t="s">
        <v>628</v>
      </c>
      <c r="B314" s="1">
        <v>10134</v>
      </c>
      <c r="C314" s="3">
        <v>44480.512280092589</v>
      </c>
      <c r="D314" s="1" t="s">
        <v>629</v>
      </c>
      <c r="E314" s="4" t="str">
        <f ca="1">IFERROR(__xludf.DUMMYFUNCTION("GOOGLETRANSLATE(A314 , ""tr"" , ""en"")"),"On the day of the World Girls, we are kissing each of our girls on their eyes. The future is in the eyes! Happy one's day. https://t.co/zksoa21erk")</f>
        <v>On the day of the World Girls, we are kissing each of our girls on their eyes. The future is in the eyes! Happy one's day. https://t.co/zksoa21erk</v>
      </c>
    </row>
    <row r="315" spans="1:5" ht="15.75" customHeight="1" x14ac:dyDescent="0.25">
      <c r="A315" s="1" t="s">
        <v>630</v>
      </c>
      <c r="B315" s="1">
        <v>12036</v>
      </c>
      <c r="C315" s="3">
        <v>44480.206087962964</v>
      </c>
      <c r="D315" s="1" t="s">
        <v>631</v>
      </c>
      <c r="E315" s="4" t="str">
        <f ca="1">IFERROR(__xludf.DUMMYFUNCTION("GOOGLETRANSLATE(A315 , ""tr"" , ""en"")"),"I don't have a gram of grams, I have no right to tire a gram. If you, I know you're even tired of alerts anymore. You are right. At the end of the day all concerns will be replaced by health. Be sure. And do not ignore the terms. This is enough. We will c"&amp;"ontinue to do the struggle's need to do")</f>
        <v>I don't have a gram of grams, I have no right to tire a gram. If you, I know you're even tired of alerts anymore. You are right. At the end of the day all concerns will be replaced by health. Be sure. And do not ignore the terms. This is enough. We will continue to do the struggle's need to do</v>
      </c>
    </row>
    <row r="316" spans="1:5" ht="15.75" customHeight="1" x14ac:dyDescent="0.25">
      <c r="A316" s="1" t="s">
        <v>632</v>
      </c>
      <c r="B316" s="1">
        <v>4897</v>
      </c>
      <c r="C316" s="3">
        <v>44479.871331018519</v>
      </c>
      <c r="D316" s="1" t="s">
        <v>633</v>
      </c>
      <c r="E316" s="4" t="str">
        <f ca="1">IFERROR(__xludf.DUMMYFUNCTION("GOOGLETRANSLATE(A316 , ""tr"" , ""en"")"),"Our two valential police fell martyr in the Archyme organization in the Armored vehicle in the Euphrates Shield Operation area. I wish the police siblings from Allah to the mercy, their families and safety organizations. The martyrs of the authority of pa"&amp;"radise are the place of hearts in the hearts. https://t.co/og5xlfp7lj")</f>
        <v>Our two valential police fell martyr in the Archyme organization in the Armored vehicle in the Euphrates Shield Operation area. I wish the police siblings from Allah to the mercy, their families and safety organizations. The martyrs of the authority of paradise are the place of hearts in the hearts. https://t.co/og5xlfp7lj</v>
      </c>
    </row>
    <row r="317" spans="1:5" ht="15.75" customHeight="1" x14ac:dyDescent="0.25">
      <c r="A317" s="1" t="s">
        <v>634</v>
      </c>
      <c r="B317" s="1">
        <v>3436</v>
      </c>
      <c r="C317" s="3">
        <v>44479.860960648148</v>
      </c>
      <c r="D317" s="1" t="s">
        <v>635</v>
      </c>
      <c r="E317" s="4" t="str">
        <f ca="1">IFERROR(__xludf.DUMMYFUNCTION("GOOGLETRANSLATE(A317 , ""tr"" , ""en"")"),"Congratulations Anil, Congratulations Resul, Congratulations Hami, Congratulations Birkan ... Congratulations and applause Size Sendromy Futsal National Team. In the European Championship final, we thank you for the 6 goals you have taken to Portugal Cast"&amp;"le and the mug that you have gained to us. We're always with you! https://t.co/tp3cqlysre")</f>
        <v>Congratulations Anil, Congratulations Resul, Congratulations Hami, Congratulations Birkan ... Congratulations and applause Size Sendromy Futsal National Team. In the European Championship final, we thank you for the 6 goals you have taken to Portugal Castle and the mug that you have gained to us. We're always with you! https://t.co/tp3cqlysre</v>
      </c>
    </row>
    <row r="318" spans="1:5" ht="15.75" customHeight="1" x14ac:dyDescent="0.25">
      <c r="A318" s="1" t="s">
        <v>636</v>
      </c>
      <c r="B318" s="1">
        <v>7119</v>
      </c>
      <c r="C318" s="3">
        <v>44479.840879629628</v>
      </c>
      <c r="D318" s="1" t="s">
        <v>637</v>
      </c>
      <c r="E318" s="4" t="str">
        <f ca="1">IFERROR(__xludf.DUMMYFUNCTION("GOOGLETRANSLATE(A318 , ""tr"" , ""en"")"),"What do you think of 4, 3, 2?
""We've made our 2 dose of overdose in all 4 people!"" means.
The number of these provinces should be moving 54 provinces in the 27th behind as of today!")</f>
        <v>What do you think of 4, 3, 2?
"We've made our 2 dose of overdose in all 4 people!" means.
The number of these provinces should be moving 54 provinces in the 27th behind as of today!</v>
      </c>
    </row>
    <row r="319" spans="1:5" ht="15.75" customHeight="1" x14ac:dyDescent="0.25">
      <c r="A319" s="1" t="s">
        <v>638</v>
      </c>
      <c r="B319" s="1">
        <v>13603</v>
      </c>
      <c r="C319" s="3">
        <v>44479.824918981481</v>
      </c>
      <c r="D319" s="1" t="s">
        <v>639</v>
      </c>
      <c r="E319" s="4" t="str">
        <f ca="1">IFERROR(__xludf.DUMMYFUNCTION("GOOGLETRANSLATE(A319 , ""tr"" , ""en"")"),"What do you think of 4, 3, 2?")</f>
        <v>What do you think of 4, 3, 2?</v>
      </c>
    </row>
    <row r="320" spans="1:5" ht="15.75" customHeight="1" x14ac:dyDescent="0.25">
      <c r="A320" s="1" t="s">
        <v>640</v>
      </c>
      <c r="B320" s="1">
        <v>3962</v>
      </c>
      <c r="C320" s="3">
        <v>44479.816041666665</v>
      </c>
      <c r="D320" s="1" t="s">
        <v>641</v>
      </c>
      <c r="E320" s="4" t="str">
        <f ca="1">IFERROR(__xludf.DUMMYFUNCTION("GOOGLETRANSLATE(A320 , ""tr"" , ""en"")"),"We are being stronger against Covid-19.
The second overdose ratio has passed 75% in Kastamonu today. Our number of blue provinces 27. For community immunity, all provinces, let's compete at the second overdose rate!")</f>
        <v>We are being stronger against Covid-19.
The second overdose ratio has passed 75% in Kastamonu today. Our number of blue provinces 27. For community immunity, all provinces, let's compete at the second overdose rate!</v>
      </c>
    </row>
    <row r="321" spans="1:5" ht="15.75" customHeight="1" x14ac:dyDescent="0.25">
      <c r="A321" s="1" t="s">
        <v>642</v>
      </c>
      <c r="B321" s="1">
        <v>5971</v>
      </c>
      <c r="C321" s="3">
        <v>44479.730983796297</v>
      </c>
      <c r="D321" s="1" t="s">
        <v>643</v>
      </c>
      <c r="E321" s="4" t="str">
        <f ca="1">IFERROR(__xludf.DUMMYFUNCTION("GOOGLETRANSLATE(A321 , ""tr"" , ""en"")"),"""Why are the case numbers high in spite of the vaccine?"" Let's look at today's number: 28.370. The number of hospitals by Covid-19 is 1.283. We are not yet in phase of community immunity. We see the outcome of the vaccine in a slight period of the disea"&amp;"se. Number of cases? The vaccine is increasing but the measure is reduced! https://t.co/uwtzklf9km")</f>
        <v>"Why are the case numbers high in spite of the vaccine?" Let's look at today's number: 28.370. The number of hospitals by Covid-19 is 1.283. We are not yet in phase of community immunity. We see the outcome of the vaccine in a slight period of the disease. Number of cases? The vaccine is increasing but the measure is reduced! https://t.co/uwtzklf9km</v>
      </c>
    </row>
    <row r="322" spans="1:5" ht="15.75" customHeight="1" x14ac:dyDescent="0.25">
      <c r="A322" s="1" t="s">
        <v>644</v>
      </c>
      <c r="B322" s="1">
        <v>5692</v>
      </c>
      <c r="C322" s="3">
        <v>44478.745856481481</v>
      </c>
      <c r="D322" s="1" t="s">
        <v>645</v>
      </c>
      <c r="E322" s="4" t="str">
        <f ca="1">IFERROR(__xludf.DUMMYFUNCTION("GOOGLETRANSLATE(A322 , ""tr"" , ""en"")"),"The only change is in Siirt!
The second overdose exceeded 55% in the ratio of red, as it is to go to orange, as it is almost to blue. Thank you siirt!")</f>
        <v>The only change is in Siirt!
The second overdose exceeded 55% in the ratio of red, as it is to go to orange, as it is almost to blue. Thank you siirt!</v>
      </c>
    </row>
    <row r="323" spans="1:5" ht="15.75" customHeight="1" x14ac:dyDescent="0.25">
      <c r="A323" s="1" t="s">
        <v>646</v>
      </c>
      <c r="B323" s="1">
        <v>7216</v>
      </c>
      <c r="C323" s="3">
        <v>44478.675347222219</v>
      </c>
      <c r="D323" s="1" t="s">
        <v>647</v>
      </c>
      <c r="E323" s="4" t="str">
        <f ca="1">IFERROR(__xludf.DUMMYFUNCTION("GOOGLETRANSLATE(A323 , ""tr"" , ""en"")"),"Teenagers, show us the way out of the output! In new cases, you create the highest rate. It's easy to infect without noticing the illness! You are the most hearing of the days without Covid. With your vaccination, if you are an example of us with your dai"&amp;"ly life ... The following table varies! https://t.co/3wlaepdrvo")</f>
        <v>Teenagers, show us the way out of the output! In new cases, you create the highest rate. It's easy to infect without noticing the illness! You are the most hearing of the days without Covid. With your vaccination, if you are an example of us with your daily life ... The following table varies! https://t.co/3wlaepdrvo</v>
      </c>
    </row>
    <row r="324" spans="1:5" ht="15.75" customHeight="1" x14ac:dyDescent="0.25">
      <c r="A324" s="1" t="s">
        <v>648</v>
      </c>
      <c r="B324" s="1">
        <v>2286</v>
      </c>
      <c r="C324" s="3">
        <v>44478.5780787037</v>
      </c>
      <c r="D324" s="1" t="s">
        <v>649</v>
      </c>
      <c r="E324" s="4" t="str">
        <f ca="1">IFERROR(__xludf.DUMMYFUNCTION("GOOGLETRANSLATE(A324 , ""tr"" , ""en"")"),"September 1-October 1, Case Density Between the previous week of the previous week: Bursa, Balıkesir, Uşak, Kirklareli, Sakarya, Ardahan, Edirne, Mersin, Denizli, Samsun. If you are in one of these provinces you should be even more careful now. https://t."&amp;"co/mquxhjl8fw")</f>
        <v>September 1-October 1, Case Density Between the previous week of the previous week: Bursa, Balıkesir, Uşak, Kirklareli, Sakarya, Ardahan, Edirne, Mersin, Denizli, Samsun. If you are in one of these provinces you should be even more careful now. https://t.co/mquxhjl8fw</v>
      </c>
    </row>
    <row r="325" spans="1:5" ht="15.75" customHeight="1" x14ac:dyDescent="0.25">
      <c r="A325" s="1" t="s">
        <v>650</v>
      </c>
      <c r="B325" s="1">
        <v>3587</v>
      </c>
      <c r="C325" s="3">
        <v>44478.574953703705</v>
      </c>
      <c r="D325" s="1" t="s">
        <v>651</v>
      </c>
      <c r="E325" s="4" t="str">
        <f ca="1">IFERROR(__xludf.DUMMYFUNCTION("GOOGLETRANSLATE(A325 , ""tr"" , ""en"")"),"From September 1-October 1, what was the total number of new Covid-19 cases in 100,000 people in 100,000 people? You can learn the situation in the province where you are experiencing, from our weekly incidence map. https://t.co/mjrdaa6hgn")</f>
        <v>From September 1-October 1, what was the total number of new Covid-19 cases in 100,000 people in 100,000 people? You can learn the situation in the province where you are experiencing, from our weekly incidence map. https://t.co/mjrdaa6hgn</v>
      </c>
    </row>
    <row r="326" spans="1:5" ht="15.75" customHeight="1" x14ac:dyDescent="0.25">
      <c r="A326" s="1" t="s">
        <v>652</v>
      </c>
      <c r="B326" s="1">
        <v>6708</v>
      </c>
      <c r="C326" s="3">
        <v>44477.845868055556</v>
      </c>
      <c r="D326" s="1" t="s">
        <v>653</v>
      </c>
      <c r="E326" s="4" t="str">
        <f ca="1">IFERROR(__xludf.DUMMYFUNCTION("GOOGLETRANSLATE(A326 , ""tr"" , ""en"")"),"Be your vaccine, take your measure. We overcome Covid-19 with our health workers and scientists. If this is not done, who is ill, most of us have to live in this struggle as the victim of epidemic conditions. Don't drive like that. Let's change this life.")</f>
        <v>Be your vaccine, take your measure. We overcome Covid-19 with our health workers and scientists. If this is not done, who is ill, most of us have to live in this struggle as the victim of epidemic conditions. Don't drive like that. Let's change this life.</v>
      </c>
    </row>
    <row r="327" spans="1:5" ht="15.75" customHeight="1" x14ac:dyDescent="0.25">
      <c r="A327" s="1" t="s">
        <v>654</v>
      </c>
      <c r="B327" s="1">
        <v>3166</v>
      </c>
      <c r="C327" s="3">
        <v>44477.802372685182</v>
      </c>
      <c r="D327" s="1" t="s">
        <v>655</v>
      </c>
      <c r="E327" s="4" t="str">
        <f ca="1">IFERROR(__xludf.DUMMYFUNCTION("GOOGLETRANSLATE(A327 , ""tr"" , ""en"")"),"Hakkâri's new goal is blue!
The second overdose rate is over 65% today. According to this rate, the color on the map is yellow. Against Covid-19, Hakkâri are waiting for all Turkey to give the blue news")</f>
        <v>Hakkâri's new goal is blue!
The second overdose rate is over 65% today. According to this rate, the color on the map is yellow. Against Covid-19, Hakkâri are waiting for all Turkey to give the blue news</v>
      </c>
    </row>
    <row r="328" spans="1:5" ht="15.75" customHeight="1" x14ac:dyDescent="0.25">
      <c r="A328" s="1" t="s">
        <v>656</v>
      </c>
      <c r="B328" s="1">
        <v>4544</v>
      </c>
      <c r="C328" s="3">
        <v>44477.796539351853</v>
      </c>
      <c r="D328" s="1" t="s">
        <v>657</v>
      </c>
      <c r="E328" s="4" t="str">
        <f ca="1">IFERROR(__xludf.DUMMYFUNCTION("GOOGLETRANSLATE(A328 , ""tr"" , ""en"")"),"We are being stronger against Covid-19.
The second overdose ratio has passed 75% in Mersin today. Our number of blue provinces 26. For community immunity, all provinces, let's compete at the second overdose!")</f>
        <v>We are being stronger against Covid-19.
The second overdose ratio has passed 75% in Mersin today. Our number of blue provinces 26. For community immunity, all provinces, let's compete at the second overdose!</v>
      </c>
    </row>
    <row r="329" spans="1:5" ht="15.75" customHeight="1" x14ac:dyDescent="0.25">
      <c r="A329" s="1" t="s">
        <v>658</v>
      </c>
      <c r="B329" s="1">
        <v>4757</v>
      </c>
      <c r="C329" s="3">
        <v>44477.708287037036</v>
      </c>
      <c r="D329" s="1" t="s">
        <v>659</v>
      </c>
      <c r="E329" s="4" t="str">
        <f ca="1">IFERROR(__xludf.DUMMYFUNCTION("GOOGLETRANSLATE(A329 , ""tr"" , ""en"")"),"We don't want your main agenda to be epidemic. The task of focusing on the topic is ours. To keep your usual life, you are guarding yourself by treating it. As vaccinations, speed up the process of community immunity. This table shows our serious neglects"&amp;". https://t.co/1yeybv4hwq")</f>
        <v>We don't want your main agenda to be epidemic. The task of focusing on the topic is ours. To keep your usual life, you are guarding yourself by treating it. As vaccinations, speed up the process of community immunity. This table shows our serious neglects. https://t.co/1yeybv4hwq</v>
      </c>
    </row>
    <row r="330" spans="1:5" ht="15.75" customHeight="1" x14ac:dyDescent="0.25">
      <c r="A330" s="1" t="s">
        <v>660</v>
      </c>
      <c r="B330" s="1">
        <v>5270</v>
      </c>
      <c r="C330" s="3">
        <v>44476.758692129632</v>
      </c>
      <c r="D330" s="1" t="s">
        <v>661</v>
      </c>
      <c r="E330" s="4" t="str">
        <f ca="1">IFERROR(__xludf.DUMMYFUNCTION("GOOGLETRANSLATE(A330 , ""tr"" , ""en"")"),"Yesterday 236, today 217 ... every day, many different life stories are ending. Let's be sensitive to Covid-19 welded, preventable causes. Measures and protect our own lives and others as our vaccination.")</f>
        <v>Yesterday 236, today 217 ... every day, many different life stories are ending. Let's be sensitive to Covid-19 welded, preventable causes. Measures and protect our own lives and others as our vaccination.</v>
      </c>
    </row>
    <row r="331" spans="1:5" ht="15.75" customHeight="1" x14ac:dyDescent="0.25">
      <c r="A331" s="1" t="s">
        <v>662</v>
      </c>
      <c r="B331" s="1">
        <v>2508</v>
      </c>
      <c r="C331" s="3">
        <v>44476.746412037035</v>
      </c>
      <c r="D331" s="1" t="s">
        <v>663</v>
      </c>
      <c r="E331" s="4" t="str">
        <f ca="1">IFERROR(__xludf.DUMMYFUNCTION("GOOGLETRANSLATE(A331 , ""tr"" , ""en"")"),"We are being stronger against Covid-19. Our number of blue provinces reached 25! https://t.co/ufmdys6tbe")</f>
        <v>We are being stronger against Covid-19. Our number of blue provinces reached 25! https://t.co/ufmdys6tbe</v>
      </c>
    </row>
    <row r="332" spans="1:5" ht="15.75" customHeight="1" x14ac:dyDescent="0.25">
      <c r="A332" s="1" t="s">
        <v>664</v>
      </c>
      <c r="B332" s="1">
        <v>4289</v>
      </c>
      <c r="C332" s="3">
        <v>44476.740613425929</v>
      </c>
      <c r="D332" s="1" t="s">
        <v>665</v>
      </c>
      <c r="E332" s="4" t="str">
        <f ca="1">IFERROR(__xludf.DUMMYFUNCTION("GOOGLETRANSLATE(A332 , ""tr"" , ""en"")"),"We are being stronger against Covid-19.
The second overdose ratio has passed 75% in Ankara today. Our number of blue provinces 25. For community immunity, 81 provinces, let's compete at the second overdose rate!")</f>
        <v>We are being stronger against Covid-19.
The second overdose ratio has passed 75% in Ankara today. Our number of blue provinces 25. For community immunity, 81 provinces, let's compete at the second overdose rate!</v>
      </c>
    </row>
    <row r="333" spans="1:5" ht="15.75" customHeight="1" x14ac:dyDescent="0.25">
      <c r="A333" s="1" t="s">
        <v>666</v>
      </c>
      <c r="B333" s="1">
        <v>2253</v>
      </c>
      <c r="C333" s="3">
        <v>44476.714849537035</v>
      </c>
      <c r="D333" s="1" t="s">
        <v>667</v>
      </c>
      <c r="E333" s="4" t="str">
        <f ca="1">IFERROR(__xludf.DUMMYFUNCTION("GOOGLETRANSLATE(A333 , ""tr"" , ""en"")"),"We are next 7th among the most vaccine countries against Covid-19! There are many reasons for this success. One of them is the sincere and unique effort of our health workers. Watch the video you will better understand that. https://t.co/vqweiuhj1u")</f>
        <v>We are next 7th among the most vaccine countries against Covid-19! There are many reasons for this success. One of them is the sincere and unique effort of our health workers. Watch the video you will better understand that. https://t.co/vqweiuhj1u</v>
      </c>
    </row>
    <row r="334" spans="1:5" ht="15.75" customHeight="1" x14ac:dyDescent="0.25">
      <c r="A334" s="1" t="s">
        <v>668</v>
      </c>
      <c r="B334" s="1">
        <v>3892</v>
      </c>
      <c r="C334" s="3">
        <v>44476.703946759262</v>
      </c>
      <c r="D334" s="1" t="s">
        <v>669</v>
      </c>
      <c r="E334" s="4" t="str">
        <f ca="1">IFERROR(__xludf.DUMMYFUNCTION("GOOGLETRANSLATE(A334 , ""tr"" , ""en"")"),"Understand the number of 217? We give new losses every day. A grandmother who has not been shared to whom grandchildren, a father who has dreams for whom to his family is a mother waiting for whom. The numbers in the tables I wish it could be felt enough."&amp;" Let's understand each other and be in solidarity. https://t.co/qhmnuzgmfd")</f>
        <v>Understand the number of 217? We give new losses every day. A grandmother who has not been shared to whom grandchildren, a father who has dreams for whom to his family is a mother waiting for whom. The numbers in the tables I wish it could be felt enough. Let's understand each other and be in solidarity. https://t.co/qhmnuzgmfd</v>
      </c>
    </row>
    <row r="335" spans="1:5" ht="15.75" customHeight="1" x14ac:dyDescent="0.25">
      <c r="A335" s="1" t="s">
        <v>670</v>
      </c>
      <c r="B335" s="1">
        <v>3208</v>
      </c>
      <c r="C335" s="3">
        <v>44476.595902777779</v>
      </c>
      <c r="D335" s="1" t="s">
        <v>671</v>
      </c>
      <c r="E335" s="4" t="str">
        <f ca="1">IFERROR(__xludf.DUMMYFUNCTION("GOOGLETRANSLATE(A335 , ""tr"" , ""en"")"),"Our nation's heroes of the hero samsunlu siblings in Tayfun Özköse, in Syria's El Bab region, today, the traitor of the terrorist's organization fell as a result of the traitor attack. Mercy from Allah to our martyr; We wish our family, heroery and condol"&amp;"ences to our country. May the homeland be right! https://t.co/vgax4bywxl")</f>
        <v>Our nation's heroes of the hero samsunlu siblings in Tayfun Özköse, in Syria's El Bab region, today, the traitor of the terrorist's organization fell as a result of the traitor attack. Mercy from Allah to our martyr; We wish our family, heroery and condolences to our country. May the homeland be right! https://t.co/vgax4bywxl</v>
      </c>
    </row>
    <row r="336" spans="1:5" ht="15.75" customHeight="1" x14ac:dyDescent="0.25">
      <c r="A336" s="1" t="s">
        <v>672</v>
      </c>
      <c r="B336" s="1">
        <v>4529</v>
      </c>
      <c r="C336" s="3">
        <v>44476.587372685186</v>
      </c>
      <c r="D336" s="1" t="s">
        <v>673</v>
      </c>
      <c r="E336" s="4" t="str">
        <f ca="1">IFERROR(__xludf.DUMMYFUNCTION("GOOGLETRANSLATE(A336 , ""tr"" , ""en"")"),"The fact that the case numbers are on a daily band of 28-30 thousand, approximate active 300 thousand cases for ten days time zone. We must be aware that this situation is a critical burden. The number is too high, even if the health system is not forced "&amp;"because people are young.")</f>
        <v>The fact that the case numbers are on a daily band of 28-30 thousand, approximate active 300 thousand cases for ten days time zone. We must be aware that this situation is a critical burden. The number is too high, even if the health system is not forced because people are young.</v>
      </c>
    </row>
    <row r="337" spans="1:5" ht="15.75" customHeight="1" x14ac:dyDescent="0.25">
      <c r="A337" s="1" t="s">
        <v>674</v>
      </c>
      <c r="B337" s="1">
        <v>4772</v>
      </c>
      <c r="C337" s="3">
        <v>44476.583645833336</v>
      </c>
      <c r="D337" s="1" t="s">
        <v>675</v>
      </c>
      <c r="E337" s="4" t="str">
        <f ca="1">IFERROR(__xludf.DUMMYFUNCTION("GOOGLETRANSLATE(A337 , ""tr"" , ""en"")"),"2 We think that our citizens, which are MRNA vaccine, and the protection of the vaccine is still continuing. There is no case that requires the overdose for the moment. If the inactive vaccines we insist on having to do overdose vaccines.")</f>
        <v>2 We think that our citizens, which are MRNA vaccine, and the protection of the vaccine is still continuing. There is no case that requires the overdose for the moment. If the inactive vaccines we insist on having to do overdose vaccines.</v>
      </c>
    </row>
    <row r="338" spans="1:5" ht="15.75" customHeight="1" x14ac:dyDescent="0.25">
      <c r="A338" s="1" t="s">
        <v>676</v>
      </c>
      <c r="B338" s="1">
        <v>3396</v>
      </c>
      <c r="C338" s="3">
        <v>44475.828090277777</v>
      </c>
      <c r="D338" s="1" t="s">
        <v>677</v>
      </c>
      <c r="E338" s="4" t="str">
        <f ca="1">IFERROR(__xludf.DUMMYFUNCTION("GOOGLETRANSLATE(A338 , ""tr"" , ""en"")"),"The second overdose against Covid-19 has passed 65% in Sakarya today. Sakarya's color on the map is now yellow. Let us all compete to overcome 75% at the second overdose rate for the results of all of us!")</f>
        <v>The second overdose against Covid-19 has passed 65% in Sakarya today. Sakarya's color on the map is now yellow. Let us all compete to overcome 75% at the second overdose rate for the results of all of us!</v>
      </c>
    </row>
    <row r="339" spans="1:5" ht="15.75" customHeight="1" x14ac:dyDescent="0.25">
      <c r="A339" s="1" t="s">
        <v>678</v>
      </c>
      <c r="B339" s="1">
        <v>4217</v>
      </c>
      <c r="C339" s="3">
        <v>44475.822268518517</v>
      </c>
      <c r="D339" s="1" t="s">
        <v>679</v>
      </c>
      <c r="E339" s="4" t="str">
        <f ca="1">IFERROR(__xludf.DUMMYFUNCTION("GOOGLETRANSLATE(A339 , ""tr"" , ""en"")"),"The second overdose rate against Covid-19 has passed 75% in the Uşak. Thus, the number of blue provinces reached 24. Let us all compete in the second overdose rate for the results of all of us!")</f>
        <v>The second overdose rate against Covid-19 has passed 75% in the Uşak. Thus, the number of blue provinces reached 24. Let us all compete in the second overdose rate for the results of all of us!</v>
      </c>
    </row>
    <row r="340" spans="1:5" ht="15.75" customHeight="1" x14ac:dyDescent="0.25">
      <c r="A340" s="1" t="s">
        <v>680</v>
      </c>
      <c r="B340" s="1">
        <v>8522</v>
      </c>
      <c r="C340" s="3">
        <v>44475.810023148151</v>
      </c>
      <c r="D340" s="1" t="s">
        <v>681</v>
      </c>
      <c r="E340" s="4" t="str">
        <f ca="1">IFERROR(__xludf.DUMMYFUNCTION("GOOGLETRANSLATE(A340 , ""tr"" , ""en"")"),"More than 50% of active cases are currently under 30 years. Although the rate in young people increases, this is not reflected in hospitalization and intensive care entries. However, our young people are an effective factor in transporting families to fam"&amp;"ilies to our elders with high.")</f>
        <v>More than 50% of active cases are currently under 30 years. Although the rate in young people increases, this is not reflected in hospitalization and intensive care entries. However, our young people are an effective factor in transporting families to families to our elders with high.</v>
      </c>
    </row>
    <row r="341" spans="1:5" ht="15.75" customHeight="1" x14ac:dyDescent="0.25">
      <c r="A341" s="1" t="s">
        <v>682</v>
      </c>
      <c r="B341" s="1">
        <v>2647</v>
      </c>
      <c r="C341" s="3">
        <v>44475.691805555558</v>
      </c>
      <c r="D341" s="1" t="s">
        <v>683</v>
      </c>
      <c r="E341" s="4" t="str">
        <f ca="1">IFERROR(__xludf.DUMMYFUNCTION("GOOGLETRANSLATE(A341 , ""tr"" , ""en"")"),"The fact that the case numbers are on a daily band of 28-30 thousand, approximate active 300 thousand cases for ten days time zone. https://t.co/vgj834nn0h")</f>
        <v>The fact that the case numbers are on a daily band of 28-30 thousand, approximate active 300 thousand cases for ten days time zone. https://t.co/vgj834nn0h</v>
      </c>
    </row>
    <row r="342" spans="1:5" ht="15.75" customHeight="1" x14ac:dyDescent="0.25">
      <c r="A342" s="1" t="s">
        <v>684</v>
      </c>
      <c r="B342" s="1">
        <v>5807</v>
      </c>
      <c r="C342" s="3">
        <v>44475.689120370371</v>
      </c>
      <c r="D342" s="1" t="s">
        <v>685</v>
      </c>
      <c r="E342" s="4" t="str">
        <f ca="1">IFERROR(__xludf.DUMMYFUNCTION("GOOGLETRANSLATE(A342 , ""tr"" , ""en"")"),"Why don't the case numbers fall? All three of the reasons: Social mobility has increased very much. Outside, common places are not given significance, and the disease spread environments are too much. We have not yet provided community immunity. What shou"&amp;"ld we do? We must comply with the measures, we must complete our vaccines. https://t.co/cyozsypxxw")</f>
        <v>Why don't the case numbers fall? All three of the reasons: Social mobility has increased very much. Outside, common places are not given significance, and the disease spread environments are too much. We have not yet provided community immunity. What should we do? We must comply with the measures, we must complete our vaccines. https://t.co/cyozsypxxw</v>
      </c>
    </row>
    <row r="343" spans="1:5" ht="15.75" customHeight="1" x14ac:dyDescent="0.25">
      <c r="A343" s="1" t="s">
        <v>686</v>
      </c>
      <c r="B343" s="1">
        <v>2863</v>
      </c>
      <c r="C343" s="3">
        <v>44475.611435185187</v>
      </c>
      <c r="D343" s="1" t="s">
        <v>687</v>
      </c>
      <c r="E343" s="4" t="str">
        <f ca="1">IFERROR(__xludf.DUMMYFUNCTION("GOOGLETRANSLATE(A343 , ""tr"" , ""en"")"),"4 years 10 months 23 days! It is probably not as long as the days of Istanbul is under occupation of our nation in our history. The eye baby of our civilization has been saved on 6 October 1923 from the occupation after the first world war. Happy 6th Octo"&amp;"ber, like Istanbul! https://t.co/vu7wmhqkv0")</f>
        <v>4 years 10 months 23 days! It is probably not as long as the days of Istanbul is under occupation of our nation in our history. The eye baby of our civilization has been saved on 6 October 1923 from the occupation after the first world war. Happy 6th October, like Istanbul! https://t.co/vu7wmhqkv0</v>
      </c>
    </row>
    <row r="344" spans="1:5" ht="15.75" customHeight="1" x14ac:dyDescent="0.25">
      <c r="A344" s="1" t="s">
        <v>688</v>
      </c>
      <c r="B344" s="1">
        <v>2939</v>
      </c>
      <c r="C344" s="3">
        <v>44475.599444444444</v>
      </c>
      <c r="D344" s="1" t="s">
        <v>689</v>
      </c>
      <c r="E344" s="4" t="str">
        <f ca="1">IFERROR(__xludf.DUMMYFUNCTION("GOOGLETRANSLATE(A344 , ""tr"" , ""en"")"),"Some of our children are born with a permanent brain disease we call a cerebral palsy and are involved in difficulties, obstacles. This is a supreme assignment for our children to reach the best possible quality of life. Let's do our best to increase soci"&amp;"al awareness. https://t.co/uhyadCRXII")</f>
        <v>Some of our children are born with a permanent brain disease we call a cerebral palsy and are involved in difficulties, obstacles. This is a supreme assignment for our children to reach the best possible quality of life. Let's do our best to increase social awareness. https://t.co/uhyadCRXII</v>
      </c>
    </row>
    <row r="345" spans="1:5" ht="15.75" customHeight="1" x14ac:dyDescent="0.25">
      <c r="A345" s="1" t="s">
        <v>690</v>
      </c>
      <c r="B345" s="1">
        <v>3477</v>
      </c>
      <c r="C345" s="3">
        <v>44474.848252314812</v>
      </c>
      <c r="D345" s="1" t="s">
        <v>691</v>
      </c>
      <c r="E345" s="4" t="str">
        <f ca="1">IFERROR(__xludf.DUMMYFUNCTION("GOOGLETRANSLATE(A345 , ""tr"" , ""en"")"),"The second overdose rate against Covid-19 has passed 55% today in Bingöl. Bingöl's color on the map is orange anymore. Let us all compete to overcome 75% at the second overdose rate for the results of all of us!")</f>
        <v>The second overdose rate against Covid-19 has passed 55% today in Bingöl. Bingöl's color on the map is orange anymore. Let us all compete to overcome 75% at the second overdose rate for the results of all of us!</v>
      </c>
    </row>
    <row r="346" spans="1:5" ht="15.75" customHeight="1" x14ac:dyDescent="0.25">
      <c r="A346" s="1" t="s">
        <v>692</v>
      </c>
      <c r="B346" s="1">
        <v>3027</v>
      </c>
      <c r="C346" s="3">
        <v>44474.825509259259</v>
      </c>
      <c r="D346" s="1" t="s">
        <v>693</v>
      </c>
      <c r="E346" s="4" t="str">
        <f ca="1">IFERROR(__xludf.DUMMYFUNCTION("GOOGLETRANSLATE(A346 , ""tr"" , ""en"")"),"The second overdose against Covid-19 has passed 65% today in Konya and Kars. The color of these two provinces on the map is now yellow. Let us all compete to overcome 75% at the second overdose rate for the results of all of us!")</f>
        <v>The second overdose against Covid-19 has passed 65% today in Konya and Kars. The color of these two provinces on the map is now yellow. Let us all compete to overcome 75% at the second overdose rate for the results of all of us!</v>
      </c>
    </row>
    <row r="347" spans="1:5" ht="15.75" customHeight="1" x14ac:dyDescent="0.25">
      <c r="A347" s="1" t="s">
        <v>694</v>
      </c>
      <c r="B347" s="1">
        <v>4536</v>
      </c>
      <c r="C347" s="3">
        <v>44474.818391203706</v>
      </c>
      <c r="D347" s="1" t="s">
        <v>695</v>
      </c>
      <c r="E347" s="4" t="str">
        <f ca="1">IFERROR(__xludf.DUMMYFUNCTION("GOOGLETRANSLATE(A347 , ""tr"" , ""en"")"),"The second overdose against Covid-19 has passed 75% in Isparta. Thus, the blue province has reached 23. Let us all compete in the second overdose rate for the results of all of us!")</f>
        <v>The second overdose against Covid-19 has passed 75% in Isparta. Thus, the blue province has reached 23. Let us all compete in the second overdose rate for the results of all of us!</v>
      </c>
    </row>
    <row r="348" spans="1:5" ht="15.75" customHeight="1" x14ac:dyDescent="0.25">
      <c r="A348" s="1" t="s">
        <v>696</v>
      </c>
      <c r="B348" s="1">
        <v>5224</v>
      </c>
      <c r="C348" s="3">
        <v>44474.718599537038</v>
      </c>
      <c r="D348" s="1" t="s">
        <v>697</v>
      </c>
      <c r="E348" s="4" t="str">
        <f ca="1">IFERROR(__xludf.DUMMYFUNCTION("GOOGLETRANSLATE(A348 , ""tr"" , ""en"")"),"Tomorrow, if you are outside, look at your surroundings if your path falls on a crowded place. How many of us are wearing our mask, how we don't wear? Is there an effort to adapt to the social distance rule? We are not yet in phase of community immunity. "&amp;"We must have vaccines and abide with the rules. https://t.co/amoxxe6oca")</f>
        <v>Tomorrow, if you are outside, look at your surroundings if your path falls on a crowded place. How many of us are wearing our mask, how we don't wear? Is there an effort to adapt to the social distance rule? We are not yet in phase of community immunity. We must have vaccines and abide with the rules. https://t.co/amoxxe6oca</v>
      </c>
    </row>
    <row r="349" spans="1:5" ht="15.75" customHeight="1" x14ac:dyDescent="0.25">
      <c r="A349" s="1" t="s">
        <v>698</v>
      </c>
      <c r="B349" s="1">
        <v>10720</v>
      </c>
      <c r="C349" s="3">
        <v>44474.704224537039</v>
      </c>
      <c r="D349" s="1" t="s">
        <v>699</v>
      </c>
      <c r="E349" s="4" t="str">
        <f ca="1">IFERROR(__xludf.DUMMYFUNCTION("GOOGLETRANSLATE(A349 , ""tr"" , ""en"")"),"The vaccine does not make the hero against the coronavirue. The vaccine should also fitting the mask, the social distance rule should be able to comply with the possible order. Even if the virus does not ill, it has the potential to transmiss and spread e"&amp;"veryone. We have to comply with the rules until community immunity is provided.")</f>
        <v>The vaccine does not make the hero against the coronavirue. The vaccine should also fitting the mask, the social distance rule should be able to comply with the possible order. Even if the virus does not ill, it has the potential to transmiss and spread everyone. We have to comply with the rules until community immunity is provided.</v>
      </c>
    </row>
    <row r="350" spans="1:5" ht="15.75" customHeight="1" x14ac:dyDescent="0.25">
      <c r="A350" s="1" t="s">
        <v>700</v>
      </c>
      <c r="B350" s="1">
        <v>13034</v>
      </c>
      <c r="C350" s="3">
        <v>44473.790370370371</v>
      </c>
      <c r="D350" s="1" t="s">
        <v>701</v>
      </c>
      <c r="E350" s="4" t="str">
        <f ca="1">IFERROR(__xludf.DUMMYFUNCTION("GOOGLETRANSLATE(A350 , ""tr"" , ""en"")"),"The second message of the animal protection day. We stuck the blue together again :) https://t.co/fnkiz83b5x")</f>
        <v>The second message of the animal protection day. We stuck the blue together again :) https://t.co/fnkiz83b5x</v>
      </c>
    </row>
    <row r="351" spans="1:5" ht="15.75" customHeight="1" x14ac:dyDescent="0.25">
      <c r="A351" s="1" t="s">
        <v>702</v>
      </c>
      <c r="B351" s="1">
        <v>5727</v>
      </c>
      <c r="C351" s="3">
        <v>44473.779953703706</v>
      </c>
      <c r="D351" s="1" t="s">
        <v>703</v>
      </c>
      <c r="E351" s="4" t="str">
        <f ca="1">IFERROR(__xludf.DUMMYFUNCTION("GOOGLETRANSLATE(A351 , ""tr"" , ""en"")"),"The second overdose against Covid-19 has passed 65% in Kahramanmaras and Niğde. The color of these two provinces on the map is now yellow. Let us all compete to overcome 75% at the second overdose rate for the results of all of us!")</f>
        <v>The second overdose against Covid-19 has passed 65% in Kahramanmaras and Niğde. The color of these two provinces on the map is now yellow. Let us all compete to overcome 75% at the second overdose rate for the results of all of us!</v>
      </c>
    </row>
    <row r="352" spans="1:5" ht="15.75" customHeight="1" x14ac:dyDescent="0.25">
      <c r="A352" s="1" t="s">
        <v>704</v>
      </c>
      <c r="B352" s="1">
        <v>5857</v>
      </c>
      <c r="C352" s="3">
        <v>44473.776030092595</v>
      </c>
      <c r="D352" s="1" t="s">
        <v>705</v>
      </c>
      <c r="E352" s="4" t="str">
        <f ca="1">IFERROR(__xludf.DUMMYFUNCTION("GOOGLETRANSLATE(A352 , ""tr"" , ""en"")"),"The second overdose against Covid-19 has passed 75% in Tekirdağ and Corum. Thus, the blue province has reached 22. Let us all compete in the second overdose rate for the results of all of us!")</f>
        <v>The second overdose against Covid-19 has passed 75% in Tekirdağ and Corum. Thus, the blue province has reached 22. Let us all compete in the second overdose rate for the results of all of us!</v>
      </c>
    </row>
    <row r="353" spans="1:5" ht="15.75" customHeight="1" x14ac:dyDescent="0.25">
      <c r="A353" s="1" t="s">
        <v>706</v>
      </c>
      <c r="B353" s="1">
        <v>6402</v>
      </c>
      <c r="C353" s="3">
        <v>44473.731423611112</v>
      </c>
      <c r="D353" s="1" t="s">
        <v>707</v>
      </c>
      <c r="E353" s="4" t="str">
        <f ca="1">IFERROR(__xludf.DUMMYFUNCTION("GOOGLETRANSLATE(A353 , ""tr"" , ""en"")"),"In the table we often see worrisome case and passenger numbers. There are also periods we are in better condition. Successful landings are coming. This is a vicious circle? If repeated fatigue in measures, yes. But be aware that the vaccine will break thi"&amp;"s cycle soon. Let's pick up! https://t.co/uxutulbybq")</f>
        <v>In the table we often see worrisome case and passenger numbers. There are also periods we are in better condition. Successful landings are coming. This is a vicious circle? If repeated fatigue in measures, yes. But be aware that the vaccine will break this cycle soon. Let's pick up! https://t.co/uxutulbybq</v>
      </c>
    </row>
    <row r="354" spans="1:5" ht="15.75" customHeight="1" x14ac:dyDescent="0.25">
      <c r="A354" s="1" t="s">
        <v>708</v>
      </c>
      <c r="B354" s="1">
        <v>11609</v>
      </c>
      <c r="C354" s="3">
        <v>44473.615624999999</v>
      </c>
      <c r="D354" s="1" t="s">
        <v>709</v>
      </c>
      <c r="E354" s="4" t="str">
        <f ca="1">IFERROR(__xludf.DUMMYFUNCTION("GOOGLETRANSLATE(A354 , ""tr"" , ""en"")"),"The World Animals Protection Day reminds us that life is our task if all of life provides healthy living conditions to animals. The head of the work is love on this issue! Because it is love to overcome selfishness and prepare good life. And you feel love"&amp;"d every live. https://t.co/dn1vuoagvh")</f>
        <v>The World Animals Protection Day reminds us that life is our task if all of life provides healthy living conditions to animals. The head of the work is love on this issue! Because it is love to overcome selfishness and prepare good life. And you feel loved every live. https://t.co/dn1vuoagvh</v>
      </c>
    </row>
    <row r="355" spans="1:5" ht="15.75" customHeight="1" x14ac:dyDescent="0.25">
      <c r="A355" s="1" t="s">
        <v>710</v>
      </c>
      <c r="B355" s="1">
        <v>7103</v>
      </c>
      <c r="C355" s="3">
        <v>44472.848912037036</v>
      </c>
      <c r="D355" s="1" t="s">
        <v>711</v>
      </c>
      <c r="E355" s="4" t="str">
        <f ca="1">IFERROR(__xludf.DUMMYFUNCTION("GOOGLETRANSLATE(A355 , ""tr"" , ""en"")"),"The second overdose against Covid-19 has passed 75% in Manisa. Thus, the number of blue provinces reached 20. Let us all compete in the second overdose rate for the results of all of us!")</f>
        <v>The second overdose against Covid-19 has passed 75% in Manisa. Thus, the number of blue provinces reached 20. Let us all compete in the second overdose rate for the results of all of us!</v>
      </c>
    </row>
    <row r="356" spans="1:5" ht="15.75" customHeight="1" x14ac:dyDescent="0.25">
      <c r="A356" s="1" t="s">
        <v>712</v>
      </c>
      <c r="B356" s="1">
        <v>4167</v>
      </c>
      <c r="C356" s="3">
        <v>44472.772094907406</v>
      </c>
      <c r="D356" s="1" t="s">
        <v>713</v>
      </c>
      <c r="E356" s="4" t="str">
        <f ca="1">IFERROR(__xludf.DUMMYFUNCTION("GOOGLETRANSLATE(A356 , ""tr"" , ""en"")"),"""My breaths has completely hospitalized when they go. Have not been vaccinated. "" https://t.co/uelb49lxfe")</f>
        <v>"My breaths has completely hospitalized when they go. Have not been vaccinated. " https://t.co/uelb49lxfe</v>
      </c>
    </row>
    <row r="357" spans="1:5" ht="15.75" customHeight="1" x14ac:dyDescent="0.25">
      <c r="A357" s="1" t="s">
        <v>714</v>
      </c>
      <c r="B357" s="1">
        <v>4640</v>
      </c>
      <c r="C357" s="3">
        <v>44472.726967592593</v>
      </c>
      <c r="D357" s="1" t="s">
        <v>715</v>
      </c>
      <c r="E357" s="4" t="str">
        <f ca="1">IFERROR(__xludf.DUMMYFUNCTION("GOOGLETRANSLATE(A357 , ""tr"" , ""en"")"),"We have to move faster on vaccination. We should obey the measures greater seriously until community immunity is provided. In the period we are in, it was easier to spread the disease. Good news depends on the increase in double-dose vaccine ratio, mask a"&amp;"nd distance rule. https://t.co/nhjj39pwtk")</f>
        <v>We have to move faster on vaccination. We should obey the measures greater seriously until community immunity is provided. In the period we are in, it was easier to spread the disease. Good news depends on the increase in double-dose vaccine ratio, mask and distance rule. https://t.co/nhjj39pwtk</v>
      </c>
    </row>
    <row r="358" spans="1:5" ht="15.75" customHeight="1" x14ac:dyDescent="0.25">
      <c r="A358" s="1" t="s">
        <v>716</v>
      </c>
      <c r="B358" s="1">
        <v>4606</v>
      </c>
      <c r="C358" s="3">
        <v>44471.792951388888</v>
      </c>
      <c r="D358" s="1" t="s">
        <v>717</v>
      </c>
      <c r="E358" s="4" t="str">
        <f ca="1">IFERROR(__xludf.DUMMYFUNCTION("GOOGLETRANSLATE(A358 , ""tr"" , ""en"")"),"Hearing Impaired Women's Volleyball National Team, the World Championship Final has won the gold medal by defeating the host Italy. We celebrate our national players who bring the championship to our country. Your name is always nominated with championshi"&amp;"p! https://t.co/urcksszcvg")</f>
        <v>Hearing Impaired Women's Volleyball National Team, the World Championship Final has won the gold medal by defeating the host Italy. We celebrate our national players who bring the championship to our country. Your name is always nominated with championship! https://t.co/urcksszcvg</v>
      </c>
    </row>
    <row r="359" spans="1:5" ht="15.75" customHeight="1" x14ac:dyDescent="0.25">
      <c r="A359" s="1" t="s">
        <v>718</v>
      </c>
      <c r="B359" s="1">
        <v>3425</v>
      </c>
      <c r="C359" s="3">
        <v>44471.737800925926</v>
      </c>
      <c r="D359" s="1" t="s">
        <v>719</v>
      </c>
      <c r="E359" s="4" t="str">
        <f ca="1">IFERROR(__xludf.DUMMYFUNCTION("GOOGLETRANSLATE(A359 , ""tr"" , ""en"")"),"""Hani, says, I've seen the death with my eye. I wish I was the vaccination I wouldn't have so much. "" https://t.co/uu9ILN1c0e")</f>
        <v>"Hani, says, I've seen the death with my eye. I wish I was the vaccination I wouldn't have so much. " https://t.co/uu9ILN1c0e</v>
      </c>
    </row>
    <row r="360" spans="1:5" ht="15.75" customHeight="1" x14ac:dyDescent="0.25">
      <c r="A360" s="1" t="s">
        <v>720</v>
      </c>
      <c r="B360" s="1">
        <v>4695</v>
      </c>
      <c r="C360" s="3">
        <v>44471.677164351851</v>
      </c>
      <c r="D360" s="1" t="s">
        <v>721</v>
      </c>
      <c r="E360" s="4" t="str">
        <f ca="1">IFERROR(__xludf.DUMMYFUNCTION("GOOGLETRANSLATE(A360 , ""tr"" , ""en"")"),"Our new case count is 27.973. Our loss of our loss 203. Autumn, the outbreak of outbreaks in winter conditions is a little more difficult. The time and contact is increasing in enclosed environments. The use of mask has gained more than important. Let's n"&amp;"ot forget that the disease is infected by breathing. Let's get our vaccinations. https://t.co/kznq3rdjn4")</f>
        <v>Our new case count is 27.973. Our loss of our loss 203. Autumn, the outbreak of outbreaks in winter conditions is a little more difficult. The time and contact is increasing in enclosed environments. The use of mask has gained more than important. Let's not forget that the disease is infected by breathing. Let's get our vaccinations. https://t.co/kznq3rdjn4</v>
      </c>
    </row>
    <row r="361" spans="1:5" ht="15.75" customHeight="1" x14ac:dyDescent="0.25">
      <c r="A361" s="1" t="s">
        <v>722</v>
      </c>
      <c r="B361" s="1">
        <v>7428</v>
      </c>
      <c r="C361" s="3">
        <v>44471.516689814816</v>
      </c>
      <c r="D361" s="1" t="s">
        <v>723</v>
      </c>
      <c r="E361" s="4" t="str">
        <f ca="1">IFERROR(__xludf.DUMMYFUNCTION("GOOGLETRANSLATE(A361 , ""tr"" , ""en"")"),"We've exceeded 110 million dose today! In Europe in the number of total vaccines that are applied against Covid-19, we are the 7th country in Europe all over the world! In the first 6 ranks, there are highly high-populated countries with vaccine manufactu"&amp;"rer and the population of the US again.")</f>
        <v>We've exceeded 110 million dose today! In Europe in the number of total vaccines that are applied against Covid-19, we are the 7th country in Europe all over the world! In the first 6 ranks, there are highly high-populated countries with vaccine manufacturer and the population of the US again.</v>
      </c>
    </row>
    <row r="362" spans="1:5" ht="15.75" customHeight="1" x14ac:dyDescent="0.25">
      <c r="A362" s="1" t="s">
        <v>724</v>
      </c>
      <c r="B362" s="1">
        <v>2047</v>
      </c>
      <c r="C362" s="3">
        <v>44471.479050925926</v>
      </c>
      <c r="D362" s="1" t="s">
        <v>725</v>
      </c>
      <c r="E362" s="4" t="str">
        <f ca="1">IFERROR(__xludf.DUMMYFUNCTION("GOOGLETRANSLATE(A362 , ""tr"" , ""en"")"),"Between 18-24 September of the Case Density The most increasing 10 provinces: Zonguldak, Kirsehir, Düzce, Bursa, Bolu, Kars, Bartin, Kütahya, Kocaeli, Bilecik. If you are in one of these provinces you should be even more careful now. The ultimate solution"&amp;" vaccine! Measures are indispensable. https://t.co/q52asfo95v")</f>
        <v>Between 18-24 September of the Case Density The most increasing 10 provinces: Zonguldak, Kirsehir, Düzce, Bursa, Bolu, Kars, Bartin, Kütahya, Kocaeli, Bilecik. If you are in one of these provinces you should be even more careful now. The ultimate solution vaccine! Measures are indispensable. https://t.co/q52asfo95v</v>
      </c>
    </row>
    <row r="363" spans="1:5" ht="15.75" customHeight="1" x14ac:dyDescent="0.25">
      <c r="A363" s="1" t="s">
        <v>726</v>
      </c>
      <c r="B363" s="1">
        <v>3335</v>
      </c>
      <c r="C363" s="3">
        <v>44471.475289351853</v>
      </c>
      <c r="D363" s="1" t="s">
        <v>727</v>
      </c>
      <c r="E363" s="4" t="str">
        <f ca="1">IFERROR(__xludf.DUMMYFUNCTION("GOOGLETRANSLATE(A363 , ""tr"" , ""en"")"),"From September 18-24, what was a total of weekly new Covid-19 cases in 100,000 people? You can learn the situation in the province where you are experiencing, from our weekly incidence map. https://t.co/yspkujnyl3")</f>
        <v>From September 18-24, what was a total of weekly new Covid-19 cases in 100,000 people? You can learn the situation in the province where you are experiencing, from our weekly incidence map. https://t.co/yspkujnyl3</v>
      </c>
    </row>
    <row r="364" spans="1:5" ht="15.75" customHeight="1" x14ac:dyDescent="0.25">
      <c r="A364" s="1" t="s">
        <v>728</v>
      </c>
      <c r="B364" s="1">
        <v>5441</v>
      </c>
      <c r="C364" s="3">
        <v>44470.780231481483</v>
      </c>
      <c r="D364" s="1" t="s">
        <v>729</v>
      </c>
      <c r="E364" s="4" t="str">
        <f ca="1">IFERROR(__xludf.DUMMYFUNCTION("GOOGLETRANSLATE(A364 , ""tr"" , ""en"")"),"The second overdose against Covid-19 has passed 75% in Artvin, Sinop and Bilecik. Thus, the number of blue provinces reached 19. Let us all compete in the second overdose rate for the results of all of us!")</f>
        <v>The second overdose against Covid-19 has passed 75% in Artvin, Sinop and Bilecik. Thus, the number of blue provinces reached 19. Let us all compete in the second overdose rate for the results of all of us!</v>
      </c>
    </row>
    <row r="365" spans="1:5" ht="15.75" customHeight="1" x14ac:dyDescent="0.25">
      <c r="A365" s="1" t="s">
        <v>730</v>
      </c>
      <c r="B365" s="1">
        <v>2109</v>
      </c>
      <c r="C365" s="3">
        <v>44470.731527777774</v>
      </c>
      <c r="D365" s="1" t="s">
        <v>731</v>
      </c>
      <c r="E365" s="4" t="str">
        <f ca="1">IFERROR(__xludf.DUMMYFUNCTION("GOOGLETRANSLATE(A365 , ""tr"" , ""en"")"),"Turkey Grand National Assembly, the 27th semester 5. Legislative year work started today. With the belief that the new legislative year of our Supreme Council will bring Nice to our country, I wish the representative of our nation to our saint nation. htt"&amp;"ps://t.co/obJL3RI4G2")</f>
        <v>Turkey Grand National Assembly, the 27th semester 5. Legislative year work started today. With the belief that the new legislative year of our Supreme Council will bring Nice to our country, I wish the representative of our nation to our saint nation. https://t.co/obJL3RI4G2</v>
      </c>
    </row>
    <row r="366" spans="1:5" ht="15.75" customHeight="1" x14ac:dyDescent="0.25">
      <c r="A366" s="1" t="s">
        <v>732</v>
      </c>
      <c r="B366" s="1">
        <v>3738</v>
      </c>
      <c r="C366" s="3">
        <v>44470.702407407407</v>
      </c>
      <c r="D366" s="1" t="s">
        <v>733</v>
      </c>
      <c r="E366" s="4" t="str">
        <f ca="1">IFERROR(__xludf.DUMMYFUNCTION("GOOGLETRANSLATE(A366 , ""tr"" , ""en"")"),"Our new case is 28.873. CAN Loss 210. We are facing the fact that the measures are in society and the fact that we do not implement regularly. The place is small falls but these decreases do not show stability. In the autumn conditions, we must be more ca"&amp;"reful, we must make our vaccines. https://t.co/debmwrtx3n")</f>
        <v>Our new case is 28.873. CAN Loss 210. We are facing the fact that the measures are in society and the fact that we do not implement regularly. The place is small falls but these decreases do not show stability. In the autumn conditions, we must be more careful, we must make our vaccines. https://t.co/debmwrtx3n</v>
      </c>
    </row>
    <row r="367" spans="1:5" ht="15.75" customHeight="1" x14ac:dyDescent="0.25">
      <c r="A367" s="1" t="s">
        <v>734</v>
      </c>
      <c r="B367" s="1">
        <v>3870</v>
      </c>
      <c r="C367" s="3">
        <v>44470.625636574077</v>
      </c>
      <c r="D367" s="1" t="s">
        <v>735</v>
      </c>
      <c r="E367" s="4" t="str">
        <f ca="1">IFERROR(__xludf.DUMMYFUNCTION("GOOGLETRANSLATE(A367 , ""tr"" , ""en"")"),"From the important names of Turkish politics, National Necmettin Erbakan's Road fellowship in the national opinion of Necmettin Erbakan, Oğuzhan Asiltürk gentleman has been treated in the hospital in the hospital. May the venue be in the heaven, the autho"&amp;"rity. I wish their condolences to lovers.")</f>
        <v>From the important names of Turkish politics, National Necmettin Erbakan's Road fellowship in the national opinion of Necmettin Erbakan, Oğuzhan Asiltürk gentleman has been treated in the hospital in the hospital. May the venue be in the heaven, the authority. I wish their condolences to lovers.</v>
      </c>
    </row>
    <row r="368" spans="1:5" ht="15.75" customHeight="1" x14ac:dyDescent="0.25">
      <c r="A368" s="1" t="s">
        <v>736</v>
      </c>
      <c r="B368" s="1">
        <v>5723</v>
      </c>
      <c r="C368" s="3">
        <v>44469.789212962962</v>
      </c>
      <c r="D368" s="1" t="s">
        <v>737</v>
      </c>
      <c r="E368" s="4" t="str">
        <f ca="1">IFERROR(__xludf.DUMMYFUNCTION("GOOGLETRANSLATE(A368 , ""tr"" , ""en"")"),"What is your tomorrow's plan against Covid-19?
Have you made your first dose vaccine? If you haven't had it, you can make an appointment immediately. If the continued dose is time, you may have your vaccine. In your workplace, remember to wear your mask w"&amp;"hen you are in the outside, with others, and to pay attention to your social distance.")</f>
        <v>What is your tomorrow's plan against Covid-19?
Have you made your first dose vaccine? If you haven't had it, you can make an appointment immediately. If the continued dose is time, you may have your vaccine. In your workplace, remember to wear your mask when you are in the outside, with others, and to pay attention to your social distance.</v>
      </c>
    </row>
    <row r="369" spans="1:5" ht="15.75" customHeight="1" x14ac:dyDescent="0.25">
      <c r="A369" s="1" t="s">
        <v>738</v>
      </c>
      <c r="B369" s="1">
        <v>3182</v>
      </c>
      <c r="C369" s="3">
        <v>44469.77684027778</v>
      </c>
      <c r="D369" s="1" t="s">
        <v>739</v>
      </c>
      <c r="E369" s="4" t="str">
        <f ca="1">IFERROR(__xludf.DUMMYFUNCTION("GOOGLETRANSLATE(A369 , ""tr"" , ""en"")"),"The second overdose rate against Covid-19 has passed 65% in the Kilis. Kilis's color on the map is yellow. Let us all compete to overcome 75% at the second overdose rate for the results of all of us!")</f>
        <v>The second overdose rate against Covid-19 has passed 65% in the Kilis. Kilis's color on the map is yellow. Let us all compete to overcome 75% at the second overdose rate for the results of all of us!</v>
      </c>
    </row>
    <row r="370" spans="1:5" ht="15.75" customHeight="1" x14ac:dyDescent="0.25">
      <c r="A370" s="1" t="s">
        <v>740</v>
      </c>
      <c r="B370" s="1">
        <v>4520</v>
      </c>
      <c r="C370" s="3">
        <v>44469.769166666665</v>
      </c>
      <c r="D370" s="1" t="s">
        <v>741</v>
      </c>
      <c r="E370" s="4" t="str">
        <f ca="1">IFERROR(__xludf.DUMMYFUNCTION("GOOGLETRANSLATE(A370 , ""tr"" , ""en"")"),"The second overdose against Covid-19 has passed 75% in Denizli. Thus, the blue province has reached 16. Let us all compete in the second overdose rate for the results of all of us!")</f>
        <v>The second overdose against Covid-19 has passed 75% in Denizli. Thus, the blue province has reached 16. Let us all compete in the second overdose rate for the results of all of us!</v>
      </c>
    </row>
    <row r="371" spans="1:5" ht="15.75" customHeight="1" x14ac:dyDescent="0.25">
      <c r="A371" s="1" t="s">
        <v>742</v>
      </c>
      <c r="B371" s="1">
        <v>3909</v>
      </c>
      <c r="C371" s="3">
        <v>44469.733402777776</v>
      </c>
      <c r="D371" s="1" t="s">
        <v>743</v>
      </c>
      <c r="E371" s="4" t="str">
        <f ca="1">IFERROR(__xludf.DUMMYFUNCTION("GOOGLETRANSLATE(A371 , ""tr"" , ""en"")"),"Our loss of today's loss 216. The people who lost themselves were not precautions, but the result would be very different that the other people had exactly the requirements of the struggle of epidemics. Contamination and passfunctions are realized as a re"&amp;"sult of chain negligence. Our vaccines and let's obey the measures. https://t.co/yhcomawnh9")</f>
        <v>Our loss of today's loss 216. The people who lost themselves were not precautions, but the result would be very different that the other people had exactly the requirements of the struggle of epidemics. Contamination and passfunctions are realized as a result of chain negligence. Our vaccines and let's obey the measures. https://t.co/yhcomawnh9</v>
      </c>
    </row>
    <row r="372" spans="1:5" ht="15.75" customHeight="1" x14ac:dyDescent="0.25">
      <c r="A372" s="1" t="s">
        <v>744</v>
      </c>
      <c r="B372" s="1">
        <v>4159</v>
      </c>
      <c r="C372" s="3">
        <v>44468.769872685189</v>
      </c>
      <c r="D372" s="1" t="s">
        <v>745</v>
      </c>
      <c r="E372" s="4" t="str">
        <f ca="1">IFERROR(__xludf.DUMMYFUNCTION("GOOGLETRANSLATE(A372 , ""tr"" , ""en"")"),"The second overdose against Covid-19 appeared over 65% in Yozgat, Erzincan and Malatya. These three products are yellow on the map. Let us race to pass 75% of the second overdose rate for the results of all of us!")</f>
        <v>The second overdose against Covid-19 appeared over 65% in Yozgat, Erzincan and Malatya. These three products are yellow on the map. Let us race to pass 75% of the second overdose rate for the results of all of us!</v>
      </c>
    </row>
    <row r="373" spans="1:5" ht="15.75" customHeight="1" x14ac:dyDescent="0.25">
      <c r="A373" s="1" t="s">
        <v>746</v>
      </c>
      <c r="B373" s="1">
        <v>6148</v>
      </c>
      <c r="C373" s="3">
        <v>44468.739351851851</v>
      </c>
      <c r="D373" s="1" t="s">
        <v>747</v>
      </c>
      <c r="E373" s="4" t="str">
        <f ca="1">IFERROR(__xludf.DUMMYFUNCTION("GOOGLETRANSLATE(A373 , ""tr"" , ""en"")"),"Our second dose of overdose against Covid-19 has been over 75% in Aydin and Zonguldak. Thus, the blue province has reached 15. Let us all compete in the second overdose rate for the results of all of us!")</f>
        <v>Our second dose of overdose against Covid-19 has been over 75% in Aydin and Zonguldak. Thus, the blue province has reached 15. Let us all compete in the second overdose rate for the results of all of us!</v>
      </c>
    </row>
    <row r="374" spans="1:5" ht="15.75" customHeight="1" x14ac:dyDescent="0.25">
      <c r="A374" s="1" t="s">
        <v>748</v>
      </c>
      <c r="B374" s="1">
        <v>4755</v>
      </c>
      <c r="C374" s="3">
        <v>44468.703148148146</v>
      </c>
      <c r="D374" s="1" t="s">
        <v>749</v>
      </c>
      <c r="E374" s="4" t="str">
        <f ca="1">IFERROR(__xludf.DUMMYFUNCTION("GOOGLETRANSLATE(A374 , ""tr"" , ""en"")"),"We accept the bottom of 20,000 critical thresholds in the number of daily cases. If our new case numbers are approached in 30,000. Our number of days of today is, as a result of the previous higher case numbers, 227. Against this table, the condition of s"&amp;"uccess is adapting and vaccine to the conditions of success! https://t.co/nikrl4xudq")</f>
        <v>We accept the bottom of 20,000 critical thresholds in the number of daily cases. If our new case numbers are approached in 30,000. Our number of days of today is, as a result of the previous higher case numbers, 227. Against this table, the condition of success is adapting and vaccine to the conditions of success! https://t.co/nikrl4xudq</v>
      </c>
    </row>
    <row r="375" spans="1:5" ht="15.75" customHeight="1" x14ac:dyDescent="0.25">
      <c r="A375" s="1" t="s">
        <v>750</v>
      </c>
      <c r="B375" s="1">
        <v>3066</v>
      </c>
      <c r="C375" s="3">
        <v>44468.694513888891</v>
      </c>
      <c r="D375" s="1" t="s">
        <v>751</v>
      </c>
      <c r="E375" s="4" t="str">
        <f ca="1">IFERROR(__xludf.DUMMYFUNCTION("GOOGLETRANSLATE(A375 , ""tr"" , ""en"")"),"In recent days, slackness in measures is reflected in the number of cases. If we want to return to our old days earlier, we have to comply with the measures tighter today. https://t.co/cktc53egke")</f>
        <v>In recent days, slackness in measures is reflected in the number of cases. If we want to return to our old days earlier, we have to comply with the measures tighter today. https://t.co/cktc53egke</v>
      </c>
    </row>
    <row r="376" spans="1:5" ht="15.75" customHeight="1" x14ac:dyDescent="0.25">
      <c r="A376" s="1" t="s">
        <v>752</v>
      </c>
      <c r="B376" s="1">
        <v>6330</v>
      </c>
      <c r="C376" s="3">
        <v>44467.820752314816</v>
      </c>
      <c r="D376" s="1" t="s">
        <v>753</v>
      </c>
      <c r="E376" s="4" t="str">
        <f ca="1">IFERROR(__xludf.DUMMYFUNCTION("GOOGLETRANSLATE(A376 , ""tr"" , ""en"")"),"We all get bored of living in the terms of epidemic. But the desire to return to the old flow of life should not be at the expense of our health. Let's obey the mask and distance rule, let's make our vaccines to gain resistance to the virus and provide co"&amp;"mmunity immunity.")</f>
        <v>We all get bored of living in the terms of epidemic. But the desire to return to the old flow of life should not be at the expense of our health. Let's obey the mask and distance rule, let's make our vaccines to gain resistance to the virus and provide community immunity.</v>
      </c>
    </row>
    <row r="377" spans="1:5" ht="15.75" customHeight="1" x14ac:dyDescent="0.25">
      <c r="A377" s="1" t="s">
        <v>754</v>
      </c>
      <c r="B377" s="1">
        <v>2996</v>
      </c>
      <c r="C377" s="3">
        <v>44467.813310185185</v>
      </c>
      <c r="D377" s="1" t="s">
        <v>755</v>
      </c>
      <c r="E377" s="4" t="str">
        <f ca="1">IFERROR(__xludf.DUMMYFUNCTION("GOOGLETRANSLATE(A377 , ""tr"" , ""en"")"),"Şırnak raises the second dose of vaccine against Covid-19, and turned its color in redhead in the map. The second overdose ratio is currently below 55% of our provinces in our Eastern and Southeastern Anatolia Regions. Let us all compete in the second ove"&amp;"rdose rate for the results of all of us!")</f>
        <v>Şırnak raises the second dose of vaccine against Covid-19, and turned its color in redhead in the map. The second overdose ratio is currently below 55% of our provinces in our Eastern and Southeastern Anatolia Regions. Let us all compete in the second overdose rate for the results of all of us!</v>
      </c>
    </row>
    <row r="378" spans="1:5" ht="15.75" customHeight="1" x14ac:dyDescent="0.25">
      <c r="A378" s="1" t="s">
        <v>756</v>
      </c>
      <c r="B378" s="1">
        <v>3534</v>
      </c>
      <c r="C378" s="3">
        <v>44467.785520833335</v>
      </c>
      <c r="D378" s="1" t="s">
        <v>757</v>
      </c>
      <c r="E378" s="4" t="str">
        <f ca="1">IFERROR(__xludf.DUMMYFUNCTION("GOOGLETRANSLATE(A378 , ""tr"" , ""en"")"),"Our second overdose against Covid-19 is over 75% in Bartin and Giresun. Thus, the blue province has reached 13. Let us all compete in the second overdose rate for the results of all of us!")</f>
        <v>Our second overdose against Covid-19 is over 75% in Bartin and Giresun. Thus, the blue province has reached 13. Let us all compete in the second overdose rate for the results of all of us!</v>
      </c>
    </row>
    <row r="379" spans="1:5" ht="15.75" customHeight="1" x14ac:dyDescent="0.25">
      <c r="A379" s="1" t="s">
        <v>758</v>
      </c>
      <c r="B379" s="1">
        <v>0</v>
      </c>
      <c r="C379" s="3">
        <v>44467.722569444442</v>
      </c>
      <c r="D379" s="1" t="s">
        <v>759</v>
      </c>
      <c r="E379" s="4" t="str">
        <f ca="1">IFERROR(__xludf.DUMMYFUNCTION("GOOGLETRANSLATE(A379 , ""tr"" , ""en"")"),"RT @tcbestepe: President @ rterdogan's video message sent to Global Kovid-19 Summit https://t.co/jmckvejx0e")</f>
        <v>RT @tcbestepe: President @ rterdogan's video message sent to Global Kovid-19 Summit https://t.co/jmckvejx0e</v>
      </c>
    </row>
    <row r="380" spans="1:5" ht="15.75" customHeight="1" x14ac:dyDescent="0.25">
      <c r="A380" s="1" t="s">
        <v>760</v>
      </c>
      <c r="B380" s="1">
        <v>4088</v>
      </c>
      <c r="C380" s="3">
        <v>44467.710717592592</v>
      </c>
      <c r="D380" s="1" t="s">
        <v>761</v>
      </c>
      <c r="E380" s="4" t="str">
        <f ca="1">IFERROR(__xludf.DUMMYFUNCTION("GOOGLETRANSLATE(A380 , ""tr"" , ""en"")"),"""Will you come in so many people and find me?""
Covid-19 The total number of cases increased today with 28,892 new cases, 7 million 95.580. Most people seemed to be self-risk until the tests are positively removed. Wareful on mask and distance, let's get"&amp;" our vaccinations! https://t.co/rjs3qra5vf")</f>
        <v>"Will you come in so many people and find me?"
Covid-19 The total number of cases increased today with 28,892 new cases, 7 million 95.580. Most people seemed to be self-risk until the tests are positively removed. Wareful on mask and distance, let's get our vaccinations! https://t.co/rjs3qra5vf</v>
      </c>
    </row>
    <row r="381" spans="1:5" ht="15.75" customHeight="1" x14ac:dyDescent="0.25">
      <c r="A381" s="1" t="s">
        <v>762</v>
      </c>
      <c r="B381" s="1">
        <v>3632</v>
      </c>
      <c r="C381" s="3">
        <v>44466.807824074072</v>
      </c>
      <c r="D381" s="1" t="s">
        <v>763</v>
      </c>
      <c r="E381" s="4" t="str">
        <f ca="1">IFERROR(__xludf.DUMMYFUNCTION("GOOGLETRANSLATE(A381 , ""tr"" , ""en"")"),"The second dose vaccine ratio against Covid-19 has been over 65% in Duzce. The risk color is now waiting for Düzce Yellow, which is yellow to this rate over 75% in a short time. For the results of all of us, all provinces will compete in the second overdo"&amp;"se!")</f>
        <v>The second dose vaccine ratio against Covid-19 has been over 65% in Duzce. The risk color is now waiting for Düzce Yellow, which is yellow to this rate over 75% in a short time. For the results of all of us, all provinces will compete in the second overdose!</v>
      </c>
    </row>
    <row r="382" spans="1:5" ht="15.75" customHeight="1" x14ac:dyDescent="0.25">
      <c r="A382" s="1" t="s">
        <v>764</v>
      </c>
      <c r="B382" s="1">
        <v>5911</v>
      </c>
      <c r="C382" s="3">
        <v>44466.80097222222</v>
      </c>
      <c r="D382" s="1" t="s">
        <v>765</v>
      </c>
      <c r="E382" s="4" t="str">
        <f ca="1">IFERROR(__xludf.DUMMYFUNCTION("GOOGLETRANSLATE(A382 , ""tr"" , ""en"")"),"The second overdose rate against Covid-19 is above 75% in Osmaniye. Thus, the blue province has reached 11. Let us race the second overdose for the results of all of us!")</f>
        <v>The second overdose rate against Covid-19 is above 75% in Osmaniye. Thus, the blue province has reached 11. Let us race the second overdose for the results of all of us!</v>
      </c>
    </row>
    <row r="383" spans="1:5" ht="15.75" customHeight="1" x14ac:dyDescent="0.25">
      <c r="A383" s="1" t="s">
        <v>766</v>
      </c>
      <c r="B383" s="1">
        <v>4212</v>
      </c>
      <c r="C383" s="3">
        <v>44466.784050925926</v>
      </c>
      <c r="D383" s="1" t="s">
        <v>767</v>
      </c>
      <c r="E383" s="4" t="str">
        <f ca="1">IFERROR(__xludf.DUMMYFUNCTION("GOOGLETRANSLATE(A383 , ""tr"" , ""en"")"),"""What I've Lived! I've missed the taste of a drop of water. Everyone get vaccination please. "" https://t.co/gtvyvs9jxk")</f>
        <v>"What I've Lived! I've missed the taste of a drop of water. Everyone get vaccination please. " https://t.co/gtvyvs9jxk</v>
      </c>
    </row>
    <row r="384" spans="1:5" ht="15.75" customHeight="1" x14ac:dyDescent="0.25">
      <c r="A384" s="1" t="s">
        <v>768</v>
      </c>
      <c r="B384" s="1">
        <v>4470</v>
      </c>
      <c r="C384" s="3">
        <v>44466.728750000002</v>
      </c>
      <c r="D384" s="1" t="s">
        <v>769</v>
      </c>
      <c r="E384" s="4" t="str">
        <f ca="1">IFERROR(__xludf.DUMMYFUNCTION("GOOGLETRANSLATE(A384 , ""tr"" , ""en"")"),"In the present table, we see that 27.188 people are not complying with the rules that they actually know that they should follow. He probably didn't think they had risks, they didn't see the measure. In the crowded environment, we must adhere to measures "&amp;"outside our house, we must be our vaccination. https://t.co/PMHIAE5NBV")</f>
        <v>In the present table, we see that 27.188 people are not complying with the rules that they actually know that they should follow. He probably didn't think they had risks, they didn't see the measure. In the crowded environment, we must adhere to measures outside our house, we must be our vaccination. https://t.co/PMHIAE5NBV</v>
      </c>
    </row>
    <row r="385" spans="1:5" ht="15.75" customHeight="1" x14ac:dyDescent="0.25">
      <c r="A385" s="1" t="s">
        <v>770</v>
      </c>
      <c r="B385" s="1">
        <v>0</v>
      </c>
      <c r="C385" s="3">
        <v>44466.681296296294</v>
      </c>
      <c r="D385" s="1" t="s">
        <v>771</v>
      </c>
      <c r="E385" s="4" t="str">
        <f ca="1">IFERROR(__xludf.DUMMYFUNCTION("GOOGLETRANSLATE(A385 , ""tr"" , ""en"")"),"RT @rterdogan: Shouting Nation After Cabinet Meeting https://t.co/laqqflaicn")</f>
        <v>RT @rterdogan: Shouting Nation After Cabinet Meeting https://t.co/laqqflaicn</v>
      </c>
    </row>
    <row r="386" spans="1:5" ht="15.75" customHeight="1" x14ac:dyDescent="0.25">
      <c r="A386" s="1" t="s">
        <v>772</v>
      </c>
      <c r="B386" s="1">
        <v>5067</v>
      </c>
      <c r="C386" s="3">
        <v>44465.804467592592</v>
      </c>
      <c r="D386" s="1" t="s">
        <v>773</v>
      </c>
      <c r="E386" s="4" t="str">
        <f ca="1">IFERROR(__xludf.DUMMYFUNCTION("GOOGLETRANSLATE(A386 , ""tr"" , ""en"")"),"Our Map continues to reshape for the target of community immunity. The number of blue provinces went 10 with Izmir. The second overdose against Covid-19 is now over 75% in Izmir. For the results of all of us, we will race the next 71 provinces!")</f>
        <v>Our Map continues to reshape for the target of community immunity. The number of blue provinces went 10 with Izmir. The second overdose against Covid-19 is now over 75% in Izmir. For the results of all of us, we will race the next 71 provinces!</v>
      </c>
    </row>
    <row r="387" spans="1:5" ht="15.75" customHeight="1" x14ac:dyDescent="0.25">
      <c r="A387" s="1" t="s">
        <v>774</v>
      </c>
      <c r="B387" s="1">
        <v>8247</v>
      </c>
      <c r="C387" s="3">
        <v>44465.715057870373</v>
      </c>
      <c r="D387" s="1" t="s">
        <v>775</v>
      </c>
      <c r="E387" s="4" t="str">
        <f ca="1">IFERROR(__xludf.DUMMYFUNCTION("GOOGLETRANSLATE(A387 , ""tr"" , ""en"")"),"""What can I do against the number of cases?"" Patients under treatment, testing positive and contacts are in isolation. But with other cases that are not diagnosed between us! We have to make against the number of cases is to protect ourselves and reduce"&amp;" the propagation as our vaccination.")</f>
        <v>"What can I do against the number of cases?" Patients under treatment, testing positive and contacts are in isolation. But with other cases that are not diagnosed between us! We have to make against the number of cases is to protect ourselves and reduce the propagation as our vaccination.</v>
      </c>
    </row>
    <row r="388" spans="1:5" ht="15.75" customHeight="1" x14ac:dyDescent="0.25">
      <c r="A388" s="1" t="s">
        <v>776</v>
      </c>
      <c r="B388" s="1">
        <v>3722</v>
      </c>
      <c r="C388" s="3">
        <v>44465.711412037039</v>
      </c>
      <c r="D388" s="1" t="s">
        <v>777</v>
      </c>
      <c r="E388" s="4" t="str">
        <f ca="1">IFERROR(__xludf.DUMMYFUNCTION("GOOGLETRANSLATE(A388 , ""tr"" , ""en"")"),"Number of wearers of mask? Number of attention to the social distance rule? Number of full dose vaccines?
As those who have the requirements of the epidemic struggle increases, our new case numbers will be reduced by our numbers and depending on it. Along"&amp;", with determination, let's do it to us. https://t.co/3lkgthe5j2")</f>
        <v>Number of wearers of mask? Number of attention to the social distance rule? Number of full dose vaccines?
As those who have the requirements of the epidemic struggle increases, our new case numbers will be reduced by our numbers and depending on it. Along, with determination, let's do it to us. https://t.co/3lkgthe5j2</v>
      </c>
    </row>
    <row r="389" spans="1:5" ht="15.75" customHeight="1" x14ac:dyDescent="0.25">
      <c r="A389" s="1" t="s">
        <v>778</v>
      </c>
      <c r="B389" s="1">
        <v>4196</v>
      </c>
      <c r="C389" s="3">
        <v>44464.829050925924</v>
      </c>
      <c r="D389" s="1" t="s">
        <v>779</v>
      </c>
      <c r="E389" s="4" t="str">
        <f ca="1">IFERROR(__xludf.DUMMYFUNCTION("GOOGLETRANSLATE(A389 , ""tr"" , ""en"")"),"Today is a colorless day, we have no province changing the category. Let's improve our Covid-19 Risk Map on the week with the second overdose vaccines! https://t.co/8bfjgqnjt4")</f>
        <v>Today is a colorless day, we have no province changing the category. Let's improve our Covid-19 Risk Map on the week with the second overdose vaccines! https://t.co/8bfjgqnjt4</v>
      </c>
    </row>
    <row r="390" spans="1:5" ht="15.75" customHeight="1" x14ac:dyDescent="0.25">
      <c r="A390" s="1" t="s">
        <v>780</v>
      </c>
      <c r="B390" s="1">
        <v>2575</v>
      </c>
      <c r="C390" s="3">
        <v>44464.790671296294</v>
      </c>
      <c r="D390" s="1" t="s">
        <v>781</v>
      </c>
      <c r="E390" s="4" t="str">
        <f ca="1">IFERROR(__xludf.DUMMYFUNCTION("GOOGLETRANSLATE(A390 , ""tr"" , ""en"")"),"We are at Teknofest'21 fair in which new ideas and projects will carry the world forward. This place is the heart of the future, where the dreams are winged. SN. Turkey's leadership of our President Turkey's potentials. I celebrate everyone who has been l"&amp;"aboring with all my heart. https://t.co/rtgudcwudi")</f>
        <v>We are at Teknofest'21 fair in which new ideas and projects will carry the world forward. This place is the heart of the future, where the dreams are winged. SN. Turkey's leadership of our President Turkey's potentials. I celebrate everyone who has been laboring with all my heart. https://t.co/rtgudcwudi</v>
      </c>
    </row>
    <row r="391" spans="1:5" ht="15.75" customHeight="1" x14ac:dyDescent="0.25">
      <c r="A391" s="1" t="s">
        <v>782</v>
      </c>
      <c r="B391" s="1">
        <v>5097</v>
      </c>
      <c r="C391" s="3">
        <v>44464.772905092592</v>
      </c>
      <c r="D391" s="1" t="s">
        <v>783</v>
      </c>
      <c r="E391" s="4" t="str">
        <f ca="1">IFERROR(__xludf.DUMMYFUNCTION("GOOGLETRANSLATE(A391 , ""tr"" , ""en"")"),"The condensation of the steppe (spurge) is the great folk oscillation, ertache, respect, longing and mercy in the ninth year of the vain. With its reed, it continues to be all the sound of us. ""The heart is always looking for you, where are you?"" Their "&amp;"Turkey is more touching today! https://t.co/ydtp2e4uez")</f>
        <v>The condensation of the steppe (spurge) is the great folk oscillation, ertache, respect, longing and mercy in the ninth year of the vain. With its reed, it continues to be all the sound of us. "The heart is always looking for you, where are you?" Their Turkey is more touching today! https://t.co/ydtp2e4uez</v>
      </c>
    </row>
    <row r="392" spans="1:5" ht="15.75" customHeight="1" x14ac:dyDescent="0.25">
      <c r="A392" s="1" t="s">
        <v>784</v>
      </c>
      <c r="B392" s="1">
        <v>7977</v>
      </c>
      <c r="C392" s="3">
        <v>44464.768495370372</v>
      </c>
      <c r="D392" s="1" t="s">
        <v>785</v>
      </c>
      <c r="E392" s="4" t="str">
        <f ca="1">IFERROR(__xludf.DUMMYFUNCTION("GOOGLETRANSLATE(A392 , ""tr"" , ""en"")"),"While the Covid-19 virus crosses the person from the person, the resistance is weakening to the bed. It uses everyone who has been contaminated to worse results. Protects others from the disease, death from death. Outside, let's get our mask near each oth"&amp;"er.")</f>
        <v>While the Covid-19 virus crosses the person from the person, the resistance is weakening to the bed. It uses everyone who has been contaminated to worse results. Protects others from the disease, death from death. Outside, let's get our mask near each other.</v>
      </c>
    </row>
    <row r="393" spans="1:5" ht="15.75" customHeight="1" x14ac:dyDescent="0.25">
      <c r="A393" s="1" t="s">
        <v>786</v>
      </c>
      <c r="B393" s="1">
        <v>4325</v>
      </c>
      <c r="C393" s="3">
        <v>44464.756782407407</v>
      </c>
      <c r="D393" s="1" t="s">
        <v>787</v>
      </c>
      <c r="E393" s="4" t="str">
        <f ca="1">IFERROR(__xludf.DUMMYFUNCTION("GOOGLETRANSLATE(A393 , ""tr"" , ""en"")"),"""The number of cases is 19 thousand!"" Do you think, under 20 thousand cases of cases of cases is a target to reach for this society? We can also decide together and download the number of cases with a critical threshold in a short time of 26.145 today. "&amp;"The measures and vaccine we know well is enough! https://t.co/w0huwqqrwm")</f>
        <v>"The number of cases is 19 thousand!" Do you think, under 20 thousand cases of cases of cases is a target to reach for this society? We can also decide together and download the number of cases with a critical threshold in a short time of 26.145 today. The measures and vaccine we know well is enough! https://t.co/w0huwqqrwm</v>
      </c>
    </row>
    <row r="394" spans="1:5" ht="15.75" customHeight="1" x14ac:dyDescent="0.25">
      <c r="A394" s="1" t="s">
        <v>788</v>
      </c>
      <c r="B394" s="1">
        <v>2994</v>
      </c>
      <c r="C394" s="3">
        <v>44464.617476851854</v>
      </c>
      <c r="D394" s="1" t="s">
        <v>789</v>
      </c>
      <c r="E394" s="4" t="str">
        <f ca="1">IFERROR(__xludf.DUMMYFUNCTION("GOOGLETRANSLATE(A394 , ""tr"" , ""en"")"),"We are the 7th country in the world in the number of dose!
In the total number of vaccines that are applied against Covid-19, we also left the population of Germany, which is close to us and the vaccine manufacturer. We are in 7th on all over the world."&amp;" The first 6 ranks before Turkey, the vaccine manufacturer is very highly populated with the United States. https://t.co/rckdl3rwme")</f>
        <v>We are the 7th country in the world in the number of dose!
In the total number of vaccines that are applied against Covid-19, we also left the population of Germany, which is close to us and the vaccine manufacturer. We are in 7th on all over the world. The first 6 ranks before Turkey, the vaccine manufacturer is very highly populated with the United States. https://t.co/rckdl3rwme</v>
      </c>
    </row>
    <row r="395" spans="1:5" ht="15.75" customHeight="1" x14ac:dyDescent="0.25">
      <c r="A395" s="1" t="s">
        <v>790</v>
      </c>
      <c r="B395" s="1">
        <v>5165</v>
      </c>
      <c r="C395" s="3">
        <v>44464.606979166667</v>
      </c>
      <c r="D395" s="1" t="s">
        <v>791</v>
      </c>
      <c r="E395" s="4" t="str">
        <f ca="1">IFERROR(__xludf.DUMMYFUNCTION("GOOGLETRANSLATE(A395 , ""tr"" , ""en"")"),"Did the duty pharmacy been a night you're looking for? Has been necessarily. We understand that a pharmacist is the best place in our pharmacy's lives. Today is the World Pharmacy Day. I offer our gratitude to our pharmacists from the most important membe"&amp;"rs of health services: You have always been medicine! https://t.co/hug3hxRIJQ")</f>
        <v>Did the duty pharmacy been a night you're looking for? Has been necessarily. We understand that a pharmacist is the best place in our pharmacy's lives. Today is the World Pharmacy Day. I offer our gratitude to our pharmacists from the most important members of health services: You have always been medicine! https://t.co/hug3hxRIJQ</v>
      </c>
    </row>
    <row r="396" spans="1:5" ht="15.75" customHeight="1" x14ac:dyDescent="0.25">
      <c r="A396" s="1" t="s">
        <v>792</v>
      </c>
      <c r="B396" s="1">
        <v>5511</v>
      </c>
      <c r="C396" s="3">
        <v>44463.817685185182</v>
      </c>
      <c r="D396" s="1" t="s">
        <v>793</v>
      </c>
      <c r="E396" s="4" t="str">
        <f ca="1">IFERROR(__xludf.DUMMYFUNCTION("GOOGLETRANSLATE(A396 , ""tr"" , ""en"")"),"Our Map continues to reshape for the target of community immunity. The number of blue provinces is today with Burdur. For the results of all of us, we will race the next 72 provinces!")</f>
        <v>Our Map continues to reshape for the target of community immunity. The number of blue provinces is today with Burdur. For the results of all of us, we will race the next 72 provinces!</v>
      </c>
    </row>
    <row r="397" spans="1:5" ht="15.75" customHeight="1" x14ac:dyDescent="0.25">
      <c r="A397" s="1" t="s">
        <v>794</v>
      </c>
      <c r="B397" s="1">
        <v>2225</v>
      </c>
      <c r="C397" s="3">
        <v>44463.706805555557</v>
      </c>
      <c r="D397" s="1" t="s">
        <v>795</v>
      </c>
      <c r="E397" s="4" t="str">
        <f ca="1">IFERROR(__xludf.DUMMYFUNCTION("GOOGLETRANSLATE(A397 , ""tr"" , ""en"")"),"Between 11-17 September Case Density The most increasing 10 provinces by the previous week: Kastamonu, Kırıkkale, Zonguldak, Tokat, Trabzon, Malatya, Yozgat, Düzce, Erzincan, Çorum! If you are in one of these provinces you should be even more careful now."&amp;" Ultimate solution vaccine, measures condition https://t.co/13uxmdnuv6")</f>
        <v>Between 11-17 September Case Density The most increasing 10 provinces by the previous week: Kastamonu, Kırıkkale, Zonguldak, Tokat, Trabzon, Malatya, Yozgat, Düzce, Erzincan, Çorum! If you are in one of these provinces you should be even more careful now. Ultimate solution vaccine, measures condition https://t.co/13uxmdnuv6</v>
      </c>
    </row>
    <row r="398" spans="1:5" ht="15.75" customHeight="1" x14ac:dyDescent="0.25">
      <c r="A398" s="1" t="s">
        <v>796</v>
      </c>
      <c r="B398" s="1">
        <v>3337</v>
      </c>
      <c r="C398" s="3">
        <v>44463.699965277781</v>
      </c>
      <c r="D398" s="1" t="s">
        <v>797</v>
      </c>
      <c r="E398" s="4" t="str">
        <f ca="1">IFERROR(__xludf.DUMMYFUNCTION("GOOGLETRANSLATE(A398 , ""tr"" , ""en"")"),"What was the total number of new Covid-19 Cases in 100,000 people in September 11-17? You can learn the situation in the province where you are experiencing, from our weekly incidence map. https://t.co/uv8dk8orfu")</f>
        <v>What was the total number of new Covid-19 Cases in 100,000 people in September 11-17? You can learn the situation in the province where you are experiencing, from our weekly incidence map. https://t.co/uv8dk8orfu</v>
      </c>
    </row>
    <row r="399" spans="1:5" ht="15.75" customHeight="1" x14ac:dyDescent="0.25">
      <c r="A399" s="1" t="s">
        <v>798</v>
      </c>
      <c r="B399" s="1">
        <v>4435</v>
      </c>
      <c r="C399" s="3">
        <v>44463.689560185187</v>
      </c>
      <c r="D399" s="1" t="s">
        <v>799</v>
      </c>
      <c r="E399" s="4" t="str">
        <f ca="1">IFERROR(__xludf.DUMMYFUNCTION("GOOGLETRANSLATE(A399 , ""tr"" , ""en"")"),"It increases the risk to get used! The number of cases today is 27.197. CAN Loss 221. In the last days, we are getting used to the results of the last days. We should take the situation as seriously as they live for the first time. We know that we have ac"&amp;"hieved success when we decide. https://t.co/Isbrgrlsmo")</f>
        <v>It increases the risk to get used! The number of cases today is 27.197. CAN Loss 221. In the last days, we are getting used to the results of the last days. We should take the situation as seriously as they live for the first time. We know that we have achieved success when we decide. https://t.co/Isbrgrlsmo</v>
      </c>
    </row>
    <row r="400" spans="1:5" ht="15.75" customHeight="1" x14ac:dyDescent="0.25">
      <c r="A400" s="1" t="s">
        <v>800</v>
      </c>
      <c r="B400" s="1">
        <v>4542</v>
      </c>
      <c r="C400" s="3">
        <v>44462.774363425924</v>
      </c>
      <c r="D400" s="1" t="s">
        <v>801</v>
      </c>
      <c r="E400" s="4" t="str">
        <f ca="1">IFERROR(__xludf.DUMMYFUNCTION("GOOGLETRANSLATE(A400 , ""tr"" , ""en"")"),"Our Map is rearranged to basis the second overdose rate. The second dose of vaccines in our provinces are above 65% in our provinces. Hatay joins today between the yellow provinces. We expect a much higher rate than Hatay to reach the target of community "&amp;"immunity.")</f>
        <v>Our Map is rearranged to basis the second overdose rate. The second dose of vaccines in our provinces are above 65% in our provinces. Hatay joins today between the yellow provinces. We expect a much higher rate than Hatay to reach the target of community immunity.</v>
      </c>
    </row>
    <row r="401" spans="1:5" ht="15.75" customHeight="1" x14ac:dyDescent="0.25">
      <c r="A401" s="1" t="s">
        <v>802</v>
      </c>
      <c r="B401" s="1">
        <v>4909</v>
      </c>
      <c r="C401" s="3">
        <v>44462.754548611112</v>
      </c>
      <c r="D401" s="1" t="s">
        <v>803</v>
      </c>
      <c r="E401" s="4" t="str">
        <f ca="1">IFERROR(__xludf.DUMMYFUNCTION("GOOGLETRANSLATE(A401 , ""tr"" , ""en"")"),"Our Map is rearranged to basis the second overdose rate. The second overdose rate is over 75% in our provinces that are blue now. Balıkesir joins today between the blue provinces. We celebrate Balıkesir for success in which we reach the target of communit"&amp;"y immunity.")</f>
        <v>Our Map is rearranged to basis the second overdose rate. The second overdose rate is over 75% in our provinces that are blue now. Balıkesir joins today between the blue provinces. We celebrate Balıkesir for success in which we reach the target of community immunity.</v>
      </c>
    </row>
    <row r="402" spans="1:5" ht="15.75" customHeight="1" x14ac:dyDescent="0.25">
      <c r="A402" s="1" t="s">
        <v>804</v>
      </c>
      <c r="B402" s="1">
        <v>2963</v>
      </c>
      <c r="C402" s="3">
        <v>44462.741851851853</v>
      </c>
      <c r="D402" s="1" t="s">
        <v>805</v>
      </c>
      <c r="E402" s="4" t="str">
        <f ca="1">IFERROR(__xludf.DUMMYFUNCTION("GOOGLETRANSLATE(A402 , ""tr"" , ""en"")"),"The vaccine continues when life is flowing. We are in the onion fields. https://t.co/tonRIF37DF")</f>
        <v>The vaccine continues when life is flowing. We are in the onion fields. https://t.co/tonRIF37DF</v>
      </c>
    </row>
    <row r="403" spans="1:5" ht="15.75" customHeight="1" x14ac:dyDescent="0.25">
      <c r="A403" s="1" t="s">
        <v>806</v>
      </c>
      <c r="B403" s="1">
        <v>4272</v>
      </c>
      <c r="C403" s="3">
        <v>44462.709085648145</v>
      </c>
      <c r="D403" s="1" t="s">
        <v>807</v>
      </c>
      <c r="E403" s="4" t="str">
        <f ca="1">IFERROR(__xludf.DUMMYFUNCTION("GOOGLETRANSLATE(A403 , ""tr"" , ""en"")"),"Our new case count is 27.844. CAN loss 217. The dramatic results of the epidemic are determined by the new case numbers. We can continuously decrease in life losses, but can continuously reduce the number of cases in stable manner. As our vaccinations of "&amp;"the table, let's control the measures. https://t.co/p60s9agp0b")</f>
        <v>Our new case count is 27.844. CAN loss 217. The dramatic results of the epidemic are determined by the new case numbers. We can continuously decrease in life losses, but can continuously reduce the number of cases in stable manner. As our vaccinations of the table, let's control the measures. https://t.co/p60s9agp0b</v>
      </c>
    </row>
    <row r="404" spans="1:5" ht="15.75" customHeight="1" x14ac:dyDescent="0.25">
      <c r="A404" s="1" t="s">
        <v>808</v>
      </c>
      <c r="B404" s="1">
        <v>4941</v>
      </c>
      <c r="C404" s="3">
        <v>44461.814768518518</v>
      </c>
      <c r="D404" s="1" t="s">
        <v>809</v>
      </c>
      <c r="E404" s="4" t="str">
        <f ca="1">IFERROR(__xludf.DUMMYFUNCTION("GOOGLETRANSLATE(A404 , ""tr"" , ""en"")"),"We met with our nationalities with European Ampute Soccer Champion, leaving behind 13 countries. On the Day of September 19, the trophy of the veterans were gifted with our veterans. We are proud. They're right! https://t.co/phabr1qo9b")</f>
        <v>We met with our nationalities with European Ampute Soccer Champion, leaving behind 13 countries. On the Day of September 19, the trophy of the veterans were gifted with our veterans. We are proud. They're right! https://t.co/phabr1qo9b</v>
      </c>
    </row>
    <row r="405" spans="1:5" ht="15.75" customHeight="1" x14ac:dyDescent="0.25">
      <c r="A405" s="1" t="s">
        <v>810</v>
      </c>
      <c r="B405" s="1">
        <v>7357</v>
      </c>
      <c r="C405" s="3">
        <v>44461.779687499999</v>
      </c>
      <c r="D405" s="1" t="s">
        <v>811</v>
      </c>
      <c r="E405" s="4" t="str">
        <f ca="1">IFERROR(__xludf.DUMMYFUNCTION("GOOGLETRANSLATE(A405 , ""tr"" , ""en"")"),"The Science Board: ""We are insisty that schools, including the vaccine is now the most recently closing institutions, including universities."" https://t.co/iabizIqojz")</f>
        <v>The Science Board: "We are insisty that schools, including the vaccine is now the most recently closing institutions, including universities." https://t.co/iabizIqojz</v>
      </c>
    </row>
    <row r="406" spans="1:5" ht="15.75" customHeight="1" x14ac:dyDescent="0.25">
      <c r="A406" s="1" t="s">
        <v>812</v>
      </c>
      <c r="B406" s="1">
        <v>4609</v>
      </c>
      <c r="C406" s="3">
        <v>44461.711886574078</v>
      </c>
      <c r="D406" s="1" t="s">
        <v>813</v>
      </c>
      <c r="E406" s="4" t="str">
        <f ca="1">IFERROR(__xludf.DUMMYFUNCTION("GOOGLETRANSLATE(A406 , ""tr"" , ""en"")"),"TURKEY in Turkey, the 18 years of age and over population of two dose of vaccines is 68.91%. Only in 7 provinces this rate is over 75%. In the two dose vaccines, 42.5% if our lowest rate on provincial basis. First dose start, we are starting to get result"&amp;"s with the second dose. Let's get our vaccinations against the Covid-19 table immediately. https://t.co/eookeum6mm")</f>
        <v>TURKEY in Turkey, the 18 years of age and over population of two dose of vaccines is 68.91%. Only in 7 provinces this rate is over 75%. In the two dose vaccines, 42.5% if our lowest rate on provincial basis. First dose start, we are starting to get results with the second dose. Let's get our vaccinations against the Covid-19 table immediately. https://t.co/eookeum6mm</v>
      </c>
    </row>
    <row r="407" spans="1:5" ht="15.75" customHeight="1" x14ac:dyDescent="0.25">
      <c r="A407" s="1" t="s">
        <v>814</v>
      </c>
      <c r="B407" s="1">
        <v>3481</v>
      </c>
      <c r="C407" s="3">
        <v>44460.877708333333</v>
      </c>
      <c r="D407" s="1" t="s">
        <v>815</v>
      </c>
      <c r="E407" s="4" t="str">
        <f ca="1">IFERROR(__xludf.DUMMYFUNCTION("GOOGLETRANSLATE(A407 , ""tr"" , ""en"")"),"SN. Our President, United Nations 76. In the conversation that they could address the General Assembly, our native vaccine turkovac is soon to be offered to the service of humanity along with our nation.")</f>
        <v>SN. Our President, United Nations 76. In the conversation that they could address the General Assembly, our native vaccine turkovac is soon to be offered to the service of humanity along with our nation.</v>
      </c>
    </row>
    <row r="408" spans="1:5" ht="15.75" customHeight="1" x14ac:dyDescent="0.25">
      <c r="A408" s="1" t="s">
        <v>816</v>
      </c>
      <c r="B408" s="1">
        <v>5320</v>
      </c>
      <c r="C408" s="3">
        <v>44460.811342592591</v>
      </c>
      <c r="D408" s="1" t="s">
        <v>817</v>
      </c>
      <c r="E408" s="4" t="str">
        <f ca="1">IFERROR(__xludf.DUMMYFUNCTION("GOOGLETRANSLATE(A408 , ""tr"" , ""en"")"),"The ratio of two overdose vaccines in 84 million, the ratio of 50% in the population of 50%, 18 years of age and older. Today in a shared message the vaccine rate in the total population was accidentally specified for 18 years of age or older. The right n"&amp;"ews is much better: we are one of us in a double dose!")</f>
        <v>The ratio of two overdose vaccines in 84 million, the ratio of 50% in the population of 50%, 18 years of age and older. Today in a shared message the vaccine rate in the total population was accidentally specified for 18 years of age or older. The right news is much better: we are one of us in a double dose!</v>
      </c>
    </row>
    <row r="409" spans="1:5" ht="15.75" customHeight="1" x14ac:dyDescent="0.25">
      <c r="A409" s="1" t="s">
        <v>818</v>
      </c>
      <c r="B409" s="1">
        <v>6182</v>
      </c>
      <c r="C409" s="3">
        <v>44460.755243055559</v>
      </c>
      <c r="D409" s="1" t="s">
        <v>819</v>
      </c>
      <c r="E409" s="4" t="str">
        <f ca="1">IFERROR(__xludf.DUMMYFUNCTION("GOOGLETRANSLATE(A409 , ""tr"" , ""en"")"),"The number of cases today is 29.338. Our new life loss 260. In the number of cases of cases, 20,000 critical thresholds are now approaching almost 30,000. Be very careful in social environments. Use your mask. Always book your vaccines you don't have. We "&amp;"are in a critical period. https://t.co/z8ycvpid9s")</f>
        <v>The number of cases today is 29.338. Our new life loss 260. In the number of cases of cases, 20,000 critical thresholds are now approaching almost 30,000. Be very careful in social environments. Use your mask. Always book your vaccines you don't have. We are in a critical period. https://t.co/z8ycvpid9s</v>
      </c>
    </row>
    <row r="410" spans="1:5" ht="15.75" customHeight="1" x14ac:dyDescent="0.25">
      <c r="A410" s="1" t="s">
        <v>820</v>
      </c>
      <c r="B410" s="1">
        <v>2938</v>
      </c>
      <c r="C410" s="3">
        <v>44459.78702546296</v>
      </c>
      <c r="D410" s="1" t="s">
        <v>821</v>
      </c>
      <c r="E410" s="4" t="str">
        <f ca="1">IFERROR(__xludf.DUMMYFUNCTION("GOOGLETRANSLATE(A410 , ""tr"" , ""en"")"),"""I wanted to be vaccinated in fact. I have negligent due to work. "" https://t.co/tcisirl81w")</f>
        <v>"I wanted to be vaccinated in fact. I have negligent due to work. " https://t.co/tcisirl81w</v>
      </c>
    </row>
    <row r="411" spans="1:5" ht="15.75" customHeight="1" x14ac:dyDescent="0.25">
      <c r="A411" s="1" t="s">
        <v>822</v>
      </c>
      <c r="B411" s="1">
        <v>7522</v>
      </c>
      <c r="C411" s="3">
        <v>44459.747662037036</v>
      </c>
      <c r="D411" s="1" t="s">
        <v>823</v>
      </c>
      <c r="E411" s="4" t="str">
        <f ca="1">IFERROR(__xludf.DUMMYFUNCTION("GOOGLETRANSLATE(A411 , ""tr"" , ""en"")"),"Daily Covid-19 has changed our tabloid. From today, we will share the rates of at least two overdose vaccines instead of the first dose of provincial. Let's reduce the number of case numbers by making our vaccines, reduce our life losses. We have recorded"&amp;" an important distance in the first overdose. https://t.co/gsso98hdck")</f>
        <v>Daily Covid-19 has changed our tabloid. From today, we will share the rates of at least two overdose vaccines instead of the first dose of provincial. Let's reduce the number of case numbers by making our vaccines, reduce our life losses. We have recorded an important distance in the first overdose. https://t.co/gsso98hdck</v>
      </c>
    </row>
    <row r="412" spans="1:5" ht="15.75" customHeight="1" x14ac:dyDescent="0.25">
      <c r="A412" s="1" t="s">
        <v>824</v>
      </c>
      <c r="B412" s="1">
        <v>7313</v>
      </c>
      <c r="C412" s="3">
        <v>44458.865347222221</v>
      </c>
      <c r="D412" s="1" t="s">
        <v>825</v>
      </c>
      <c r="E412" s="4" t="str">
        <f ca="1">IFERROR(__xludf.DUMMYFUNCTION("GOOGLETRANSLATE(A412 , ""tr"" , ""en"")"),"They revealed their hearts, they won with their forces! In the final match, we renew Spain 6-0 by celebrating the European Amputee Football Championship Cup. https://t.co/iiy469vjdv")</f>
        <v>They revealed their hearts, they won with their forces! In the final match, we renew Spain 6-0 by celebrating the European Amputee Football Championship Cup. https://t.co/iiy469vjdv</v>
      </c>
    </row>
    <row r="413" spans="1:5" ht="15.75" customHeight="1" x14ac:dyDescent="0.25">
      <c r="A413" s="1" t="s">
        <v>826</v>
      </c>
      <c r="B413" s="1">
        <v>6232</v>
      </c>
      <c r="C413" s="3">
        <v>44458.831307870372</v>
      </c>
      <c r="D413" s="1" t="s">
        <v>827</v>
      </c>
      <c r="E413" s="4" t="str">
        <f ca="1">IFERROR(__xludf.DUMMYFUNCTION("GOOGLETRANSLATE(A413 , ""tr"" , ""en"")"),"Single color against Covid-19! We have 10 products in the yellow risk category. Upgrade our first dose of vaccines and meet 81 provinces, the whole country, in blue. Blue means to complete the first dose preparation for community immunity!")</f>
        <v>Single color against Covid-19! We have 10 products in the yellow risk category. Upgrade our first dose of vaccines and meet 81 provinces, the whole country, in blue. Blue means to complete the first dose preparation for community immunity!</v>
      </c>
    </row>
    <row r="414" spans="1:5" ht="15.75" customHeight="1" x14ac:dyDescent="0.25">
      <c r="A414" s="1" t="s">
        <v>828</v>
      </c>
      <c r="B414" s="1">
        <v>4575</v>
      </c>
      <c r="C414" s="3">
        <v>44458.818229166667</v>
      </c>
      <c r="D414" s="1" t="s">
        <v>829</v>
      </c>
      <c r="E414" s="4" t="str">
        <f ca="1">IFERROR(__xludf.DUMMYFUNCTION("GOOGLETRANSLATE(A414 , ""tr"" , ""en"")"),"Bitlis, the first dose of vaccination is over 75% today, Turkey was blue on Covid-19 risk map. 10 of our 81 is still yellow. Let's take action to complete the success in the first dose rate.")</f>
        <v>Bitlis, the first dose of vaccination is over 75% today, Turkey was blue on Covid-19 risk map. 10 of our 81 is still yellow. Let's take action to complete the success in the first dose rate.</v>
      </c>
    </row>
    <row r="415" spans="1:5" ht="15.75" customHeight="1" x14ac:dyDescent="0.25">
      <c r="A415" s="1" t="s">
        <v>830</v>
      </c>
      <c r="B415" s="1">
        <v>5035</v>
      </c>
      <c r="C415" s="3">
        <v>44458.678124999999</v>
      </c>
      <c r="D415" s="1" t="s">
        <v>831</v>
      </c>
      <c r="E415" s="4" t="str">
        <f ca="1">IFERROR(__xludf.DUMMYFUNCTION("GOOGLETRANSLATE(A415 , ""tr"" , ""en"")"),"The number of cases today is 26.398. Our new life loss 213. If the case numbers continue in the last week, we will not be able to avoid a high number of losses. We must provide a stable decline with measures and vaccine. The last week is warning us. https"&amp;"://t.co/gmdk8mz621")</f>
        <v>The number of cases today is 26.398. Our new life loss 213. If the case numbers continue in the last week, we will not be able to avoid a high number of losses. We must provide a stable decline with measures and vaccine. The last week is warning us. https://t.co/gmdk8mz621</v>
      </c>
    </row>
    <row r="416" spans="1:5" ht="15.75" customHeight="1" x14ac:dyDescent="0.25">
      <c r="A416" s="1" t="s">
        <v>832</v>
      </c>
      <c r="B416" s="1">
        <v>5557</v>
      </c>
      <c r="C416" s="3">
        <v>44457.812199074076</v>
      </c>
      <c r="D416" s="1" t="s">
        <v>833</v>
      </c>
      <c r="E416" s="4" t="str">
        <f ca="1">IFERROR(__xludf.DUMMYFUNCTION("GOOGLETRANSLATE(A416 , ""tr"" , ""en"")"),"""Make a minute, a second without spending a second. The mistake I do is just and only negligent. "" https://t.co/zhh6pqmy6r")</f>
        <v>"Make a minute, a second without spending a second. The mistake I do is just and only negligent. " https://t.co/zhh6pqmy6r</v>
      </c>
    </row>
    <row r="417" spans="1:5" ht="15.75" customHeight="1" x14ac:dyDescent="0.25">
      <c r="A417" s="1" t="s">
        <v>834</v>
      </c>
      <c r="B417" s="1">
        <v>5434</v>
      </c>
      <c r="C417" s="3">
        <v>44457.687858796293</v>
      </c>
      <c r="D417" s="1" t="s">
        <v>835</v>
      </c>
      <c r="E417" s="4" t="str">
        <f ca="1">IFERROR(__xludf.DUMMYFUNCTION("GOOGLETRANSLATE(A417 , ""tr"" , ""en"")"),"Case Numbers
September 18: 26.161
September 17: 27.692
September 16: 28.118
September 15: 28.224
September 14: 27.802
September 13: 24.613
September 12: 21.352
The number of cases should be compared with an average week before a day before. The last week "&amp;"is warning us. Let the rules, let us be our vaccine. https://t.co/dm24aucszl")</f>
        <v>Case Numbers
September 18: 26.161
September 17: 27.692
September 16: 28.118
September 15: 28.224
September 14: 27.802
September 13: 24.613
September 12: 21.352
The number of cases should be compared with an average week before a day before. The last week is warning us. Let the rules, let us be our vaccine. https://t.co/dm24aucszl</v>
      </c>
    </row>
    <row r="418" spans="1:5" ht="15.75" customHeight="1" x14ac:dyDescent="0.25">
      <c r="A418" s="1" t="s">
        <v>836</v>
      </c>
      <c r="B418" s="1">
        <v>5057</v>
      </c>
      <c r="C418" s="3">
        <v>44456.745347222219</v>
      </c>
      <c r="D418" s="1" t="s">
        <v>837</v>
      </c>
      <c r="E418" s="4" t="str">
        <f ca="1">IFERROR(__xludf.DUMMYFUNCTION("GOOGLETRANSLATE(A418 , ""tr"" , ""en"")"),"Adiyaman, the first dose of the vaccination was over 75% today, Turkey was blue on Covid-19 risk map. We expect that the second dose of vaccine from Adiyaman to upgrade the in the same way, are still in the blue risk category of our provinces that are sti"&amp;"ll yellow.")</f>
        <v>Adiyaman, the first dose of the vaccination was over 75% today, Turkey was blue on Covid-19 risk map. We expect that the second dose of vaccine from Adiyaman to upgrade the in the same way, are still in the blue risk category of our provinces that are still yellow.</v>
      </c>
    </row>
    <row r="419" spans="1:5" ht="15.75" customHeight="1" x14ac:dyDescent="0.25">
      <c r="A419" s="1" t="s">
        <v>838</v>
      </c>
      <c r="B419" s="1">
        <v>4748</v>
      </c>
      <c r="C419" s="3">
        <v>44456.717152777775</v>
      </c>
      <c r="D419" s="1" t="s">
        <v>839</v>
      </c>
      <c r="E419" s="4" t="str">
        <f ca="1">IFERROR(__xludf.DUMMYFUNCTION("GOOGLETRANSLATE(A419 , ""tr"" , ""en"")"),"Prime Minister Adnan Menderes was executed today 60 years ago. During the trial, it was not even that a crime will lead to this result. But the will of May 27 asked his execution. We remember Adnan Menderes and his friends who are executed with him. https"&amp;"://t.co/4ee4uy9nhd")</f>
        <v>Prime Minister Adnan Menderes was executed today 60 years ago. During the trial, it was not even that a crime will lead to this result. But the will of May 27 asked his execution. We remember Adnan Menderes and his friends who are executed with him. https://t.co/4ee4uy9nhd</v>
      </c>
    </row>
    <row r="420" spans="1:5" ht="15.75" customHeight="1" x14ac:dyDescent="0.25">
      <c r="A420" s="1" t="s">
        <v>840</v>
      </c>
      <c r="B420" s="1">
        <v>4383</v>
      </c>
      <c r="C420" s="3">
        <v>44456.709062499998</v>
      </c>
      <c r="D420" s="1" t="s">
        <v>841</v>
      </c>
      <c r="E420" s="4" t="str">
        <f ca="1">IFERROR(__xludf.DUMMYFUNCTION("GOOGLETRANSLATE(A420 , ""tr"" , ""en"")"),"Our loss is not as much as yesterday's. Our case count reflects the mobility period in which we are in the same seriousness. This will continue to reflect on the number of passages in close days. Our full dose is that we must give the necessary struggle a"&amp;"gainst the outbreak of the measures. https://t.co/uvstkxbdd3")</f>
        <v>Our loss is not as much as yesterday's. Our case count reflects the mobility period in which we are in the same seriousness. This will continue to reflect on the number of passages in close days. Our full dose is that we must give the necessary struggle against the outbreak of the measures. https://t.co/uvstkxbdd3</v>
      </c>
    </row>
    <row r="421" spans="1:5" ht="15.75" customHeight="1" x14ac:dyDescent="0.25">
      <c r="A421" s="1" t="s">
        <v>842</v>
      </c>
      <c r="B421" s="1">
        <v>4194</v>
      </c>
      <c r="C421" s="3">
        <v>44455.798726851855</v>
      </c>
      <c r="D421" s="1" t="s">
        <v>843</v>
      </c>
      <c r="E421" s="4" t="str">
        <f ca="1">IFERROR(__xludf.DUMMYFUNCTION("GOOGLETRANSLATE(A421 , ""tr"" , ""en"")"),"The vaccines should not remove the fact that the vaccines are completed, ie 14 days after the 2nd dose of 14 days. Measures are required for all of us until social immunity is obtained. Let's not compromise the mask, distance, cleaning rules. https://t.co"&amp;"/r5vnu3k8hq")</f>
        <v>The vaccines should not remove the fact that the vaccines are completed, ie 14 days after the 2nd dose of 14 days. Measures are required for all of us until social immunity is obtained. Let's not compromise the mask, distance, cleaning rules. https://t.co/r5vnu3k8hq</v>
      </c>
    </row>
    <row r="422" spans="1:5" ht="15.75" customHeight="1" x14ac:dyDescent="0.25">
      <c r="A422" s="1" t="s">
        <v>844</v>
      </c>
      <c r="B422" s="1">
        <v>5335</v>
      </c>
      <c r="C422" s="3">
        <v>44455.680162037039</v>
      </c>
      <c r="D422" s="1" t="s">
        <v>845</v>
      </c>
      <c r="E422" s="4" t="str">
        <f ca="1">IFERROR(__xludf.DUMMYFUNCTION("GOOGLETRANSLATE(A422 , ""tr"" , ""en"")"),"CAN Loss 262. Case Count 28.118. The risk with increasing mobility is even more common. By implementing the measures tomorrow, you may have a share in the variation of the results in the table after average after 1 week, as well as 2 weeks after 2 weeks. "&amp;"https://t.co/gaoi95mrcr")</f>
        <v>CAN Loss 262. Case Count 28.118. The risk with increasing mobility is even more common. By implementing the measures tomorrow, you may have a share in the variation of the results in the table after average after 1 week, as well as 2 weeks after 2 weeks. https://t.co/gaoi95mrcr</v>
      </c>
    </row>
    <row r="423" spans="1:5" ht="15.75" customHeight="1" x14ac:dyDescent="0.25">
      <c r="A423" s="1" t="s">
        <v>846</v>
      </c>
      <c r="B423" s="1">
        <v>2360</v>
      </c>
      <c r="C423" s="3">
        <v>44455.611666666664</v>
      </c>
      <c r="D423" s="1" t="s">
        <v>847</v>
      </c>
      <c r="E423" s="4" t="str">
        <f ca="1">IFERROR(__xludf.DUMMYFUNCTION("GOOGLETRANSLATE(A423 , ""tr"" , ""en"")"),"We have exited anxiety and confusion environment. We have to make it permanent. We will fit the measures together and obtain social immunity as vaccines. https://t.co/qndwx1zx9h")</f>
        <v>We have exited anxiety and confusion environment. We have to make it permanent. We will fit the measures together and obtain social immunity as vaccines. https://t.co/qndwx1zx9h</v>
      </c>
    </row>
    <row r="424" spans="1:5" ht="15.75" customHeight="1" x14ac:dyDescent="0.25">
      <c r="A424" s="1" t="s">
        <v>848</v>
      </c>
      <c r="B424" s="1">
        <v>2449</v>
      </c>
      <c r="C424" s="3">
        <v>44455.595393518517</v>
      </c>
      <c r="D424" s="1" t="s">
        <v>849</v>
      </c>
      <c r="E424" s="4" t="str">
        <f ca="1">IFERROR(__xludf.DUMMYFUNCTION("GOOGLETRANSLATE(A424 , ""tr"" , ""en"")"),"In the last days, we are witnessing that the number of our losses are highly associated with the vaccination effectiveness. However, the rate of non-pudding in our cases and losses is very high. This shows that the results may be heavier if there were no "&amp;"vaccines. We must be vaccinated necessarily. https://t.co/9d28yjzjwc")</f>
        <v>In the last days, we are witnessing that the number of our losses are highly associated with the vaccination effectiveness. However, the rate of non-pudding in our cases and losses is very high. This shows that the results may be heavier if there were no vaccines. We must be vaccinated necessarily. https://t.co/9d28yjzjwc</v>
      </c>
    </row>
    <row r="425" spans="1:5" ht="15.75" customHeight="1" x14ac:dyDescent="0.25">
      <c r="A425" s="1" t="s">
        <v>850</v>
      </c>
      <c r="B425" s="1">
        <v>2265</v>
      </c>
      <c r="C425" s="3">
        <v>44455.471712962964</v>
      </c>
      <c r="D425" s="1" t="s">
        <v>851</v>
      </c>
      <c r="E425" s="4" t="str">
        <f ca="1">IFERROR(__xludf.DUMMYFUNCTION("GOOGLETRANSLATE(A425 , ""tr"" , ""en"")"),"1. We have made development at a high rate in the dose inoculation. The queue came to upgrade the second overdose rate. We will share the 1st dose vaccination rate map with you every day, and we will offer each day with two dose of vaccination rates from "&amp;"the Map Monday. https://t.co/admgaI4xvh")</f>
        <v>1. We have made development at a high rate in the dose inoculation. The queue came to upgrade the second overdose rate. We will share the 1st dose vaccination rate map with you every day, and we will offer each day with two dose of vaccination rates from the Map Monday. https://t.co/admgaI4xvh</v>
      </c>
    </row>
    <row r="426" spans="1:5" ht="15.75" customHeight="1" x14ac:dyDescent="0.25">
      <c r="A426" s="1" t="s">
        <v>852</v>
      </c>
      <c r="B426" s="1">
        <v>2714</v>
      </c>
      <c r="C426" s="3">
        <v>44455.46466435185</v>
      </c>
      <c r="D426" s="1" t="s">
        <v>853</v>
      </c>
      <c r="E426" s="4" t="str">
        <f ca="1">IFERROR(__xludf.DUMMYFUNCTION("GOOGLETRANSLATE(A426 , ""tr"" , ""en"")"),"The tests to be made for scanning students are dependent on the permission of all parents. The sampling process for the test will be made by solely samples from the throat if our parents are allowed in the consent presented to them. Otherwise there is no "&amp;"matter of medical ethics. https://t.co/vlu86jdk2b")</f>
        <v>The tests to be made for scanning students are dependent on the permission of all parents. The sampling process for the test will be made by solely samples from the throat if our parents are allowed in the consent presented to them. Otherwise there is no matter of medical ethics. https://t.co/vlu86jdk2b</v>
      </c>
    </row>
    <row r="427" spans="1:5" ht="15.75" customHeight="1" x14ac:dyDescent="0.25">
      <c r="A427" s="1" t="s">
        <v>854</v>
      </c>
      <c r="B427" s="1">
        <v>2129</v>
      </c>
      <c r="C427" s="3">
        <v>44455.434212962966</v>
      </c>
      <c r="D427" s="1" t="s">
        <v>855</v>
      </c>
      <c r="E427" s="4" t="str">
        <f ca="1">IFERROR(__xludf.DUMMYFUNCTION("GOOGLETRANSLATE(A427 , ""tr"" , ""en"")"),"Between 4-10 September Case Density The most increasing 10 of our previous week: Kilis, Erzincan, Malatya, Karabük, Kastamonu, Erzurum, Adiyaman, Kayseri, Slap, Sinop! If you are in one of these provinces you should be even more careful now. https://t.co/"&amp;"ggqfekqgez")</f>
        <v>Between 4-10 September Case Density The most increasing 10 of our previous week: Kilis, Erzincan, Malatya, Karabük, Kastamonu, Erzurum, Adiyaman, Kayseri, Slap, Sinop! If you are in one of these provinces you should be even more careful now. https://t.co/ggqfekqgez</v>
      </c>
    </row>
    <row r="428" spans="1:5" ht="15.75" customHeight="1" x14ac:dyDescent="0.25">
      <c r="A428" s="1" t="s">
        <v>856</v>
      </c>
      <c r="B428" s="1">
        <v>3337</v>
      </c>
      <c r="C428" s="3">
        <v>44455.430509259262</v>
      </c>
      <c r="D428" s="1" t="s">
        <v>857</v>
      </c>
      <c r="E428" s="4" t="str">
        <f ca="1">IFERROR(__xludf.DUMMYFUNCTION("GOOGLETRANSLATE(A428 , ""tr"" , ""en"")"),"From 4-10 September, what was a total of weekly new Covid-19 cases in 100,000 people? You can learn the situation in the province where you are experiencing, from our weekly incidence map. https://t.co/edk9gyxjbk")</f>
        <v>From 4-10 September, what was a total of weekly new Covid-19 cases in 100,000 people? You can learn the situation in the province where you are experiencing, from our weekly incidence map. https://t.co/edk9gyxjbk</v>
      </c>
    </row>
    <row r="429" spans="1:5" ht="15.75" customHeight="1" x14ac:dyDescent="0.25">
      <c r="A429" s="1" t="s">
        <v>858</v>
      </c>
      <c r="B429" s="1">
        <v>1949</v>
      </c>
      <c r="C429" s="3">
        <v>44454.759814814817</v>
      </c>
      <c r="D429" s="1" t="s">
        <v>859</v>
      </c>
      <c r="E429" s="4" t="str">
        <f ca="1">IFERROR(__xludf.DUMMYFUNCTION("GOOGLETRANSLATE(A429 , ""tr"" , ""en"")"),"Live: After our Science Board Meeting, our press statement:
https://t.co/ygsth0dreh")</f>
        <v>Live: After our Science Board Meeting, our press statement:
https://t.co/ygsth0dreh</v>
      </c>
    </row>
    <row r="430" spans="1:5" ht="15.75" customHeight="1" x14ac:dyDescent="0.25">
      <c r="A430" s="1" t="s">
        <v>860</v>
      </c>
      <c r="B430" s="1">
        <v>7080</v>
      </c>
      <c r="C430" s="3">
        <v>44454.750196759262</v>
      </c>
      <c r="D430" s="1" t="s">
        <v>861</v>
      </c>
      <c r="E430" s="4" t="str">
        <f ca="1">IFERROR(__xludf.DUMMYFUNCTION("GOOGLETRANSLATE(A430 , ""tr"" , ""en"")"),"Our orange is not left. Turkey Covid-19 on the risk map of the last orange on the risk of Gümüşhane, the first dose of the vaccine rate was over 65%. Now the turn shows the success to go blue. We celebrate Gumushane.")</f>
        <v>Our orange is not left. Turkey Covid-19 on the risk map of the last orange on the risk of Gümüşhane, the first dose of the vaccine rate was over 65%. Now the turn shows the success to go blue. We celebrate Gumushane.</v>
      </c>
    </row>
    <row r="431" spans="1:5" ht="15.75" customHeight="1" x14ac:dyDescent="0.25">
      <c r="A431" s="1" t="s">
        <v>862</v>
      </c>
      <c r="B431" s="1">
        <v>4813</v>
      </c>
      <c r="C431" s="3">
        <v>44454.745254629626</v>
      </c>
      <c r="D431" s="1" t="s">
        <v>863</v>
      </c>
      <c r="E431" s="4" t="str">
        <f ca="1">IFERROR(__xludf.DUMMYFUNCTION("GOOGLETRANSLATE(A431 , ""tr"" , ""en"")"),"CAN Loss 248. Case Count 28.224. We are in a period where mobility is so intense with contacts. We must be all measures in the double dose vaccine, against the number of new cases over 28. The requirement of success towards the epidemic is to act together"&amp;". https://t.co/rxjwqxaaId")</f>
        <v>CAN Loss 248. Case Count 28.224. We are in a period where mobility is so intense with contacts. We must be all measures in the double dose vaccine, against the number of new cases over 28. The requirement of success towards the epidemic is to act together. https://t.co/rxjwqxaaId</v>
      </c>
    </row>
    <row r="432" spans="1:5" ht="15.75" customHeight="1" x14ac:dyDescent="0.25">
      <c r="A432" s="1" t="s">
        <v>864</v>
      </c>
      <c r="B432" s="1">
        <v>3900</v>
      </c>
      <c r="C432" s="3">
        <v>44453.764918981484</v>
      </c>
      <c r="D432" s="1" t="s">
        <v>865</v>
      </c>
      <c r="E432" s="4" t="str">
        <f ca="1">IFERROR(__xludf.DUMMYFUNCTION("GOOGLETRANSLATE(A432 , ""tr"" , ""en"")"),"Rize with music, tea gardens and vaccination stories! https://t.co/wgdgrnx5pk")</f>
        <v>Rize with music, tea gardens and vaccination stories! https://t.co/wgdgrnx5pk</v>
      </c>
    </row>
    <row r="433" spans="1:5" ht="15.75" customHeight="1" x14ac:dyDescent="0.25">
      <c r="A433" s="1" t="s">
        <v>866</v>
      </c>
      <c r="B433" s="1">
        <v>6690</v>
      </c>
      <c r="C433" s="3">
        <v>44453.726701388892</v>
      </c>
      <c r="D433" s="1" t="s">
        <v>867</v>
      </c>
      <c r="E433" s="4" t="str">
        <f ca="1">IFERROR(__xludf.DUMMYFUNCTION("GOOGLETRANSLATE(A433 , ""tr"" , ""en"")"),"Şanlıurfa increased the first overdose rate over 65%. Yellow in the color of the orange in our map. Currently, the first overdose ratio is below 65%, Gumushane. All Provinces in Yellow and Blue Let's call in Gumushane?")</f>
        <v>Şanlıurfa increased the first overdose rate over 65%. Yellow in the color of the orange in our map. Currently, the first overdose ratio is below 65%, Gumushane. All Provinces in Yellow and Blue Let's call in Gumushane?</v>
      </c>
    </row>
    <row r="434" spans="1:5" ht="15.75" customHeight="1" x14ac:dyDescent="0.25">
      <c r="A434" s="1" t="s">
        <v>868</v>
      </c>
      <c r="B434" s="1">
        <v>5510</v>
      </c>
      <c r="C434" s="3">
        <v>44453.692199074074</v>
      </c>
      <c r="D434" s="1" t="s">
        <v>869</v>
      </c>
      <c r="E434" s="4" t="str">
        <f ca="1">IFERROR(__xludf.DUMMYFUNCTION("GOOGLETRANSLATE(A434 , ""tr"" , ""en"")"),"Our new life loss 276. 276 of the cases previously mentioned in the table resulted in death today. If we provide unity and together in vaccines and measures; Case numbers in a short time, followed by losses quickly falls. The requirement of success agains"&amp;"t the epidemic is union and stability. https://t.co/iu3oIzX27I")</f>
        <v>Our new life loss 276. 276 of the cases previously mentioned in the table resulted in death today. If we provide unity and together in vaccines and measures; Case numbers in a short time, followed by losses quickly falls. The requirement of success against the epidemic is union and stability. https://t.co/iu3oIzX27I</v>
      </c>
    </row>
    <row r="435" spans="1:5" ht="15.75" customHeight="1" x14ac:dyDescent="0.25">
      <c r="A435" s="1" t="s">
        <v>870</v>
      </c>
      <c r="B435" s="1">
        <v>5412</v>
      </c>
      <c r="C435" s="3">
        <v>44452.815358796295</v>
      </c>
      <c r="D435" s="1" t="s">
        <v>871</v>
      </c>
      <c r="E435" s="4" t="str">
        <f ca="1">IFERROR(__xludf.DUMMYFUNCTION("GOOGLETRANSLATE(A435 , ""tr"" , ""en"")"),"They completed the vaccines while completing the hazelnut harvest! https://t.co/90ydcdlr0z")</f>
        <v>They completed the vaccines while completing the hazelnut harvest! https://t.co/90ydcdlr0z</v>
      </c>
    </row>
    <row r="436" spans="1:5" ht="15.75" customHeight="1" x14ac:dyDescent="0.25">
      <c r="A436" s="1" t="s">
        <v>872</v>
      </c>
      <c r="B436" s="1">
        <v>6322</v>
      </c>
      <c r="C436" s="3">
        <v>44452.677743055552</v>
      </c>
      <c r="D436" s="1" t="s">
        <v>873</v>
      </c>
      <c r="E436" s="4" t="str">
        <f ca="1">IFERROR(__xludf.DUMMYFUNCTION("GOOGLETRANSLATE(A436 , ""tr"" , ""en"")"),"As of this evening, the number of at least 2 dose of overdose is 40.635.924. As the rate of vaccination increases, we will be approaching society immunity. Case numbers and depending on the decrease in our life-losses, double-dose vaccines are due to the "&amp;"completion rate, compliance with measures. https://t.co/oirerqdzjl")</f>
        <v>As of this evening, the number of at least 2 dose of overdose is 40.635.924. As the rate of vaccination increases, we will be approaching society immunity. Case numbers and depending on the decrease in our life-losses, double-dose vaccines are due to the completion rate, compliance with measures. https://t.co/oirerqdzjl</v>
      </c>
    </row>
    <row r="437" spans="1:5" ht="15.75" customHeight="1" x14ac:dyDescent="0.25">
      <c r="A437" s="1" t="s">
        <v>874</v>
      </c>
      <c r="B437" s="1">
        <v>4408</v>
      </c>
      <c r="C437" s="3">
        <v>44452.656435185185</v>
      </c>
      <c r="D437" s="1" t="s">
        <v>875</v>
      </c>
      <c r="E437" s="4" t="str">
        <f ca="1">IFERROR(__xludf.DUMMYFUNCTION("GOOGLETRANSLATE(A437 , ""tr"" , ""en"")"),"We are on the 100th anniversary of the Sakarya Challenge Battle victory. The 22 days of combat, the war of salvation was the greatest news of our victory. At the beginning of Gazi Mustafa Kemal Atatürk and we are self-esteem, especially for friends and fr"&amp;"iends, all our heroes and martyrs. https://t.co/rvugkzodz2")</f>
        <v>We are on the 100th anniversary of the Sakarya Challenge Battle victory. The 22 days of combat, the war of salvation was the greatest news of our victory. At the beginning of Gazi Mustafa Kemal Atatürk and we are self-esteem, especially for friends and friends, all our heroes and martyrs. https://t.co/rvugkzodz2</v>
      </c>
    </row>
    <row r="438" spans="1:5" ht="15.75" customHeight="1" x14ac:dyDescent="0.25">
      <c r="A438" s="1" t="s">
        <v>876</v>
      </c>
      <c r="B438" s="1">
        <v>6916</v>
      </c>
      <c r="C438" s="3">
        <v>44451.739664351851</v>
      </c>
      <c r="D438" s="1" t="s">
        <v>877</v>
      </c>
      <c r="E438" s="4" t="str">
        <f ca="1">IFERROR(__xludf.DUMMYFUNCTION("GOOGLETRANSLATE(A438 , ""tr"" , ""en"")"),"12 September 1980 pulses, people's life costs Turkey's years. On the night of July 15, we did not give a new blow to a new impact. Our democracy is our soul diphdy. We have pulse experiences in our memory, it will never be in our future.")</f>
        <v>12 September 1980 pulses, people's life costs Turkey's years. On the night of July 15, we did not give a new blow to a new impact. Our democracy is our soul diphdy. We have pulse experiences in our memory, it will never be in our future.</v>
      </c>
    </row>
    <row r="439" spans="1:5" ht="15.75" customHeight="1" x14ac:dyDescent="0.25">
      <c r="A439" s="1" t="s">
        <v>878</v>
      </c>
      <c r="B439" s="1">
        <v>6341</v>
      </c>
      <c r="C439" s="3">
        <v>44451.686377314814</v>
      </c>
      <c r="D439" s="1" t="s">
        <v>879</v>
      </c>
      <c r="E439" s="4" t="str">
        <f ca="1">IFERROR(__xludf.DUMMYFUNCTION("GOOGLETRANSLATE(A439 , ""tr"" , ""en"")"),"""NOTHING HAPPENS TO ME!"" Number of cases today: 21.352. To these cases ""not me anything."" leads to negligence. Today's Loss: 243. The reason for the passage of the passage, which causes omissions. Our full dose of overdose should be on time, we must c"&amp;"omply with the measures regularly and together. The risk continues. https://t.co/bcjy8cmolt")</f>
        <v>"NOTHING HAPPENS TO ME!" Number of cases today: 21.352. To these cases "not me anything." leads to negligence. Today's Loss: 243. The reason for the passage of the passage, which causes omissions. Our full dose of overdose should be on time, we must comply with the measures regularly and together. The risk continues. https://t.co/bcjy8cmolt</v>
      </c>
    </row>
    <row r="440" spans="1:5" ht="15.75" customHeight="1" x14ac:dyDescent="0.25">
      <c r="A440" s="1" t="s">
        <v>880</v>
      </c>
      <c r="B440" s="1">
        <v>5148</v>
      </c>
      <c r="C440" s="3">
        <v>44450.921840277777</v>
      </c>
      <c r="D440" s="1" t="s">
        <v>881</v>
      </c>
      <c r="E440" s="4" t="str">
        <f ca="1">IFERROR(__xludf.DUMMYFUNCTION("GOOGLETRANSLATE(A440 , ""tr"" , ""en"")"),"We were in the Poetry Night in Kahramanmaras yesterday with our president. A poetry registration of 1999 was located in the night: ""You, me, my homeland, the people of my country"". We share a chapter from the famous poetry of Erdem Bayazıt: ""Sleeps fro"&amp;"m white clothes spilled ..."" https://t.co/5awxwy4v2a")</f>
        <v>We were in the Poetry Night in Kahramanmaras yesterday with our president. A poetry registration of 1999 was located in the night: "You, me, my homeland, the people of my country". We share a chapter from the famous poetry of Erdem Bayazıt: "Sleeps from white clothes spilled ..." https://t.co/5awxwy4v2a</v>
      </c>
    </row>
    <row r="441" spans="1:5" ht="15.75" customHeight="1" x14ac:dyDescent="0.25">
      <c r="A441" s="1" t="s">
        <v>882</v>
      </c>
      <c r="B441" s="1">
        <v>6275</v>
      </c>
      <c r="C441" s="3">
        <v>44450.789675925924</v>
      </c>
      <c r="D441" s="1" t="s">
        <v>883</v>
      </c>
      <c r="E441" s="4" t="str">
        <f ca="1">IFERROR(__xludf.DUMMYFUNCTION("GOOGLETRANSLATE(A441 , ""tr"" , ""en"")"),"Diyarbakır increased the first overdose rate over 65%. Yellow in the color of the orange in our map. At the moment, the first overdose rate is below 65%, orange two products: Şanlıurfa with Gumushane. Do you call all the provinces of yellow and blue, espe"&amp;"cially in Diyarbakir?")</f>
        <v>Diyarbakır increased the first overdose rate over 65%. Yellow in the color of the orange in our map. At the moment, the first overdose rate is below 65%, orange two products: Şanlıurfa with Gumushane. Do you call all the provinces of yellow and blue, especially in Diyarbakir?</v>
      </c>
    </row>
    <row r="442" spans="1:5" ht="15.75" customHeight="1" x14ac:dyDescent="0.25">
      <c r="A442" s="1" t="s">
        <v>884</v>
      </c>
      <c r="B442" s="1">
        <v>3654</v>
      </c>
      <c r="C442" s="3">
        <v>44450.764027777775</v>
      </c>
      <c r="D442" s="1" t="s">
        <v>885</v>
      </c>
      <c r="E442" s="4" t="str">
        <f ca="1">IFERROR(__xludf.DUMMYFUNCTION("GOOGLETRANSLATE(A442 , ""tr"" , ""en"")"),"The two heroes of our nation have married the martyrs today. Idlib Tension Reducing Duties in the Reduction Zone The treacherous attack in the treacherous attack on the ramazan iron and the mujahide bordepan to the Mujahide Bordepe siblings and their cond"&amp;"olences to their families. Our pain is big. https://t.co/rv47jxcnjc")</f>
        <v>The two heroes of our nation have married the martyrs today. Idlib Tension Reducing Duties in the Reduction Zone The treacherous attack in the treacherous attack on the ramazan iron and the mujahide bordepan to the Mujahide Bordepe siblings and their condolences to their families. Our pain is big. https://t.co/rv47jxcnjc</v>
      </c>
    </row>
    <row r="443" spans="1:5" ht="15.75" customHeight="1" x14ac:dyDescent="0.25">
      <c r="A443" s="1" t="s">
        <v>886</v>
      </c>
      <c r="B443" s="1">
        <v>4740</v>
      </c>
      <c r="C443" s="3">
        <v>44450.717280092591</v>
      </c>
      <c r="D443" s="1" t="s">
        <v>887</v>
      </c>
      <c r="E443" s="4" t="str">
        <f ca="1">IFERROR(__xludf.DUMMYFUNCTION("GOOGLETRANSLATE(A443 , ""tr"" , ""en"")"),"Our Case Count is 22,923. CAN loss 259. The decrease in the number of passages; The measures are connected to everyone's rapidly increasing the full dose of vaccines. We can stop the propagation and consequences like that. Each new day we should take non-"&amp;"return steps from outbreaks. https://t.co/se8i06jplh")</f>
        <v>Our Case Count is 22,923. CAN loss 259. The decrease in the number of passages; The measures are connected to everyone's rapidly increasing the full dose of vaccines. We can stop the propagation and consequences like that. Each new day we should take non-return steps from outbreaks. https://t.co/se8i06jplh</v>
      </c>
    </row>
    <row r="444" spans="1:5" ht="15.75" customHeight="1" x14ac:dyDescent="0.25">
      <c r="A444" s="1" t="s">
        <v>888</v>
      </c>
      <c r="B444" s="1">
        <v>2409</v>
      </c>
      <c r="C444" s="3">
        <v>44450.381689814814</v>
      </c>
      <c r="D444" s="1" t="s">
        <v>889</v>
      </c>
      <c r="E444" s="4" t="str">
        <f ca="1">IFERROR(__xludf.DUMMYFUNCTION("GOOGLETRANSLATE(A444 , ""tr"" , ""en"")"),"28 August-3 September Case Density Between the previous week of the previous week: Kayseri, Elazig, Karaman, Bolu, Malatya, Kırşehir, Yozgat, Kırıkkale, Tunceli, Bartin! If you are in one of these provinces you should be even more careful now. The ultimat"&amp;"e solution vaccine! The rules are very necessary. https://t.co/wh4muvxrjn")</f>
        <v>28 August-3 September Case Density Between the previous week of the previous week: Kayseri, Elazig, Karaman, Bolu, Malatya, Kırşehir, Yozgat, Kırıkkale, Tunceli, Bartin! If you are in one of these provinces you should be even more careful now. The ultimate solution vaccine! The rules are very necessary. https://t.co/wh4muvxrjn</v>
      </c>
    </row>
    <row r="445" spans="1:5" ht="15.75" customHeight="1" x14ac:dyDescent="0.25">
      <c r="A445" s="1" t="s">
        <v>890</v>
      </c>
      <c r="B445" s="1">
        <v>4027</v>
      </c>
      <c r="C445" s="3">
        <v>44450.378263888888</v>
      </c>
      <c r="D445" s="1" t="s">
        <v>891</v>
      </c>
      <c r="E445" s="4" t="str">
        <f ca="1">IFERROR(__xludf.DUMMYFUNCTION("GOOGLETRANSLATE(A445 , ""tr"" , ""en"")"),"28 August-From September 3, what was a total of weekly new Covid-19 cases in 100,000 people? You can learn the situation in the province where you are experiencing, from our weekly incidence map. https://t.co/oxz9tvzpy3")</f>
        <v>28 August-From September 3, what was a total of weekly new Covid-19 cases in 100,000 people? You can learn the situation in the province where you are experiencing, from our weekly incidence map. https://t.co/oxz9tvzpy3</v>
      </c>
    </row>
    <row r="446" spans="1:5" ht="15.75" customHeight="1" x14ac:dyDescent="0.25">
      <c r="A446" s="1" t="s">
        <v>892</v>
      </c>
      <c r="B446" s="1">
        <v>2877</v>
      </c>
      <c r="C446" s="3">
        <v>44449.873773148145</v>
      </c>
      <c r="D446" s="1" t="s">
        <v>893</v>
      </c>
      <c r="E446" s="4" t="str">
        <f ca="1">IFERROR(__xludf.DUMMYFUNCTION("GOOGLETRANSLATE(A446 , ""tr"" , ""en"")"),"The rate of 2 dose of overdose in our teachers has found 77%. The rate of at least 1 dose of overdose is over 90%. If the ratio of those who undergo Covid-19 disease is in 4.4%. As a result, teachers currently have nearly vaccinated and protection rate of"&amp;" 95%. https://t.co/Ie95uulgvn")</f>
        <v>The rate of 2 dose of overdose in our teachers has found 77%. The rate of at least 1 dose of overdose is over 90%. If the ratio of those who undergo Covid-19 disease is in 4.4%. As a result, teachers currently have nearly vaccinated and protection rate of 95%. https://t.co/Ie95uulgvn</v>
      </c>
    </row>
    <row r="447" spans="1:5" ht="15.75" customHeight="1" x14ac:dyDescent="0.25">
      <c r="A447" s="1" t="s">
        <v>894</v>
      </c>
      <c r="B447" s="1">
        <v>3548</v>
      </c>
      <c r="C447" s="3">
        <v>44449.86787037037</v>
      </c>
      <c r="D447" s="1" t="s">
        <v>895</v>
      </c>
      <c r="E447" s="4" t="str">
        <f ca="1">IFERROR(__xludf.DUMMYFUNCTION("GOOGLETRANSLATE(A447 , ""tr"" , ""en"")"),"There are 15 million people with 2 dose synovac vaccines. Dosing the 3rd of 9 million. 3. The hospital burden of 9 million people who made the dose is 1.5-1.6%. Ag- 2 dose effective, 3rd dose is necessarily necessary! https://t.co/1wggzyseI6")</f>
        <v>There are 15 million people with 2 dose synovac vaccines. Dosing the 3rd of 9 million. 3. The hospital burden of 9 million people who made the dose is 1.5-1.6%. Ag- 2 dose effective, 3rd dose is necessarily necessary! https://t.co/1wggzyseI6</v>
      </c>
    </row>
    <row r="448" spans="1:5" ht="15.75" customHeight="1" x14ac:dyDescent="0.25">
      <c r="A448" s="1" t="s">
        <v>896</v>
      </c>
      <c r="B448" s="1">
        <v>2878</v>
      </c>
      <c r="C448" s="3">
        <v>44449.860960648148</v>
      </c>
      <c r="D448" s="1" t="s">
        <v>897</v>
      </c>
      <c r="E448" s="4" t="str">
        <f ca="1">IFERROR(__xludf.DUMMYFUNCTION("GOOGLETRANSLATE(A448 , ""tr"" , ""en"")"),"There is no longer the vaccine, we never want to close schools in the new period. Though, this may be valid on a class basis due to case. We don't want to even get it possible. In order to maintain training from no disruption, we will try to upgrade the v"&amp;"accine rate with our citizens. https://t.co/9ziIsuetmx")</f>
        <v>There is no longer the vaccine, we never want to close schools in the new period. Though, this may be valid on a class basis due to case. We don't want to even get it possible. In order to maintain training from no disruption, we will try to upgrade the vaccine rate with our citizens. https://t.co/9ziIsuetmx</v>
      </c>
    </row>
    <row r="449" spans="1:5" ht="15.75" customHeight="1" x14ac:dyDescent="0.25">
      <c r="A449" s="1" t="s">
        <v>898</v>
      </c>
      <c r="B449" s="1">
        <v>2203</v>
      </c>
      <c r="C449" s="3">
        <v>44449.856261574074</v>
      </c>
      <c r="D449" s="1" t="s">
        <v>899</v>
      </c>
      <c r="E449" s="4" t="str">
        <f ca="1">IFERROR(__xludf.DUMMYFUNCTION("GOOGLETRANSLATE(A449 , ""tr"" , ""en"")"),"This society makes their children with 13 different vaccines by 98%. There is no problem in the vaccination of society. Currently we are in the world in the world as the number of dose. Only Germany from European countries is us in front of us. If the dai"&amp;"ly dose of vaccine compared to the population is usually 3rd or fourth in the world! https://t.co/zbeICQGUTW")</f>
        <v>This society makes their children with 13 different vaccines by 98%. There is no problem in the vaccination of society. Currently we are in the world in the world as the number of dose. Only Germany from European countries is us in front of us. If the daily dose of vaccine compared to the population is usually 3rd or fourth in the world! https://t.co/zbeICQGUTW</v>
      </c>
    </row>
    <row r="450" spans="1:5" ht="15.75" customHeight="1" x14ac:dyDescent="0.25">
      <c r="A450" s="1" t="s">
        <v>900</v>
      </c>
      <c r="B450" s="1">
        <v>3643</v>
      </c>
      <c r="C450" s="3">
        <v>44449.847442129627</v>
      </c>
      <c r="D450" s="1" t="s">
        <v>901</v>
      </c>
      <c r="E450" s="4" t="str">
        <f ca="1">IFERROR(__xludf.DUMMYFUNCTION("GOOGLETRANSLATE(A450 , ""tr"" , ""en"")"),"Our city of Istiklal medal is our city in Maras. Maraş also has the title of heroism by the Almighty Council. A Surprise with love and regards to marches with heroes: We have seen the Identiquity medal certificate given to our city in 1925? https://t.co/l"&amp;"mafocpjcq")</f>
        <v>Our city of Istiklal medal is our city in Maras. Maraş also has the title of heroism by the Almighty Council. A Surprise with love and regards to marches with heroes: We have seen the Identiquity medal certificate given to our city in 1925? https://t.co/lmafocpjcq</v>
      </c>
    </row>
    <row r="451" spans="1:5" ht="15.75" customHeight="1" x14ac:dyDescent="0.25">
      <c r="A451" s="1" t="s">
        <v>902</v>
      </c>
      <c r="B451" s="1">
        <v>4173</v>
      </c>
      <c r="C451" s="3">
        <v>44449.771157407406</v>
      </c>
      <c r="D451" s="1" t="s">
        <v>903</v>
      </c>
      <c r="E451" s="4" t="str">
        <f ca="1">IFERROR(__xludf.DUMMYFUNCTION("GOOGLETRANSLATE(A451 , ""tr"" , ""en"")"),"Erzurum is among our blue provinces with the first overdose ratio over 75% today! Now the sequence is to increase the second dose of vaccines. On the other hand, we still have provinces with orange and yellow. Each side of a blue Turkey will do what you n"&amp;"eed for a map of risk. Our new instance get erzurum!")</f>
        <v>Erzurum is among our blue provinces with the first overdose ratio over 75% today! Now the sequence is to increase the second dose of vaccines. On the other hand, we still have provinces with orange and yellow. Each side of a blue Turkey will do what you need for a map of risk. Our new instance get erzurum!</v>
      </c>
    </row>
    <row r="452" spans="1:5" ht="15.75" customHeight="1" x14ac:dyDescent="0.25">
      <c r="A452" s="1" t="s">
        <v>904</v>
      </c>
      <c r="B452" s="1">
        <v>3840</v>
      </c>
      <c r="C452" s="3">
        <v>44449.766388888886</v>
      </c>
      <c r="D452" s="1" t="s">
        <v>905</v>
      </c>
      <c r="E452" s="4" t="str">
        <f ca="1">IFERROR(__xludf.DUMMYFUNCTION("GOOGLETRANSLATE(A452 , ""tr"" , ""en"")"),"Yozgat is among our blue provinces with the first overdose ratio over 75% today! Now the sequence is to increase the second dose of vaccines. On the other hand, we still have provinces with orange and yellow. Each side of a blue Turkey will do what you ne"&amp;"ed for a map of risk. Our new example get yozgat!")</f>
        <v>Yozgat is among our blue provinces with the first overdose ratio over 75% today! Now the sequence is to increase the second dose of vaccines. On the other hand, we still have provinces with orange and yellow. Each side of a blue Turkey will do what you need for a map of risk. Our new example get yozgat!</v>
      </c>
    </row>
    <row r="453" spans="1:5" ht="15.75" customHeight="1" x14ac:dyDescent="0.25">
      <c r="A453" s="1" t="s">
        <v>906</v>
      </c>
      <c r="B453" s="1">
        <v>4395</v>
      </c>
      <c r="C453" s="3">
        <v>44449.723703703705</v>
      </c>
      <c r="D453" s="1" t="s">
        <v>907</v>
      </c>
      <c r="E453" s="4" t="str">
        <f ca="1">IFERROR(__xludf.DUMMYFUNCTION("GOOGLETRANSLATE(A453 , ""tr"" , ""en"")"),"The number of cases is 23.562. Our loss of 257 yesterdays yesterday 214. There is no obvious decline in the course of cases. The reduction in the number of loss is promising for the moment. But this is a possible situation in the opposite tomorrow. In the"&amp;" epidemic environment, we must take non-return steps. Measures of Measures Our friend. https://t.co/agybzpfgaw")</f>
        <v>The number of cases is 23.562. Our loss of 257 yesterdays yesterday 214. There is no obvious decline in the course of cases. The reduction in the number of loss is promising for the moment. But this is a possible situation in the opposite tomorrow. In the epidemic environment, we must take non-return steps. Measures of Measures Our friend. https://t.co/agybzpfgaw</v>
      </c>
    </row>
    <row r="454" spans="1:5" ht="15.75" customHeight="1" x14ac:dyDescent="0.25">
      <c r="A454" s="1" t="s">
        <v>908</v>
      </c>
      <c r="B454" s="1">
        <v>10388</v>
      </c>
      <c r="C454" s="3">
        <v>44449.678333333337</v>
      </c>
      <c r="D454" s="1" t="s">
        <v>909</v>
      </c>
      <c r="E454" s="4" t="str">
        <f ca="1">IFERROR(__xludf.DUMMYFUNCTION("GOOGLETRANSLATE(A454 , ""tr"" , ""en"")"),"PCR test in schools? It will be held at a limited number of schools to understand the disclosure of lesis. Our parents will be informed in advance and approvals. PCR scan is for the continuation of the healthy education environment and possible preparatio"&amp;"n. With children, the most experienced friends will meet.")</f>
        <v>PCR test in schools? It will be held at a limited number of schools to understand the disclosure of lesis. Our parents will be informed in advance and approvals. PCR scan is for the continuation of the healthy education environment and possible preparation. With children, the most experienced friends will meet.</v>
      </c>
    </row>
    <row r="455" spans="1:5" ht="15.75" customHeight="1" x14ac:dyDescent="0.25">
      <c r="A455" s="1" t="s">
        <v>910</v>
      </c>
      <c r="B455" s="1">
        <v>2830</v>
      </c>
      <c r="C455" s="3">
        <v>44449.643587962964</v>
      </c>
      <c r="D455" s="1" t="s">
        <v>911</v>
      </c>
      <c r="E455" s="4" t="str">
        <f ca="1">IFERROR(__xludf.DUMMYFUNCTION("GOOGLETRANSLATE(A455 , ""tr"" , ""en"")"),"With the factors of our Mr. President, we realized the Kahramanmaras Bulk Opening Ceremony. We will be a more beautiful, safer and more prosperous than today with one and quite tomorrow today. https://t.co/puehew6fvm")</f>
        <v>With the factors of our Mr. President, we realized the Kahramanmaras Bulk Opening Ceremony. We will be a more beautiful, safer and more prosperous than today with one and quite tomorrow today. https://t.co/puehew6fvm</v>
      </c>
    </row>
    <row r="456" spans="1:5" ht="15.75" customHeight="1" x14ac:dyDescent="0.25">
      <c r="A456" s="1" t="s">
        <v>912</v>
      </c>
      <c r="B456" s="1">
        <v>0</v>
      </c>
      <c r="C456" s="3">
        <v>44449.579259259262</v>
      </c>
      <c r="D456" s="1" t="s">
        <v>913</v>
      </c>
      <c r="E456" s="4" t="str">
        <f ca="1">IFERROR(__xludf.DUMMYFUNCTION("GOOGLETRANSLATE(A456 , ""tr"" , ""en"")"),"RT @rterdogan: Kahramanmaras Bulk Opening Ceremony https://t.co/pe6vbqzyau")</f>
        <v>RT @rterdogan: Kahramanmaras Bulk Opening Ceremony https://t.co/pe6vbqzyau</v>
      </c>
    </row>
    <row r="457" spans="1:5" ht="15.75" customHeight="1" x14ac:dyDescent="0.25">
      <c r="A457" s="1" t="s">
        <v>914</v>
      </c>
      <c r="B457" s="1">
        <v>4812</v>
      </c>
      <c r="C457" s="3">
        <v>44448.838680555556</v>
      </c>
      <c r="D457" s="1" t="s">
        <v>915</v>
      </c>
      <c r="E457" s="4" t="str">
        <f ca="1">IFERROR(__xludf.DUMMYFUNCTION("GOOGLETRANSLATE(A457 , ""tr"" , ""en"")"),"I have a news to you. Our domestic vaccine TURKOVAC came to the stage that can be applied to the approval of emergency use. Our Turkovac vaccine we started production in a facility reached the lower structure to be produced in a second facility today. In "&amp;"order to obtain approval, we will switch to mass production in October. https://t.co/bvokuwbq0g")</f>
        <v>I have a news to you. Our domestic vaccine TURKOVAC came to the stage that can be applied to the approval of emergency use. Our Turkovac vaccine we started production in a facility reached the lower structure to be produced in a second facility today. In order to obtain approval, we will switch to mass production in October. https://t.co/bvokuwbq0g</v>
      </c>
    </row>
    <row r="458" spans="1:5" ht="15.75" customHeight="1" x14ac:dyDescent="0.25">
      <c r="A458" s="1" t="s">
        <v>916</v>
      </c>
      <c r="B458" s="1">
        <v>2843</v>
      </c>
      <c r="C458" s="3">
        <v>44448.831712962965</v>
      </c>
      <c r="D458" s="1" t="s">
        <v>917</v>
      </c>
      <c r="E458" s="4" t="str">
        <f ca="1">IFERROR(__xludf.DUMMYFUNCTION("GOOGLETRANSLATE(A458 , ""tr"" , ""en"")"),"For the community immunity against Covid-19, the bride in the vaccine between us and the tie on the vaccination. The vaccine is the trust against risks, the sense of freedom for tomorrow. The vaccine reduces the risk for everyone. I invite you to unity an"&amp;"d unity in the vaccine enclosing each of us. https://t.co/t1jgvn0zij")</f>
        <v>For the community immunity against Covid-19, the bride in the vaccine between us and the tie on the vaccination. The vaccine is the trust against risks, the sense of freedom for tomorrow. The vaccine reduces the risk for everyone. I invite you to unity and unity in the vaccine enclosing each of us. https://t.co/t1jgvn0zij</v>
      </c>
    </row>
    <row r="459" spans="1:5" ht="15.75" customHeight="1" x14ac:dyDescent="0.25">
      <c r="A459" s="1" t="s">
        <v>918</v>
      </c>
      <c r="B459" s="1">
        <v>2519</v>
      </c>
      <c r="C459" s="3">
        <v>44448.825046296297</v>
      </c>
      <c r="D459" s="1" t="s">
        <v>919</v>
      </c>
      <c r="E459" s="4" t="str">
        <f ca="1">IFERROR(__xludf.DUMMYFUNCTION("GOOGLETRANSLATE(A459 , ""tr"" , ""en"")"),"3 months after the inactive vaccine, we know that the reminder dose increases the protection very significantly. 3 The rate of overdose citizens within the number of cases is less than 2%. As of today, we have about 6 million people from the ""reminder do"&amp;"se"" time. https://t.co/ykxobb8oki")</f>
        <v>3 months after the inactive vaccine, we know that the reminder dose increases the protection very significantly. 3 The rate of overdose citizens within the number of cases is less than 2%. As of today, we have about 6 million people from the "reminder dose" time. https://t.co/ykxobb8oki</v>
      </c>
    </row>
    <row r="460" spans="1:5" ht="15.75" customHeight="1" x14ac:dyDescent="0.25">
      <c r="A460" s="1" t="s">
        <v>920</v>
      </c>
      <c r="B460" s="1">
        <v>0</v>
      </c>
      <c r="C460" s="3">
        <v>44448.822546296295</v>
      </c>
      <c r="D460" s="1" t="s">
        <v>921</v>
      </c>
      <c r="E460" s="4" t="str">
        <f ca="1">IFERROR(__xludf.DUMMYFUNCTION("GOOGLETRANSLATE(A460 , ""tr"" , ""en"")"),"RT @rterdogan: Today, we have reached the number of 100 million dose of overdose. Our domestic vaccine is also the widespread use of Turkovac ...")</f>
        <v>RT @rterdogan: Today, we have reached the number of 100 million dose of overdose. Our domestic vaccine is also the widespread use of Turkovac ...</v>
      </c>
    </row>
    <row r="461" spans="1:5" ht="15.75" customHeight="1" x14ac:dyDescent="0.25">
      <c r="A461" s="1" t="s">
        <v>922</v>
      </c>
      <c r="B461" s="1">
        <v>2065</v>
      </c>
      <c r="C461" s="3">
        <v>44448.81590277778</v>
      </c>
      <c r="D461" s="1" t="s">
        <v>923</v>
      </c>
      <c r="E461" s="4" t="str">
        <f ca="1">IFERROR(__xludf.DUMMYFUNCTION("GOOGLETRANSLATE(A461 , ""tr"" , ""en"")"),"Our success today is preparing us to a great conclusion, community immunity. The community immunity can be achieved with full doses of vaccination. There are 11.3 million people who do not have the second overdose yet. Whereas the only dose vaccine is not"&amp;" protective. With the first dose we are starting our vaccination process. https://t.co/etrhyljtcb")</f>
        <v>Our success today is preparing us to a great conclusion, community immunity. The community immunity can be achieved with full doses of vaccination. There are 11.3 million people who do not have the second overdose yet. Whereas the only dose vaccine is not protective. With the first dose we are starting our vaccination process. https://t.co/etrhyljtcb</v>
      </c>
    </row>
    <row r="462" spans="1:5" ht="15.75" customHeight="1" x14ac:dyDescent="0.25">
      <c r="A462" s="1" t="s">
        <v>924</v>
      </c>
      <c r="B462" s="1">
        <v>6062</v>
      </c>
      <c r="C462" s="3">
        <v>44448.802384259259</v>
      </c>
      <c r="D462" s="1" t="s">
        <v>925</v>
      </c>
      <c r="E462" s="4" t="str">
        <f ca="1">IFERROR(__xludf.DUMMYFUNCTION("GOOGLETRANSLATE(A462 , ""tr"" , ""en"")"),"The pain is among our blue provinces with the first overdose ratio over 75% today! In the orange and yellow risk group we only stayed in 14 products. Against Covid-19, let's do what is required for a blue risk map with all their provinces. Our new example"&amp;" is pain!")</f>
        <v>The pain is among our blue provinces with the first overdose ratio over 75% today! In the orange and yellow risk group we only stayed in 14 products. Against Covid-19, let's do what is required for a blue risk map with all their provinces. Our new example is pain!</v>
      </c>
    </row>
    <row r="463" spans="1:5" ht="15.75" customHeight="1" x14ac:dyDescent="0.25">
      <c r="A463" s="1" t="s">
        <v>926</v>
      </c>
      <c r="B463" s="1">
        <v>2470</v>
      </c>
      <c r="C463" s="3">
        <v>44448.791516203702</v>
      </c>
      <c r="D463" s="1" t="s">
        <v>927</v>
      </c>
      <c r="E463" s="4" t="str">
        <f ca="1">IFERROR(__xludf.DUMMYFUNCTION("GOOGLETRANSLATE(A463 , ""tr"" , ""en"")"),"100 million dose is the name of common success. In 100 million dose vaccines, I celebrate everyone who has contributed to his decision. When the place comes to the highlands, I offer my gratitude to my friends. The point we arrived shows that a very high "&amp;"speed of vaccination is possible. https://t.co/htwu69cdym")</f>
        <v>100 million dose is the name of common success. In 100 million dose vaccines, I celebrate everyone who has contributed to his decision. When the place comes to the highlands, I offer my gratitude to my friends. The point we arrived shows that a very high speed of vaccination is possible. https://t.co/htwu69cdym</v>
      </c>
    </row>
    <row r="464" spans="1:5" ht="15.75" customHeight="1" x14ac:dyDescent="0.25">
      <c r="A464" s="1" t="s">
        <v>928</v>
      </c>
      <c r="B464" s="1">
        <v>3732</v>
      </c>
      <c r="C464" s="3">
        <v>44448.760601851849</v>
      </c>
      <c r="D464" s="1" t="s">
        <v>929</v>
      </c>
      <c r="E464" s="4" t="str">
        <f ca="1">IFERROR(__xludf.DUMMYFUNCTION("GOOGLETRANSLATE(A464 , ""tr"" , ""en"")"),"Today,
18 months is a day worth being celebrated in our ongoing struggle!
100 million dose, get auspicious to 84 million! https://t.co/2llwmqfqio")</f>
        <v>Today,
18 months is a day worth being celebrated in our ongoing struggle!
100 million dose, get auspicious to 84 million! https://t.co/2llwmqfqio</v>
      </c>
    </row>
    <row r="465" spans="1:5" ht="15.75" customHeight="1" x14ac:dyDescent="0.25">
      <c r="A465" s="1" t="s">
        <v>930</v>
      </c>
      <c r="B465" s="1">
        <v>5096</v>
      </c>
      <c r="C465" s="3">
        <v>44448.743356481478</v>
      </c>
      <c r="D465" s="1" t="s">
        <v>931</v>
      </c>
      <c r="E465" s="4" t="str">
        <f ca="1">IFERROR(__xludf.DUMMYFUNCTION("GOOGLETRANSLATE(A465 , ""tr"" , ""en"")"),"Our Case Count is 23,846. There are 68 differences in our favor between yesterdays today. Our loss of life is 262 yesterday, today 257. The number of painful news has declined. In these differences, there are results that cannot be expressed in numbers. H"&amp;"ave life. We have reached 100 million overdose vaccines today. We can change this table all together. https://t.co/n3oskv1nuw")</f>
        <v>Our Case Count is 23,846. There are 68 differences in our favor between yesterdays today. Our loss of life is 262 yesterday, today 257. The number of painful news has declined. In these differences, there are results that cannot be expressed in numbers. Have life. We have reached 100 million overdose vaccines today. We can change this table all together. https://t.co/n3oskv1nuw</v>
      </c>
    </row>
    <row r="466" spans="1:5" ht="15.75" customHeight="1" x14ac:dyDescent="0.25">
      <c r="A466" s="1" t="s">
        <v>932</v>
      </c>
      <c r="B466" s="1">
        <v>4225</v>
      </c>
      <c r="C466" s="3">
        <v>44448.637349537035</v>
      </c>
      <c r="D466" s="1" t="s">
        <v>933</v>
      </c>
      <c r="E466" s="4" t="str">
        <f ca="1">IFERROR(__xludf.DUMMYFUNCTION("GOOGLETRANSLATE(A466 , ""tr"" , ""en"")"),"The icon is a day in our fight against the epidemic! We have reached a total of 100 million dose in the vaccine. I am in your peace with a agenda that includes common success of society with the success plan of the coming weeks. Among our many topics you "&amp;"are wondering. https://t.co/tqz5tlybmk")</f>
        <v>The icon is a day in our fight against the epidemic! We have reached a total of 100 million dose in the vaccine. I am in your peace with a agenda that includes common success of society with the success plan of the coming weeks. Among our many topics you are wondering. https://t.co/tqz5tlybmk</v>
      </c>
    </row>
    <row r="467" spans="1:5" ht="15.75" customHeight="1" x14ac:dyDescent="0.25">
      <c r="A467" s="1" t="s">
        <v>934</v>
      </c>
      <c r="B467" s="1">
        <v>15502</v>
      </c>
      <c r="C467" s="3">
        <v>44448.365787037037</v>
      </c>
      <c r="D467" s="1" t="s">
        <v>935</v>
      </c>
      <c r="E467" s="4" t="str">
        <f ca="1">IFERROR(__xludf.DUMMYFUNCTION("GOOGLETRANSLATE(A467 , ""tr"" , ""en"")"),"The icon is a day in terms of our fighting process! At 18:00, I will be in your peace with a speech outside the routine course. Topics on your agenda are among our headings. About to meet at 18:00 pm.")</f>
        <v>The icon is a day in terms of our fighting process! At 18:00, I will be in your peace with a speech outside the routine course. Topics on your agenda are among our headings. About to meet at 18:00 pm.</v>
      </c>
    </row>
    <row r="468" spans="1:5" ht="15.75" customHeight="1" x14ac:dyDescent="0.25">
      <c r="A468" s="1" t="s">
        <v>936</v>
      </c>
      <c r="B468" s="1">
        <v>5707</v>
      </c>
      <c r="C468" s="3">
        <v>44447.797384259262</v>
      </c>
      <c r="D468" s="1" t="s">
        <v>937</v>
      </c>
      <c r="E468" s="4" t="str">
        <f ca="1">IFERROR(__xludf.DUMMYFUNCTION("GOOGLETRANSLATE(A468 , ""tr"" , ""en"")"),"IğDIR is between the first dose of the first dose of vaccines in 75%, between the provinces in the blue risk group against Covid-19! IgDIR must be an example of other provinces at the second overdose speed. Congratulations in advance!")</f>
        <v>IğDIR is between the first dose of the first dose of vaccines in 75%, between the provinces in the blue risk group against Covid-19! IgDIR must be an example of other provinces at the second overdose speed. Congratulations in advance!</v>
      </c>
    </row>
    <row r="469" spans="1:5" ht="15.75" customHeight="1" x14ac:dyDescent="0.25">
      <c r="A469" s="1" t="s">
        <v>938</v>
      </c>
      <c r="B469" s="1">
        <v>7045</v>
      </c>
      <c r="C469" s="3">
        <v>44447.792523148149</v>
      </c>
      <c r="D469" s="1" t="s">
        <v>939</v>
      </c>
      <c r="E469" s="4" t="str">
        <f ca="1">IFERROR(__xludf.DUMMYFUNCTION("GOOGLETRANSLATE(A469 , ""tr"" , ""en"")"),"Aksaray is among the provinces in the blue risk group against Covid-19 with the first overdose ratio over 75%! Aksaray should be an example of other provinces at the second overdose speed. Congratulations in advance!")</f>
        <v>Aksaray is among the provinces in the blue risk group against Covid-19 with the first overdose ratio over 75%! Aksaray should be an example of other provinces at the second overdose speed. Congratulations in advance!</v>
      </c>
    </row>
    <row r="470" spans="1:5" ht="15.75" customHeight="1" x14ac:dyDescent="0.25">
      <c r="A470" s="1" t="s">
        <v>940</v>
      </c>
      <c r="B470" s="1">
        <v>4875</v>
      </c>
      <c r="C470" s="3">
        <v>44447.763124999998</v>
      </c>
      <c r="D470" s="1" t="s">
        <v>941</v>
      </c>
      <c r="E470" s="4" t="str">
        <f ca="1">IFERROR(__xludf.DUMMYFUNCTION("GOOGLETRANSLATE(A470 , ""tr"" , ""en"")"),"Case Count 23,914. Our loss is 262. It is the possibility and vaccine to control the serious course in the table and to reduce life losses. Let's provide full overdose vaccines and provide society immunity. Mask, distance, cleaning rule is indispensable r"&amp;"ight now. https://t.co/flju1e7j3J")</f>
        <v>Case Count 23,914. Our loss is 262. It is the possibility and vaccine to control the serious course in the table and to reduce life losses. Let's provide full overdose vaccines and provide society immunity. Mask, distance, cleaning rule is indispensable right now. https://t.co/flju1e7j3J</v>
      </c>
    </row>
    <row r="471" spans="1:5" ht="15.75" customHeight="1" x14ac:dyDescent="0.25">
      <c r="A471" s="1" t="s">
        <v>942</v>
      </c>
      <c r="B471" s="1">
        <v>4482</v>
      </c>
      <c r="C471" s="3">
        <v>44447.752268518518</v>
      </c>
      <c r="D471" s="1" t="s">
        <v>943</v>
      </c>
      <c r="E471" s="4" t="str">
        <f ca="1">IFERROR(__xludf.DUMMYFUNCTION("GOOGLETRANSLATE(A471 , ""tr"" , ""en"")"),"Today, our Science Board met with the agenda of our face-to-face education, the course of the outbreak and the continuity of our vaccination program. After the Meeting of Science Board, our press statement: https://t.co/g8fvv04flr")</f>
        <v>Today, our Science Board met with the agenda of our face-to-face education, the course of the outbreak and the continuity of our vaccination program. After the Meeting of Science Board, our press statement: https://t.co/g8fvv04flr</v>
      </c>
    </row>
    <row r="472" spans="1:5" ht="15.75" customHeight="1" x14ac:dyDescent="0.25">
      <c r="A472" s="1" t="s">
        <v>944</v>
      </c>
      <c r="B472" s="1">
        <v>5424</v>
      </c>
      <c r="C472" s="3">
        <v>44446.762719907405</v>
      </c>
      <c r="D472" s="1" t="s">
        <v>945</v>
      </c>
      <c r="E472" s="4" t="str">
        <f ca="1">IFERROR(__xludf.DUMMYFUNCTION("GOOGLETRANSLATE(A472 , ""tr"" , ""en"")"),"Mardin turned his color in the risk map in yellow. The rate of vaccination against Covid-19 is over 65%. The more the number of days in yellow is the better. We want to see Mardin between blue provinces.")</f>
        <v>Mardin turned his color in the risk map in yellow. The rate of vaccination against Covid-19 is over 65%. The more the number of days in yellow is the better. We want to see Mardin between blue provinces.</v>
      </c>
    </row>
    <row r="473" spans="1:5" ht="15.75" customHeight="1" x14ac:dyDescent="0.25">
      <c r="A473" s="1" t="s">
        <v>946</v>
      </c>
      <c r="B473" s="1">
        <v>4274</v>
      </c>
      <c r="C473" s="3">
        <v>44446.75849537037</v>
      </c>
      <c r="D473" s="1" t="s">
        <v>947</v>
      </c>
      <c r="E473" s="4" t="str">
        <f ca="1">IFERROR(__xludf.DUMMYFUNCTION("GOOGLETRANSLATE(A473 , ""tr"" , ""en"")"),"Niğde is blue now in our risk map. The first overdose was over 75%. We celebrate the city of determination to nigde. Niğde must be an example of other provinces at the second overdose speed. Congratulations in advance!")</f>
        <v>Niğde is blue now in our risk map. The first overdose was over 75%. We celebrate the city of determination to nigde. Niğde must be an example of other provinces at the second overdose speed. Congratulations in advance!</v>
      </c>
    </row>
    <row r="474" spans="1:5" ht="15.75" customHeight="1" x14ac:dyDescent="0.25">
      <c r="A474" s="1" t="s">
        <v>948</v>
      </c>
      <c r="B474" s="1">
        <v>6534</v>
      </c>
      <c r="C474" s="3">
        <v>44446.754965277774</v>
      </c>
      <c r="D474" s="1" t="s">
        <v>949</v>
      </c>
      <c r="E474" s="4" t="str">
        <f ca="1">IFERROR(__xludf.DUMMYFUNCTION("GOOGLETRANSLATE(A474 , ""tr"" , ""en"")"),"The number of blue provinces in Eastern Anatolia began to increase. The first overdose rate in Van is over 75%. Celebrating Van, we take an example. Van should also be an example with the second overdose rate against Covid-19!")</f>
        <v>The number of blue provinces in Eastern Anatolia began to increase. The first overdose rate in Van is over 75%. Celebrating Van, we take an example. Van should also be an example with the second overdose rate against Covid-19!</v>
      </c>
    </row>
    <row r="475" spans="1:5" ht="15.75" customHeight="1" x14ac:dyDescent="0.25">
      <c r="A475" s="1" t="s">
        <v>950</v>
      </c>
      <c r="B475" s="1">
        <v>3374</v>
      </c>
      <c r="C475" s="3">
        <v>44446.745879629627</v>
      </c>
      <c r="D475" s="1" t="s">
        <v>951</v>
      </c>
      <c r="E475" s="4" t="str">
        <f ca="1">IFERROR(__xludf.DUMMYFUNCTION("GOOGLETRANSLATE(A475 , ""tr"" , ""en"")"),"Today, DMD muscle disease awareness day. In this disease, which is generally found in this disease, progressive damage occurs in all muscle groups in this disease. We provide regular polyclinic services to patients. We are constantly in touch with their r"&amp;"elatives. Health needs widespread awareness.")</f>
        <v>Today, DMD muscle disease awareness day. In this disease, which is generally found in this disease, progressive damage occurs in all muscle groups in this disease. We provide regular polyclinic services to patients. We are constantly in touch with their relatives. Health needs widespread awareness.</v>
      </c>
    </row>
    <row r="476" spans="1:5" ht="15.75" customHeight="1" x14ac:dyDescent="0.25">
      <c r="A476" s="1" t="s">
        <v>952</v>
      </c>
      <c r="B476" s="1">
        <v>5598</v>
      </c>
      <c r="C476" s="3">
        <v>44446.700208333335</v>
      </c>
      <c r="D476" s="1" t="s">
        <v>953</v>
      </c>
      <c r="E476" s="4" t="str">
        <f ca="1">IFERROR(__xludf.DUMMYFUNCTION("GOOGLETRANSLATE(A476 , ""tr"" , ""en"")"),"Case Count 23,638. With Covid-19, our new life loss 274. We must reduce the case numbers steadily and reduce the deaths. This is the way to increase the rate of vaccination is to comply with the measures until community immunity is provided. The result we"&amp;" want is to vaccine with the precautionary, so it is connected to us! https://t.co/y34ippfrxp")</f>
        <v>Case Count 23,638. With Covid-19, our new life loss 274. We must reduce the case numbers steadily and reduce the deaths. This is the way to increase the rate of vaccination is to comply with the measures until community immunity is provided. The result we want is to vaccine with the precautionary, so it is connected to us! https://t.co/y34ippfrxp</v>
      </c>
    </row>
    <row r="477" spans="1:5" ht="15.75" customHeight="1" x14ac:dyDescent="0.25">
      <c r="A477" s="1" t="s">
        <v>954</v>
      </c>
      <c r="B477" s="1">
        <v>5242</v>
      </c>
      <c r="C477" s="3">
        <v>44445.86959490741</v>
      </c>
      <c r="D477" s="1" t="s">
        <v>955</v>
      </c>
      <c r="E477" s="4" t="str">
        <f ca="1">IFERROR(__xludf.DUMMYFUNCTION("GOOGLETRANSLATE(A477 , ""tr"" , ""en"")"),"Kars passed 75% at the first overdose rate to the low risk level of the middle risk level. 4 orange, 15 yellow provinces in front of our new sample! We celebrate Blue Kars.")</f>
        <v>Kars passed 75% at the first overdose rate to the low risk level of the middle risk level. 4 orange, 15 yellow provinces in front of our new sample! We celebrate Blue Kars.</v>
      </c>
    </row>
    <row r="478" spans="1:5" ht="15.75" customHeight="1" x14ac:dyDescent="0.25">
      <c r="A478" s="1" t="s">
        <v>956</v>
      </c>
      <c r="B478" s="1">
        <v>7256</v>
      </c>
      <c r="C478" s="3">
        <v>44445.863182870373</v>
      </c>
      <c r="D478" s="1" t="s">
        <v>957</v>
      </c>
      <c r="E478" s="4" t="str">
        <f ca="1">IFERROR(__xludf.DUMMYFUNCTION("GOOGLETRANSLATE(A478 , ""tr"" , ""en"")"),"""The only orange between us was yellow!"" Eastern Anatolia celebrates the MUŞ over 65% of the first overdose ratio. And Turkey's four sides!")</f>
        <v>"The only orange between us was yellow!" Eastern Anatolia celebrates the MUŞ over 65% of the first overdose ratio. And Turkey's four sides!</v>
      </c>
    </row>
    <row r="479" spans="1:5" ht="15.75" customHeight="1" x14ac:dyDescent="0.25">
      <c r="A479" s="1" t="s">
        <v>958</v>
      </c>
      <c r="B479" s="1">
        <v>13385</v>
      </c>
      <c r="C479" s="3">
        <v>44445.854004629633</v>
      </c>
      <c r="D479" s="1" t="s">
        <v>959</v>
      </c>
      <c r="E479" s="4" t="str">
        <f ca="1">IFERROR(__xludf.DUMMYFUNCTION("GOOGLETRANSLATE(A479 , ""tr"" , ""en"")"),"He made one of the largest changes on the risk map of Konya. Our population is the most crowded seventh city is now blue. This blue will reduce the risk of risk in Turkey! We are celebrating, Konya.")</f>
        <v>He made one of the largest changes on the risk map of Konya. Our population is the most crowded seventh city is now blue. This blue will reduce the risk of risk in Turkey! We are celebrating, Konya.</v>
      </c>
    </row>
    <row r="480" spans="1:5" ht="15.75" customHeight="1" x14ac:dyDescent="0.25">
      <c r="A480" s="1" t="s">
        <v>960</v>
      </c>
      <c r="B480" s="1">
        <v>6758</v>
      </c>
      <c r="C480" s="3">
        <v>44445.752592592595</v>
      </c>
      <c r="D480" s="1" t="s">
        <v>961</v>
      </c>
      <c r="E480" s="4" t="str">
        <f ca="1">IFERROR(__xludf.DUMMYFUNCTION("GOOGLETRANSLATE(A480 , ""tr"" , ""en"")"),"Case Count 20.962. Covid-19, our new life loss 271. Schools opened. Turned back to large cities. Risk with social mobility will increase. The mask and the distance rule is even more important. The ultimate solution vaccine! When we have completed our vacc"&amp;"ines we will get our freedom to Covid-19. https://t.co/caaqbcwf32")</f>
        <v>Case Count 20.962. Covid-19, our new life loss 271. Schools opened. Turned back to large cities. Risk with social mobility will increase. The mask and the distance rule is even more important. The ultimate solution vaccine! When we have completed our vaccines we will get our freedom to Covid-19. https://t.co/caaqbcwf32</v>
      </c>
    </row>
    <row r="481" spans="1:5" ht="15.75" customHeight="1" x14ac:dyDescent="0.25">
      <c r="A481" s="1" t="s">
        <v>962</v>
      </c>
      <c r="B481" s="1">
        <v>0</v>
      </c>
      <c r="C481" s="3">
        <v>44445.69190972222</v>
      </c>
      <c r="D481" s="1" t="s">
        <v>963</v>
      </c>
      <c r="E481" s="4" t="str">
        <f ca="1">IFERROR(__xludf.DUMMYFUNCTION("GOOGLETRANSLATE(A481 , ""tr"" , ""en"")"),"RT @rterdogan: Shouting Nation after Cabinet Meeting https://t.co/ibdkcerrtx")</f>
        <v>RT @rterdogan: Shouting Nation after Cabinet Meeting https://t.co/ibdkcerrtx</v>
      </c>
    </row>
    <row r="482" spans="1:5" ht="15.75" customHeight="1" x14ac:dyDescent="0.25">
      <c r="A482" s="1" t="s">
        <v>964</v>
      </c>
      <c r="B482" s="1">
        <v>9059</v>
      </c>
      <c r="C482" s="3">
        <v>44444.835034722222</v>
      </c>
      <c r="D482" s="1" t="s">
        <v>965</v>
      </c>
      <c r="E482" s="4" t="str">
        <f ca="1">IFERROR(__xludf.DUMMYFUNCTION("GOOGLETRANSLATE(A482 , ""tr"" , ""en"")"),"Sakarya, the blue provincial issue to 60! https://t.co/y5zbv5RI76")</f>
        <v>Sakarya, the blue provincial issue to 60! https://t.co/y5zbv5RI76</v>
      </c>
    </row>
    <row r="483" spans="1:5" ht="15.75" customHeight="1" x14ac:dyDescent="0.25">
      <c r="A483" s="1" t="s">
        <v>966</v>
      </c>
      <c r="B483" s="1">
        <v>2389</v>
      </c>
      <c r="C483" s="3">
        <v>44444.720717592594</v>
      </c>
      <c r="D483" s="1" t="s">
        <v>967</v>
      </c>
      <c r="E483" s="4" t="str">
        <f ca="1">IFERROR(__xludf.DUMMYFUNCTION("GOOGLETRANSLATE(A483 , ""tr"" , ""en"")"),"We have made a conversation in the session titled the Evaluation of the Effects of the G20 Health Ministry Meeting, the evaluation of the influence on the global health and sustainable development targets. The G20 Health Ministry Meeting is held under Ita"&amp;"ly. https://t.co/4jaelfoq5m")</f>
        <v>We have made a conversation in the session titled the Evaluation of the Effects of the G20 Health Ministry Meeting, the evaluation of the influence on the global health and sustainable development targets. The G20 Health Ministry Meeting is held under Italy. https://t.co/4jaelfoq5m</v>
      </c>
    </row>
    <row r="484" spans="1:5" ht="15.75" customHeight="1" x14ac:dyDescent="0.25">
      <c r="A484" s="1" t="s">
        <v>968</v>
      </c>
      <c r="B484" s="1">
        <v>6670</v>
      </c>
      <c r="C484" s="3">
        <v>44444.710601851853</v>
      </c>
      <c r="D484" s="1" t="s">
        <v>969</v>
      </c>
      <c r="E484" s="4" t="str">
        <f ca="1">IFERROR(__xludf.DUMMYFUNCTION("GOOGLETRANSLATE(A484 , ""tr"" , ""en"")"),"Our new case count is 19.391. Covid-19 is today's life loss 269. Schools are opening tomorrow. Our seven-year-old children will be masked in their classes. We all fall for great responsibility. The ultimate solution is the vaccine! Let's get our vaccinati"&amp;"ons immediately. Let us be as sensitive as our children in measures. https://t.co/p3ahebyf5g")</f>
        <v>Our new case count is 19.391. Covid-19 is today's life loss 269. Schools are opening tomorrow. Our seven-year-old children will be masked in their classes. We all fall for great responsibility. The ultimate solution is the vaccine! Let's get our vaccinations immediately. Let us be as sensitive as our children in measures. https://t.co/p3ahebyf5g</v>
      </c>
    </row>
    <row r="485" spans="1:5" ht="15.75" customHeight="1" x14ac:dyDescent="0.25">
      <c r="A485" s="1" t="s">
        <v>970</v>
      </c>
      <c r="B485" s="1">
        <v>3117</v>
      </c>
      <c r="C485" s="3">
        <v>44444.671076388891</v>
      </c>
      <c r="D485" s="1" t="s">
        <v>971</v>
      </c>
      <c r="E485" s="4" t="str">
        <f ca="1">IFERROR(__xludf.DUMMYFUNCTION("GOOGLETRANSLATE(A485 , ""tr"" , ""en"")"),"21-27 August Case Density Between the previous week by the previous week we are most increasing 10 provinces: Rize, Bayburt, Nevsehir, Kayseri, Kilis, Trabzon, Aksaray, Gaziantep, Bolu, slap. If you are one of these provinces, you have to be even more car"&amp;"eful on these days. The ultimate solution vaccine! The rules are very necessary. https://t.co/xsg0z5hxks")</f>
        <v>21-27 August Case Density Between the previous week by the previous week we are most increasing 10 provinces: Rize, Bayburt, Nevsehir, Kayseri, Kilis, Trabzon, Aksaray, Gaziantep, Bolu, slap. If you are one of these provinces, you have to be even more careful on these days. The ultimate solution vaccine! The rules are very necessary. https://t.co/xsg0z5hxks</v>
      </c>
    </row>
    <row r="486" spans="1:5" ht="15.75" customHeight="1" x14ac:dyDescent="0.25">
      <c r="A486" s="1" t="s">
        <v>972</v>
      </c>
      <c r="B486" s="1">
        <v>4455</v>
      </c>
      <c r="C486" s="3">
        <v>44444.668587962966</v>
      </c>
      <c r="D486" s="1" t="s">
        <v>973</v>
      </c>
      <c r="E486" s="4" t="str">
        <f ca="1">IFERROR(__xludf.DUMMYFUNCTION("GOOGLETRANSLATE(A486 , ""tr"" , ""en"")"),"What was the total number of new Covid-19 cases in 100,000 people between 21-27 August? You can learn the situation in the province where you are experiencing, from our weekly incidence map. https://t.co/g9ukxzyrr8")</f>
        <v>What was the total number of new Covid-19 cases in 100,000 people between 21-27 August? You can learn the situation in the province where you are experiencing, from our weekly incidence map. https://t.co/g9ukxzyrr8</v>
      </c>
    </row>
    <row r="487" spans="1:5" ht="15.75" customHeight="1" x14ac:dyDescent="0.25">
      <c r="A487" s="1" t="s">
        <v>974</v>
      </c>
      <c r="B487" s="1">
        <v>4571</v>
      </c>
      <c r="C487" s="3">
        <v>44443.770613425928</v>
      </c>
      <c r="D487" s="1" t="s">
        <v>975</v>
      </c>
      <c r="E487" s="4" t="str">
        <f ca="1">IFERROR(__xludf.DUMMYFUNCTION("GOOGLETRANSLATE(A487 , ""tr"" , ""en"")"),"Kahramanmaras gave the anticipated news in the first dose of vaccine that exceeded 75%. The color is blue on the risk map of the city of resistance and the city of Victory! We have new expectations from Maraş. Schools are opening Monday. Now it is the tim"&amp;"e to upgrade the dose rates in the same way. Congratulations from today! https://t.co/rptjijmzbq")</f>
        <v>Kahramanmaras gave the anticipated news in the first dose of vaccine that exceeded 75%. The color is blue on the risk map of the city of resistance and the city of Victory! We have new expectations from Maraş. Schools are opening Monday. Now it is the time to upgrade the dose rates in the same way. Congratulations from today! https://t.co/rptjijmzbq</v>
      </c>
    </row>
    <row r="488" spans="1:5" ht="15.75" customHeight="1" x14ac:dyDescent="0.25">
      <c r="A488" s="1" t="s">
        <v>976</v>
      </c>
      <c r="B488" s="1">
        <v>12092</v>
      </c>
      <c r="C488" s="3">
        <v>44443.739027777781</v>
      </c>
      <c r="D488" s="1" t="s">
        <v>977</v>
      </c>
      <c r="E488" s="4" t="str">
        <f ca="1">IFERROR(__xludf.DUMMYFUNCTION("GOOGLETRANSLATE(A488 , ""tr"" , ""en"")"),"Three-zero!
Turkey A National Women's Volleyball Team, the Netherlands was the third of the European 3-0. We celebrate the Turkish woman and the Sultans of the File representing Turkey. A separate applause for each number! https://t.co/hpzwmvyxnl")</f>
        <v>Three-zero!
Turkey A National Women's Volleyball Team, the Netherlands was the third of the European 3-0. We celebrate the Turkish woman and the Sultans of the File representing Turkey. A separate applause for each number! https://t.co/hpzwmvyxnl</v>
      </c>
    </row>
    <row r="489" spans="1:5" ht="15.75" customHeight="1" x14ac:dyDescent="0.25">
      <c r="A489" s="1" t="s">
        <v>978</v>
      </c>
      <c r="B489" s="1">
        <v>7294</v>
      </c>
      <c r="C489" s="3">
        <v>44443.70826388889</v>
      </c>
      <c r="D489" s="1" t="s">
        <v>979</v>
      </c>
      <c r="E489" s="4" t="str">
        <f ca="1">IFERROR(__xludf.DUMMYFUNCTION("GOOGLETRANSLATE(A489 , ""tr"" , ""en"")"),"Our new case number is 20.033. Covid-19 is due to today's loss 278. In the first and secondary education, the schools are opened on September 6, while universities are opening. We have more than 24 million students in formal education. We are committed to"&amp;" uninterrupted, face-to-face training. There must be the same determination in vaccination and measure! https://t.co/4joupmmkgp")</f>
        <v>Our new case number is 20.033. Covid-19 is due to today's loss 278. In the first and secondary education, the schools are opened on September 6, while universities are opening. We have more than 24 million students in formal education. We are committed to uninterrupted, face-to-face training. There must be the same determination in vaccination and measure! https://t.co/4joupmmkgp</v>
      </c>
    </row>
    <row r="490" spans="1:5" ht="15.75" customHeight="1" x14ac:dyDescent="0.25">
      <c r="A490" s="1" t="s">
        <v>980</v>
      </c>
      <c r="B490" s="1">
        <v>5533</v>
      </c>
      <c r="C490" s="3">
        <v>44443.649247685185</v>
      </c>
      <c r="D490" s="1" t="s">
        <v>981</v>
      </c>
      <c r="E490" s="4" t="str">
        <f ca="1">IFERROR(__xludf.DUMMYFUNCTION("GOOGLETRANSLATE(A490 , ""tr"" , ""en"")"),"""Hey go crazy heart,
Either independence or death!""
102 years ago in Sivas Congress, Turkey said that. Congress opened the way to full independence to our country under occupation. Was basic to our new state with their decisions. Mustafa Kemal Atatürk, "&amp;"we remember all members of the congress. https://t.co/tqtmtzgd88")</f>
        <v>"Hey go crazy heart,
Either independence or death!"
102 years ago in Sivas Congress, Turkey said that. Congress opened the way to full independence to our country under occupation. Was basic to our new state with their decisions. Mustafa Kemal Atatürk, we remember all members of the congress. https://t.co/tqtmtzgd88</v>
      </c>
    </row>
    <row r="491" spans="1:5" ht="15.75" customHeight="1" x14ac:dyDescent="0.25">
      <c r="A491" s="1" t="s">
        <v>982</v>
      </c>
      <c r="B491" s="1">
        <v>4828</v>
      </c>
      <c r="C491" s="3">
        <v>44443.563715277778</v>
      </c>
      <c r="D491" s="1" t="s">
        <v>983</v>
      </c>
      <c r="E491" s="4" t="str">
        <f ca="1">IFERROR(__xludf.DUMMYFUNCTION("GOOGLETRANSLATE(A491 , ""tr"" , ""en"")"),"University records started today. Many young people are preparing to read in places where Covid-19 is less than the city they desire to read. Have chronic diseases. The results of our neglects are more than we know! Let's make life easier for everyone wit"&amp;"h vaccination and measure. https://t.co/hg5uumt4ch")</f>
        <v>University records started today. Many young people are preparing to read in places where Covid-19 is less than the city they desire to read. Have chronic diseases. The results of our neglects are more than we know! Let's make life easier for everyone with vaccination and measure. https://t.co/hg5uumt4ch</v>
      </c>
    </row>
    <row r="492" spans="1:5" ht="15.75" customHeight="1" x14ac:dyDescent="0.25">
      <c r="A492" s="1" t="s">
        <v>984</v>
      </c>
      <c r="B492" s="1">
        <v>4995</v>
      </c>
      <c r="C492" s="3">
        <v>44442.887326388889</v>
      </c>
      <c r="D492" s="1" t="s">
        <v>985</v>
      </c>
      <c r="E492" s="4" t="str">
        <f ca="1">IFERROR(__xludf.DUMMYFUNCTION("GOOGLETRANSLATE(A492 , ""tr"" , ""en"")"),"Bitlis, Batman and Bingöl are no longer in the Covid-19 risk map with the first overdose rates over 65%. These three provinces should be higher in the first dose. Schools open on September 6th. We have to make life easier. Bitlisli, Batmanli, Bingelle Fri"&amp;"ends! When is the new news?")</f>
        <v>Bitlis, Batman and Bingöl are no longer in the Covid-19 risk map with the first overdose rates over 65%. These three provinces should be higher in the first dose. Schools open on September 6th. We have to make life easier. Bitlisli, Batmanli, Bingelle Friends! When is the new news?</v>
      </c>
    </row>
    <row r="493" spans="1:5" ht="15.75" customHeight="1" x14ac:dyDescent="0.25">
      <c r="A493" s="1" t="s">
        <v>986</v>
      </c>
      <c r="B493" s="1">
        <v>3440</v>
      </c>
      <c r="C493" s="3">
        <v>44442.872870370367</v>
      </c>
      <c r="D493" s="1" t="s">
        <v>987</v>
      </c>
      <c r="E493" s="4" t="str">
        <f ca="1">IFERROR(__xludf.DUMMYFUNCTION("GOOGLETRANSLATE(A493 , ""tr"" , ""en"")"),"Erzincan gave the anticipated news in the first overdose ratio of 75%. The color is blue on the risk map! We have new expectations from this city establishing history with their success. Schools open on September 6th. Now it is the time to upgrade the dos"&amp;"e rates in the same way. Congratulations from today! https://t.co/wn5hrqupqd")</f>
        <v>Erzincan gave the anticipated news in the first overdose ratio of 75%. The color is blue on the risk map! We have new expectations from this city establishing history with their success. Schools open on September 6th. Now it is the time to upgrade the dose rates in the same way. Congratulations from today! https://t.co/wn5hrqupqd</v>
      </c>
    </row>
    <row r="494" spans="1:5" ht="15.75" customHeight="1" x14ac:dyDescent="0.25">
      <c r="A494" s="1" t="s">
        <v>988</v>
      </c>
      <c r="B494" s="1">
        <v>2734</v>
      </c>
      <c r="C494" s="3">
        <v>44442.863287037035</v>
      </c>
      <c r="D494" s="1" t="s">
        <v>989</v>
      </c>
      <c r="E494" s="4" t="str">
        <f ca="1">IFERROR(__xludf.DUMMYFUNCTION("GOOGLETRANSLATE(A494 , ""tr"" , ""en"")"),"Çanırıırıırıırıırı verdi verdi verdi verdi verdi verdi verdi verdi verdi verdi verdi verdi verdi verdi verdi verdi verdi verdi verdi verdi verdi verdi verdi verdi verdi verdi verdi verdi verdi verdi verdi verdi verdi verdi 7 7 verdi 7 verdi verdi 7 verdi "&amp;"verdi verdi 7 7 7 verdi verdi verdi verdi 7 verdi verdi verdi verdi verdi verdi verdi verdi 7 7 7 verdi verdi verdi verdi verdi verdi verdi verdi 7 verdi verdi 7 verdi verdi verdi verdi verdi verdi verdi verdi verdi verdi verdi verdi çan The color is blue"&amp;" on the risk map! We have new expectations from this historic city coming out from each struggle. Schools open on September 6th. Now it's time to upgrade the dose rates of continuing. Congratulations from today! https://t.co/uonezrck2j")</f>
        <v>Çanırıırıırıırıırı verdi verdi verdi verdi verdi verdi verdi verdi verdi verdi verdi verdi verdi verdi verdi verdi verdi verdi verdi verdi verdi verdi verdi verdi verdi verdi verdi verdi verdi verdi verdi verdi verdi verdi 7 7 verdi 7 verdi verdi 7 verdi verdi verdi 7 7 7 verdi verdi verdi verdi 7 verdi verdi verdi verdi verdi verdi verdi verdi 7 7 7 verdi verdi verdi verdi verdi verdi verdi verdi 7 verdi verdi 7 verdi verdi verdi verdi verdi verdi verdi verdi verdi verdi verdi verdi çan The color is blue on the risk map! We have new expectations from this historic city coming out from each struggle. Schools open on September 6th. Now it's time to upgrade the dose rates of continuing. Congratulations from today! https://t.co/uonezrck2j</v>
      </c>
    </row>
    <row r="495" spans="1:5" ht="15.75" customHeight="1" x14ac:dyDescent="0.25">
      <c r="A495" s="1" t="s">
        <v>990</v>
      </c>
      <c r="B495" s="1">
        <v>3393</v>
      </c>
      <c r="C495" s="3">
        <v>44442.858425925922</v>
      </c>
      <c r="D495" s="1" t="s">
        <v>991</v>
      </c>
      <c r="E495" s="4" t="str">
        <f ca="1">IFERROR(__xludf.DUMMYFUNCTION("GOOGLETRANSLATE(A495 , ""tr"" , ""en"")"),"Düzce gave the expected news in the first overdose rate. All our provinces are blue at the Black Sea coast. We have new expectations from the city of Waterfalls. Schools open on September 6th. Now is the time to upgrade the second, third overdose rates in"&amp;" the same way. Congratulations from today! https://t.co/ja7pna6dl5")</f>
        <v>Düzce gave the expected news in the first overdose rate. All our provinces are blue at the Black Sea coast. We have new expectations from the city of Waterfalls. Schools open on September 6th. Now is the time to upgrade the second, third overdose rates in the same way. Congratulations from today! https://t.co/ja7pna6dl5</v>
      </c>
    </row>
    <row r="496" spans="1:5" ht="15.75" customHeight="1" x14ac:dyDescent="0.25">
      <c r="A496" s="1" t="s">
        <v>992</v>
      </c>
      <c r="B496" s="1">
        <v>14471</v>
      </c>
      <c r="C496" s="3">
        <v>44442.795983796299</v>
      </c>
      <c r="D496" s="1" t="s">
        <v>993</v>
      </c>
      <c r="E496" s="4" t="str">
        <f ca="1">IFERROR(__xludf.DUMMYFUNCTION("GOOGLETRANSLATE(A496 , ""tr"" , ""en"")"),"The Sultans of the File,
Even the championship was scarcely. Tomorrow is in your tiny palm! We are already celebrating. https://t.co/zkzIJR351Q")</f>
        <v>The Sultans of the File,
Even the championship was scarcely. Tomorrow is in your tiny palm! We are already celebrating. https://t.co/zkzIJR351Q</v>
      </c>
    </row>
    <row r="497" spans="1:5" ht="15.75" customHeight="1" x14ac:dyDescent="0.25">
      <c r="A497" s="1" t="s">
        <v>994</v>
      </c>
      <c r="B497" s="1">
        <v>6593</v>
      </c>
      <c r="C497" s="3">
        <v>44442.687268518515</v>
      </c>
      <c r="D497" s="1" t="s">
        <v>995</v>
      </c>
      <c r="E497" s="4" t="str">
        <f ca="1">IFERROR(__xludf.DUMMYFUNCTION("GOOGLETRANSLATE(A497 , ""tr"" , ""en"")"),"Monday schools are opening. We are committed to a face-to-face and uninterrupted year of education. Now with us our children, the eye of our young people in this table: 22,867 new cases, 276 life loss! If you haven't been vaccinated yet, there are some qu"&amp;"estions that are justified if you are out of mask outside. https://t.co/xrqxeryibr")</f>
        <v>Monday schools are opening. We are committed to a face-to-face and uninterrupted year of education. Now with us our children, the eye of our young people in this table: 22,867 new cases, 276 life loss! If you haven't been vaccinated yet, there are some questions that are justified if you are out of mask outside. https://t.co/xrqxeryibr</v>
      </c>
    </row>
    <row r="498" spans="1:5" ht="15.75" customHeight="1" x14ac:dyDescent="0.25">
      <c r="A498" s="1" t="s">
        <v>996</v>
      </c>
      <c r="B498" s="1">
        <v>7990</v>
      </c>
      <c r="C498" s="3">
        <v>44442.595775462964</v>
      </c>
      <c r="D498" s="1" t="s">
        <v>997</v>
      </c>
      <c r="E498" s="4" t="str">
        <f ca="1">IFERROR(__xludf.DUMMYFUNCTION("GOOGLETRANSLATE(A498 , ""tr"" , ""en"")"),"Our children and youth gets Monday schools. We must be in solidarity for education under reliable conditions. The motivation of our teachers is high from all of us. Their own health up to his students' love. Great responsibility of all society falls!")</f>
        <v>Our children and youth gets Monday schools. We must be in solidarity for education under reliable conditions. The motivation of our teachers is high from all of us. Their own health up to his students' love. Great responsibility of all society falls!</v>
      </c>
    </row>
    <row r="499" spans="1:5" ht="15.75" customHeight="1" x14ac:dyDescent="0.25">
      <c r="A499" s="1" t="s">
        <v>998</v>
      </c>
      <c r="B499" s="1">
        <v>7307</v>
      </c>
      <c r="C499" s="3">
        <v>44442.590787037036</v>
      </c>
      <c r="D499" s="1" t="s">
        <v>999</v>
      </c>
      <c r="E499" s="4" t="str">
        <f ca="1">IFERROR(__xludf.DUMMYFUNCTION("GOOGLETRANSLATE(A499 , ""tr"" , ""en"")"),"We made yesterday's Science Board Meeting with the participation of our National Education Minister, our YÖK President, Youth and Sports. We have evaluated the measures we received for the continuous continuation of face-to-face training. Measures will fo"&amp;"rm trust in schools, in schools.")</f>
        <v>We made yesterday's Science Board Meeting with the participation of our National Education Minister, our YÖK President, Youth and Sports. We have evaluated the measures we received for the continuous continuation of face-to-face training. Measures will form trust in schools, in schools.</v>
      </c>
    </row>
    <row r="500" spans="1:5" ht="15.75" customHeight="1" x14ac:dyDescent="0.25">
      <c r="A500" s="1" t="s">
        <v>1000</v>
      </c>
      <c r="B500" s="1">
        <v>2824</v>
      </c>
      <c r="C500" s="3">
        <v>44442.486018518517</v>
      </c>
      <c r="D500" s="1" t="s">
        <v>1001</v>
      </c>
      <c r="E500" s="4" t="str">
        <f ca="1">IFERROR(__xludf.DUMMYFUNCTION("GOOGLETRANSLATE(A500 , ""tr"" , ""en"")"),"Our parents are uneasy. But our parents must carry responsibility to our least teachers at the point of making responsibility on their responsibility. https://t.co/dyrtkp6J9I")</f>
        <v>Our parents are uneasy. But our parents must carry responsibility to our least teachers at the point of making responsibility on their responsibility. https://t.co/dyrtkp6J9I</v>
      </c>
    </row>
    <row r="501" spans="1:5" ht="15.75" customHeight="1" x14ac:dyDescent="0.25">
      <c r="A501" s="1" t="s">
        <v>1002</v>
      </c>
      <c r="B501" s="1">
        <v>2452</v>
      </c>
      <c r="C501" s="3">
        <v>44442.476840277777</v>
      </c>
      <c r="D501" s="1" t="s">
        <v>1003</v>
      </c>
      <c r="E501" s="4" t="str">
        <f ca="1">IFERROR(__xludf.DUMMYFUNCTION("GOOGLETRANSLATE(A501 , ""tr"" , ""en"")"),"We want to get this outbreak out of our agenda. This epidemic should now be out of a situation that hurts in front of the country. This is possible with all of us, 84 million moves together and together. And we know that the vaccine is effective, we see t"&amp;"he results very clearly. https://t.co/vciiybmfiy")</f>
        <v>We want to get this outbreak out of our agenda. This epidemic should now be out of a situation that hurts in front of the country. This is possible with all of us, 84 million moves together and together. And we know that the vaccine is effective, we see the results very clearly. https://t.co/vciiybmfiy</v>
      </c>
    </row>
    <row r="502" spans="1:5" ht="15.75" customHeight="1" x14ac:dyDescent="0.25">
      <c r="A502" s="1" t="s">
        <v>1004</v>
      </c>
      <c r="B502" s="1">
        <v>4515</v>
      </c>
      <c r="C502" s="3">
        <v>44442.462233796294</v>
      </c>
      <c r="D502" s="1" t="s">
        <v>1005</v>
      </c>
      <c r="E502" s="4" t="str">
        <f ca="1">IFERROR(__xludf.DUMMYFUNCTION("GOOGLETRANSLATE(A502 , ""tr"" , ""en"")"),"Our citizen is a 98 percent of their child and a society that has been able to start both days after both the newborn period and two days of birth. Why won't we get the vaccination to ourselves? We know the results. https://t.co/ns1g7pngqm")</f>
        <v>Our citizen is a 98 percent of their child and a society that has been able to start both days after both the newborn period and two days of birth. Why won't we get the vaccination to ourselves? We know the results. https://t.co/ns1g7pngqm</v>
      </c>
    </row>
    <row r="503" spans="1:5" ht="15.75" customHeight="1" x14ac:dyDescent="0.25">
      <c r="A503" s="1" t="s">
        <v>1006</v>
      </c>
      <c r="B503" s="1">
        <v>3383</v>
      </c>
      <c r="C503" s="3">
        <v>44442.453912037039</v>
      </c>
      <c r="D503" s="1" t="s">
        <v>1007</v>
      </c>
      <c r="E503" s="4" t="str">
        <f ca="1">IFERROR(__xludf.DUMMYFUNCTION("GOOGLETRANSLATE(A503 , ""tr"" , ""en"")"),"The Bouncy of Science does not want to take the closing of schools in any way, in the new period. And in the new period, there will be no cause of the relief of epidemics. Because we have anymore vaccines. https://t.co/lwczstjgxs")</f>
        <v>The Bouncy of Science does not want to take the closing of schools in any way, in the new period. And in the new period, there will be no cause of the relief of epidemics. Because we have anymore vaccines. https://t.co/lwczstjgxs</v>
      </c>
    </row>
    <row r="504" spans="1:5" ht="15.75" customHeight="1" x14ac:dyDescent="0.25">
      <c r="A504" s="1" t="s">
        <v>1008</v>
      </c>
      <c r="B504" s="1">
        <v>3185</v>
      </c>
      <c r="C504" s="3">
        <v>44441.871886574074</v>
      </c>
      <c r="D504" s="1" t="s">
        <v>1009</v>
      </c>
      <c r="E504" s="4" t="str">
        <f ca="1">IFERROR(__xludf.DUMMYFUNCTION("GOOGLETRANSLATE(A504 , ""tr"" , ""en"")"),"If we always endeavor, we will be unjustified by the ringtone that says the alarm sound. We have to remove. I believe we will remove it. https://t.co/wxzvjf4ddo")</f>
        <v>If we always endeavor, we will be unjustified by the ringtone that says the alarm sound. We have to remove. I believe we will remove it. https://t.co/wxzvjf4ddo</v>
      </c>
    </row>
    <row r="505" spans="1:5" ht="15.75" customHeight="1" x14ac:dyDescent="0.25">
      <c r="A505" s="1" t="s">
        <v>1010</v>
      </c>
      <c r="B505" s="1">
        <v>3390</v>
      </c>
      <c r="C505" s="3">
        <v>44441.865057870367</v>
      </c>
      <c r="D505" s="1" t="s">
        <v>1011</v>
      </c>
      <c r="E505" s="4" t="str">
        <f ca="1">IFERROR(__xludf.DUMMYFUNCTION("GOOGLETRANSLATE(A505 , ""tr"" , ""en"")"),"As of today, 81% of our active cases are not full-grown. Approximately 90% of our hospital citizens are not full-grown. 90% of our passing citizens are either no vaccination or vaccinations are missing people. https://t.co/wiwlhvfjl1")</f>
        <v>As of today, 81% of our active cases are not full-grown. Approximately 90% of our hospital citizens are not full-grown. 90% of our passing citizens are either no vaccination or vaccinations are missing people. https://t.co/wiwlhvfjl1</v>
      </c>
    </row>
    <row r="506" spans="1:5" ht="15.75" customHeight="1" x14ac:dyDescent="0.25">
      <c r="A506" s="1" t="s">
        <v>1012</v>
      </c>
      <c r="B506" s="1">
        <v>2539</v>
      </c>
      <c r="C506" s="3">
        <v>44441.850057870368</v>
      </c>
      <c r="D506" s="1" t="s">
        <v>1013</v>
      </c>
      <c r="E506" s="4" t="str">
        <f ca="1">IFERROR(__xludf.DUMMYFUNCTION("GOOGLETRANSLATE(A506 , ""tr"" , ""en"")"),"Today is over 78% of our 18 years of age and over 78% of the single dose, more than 60% is inoculated with 2 dose vaccines. When our vaccination program started the light appeared on the end of the tunnel. I can say that the tunnel looks out today. https:"&amp;"//t.co/qpk8difvwp")</f>
        <v>Today is over 78% of our 18 years of age and over 78% of the single dose, more than 60% is inoculated with 2 dose vaccines. When our vaccination program started the light appeared on the end of the tunnel. I can say that the tunnel looks out today. https://t.co/qpk8difvwp</v>
      </c>
    </row>
    <row r="507" spans="1:5" ht="15.75" customHeight="1" x14ac:dyDescent="0.25">
      <c r="A507" s="1" t="s">
        <v>1014</v>
      </c>
      <c r="B507" s="1">
        <v>5885</v>
      </c>
      <c r="C507" s="3">
        <v>44441.846018518518</v>
      </c>
      <c r="D507" s="1" t="s">
        <v>1015</v>
      </c>
      <c r="E507" s="4" t="str">
        <f ca="1">IFERROR(__xludf.DUMMYFUNCTION("GOOGLETRANSLATE(A507 , ""tr"" , ""en"")"),"Sivas and Malatya is now blue at Covid-19 on the risk map of Covid-19. The rate of the second overdose is 61.8% in Sivas, 57.2% in Malatya. As soon as the first dose ratio is rapidly approaching 100%, we expect high success at 2nd dose. CONGRATULATIONS!")</f>
        <v>Sivas and Malatya is now blue at Covid-19 on the risk map of Covid-19. The rate of the second overdose is 61.8% in Sivas, 57.2% in Malatya. As soon as the first dose ratio is rapidly approaching 100%, we expect high success at 2nd dose. CONGRATULATIONS!</v>
      </c>
    </row>
    <row r="508" spans="1:5" ht="15.75" customHeight="1" x14ac:dyDescent="0.25">
      <c r="A508" s="1" t="s">
        <v>1016</v>
      </c>
      <c r="B508" s="1">
        <v>6348</v>
      </c>
      <c r="C508" s="3">
        <v>44441.787719907406</v>
      </c>
      <c r="D508" s="1" t="s">
        <v>1017</v>
      </c>
      <c r="E508" s="4" t="str">
        <f ca="1">IFERROR(__xludf.DUMMYFUNCTION("GOOGLETRANSLATE(A508 , ""tr"" , ""en"")"),"Case Tables and Vaccine: We are in a single, 60% of our 78% of us. Case increases in the last 4 weeks are due to non-vaccinated persons. 81% of the active cases is those who are in total 90% of those who are hospitalized. Only 10% of the losses are full g"&amp;"rafted. https://t.co/ezaxjisgjj")</f>
        <v>Case Tables and Vaccine: We are in a single, 60% of our 78% of us. Case increases in the last 4 weeks are due to non-vaccinated persons. 81% of the active cases is those who are in total 90% of those who are hospitalized. Only 10% of the losses are full grafted. https://t.co/ezaxjisgjj</v>
      </c>
    </row>
    <row r="509" spans="1:5" ht="15.75" customHeight="1" x14ac:dyDescent="0.25">
      <c r="A509" s="1" t="s">
        <v>1018</v>
      </c>
      <c r="B509" s="1">
        <v>3696</v>
      </c>
      <c r="C509" s="3">
        <v>44441.729212962964</v>
      </c>
      <c r="D509" s="1" t="s">
        <v>1019</v>
      </c>
      <c r="E509" s="4" t="str">
        <f ca="1">IFERROR(__xludf.DUMMYFUNCTION("GOOGLETRANSLATE(A509 , ""tr"" , ""en"")"),"After our Science Board meeting, our press statement on the latest developments on the coronavirus.
https://t.co/iqhb6kqemb")</f>
        <v>After our Science Board meeting, our press statement on the latest developments on the coronavirus.
https://t.co/iqhb6kqemb</v>
      </c>
    </row>
    <row r="510" spans="1:5" ht="15.75" customHeight="1" x14ac:dyDescent="0.25">
      <c r="A510" s="1" t="s">
        <v>1020</v>
      </c>
      <c r="B510" s="1">
        <v>9507</v>
      </c>
      <c r="C510" s="3">
        <v>44441.540694444448</v>
      </c>
      <c r="D510" s="1" t="s">
        <v>1021</v>
      </c>
      <c r="E510" s="4" t="str">
        <f ca="1">IFERROR(__xludf.DUMMYFUNCTION("GOOGLETRANSLATE(A510 , ""tr"" , ""en"")"),"78.5% of our 18 years of age and older population has made the first dose of overdose. We have passed 95 million in the first, second and third dose of dose. We will soon share 100 million dose information.")</f>
        <v>78.5% of our 18 years of age and older population has made the first dose of overdose. We have passed 95 million in the first, second and third dose of dose. We will soon share 100 million dose information.</v>
      </c>
    </row>
    <row r="511" spans="1:5" ht="15.75" customHeight="1" x14ac:dyDescent="0.25">
      <c r="A511" s="1" t="s">
        <v>1022</v>
      </c>
      <c r="B511" s="1">
        <v>33726</v>
      </c>
      <c r="C511" s="3">
        <v>44441.292627314811</v>
      </c>
      <c r="D511" s="1" t="s">
        <v>1023</v>
      </c>
      <c r="E511" s="4" t="str">
        <f ca="1">IFERROR(__xludf.DUMMYFUNCTION("GOOGLETRANSLATE(A511 , ""tr"" , ""en"")"),"What happened to us?
The mask is extracted with each other in distance!")</f>
        <v>What happened to us?
The mask is extracted with each other in distance!</v>
      </c>
    </row>
    <row r="512" spans="1:5" ht="15.75" customHeight="1" x14ac:dyDescent="0.25">
      <c r="A512" s="1" t="s">
        <v>1024</v>
      </c>
      <c r="B512" s="1">
        <v>4419</v>
      </c>
      <c r="C512" s="3">
        <v>44440.887002314812</v>
      </c>
      <c r="D512" s="1" t="s">
        <v>1025</v>
      </c>
      <c r="E512" s="4" t="str">
        <f ca="1">IFERROR(__xludf.DUMMYFUNCTION("GOOGLETRANSLATE(A512 , ""tr"" , ""en"")"),"""Şen Ol Bayburt!"" The risk of risk against Covid-19 was slightly lessened. We expect that the first overdose ratio of 65% is over 75%, and expect you to translate the risk color on the map to blue. https://t.co/hzmhssyp4k")</f>
        <v>"Şen Ol Bayburt!" The risk of risk against Covid-19 was slightly lessened. We expect that the first overdose ratio of 65% is over 75%, and expect you to translate the risk color on the map to blue. https://t.co/hzmhssyp4k</v>
      </c>
    </row>
    <row r="513" spans="1:5" ht="15.75" customHeight="1" x14ac:dyDescent="0.25">
      <c r="A513" s="1" t="s">
        <v>1026</v>
      </c>
      <c r="B513" s="1">
        <v>7376</v>
      </c>
      <c r="C513" s="3">
        <v>44440.874363425923</v>
      </c>
      <c r="D513" s="1" t="s">
        <v>1027</v>
      </c>
      <c r="E513" s="4" t="str">
        <f ca="1">IFERROR(__xludf.DUMMYFUNCTION("GOOGLETRANSLATE(A513 , ""tr"" , ""en"")"),"Hi Gaziantep,
We now have a blue like your pen. Our first overdose rate against Covid-19 is upgrading 75%. Let's decrease the risk with continuing doses as it should be required.")</f>
        <v>Hi Gaziantep,
We now have a blue like your pen. Our first overdose rate against Covid-19 is upgrading 75%. Let's decrease the risk with continuing doses as it should be required.</v>
      </c>
    </row>
    <row r="514" spans="1:5" ht="15.75" customHeight="1" x14ac:dyDescent="0.25">
      <c r="A514" s="1" t="s">
        <v>1028</v>
      </c>
      <c r="B514" s="1">
        <v>10960</v>
      </c>
      <c r="C514" s="3">
        <v>44440.793993055559</v>
      </c>
      <c r="D514" s="1" t="s">
        <v>1029</v>
      </c>
      <c r="E514" s="4" t="str">
        <f ca="1">IFERROR(__xludf.DUMMYFUNCTION("GOOGLETRANSLATE(A514 , ""tr"" , ""en"")"),"Teachers, school employees disrupted the process of vaccination; The concert will be found in public environments such as cinema and the PCR test is required as of September 6 for the intercity trip. The test Covid-19 is the meaning of the health status m"&amp;"onitoring. Let's get good results from PCR. Let's be our vaccinations.")</f>
        <v>Teachers, school employees disrupted the process of vaccination; The concert will be found in public environments such as cinema and the PCR test is required as of September 6 for the intercity trip. The test Covid-19 is the meaning of the health status monitoring. Let's get good results from PCR. Let's be our vaccinations.</v>
      </c>
    </row>
    <row r="515" spans="1:5" ht="15.75" customHeight="1" x14ac:dyDescent="0.25">
      <c r="A515" s="1" t="s">
        <v>1030</v>
      </c>
      <c r="B515" s="1">
        <v>8024</v>
      </c>
      <c r="C515" s="3">
        <v>44440.710034722222</v>
      </c>
      <c r="D515" s="1" t="s">
        <v>1031</v>
      </c>
      <c r="E515" s="4" t="str">
        <f ca="1">IFERROR(__xludf.DUMMYFUNCTION("GOOGLETRANSLATE(A515 , ""tr"" , ""en"")"),"If the situation in the table continues as today as today, we have at least 335,000 new cases in 2 weeks, we will have 4,000 new life loss. By ignoring the fact of epidemic in daily life, we pay heavy price as society to delay the first dose of overdose. "&amp;"https://t.co/rvlhe7786o https://t.co/hcttmnzgea")</f>
        <v>If the situation in the table continues as today as today, we have at least 335,000 new cases in 2 weeks, we will have 4,000 new life loss. By ignoring the fact of epidemic in daily life, we pay heavy price as society to delay the first dose of overdose. https://t.co/rvlhe7786o https://t.co/hcttmnzgea</v>
      </c>
    </row>
    <row r="516" spans="1:5" ht="15.75" customHeight="1" x14ac:dyDescent="0.25">
      <c r="A516" s="1" t="s">
        <v>1032</v>
      </c>
      <c r="B516" s="1">
        <v>5663</v>
      </c>
      <c r="C516" s="3">
        <v>44439.769733796296</v>
      </c>
      <c r="D516" s="1" t="s">
        <v>1033</v>
      </c>
      <c r="E516" s="4" t="str">
        <f ca="1">IFERROR(__xludf.DUMMYFUNCTION("GOOGLETRANSLATE(A516 , ""tr"" , ""en"")"),"In our Kırıkkale, the first overdose rate was over 75%. The new color of Kırıkkale on the Covid-19 risk map held according to the first overdose rate. We celebrate Kırıkkale along with Sirnak that changed the risk color today. These rates are more than, i"&amp;"n progress doses!")</f>
        <v>In our Kırıkkale, the first overdose rate was over 75%. The new color of Kırıkkale on the Covid-19 risk map held according to the first overdose rate. We celebrate Kırıkkale along with Sirnak that changed the risk color today. These rates are more than, in progress doses!</v>
      </c>
    </row>
    <row r="517" spans="1:5" ht="15.75" customHeight="1" x14ac:dyDescent="0.25">
      <c r="A517" s="1" t="s">
        <v>1034</v>
      </c>
      <c r="B517" s="1">
        <v>4180</v>
      </c>
      <c r="C517" s="3">
        <v>44439.760185185187</v>
      </c>
      <c r="D517" s="1" t="s">
        <v>1035</v>
      </c>
      <c r="E517" s="4" t="str">
        <f ca="1">IFERROR(__xludf.DUMMYFUNCTION("GOOGLETRANSLATE(A517 , ""tr"" , ""en"")"),"Sertab ERENER: What our hospitals are dolve nor our scenes are empty. The solution is simple and cut. However, we can return to the ordinary we miss by making the vaccination as it comes. https://t.co/glbl2ba0lg")</f>
        <v>Sertab ERENER: What our hospitals are dolve nor our scenes are empty. The solution is simple and cut. However, we can return to the ordinary we miss by making the vaccination as it comes. https://t.co/glbl2ba0lg</v>
      </c>
    </row>
    <row r="518" spans="1:5" ht="15.75" customHeight="1" x14ac:dyDescent="0.25">
      <c r="A518" s="1" t="s">
        <v>1036</v>
      </c>
      <c r="B518" s="1">
        <v>3993</v>
      </c>
      <c r="C518" s="3">
        <v>44439.75304398148</v>
      </c>
      <c r="D518" s="1" t="s">
        <v>1037</v>
      </c>
      <c r="E518" s="4" t="str">
        <f ca="1">IFERROR(__xludf.DUMMYFUNCTION("GOOGLETRANSLATE(A518 , ""tr"" , ""en"")"),"Demet Akbağ: Doctors, nurses, health workers, the experts of the subject, while fighting all the world's pandem, has gave very great struggles. We can also contribute to this challenge. Let's not neglect to be vaccinated. https://t.co/d4k7kICazc")</f>
        <v>Demet Akbağ: Doctors, nurses, health workers, the experts of the subject, while fighting all the world's pandem, has gave very great struggles. We can also contribute to this challenge. Let's not neglect to be vaccinated. https://t.co/d4k7kICazc</v>
      </c>
    </row>
    <row r="519" spans="1:5" ht="15.75" customHeight="1" x14ac:dyDescent="0.25">
      <c r="A519" s="1" t="s">
        <v>1038</v>
      </c>
      <c r="B519" s="1">
        <v>5436</v>
      </c>
      <c r="C519" s="3">
        <v>44439.730138888888</v>
      </c>
      <c r="D519" s="1" t="s">
        <v>1039</v>
      </c>
      <c r="E519" s="4" t="str">
        <f ca="1">IFERROR(__xludf.DUMMYFUNCTION("GOOGLETRANSLATE(A519 , ""tr"" , ""en"")"),"Assuming that you are now conducinent for one of our 252 Covid-19 patients who passed away today. The test called a positive one, you say that you get the past. This table will be included in the warning, you have to consider exactly the moment. Let's mak"&amp;"e a prudent start tomorrow. https://t.co/rvlhe7786o https://t.co/gfpeqzwncm")</f>
        <v>Assuming that you are now conducinent for one of our 252 Covid-19 patients who passed away today. The test called a positive one, you say that you get the past. This table will be included in the warning, you have to consider exactly the moment. Let's make a prudent start tomorrow. https://t.co/rvlhe7786o https://t.co/gfpeqzwncm</v>
      </c>
    </row>
    <row r="520" spans="1:5" ht="15.75" customHeight="1" x14ac:dyDescent="0.25">
      <c r="A520" s="1" t="s">
        <v>1040</v>
      </c>
      <c r="B520" s="1">
        <v>16606</v>
      </c>
      <c r="C520" s="3">
        <v>44439.687361111108</v>
      </c>
      <c r="D520" s="1" t="s">
        <v>1041</v>
      </c>
      <c r="E520" s="4" t="str">
        <f ca="1">IFERROR(__xludf.DUMMYFUNCTION("GOOGLETRANSLATE(A520 , ""tr"" , ""en"")"),"This news does not wait for the evening: Sirnak didn't leave tomorrow, blue!")</f>
        <v>This news does not wait for the evening: Sirnak didn't leave tomorrow, blue!</v>
      </c>
    </row>
    <row r="521" spans="1:5" ht="15.75" customHeight="1" x14ac:dyDescent="0.25">
      <c r="A521" s="1" t="s">
        <v>1042</v>
      </c>
      <c r="B521" s="1">
        <v>7963</v>
      </c>
      <c r="C521" s="3">
        <v>44439.657546296294</v>
      </c>
      <c r="D521" s="1" t="s">
        <v>1043</v>
      </c>
      <c r="E521" s="4" t="str">
        <f ca="1">IFERROR(__xludf.DUMMYFUNCTION("GOOGLETRANSLATE(A521 , ""tr"" , ""en"")"),"YKS preferred results are announced. Congratulations. Let us be the second or third dose that is the first dose of time in our net 18 or if we were at the top of 18. Let's get our adaptation in the environment.")</f>
        <v>YKS preferred results are announced. Congratulations. Let us be the second or third dose that is the first dose of time in our net 18 or if we were at the top of 18. Let's get our adaptation in the environment.</v>
      </c>
    </row>
    <row r="522" spans="1:5" ht="15.75" customHeight="1" x14ac:dyDescent="0.25">
      <c r="A522" s="1" t="s">
        <v>1044</v>
      </c>
      <c r="B522" s="1">
        <v>6443</v>
      </c>
      <c r="C522" s="3">
        <v>44438.834247685183</v>
      </c>
      <c r="D522" s="1" t="s">
        <v>1045</v>
      </c>
      <c r="E522" s="4" t="str">
        <f ca="1">IFERROR(__xludf.DUMMYFUNCTION("GOOGLETRANSLATE(A522 , ""tr"" , ""en"")"),"Eyes in syrnak!
The Şırnak has left behind 7 provinces in a week at the first overdose rate. Very close to the blue. Tomorrow HISIM relative, bride-in mother-in-law, father son, let us go to our vaccines. Eyes are ultimately to be obtained against Covid-1"&amp;"9. We must guarantee this work Wednesday!")</f>
        <v>Eyes in syrnak!
The Şırnak has left behind 7 provinces in a week at the first overdose rate. Very close to the blue. Tomorrow HISIM relative, bride-in mother-in-law, father son, let us go to our vaccines. Eyes are ultimately to be obtained against Covid-19. We must guarantee this work Wednesday!</v>
      </c>
    </row>
    <row r="523" spans="1:5" ht="15.75" customHeight="1" x14ac:dyDescent="0.25">
      <c r="A523" s="1" t="s">
        <v>1046</v>
      </c>
      <c r="B523" s="1">
        <v>3453</v>
      </c>
      <c r="C523" s="3">
        <v>44438.761597222219</v>
      </c>
      <c r="D523" s="1" t="s">
        <v>1047</v>
      </c>
      <c r="E523" s="4" t="str">
        <f ca="1">IFERROR(__xludf.DUMMYFUNCTION("GOOGLETRANSLATE(A523 , ""tr"" , ""en"")"),"How is a patient to expect to heal? If life is your friend! https://t.co/S3IM2YSP8K")</f>
        <v>How is a patient to expect to heal? If life is your friend! https://t.co/S3IM2YSP8K</v>
      </c>
    </row>
    <row r="524" spans="1:5" ht="15.75" customHeight="1" x14ac:dyDescent="0.25">
      <c r="A524" s="1" t="s">
        <v>1048</v>
      </c>
      <c r="B524" s="1">
        <v>9224</v>
      </c>
      <c r="C524" s="3">
        <v>44438.72152777778</v>
      </c>
      <c r="D524" s="1" t="s">
        <v>1049</v>
      </c>
      <c r="E524" s="4" t="str">
        <f ca="1">IFERROR(__xludf.DUMMYFUNCTION("GOOGLETRANSLATE(A524 , ""tr"" , ""en"")"),"01 Adn Blue
03 afy blue
43 kth blue
78 krb blue
Adana, Afyon, Kütahya and Karabük are the first overdose rates over 75% of Covid-19 on the risk map of Covid-19 are now among low risk provinces. All in the name of Turkey, thanks with these four. We expec"&amp;"t a higher speed in the vaccine!")</f>
        <v>01 Adn Blue
03 afy blue
43 kth blue
78 krb blue
Adana, Afyon, Kütahya and Karabük are the first overdose rates over 75% of Covid-19 on the risk map of Covid-19 are now among low risk provinces. All in the name of Turkey, thanks with these four. We expect a higher speed in the vaccine!</v>
      </c>
    </row>
    <row r="525" spans="1:5" ht="15.75" customHeight="1" x14ac:dyDescent="0.25">
      <c r="A525" s="1" t="s">
        <v>1050</v>
      </c>
      <c r="B525" s="1">
        <v>5104</v>
      </c>
      <c r="C525" s="3">
        <v>44438.706307870372</v>
      </c>
      <c r="D525" s="1" t="s">
        <v>1051</v>
      </c>
      <c r="E525" s="4" t="str">
        <f ca="1">IFERROR(__xludf.DUMMYFUNCTION("GOOGLETRANSLATE(A525 , ""tr"" , ""en"")"),"Our new case number could have been 9.557 instead of 19.557. If the measures are kept tight and we know that the number of passages will fall quickly. Social immunity is an easy target for measure and vaccine! Let's change this table with heavy results ev"&amp;"ery day. We can succeed! https://t.co/rvlhe7786o https://t.co/hsqskmkqqp")</f>
        <v>Our new case number could have been 9.557 instead of 19.557. If the measures are kept tight and we know that the number of passages will fall quickly. Social immunity is an easy target for measure and vaccine! Let's change this table with heavy results every day. We can succeed! https://t.co/rvlhe7786o https://t.co/hsqskmkqqp</v>
      </c>
    </row>
    <row r="526" spans="1:5" ht="15.75" customHeight="1" x14ac:dyDescent="0.25">
      <c r="A526" s="1" t="s">
        <v>1052</v>
      </c>
      <c r="B526" s="1">
        <v>4692</v>
      </c>
      <c r="C526" s="3">
        <v>44438.641979166663</v>
      </c>
      <c r="D526" s="1" t="s">
        <v>1053</v>
      </c>
      <c r="E526" s="4" t="str">
        <f ca="1">IFERROR(__xludf.DUMMYFUNCTION("GOOGLETRANSLATE(A526 , ""tr"" , ""en"")"),"The Uzm is under treatment in Gülhane training and research hospital. Sergeant Ismail Şebelek Erdi Yesterday. Our soldier was seriously injured in the treacherous attack on the cross-border terrorist operation. Mercy from Allah to himself; Wishing your fa"&amp;"mily and hero condolences to our army. https://t.co/oo2l1rlznn")</f>
        <v>The Uzm is under treatment in Gülhane training and research hospital. Sergeant Ismail Şebelek Erdi Yesterday. Our soldier was seriously injured in the treacherous attack on the cross-border terrorist operation. Mercy from Allah to himself; Wishing your family and hero condolences to our army. https://t.co/oo2l1rlznn</v>
      </c>
    </row>
    <row r="527" spans="1:5" ht="15.75" customHeight="1" x14ac:dyDescent="0.25">
      <c r="A527" s="1" t="s">
        <v>1054</v>
      </c>
      <c r="B527" s="1">
        <v>8909</v>
      </c>
      <c r="C527" s="3">
        <v>44438.301516203705</v>
      </c>
      <c r="D527" s="1" t="s">
        <v>1055</v>
      </c>
      <c r="E527" s="4" t="str">
        <f ca="1">IFERROR(__xludf.DUMMYFUNCTION("GOOGLETRANSLATE(A527 , ""tr"" , ""en"")"),"His immortal day! Today, the 99th anniversary of the Dumlupınar victory, which is very large in reaching the success of our salvation battle. Gazi Mustafa Kemal Atatürk, we verify our lives and leave us a country that leaves us a country. August 30 will r"&amp;"emain as immortal day. https://t.co/medostvjcd")</f>
        <v>His immortal day! Today, the 99th anniversary of the Dumlupınar victory, which is very large in reaching the success of our salvation battle. Gazi Mustafa Kemal Atatürk, we verify our lives and leave us a country that leaves us a country. August 30 will remain as immortal day. https://t.co/medostvjcd</v>
      </c>
    </row>
    <row r="528" spans="1:5" ht="15.75" customHeight="1" x14ac:dyDescent="0.25">
      <c r="A528" s="1" t="s">
        <v>1056</v>
      </c>
      <c r="B528" s="1">
        <v>9251</v>
      </c>
      <c r="C528" s="3">
        <v>44437.918032407404</v>
      </c>
      <c r="D528" s="1" t="s">
        <v>1057</v>
      </c>
      <c r="E528" s="4" t="str">
        <f ca="1">IFERROR(__xludf.DUMMYFUNCTION("GOOGLETRANSLATE(A528 , ""tr"" , ""en"")"),"Bayraktar Akıncı We celebrate those who contribute to the realization of the Tiha project. The goal of all of us is said to this nation in this nation of the word ""get auspicious"". https://t.co/dqge5zt10o")</f>
        <v>Bayraktar Akıncı We celebrate those who contribute to the realization of the Tiha project. The goal of all of us is said to this nation in this nation of the word "get auspicious". https://t.co/dqge5zt10o</v>
      </c>
    </row>
    <row r="529" spans="1:5" ht="15.75" customHeight="1" x14ac:dyDescent="0.25">
      <c r="A529" s="1" t="s">
        <v>1058</v>
      </c>
      <c r="B529" s="1">
        <v>4026</v>
      </c>
      <c r="C529" s="3">
        <v>44437.869953703703</v>
      </c>
      <c r="D529" s="1" t="s">
        <v>1059</v>
      </c>
      <c r="E529" s="4" t="str">
        <f ca="1">IFERROR(__xludf.DUMMYFUNCTION("GOOGLETRANSLATE(A529 , ""tr"" , ""en"")"),"Covid-19 We have no new provinces lasting blue on the risk map. 255 Wouldn't it be good against new life loss news! Kütahya, Adana, Karabuk, Afyonkarahisar, Kırıkkale is the closest to 75% in the first overdose vaccination. Tomorrow with new vaccines, Tur"&amp;"key needs blue news! https://t.co/jtelnpxaez")</f>
        <v>Covid-19 We have no new provinces lasting blue on the risk map. 255 Wouldn't it be good against new life loss news! Kütahya, Adana, Karabuk, Afyonkarahisar, Kırıkkale is the closest to 75% in the first overdose vaccination. Tomorrow with new vaccines, Turkey needs blue news! https://t.co/jtelnpxaez</v>
      </c>
    </row>
    <row r="530" spans="1:5" ht="15.75" customHeight="1" x14ac:dyDescent="0.25">
      <c r="A530" s="1" t="s">
        <v>1060</v>
      </c>
      <c r="B530" s="1">
        <v>6136</v>
      </c>
      <c r="C530" s="3">
        <v>44437.700891203705</v>
      </c>
      <c r="D530" s="1" t="s">
        <v>1061</v>
      </c>
      <c r="E530" s="4" t="str">
        <f ca="1">IFERROR(__xludf.DUMMYFUNCTION("GOOGLETRANSLATE(A530 , ""tr"" , ""en"")"),"Our new case count is 17.332. ""This is an epidemic. Whether to do not want to be caught in the disease. "" So is it possible at all? Our new passive number 255. These deaths are preparing previous cases. There are two things to do until community immunit"&amp;"y: to be vaccinated, complying with measures! https://t.co/rvlhe7786o https://t.co/ck9npqfr19")</f>
        <v>Our new case count is 17.332. "This is an epidemic. Whether to do not want to be caught in the disease. " So is it possible at all? Our new passive number 255. These deaths are preparing previous cases. There are two things to do until community immunity: to be vaccinated, complying with measures! https://t.co/rvlhe7786o https://t.co/ck9npqfr19</v>
      </c>
    </row>
    <row r="531" spans="1:5" ht="15.75" customHeight="1" x14ac:dyDescent="0.25">
      <c r="A531" s="1" t="s">
        <v>1062</v>
      </c>
      <c r="B531" s="1">
        <v>5353</v>
      </c>
      <c r="C531" s="3">
        <v>44436.757187499999</v>
      </c>
      <c r="D531" s="1" t="s">
        <v>1063</v>
      </c>
      <c r="E531" s="4" t="str">
        <f ca="1">IFERROR(__xludf.DUMMYFUNCTION("GOOGLETRANSLATE(A531 , ""tr"" , ""en"")"),"SN. Nilgun lady,
Your question is important. Covid-19 should have a vaccination of those who have an antibody level? According to the world common in the world, yes! As in the epidemic, the patient antibody is not recommended in society-scale vaccines, ar"&amp;"e not recommended, if the precisely protection is in the subject. https://t.co/qxmjez7wya")</f>
        <v>SN. Nilgun lady,
Your question is important. Covid-19 should have a vaccination of those who have an antibody level? According to the world common in the world, yes! As in the epidemic, the patient antibody is not recommended in society-scale vaccines, are not recommended, if the precisely protection is in the subject. https://t.co/qxmjez7wya</v>
      </c>
    </row>
    <row r="532" spans="1:5" ht="15.75" customHeight="1" x14ac:dyDescent="0.25">
      <c r="A532" s="1" t="s">
        <v>1064</v>
      </c>
      <c r="B532" s="1">
        <v>3288</v>
      </c>
      <c r="C532" s="3">
        <v>44436.741087962961</v>
      </c>
      <c r="D532" s="1" t="s">
        <v>1065</v>
      </c>
      <c r="E532" s="4" t="str">
        <f ca="1">IFERROR(__xludf.DUMMYFUNCTION("GOOGLETRANSLATE(A532 , ""tr"" , ""en"")"),"No regret to tell you. https://t.co/uzqqaoqguz")</f>
        <v>No regret to tell you. https://t.co/uzqqaoqguz</v>
      </c>
    </row>
    <row r="533" spans="1:5" ht="15.75" customHeight="1" x14ac:dyDescent="0.25">
      <c r="A533" s="1" t="s">
        <v>1066</v>
      </c>
      <c r="B533" s="1">
        <v>6150</v>
      </c>
      <c r="C533" s="3">
        <v>44436.709236111114</v>
      </c>
      <c r="D533" s="1" t="s">
        <v>1067</v>
      </c>
      <c r="E533" s="4" t="str">
        <f ca="1">IFERROR(__xludf.DUMMYFUNCTION("GOOGLETRANSLATE(A533 , ""tr"" , ""en"")"),"How many people will look at the table? We used to live with an epidemic agenda. The habits are not tight if the measures required by the epidemic. Look at the table every day. Help you remember neglected measures. If you delayed allows you to raise the v"&amp;"accine. https://t.co/rvlhe7786o https://t.co/xmiI9swdnz")</f>
        <v>How many people will look at the table? We used to live with an epidemic agenda. The habits are not tight if the measures required by the epidemic. Look at the table every day. Help you remember neglected measures. If you delayed allows you to raise the vaccine. https://t.co/rvlhe7786o https://t.co/xmiI9swdnz</v>
      </c>
    </row>
    <row r="534" spans="1:5" ht="15.75" customHeight="1" x14ac:dyDescent="0.25">
      <c r="A534" s="1" t="s">
        <v>1068</v>
      </c>
      <c r="B534" s="1">
        <v>3434</v>
      </c>
      <c r="C534" s="3">
        <v>44436.426481481481</v>
      </c>
      <c r="D534" s="1" t="s">
        <v>1069</v>
      </c>
      <c r="E534" s="4" t="str">
        <f ca="1">IFERROR(__xludf.DUMMYFUNCTION("GOOGLETRANSLATE(A534 , ""tr"" , ""en"")"),"Igdir has passed yellow at risk level. Ardahan and Hakkâri in the region are already blue in the first overdose rates of 75%. Iy is; With Kars, With Pain, Van, the first dose of vaccine with Şırnak, is not good if the first dose of vaccination is not good"&amp;"? If we are examples of our surroundings! Including neighboring countries!")</f>
        <v>Igdir has passed yellow at risk level. Ardahan and Hakkâri in the region are already blue in the first overdose rates of 75%. Iy is; With Kars, With Pain, Van, the first dose of vaccine with Şırnak, is not good if the first dose of vaccination is not good? If we are examples of our surroundings! Including neighboring countries!</v>
      </c>
    </row>
    <row r="535" spans="1:5" ht="15.75" customHeight="1" x14ac:dyDescent="0.25">
      <c r="A535" s="1" t="s">
        <v>1070</v>
      </c>
      <c r="B535" s="1">
        <v>4433</v>
      </c>
      <c r="C535" s="3">
        <v>44436.424155092594</v>
      </c>
      <c r="D535" s="1" t="s">
        <v>1071</v>
      </c>
      <c r="E535" s="4" t="str">
        <f ca="1">IFERROR(__xludf.DUMMYFUNCTION("GOOGLETRANSLATE(A535 , ""tr"" , ""en"")"),"Nevsehir is in the low-risk provincial group with the first overdose ratio above 75%. The new color on the map is blue. If the first dose rate against Covid-19 is approached by 100%, continued doses will also be made in time to the market market, Nevsehir"&amp;" to Urgup from Avanos will be old Nevsehir!")</f>
        <v>Nevsehir is in the low-risk provincial group with the first overdose ratio above 75%. The new color on the map is blue. If the first dose rate against Covid-19 is approached by 100%, continued doses will also be made in time to the market market, Nevsehir to Urgup from Avanos will be old Nevsehir!</v>
      </c>
    </row>
    <row r="536" spans="1:5" ht="15.75" customHeight="1" x14ac:dyDescent="0.25">
      <c r="A536" s="1" t="s">
        <v>1072</v>
      </c>
      <c r="B536" s="1">
        <v>10717</v>
      </c>
      <c r="C536" s="3">
        <v>44436.422094907408</v>
      </c>
      <c r="D536" s="1" t="s">
        <v>1073</v>
      </c>
      <c r="E536" s="4" t="str">
        <f ca="1">IFERROR(__xludf.DUMMYFUNCTION("GOOGLETRANSLATE(A536 , ""tr"" , ""en"")"),"In Hatay, they ask the first dose vaccine, three of all four ""of course!"" says. Turkey's most crowded 13th city is the first overdose ratio of the first overdose. The color on the map is blue. Congratulations Hatay. There is more blue of the blue: the f"&amp;"irst dose rate close to 100%.")</f>
        <v>In Hatay, they ask the first dose vaccine, three of all four "of course!" says. Turkey's most crowded 13th city is the first overdose ratio of the first overdose. The color on the map is blue. Congratulations Hatay. There is more blue of the blue: the first dose rate close to 100%.</v>
      </c>
    </row>
    <row r="537" spans="1:5" ht="15.75" customHeight="1" x14ac:dyDescent="0.25">
      <c r="A537" s="1" t="s">
        <v>1074</v>
      </c>
      <c r="B537" s="1">
        <v>3070</v>
      </c>
      <c r="C537" s="3">
        <v>44436.33997685185</v>
      </c>
      <c r="D537" s="1" t="s">
        <v>1075</v>
      </c>
      <c r="E537" s="4" t="str">
        <f ca="1">IFERROR(__xludf.DUMMYFUNCTION("GOOGLETRANSLATE(A537 , ""tr"" , ""en"")"),"If you are in one of these 10 cities!
Bayburt, Gumushane, Kayseri, Gaziantep, Kilik, Bolu, Hakian, Nevsehir, Sinop, Kars: Case numbers between 14-20 August are the most increasing 10 products compared to the previous week! If you are in one of these citie"&amp;"s, you are less safe than before. The solution is certain. https://t.co/ukauxxlxdm")</f>
        <v>If you are in one of these 10 cities!
Bayburt, Gumushane, Kayseri, Gaziantep, Kilik, Bolu, Hakian, Nevsehir, Sinop, Kars: Case numbers between 14-20 August are the most increasing 10 products compared to the previous week! If you are in one of these cities, you are less safe than before. The solution is certain. https://t.co/ukauxxlxdm</v>
      </c>
    </row>
    <row r="538" spans="1:5" ht="15.75" customHeight="1" x14ac:dyDescent="0.25">
      <c r="A538" s="1" t="s">
        <v>1076</v>
      </c>
      <c r="B538" s="1">
        <v>3852</v>
      </c>
      <c r="C538" s="3">
        <v>44436.336516203701</v>
      </c>
      <c r="D538" s="1" t="s">
        <v>1077</v>
      </c>
      <c r="E538" s="4" t="str">
        <f ca="1">IFERROR(__xludf.DUMMYFUNCTION("GOOGLETRANSLATE(A538 , ""tr"" , ""en"")"),"What was the total number of new Covid-19 Cases in 100,000 people between 14-20 August? You can learn the situation in the situation in the province where you live or go to and from our weekly incidence map. According to the last map, the new case density"&amp;" is the highest rise. https://t.co/kd3vjce6MI")</f>
        <v>What was the total number of new Covid-19 Cases in 100,000 people between 14-20 August? You can learn the situation in the situation in the province where you live or go to and from our weekly incidence map. According to the last map, the new case density is the highest rise. https://t.co/kd3vjce6MI</v>
      </c>
    </row>
    <row r="539" spans="1:5" ht="15.75" customHeight="1" x14ac:dyDescent="0.25">
      <c r="A539" s="1" t="s">
        <v>1078</v>
      </c>
      <c r="B539" s="1">
        <v>7253</v>
      </c>
      <c r="C539" s="3">
        <v>44435.881377314814</v>
      </c>
      <c r="D539" s="1" t="s">
        <v>1079</v>
      </c>
      <c r="E539" s="4" t="str">
        <f ca="1">IFERROR(__xludf.DUMMYFUNCTION("GOOGLETRANSLATE(A539 , ""tr"" , ""en"")"),"In Siirt, the rate of becoming the first dose of 18 years of age or older, today is above 65%. Siirt's new color is yellow on the risk map of Covid-19. Be right siirt. But the work isn't over yet!")</f>
        <v>In Siirt, the rate of becoming the first dose of 18 years of age or older, today is above 65%. Siirt's new color is yellow on the risk map of Covid-19. Be right siirt. But the work isn't over yet!</v>
      </c>
    </row>
    <row r="540" spans="1:5" ht="15.75" customHeight="1" x14ac:dyDescent="0.25">
      <c r="A540" s="1" t="s">
        <v>1080</v>
      </c>
      <c r="B540" s="1">
        <v>5552</v>
      </c>
      <c r="C540" s="3">
        <v>44435.848055555558</v>
      </c>
      <c r="D540" s="1" t="s">
        <v>1081</v>
      </c>
      <c r="E540" s="4" t="str">
        <f ca="1">IFERROR(__xludf.DUMMYFUNCTION("GOOGLETRANSLATE(A540 , ""tr"" , ""en"")"),"Karaman is blue. So, Izmir, Hakkâri, Kıraykale, Artvin is more blue! The risk of risk level in a province, the risk falls in Turkey. Society of immunity is solidarity! Right is Karaman. Let's further upgrade the first overdose ratio over 75%.")</f>
        <v>Karaman is blue. So, Izmir, Hakkâri, Kıraykale, Artvin is more blue! The risk of risk level in a province, the risk falls in Turkey. Society of immunity is solidarity! Right is Karaman. Let's further upgrade the first overdose ratio over 75%.</v>
      </c>
    </row>
    <row r="541" spans="1:5" ht="15.75" customHeight="1" x14ac:dyDescent="0.25">
      <c r="A541" s="1" t="s">
        <v>1082</v>
      </c>
      <c r="B541" s="1">
        <v>35491</v>
      </c>
      <c r="C541" s="3">
        <v>44435.789363425924</v>
      </c>
      <c r="D541" s="1" t="s">
        <v>1083</v>
      </c>
      <c r="E541" s="4" t="str">
        <f ca="1">IFERROR(__xludf.DUMMYFUNCTION("GOOGLETRANSLATE(A541 , ""tr"" , ""en"")"),"We can all be glad: our Istanbul is blue.")</f>
        <v>We can all be glad: our Istanbul is blue.</v>
      </c>
    </row>
    <row r="542" spans="1:5" ht="15.75" customHeight="1" x14ac:dyDescent="0.25">
      <c r="A542" s="1" t="s">
        <v>1084</v>
      </c>
      <c r="B542" s="1">
        <v>6891</v>
      </c>
      <c r="C542" s="3">
        <v>44435.701377314814</v>
      </c>
      <c r="D542" s="1" t="s">
        <v>1085</v>
      </c>
      <c r="E542" s="4" t="str">
        <f ca="1">IFERROR(__xludf.DUMMYFUNCTION("GOOGLETRANSLATE(A542 , ""tr"" , ""en"")"),"Our passage number is very high than yesterday. Our case count is very high by yesterday. But there is also the eid of the eid in the eid. Compliment with the measures all together and depends on being our vaccines! https://t.co/rvlhe7786o https://t.co/6j"&amp;"nsafkpbl")</f>
        <v>Our passage number is very high than yesterday. Our case count is very high by yesterday. But there is also the eid of the eid in the eid. Compliment with the measures all together and depends on being our vaccines! https://t.co/rvlhe7786o https://t.co/6jnsafkpbl</v>
      </c>
    </row>
    <row r="543" spans="1:5" ht="15.75" customHeight="1" x14ac:dyDescent="0.25">
      <c r="A543" s="1" t="s">
        <v>1086</v>
      </c>
      <c r="B543" s="1">
        <v>7666</v>
      </c>
      <c r="C543" s="3">
        <v>44435.322233796294</v>
      </c>
      <c r="D543" s="1" t="s">
        <v>1087</v>
      </c>
      <c r="E543" s="4" t="str">
        <f ca="1">IFERROR(__xludf.DUMMYFUNCTION("GOOGLETRANSLATE(A543 , ""tr"" , ""en"")"),"The first dose of vaccine between teachers is 84.06%. The first dose of overdose in the whole community is 76.12%. The second overdose rate is 72.57% among teachers. This rate is 58.23% in all society. Schools are opening. Non-vaccination teachers will be"&amp;" examples of us soon. They haven't always been? https://t.co/ubr3IInwm")</f>
        <v>The first dose of vaccine between teachers is 84.06%. The first dose of overdose in the whole community is 76.12%. The second overdose rate is 72.57% among teachers. This rate is 58.23% in all society. Schools are opening. Non-vaccination teachers will be examples of us soon. They haven't always been? https://t.co/ubr3IInwm</v>
      </c>
    </row>
    <row r="544" spans="1:5" ht="15.75" customHeight="1" x14ac:dyDescent="0.25">
      <c r="A544" s="1" t="s">
        <v>1088</v>
      </c>
      <c r="B544" s="1">
        <v>20276</v>
      </c>
      <c r="C544" s="3">
        <v>44434.847361111111</v>
      </c>
      <c r="D544" s="1" t="s">
        <v>1089</v>
      </c>
      <c r="E544" s="4" t="str">
        <f ca="1">IFERROR(__xludf.DUMMYFUNCTION("GOOGLETRANSLATE(A544 , ""tr"" , ""en"")"),"Last minute message: Turkey Covid-19 did not remain red on the risk map. It's very nice to finish up to start the job. Greetings to you from 80 provinces, love Şanlıurfa!")</f>
        <v>Last minute message: Turkey Covid-19 did not remain red on the risk map. It's very nice to finish up to start the job. Greetings to you from 80 provinces, love Şanlıurfa!</v>
      </c>
    </row>
    <row r="545" spans="1:5" ht="15.75" customHeight="1" x14ac:dyDescent="0.25">
      <c r="A545" s="1" t="s">
        <v>1090</v>
      </c>
      <c r="B545" s="1">
        <v>6089</v>
      </c>
      <c r="C545" s="3">
        <v>44434.837337962963</v>
      </c>
      <c r="D545" s="1" t="s">
        <v>1091</v>
      </c>
      <c r="E545" s="4" t="str">
        <f ca="1">IFERROR(__xludf.DUMMYFUNCTION("GOOGLETRANSLATE(A545 , ""tr"" , ""en"")"),"Kayseri is now blue on the risk map. The first overdose rate is over 75%. All of the surroundings are yellow. The low risk movement in the inner Anatolia started from the heart of Anatolia!")</f>
        <v>Kayseri is now blue on the risk map. The first overdose rate is over 75%. All of the surroundings are yellow. The low risk movement in the inner Anatolia started from the heart of Anatolia!</v>
      </c>
    </row>
    <row r="546" spans="1:5" ht="15.75" customHeight="1" x14ac:dyDescent="0.25">
      <c r="A546" s="1" t="s">
        <v>1092</v>
      </c>
      <c r="B546" s="1">
        <v>6824</v>
      </c>
      <c r="C546" s="3">
        <v>44434.814872685187</v>
      </c>
      <c r="D546" s="1" t="s">
        <v>1093</v>
      </c>
      <c r="E546" s="4" t="str">
        <f ca="1">IFERROR(__xludf.DUMMYFUNCTION("GOOGLETRANSLATE(A546 , ""tr"" , ""en"")"),"Pain has turned the risk of risk in yellow. Congratulations pain! Actually, not yellow, not Blue, Turkey's highest inoculation rate is most famizing the most pain?")</f>
        <v>Pain has turned the risk of risk in yellow. Congratulations pain! Actually, not yellow, not Blue, Turkey's highest inoculation rate is most famizing the most pain?</v>
      </c>
    </row>
    <row r="547" spans="1:5" ht="15.75" customHeight="1" x14ac:dyDescent="0.25">
      <c r="A547" s="1" t="s">
        <v>1094</v>
      </c>
      <c r="B547" s="1">
        <v>14022</v>
      </c>
      <c r="C547" s="3">
        <v>44434.775520833333</v>
      </c>
      <c r="D547" s="1" t="s">
        <v>1095</v>
      </c>
      <c r="E547" s="4" t="str">
        <f ca="1">IFERROR(__xludf.DUMMYFUNCTION("GOOGLETRANSLATE(A547 , ""tr"" , ""en"")"),"In the traffic accidents today you didn't read the news that 257 people died what would you feel? The number of deaths due to Covid-19 Today 257. We have taken away from the measure, we neglected the vaccine, and we started getting used to the results?")</f>
        <v>In the traffic accidents today you didn't read the news that 257 people died what would you feel? The number of deaths due to Covid-19 Today 257. We have taken away from the measure, we neglected the vaccine, and we started getting used to the results?</v>
      </c>
    </row>
    <row r="548" spans="1:5" ht="15.75" customHeight="1" x14ac:dyDescent="0.25">
      <c r="A548" s="1" t="s">
        <v>1096</v>
      </c>
      <c r="B548" s="1">
        <v>3471</v>
      </c>
      <c r="C548" s="3">
        <v>44434.760960648149</v>
      </c>
      <c r="D548" s="1" t="s">
        <v>1097</v>
      </c>
      <c r="E548" s="4" t="str">
        <f ca="1">IFERROR(__xludf.DUMMYFUNCTION("GOOGLETRANSLATE(A548 , ""tr"" , ""en"")"),"The only vaccine is not enough. The province will be two. The only vaccine is not enough. The province will be two. Have the second one with the only vaccine. Be the second dose: Ali Aydoğdu. 80 years old. The 4th day of Covid-19 treatment. Warns for the "&amp;"second dose. https://t.co/ohcpveo9od")</f>
        <v>The only vaccine is not enough. The province will be two. The only vaccine is not enough. The province will be two. Have the second one with the only vaccine. Be the second dose: Ali Aydoğdu. 80 years old. The 4th day of Covid-19 treatment. Warns for the second dose. https://t.co/ohcpveo9od</v>
      </c>
    </row>
    <row r="549" spans="1:5" ht="15.75" customHeight="1" x14ac:dyDescent="0.25">
      <c r="A549" s="1" t="s">
        <v>1098</v>
      </c>
      <c r="B549" s="1">
        <v>5292</v>
      </c>
      <c r="C549" s="3">
        <v>44434.672893518517</v>
      </c>
      <c r="D549" s="1" t="s">
        <v>1099</v>
      </c>
      <c r="E549" s="4" t="str">
        <f ca="1">IFERROR(__xludf.DUMMYFUNCTION("GOOGLETRANSLATE(A549 , ""tr"" , ""en"")"),"The number of passes of the passage 217 yesterday is today 257. The number of cases is on the limit of 20,000. Won't we do everything we can? May the shoulder postponing the first overdose. May you make an appointment of the second dose. Conform to the ru"&amp;"les that go out. This table stayed here very long. https://t.co/rvlhe7786o https://t.co/6gcx9gysc9")</f>
        <v>The number of passes of the passage 217 yesterday is today 257. The number of cases is on the limit of 20,000. Won't we do everything we can? May the shoulder postponing the first overdose. May you make an appointment of the second dose. Conform to the rules that go out. This table stayed here very long. https://t.co/rvlhe7786o https://t.co/6gcx9gysc9</v>
      </c>
    </row>
    <row r="550" spans="1:5" ht="15.75" customHeight="1" x14ac:dyDescent="0.25">
      <c r="A550" s="1" t="s">
        <v>1100</v>
      </c>
      <c r="B550" s="1">
        <v>7895</v>
      </c>
      <c r="C550" s="3">
        <v>44434.64439814815</v>
      </c>
      <c r="D550" s="1" t="s">
        <v>1101</v>
      </c>
      <c r="E550" s="4" t="str">
        <f ca="1">IFERROR(__xludf.DUMMYFUNCTION("GOOGLETRANSLATE(A550 , ""tr"" , ""en"")"),"We make Covid-19 meeting each week with the science board. Mask, distance no longer heard of the trivial promise. But they have those who do it as if it was. Let's obey the rules.")</f>
        <v>We make Covid-19 meeting each week with the science board. Mask, distance no longer heard of the trivial promise. But they have those who do it as if it was. Let's obey the rules.</v>
      </c>
    </row>
    <row r="551" spans="1:5" ht="15.75" customHeight="1" x14ac:dyDescent="0.25">
      <c r="A551" s="1" t="s">
        <v>1102</v>
      </c>
      <c r="B551" s="1">
        <v>12869</v>
      </c>
      <c r="C551" s="3">
        <v>44434.633750000001</v>
      </c>
      <c r="D551" s="1" t="s">
        <v>1103</v>
      </c>
      <c r="E551" s="4" t="str">
        <f ca="1">IFERROR(__xludf.DUMMYFUNCTION("GOOGLETRANSLATE(A551 , ""tr"" , ""en"")"),"Among not being vaccinated, there is a difference in intense care in some cases.")</f>
        <v>Among not being vaccinated, there is a difference in intense care in some cases.</v>
      </c>
    </row>
    <row r="552" spans="1:5" ht="15.75" customHeight="1" x14ac:dyDescent="0.25">
      <c r="A552" s="1" t="s">
        <v>1104</v>
      </c>
      <c r="B552" s="1">
        <v>13741</v>
      </c>
      <c r="C552" s="3">
        <v>44434.6016087963</v>
      </c>
      <c r="D552" s="1" t="s">
        <v>1105</v>
      </c>
      <c r="E552" s="4" t="str">
        <f ca="1">IFERROR(__xludf.DUMMYFUNCTION("GOOGLETRANSLATE(A552 , ""tr"" , ""en"")"),"Now those who say to be the vaccine, then you can say that you get the past.")</f>
        <v>Now those who say to be the vaccine, then you can say that you get the past.</v>
      </c>
    </row>
    <row r="553" spans="1:5" ht="15.75" customHeight="1" x14ac:dyDescent="0.25">
      <c r="A553" s="1" t="s">
        <v>1106</v>
      </c>
      <c r="B553" s="1">
        <v>18879</v>
      </c>
      <c r="C553" s="3">
        <v>44434.511006944442</v>
      </c>
      <c r="D553" s="1" t="s">
        <v>1107</v>
      </c>
      <c r="E553" s="4" t="str">
        <f ca="1">IFERROR(__xludf.DUMMYFUNCTION("GOOGLETRANSLATE(A553 , ""tr"" , ""en"")"),"All this case neglect the second one with the first overdose when there are all these deaths?")</f>
        <v>All this case neglect the second one with the first overdose when there are all these deaths?</v>
      </c>
    </row>
    <row r="554" spans="1:5" ht="15.75" customHeight="1" x14ac:dyDescent="0.25">
      <c r="A554" s="1" t="s">
        <v>1108</v>
      </c>
      <c r="B554" s="1">
        <v>0</v>
      </c>
      <c r="C554" s="3">
        <v>44434.365578703706</v>
      </c>
      <c r="D554" s="1" t="s">
        <v>1109</v>
      </c>
      <c r="E554" s="4" t="str">
        <f ca="1">IFERROR(__xludf.DUMMYFUNCTION("GOOGLETRANSLATE(A554 , ""tr"" , ""en"")"),"RT @rterdogan: Malazgirt victory's 950th anniversary https://t.co/wk8oi7tvab")</f>
        <v>RT @rterdogan: Malazgirt victory's 950th anniversary https://t.co/wk8oi7tvab</v>
      </c>
    </row>
    <row r="555" spans="1:5" ht="15.75" customHeight="1" x14ac:dyDescent="0.25">
      <c r="A555" s="1" t="s">
        <v>1110</v>
      </c>
      <c r="B555" s="1">
        <v>9769</v>
      </c>
      <c r="C555" s="3">
        <v>44434.283472222225</v>
      </c>
      <c r="D555" s="1" t="s">
        <v>1111</v>
      </c>
      <c r="E555" s="4" t="str">
        <f ca="1">IFERROR(__xludf.DUMMYFUNCTION("GOOGLETRANSLATE(A555 , ""tr"" , ""en"")"),"Today, let's call our loved ones in Urfa and ask the case. Let's open the first dose of overdose. Şanlıurfa is still our only province with red. The rate of vaccine is low, the risk level is very high. The relatives are also available for those in place. "&amp;"Thank you in advance for your beautiful tenderness.")</f>
        <v>Today, let's call our loved ones in Urfa and ask the case. Let's open the first dose of overdose. Şanlıurfa is still our only province with red. The rate of vaccine is low, the risk level is very high. The relatives are also available for those in place. Thank you in advance for your beautiful tenderness.</v>
      </c>
    </row>
    <row r="556" spans="1:5" ht="15.75" customHeight="1" x14ac:dyDescent="0.25">
      <c r="A556" s="1" t="s">
        <v>1112</v>
      </c>
      <c r="B556" s="1">
        <v>14145</v>
      </c>
      <c r="C556" s="3">
        <v>44433.835185185184</v>
      </c>
      <c r="D556" s="1" t="s">
        <v>1113</v>
      </c>
      <c r="E556" s="4" t="str">
        <f ca="1">IFERROR(__xludf.DUMMYFUNCTION("GOOGLETRANSLATE(A556 , ""tr"" , ""en"")"),"Our two friends were defeated to Covid-19. Operator Dr. İlhami Atlan 55, Pathologist Dr. Murat TAD was 49 years old. Unfortunately, we have learned that the two valuable physicians are unoccupied. We wish our colleagues from Allah, to their families condo"&amp;"lences. Similar suffering is no longer experiencing.")</f>
        <v>Our two friends were defeated to Covid-19. Operator Dr. İlhami Atlan 55, Pathologist Dr. Murat TAD was 49 years old. Unfortunately, we have learned that the two valuable physicians are unoccupied. We wish our colleagues from Allah, to their families condolences. Similar suffering is no longer experiencing.</v>
      </c>
    </row>
    <row r="557" spans="1:5" ht="15.75" customHeight="1" x14ac:dyDescent="0.25">
      <c r="A557" s="1" t="s">
        <v>1114</v>
      </c>
      <c r="B557" s="1">
        <v>6317</v>
      </c>
      <c r="C557" s="3">
        <v>44433.829224537039</v>
      </c>
      <c r="D557" s="1" t="s">
        <v>1115</v>
      </c>
      <c r="E557" s="4" t="str">
        <f ca="1">IFERROR(__xludf.DUMMYFUNCTION("GOOGLETRANSLATE(A557 , ""tr"" , ""en"")"),"Elazig among mid-risk provinces. Yellow. The first overdose rate is now over 65%. The risk of Elazig is as sweet as the excitement of the excitement of reducing.")</f>
        <v>Elazig among mid-risk provinces. Yellow. The first overdose rate is now over 65%. The risk of Elazig is as sweet as the excitement of the excitement of reducing.</v>
      </c>
    </row>
    <row r="558" spans="1:5" ht="15.75" customHeight="1" x14ac:dyDescent="0.25">
      <c r="A558" s="1" t="s">
        <v>1116</v>
      </c>
      <c r="B558" s="1">
        <v>14811</v>
      </c>
      <c r="C558" s="3">
        <v>44433.797442129631</v>
      </c>
      <c r="D558" s="1" t="s">
        <v>1117</v>
      </c>
      <c r="E558" s="4" t="str">
        <f ca="1">IFERROR(__xludf.DUMMYFUNCTION("GOOGLETRANSLATE(A558 , ""tr"" , ""en"")"),"-Slap?
+ Blueii!
-Kocaeli?
+ Blueii!
Turkey is joyful. Our two provinces are lower at the first overdose ratio above 75%.")</f>
        <v>-Slap?
+ Blueii!
-Kocaeli?
+ Blueii!
Turkey is joyful. Our two provinces are lower at the first overdose ratio above 75%.</v>
      </c>
    </row>
    <row r="559" spans="1:5" ht="15.75" customHeight="1" x14ac:dyDescent="0.25">
      <c r="A559" s="1" t="s">
        <v>1118</v>
      </c>
      <c r="B559" s="1">
        <v>25662</v>
      </c>
      <c r="C559" s="3">
        <v>44433.71601851852</v>
      </c>
      <c r="D559" s="1" t="s">
        <v>1119</v>
      </c>
      <c r="E559" s="4" t="str">
        <f ca="1">IFERROR(__xludf.DUMMYFUNCTION("GOOGLETRANSLATE(A559 , ""tr"" , ""en"")"),"Two doubtful people said that I am not a vaccination of anyone from my family. Where? On social media! I was the first vaccination in Turkey. Made every member of my parents. Confusing name, the account is fake, though this claim to suit people?")</f>
        <v>Two doubtful people said that I am not a vaccination of anyone from my family. Where? On social media! I was the first vaccination in Turkey. Made every member of my parents. Confusing name, the account is fake, though this claim to suit people?</v>
      </c>
    </row>
    <row r="560" spans="1:5" ht="15.75" customHeight="1" x14ac:dyDescent="0.25">
      <c r="A560" s="1" t="s">
        <v>1120</v>
      </c>
      <c r="B560" s="1">
        <v>4957</v>
      </c>
      <c r="C560" s="3">
        <v>44433.681041666663</v>
      </c>
      <c r="D560" s="1" t="s">
        <v>1121</v>
      </c>
      <c r="E560" s="4" t="str">
        <f ca="1">IFERROR(__xludf.DUMMYFUNCTION("GOOGLETRANSLATE(A560 , ""tr"" , ""en"")"),"Table that appears and visible: about 5 million tests in one month. A very large number! Today 217 can not prevent the cause of our loss of life. The understanding of our deposited by our head. Postponed vaccine. If we do not pay if we do not pay, they ar"&amp;"e payers! https://t.co/rvlhe7786o https://t.co/qm0fuxllfq")</f>
        <v>Table that appears and visible: about 5 million tests in one month. A very large number! Today 217 can not prevent the cause of our loss of life. The understanding of our deposited by our head. Postponed vaccine. If we do not pay if we do not pay, they are payers! https://t.co/rvlhe7786o https://t.co/qm0fuxllfq</v>
      </c>
    </row>
    <row r="561" spans="1:5" ht="15.75" customHeight="1" x14ac:dyDescent="0.25">
      <c r="A561" s="1" t="s">
        <v>1122</v>
      </c>
      <c r="B561" s="1">
        <v>4813</v>
      </c>
      <c r="C561" s="3">
        <v>44433.571053240739</v>
      </c>
      <c r="D561" s="1" t="s">
        <v>1123</v>
      </c>
      <c r="E561" s="4" t="str">
        <f ca="1">IFERROR(__xludf.DUMMYFUNCTION("GOOGLETRANSLATE(A561 , ""tr"" , ""en"")"),"We left us a victory celebrated for 950 years! You have prepared a homeland. You have opened the dreamy fethin path in 1453. Today your son is where you have installed the Otah. Malazgirt victory 950. Year festivities, enthusiasm in the whole country. 107"&amp;"1 pioneers of your soul in the Chad! https://t.co/ihszlckqn0")</f>
        <v>We left us a victory celebrated for 950 years! You have prepared a homeland. You have opened the dreamy fethin path in 1453. Today your son is where you have installed the Otah. Malazgirt victory 950. Year festivities, enthusiasm in the whole country. 1071 pioneers of your soul in the Chad! https://t.co/ihszlckqn0</v>
      </c>
    </row>
    <row r="562" spans="1:5" ht="15.75" customHeight="1" x14ac:dyDescent="0.25">
      <c r="A562" s="1" t="s">
        <v>1124</v>
      </c>
      <c r="B562" s="1">
        <v>0</v>
      </c>
      <c r="C562" s="3">
        <v>44433.530624999999</v>
      </c>
      <c r="D562" s="1" t="s">
        <v>1125</v>
      </c>
      <c r="E562" s="4" t="str">
        <f ca="1">IFERROR(__xludf.DUMMYFUNCTION("GOOGLETRANSLATE(A562 , ""tr"" , ""en"")"),"RT @rterdogan: We're on Ahlat. https://t.co/3b4anm2pfz")</f>
        <v>RT @rterdogan: We're on Ahlat. https://t.co/3b4anm2pfz</v>
      </c>
    </row>
    <row r="563" spans="1:5" ht="15.75" customHeight="1" x14ac:dyDescent="0.25">
      <c r="A563" s="1" t="s">
        <v>1126</v>
      </c>
      <c r="B563" s="1">
        <v>14492</v>
      </c>
      <c r="C563" s="3">
        <v>44433.443298611113</v>
      </c>
      <c r="D563" s="1" t="s">
        <v>1127</v>
      </c>
      <c r="E563" s="4" t="str">
        <f ca="1">IFERROR(__xludf.DUMMYFUNCTION("GOOGLETRANSLATE(A563 , ""tr"" , ""en"")"),"Let's have the first overdose that we neglect. Against disease, loss of life! Isn't worth it?")</f>
        <v>Let's have the first overdose that we neglect. Against disease, loss of life! Isn't worth it?</v>
      </c>
    </row>
    <row r="564" spans="1:5" ht="15.75" customHeight="1" x14ac:dyDescent="0.25">
      <c r="A564" s="1" t="s">
        <v>1128</v>
      </c>
      <c r="B564" s="1">
        <v>14199</v>
      </c>
      <c r="C564" s="3">
        <v>44433.289120370369</v>
      </c>
      <c r="D564" s="1" t="s">
        <v>1129</v>
      </c>
      <c r="E564" s="4" t="str">
        <f ca="1">IFERROR(__xludf.DUMMYFUNCTION("GOOGLETRANSLATE(A564 , ""tr"" , ""en"")"),"Good morning Şanlıurfa.
Today we decide the first dose and reduce our level of risk that is very high. Red single release on the map. This loneliness is not even good!")</f>
        <v>Good morning Şanlıurfa.
Today we decide the first dose and reduce our level of risk that is very high. Red single release on the map. This loneliness is not even good!</v>
      </c>
    </row>
    <row r="565" spans="1:5" ht="15.75" customHeight="1" x14ac:dyDescent="0.25">
      <c r="A565" s="1" t="s">
        <v>1130</v>
      </c>
      <c r="B565" s="1">
        <v>5099</v>
      </c>
      <c r="C565" s="3">
        <v>44432.912499999999</v>
      </c>
      <c r="D565" s="1" t="s">
        <v>1131</v>
      </c>
      <c r="E565" s="4" t="str">
        <f ca="1">IFERROR(__xludf.DUMMYFUNCTION("GOOGLETRANSLATE(A565 , ""tr"" , ""en"")"),"4 Good news! We mentioned Bursa and Trabzon. Our 2 other news is also important: Mardin lowered the high risk level of Mardin to the high risk level, the high risk level of Adiyaman to the middle risk level. We have a red single province, Şanlıurfa. With "&amp;"the first dose of vaccination, he will also glad us all!")</f>
        <v>4 Good news! We mentioned Bursa and Trabzon. Our 2 other news is also important: Mardin lowered the high risk level of Mardin to the high risk level, the high risk level of Adiyaman to the middle risk level. We have a red single province, Şanlıurfa. With the first dose of vaccination, he will also glad us all!</v>
      </c>
    </row>
    <row r="566" spans="1:5" ht="15.75" customHeight="1" x14ac:dyDescent="0.25">
      <c r="A566" s="1" t="s">
        <v>1132</v>
      </c>
      <c r="B566" s="1">
        <v>8398</v>
      </c>
      <c r="C566" s="3">
        <v>44432.881412037037</v>
      </c>
      <c r="D566" s="1" t="s">
        <v>1133</v>
      </c>
      <c r="E566" s="4" t="str">
        <f ca="1">IFERROR(__xludf.DUMMYFUNCTION("GOOGLETRANSLATE(A566 , ""tr"" , ""en"")"),"Green Bursa was blue.
Which city does not have the first overdose rate exceeding 75%! https://t.co/q4utw2u9ay")</f>
        <v>Green Bursa was blue.
Which city does not have the first overdose rate exceeding 75%! https://t.co/q4utw2u9ay</v>
      </c>
    </row>
    <row r="567" spans="1:5" ht="15.75" customHeight="1" x14ac:dyDescent="0.25">
      <c r="A567" s="1" t="s">
        <v>1134</v>
      </c>
      <c r="B567" s="1">
        <v>11776</v>
      </c>
      <c r="C567" s="3">
        <v>44432.858958333331</v>
      </c>
      <c r="D567" s="1" t="s">
        <v>1135</v>
      </c>
      <c r="E567" s="4" t="str">
        <f ca="1">IFERROR(__xludf.DUMMYFUNCTION("GOOGLETRANSLATE(A567 , ""tr"" , ""en"")"),"Black Sea Coast Sizedan Paint Blue! https://t.co/B7FLBJIW4E")</f>
        <v>Black Sea Coast Sizedan Paint Blue! https://t.co/B7FLBJIW4E</v>
      </c>
    </row>
    <row r="568" spans="1:5" ht="15.75" customHeight="1" x14ac:dyDescent="0.25">
      <c r="A568" s="1" t="s">
        <v>1136</v>
      </c>
      <c r="B568" s="1">
        <v>18815</v>
      </c>
      <c r="C568" s="3">
        <v>44432.84915509259</v>
      </c>
      <c r="D568" s="1" t="s">
        <v>1137</v>
      </c>
      <c r="E568" s="4" t="str">
        <f ca="1">IFERROR(__xludf.DUMMYFUNCTION("GOOGLETRANSLATE(A568 , ""tr"" , ""en"")"),"We will see more beautiful days Trabzon, we will drive the motors to blues. Respect to Trabzon exceeding 75% at the rate of first dose!")</f>
        <v>We will see more beautiful days Trabzon, we will drive the motors to blues. Respect to Trabzon exceeding 75% at the rate of first dose!</v>
      </c>
    </row>
    <row r="569" spans="1:5" ht="15.75" customHeight="1" x14ac:dyDescent="0.25">
      <c r="A569" s="1" t="s">
        <v>1138</v>
      </c>
      <c r="B569" s="1">
        <v>4737</v>
      </c>
      <c r="C569" s="3">
        <v>44432.843564814815</v>
      </c>
      <c r="D569" s="1" t="s">
        <v>1139</v>
      </c>
      <c r="E569" s="4" t="str">
        <f ca="1">IFERROR(__xludf.DUMMYFUNCTION("GOOGLETRANSLATE(A569 , ""tr"" , ""en"")"),"""What happens don't take unconscious people to the TV. Everyone speaks, health is involved in politics. People are not informed correctly. I'm saying that I don't be a vaccination until yesterday. ""
Uğur Hardkind 35 years old, engineer. Pine and Sakura "&amp;"in the city hospital are in intensive care for 20 days. https://t.co/oa3gnk90ti")</f>
        <v>"What happens don't take unconscious people to the TV. Everyone speaks, health is involved in politics. People are not informed correctly. I'm saying that I don't be a vaccination until yesterday. "
Uğur Hardkind 35 years old, engineer. Pine and Sakura in the city hospital are in intensive care for 20 days. https://t.co/oa3gnk90ti</v>
      </c>
    </row>
    <row r="570" spans="1:5" ht="15.75" customHeight="1" x14ac:dyDescent="0.25">
      <c r="A570" s="1" t="s">
        <v>1140</v>
      </c>
      <c r="B570" s="1">
        <v>4136</v>
      </c>
      <c r="C570" s="3">
        <v>44432.778935185182</v>
      </c>
      <c r="D570" s="1" t="s">
        <v>1141</v>
      </c>
      <c r="E570" s="4" t="str">
        <f ca="1">IFERROR(__xludf.DUMMYFUNCTION("GOOGLETRANSLATE(A570 , ""tr"" , ""en"")"),"In the world of total dose we are in the world. The population is the same as Turkey is the same as the manufacturer of Turkey in Germany. The first ranked country is 1 billion 400 million populations, again vaccination manufacturer in China. Many Europea"&amp;"n countries, the same rate as this country could not show the same performance. ""Come on but expect!"" https://t.co/9w2aptog4v")</f>
        <v>In the world of total dose we are in the world. The population is the same as Turkey is the same as the manufacturer of Turkey in Germany. The first ranked country is 1 billion 400 million populations, again vaccination manufacturer in China. Many European countries, the same rate as this country could not show the same performance. "Come on but expect!" https://t.co/9w2aptog4v</v>
      </c>
    </row>
    <row r="571" spans="1:5" ht="15.75" customHeight="1" x14ac:dyDescent="0.25">
      <c r="A571" s="1" t="s">
        <v>1142</v>
      </c>
      <c r="B571" s="1">
        <v>11666</v>
      </c>
      <c r="C571" s="3">
        <v>44432.734652777777</v>
      </c>
      <c r="D571" s="1" t="s">
        <v>1143</v>
      </c>
      <c r="E571" s="4" t="str">
        <f ca="1">IFERROR(__xludf.DUMMYFUNCTION("GOOGLETRANSLATE(A571 , ""tr"" , ""en"")"),"We are in the world in the world in the total number of vaccines that are applied against Covid-19.")</f>
        <v>We are in the world in the world in the total number of vaccines that are applied against Covid-19.</v>
      </c>
    </row>
    <row r="572" spans="1:5" ht="15.75" customHeight="1" x14ac:dyDescent="0.25">
      <c r="A572" s="1" t="s">
        <v>1144</v>
      </c>
      <c r="B572" s="1">
        <v>4855</v>
      </c>
      <c r="C572" s="3">
        <v>44432.728807870371</v>
      </c>
      <c r="D572" s="1" t="s">
        <v>1145</v>
      </c>
      <c r="E572" s="4" t="str">
        <f ca="1">IFERROR(__xludf.DUMMYFUNCTION("GOOGLETRANSLATE(A572 , ""tr"" , ""en"")"),"Our losses are not reduced unless the case numbers are reduced. We can carry heavier loads tomorrow if we do not take measures today. For our loved ones and let's obey the measures. https://t.co/rvlhe7786o https://t.co/vcjjmqr1w4")</f>
        <v>Our losses are not reduced unless the case numbers are reduced. We can carry heavier loads tomorrow if we do not take measures today. For our loved ones and let's obey the measures. https://t.co/rvlhe7786o https://t.co/vcjjmqr1w4</v>
      </c>
    </row>
    <row r="573" spans="1:5" ht="15.75" customHeight="1" x14ac:dyDescent="0.25">
      <c r="A573" s="1" t="s">
        <v>1146</v>
      </c>
      <c r="B573" s="1">
        <v>5722</v>
      </c>
      <c r="C573" s="3">
        <v>44432.565335648149</v>
      </c>
      <c r="D573" s="1" t="s">
        <v>1147</v>
      </c>
      <c r="E573" s="4" t="str">
        <f ca="1">IFERROR(__xludf.DUMMYFUNCTION("GOOGLETRANSLATE(A573 , ""tr"" , ""en"")"),"Three of all four of the 18 years and older had at least 1 dose of overdose. Your 75% of our first dose of the first dose is clear: ""Don't postpone. We all have to provide the same together in the vaccine. Have an epidemic in front of us. """)</f>
        <v>Three of all four of the 18 years and older had at least 1 dose of overdose. Your 75% of our first dose of the first dose is clear: "Don't postpone. We all have to provide the same together in the vaccine. Have an epidemic in front of us. "</v>
      </c>
    </row>
    <row r="574" spans="1:5" ht="15.75" customHeight="1" x14ac:dyDescent="0.25">
      <c r="A574" s="1" t="s">
        <v>1148</v>
      </c>
      <c r="B574" s="1">
        <v>7252</v>
      </c>
      <c r="C574" s="3">
        <v>44432.501539351855</v>
      </c>
      <c r="D574" s="1" t="s">
        <v>1149</v>
      </c>
      <c r="E574" s="4" t="str">
        <f ca="1">IFERROR(__xludf.DUMMYFUNCTION("GOOGLETRANSLATE(A574 , ""tr"" , ""en"")"),"Millions of thanks to those who have their vaccinations. We passed a total of 90 million dose. When the postpone decides, the result cannot be expressed in numbers.")</f>
        <v>Millions of thanks to those who have their vaccinations. We passed a total of 90 million dose. When the postpone decides, the result cannot be expressed in numbers.</v>
      </c>
    </row>
    <row r="575" spans="1:5" ht="15.75" customHeight="1" x14ac:dyDescent="0.25">
      <c r="A575" s="1" t="s">
        <v>1150</v>
      </c>
      <c r="B575" s="1">
        <v>9676</v>
      </c>
      <c r="C575" s="3">
        <v>44432.483414351853</v>
      </c>
      <c r="D575" s="1" t="s">
        <v>1151</v>
      </c>
      <c r="E575" s="4" t="str">
        <f ca="1">IFERROR(__xludf.DUMMYFUNCTION("GOOGLETRANSLATE(A575 , ""tr"" , ""en"")"),"September 6 message to fathers. 15.5 million people have not yet built the first dose Covid-19 vaccine. The first doses are completed in 10 days. Help us by explaining the importance of vaccine to your surroundings. Schools open on September 6th. Those wh"&amp;"o are caught in the disease are on their children.")</f>
        <v>September 6 message to fathers. 15.5 million people have not yet built the first dose Covid-19 vaccine. The first doses are completed in 10 days. Help us by explaining the importance of vaccine to your surroundings. Schools open on September 6th. Those who are caught in the disease are on their children.</v>
      </c>
    </row>
    <row r="576" spans="1:5" ht="15.75" customHeight="1" x14ac:dyDescent="0.25">
      <c r="A576" s="1" t="s">
        <v>1152</v>
      </c>
      <c r="B576" s="1">
        <v>5791</v>
      </c>
      <c r="C576" s="3">
        <v>44432.482743055552</v>
      </c>
      <c r="D576" s="1" t="s">
        <v>1153</v>
      </c>
      <c r="E576" s="4" t="str">
        <f ca="1">IFERROR(__xludf.DUMMYFUNCTION("GOOGLETRANSLATE(A576 , ""tr"" , ""en"")"),"September 6 message to mothers. 15.5 million people have not yet built the first dose Covid-19 vaccine. The first doses are completed in 10 days. Help us by explaining the importance of vaccine to your surroundings. Schools open on September 6th. Those wh"&amp;"o are caught in the disease are on their children.")</f>
        <v>September 6 message to mothers. 15.5 million people have not yet built the first dose Covid-19 vaccine. The first doses are completed in 10 days. Help us by explaining the importance of vaccine to your surroundings. Schools open on September 6th. Those who are caught in the disease are on their children.</v>
      </c>
    </row>
    <row r="577" spans="1:5" ht="15.75" customHeight="1" x14ac:dyDescent="0.25">
      <c r="A577" s="1" t="s">
        <v>1154</v>
      </c>
      <c r="B577" s="1">
        <v>5162</v>
      </c>
      <c r="C577" s="3">
        <v>44431.805034722223</v>
      </c>
      <c r="D577" s="1" t="s">
        <v>1155</v>
      </c>
      <c r="E577" s="4" t="str">
        <f ca="1">IFERROR(__xludf.DUMMYFUNCTION("GOOGLETRANSLATE(A577 , ""tr"" , ""en"")"),"Alparslan Bey tells us the story of a vaccine lazy. https://t.co/dug7aqpq2v")</f>
        <v>Alparslan Bey tells us the story of a vaccine lazy. https://t.co/dug7aqpq2v</v>
      </c>
    </row>
    <row r="578" spans="1:5" ht="15.75" customHeight="1" x14ac:dyDescent="0.25">
      <c r="A578" s="1" t="s">
        <v>1156</v>
      </c>
      <c r="B578" s="1">
        <v>4903</v>
      </c>
      <c r="C578" s="3">
        <v>44431.72960648148</v>
      </c>
      <c r="D578" s="1" t="s">
        <v>1157</v>
      </c>
      <c r="E578" s="4" t="str">
        <f ca="1">IFERROR(__xludf.DUMMYFUNCTION("GOOGLETRANSLATE(A578 , ""tr"" , ""en"")"),"Rize replaced between low risk provinces. The ratio of the epidemic against the disease and the rate of being the first overdose is over 75%. The new color on the map is blue. Our number of low-risk provinces 37. Low risk level depends on a decision.")</f>
        <v>Rize replaced between low risk provinces. The ratio of the epidemic against the disease and the rate of being the first overdose is over 75%. The new color on the map is blue. Our number of low-risk provinces 37. Low risk level depends on a decision.</v>
      </c>
    </row>
    <row r="579" spans="1:5" ht="15.75" customHeight="1" x14ac:dyDescent="0.25">
      <c r="A579" s="1" t="s">
        <v>1158</v>
      </c>
      <c r="B579" s="1">
        <v>9882</v>
      </c>
      <c r="C579" s="3">
        <v>44431.700810185182</v>
      </c>
      <c r="D579" s="1" t="s">
        <v>1159</v>
      </c>
      <c r="E579" s="4" t="str">
        <f ca="1">IFERROR(__xludf.DUMMYFUNCTION("GOOGLETRANSLATE(A579 , ""tr"" , ""en"")"),"Sharan voided the vaccine in the vaccine, expressed important veriments that a single information is leaving the other words. Dear Gökbakar did not necessarily vaccinate the state tourism sector employees. We should not say that the teachers should be obl"&amp;"igatory if they are obliged to them.")</f>
        <v>Sharan voided the vaccine in the vaccine, expressed important veriments that a single information is leaving the other words. Dear Gökbakar did not necessarily vaccinate the state tourism sector employees. We should not say that the teachers should be obligatory if they are obliged to them.</v>
      </c>
    </row>
    <row r="580" spans="1:5" ht="15.75" customHeight="1" x14ac:dyDescent="0.25">
      <c r="A580" s="1" t="s">
        <v>1160</v>
      </c>
      <c r="B580" s="1">
        <v>4771</v>
      </c>
      <c r="C580" s="3">
        <v>44431.680648148147</v>
      </c>
      <c r="D580" s="1" t="s">
        <v>1161</v>
      </c>
      <c r="E580" s="4" t="str">
        <f ca="1">IFERROR(__xludf.DUMMYFUNCTION("GOOGLETRANSLATE(A580 , ""tr"" , ""en"")"),"Our losses are on the level of craving. We will also protect their loved ones that will stop this course. It's enough to be cautious and vaccinated. https://t.co/rvlhe7786o https://t.co/cuwnauykf9")</f>
        <v>Our losses are on the level of craving. We will also protect their loved ones that will stop this course. It's enough to be cautious and vaccinated. https://t.co/rvlhe7786o https://t.co/cuwnauykf9</v>
      </c>
    </row>
    <row r="581" spans="1:5" ht="15.75" customHeight="1" x14ac:dyDescent="0.25">
      <c r="A581" s="1" t="s">
        <v>1162</v>
      </c>
      <c r="B581" s="1">
        <v>6524</v>
      </c>
      <c r="C581" s="3">
        <v>44431.657997685186</v>
      </c>
      <c r="D581" s="1" t="s">
        <v>1163</v>
      </c>
      <c r="E581" s="4" t="str">
        <f ca="1">IFERROR(__xludf.DUMMYFUNCTION("GOOGLETRANSLATE(A581 , ""tr"" , ""en"")"),"The longest challenge of history started 100 years ago today. With the victory in September 13, 1921, our army agreed that a new Turkish state was established to the whole world. Sakarya Challenge War Condominant Gazi Mustafa Kemal Atatürk and all the wea"&amp;"pons are respectfully, we are self-mentioned. https://t.co/qwgn94vlsq")</f>
        <v>The longest challenge of history started 100 years ago today. With the victory in September 13, 1921, our army agreed that a new Turkish state was established to the whole world. Sakarya Challenge War Condominant Gazi Mustafa Kemal Atatürk and all the weapons are respectfully, we are self-mentioned. https://t.co/qwgn94vlsq</v>
      </c>
    </row>
    <row r="582" spans="1:5" ht="15.75" customHeight="1" x14ac:dyDescent="0.25">
      <c r="A582" s="1" t="s">
        <v>1164</v>
      </c>
      <c r="B582" s="1">
        <v>7643</v>
      </c>
      <c r="C582" s="3">
        <v>44431.564062500001</v>
      </c>
      <c r="D582" s="1" t="s">
        <v>1165</v>
      </c>
      <c r="E582" s="4" t="str">
        <f ca="1">IFERROR(__xludf.DUMMYFUNCTION("GOOGLETRANSLATE(A582 , ""tr"" , ""en"")"),"In Burdur State Hospital, 4 people have been detained in the violence in the violence experienced in the violence. We will be the uncompromising follower on behalf of our camiam to take penalties to take the penalties to which the attackers deserve.")</f>
        <v>In Burdur State Hospital, 4 people have been detained in the violence in the violence experienced in the violence. We will be the uncompromising follower on behalf of our camiam to take penalties to take the penalties to which the attackers deserve.</v>
      </c>
    </row>
    <row r="583" spans="1:5" ht="15.75" customHeight="1" x14ac:dyDescent="0.25">
      <c r="A583" s="1" t="s">
        <v>1166</v>
      </c>
      <c r="B583" s="1">
        <v>11172</v>
      </c>
      <c r="C583" s="3">
        <v>44431.293414351851</v>
      </c>
      <c r="D583" s="1" t="s">
        <v>1167</v>
      </c>
      <c r="E583" s="4" t="str">
        <f ca="1">IFERROR(__xludf.DUMMYFUNCTION("GOOGLETRANSLATE(A583 , ""tr"" , ""en"")"),"Preparing the DUMP report instead of taking care of the next patient? To go to the police center instead of listening to the patient complaint? Has no explanable as well. Society with us. We are the followers of justice. The following report came from our"&amp;" Provincial Health Directorate of Burdur. I offer the judiciary to 84 million. https://t.co/uhyg2tlm8f")</f>
        <v>Preparing the DUMP report instead of taking care of the next patient? To go to the police center instead of listening to the patient complaint? Has no explanable as well. Society with us. We are the followers of justice. The following report came from our Provincial Health Directorate of Burdur. I offer the judiciary to 84 million. https://t.co/uhyg2tlm8f</v>
      </c>
    </row>
    <row r="584" spans="1:5" ht="15.75" customHeight="1" x14ac:dyDescent="0.25">
      <c r="A584" s="1" t="s">
        <v>1168</v>
      </c>
      <c r="B584" s="1">
        <v>5742</v>
      </c>
      <c r="C584" s="3">
        <v>44430.766979166663</v>
      </c>
      <c r="D584" s="1" t="s">
        <v>1169</v>
      </c>
      <c r="E584" s="4" t="str">
        <f ca="1">IFERROR(__xludf.DUMMYFUNCTION("GOOGLETRANSLATE(A584 , ""tr"" , ""en"")"),"If the sound of the respirator will be uneasy, please follow the patient's warnings from the sub-post. https://t.co/cgzy8mzj1j")</f>
        <v>If the sound of the respirator will be uneasy, please follow the patient's warnings from the sub-post. https://t.co/cgzy8mzj1j</v>
      </c>
    </row>
    <row r="585" spans="1:5" ht="15.75" customHeight="1" x14ac:dyDescent="0.25">
      <c r="A585" s="1" t="s">
        <v>1170</v>
      </c>
      <c r="B585" s="1">
        <v>6198</v>
      </c>
      <c r="C585" s="3">
        <v>44430.731076388889</v>
      </c>
      <c r="D585" s="1" t="s">
        <v>1171</v>
      </c>
      <c r="E585" s="4" t="str">
        <f ca="1">IFERROR(__xludf.DUMMYFUNCTION("GOOGLETRANSLATE(A585 , ""tr"" , ""en"")"),"The decreases we expected in the number of cases of the weekend did not occur. This is in the warning that we should be more insistent in compliance with more careful and measures. Able to achieve vaccine. https://t.co/rvlhe7786o https://t.co/9dzıhv02ne")</f>
        <v>The decreases we expected in the number of cases of the weekend did not occur. This is in the warning that we should be more insistent in compliance with more careful and measures. Able to achieve vaccine. https://t.co/rvlhe7786o https://t.co/9dzıhv02ne</v>
      </c>
    </row>
    <row r="586" spans="1:5" ht="15.75" customHeight="1" x14ac:dyDescent="0.25">
      <c r="A586" s="1" t="s">
        <v>1172</v>
      </c>
      <c r="B586" s="1">
        <v>9301</v>
      </c>
      <c r="C586" s="3">
        <v>44429.762569444443</v>
      </c>
      <c r="D586" s="1" t="s">
        <v>1173</v>
      </c>
      <c r="E586" s="4" t="str">
        <f ca="1">IFERROR(__xludf.DUMMYFUNCTION("GOOGLETRANSLATE(A586 , ""tr"" , ""en"")"),"""We've been to those who say that the vaccine is caught in coronavirs. Maybe if I had been done, perhaps I was at my 14-day child right now. "" https://t.co/wme1rfbaoe")</f>
        <v>"We've been to those who say that the vaccine is caught in coronavirs. Maybe if I had been done, perhaps I was at my 14-day child right now. " https://t.co/wme1rfbaoe</v>
      </c>
    </row>
    <row r="587" spans="1:5" ht="15.75" customHeight="1" x14ac:dyDescent="0.25">
      <c r="A587" s="1" t="s">
        <v>1174</v>
      </c>
      <c r="B587" s="1">
        <v>6659</v>
      </c>
      <c r="C587" s="3">
        <v>44429.744409722225</v>
      </c>
      <c r="D587" s="1" t="s">
        <v>1175</v>
      </c>
      <c r="E587" s="4" t="str">
        <f ca="1">IFERROR(__xludf.DUMMYFUNCTION("GOOGLETRANSLATE(A587 , ""tr"" , ""en"")"),"A portion of the disease is severe or losing the disease. Unfortunately the number of high case numbers means high loss. If we make our vaccination, we go to the motion to end the epidemic. Let's get back to the re-fight with vaccination and measure.
http"&amp;"s://t.co/rvlhe7786o https://t.co/u5utvhhv2d")</f>
        <v>A portion of the disease is severe or losing the disease. Unfortunately the number of high case numbers means high loss. If we make our vaccination, we go to the motion to end the epidemic. Let's get back to the re-fight with vaccination and measure.
https://t.co/rvlhe7786o https://t.co/u5utvhhv2d</v>
      </c>
    </row>
    <row r="588" spans="1:5" ht="15.75" customHeight="1" x14ac:dyDescent="0.25">
      <c r="A588" s="1" t="s">
        <v>1176</v>
      </c>
      <c r="B588" s="1">
        <v>7195</v>
      </c>
      <c r="C588" s="3">
        <v>44428.761030092595</v>
      </c>
      <c r="D588" s="1" t="s">
        <v>1177</v>
      </c>
      <c r="E588" s="4" t="str">
        <f ca="1">IFERROR(__xludf.DUMMYFUNCTION("GOOGLETRANSLATE(A588 , ""tr"" , ""en"")"),"Diyarbakır, Mus and Bitlis 55% of 55% of 55% of 55% of 55% of 55% of 55%. Between Diyarbakir, Mus and Bitlis Orange Provinces.")</f>
        <v>Diyarbakır, Mus and Bitlis 55% of 55% of 55% of 55% of 55% of 55% of 55%. Between Diyarbakir, Mus and Bitlis Orange Provinces.</v>
      </c>
    </row>
    <row r="589" spans="1:5" ht="15.75" customHeight="1" x14ac:dyDescent="0.25">
      <c r="A589" s="1" t="s">
        <v>1178</v>
      </c>
      <c r="B589" s="1">
        <v>5266</v>
      </c>
      <c r="C589" s="3">
        <v>44428.758784722224</v>
      </c>
      <c r="D589" s="1" t="s">
        <v>1179</v>
      </c>
      <c r="E589" s="4" t="str">
        <f ca="1">IFERROR(__xludf.DUMMYFUNCTION("GOOGLETRANSLATE(A589 , ""tr"" , ""en"")"),"Kastamonu and Kırşehir were replaced by low-risk provinces. The rates of the first dose vaccination against epidemic disease are over 75%. Our two cities on the map are more blue. Our low-risk provincial count increased to 36.")</f>
        <v>Kastamonu and Kırşehir were replaced by low-risk provinces. The rates of the first dose vaccination against epidemic disease are over 75%. Our two cities on the map are more blue. Our low-risk provincial count increased to 36.</v>
      </c>
    </row>
    <row r="590" spans="1:5" ht="15.75" customHeight="1" x14ac:dyDescent="0.25">
      <c r="A590" s="1" t="s">
        <v>1180</v>
      </c>
      <c r="B590" s="1">
        <v>6826</v>
      </c>
      <c r="C590" s="3">
        <v>44428.680613425924</v>
      </c>
      <c r="D590" s="1" t="s">
        <v>1181</v>
      </c>
      <c r="E590" s="4" t="str">
        <f ca="1">IFERROR(__xludf.DUMMYFUNCTION("GOOGLETRANSLATE(A590 , ""tr"" , ""en"")"),"We have losses. The epidemic disease is separated by our loved ones. We must be careful and cautious. We will achieve vaccine. https://t.co/rvlhe7786o https://t.co/a2eoumgfag")</f>
        <v>We have losses. The epidemic disease is separated by our loved ones. We must be careful and cautious. We will achieve vaccine. https://t.co/rvlhe7786o https://t.co/a2eoumgfag</v>
      </c>
    </row>
    <row r="591" spans="1:5" ht="15.75" customHeight="1" x14ac:dyDescent="0.25">
      <c r="A591" s="1" t="s">
        <v>1182</v>
      </c>
      <c r="B591" s="1">
        <v>4514</v>
      </c>
      <c r="C591" s="3">
        <v>44427.805231481485</v>
      </c>
      <c r="D591" s="1" t="s">
        <v>1183</v>
      </c>
      <c r="E591" s="4" t="str">
        <f ca="1">IFERROR(__xludf.DUMMYFUNCTION("GOOGLETRANSLATE(A591 , ""tr"" , ""en"")"),"We are in the house of Bahiye Yildirim living in the village of Kestanelik in Sinop's Ayancık district. Due to the hip replacement, the general examination of our patient needs to be maintained. Behiye will get health care at aunty house. If we have noted"&amp;" the news, no one is headed with the chief. https://t.co/mptqriylnz")</f>
        <v>We are in the house of Bahiye Yildirim living in the village of Kestanelik in Sinop's Ayancık district. Due to the hip replacement, the general examination of our patient needs to be maintained. Behiye will get health care at aunty house. If we have noted the news, no one is headed with the chief. https://t.co/mptqriylnz</v>
      </c>
    </row>
    <row r="592" spans="1:5" ht="15.75" customHeight="1" x14ac:dyDescent="0.25">
      <c r="A592" s="1" t="s">
        <v>1184</v>
      </c>
      <c r="B592" s="1">
        <v>5554</v>
      </c>
      <c r="C592" s="3">
        <v>44427.794108796297</v>
      </c>
      <c r="D592" s="1" t="s">
        <v>1185</v>
      </c>
      <c r="E592" s="4" t="str">
        <f ca="1">IFERROR(__xludf.DUMMYFUNCTION("GOOGLETRANSLATE(A592 , ""tr"" , ""en"")"),"In Kahramanmaras and Aksaray, the ratio of at least one dose of the population of 18 years and older is above 65%. The color of these provinces on Covid-19 risk map is yellow instead of orange.")</f>
        <v>In Kahramanmaras and Aksaray, the ratio of at least one dose of the population of 18 years and older is above 65%. The color of these provinces on Covid-19 risk map is yellow instead of orange.</v>
      </c>
    </row>
    <row r="593" spans="1:5" ht="15.75" customHeight="1" x14ac:dyDescent="0.25">
      <c r="A593" s="1" t="s">
        <v>1186</v>
      </c>
      <c r="B593" s="1">
        <v>9619</v>
      </c>
      <c r="C593" s="3">
        <v>44427.782407407409</v>
      </c>
      <c r="D593" s="1" t="s">
        <v>1187</v>
      </c>
      <c r="E593" s="4" t="str">
        <f ca="1">IFERROR(__xludf.DUMMYFUNCTION("GOOGLETRANSLATE(A593 , ""tr"" , ""en"")"),"Samsun has been replaced between low-risk provinces. The rates of the first dose vaccination against epidemic disease are over 75%. Our city on the map is more blue. Our low-risk provincial count increased to 34.")</f>
        <v>Samsun has been replaced between low-risk provinces. The rates of the first dose vaccination against epidemic disease are over 75%. Our city on the map is more blue. Our low-risk provincial count increased to 34.</v>
      </c>
    </row>
    <row r="594" spans="1:5" ht="15.75" customHeight="1" x14ac:dyDescent="0.25">
      <c r="A594" s="1" t="s">
        <v>1188</v>
      </c>
      <c r="B594" s="1">
        <v>5321</v>
      </c>
      <c r="C594" s="3">
        <v>44427.754317129627</v>
      </c>
      <c r="D594" s="1" t="s">
        <v>1189</v>
      </c>
      <c r="E594" s="4" t="str">
        <f ca="1">IFERROR(__xludf.DUMMYFUNCTION("GOOGLETRANSLATE(A594 , ""tr"" , ""en"")"),"The number of cases is not sufficient to remain below 20 thousand. We have to reach rapidly lower case numbers. The mask is fully compliance with the distance and cleaning rules. https://t.co/rvlhe7786o https://t.co/yhcelwklmc")</f>
        <v>The number of cases is not sufficient to remain below 20 thousand. We have to reach rapidly lower case numbers. The mask is fully compliance with the distance and cleaning rules. https://t.co/rvlhe7786o https://t.co/yhcelwklmc</v>
      </c>
    </row>
    <row r="595" spans="1:5" ht="15.75" customHeight="1" x14ac:dyDescent="0.25">
      <c r="A595" s="1" t="s">
        <v>1190</v>
      </c>
      <c r="B595" s="1">
        <v>0</v>
      </c>
      <c r="C595" s="3">
        <v>44427.684548611112</v>
      </c>
      <c r="D595" s="1" t="s">
        <v>1191</v>
      </c>
      <c r="E595" s="4" t="str">
        <f ca="1">IFERROR(__xludf.DUMMYFUNCTION("GOOGLETRANSLATE(A595 , ""tr"" , ""en"")"),"RT @rterdogan: Shouting after Cabinet Meeting Nation https://t.co/kcdi5qzuuc")</f>
        <v>RT @rterdogan: Shouting after Cabinet Meeting Nation https://t.co/kcdi5qzuuc</v>
      </c>
    </row>
    <row r="596" spans="1:5" ht="15.75" customHeight="1" x14ac:dyDescent="0.25">
      <c r="A596" s="1" t="s">
        <v>1192</v>
      </c>
      <c r="B596" s="1">
        <v>2808</v>
      </c>
      <c r="C596" s="3">
        <v>44427.349340277775</v>
      </c>
      <c r="D596" s="1" t="s">
        <v>1193</v>
      </c>
      <c r="E596" s="4" t="str">
        <f ca="1">IFERROR(__xludf.DUMMYFUNCTION("GOOGLETRANSLATE(A596 , ""tr"" , ""en"")"),"The number of cases in a final week is the most increasing provinces; Batman, Bayburt, Aksaray, Gumushane and Ardahan. Complete compliance with measures until immune to the vaccine is required. Mask, distance and cleanliness. https://t.co/3rtefy2tlx")</f>
        <v>The number of cases in a final week is the most increasing provinces; Batman, Bayburt, Aksaray, Gumushane and Ardahan. Complete compliance with measures until immune to the vaccine is required. Mask, distance and cleanliness. https://t.co/3rtefy2tlx</v>
      </c>
    </row>
    <row r="597" spans="1:5" ht="15.75" customHeight="1" x14ac:dyDescent="0.25">
      <c r="A597" s="1" t="s">
        <v>1194</v>
      </c>
      <c r="B597" s="1">
        <v>4247</v>
      </c>
      <c r="C597" s="3">
        <v>44427.345729166664</v>
      </c>
      <c r="D597" s="1" t="s">
        <v>1195</v>
      </c>
      <c r="E597" s="4" t="str">
        <f ca="1">IFERROR(__xludf.DUMMYFUNCTION("GOOGLETRANSLATE(A597 , ""tr"" , ""en"")"),"In our provinces, you can see the current version of the incidence map that shows a total number of considers who correspond to 100,000 population. The last patient is not considered uncomfortable without recovery. Let's obey the rules of mask, distance a"&amp;"nd cleanliness. https://t.co/x7pzqctCIF")</f>
        <v>In our provinces, you can see the current version of the incidence map that shows a total number of considers who correspond to 100,000 population. The last patient is not considered uncomfortable without recovery. Let's obey the rules of mask, distance and cleanliness. https://t.co/x7pzqctCIF</v>
      </c>
    </row>
    <row r="598" spans="1:5" ht="15.75" customHeight="1" x14ac:dyDescent="0.25">
      <c r="A598" s="1" t="s">
        <v>1196</v>
      </c>
      <c r="B598" s="1">
        <v>2681</v>
      </c>
      <c r="C598" s="3">
        <v>44427.334976851853</v>
      </c>
      <c r="D598" s="1" t="s">
        <v>1197</v>
      </c>
      <c r="E598" s="4" t="str">
        <f ca="1">IFERROR(__xludf.DUMMYFUNCTION("GOOGLETRANSLATE(A598 , ""tr"" , ""en"")"),"Our Science Board prepared the work guide that includes the measures necessary for our schools to be confidently opened. https://t.co/jauto3mtbu")</f>
        <v>Our Science Board prepared the work guide that includes the measures necessary for our schools to be confidently opened. https://t.co/jauto3mtbu</v>
      </c>
    </row>
    <row r="599" spans="1:5" ht="15.75" customHeight="1" x14ac:dyDescent="0.25">
      <c r="A599" s="1" t="s">
        <v>1198</v>
      </c>
      <c r="B599" s="1">
        <v>3211</v>
      </c>
      <c r="C599" s="3">
        <v>44427.328402777777</v>
      </c>
      <c r="D599" s="1" t="s">
        <v>1199</v>
      </c>
      <c r="E599" s="4" t="str">
        <f ca="1">IFERROR(__xludf.DUMMYFUNCTION("GOOGLETRANSLATE(A599 , ""tr"" , ""en"")"),"We have moving with an unfoundless courage in the last days. https://t.co/lekfmstNIO")</f>
        <v>We have moving with an unfoundless courage in the last days. https://t.co/lekfmstNIO</v>
      </c>
    </row>
    <row r="600" spans="1:5" ht="15.75" customHeight="1" x14ac:dyDescent="0.25">
      <c r="A600" s="1" t="s">
        <v>1200</v>
      </c>
      <c r="B600" s="1">
        <v>5245</v>
      </c>
      <c r="C600" s="3">
        <v>44426.860983796294</v>
      </c>
      <c r="D600" s="1" t="s">
        <v>1201</v>
      </c>
      <c r="E600" s="4" t="str">
        <f ca="1">IFERROR(__xludf.DUMMYFUNCTION("GOOGLETRANSLATE(A600 , ""tr"" , ""en"")"),"Van, Yozgat and Erzurum The ratio of at least one dose of the population of 18 years and older is above 65%. The color of these provinces on Covid-19 risk map is yellow instead of orange.")</f>
        <v>Van, Yozgat and Erzurum The ratio of at least one dose of the population of 18 years and older is above 65%. The color of these provinces on Covid-19 risk map is yellow instead of orange.</v>
      </c>
    </row>
    <row r="601" spans="1:5" ht="15.75" customHeight="1" x14ac:dyDescent="0.25">
      <c r="A601" s="1" t="s">
        <v>1202</v>
      </c>
      <c r="B601" s="1">
        <v>4083</v>
      </c>
      <c r="C601" s="3">
        <v>44426.852094907408</v>
      </c>
      <c r="D601" s="1" t="s">
        <v>1203</v>
      </c>
      <c r="E601" s="4" t="str">
        <f ca="1">IFERROR(__xludf.DUMMYFUNCTION("GOOGLETRANSLATE(A601 , ""tr"" , ""en"")"),"Kilis and Zonguldak were replaced between low-risk provinces. The rates of the first dose vaccination against epidemic disease are over 75%. Our two cities on the map are more blue. Our low-risk provincial count increased to 33.")</f>
        <v>Kilis and Zonguldak were replaced between low-risk provinces. The rates of the first dose vaccination against epidemic disease are over 75%. Our two cities on the map are more blue. Our low-risk provincial count increased to 33.</v>
      </c>
    </row>
    <row r="602" spans="1:5" ht="15.75" customHeight="1" x14ac:dyDescent="0.25">
      <c r="A602" s="1" t="s">
        <v>1204</v>
      </c>
      <c r="B602" s="1">
        <v>12164</v>
      </c>
      <c r="C602" s="3">
        <v>44426.844027777777</v>
      </c>
      <c r="D602" s="1" t="s">
        <v>1205</v>
      </c>
      <c r="E602" s="4" t="str">
        <f ca="1">IFERROR(__xludf.DUMMYFUNCTION("GOOGLETRANSLATE(A602 , ""tr"" , ""en"")"),"Today is one of the most important days of unity, draw and fraternity. Aşure is the sweetest state of differences. We are on the 10th day of the Muharrem Moon. Get in ADURA Today's Blessed.")</f>
        <v>Today is one of the most important days of unity, draw and fraternity. Aşure is the sweetest state of differences. We are on the 10th day of the Muharrem Moon. Get in ADURA Today's Blessed.</v>
      </c>
    </row>
    <row r="603" spans="1:5" ht="15.75" customHeight="1" x14ac:dyDescent="0.25">
      <c r="A603" s="1" t="s">
        <v>1206</v>
      </c>
      <c r="B603" s="1">
        <v>2653</v>
      </c>
      <c r="C603" s="3">
        <v>44426.793796296297</v>
      </c>
      <c r="D603" s="1" t="s">
        <v>1207</v>
      </c>
      <c r="E603" s="4" t="str">
        <f ca="1">IFERROR(__xludf.DUMMYFUNCTION("GOOGLETRANSLATE(A603 , ""tr"" , ""en"")"),"People under 18 years of age to register for higher education institutions in our country can also request vaccine. https://t.co/johpimpd9o")</f>
        <v>People under 18 years of age to register for higher education institutions in our country can also request vaccine. https://t.co/johpimpd9o</v>
      </c>
    </row>
    <row r="604" spans="1:5" ht="15.75" customHeight="1" x14ac:dyDescent="0.25">
      <c r="A604" s="1" t="s">
        <v>1208</v>
      </c>
      <c r="B604" s="1">
        <v>2712</v>
      </c>
      <c r="C604" s="3">
        <v>44426.785439814812</v>
      </c>
      <c r="D604" s="1" t="s">
        <v>1209</v>
      </c>
      <c r="E604" s="4" t="str">
        <f ca="1">IFERROR(__xludf.DUMMYFUNCTION("GOOGLETRANSLATE(A604 , ""tr"" , ""en"")"),"The most important result for today is that if you have been two dose inactive vaccines 3. We need to upgrade our protection level by delaying the application without delaying the application. https://t.co/o77zcpcmji")</f>
        <v>The most important result for today is that if you have been two dose inactive vaccines 3. We need to upgrade our protection level by delaying the application without delaying the application. https://t.co/o77zcpcmji</v>
      </c>
    </row>
    <row r="605" spans="1:5" ht="15.75" customHeight="1" x14ac:dyDescent="0.25">
      <c r="A605" s="1" t="s">
        <v>1210</v>
      </c>
      <c r="B605" s="1">
        <v>4032</v>
      </c>
      <c r="C605" s="3">
        <v>44426.766886574071</v>
      </c>
      <c r="D605" s="1" t="s">
        <v>1211</v>
      </c>
      <c r="E605" s="4" t="str">
        <f ca="1">IFERROR(__xludf.DUMMYFUNCTION("GOOGLETRANSLATE(A605 , ""tr"" , ""en"")"),"3 Dose inactive vaccines with 2 dose of inactive vaccines and a dose of mRNA vaccine are protected by similar proportion. In addition, 3 dose of overdose people are better protected from two dose-vaccinated persons. https://t.co/lb340wyavx")</f>
        <v>3 Dose inactive vaccines with 2 dose of inactive vaccines and a dose of mRNA vaccine are protected by similar proportion. In addition, 3 dose of overdose people are better protected from two dose-vaccinated persons. https://t.co/lb340wyavx</v>
      </c>
    </row>
    <row r="606" spans="1:5" ht="15.75" customHeight="1" x14ac:dyDescent="0.25">
      <c r="A606" s="1" t="s">
        <v>1212</v>
      </c>
      <c r="B606" s="1">
        <v>2573</v>
      </c>
      <c r="C606" s="3">
        <v>44426.748252314814</v>
      </c>
      <c r="D606" s="1" t="s">
        <v>1213</v>
      </c>
      <c r="E606" s="4" t="str">
        <f ca="1">IFERROR(__xludf.DUMMYFUNCTION("GOOGLETRANSLATE(A606 , ""tr"" , ""en"")"),"We have to remove the epidemic disease from our agenda. However, by ignoring the disease, we cannot do by accepting the epidemic. https://t.co/bb28zqypp8")</f>
        <v>We have to remove the epidemic disease from our agenda. However, by ignoring the disease, we cannot do by accepting the epidemic. https://t.co/bb28zqypp8</v>
      </c>
    </row>
    <row r="607" spans="1:5" ht="15.75" customHeight="1" x14ac:dyDescent="0.25">
      <c r="A607" s="1" t="s">
        <v>1214</v>
      </c>
      <c r="B607" s="1">
        <v>5495</v>
      </c>
      <c r="C607" s="3">
        <v>44426.741585648146</v>
      </c>
      <c r="D607" s="1" t="s">
        <v>1215</v>
      </c>
      <c r="E607" s="4" t="str">
        <f ca="1">IFERROR(__xludf.DUMMYFUNCTION("GOOGLETRANSLATE(A607 , ""tr"" , ""en"")"),"As the rate of vaccination increases, the number of new cases will also decrease. Tomorrow will be safer than today. https://t.co/rvlhe7786o https://t.co/1hbwhzrdcd")</f>
        <v>As the rate of vaccination increases, the number of new cases will also decrease. Tomorrow will be safer than today. https://t.co/rvlhe7786o https://t.co/1hbwhzrdcd</v>
      </c>
    </row>
    <row r="608" spans="1:5" ht="15.75" customHeight="1" x14ac:dyDescent="0.25">
      <c r="A608" s="1" t="s">
        <v>1216</v>
      </c>
      <c r="B608" s="1">
        <v>2474</v>
      </c>
      <c r="C608" s="3">
        <v>44426.69740740741</v>
      </c>
      <c r="D608" s="1" t="s">
        <v>1217</v>
      </c>
      <c r="E608" s="4" t="str">
        <f ca="1">IFERROR(__xludf.DUMMYFUNCTION("GOOGLETRANSLATE(A608 , ""tr"" , ""en"")"),"Live: After our Science Board Meeting, our press statement:
https://t.co/aqebceybun")</f>
        <v>Live: After our Science Board Meeting, our press statement:
https://t.co/aqebceybun</v>
      </c>
    </row>
    <row r="609" spans="1:5" ht="15.75" customHeight="1" x14ac:dyDescent="0.25">
      <c r="A609" s="1" t="s">
        <v>1218</v>
      </c>
      <c r="B609" s="1">
        <v>5264</v>
      </c>
      <c r="C609" s="3">
        <v>44425.846736111111</v>
      </c>
      <c r="D609" s="1" t="s">
        <v>1219</v>
      </c>
      <c r="E609" s="4" t="str">
        <f ca="1">IFERROR(__xludf.DUMMYFUNCTION("GOOGLETRANSLATE(A609 , ""tr"" , ""en"")"),"Zeynep lady, get your head right.
Health workers for the alert are grateful to you. https://t.co/omb8tgzdfy")</f>
        <v>Zeynep lady, get your head right.
Health workers for the alert are grateful to you. https://t.co/omb8tgzdfy</v>
      </c>
    </row>
    <row r="610" spans="1:5" ht="15.75" customHeight="1" x14ac:dyDescent="0.25">
      <c r="A610" s="1" t="s">
        <v>1220</v>
      </c>
      <c r="B610" s="1">
        <v>5722</v>
      </c>
      <c r="C610" s="3">
        <v>44425.829780092594</v>
      </c>
      <c r="D610" s="1" t="s">
        <v>1221</v>
      </c>
      <c r="E610" s="4" t="str">
        <f ca="1">IFERROR(__xludf.DUMMYFUNCTION("GOOGLETRANSLATE(A610 , ""tr"" , ""en"")"),"The ratio of the Şırnak 18 years and over the population of the population is at least one dose of vaccines. Covid-19 on the risk map of this province is yellow instead of orange.")</f>
        <v>The ratio of the Şırnak 18 years and over the population of the population is at least one dose of vaccines. Covid-19 on the risk map of this province is yellow instead of orange.</v>
      </c>
    </row>
    <row r="611" spans="1:5" ht="15.75" customHeight="1" x14ac:dyDescent="0.25">
      <c r="A611" s="1" t="s">
        <v>1222</v>
      </c>
      <c r="B611" s="1">
        <v>4465</v>
      </c>
      <c r="C611" s="3">
        <v>44425.826921296299</v>
      </c>
      <c r="D611" s="1" t="s">
        <v>1223</v>
      </c>
      <c r="E611" s="4" t="str">
        <f ca="1">IFERROR(__xludf.DUMMYFUNCTION("GOOGLETRANSLATE(A611 , ""tr"" , ""en"")"),"Ardahan, Corum and Mersin was replaced by low-risk provinces. The rates of the first dose vaccination against epidemic disease are over 75%. Our three cities on the map are more blue. Our low-risk provincial count increased to 31.")</f>
        <v>Ardahan, Corum and Mersin was replaced by low-risk provinces. The rates of the first dose vaccination against epidemic disease are over 75%. Our three cities on the map are more blue. Our low-risk provincial count increased to 31.</v>
      </c>
    </row>
    <row r="612" spans="1:5" ht="15.75" customHeight="1" x14ac:dyDescent="0.25">
      <c r="A612" s="1" t="s">
        <v>1224</v>
      </c>
      <c r="B612" s="1">
        <v>12400</v>
      </c>
      <c r="C612" s="3">
        <v>44425.757013888891</v>
      </c>
      <c r="D612" s="1" t="s">
        <v>1225</v>
      </c>
      <c r="E612" s="4" t="str">
        <f ca="1">IFERROR(__xludf.DUMMYFUNCTION("GOOGLETRANSLATE(A612 , ""tr"" , ""en"")"),"A total of 85 million dose: Campus joy from the university screen, in case you rotate in place! We are ready to complete the first doses, missing vaccines quickly. You decide for the vaccination, give it the shoulder to achieve.")</f>
        <v>A total of 85 million dose: Campus joy from the university screen, in case you rotate in place! We are ready to complete the first doses, missing vaccines quickly. You decide for the vaccination, give it the shoulder to achieve.</v>
      </c>
    </row>
    <row r="613" spans="1:5" ht="15.75" customHeight="1" x14ac:dyDescent="0.25">
      <c r="A613" s="1" t="s">
        <v>1226</v>
      </c>
      <c r="B613" s="1">
        <v>4318</v>
      </c>
      <c r="C613" s="3">
        <v>44425.753981481481</v>
      </c>
      <c r="D613" s="1" t="s">
        <v>1227</v>
      </c>
      <c r="E613" s="4" t="str">
        <f ca="1">IFERROR(__xludf.DUMMYFUNCTION("GOOGLETRANSLATE(A613 , ""tr"" , ""en"")"),"A total of 85 million dose: We are hugs of the grandchildren and the love of the facts, friends have a comfortable guest! We are ready to complete the first doses, missing vaccines quickly. You decide for the vaccination, give it the shoulder to achieve.")</f>
        <v>A total of 85 million dose: We are hugs of the grandchildren and the love of the facts, friends have a comfortable guest! We are ready to complete the first doses, missing vaccines quickly. You decide for the vaccination, give it the shoulder to achieve.</v>
      </c>
    </row>
    <row r="614" spans="1:5" ht="15.75" customHeight="1" x14ac:dyDescent="0.25">
      <c r="A614" s="1" t="s">
        <v>1228</v>
      </c>
      <c r="B614" s="1">
        <v>5178</v>
      </c>
      <c r="C614" s="3">
        <v>44425.750358796293</v>
      </c>
      <c r="D614" s="1" t="s">
        <v>1229</v>
      </c>
      <c r="E614" s="4" t="str">
        <f ca="1">IFERROR(__xludf.DUMMYFUNCTION("GOOGLETRANSLATE(A614 , ""tr"" , ""en"")"),"Total 85 million dose: Turkey's work to disrupt the power of work, in case you give the right of life on the street! We are ready to complete the first doses, missing vaccines quickly. You decide for the vaccination, give it the shoulder to achieve.")</f>
        <v>Total 85 million dose: Turkey's work to disrupt the power of work, in case you give the right of life on the street! We are ready to complete the first doses, missing vaccines quickly. You decide for the vaccination, give it the shoulder to achieve.</v>
      </c>
    </row>
    <row r="615" spans="1:5" ht="15.75" customHeight="1" x14ac:dyDescent="0.25">
      <c r="A615" s="1" t="s">
        <v>1230</v>
      </c>
      <c r="B615" s="1">
        <v>2555</v>
      </c>
      <c r="C615" s="3">
        <v>44425.73101851852</v>
      </c>
      <c r="D615" s="1" t="s">
        <v>1231</v>
      </c>
      <c r="E615" s="4" t="str">
        <f ca="1">IFERROR(__xludf.DUMMYFUNCTION("GOOGLETRANSLATE(A615 , ""tr"" , ""en"")"),"In the flood disaster in Kastamonu, the victim of the victim in the villages, the national medical rescue teams of Umke national medical recovery teams who need a patient and medicine. https://t.co/vbdzwlwhvr")</f>
        <v>In the flood disaster in Kastamonu, the victim of the victim in the villages, the national medical rescue teams of Umke national medical recovery teams who need a patient and medicine. https://t.co/vbdzwlwhvr</v>
      </c>
    </row>
    <row r="616" spans="1:5" ht="15.75" customHeight="1" x14ac:dyDescent="0.25">
      <c r="A616" s="1" t="s">
        <v>1232</v>
      </c>
      <c r="B616" s="1">
        <v>4792</v>
      </c>
      <c r="C616" s="3">
        <v>44425.682881944442</v>
      </c>
      <c r="D616" s="1" t="s">
        <v>1233</v>
      </c>
      <c r="E616" s="4" t="str">
        <f ca="1">IFERROR(__xludf.DUMMYFUNCTION("GOOGLETRANSLATE(A616 , ""tr"" , ""en"")"),"We will not move in controlled, we will have losses until we do not comply with the measures. We have to be cautious and we should be immediately. https://t.co/rvlhe7786o https://t.co/msx0amqfb4")</f>
        <v>We will not move in controlled, we will have losses until we do not comply with the measures. We have to be cautious and we should be immediately. https://t.co/rvlhe7786o https://t.co/msx0amqfb4</v>
      </c>
    </row>
    <row r="617" spans="1:5" ht="15.75" customHeight="1" x14ac:dyDescent="0.25">
      <c r="A617" s="1" t="s">
        <v>1234</v>
      </c>
      <c r="B617" s="1">
        <v>10465</v>
      </c>
      <c r="C617" s="3">
        <v>44425.638877314814</v>
      </c>
      <c r="D617" s="1" t="s">
        <v>1235</v>
      </c>
      <c r="E617" s="4" t="str">
        <f ca="1">IFERROR(__xludf.DUMMYFUNCTION("GOOGLETRANSLATE(A617 , ""tr"" , ""en"")"),"Total 85 million dose! The sum of the first, second and third dose Covid-19 vaccines reached 85 million. We are ready to make all the remaining vaccines. Those who postpone being vaccinated, please give the shoulder to achieve together")</f>
        <v>Total 85 million dose! The sum of the first, second and third dose Covid-19 vaccines reached 85 million. We are ready to make all the remaining vaccines. Those who postpone being vaccinated, please give the shoulder to achieve together</v>
      </c>
    </row>
    <row r="618" spans="1:5" ht="15.75" customHeight="1" x14ac:dyDescent="0.25">
      <c r="A618" s="1" t="s">
        <v>1236</v>
      </c>
      <c r="B618" s="1">
        <v>6200</v>
      </c>
      <c r="C618" s="3">
        <v>44425.42695601852</v>
      </c>
      <c r="D618" s="1" t="s">
        <v>1237</v>
      </c>
      <c r="E618" s="4" t="str">
        <f ca="1">IFERROR(__xludf.DUMMYFUNCTION("GOOGLETRANSLATE(A618 , ""tr"" , ""en"")"),"1939 We are on the 22nd anniversary of the 1999 Marmara earthquake, which is the greatest disaster we live after Erzincan Earthquake. We remember our 18,373 people who lost your life once again. He shields against destructions o The spirit of great solida"&amp;"rity is never figured out of these lands.")</f>
        <v>1939 We are on the 22nd anniversary of the 1999 Marmara earthquake, which is the greatest disaster we live after Erzincan Earthquake. We remember our 18,373 people who lost your life once again. He shields against destructions o The spirit of great solidarity is never figured out of these lands.</v>
      </c>
    </row>
    <row r="619" spans="1:5" ht="15.75" customHeight="1" x14ac:dyDescent="0.25">
      <c r="A619" s="1" t="s">
        <v>1238</v>
      </c>
      <c r="B619" s="1">
        <v>6451</v>
      </c>
      <c r="C619" s="3">
        <v>44424.834085648145</v>
      </c>
      <c r="D619" s="1" t="s">
        <v>1239</v>
      </c>
      <c r="E619" s="4" t="str">
        <f ca="1">IFERROR(__xludf.DUMMYFUNCTION("GOOGLETRANSLATE(A619 , ""tr"" , ""en"")"),"Konya, Niğde and Gaziantep are at least one overdose of the population of 18 years of age and older. The color of these provinces on Covid-19 risk map is yellow instead of orange.")</f>
        <v>Konya, Niğde and Gaziantep are at least one overdose of the population of 18 years of age and older. The color of these provinces on Covid-19 risk map is yellow instead of orange.</v>
      </c>
    </row>
    <row r="620" spans="1:5" ht="15.75" customHeight="1" x14ac:dyDescent="0.25">
      <c r="A620" s="1" t="s">
        <v>1240</v>
      </c>
      <c r="B620" s="1">
        <v>6084</v>
      </c>
      <c r="C620" s="3">
        <v>44424.831782407404</v>
      </c>
      <c r="D620" s="1" t="s">
        <v>1241</v>
      </c>
      <c r="E620" s="4" t="str">
        <f ca="1">IFERROR(__xludf.DUMMYFUNCTION("GOOGLETRANSLATE(A620 , ""tr"" , ""en"")"),"The first dose of Batman over 55% reduced the level of risk to high risk level with the inoculation rate. Batman between orange provinces.")</f>
        <v>The first dose of Batman over 55% reduced the level of risk to high risk level with the inoculation rate. Batman between orange provinces.</v>
      </c>
    </row>
    <row r="621" spans="1:5" ht="15.75" customHeight="1" x14ac:dyDescent="0.25">
      <c r="A621" s="1" t="s">
        <v>1242</v>
      </c>
      <c r="B621" s="1">
        <v>5200</v>
      </c>
      <c r="C621" s="3">
        <v>44424.81858796296</v>
      </c>
      <c r="D621" s="1" t="s">
        <v>1243</v>
      </c>
      <c r="E621" s="4" t="str">
        <f ca="1">IFERROR(__xludf.DUMMYFUNCTION("GOOGLETRANSLATE(A621 , ""tr"" , ""en"")"),"Sinop and Osmaniye were replaced by low-risk provinces. The rates of the first dose vaccination against epidemic disease are over 75%. Our two cities on the map are more blue. Our low-risk provincial count increased to 28.")</f>
        <v>Sinop and Osmaniye were replaced by low-risk provinces. The rates of the first dose vaccination against epidemic disease are over 75%. Our two cities on the map are more blue. Our low-risk provincial count increased to 28.</v>
      </c>
    </row>
    <row r="622" spans="1:5" ht="15.75" customHeight="1" x14ac:dyDescent="0.25">
      <c r="A622" s="1" t="s">
        <v>1244</v>
      </c>
      <c r="B622" s="1">
        <v>2662</v>
      </c>
      <c r="C622" s="3">
        <v>44424.777997685182</v>
      </c>
      <c r="D622" s="1" t="s">
        <v>1245</v>
      </c>
      <c r="E622" s="4" t="str">
        <f ca="1">IFERROR(__xludf.DUMMYFUNCTION("GOOGLETRANSLATE(A622 , ""tr"" , ""en"")"),"In Kastamonu Bozkurt, the patients who are affected by the flooding in the district center and the district are taken into health screening, drug and medical material needs were also met. Treated to some people. The People of the village of Incesu are tho"&amp;"se passed by health screening. https://t.co/ybxplo4dds")</f>
        <v>In Kastamonu Bozkurt, the patients who are affected by the flooding in the district center and the district are taken into health screening, drug and medical material needs were also met. Treated to some people. The People of the village of Incesu are those passed by health screening. https://t.co/ybxplo4dds</v>
      </c>
    </row>
    <row r="623" spans="1:5" ht="15.75" customHeight="1" x14ac:dyDescent="0.25">
      <c r="A623" s="1" t="s">
        <v>1246</v>
      </c>
      <c r="B623" s="1">
        <v>2910</v>
      </c>
      <c r="C623" s="3">
        <v>44424.773831018516</v>
      </c>
      <c r="D623" s="1" t="s">
        <v>1247</v>
      </c>
      <c r="E623" s="4" t="str">
        <f ca="1">IFERROR(__xludf.DUMMYFUNCTION("GOOGLETRANSLATE(A623 , ""tr"" , ""en"")"),"We continue to emergency health services in the villages of Bozkurt, where the flood disaster is experienced. In the health screening of national medical rescue teams, primarily the examinations of our elderly in the health screening were met by the exami"&amp;"nation of our elderly. https://t.co/lsk3dlvk71")</f>
        <v>We continue to emergency health services in the villages of Bozkurt, where the flood disaster is experienced. In the health screening of national medical rescue teams, primarily the examinations of our elderly in the health screening were met by the examination of our elderly. https://t.co/lsk3dlvk71</v>
      </c>
    </row>
    <row r="624" spans="1:5" ht="15.75" customHeight="1" x14ac:dyDescent="0.25">
      <c r="A624" s="1" t="s">
        <v>1248</v>
      </c>
      <c r="B624" s="1">
        <v>6463</v>
      </c>
      <c r="C624" s="3">
        <v>44424.733634259261</v>
      </c>
      <c r="D624" s="1" t="s">
        <v>1249</v>
      </c>
      <c r="E624" s="4" t="str">
        <f ca="1">IFERROR(__xludf.DUMMYFUNCTION("GOOGLETRANSLATE(A624 , ""tr"" , ""en"")"),"If we want to check the number of cases of cases, we should be vaccine and we have to fitting the measures more tightly for a while. We have the opportunity to keep control. https://t.co/rvlhe7786o https://t.co/ihxv1xhoeo")</f>
        <v>If we want to check the number of cases of cases, we should be vaccine and we have to fitting the measures more tightly for a while. We have the opportunity to keep control. https://t.co/rvlhe7786o https://t.co/ihxv1xhoeo</v>
      </c>
    </row>
    <row r="625" spans="1:5" ht="15.75" customHeight="1" x14ac:dyDescent="0.25">
      <c r="A625" s="1" t="s">
        <v>1250</v>
      </c>
      <c r="B625" s="1">
        <v>4431</v>
      </c>
      <c r="C625" s="3">
        <v>44424.437858796293</v>
      </c>
      <c r="D625" s="1" t="s">
        <v>1251</v>
      </c>
      <c r="E625" s="4" t="str">
        <f ca="1">IFERROR(__xludf.DUMMYFUNCTION("GOOGLETRANSLATE(A625 , ""tr"" , ""en"")"),"Our 3 hero soldiers in Yıldırım-Claw Operate were Martyrs. We wish our martyrs mercy from Allah, the patience to our nation. https://t.co/IXGVKHWILK")</f>
        <v>Our 3 hero soldiers in Yıldırım-Claw Operate were Martyrs. We wish our martyrs mercy from Allah, the patience to our nation. https://t.co/IXGVKHWILK</v>
      </c>
    </row>
    <row r="626" spans="1:5" ht="15.75" customHeight="1" x14ac:dyDescent="0.25">
      <c r="A626" s="1" t="s">
        <v>1252</v>
      </c>
      <c r="B626" s="1">
        <v>6564</v>
      </c>
      <c r="C626" s="3">
        <v>44424.426180555558</v>
      </c>
      <c r="D626" s="1" t="s">
        <v>1253</v>
      </c>
      <c r="E626" s="4" t="str">
        <f ca="1">IFERROR(__xludf.DUMMYFUNCTION("GOOGLETRANSLATE(A626 , ""tr"" , ""en"")"),"As of today, 2 dose MRNA vaccines or 3 dose inactive vaccinated no one requires an additional dose of vaccines. Such a medical requirement is absolutely absolutely.")</f>
        <v>As of today, 2 dose MRNA vaccines or 3 dose inactive vaccinated no one requires an additional dose of vaccines. Such a medical requirement is absolutely absolutely.</v>
      </c>
    </row>
    <row r="627" spans="1:5" ht="15.75" customHeight="1" x14ac:dyDescent="0.25">
      <c r="A627" s="1" t="s">
        <v>1254</v>
      </c>
      <c r="B627" s="1">
        <v>9281</v>
      </c>
      <c r="C627" s="3">
        <v>44424.426180555558</v>
      </c>
      <c r="D627" s="1" t="s">
        <v>1255</v>
      </c>
      <c r="E627" s="4" t="str">
        <f ca="1">IFERROR(__xludf.DUMMYFUNCTION("GOOGLETRANSLATE(A627 , ""tr"" , ""en"")"),"Only certain vaccine types are accepted on the entrance to some countries. A special arrangement has been made for people who demand 2 dose mRNA vaccines to comply with the relevant country regulations. There is no additional vaccination requirements exce"&amp;"pt for demanding for special travel.")</f>
        <v>Only certain vaccine types are accepted on the entrance to some countries. A special arrangement has been made for people who demand 2 dose mRNA vaccines to comply with the relevant country regulations. There is no additional vaccination requirements except for demanding for special travel.</v>
      </c>
    </row>
    <row r="628" spans="1:5" ht="15.75" customHeight="1" x14ac:dyDescent="0.25">
      <c r="A628" s="1" t="s">
        <v>1256</v>
      </c>
      <c r="B628" s="1">
        <v>7341</v>
      </c>
      <c r="C628" s="3">
        <v>44423.691608796296</v>
      </c>
      <c r="D628" s="1" t="s">
        <v>1257</v>
      </c>
      <c r="E628" s="4" t="str">
        <f ca="1">IFERROR(__xludf.DUMMYFUNCTION("GOOGLETRANSLATE(A628 , ""tr"" , ""en"")"),"We have a permanent control in case numbers. We will achieve more measures and more with the rate of vaccination. https://t.co/rvlhe7786o https://t.co/lnc1j3fgtt")</f>
        <v>We have a permanent control in case numbers. We will achieve more measures and more with the rate of vaccination. https://t.co/rvlhe7786o https://t.co/lnc1j3fgtt</v>
      </c>
    </row>
    <row r="629" spans="1:5" ht="15.75" customHeight="1" x14ac:dyDescent="0.25">
      <c r="A629" s="1" t="s">
        <v>1258</v>
      </c>
      <c r="B629" s="1">
        <v>16682</v>
      </c>
      <c r="C629" s="3">
        <v>44423.576967592591</v>
      </c>
      <c r="D629" s="1" t="s">
        <v>1259</v>
      </c>
      <c r="E629" s="4" t="str">
        <f ca="1">IFERROR(__xludf.DUMMYFUNCTION("GOOGLETRANSLATE(A629 , ""tr"" , ""en"")"),"Let's be unity for health. Let's all have our first dose vaccines.")</f>
        <v>Let's be unity for health. Let's all have our first dose vaccines.</v>
      </c>
    </row>
    <row r="630" spans="1:5" ht="15.75" customHeight="1" x14ac:dyDescent="0.25">
      <c r="A630" s="1" t="s">
        <v>1260</v>
      </c>
      <c r="B630" s="1">
        <v>8286</v>
      </c>
      <c r="C630" s="3">
        <v>44423.570023148146</v>
      </c>
      <c r="D630" s="1" t="s">
        <v>1261</v>
      </c>
      <c r="E630" s="4" t="str">
        <f ca="1">IFERROR(__xludf.DUMMYFUNCTION("GOOGLETRANSLATE(A630 , ""tr"" , ""en"")"),"Did you look at the map today? 26 of our 81 blue is blue. In the population of 18 years of age or over, the ratio of the epidemic disease and the ratio of at least one dose of vaccines is over 75% in 26 provinces.")</f>
        <v>Did you look at the map today? 26 of our 81 blue is blue. In the population of 18 years of age or over, the ratio of the epidemic disease and the ratio of at least one dose of vaccines is over 75% in 26 provinces.</v>
      </c>
    </row>
    <row r="631" spans="1:5" ht="15.75" customHeight="1" x14ac:dyDescent="0.25">
      <c r="A631" s="1" t="s">
        <v>1262</v>
      </c>
      <c r="B631" s="1">
        <v>5206</v>
      </c>
      <c r="C631" s="3">
        <v>44422.868796296294</v>
      </c>
      <c r="D631" s="1" t="s">
        <v>1263</v>
      </c>
      <c r="E631" s="4" t="str">
        <f ca="1">IFERROR(__xludf.DUMMYFUNCTION("GOOGLETRANSLATE(A631 , ""tr"" , ""en"")"),"Bingöl has lowered very high risk levels to high risk level. The new color on the map is orange. Being the correct decision on the vaccine and to be one of the risk of risk, depends on getting information from our health care employees.")</f>
        <v>Bingöl has lowered very high risk levels to high risk level. The new color on the map is orange. Being the correct decision on the vaccine and to be one of the risk of risk, depends on getting information from our health care employees.</v>
      </c>
    </row>
    <row r="632" spans="1:5" ht="15.75" customHeight="1" x14ac:dyDescent="0.25">
      <c r="A632" s="1" t="s">
        <v>1264</v>
      </c>
      <c r="B632" s="1">
        <v>7547</v>
      </c>
      <c r="C632" s="3">
        <v>44422.865752314814</v>
      </c>
      <c r="D632" s="1" t="s">
        <v>1265</v>
      </c>
      <c r="E632" s="4" t="str">
        <f ca="1">IFERROR(__xludf.DUMMYFUNCTION("GOOGLETRANSLATE(A632 , ""tr"" , ""en"")"),"Bolu replaced between low-risk provinces. The ratio of the epidemic decision against the disease and the rate of first dose is over 75%. Our city on the map is more blue. Our low-risk provincial count increased to 26.")</f>
        <v>Bolu replaced between low-risk provinces. The ratio of the epidemic decision against the disease and the rate of first dose is over 75%. Our city on the map is more blue. Our low-risk provincial count increased to 26.</v>
      </c>
    </row>
    <row r="633" spans="1:5" ht="15.75" customHeight="1" x14ac:dyDescent="0.25">
      <c r="A633" s="1" t="s">
        <v>1266</v>
      </c>
      <c r="B633" s="1">
        <v>4707</v>
      </c>
      <c r="C633" s="3">
        <v>44422.841863425929</v>
      </c>
      <c r="D633" s="1" t="s">
        <v>1267</v>
      </c>
      <c r="E633" s="4" t="str">
        <f ca="1">IFERROR(__xludf.DUMMYFUNCTION("GOOGLETRANSLATE(A633 , ""tr"" , ""en"")"),"Kastamonu rescued the turtle to the ground floor in Bozkurt, realizing our friends and left the natural habitat. Flood disasters are displeasing with people in nature. Umke teams are in the region in the region. https://t.co/uysr45fdon")</f>
        <v>Kastamonu rescued the turtle to the ground floor in Bozkurt, realizing our friends and left the natural habitat. Flood disasters are displeasing with people in nature. Umke teams are in the region in the region. https://t.co/uysr45fdon</v>
      </c>
    </row>
    <row r="634" spans="1:5" ht="15.75" customHeight="1" x14ac:dyDescent="0.25">
      <c r="A634" s="1" t="s">
        <v>1268</v>
      </c>
      <c r="B634" s="1">
        <v>4238</v>
      </c>
      <c r="C634" s="3">
        <v>44422.805613425924</v>
      </c>
      <c r="D634" s="1" t="s">
        <v>1269</v>
      </c>
      <c r="E634" s="4" t="str">
        <f ca="1">IFERROR(__xludf.DUMMYFUNCTION("GOOGLETRANSLATE(A634 , ""tr"" , ""en"")"),"From the great names of Turkish medicine Dr. The Iron is awarded the Eversion. Istanbul Faculty of Medicine, who is teacher, has pioneered the generations in the field of eye medicine. I wish Iron Başar to the mercy, family and medical community from Alla"&amp;"h.")</f>
        <v>From the great names of Turkish medicine Dr. The Iron is awarded the Eversion. Istanbul Faculty of Medicine, who is teacher, has pioneered the generations in the field of eye medicine. I wish Iron Başar to the mercy, family and medical community from Allah.</v>
      </c>
    </row>
    <row r="635" spans="1:5" ht="15.75" customHeight="1" x14ac:dyDescent="0.25">
      <c r="A635" s="1" t="s">
        <v>1270</v>
      </c>
      <c r="B635" s="1">
        <v>6365</v>
      </c>
      <c r="C635" s="3">
        <v>44422.803310185183</v>
      </c>
      <c r="D635" s="1" t="s">
        <v>1271</v>
      </c>
      <c r="E635" s="4" t="str">
        <f ca="1">IFERROR(__xludf.DUMMYFUNCTION("GOOGLETRANSLATE(A635 , ""tr"" , ""en"")"),"From our teachers in Cerrahpaşa Faculty of Medicine; Expert Sciences in Infectious Diseases and Clinical Microbiology Prof. Dr. Yaşar has left our Baghdatlate. Lifetime continuing his work. I wish Baghdatli's condolences from Allah to the mercy, his famil"&amp;"y and medical community.")</f>
        <v>From our teachers in Cerrahpaşa Faculty of Medicine; Expert Sciences in Infectious Diseases and Clinical Microbiology Prof. Dr. Yaşar has left our Baghdatlate. Lifetime continuing his work. I wish Baghdatli's condolences from Allah to the mercy, his family and medical community.</v>
      </c>
    </row>
    <row r="636" spans="1:5" ht="15.75" customHeight="1" x14ac:dyDescent="0.25">
      <c r="A636" s="1" t="s">
        <v>1272</v>
      </c>
      <c r="B636" s="1">
        <v>6847</v>
      </c>
      <c r="C636" s="3">
        <v>44422.683240740742</v>
      </c>
      <c r="D636" s="1" t="s">
        <v>1273</v>
      </c>
      <c r="E636" s="4" t="str">
        <f ca="1">IFERROR(__xludf.DUMMYFUNCTION("GOOGLETRANSLATE(A636 , ""tr"" , ""en"")"),"We have to obtain high vaccination rate and meet the measures to control the increase in the number of cases. https://t.co/rvlhe7786o https://t.co/rbdm1fbw5v")</f>
        <v>We have to obtain high vaccination rate and meet the measures to control the increase in the number of cases. https://t.co/rvlhe7786o https://t.co/rbdm1fbw5v</v>
      </c>
    </row>
    <row r="637" spans="1:5" ht="15.75" customHeight="1" x14ac:dyDescent="0.25">
      <c r="A637" s="1" t="s">
        <v>1274</v>
      </c>
      <c r="B637" s="1">
        <v>7697</v>
      </c>
      <c r="C637" s="3">
        <v>44422.420937499999</v>
      </c>
      <c r="D637" s="1" t="s">
        <v>1275</v>
      </c>
      <c r="E637" s="4" t="str">
        <f ca="1">IFERROR(__xludf.DUMMYFUNCTION("GOOGLETRANSLATE(A637 , ""tr"" , ""en"")"),"August 13 in the vaccine: Yesterday 1 million 145 thousand 321 dose vaccines were applied. The number of first dose of overdose is 384.945. The number of second overdose is 602.251. The number of third overdose is 158.125. The number of those who do not h"&amp;"ave the first overdose yet landed 18.313.689.")</f>
        <v>August 13 in the vaccine: Yesterday 1 million 145 thousand 321 dose vaccines were applied. The number of first dose of overdose is 384.945. The number of second overdose is 602.251. The number of third overdose is 158.125. The number of those who do not have the first overdose yet landed 18.313.689.</v>
      </c>
    </row>
    <row r="638" spans="1:5" ht="15.75" customHeight="1" x14ac:dyDescent="0.25">
      <c r="A638" s="1" t="s">
        <v>1276</v>
      </c>
      <c r="B638" s="1">
        <v>4145</v>
      </c>
      <c r="C638" s="3">
        <v>44421.798888888887</v>
      </c>
      <c r="D638" s="1" t="s">
        <v>1277</v>
      </c>
      <c r="E638" s="4" t="str">
        <f ca="1">IFERROR(__xludf.DUMMYFUNCTION("GOOGLETRANSLATE(A638 , ""tr"" , ""en"")"),"Like dialysis patients, we transfer our patients who are connected to a specific program from the disaster area of ​​the treatment to our nearest hospitals. Our state hospital in Bozkurt County in Bozkurt County is re-service with all the staff. https://t"&amp;".co/nmax75yv2v")</f>
        <v>Like dialysis patients, we transfer our patients who are connected to a specific program from the disaster area of ​​the treatment to our nearest hospitals. Our state hospital in Bozkurt County in Bozkurt County is re-service with all the staff. https://t.co/nmax75yv2v</v>
      </c>
    </row>
    <row r="639" spans="1:5" ht="15.75" customHeight="1" x14ac:dyDescent="0.25">
      <c r="A639" s="1" t="s">
        <v>1278</v>
      </c>
      <c r="B639" s="1">
        <v>8162</v>
      </c>
      <c r="C639" s="3">
        <v>44421.793761574074</v>
      </c>
      <c r="D639" s="1" t="s">
        <v>1279</v>
      </c>
      <c r="E639" s="4" t="str">
        <f ca="1">IFERROR(__xludf.DUMMYFUNCTION("GOOGLETRANSLATE(A639 , ""tr"" , ""en"")"),"Kars reduced the high risk level with the rate of vaccination in the first dose. Yellow on the map right now. Turkey knows that Turkey is blue that will open Kars.")</f>
        <v>Kars reduced the high risk level with the rate of vaccination in the first dose. Yellow on the map right now. Turkey knows that Turkey is blue that will open Kars.</v>
      </c>
    </row>
    <row r="640" spans="1:5" ht="15.75" customHeight="1" x14ac:dyDescent="0.25">
      <c r="A640" s="1" t="s">
        <v>1280</v>
      </c>
      <c r="B640" s="1">
        <v>4781</v>
      </c>
      <c r="C640" s="3">
        <v>44421.788298611114</v>
      </c>
      <c r="D640" s="1" t="s">
        <v>1281</v>
      </c>
      <c r="E640" s="4" t="str">
        <f ca="1">IFERROR(__xludf.DUMMYFUNCTION("GOOGLETRANSLATE(A640 , ""tr"" , ""en"")"),"Artvin, Manisa, butler replaces between low risk provinces. The rates of the first dose vaccination against epidemic disease are over 75%. Our three cities on the map are more blue. Our number of low-risk provinces increased to 25.")</f>
        <v>Artvin, Manisa, butler replaces between low risk provinces. The rates of the first dose vaccination against epidemic disease are over 75%. Our three cities on the map are more blue. Our number of low-risk provinces increased to 25.</v>
      </c>
    </row>
    <row r="641" spans="1:5" ht="15.75" customHeight="1" x14ac:dyDescent="0.25">
      <c r="A641" s="1" t="s">
        <v>1282</v>
      </c>
      <c r="B641" s="1">
        <v>3661</v>
      </c>
      <c r="C641" s="3">
        <v>44421.763726851852</v>
      </c>
      <c r="D641" s="1" t="s">
        <v>1283</v>
      </c>
      <c r="E641" s="4" t="str">
        <f ca="1">IFERROR(__xludf.DUMMYFUNCTION("GOOGLETRANSLATE(A641 , ""tr"" , ""en"")"),"Last situation in floods experienced: We have 6 life loss in Sinop. 38 of 56 patients who are treated at Ayancık State Hospital have been transmitted to Sinop Atatürk State Hospital. 18 patients were transported to their homes. 27 Ambulance, 16 Umke, a to"&amp;"tal of 149 medical staff in the 19th Mobile Command tool.")</f>
        <v>Last situation in floods experienced: We have 6 life loss in Sinop. 38 of 56 patients who are treated at Ayancık State Hospital have been transmitted to Sinop Atatürk State Hospital. 18 patients were transported to their homes. 27 Ambulance, 16 Umke, a total of 149 medical staff in the 19th Mobile Command tool.</v>
      </c>
    </row>
    <row r="642" spans="1:5" ht="15.75" customHeight="1" x14ac:dyDescent="0.25">
      <c r="A642" s="1" t="s">
        <v>1284</v>
      </c>
      <c r="B642" s="1">
        <v>6168</v>
      </c>
      <c r="C642" s="3">
        <v>44421.759791666664</v>
      </c>
      <c r="D642" s="1" t="s">
        <v>1285</v>
      </c>
      <c r="E642" s="4" t="str">
        <f ca="1">IFERROR(__xludf.DUMMYFUNCTION("GOOGLETRANSLATE(A642 , ""tr"" , ""en"")"),"In the floods experienced Last Status: We have 32 life loss in Kastamonu. 228 people were affected by the flood. In our hospitals, the treatment of 12 people is continued. 32 ambulance, 24 umke cls, 1 set of tents, 1 hospital equipment and 1 unimog total "&amp;"215 medical staff with a total of 215 health personnel.")</f>
        <v>In the floods experienced Last Status: We have 32 life loss in Kastamonu. 228 people were affected by the flood. In our hospitals, the treatment of 12 people is continued. 32 ambulance, 24 umke cls, 1 set of tents, 1 hospital equipment and 1 unimog total 215 medical staff with a total of 215 health personnel.</v>
      </c>
    </row>
    <row r="643" spans="1:5" ht="15.75" customHeight="1" x14ac:dyDescent="0.25">
      <c r="A643" s="1" t="s">
        <v>1286</v>
      </c>
      <c r="B643" s="1">
        <v>5044</v>
      </c>
      <c r="C643" s="3">
        <v>44421.685798611114</v>
      </c>
      <c r="D643" s="1" t="s">
        <v>1287</v>
      </c>
      <c r="E643" s="4" t="str">
        <f ca="1">IFERROR(__xludf.DUMMYFUNCTION("GOOGLETRANSLATE(A643 , ""tr"" , ""en"")"),"The decrease in the number of cases is not at the level we want yet. We will be successful as they are more immune and complied with the measures. If we want to be safer tomorrow, let's be more prudent today. https://t.co/rvlhe7786o https://t.co/M4PJRLBEI"&amp;"8")</f>
        <v>The decrease in the number of cases is not at the level we want yet. We will be successful as they are more immune and complied with the measures. If we want to be safer tomorrow, let's be more prudent today. https://t.co/rvlhe7786o https://t.co/M4PJRLBEI8</v>
      </c>
    </row>
    <row r="644" spans="1:5" ht="15.75" customHeight="1" x14ac:dyDescent="0.25">
      <c r="A644" s="1" t="s">
        <v>1288</v>
      </c>
      <c r="B644" s="1">
        <v>6960</v>
      </c>
      <c r="C644" s="3">
        <v>44421.662812499999</v>
      </c>
      <c r="D644" s="1" t="s">
        <v>1289</v>
      </c>
      <c r="E644" s="4" t="str">
        <f ca="1">IFERROR(__xludf.DUMMYFUNCTION("GOOGLETRANSLATE(A644 , ""tr"" , ""en"")"),"Being a human, always by the person!
Thanks to the UMKEs that run into disaster areas. https://t.co/af5ngclunr")</f>
        <v>Being a human, always by the person!
Thanks to the UMKEs that run into disaster areas. https://t.co/af5ngclunr</v>
      </c>
    </row>
    <row r="645" spans="1:5" ht="15.75" customHeight="1" x14ac:dyDescent="0.25">
      <c r="A645" s="1" t="s">
        <v>1290</v>
      </c>
      <c r="B645" s="1">
        <v>5503</v>
      </c>
      <c r="C645" s="3">
        <v>44421.500798611109</v>
      </c>
      <c r="D645" s="1" t="s">
        <v>1291</v>
      </c>
      <c r="E645" s="4" t="str">
        <f ca="1">IFERROR(__xludf.DUMMYFUNCTION("GOOGLETRANSLATE(A645 , ""tr"" , ""en"")"),"We have successfully maintaining our vaccination program. On the other hand, on the other hand, on the other hand, congratulates our family physicians and family health that successfully follow our chronic patients. We will continue to support our family "&amp;"physicians with positive performance.")</f>
        <v>We have successfully maintaining our vaccination program. On the other hand, on the other hand, on the other hand, congratulates our family physicians and family health that successfully follow our chronic patients. We will continue to support our family physicians with positive performance.</v>
      </c>
    </row>
    <row r="646" spans="1:5" ht="15.75" customHeight="1" x14ac:dyDescent="0.25">
      <c r="A646" s="1" t="s">
        <v>1292</v>
      </c>
      <c r="B646" s="1">
        <v>13227</v>
      </c>
      <c r="C646" s="3">
        <v>44421.497974537036</v>
      </c>
      <c r="D646" s="1" t="s">
        <v>1293</v>
      </c>
      <c r="E646" s="4" t="str">
        <f ca="1">IFERROR(__xludf.DUMMYFUNCTION("GOOGLETRANSLATE(A646 , ""tr"" , ""en"")"),"The rate of 18 years of age or older, at least one dose of vaccines has passed 70%.")</f>
        <v>The rate of 18 years of age or older, at least one dose of vaccines has passed 70%.</v>
      </c>
    </row>
    <row r="647" spans="1:5" ht="15.75" customHeight="1" x14ac:dyDescent="0.25">
      <c r="A647" s="1" t="s">
        <v>1294</v>
      </c>
      <c r="B647" s="1">
        <v>3950</v>
      </c>
      <c r="C647" s="3">
        <v>44421.386192129627</v>
      </c>
      <c r="D647" s="1" t="s">
        <v>1295</v>
      </c>
      <c r="E647" s="4" t="str">
        <f ca="1">IFERROR(__xludf.DUMMYFUNCTION("GOOGLETRANSLATE(A647 , ""tr"" , ""en"")"),"Siirt and Iğdir has lowered the high risk level with the first dose inoculation over 55% to high risk level. Between siirt and Iğdir orange provinces.")</f>
        <v>Siirt and Iğdir has lowered the high risk level with the first dose inoculation over 55% to high risk level. Between siirt and Iğdir orange provinces.</v>
      </c>
    </row>
    <row r="648" spans="1:5" ht="15.75" customHeight="1" x14ac:dyDescent="0.25">
      <c r="A648" s="1" t="s">
        <v>1296</v>
      </c>
      <c r="B648" s="1">
        <v>8726</v>
      </c>
      <c r="C648" s="3">
        <v>44421.379212962966</v>
      </c>
      <c r="D648" s="1" t="s">
        <v>1297</v>
      </c>
      <c r="E648" s="4" t="str">
        <f ca="1">IFERROR(__xludf.DUMMYFUNCTION("GOOGLETRANSLATE(A648 , ""tr"" , ""en"")"),"Malatya The rate of being at least one dose of the population of 18 years of age or older appeared above 65%. Covid-19 on the risk map of this province is yellow instead of orange.")</f>
        <v>Malatya The rate of being at least one dose of the population of 18 years of age or older appeared above 65%. Covid-19 on the risk map of this province is yellow instead of orange.</v>
      </c>
    </row>
    <row r="649" spans="1:5" ht="15.75" customHeight="1" x14ac:dyDescent="0.25">
      <c r="A649" s="1" t="s">
        <v>1298</v>
      </c>
      <c r="B649" s="1">
        <v>5556</v>
      </c>
      <c r="C649" s="3">
        <v>44421.369155092594</v>
      </c>
      <c r="D649" s="1" t="s">
        <v>1299</v>
      </c>
      <c r="E649" s="4" t="str">
        <f ca="1">IFERROR(__xludf.DUMMYFUNCTION("GOOGLETRANSLATE(A649 , ""tr"" , ""en"")"),"Isparta, our new province of the blue category. The first dose of vaccination is over 75%. With this province, our low-risk provincial count increased to 22.")</f>
        <v>Isparta, our new province of the blue category. The first dose of vaccination is over 75%. With this province, our low-risk provincial count increased to 22.</v>
      </c>
    </row>
    <row r="650" spans="1:5" ht="15.75" customHeight="1" x14ac:dyDescent="0.25">
      <c r="A650" s="1" t="s">
        <v>1300</v>
      </c>
      <c r="B650" s="1">
        <v>5222</v>
      </c>
      <c r="C650" s="3">
        <v>44420.81145833333</v>
      </c>
      <c r="D650" s="1" t="s">
        <v>1301</v>
      </c>
      <c r="E650" s="4" t="str">
        <f ca="1">IFERROR(__xludf.DUMMYFUNCTION("GOOGLETRANSLATE(A650 , ""tr"" , ""en"")"),"Umke Teams and Emergency Health Services We are in the Western Black Sea provinces where there is a flood disaster last night. Mission consciousness and voluntary power overcoming disasters come. https://t.co/nbq2jv2q31")</f>
        <v>Umke Teams and Emergency Health Services We are in the Western Black Sea provinces where there is a flood disaster last night. Mission consciousness and voluntary power overcoming disasters come. https://t.co/nbq2jv2q31</v>
      </c>
    </row>
    <row r="651" spans="1:5" ht="15.75" customHeight="1" x14ac:dyDescent="0.25">
      <c r="A651" s="1" t="s">
        <v>1302</v>
      </c>
      <c r="B651" s="1">
        <v>5301</v>
      </c>
      <c r="C651" s="3">
        <v>44420.729733796295</v>
      </c>
      <c r="D651" s="1" t="s">
        <v>1303</v>
      </c>
      <c r="E651" s="4" t="str">
        <f ca="1">IFERROR(__xludf.DUMMYFUNCTION("GOOGLETRANSLATE(A651 , ""tr"" , ""en"")"),"In order to keep the course of the number of cases under control, the two great opportunities are measures and vaccines. We should continue to comply with the measures until you get immunity. Ending the epidemic with the vaccine. https://t.co/rvlhe7786o h"&amp;"ttps://t.co/jvga0ekIJV")</f>
        <v>In order to keep the course of the number of cases under control, the two great opportunities are measures and vaccines. We should continue to comply with the measures until you get immunity. Ending the epidemic with the vaccine. https://t.co/rvlhe7786o https://t.co/jvga0ekIJV</v>
      </c>
    </row>
    <row r="652" spans="1:5" ht="15.75" customHeight="1" x14ac:dyDescent="0.25">
      <c r="A652" s="1" t="s">
        <v>1304</v>
      </c>
      <c r="B652" s="1">
        <v>4391</v>
      </c>
      <c r="C652" s="3">
        <v>44420.725011574075</v>
      </c>
      <c r="D652" s="1" t="s">
        <v>1305</v>
      </c>
      <c r="E652" s="4" t="str">
        <f ca="1">IFERROR(__xludf.DUMMYFUNCTION("GOOGLETRANSLATE(A652 , ""tr"" , ""en"")"),"Today, the newly appointed to the Ministry of National Education Prof. Dr. I had a visit to Mahmut Özer in your visit to our visit. We will work hard to give great services together. I wish our teacher. https://t.co/rtbllj7cpu")</f>
        <v>Today, the newly appointed to the Ministry of National Education Prof. Dr. I had a visit to Mahmut Özer in your visit to our visit. We will work hard to give great services together. I wish our teacher. https://t.co/rtbllj7cpu</v>
      </c>
    </row>
    <row r="653" spans="1:5" ht="15.75" customHeight="1" x14ac:dyDescent="0.25">
      <c r="A653" s="1" t="s">
        <v>1306</v>
      </c>
      <c r="B653" s="1">
        <v>2340</v>
      </c>
      <c r="C653" s="3">
        <v>44420.721805555557</v>
      </c>
      <c r="D653" s="1" t="s">
        <v>1307</v>
      </c>
      <c r="E653" s="4" t="str">
        <f ca="1">IFERROR(__xludf.DUMMYFUNCTION("GOOGLETRANSLATE(A653 , ""tr"" , ""en"")"),"We have visited the Text to the President of the Court of Text, and we've visited the gentleman in the author. I wish our new President in his task. https://t.co/bqyuyz31lh")</f>
        <v>We have visited the Text to the President of the Court of Text, and we've visited the gentleman in the author. I wish our new President in his task. https://t.co/bqyuyz31lh</v>
      </c>
    </row>
    <row r="654" spans="1:5" ht="15.75" customHeight="1" x14ac:dyDescent="0.25">
      <c r="A654" s="1" t="s">
        <v>1308</v>
      </c>
      <c r="B654" s="1">
        <v>3383</v>
      </c>
      <c r="C654" s="3">
        <v>44420.716585648152</v>
      </c>
      <c r="D654" s="1" t="s">
        <v>1309</v>
      </c>
      <c r="E654" s="4" t="str">
        <f ca="1">IFERROR(__xludf.DUMMYFUNCTION("GOOGLETRANSLATE(A654 , ""tr"" , ""en"")"),"Assigned to President of Higher Education Council Dr. Erol Özvar I have visited our teacher in the office. I'm sure our teacher will offer great services to our higher education camiazes. I wish them self-opportunities and muvafufens. https://t.co/wrcgzzc"&amp;"ccb")</f>
        <v>Assigned to President of Higher Education Council Dr. Erol Özvar I have visited our teacher in the office. I'm sure our teacher will offer great services to our higher education camiazes. I wish them self-opportunities and muvafufens. https://t.co/wrcgzzcccb</v>
      </c>
    </row>
    <row r="655" spans="1:5" ht="15.75" customHeight="1" x14ac:dyDescent="0.25">
      <c r="A655" s="1" t="s">
        <v>1310</v>
      </c>
      <c r="B655" s="1">
        <v>2804</v>
      </c>
      <c r="C655" s="3">
        <v>44420.666388888887</v>
      </c>
      <c r="D655" s="1" t="s">
        <v>1311</v>
      </c>
      <c r="E655" s="4" t="str">
        <f ca="1">IFERROR(__xludf.DUMMYFUNCTION("GOOGLETRANSLATE(A655 , ""tr"" , ""en"")"),"Umke Teams and Emergency Health Services We are in the Western Black Sea provinces where there is a flood disaster last night. Mission consciousness and voluntary power overcoming disasters come. https://t.co/mmagxxaw0a")</f>
        <v>Umke Teams and Emergency Health Services We are in the Western Black Sea provinces where there is a flood disaster last night. Mission consciousness and voluntary power overcoming disasters come. https://t.co/mmagxxaw0a</v>
      </c>
    </row>
    <row r="656" spans="1:5" ht="15.75" customHeight="1" x14ac:dyDescent="0.25">
      <c r="A656" s="1" t="s">
        <v>1312</v>
      </c>
      <c r="B656" s="1">
        <v>2659</v>
      </c>
      <c r="C656" s="3">
        <v>44420.547048611108</v>
      </c>
      <c r="D656" s="1" t="s">
        <v>1313</v>
      </c>
      <c r="E656" s="4" t="str">
        <f ca="1">IFERROR(__xludf.DUMMYFUNCTION("GOOGLETRANSLATE(A656 , ""tr"" , ""en"")"),"The number of cases in a final week is the most increasing provinces; Rize, Batman, Diyarbakir, Artvin and Bingöl. The number of cases will fall as the number of at least two dose of overdoses increases. Make your vaccination without time. https://t.co/fd"&amp;"zhpbf2nm")</f>
        <v>The number of cases in a final week is the most increasing provinces; Rize, Batman, Diyarbakir, Artvin and Bingöl. The number of cases will fall as the number of at least two dose of overdoses increases. Make your vaccination without time. https://t.co/fdzhpbf2nm</v>
      </c>
    </row>
    <row r="657" spans="1:5" ht="15.75" customHeight="1" x14ac:dyDescent="0.25">
      <c r="A657" s="1" t="s">
        <v>1314</v>
      </c>
      <c r="B657" s="1">
        <v>3088</v>
      </c>
      <c r="C657" s="3">
        <v>44420.541944444441</v>
      </c>
      <c r="D657" s="1" t="s">
        <v>1315</v>
      </c>
      <c r="E657" s="4" t="str">
        <f ca="1">IFERROR(__xludf.DUMMYFUNCTION("GOOGLETRANSLATE(A657 , ""tr"" , ""en"")"),"In our provinces, you can see the current version of the incidence map that shows a total number of considers who correspond to 100,000 population. As the number of at least two dose vaccines increases, the case numbers will also fall. https://t.co/5xv1qa"&amp;"Iuynn")</f>
        <v>In our provinces, you can see the current version of the incidence map that shows a total number of considers who correspond to 100,000 population. As the number of at least two dose vaccines increases, the case numbers will also fall. https://t.co/5xv1qaIuynn</v>
      </c>
    </row>
    <row r="658" spans="1:5" ht="15.75" customHeight="1" x14ac:dyDescent="0.25">
      <c r="A658" s="1" t="s">
        <v>1316</v>
      </c>
      <c r="B658" s="1">
        <v>4864</v>
      </c>
      <c r="C658" s="3">
        <v>44420.536886574075</v>
      </c>
      <c r="D658" s="1" t="s">
        <v>1317</v>
      </c>
      <c r="E658" s="4" t="str">
        <f ca="1">IFERROR(__xludf.DUMMYFUNCTION("GOOGLETRANSLATE(A658 , ""tr"" , ""en"")"),"The pain lowered the high risk level to the high risk level with the first dose inoculation of 55%. Pain is between orange provinces.")</f>
        <v>The pain lowered the high risk level to the high risk level with the first dose inoculation of 55%. Pain is between orange provinces.</v>
      </c>
    </row>
    <row r="659" spans="1:5" ht="15.75" customHeight="1" x14ac:dyDescent="0.25">
      <c r="A659" s="1" t="s">
        <v>1318</v>
      </c>
      <c r="B659" s="1">
        <v>3738</v>
      </c>
      <c r="C659" s="3">
        <v>44420.53328703704</v>
      </c>
      <c r="D659" s="1" t="s">
        <v>1319</v>
      </c>
      <c r="E659" s="4" t="str">
        <f ca="1">IFERROR(__xludf.DUMMYFUNCTION("GOOGLETRANSLATE(A659 , ""tr"" , ""en"")"),"Bayburt has lowered the high risk level with the first dose inoculation of 55% to high risk level. Bayburt among the orange provinces.")</f>
        <v>Bayburt has lowered the high risk level with the first dose inoculation of 55% to high risk level. Bayburt among the orange provinces.</v>
      </c>
    </row>
    <row r="660" spans="1:5" ht="15.75" customHeight="1" x14ac:dyDescent="0.25">
      <c r="A660" s="1" t="s">
        <v>1320</v>
      </c>
      <c r="B660" s="1">
        <v>6901</v>
      </c>
      <c r="C660" s="3">
        <v>44420.530613425923</v>
      </c>
      <c r="D660" s="1" t="s">
        <v>1321</v>
      </c>
      <c r="E660" s="4" t="str">
        <f ca="1">IFERROR(__xludf.DUMMYFUNCTION("GOOGLETRANSLATE(A660 , ""tr"" , ""en"")"),"Antalya, Denizli, Tunceli and Giresun, our new provinces lasting in blue category. First dose of vaccination rates are over 75%. With these three provinces, the low-risk provincial count increased to 21.")</f>
        <v>Antalya, Denizli, Tunceli and Giresun, our new provinces lasting in blue category. First dose of vaccination rates are over 75%. With these three provinces, the low-risk provincial count increased to 21.</v>
      </c>
    </row>
    <row r="661" spans="1:5" ht="15.75" customHeight="1" x14ac:dyDescent="0.25">
      <c r="A661" s="1" t="s">
        <v>1322</v>
      </c>
      <c r="B661" s="1">
        <v>4038</v>
      </c>
      <c r="C661" s="3">
        <v>44420.527766203704</v>
      </c>
      <c r="D661" s="1" t="s">
        <v>1323</v>
      </c>
      <c r="E661" s="4" t="str">
        <f ca="1">IFERROR(__xludf.DUMMYFUNCTION("GOOGLETRANSLATE(A661 , ""tr"" , ""en"")"),"August 11: Yesterday 1 million 274 thousand 368 dose vaccines were applied. The number of the first dose of overdose is 385.519. The number of the second overdose is 698.312. The number of third overdose is 190.537. The number of those who do not have the"&amp;" first overdose yet landed in 19.070.186.")</f>
        <v>August 11: Yesterday 1 million 274 thousand 368 dose vaccines were applied. The number of the first dose of overdose is 385.519. The number of the second overdose is 698.312. The number of third overdose is 190.537. The number of those who do not have the first overdose yet landed in 19.070.186.</v>
      </c>
    </row>
    <row r="662" spans="1:5" ht="15.75" customHeight="1" x14ac:dyDescent="0.25">
      <c r="A662" s="1" t="s">
        <v>1324</v>
      </c>
      <c r="B662" s="1">
        <v>4238</v>
      </c>
      <c r="C662" s="3">
        <v>44419.900694444441</v>
      </c>
      <c r="D662" s="1" t="s">
        <v>1325</v>
      </c>
      <c r="E662" s="4" t="str">
        <f ca="1">IFERROR(__xludf.DUMMYFUNCTION("GOOGLETRANSLATE(A662 , ""tr"" , ""en"")"),"Our Science Board determined the applicable rules. We will share these studies with your Ministry of National Education and Consulting with our higher education board. Our relevant institutions will work in a complete coordination of our ministries and ex"&amp;"pect our students in schools. https://t.co/eawvf6hwlm")</f>
        <v>Our Science Board determined the applicable rules. We will share these studies with your Ministry of National Education and Consulting with our higher education board. Our relevant institutions will work in a complete coordination of our ministries and expect our students in schools. https://t.co/eawvf6hwlm</v>
      </c>
    </row>
    <row r="663" spans="1:5" ht="15.75" customHeight="1" x14ac:dyDescent="0.25">
      <c r="A663" s="1" t="s">
        <v>1326</v>
      </c>
      <c r="B663" s="1">
        <v>5254</v>
      </c>
      <c r="C663" s="3">
        <v>44419.752326388887</v>
      </c>
      <c r="D663" s="1" t="s">
        <v>1327</v>
      </c>
      <c r="E663" s="4" t="str">
        <f ca="1">IFERROR(__xludf.DUMMYFUNCTION("GOOGLETRANSLATE(A663 , ""tr"" , ""en"")"),"We have to reach our social immunity goal without opening our schools. https://t.co/paoo8emlr4")</f>
        <v>We have to reach our social immunity goal without opening our schools. https://t.co/paoo8emlr4</v>
      </c>
    </row>
    <row r="664" spans="1:5" ht="15.75" customHeight="1" x14ac:dyDescent="0.25">
      <c r="A664" s="1" t="s">
        <v>1328</v>
      </c>
      <c r="B664" s="1">
        <v>3149</v>
      </c>
      <c r="C664" s="3">
        <v>44419.748414351852</v>
      </c>
      <c r="D664" s="1" t="s">
        <v>1329</v>
      </c>
      <c r="E664" s="4" t="str">
        <f ca="1">IFERROR(__xludf.DUMMYFUNCTION("GOOGLETRANSLATE(A664 , ""tr"" , ""en"")"),"Our own vaccine is our own weapon, we shouldn't forget that. https://t.co/LC1LXUDZWI")</f>
        <v>Our own vaccine is our own weapon, we shouldn't forget that. https://t.co/LC1LXUDZWI</v>
      </c>
    </row>
    <row r="665" spans="1:5" ht="15.75" customHeight="1" x14ac:dyDescent="0.25">
      <c r="A665" s="1" t="s">
        <v>1330</v>
      </c>
      <c r="B665" s="1">
        <v>3191</v>
      </c>
      <c r="C665" s="3">
        <v>44419.744444444441</v>
      </c>
      <c r="D665" s="1" t="s">
        <v>1331</v>
      </c>
      <c r="E665" s="4" t="str">
        <f ca="1">IFERROR(__xludf.DUMMYFUNCTION("GOOGLETRANSLATE(A665 , ""tr"" , ""en"")"),"Our citizens with inactive vaccines are in our citizens with 3 dose inactive vaccines in our citizens. The closest level of protection is two dose inactive vaccines and 3. In our citizens with MRNA vaccination. https://t.co/e5vfkwxozb")</f>
        <v>Our citizens with inactive vaccines are in our citizens with 3 dose inactive vaccines in our citizens. The closest level of protection is two dose inactive vaccines and 3. In our citizens with MRNA vaccination. https://t.co/e5vfkwxozb</v>
      </c>
    </row>
    <row r="666" spans="1:5" ht="15.75" customHeight="1" x14ac:dyDescent="0.25">
      <c r="A666" s="1" t="s">
        <v>1332</v>
      </c>
      <c r="B666" s="1">
        <v>11613</v>
      </c>
      <c r="C666" s="3">
        <v>44419.73715277778</v>
      </c>
      <c r="D666" s="1" t="s">
        <v>1333</v>
      </c>
      <c r="E666" s="4" t="str">
        <f ca="1">IFERROR(__xludf.DUMMYFUNCTION("GOOGLETRANSLATE(A666 , ""tr"" , ""en"")"),"Our vaccine program was an encouragement and preference to date, no longer the continuation of education and business life is a social assignment that cannot be preferable for each of our citizens. https://t.co/zoa8so7bdi")</f>
        <v>Our vaccine program was an encouragement and preference to date, no longer the continuation of education and business life is a social assignment that cannot be preferable for each of our citizens. https://t.co/zoa8so7bdi</v>
      </c>
    </row>
    <row r="667" spans="1:5" ht="15.75" customHeight="1" x14ac:dyDescent="0.25">
      <c r="A667" s="1" t="s">
        <v>1334</v>
      </c>
      <c r="B667" s="1">
        <v>10604</v>
      </c>
      <c r="C667" s="3">
        <v>44419.73170138889</v>
      </c>
      <c r="D667" s="1" t="s">
        <v>1335</v>
      </c>
      <c r="E667" s="4" t="str">
        <f ca="1">IFERROR(__xludf.DUMMYFUNCTION("GOOGLETRANSLATE(A667 , ""tr"" , ""en"")"),"We give up face-to-face training is definitely impossible. All levels will provide face-to-face training, and practical trainings will continue uninterrupted. https://t.co/u5qmorlesu")</f>
        <v>We give up face-to-face training is definitely impossible. All levels will provide face-to-face training, and practical trainings will continue uninterrupted. https://t.co/u5qmorlesu</v>
      </c>
    </row>
    <row r="668" spans="1:5" ht="15.75" customHeight="1" x14ac:dyDescent="0.25">
      <c r="A668" s="1" t="s">
        <v>1336</v>
      </c>
      <c r="B668" s="1">
        <v>4505</v>
      </c>
      <c r="C668" s="3">
        <v>44419.727083333331</v>
      </c>
      <c r="D668" s="1" t="s">
        <v>1337</v>
      </c>
      <c r="E668" s="4" t="str">
        <f ca="1">IFERROR(__xludf.DUMMYFUNCTION("GOOGLETRANSLATE(A668 , ""tr"" , ""en"")"),"There is no longer vaccine. https://t.co/y47xmk0oa3")</f>
        <v>There is no longer vaccine. https://t.co/y47xmk0oa3</v>
      </c>
    </row>
    <row r="669" spans="1:5" ht="15.75" customHeight="1" x14ac:dyDescent="0.25">
      <c r="A669" s="1" t="s">
        <v>1338</v>
      </c>
      <c r="B669" s="1">
        <v>5758</v>
      </c>
      <c r="C669" s="3">
        <v>44419.720451388886</v>
      </c>
      <c r="D669" s="1" t="s">
        <v>1339</v>
      </c>
      <c r="E669" s="4" t="str">
        <f ca="1">IFERROR(__xludf.DUMMYFUNCTION("GOOGLETRANSLATE(A669 , ""tr"" , ""en"")"),"There is no longer vaccine. The control of increasing cases is possible. Should not commit to our time. Make your vaccine in a moment. https://t.co/rvlhe7786o https://t.co/qjlvhrkkp6")</f>
        <v>There is no longer vaccine. The control of increasing cases is possible. Should not commit to our time. Make your vaccine in a moment. https://t.co/rvlhe7786o https://t.co/qjlvhrkkp6</v>
      </c>
    </row>
    <row r="670" spans="1:5" ht="15.75" customHeight="1" x14ac:dyDescent="0.25">
      <c r="A670" s="1" t="s">
        <v>1340</v>
      </c>
      <c r="B670" s="1">
        <v>2549</v>
      </c>
      <c r="C670" s="3">
        <v>44419.699988425928</v>
      </c>
      <c r="D670" s="1" t="s">
        <v>1341</v>
      </c>
      <c r="E670" s="4" t="str">
        <f ca="1">IFERROR(__xludf.DUMMYFUNCTION("GOOGLETRANSLATE(A670 , ""tr"" , ""en"")"),"Live: After our Science Board Meeting, our press statement:
https://t.co/vtbugxt5nz")</f>
        <v>Live: After our Science Board Meeting, our press statement:
https://t.co/vtbugxt5nz</v>
      </c>
    </row>
    <row r="671" spans="1:5" ht="15.75" customHeight="1" x14ac:dyDescent="0.25">
      <c r="A671" s="1" t="s">
        <v>1342</v>
      </c>
      <c r="B671" s="1">
        <v>3524</v>
      </c>
      <c r="C671" s="3">
        <v>44419.526574074072</v>
      </c>
      <c r="D671" s="1" t="s">
        <v>1343</v>
      </c>
      <c r="E671" s="4" t="str">
        <f ca="1">IFERROR(__xludf.DUMMYFUNCTION("GOOGLETRANSLATE(A671 , ""tr"" , ""en"")"),"3. Last night in the floods in the Western Black Sea provinces, the last situation: 1 person lost in Bartin Kumluca. 4 people were affected by the flood throughout the province. 7 112 ambulances instead of the scene, 1 Umke was assigned. In Kastamonu, 4 u"&amp;"mke in task due to the flood. Get to all of us.")</f>
        <v>3. Last night in the floods in the Western Black Sea provinces, the last situation: 1 person lost in Bartin Kumluca. 4 people were affected by the flood throughout the province. 7 112 ambulances instead of the scene, 1 Umke was assigned. In Kastamonu, 4 umke in task due to the flood. Get to all of us.</v>
      </c>
    </row>
    <row r="672" spans="1:5" ht="15.75" customHeight="1" x14ac:dyDescent="0.25">
      <c r="A672" s="1" t="s">
        <v>1344</v>
      </c>
      <c r="B672" s="1">
        <v>2715</v>
      </c>
      <c r="C672" s="3">
        <v>44419.523472222223</v>
      </c>
      <c r="D672" s="1" t="s">
        <v>1345</v>
      </c>
      <c r="E672" s="4" t="str">
        <f ca="1">IFERROR(__xludf.DUMMYFUNCTION("GOOGLETRANSLATE(A672 , ""tr"" , ""en"")"),"2. Last night in the floods in the Western Black Sea provinces: 13 people were affected in the crash in Karabuk Bahçecik. 8 has been transmitted to the hospital with ambulance. Health services were provided in their homes to 5 people who do not want to tr"&amp;"ansplant the hospital. 4 ambulance assigned.")</f>
        <v>2. Last night in the floods in the Western Black Sea provinces: 13 people were affected in the crash in Karabuk Bahçecik. 8 has been transmitted to the hospital with ambulance. Health services were provided in their homes to 5 people who do not want to transplant the hospital. 4 ambulance assigned.</v>
      </c>
    </row>
    <row r="673" spans="1:5" ht="15.75" customHeight="1" x14ac:dyDescent="0.25">
      <c r="A673" s="1" t="s">
        <v>1346</v>
      </c>
      <c r="B673" s="1">
        <v>3612</v>
      </c>
      <c r="C673" s="3">
        <v>44419.516122685185</v>
      </c>
      <c r="D673" s="1" t="s">
        <v>1347</v>
      </c>
      <c r="E673" s="4" t="str">
        <f ca="1">IFERROR(__xludf.DUMMYFUNCTION("GOOGLETRANSLATE(A673 , ""tr"" , ""en"")"),"1. Last night in the floods in the Western Black Sea provinces: Sinop Ayancık State Hospital is evacuated. 45 patients with intense care, 45 patients are transported to Sinop Atatürk State Hospital. 27 Ambulance, 6 Umke, 1 Mobile Command Tool was assigned"&amp;". Lost, no injured.")</f>
        <v>1. Last night in the floods in the Western Black Sea provinces: Sinop Ayancık State Hospital is evacuated. 45 patients with intense care, 45 patients are transported to Sinop Atatürk State Hospital. 27 Ambulance, 6 Umke, 1 Mobile Command Tool was assigned. Lost, no injured.</v>
      </c>
    </row>
    <row r="674" spans="1:5" ht="15.75" customHeight="1" x14ac:dyDescent="0.25">
      <c r="A674" s="1" t="s">
        <v>1348</v>
      </c>
      <c r="B674" s="1">
        <v>14665</v>
      </c>
      <c r="C674" s="3">
        <v>44419.507141203707</v>
      </c>
      <c r="D674" s="1" t="s">
        <v>1349</v>
      </c>
      <c r="E674" s="4" t="str">
        <f ca="1">IFERROR(__xludf.DUMMYFUNCTION("GOOGLETRANSLATE(A674 , ""tr"" , ""en"")"),"The rate of completing two dose overslay in the population of 18 years and older has over 50%.")</f>
        <v>The rate of completing two dose overslay in the population of 18 years and older has over 50%.</v>
      </c>
    </row>
    <row r="675" spans="1:5" ht="15.75" customHeight="1" x14ac:dyDescent="0.25">
      <c r="A675" s="1" t="s">
        <v>1350</v>
      </c>
      <c r="B675" s="1">
        <v>13168</v>
      </c>
      <c r="C675" s="3">
        <v>44419.484722222223</v>
      </c>
      <c r="D675" s="1" t="s">
        <v>1351</v>
      </c>
      <c r="E675" s="4" t="str">
        <f ca="1">IFERROR(__xludf.DUMMYFUNCTION("GOOGLETRANSLATE(A675 , ""tr"" , ""en"")"),"The number of vaccines applied against Covid-19 epidemic has passed 80 million.")</f>
        <v>The number of vaccines applied against Covid-19 epidemic has passed 80 million.</v>
      </c>
    </row>
    <row r="676" spans="1:5" ht="15.75" customHeight="1" x14ac:dyDescent="0.25">
      <c r="A676" s="1" t="s">
        <v>1352</v>
      </c>
      <c r="B676" s="1">
        <v>7599</v>
      </c>
      <c r="C676" s="3">
        <v>44418.885150462964</v>
      </c>
      <c r="D676" s="1" t="s">
        <v>1353</v>
      </c>
      <c r="E676" s="4" t="str">
        <f ca="1">IFERROR(__xludf.DUMMYFUNCTION("GOOGLETRANSLATE(A676 , ""tr"" , ""en"")"),"We're not less today!
The total number of dose is 1.434.181.
410,098 People decided and became the first overdose. 812.852 The 2nd dose of 211,231 people had the overdose of 211,231 in the course of age and chronic disease. Let's be even more tomorrow.")</f>
        <v>We're not less today!
The total number of dose is 1.434.181.
410,098 People decided and became the first overdose. 812.852 The 2nd dose of 211,231 people had the overdose of 211,231 in the course of age and chronic disease. Let's be even more tomorrow.</v>
      </c>
    </row>
    <row r="677" spans="1:5" ht="15.75" customHeight="1" x14ac:dyDescent="0.25">
      <c r="A677" s="1" t="s">
        <v>1354</v>
      </c>
      <c r="B677" s="1">
        <v>6947</v>
      </c>
      <c r="C677" s="3">
        <v>44418.856273148151</v>
      </c>
      <c r="D677" s="1" t="s">
        <v>1355</v>
      </c>
      <c r="E677" s="4" t="str">
        <f ca="1">IFERROR(__xludf.DUMMYFUNCTION("GOOGLETRANSLATE(A677 , ""tr"" , ""en"")"),"Our low-risk provincial count has reached 17. We are approaching the provincial conclusion. Target is a blue map against Covid-19! Let's accelerate the process of community immunity by making the first dose vaccines. 64 love to our city.")</f>
        <v>Our low-risk provincial count has reached 17. We are approaching the provincial conclusion. Target is a blue map against Covid-19! Let's accelerate the process of community immunity by making the first dose vaccines. 64 love to our city.</v>
      </c>
    </row>
    <row r="678" spans="1:5" ht="15.75" customHeight="1" x14ac:dyDescent="0.25">
      <c r="A678" s="1" t="s">
        <v>1356</v>
      </c>
      <c r="B678" s="1">
        <v>6551</v>
      </c>
      <c r="C678" s="3">
        <v>44418.824629629627</v>
      </c>
      <c r="D678" s="1" t="s">
        <v>1357</v>
      </c>
      <c r="E678" s="4" t="str">
        <f ca="1">IFERROR(__xludf.DUMMYFUNCTION("GOOGLETRANSLATE(A678 , ""tr"" , ""en"")"),"In Sivas and Adana, the rate of at least one dose of the population of 18 years and older is above 65%. The color of these two provinces on the risk map of Covid-19 is yellow instead of orange. We would like to see the high risk level to the Middle Risk l"&amp;"evel with Sivas with the Map of Adana in a moment.")</f>
        <v>In Sivas and Adana, the rate of at least one dose of the population of 18 years and older is above 65%. The color of these two provinces on the risk map of Covid-19 is yellow instead of orange. We would like to see the high risk level to the Middle Risk level with Sivas with the Map of Adana in a moment.</v>
      </c>
    </row>
    <row r="679" spans="1:5" ht="15.75" customHeight="1" x14ac:dyDescent="0.25">
      <c r="A679" s="1" t="s">
        <v>1358</v>
      </c>
      <c r="B679" s="1">
        <v>9978</v>
      </c>
      <c r="C679" s="3">
        <v>44418.812638888892</v>
      </c>
      <c r="D679" s="1" t="s">
        <v>1359</v>
      </c>
      <c r="E679" s="4" t="str">
        <f ca="1">IFERROR(__xludf.DUMMYFUNCTION("GOOGLETRANSLATE(A679 , ""tr"" , ""en"")"),"The Bartin and Burdur are blue too. The ratio of at least one dose of vaccines in the population of 18 years and older has been above 75% in these two provinces. We celebrate their residents. Let's be azure by increasing the second overdose vaccines.")</f>
        <v>The Bartin and Burdur are blue too. The ratio of at least one dose of vaccines in the population of 18 years and older has been above 75% in these two provinces. We celebrate their residents. Let's be azure by increasing the second overdose vaccines.</v>
      </c>
    </row>
    <row r="680" spans="1:5" ht="15.75" customHeight="1" x14ac:dyDescent="0.25">
      <c r="A680" s="1" t="s">
        <v>1360</v>
      </c>
      <c r="B680" s="1">
        <v>6202</v>
      </c>
      <c r="C680" s="3">
        <v>44418.787928240738</v>
      </c>
      <c r="D680" s="1" t="s">
        <v>1361</v>
      </c>
      <c r="E680" s="4" t="str">
        <f ca="1">IFERROR(__xludf.DUMMYFUNCTION("GOOGLETRANSLATE(A680 , ""tr"" , ""en"")"),"We have to keep the increase in the number of cases under control. Imprudence without immunity with vaccination results in vicious cycle. Be vaccination. Follow the measures. https://t.co/rvlhe7786o https://t.co/6wc9lkibqa")</f>
        <v>We have to keep the increase in the number of cases under control. Imprudence without immunity with vaccination results in vicious cycle. Be vaccination. Follow the measures. https://t.co/rvlhe7786o https://t.co/6wc9lkibqa</v>
      </c>
    </row>
    <row r="681" spans="1:5" ht="15.75" customHeight="1" x14ac:dyDescent="0.25">
      <c r="A681" s="1" t="s">
        <v>1362</v>
      </c>
      <c r="B681" s="1">
        <v>4987</v>
      </c>
      <c r="C681" s="3">
        <v>44418.650613425925</v>
      </c>
      <c r="D681" s="1" t="s">
        <v>1363</v>
      </c>
      <c r="E681" s="4" t="str">
        <f ca="1">IFERROR(__xludf.DUMMYFUNCTION("GOOGLETRANSLATE(A681 , ""tr"" , ""en"")"),"""The 1 millionth vaccine was us?"" Ali Haydar Polat's vaccine in the Sekin City Hospital of the Elâzak Fethi Sekin city hospital was 1 millionth of the day. In 15.14, the vaccine is Leyla has applied Güngör. He was very glad to have 1 million vaccines to"&amp;" have been made up to 1 millionth vaccination. That's it! https://t.co/1t4e0re57b")</f>
        <v>"The 1 millionth vaccine was us?" Ali Haydar Polat's vaccine in the Sekin City Hospital of the Elâzak Fethi Sekin city hospital was 1 millionth of the day. In 15.14, the vaccine is Leyla has applied Güngör. He was very glad to have 1 million vaccines to have been made up to 1 millionth vaccination. That's it! https://t.co/1t4e0re57b</v>
      </c>
    </row>
    <row r="682" spans="1:5" ht="15.75" customHeight="1" x14ac:dyDescent="0.25">
      <c r="A682" s="1" t="s">
        <v>1364</v>
      </c>
      <c r="B682" s="1">
        <v>7218</v>
      </c>
      <c r="C682" s="3">
        <v>44418.61959490741</v>
      </c>
      <c r="D682" s="1" t="s">
        <v>1365</v>
      </c>
      <c r="E682" s="4" t="str">
        <f ca="1">IFERROR(__xludf.DUMMYFUNCTION("GOOGLETRANSLATE(A682 , ""tr"" , ""en"")"),"The number of the first overdose has passed 42 million. As 62 million years of age and older, we have two-thirds implementing the decision to protect our health! Let's have the second dose on time. Let's take action if we have no vaccination. Essentiality"&amp;" for health.")</f>
        <v>The number of the first overdose has passed 42 million. As 62 million years of age and older, we have two-thirds implementing the decision to protect our health! Let's have the second dose on time. Let's take action if we have no vaccination. Essentiality for health.</v>
      </c>
    </row>
    <row r="683" spans="1:5" ht="15.75" customHeight="1" x14ac:dyDescent="0.25">
      <c r="A683" s="1" t="s">
        <v>1366</v>
      </c>
      <c r="B683" s="1">
        <v>11602</v>
      </c>
      <c r="C683" s="3">
        <v>44418.597662037035</v>
      </c>
      <c r="D683" s="1" t="s">
        <v>1367</v>
      </c>
      <c r="E683" s="4" t="str">
        <f ca="1">IFERROR(__xludf.DUMMYFUNCTION("GOOGLETRANSLATE(A683 , ""tr"" , ""en"")"),"The number of two dose of overdoses has reached 30 million. As 62 million years of age and older, we are in halfway, we have applied the decision to protect our health with double dose vaccine! Those with the first dose are not put on the second. Have no "&amp;"vaccines to take action. Essentiality for health.")</f>
        <v>The number of two dose of overdoses has reached 30 million. As 62 million years of age and older, we are in halfway, we have applied the decision to protect our health with double dose vaccine! Those with the first dose are not put on the second. Have no vaccines to take action. Essentiality for health.</v>
      </c>
    </row>
    <row r="684" spans="1:5" ht="15.75" customHeight="1" x14ac:dyDescent="0.25">
      <c r="A684" s="1" t="s">
        <v>1368</v>
      </c>
      <c r="B684" s="1">
        <v>12571</v>
      </c>
      <c r="C684" s="3">
        <v>44417.919039351851</v>
      </c>
      <c r="D684" s="1" t="s">
        <v>1369</v>
      </c>
      <c r="E684" s="4" t="str">
        <f ca="1">IFERROR(__xludf.DUMMYFUNCTION("GOOGLETRANSLATE(A684 , ""tr"" , ""en"")"),"We're Third Today! In the last 24 hours, 1 million 508 thousand 939 dose Covid-19 vaccine was held. August 9 is the third in the rankings of the days we are in vaccination performance. 1.582.232 Catching the daily record, the daily record, it depends on t"&amp;"he speed of deciding a little bit of the vaccine. We are ready tomorrow!")</f>
        <v>We're Third Today! In the last 24 hours, 1 million 508 thousand 939 dose Covid-19 vaccine was held. August 9 is the third in the rankings of the days we are in vaccination performance. 1.582.232 Catching the daily record, the daily record, it depends on the speed of deciding a little bit of the vaccine. We are ready tomorrow!</v>
      </c>
    </row>
    <row r="685" spans="1:5" ht="15.75" customHeight="1" x14ac:dyDescent="0.25">
      <c r="A685" s="1" t="s">
        <v>1370</v>
      </c>
      <c r="B685" s="1">
        <v>4175</v>
      </c>
      <c r="C685" s="3">
        <v>44417.887974537036</v>
      </c>
      <c r="D685" s="1" t="s">
        <v>1371</v>
      </c>
      <c r="E685" s="4" t="str">
        <f ca="1">IFERROR(__xludf.DUMMYFUNCTION("GOOGLETRANSLATE(A685 , ""tr"" , ""en"")"),"""Government of courage gains the lion. I invite everyone to the vaccine. I've seen the benefit. "" 96-year-old Hüseyin is calling to you and 84 million: https://t.co/2O8GIOOSSL")</f>
        <v>"Government of courage gains the lion. I invite everyone to the vaccine. I've seen the benefit. " 96-year-old Hüseyin is calling to you and 84 million: https://t.co/2O8GIOOSSL</v>
      </c>
    </row>
    <row r="686" spans="1:5" ht="15.75" customHeight="1" x14ac:dyDescent="0.25">
      <c r="A686" s="1" t="s">
        <v>1372</v>
      </c>
      <c r="B686" s="1">
        <v>9807</v>
      </c>
      <c r="C686" s="3">
        <v>44417.766435185185</v>
      </c>
      <c r="D686" s="1" t="s">
        <v>1373</v>
      </c>
      <c r="E686" s="4" t="str">
        <f ca="1">IFERROR(__xludf.DUMMYFUNCTION("GOOGLETRANSLATE(A686 , ""tr"" , ""en"")"),"The Army showed the common sense of over 75% against Covid-19. The new color is blue in our Map in the rate of vaccination that reduced the risk. All coastline provincials should turn the color to blue. (Doesn't matter tons. The Black Sea blue also fits u"&amp;"s too.)")</f>
        <v>The Army showed the common sense of over 75% against Covid-19. The new color is blue in our Map in the rate of vaccination that reduced the risk. All coastline provincials should turn the color to blue. (Doesn't matter tons. The Black Sea blue also fits us too.)</v>
      </c>
    </row>
    <row r="687" spans="1:5" ht="15.75" customHeight="1" x14ac:dyDescent="0.25">
      <c r="A687" s="1" t="s">
        <v>1374</v>
      </c>
      <c r="B687" s="1">
        <v>10079</v>
      </c>
      <c r="C687" s="3">
        <v>44417.738726851851</v>
      </c>
      <c r="D687" s="1" t="s">
        <v>1375</v>
      </c>
      <c r="E687" s="4" t="str">
        <f ca="1">IFERROR(__xludf.DUMMYFUNCTION("GOOGLETRANSLATE(A687 , ""tr"" , ""en"")"),"Ankara is now at the rate of vaccination exceeding 75% against Covid-19. The new color in our map is blue. Bolu, Çankırı, Kırıkkale, Kırşehir, Aksaray and Konya) should take an example of the application speed as the decision to become the capital of the "&amp;"capital.")</f>
        <v>Ankara is now at the rate of vaccination exceeding 75% against Covid-19. The new color in our map is blue. Bolu, Çankırı, Kırıkkale, Kırşehir, Aksaray and Konya) should take an example of the application speed as the decision to become the capital of the capital.</v>
      </c>
    </row>
    <row r="688" spans="1:5" ht="15.75" customHeight="1" x14ac:dyDescent="0.25">
      <c r="A688" s="1" t="s">
        <v>1376</v>
      </c>
      <c r="B688" s="1">
        <v>5125</v>
      </c>
      <c r="C688" s="3">
        <v>44417.700601851851</v>
      </c>
      <c r="D688" s="1" t="s">
        <v>1377</v>
      </c>
      <c r="E688" s="4" t="str">
        <f ca="1">IFERROR(__xludf.DUMMYFUNCTION("GOOGLETRANSLATE(A688 , ""tr"" , ""en"")"),"Hakkâri is between 13 provinces against Covid-19 with the rate of vaccination. The rate is low, Pain, Mus, Bingöl, Bitlis, Diyarbakır, Şanlıurfa, Mardin, Batman, Siirt, Hakkâri's vaccination decision should be examples of vaccination. With Van, 75% of the"&amp;" Şırnak are invited to the news.")</f>
        <v>Hakkâri is between 13 provinces against Covid-19 with the rate of vaccination. The rate is low, Pain, Mus, Bingöl, Bitlis, Diyarbakır, Şanlıurfa, Mardin, Batman, Siirt, Hakkâri's vaccination decision should be examples of vaccination. With Van, 75% of the Şırnak are invited to the news.</v>
      </c>
    </row>
    <row r="689" spans="1:5" ht="15.75" customHeight="1" x14ac:dyDescent="0.25">
      <c r="A689" s="1" t="s">
        <v>1378</v>
      </c>
      <c r="B689" s="1">
        <v>5274</v>
      </c>
      <c r="C689" s="3">
        <v>44417.694398148145</v>
      </c>
      <c r="D689" s="1" t="s">
        <v>1379</v>
      </c>
      <c r="E689" s="4" t="str">
        <f ca="1">IFERROR(__xludf.DUMMYFUNCTION("GOOGLETRANSLATE(A689 , ""tr"" , ""en"")"),"The rate of increase in the number of cases is to stable and decrease the number of cases, the next 10 days is very important. We should obey the measures and do not neglect to be vaccinated. https://t.co/7wdz2ssc4j https://t.co/3ujcfq6es9")</f>
        <v>The rate of increase in the number of cases is to stable and decrease the number of cases, the next 10 days is very important. We should obey the measures and do not neglect to be vaccinated. https://t.co/7wdz2ssc4j https://t.co/3ujcfq6es9</v>
      </c>
    </row>
    <row r="690" spans="1:5" ht="15.75" customHeight="1" x14ac:dyDescent="0.25">
      <c r="A690" s="1" t="s">
        <v>1380</v>
      </c>
      <c r="B690" s="1">
        <v>13660</v>
      </c>
      <c r="C690" s="3">
        <v>44417.674525462964</v>
      </c>
      <c r="D690" s="1" t="s">
        <v>1381</v>
      </c>
      <c r="E690" s="4" t="str">
        <f ca="1">IFERROR(__xludf.DUMMYFUNCTION("GOOGLETRANSLATE(A690 , ""tr"" , ""en"")"),"1 millionth Covid-19 vaccine shows 15.07 o'clock. Turkey returns to normal in vaccination. The decision to be vaccination was accelerated.")</f>
        <v>1 millionth Covid-19 vaccine shows 15.07 o'clock. Turkey returns to normal in vaccination. The decision to be vaccination was accelerated.</v>
      </c>
    </row>
    <row r="691" spans="1:5" ht="15.75" customHeight="1" x14ac:dyDescent="0.25">
      <c r="A691" s="1" t="s">
        <v>1382</v>
      </c>
      <c r="B691" s="1">
        <v>6072</v>
      </c>
      <c r="C691" s="3">
        <v>44417.596597222226</v>
      </c>
      <c r="D691" s="1" t="s">
        <v>1383</v>
      </c>
      <c r="E691" s="4" t="str">
        <f ca="1">IFERROR(__xludf.DUMMYFUNCTION("GOOGLETRANSLATE(A691 , ""tr"" , ""en"")"),"Aybüke nurse is correct. You have made 1 millionth vaccination today. According to our records, our citizens who made vaccination is Buzing Uşar, 42 years old. BUCA Greetings to family physician employees 126. https://t.co/aduj5tun7z")</f>
        <v>Aybüke nurse is correct. You have made 1 millionth vaccination today. According to our records, our citizens who made vaccination is Buzing Uşar, 42 years old. BUCA Greetings to family physician employees 126. https://t.co/aduj5tun7z</v>
      </c>
    </row>
    <row r="692" spans="1:5" ht="15.75" customHeight="1" x14ac:dyDescent="0.25">
      <c r="A692" s="1" t="s">
        <v>1384</v>
      </c>
      <c r="B692" s="1">
        <v>4805</v>
      </c>
      <c r="C692" s="3">
        <v>44417.526678240742</v>
      </c>
      <c r="D692" s="1" t="s">
        <v>1385</v>
      </c>
      <c r="E692" s="4" t="str">
        <f ca="1">IFERROR(__xludf.DUMMYFUNCTION("GOOGLETRANSLATE(A692 , ""tr"" , ""en"")"),"From our Old Health Ministers Prof. Dr. Yaşar has left our erylazing call. In Erzurum Atatürk University, our teacher with many years of faculty members and four-term pain deputies were of the largest of the region. I wish his condolences to the mercy, lo"&amp;"vers from Allah.")</f>
        <v>From our Old Health Ministers Prof. Dr. Yaşar has left our erylazing call. In Erzurum Atatürk University, our teacher with many years of faculty members and four-term pain deputies were of the largest of the region. I wish his condolences to the mercy, lovers from Allah.</v>
      </c>
    </row>
    <row r="693" spans="1:5" ht="15.75" customHeight="1" x14ac:dyDescent="0.25">
      <c r="A693" s="1" t="s">
        <v>1386</v>
      </c>
      <c r="B693" s="1">
        <v>4271</v>
      </c>
      <c r="C693" s="3">
        <v>44417.490960648145</v>
      </c>
      <c r="D693" s="1" t="s">
        <v>1387</v>
      </c>
      <c r="E693" s="4" t="str">
        <f ca="1">IFERROR(__xludf.DUMMYFUNCTION("GOOGLETRANSLATE(A693 , ""tr"" , ""en"")"),"From the Hakki Vaccine Team, Melike et al. they were saying. I am working in the morning at the evening I would like to thank our teams that provide over 75% vaccination success. https://t.co/yxz4q5tqzm")</f>
        <v>From the Hakki Vaccine Team, Melike et al. they were saying. I am working in the morning at the evening I would like to thank our teams that provide over 75% vaccination success. https://t.co/yxz4q5tqzm</v>
      </c>
    </row>
    <row r="694" spans="1:5" ht="15.75" customHeight="1" x14ac:dyDescent="0.25">
      <c r="A694" s="1" t="s">
        <v>1388</v>
      </c>
      <c r="B694" s="1">
        <v>9026</v>
      </c>
      <c r="C694" s="3">
        <v>44417.486145833333</v>
      </c>
      <c r="D694" s="1" t="s">
        <v>1389</v>
      </c>
      <c r="E694" s="4" t="str">
        <f ca="1">IFERROR(__xludf.DUMMYFUNCTION("GOOGLETRANSLATE(A694 , ""tr"" , ""en"")"),"The Hakkâri entered the low-risk provinces on the Covid-19 risk map with the inoculation ratio above 75%! I would like to thank the Hakkâri people who decided by taking information on the vaccination from our experts in the field, as we host our teams lik"&amp;"e guests.")</f>
        <v>The Hakkâri entered the low-risk provinces on the Covid-19 risk map with the inoculation ratio above 75%! I would like to thank the Hakkâri people who decided by taking information on the vaccination from our experts in the field, as we host our teams like guests.</v>
      </c>
    </row>
    <row r="695" spans="1:5" ht="15.75" customHeight="1" x14ac:dyDescent="0.25">
      <c r="A695" s="1" t="s">
        <v>1390</v>
      </c>
      <c r="B695" s="1">
        <v>12409</v>
      </c>
      <c r="C695" s="3">
        <v>44416.826608796298</v>
      </c>
      <c r="D695" s="1" t="s">
        <v>1391</v>
      </c>
      <c r="E695" s="4" t="str">
        <f ca="1">IFERROR(__xludf.DUMMYFUNCTION("GOOGLETRANSLATE(A695 , ""tr"" , ""en"")"),"Hakkâri risen at the rate of vaccination, only one week, 40th ordinary 13th. With the vaccines to do tomorrow, we expect to switch to the low-risk provincial category of Covid-19 on the risk map of the risk. A sample should be taken in the race of communi"&amp;"ty immunity to the epidemic!")</f>
        <v>Hakkâri risen at the rate of vaccination, only one week, 40th ordinary 13th. With the vaccines to do tomorrow, we expect to switch to the low-risk provincial category of Covid-19 on the risk map of the risk. A sample should be taken in the race of community immunity to the epidemic!</v>
      </c>
    </row>
    <row r="696" spans="1:5" ht="15.75" customHeight="1" x14ac:dyDescent="0.25">
      <c r="A696" s="1" t="s">
        <v>1392</v>
      </c>
      <c r="B696" s="1">
        <v>8141</v>
      </c>
      <c r="C696" s="3">
        <v>44416.684733796297</v>
      </c>
      <c r="D696" s="1" t="s">
        <v>1393</v>
      </c>
      <c r="E696" s="4" t="str">
        <f ca="1">IFERROR(__xludf.DUMMYFUNCTION("GOOGLETRANSLATE(A696 , ""tr"" , ""en"")"),"Vaccines our most powerful weapon. However with the condition of completing at least two dose. Be your vaccine and follow the measures until the immunity is obtained. We cannot achieve the desired result without the vaccination without taking measures. ht"&amp;"tps://t.co/rvlhe7786o https://t.co/7wvn6cunro")</f>
        <v>Vaccines our most powerful weapon. However with the condition of completing at least two dose. Be your vaccine and follow the measures until the immunity is obtained. We cannot achieve the desired result without the vaccination without taking measures. https://t.co/rvlhe7786o https://t.co/7wvn6cunro</v>
      </c>
    </row>
    <row r="697" spans="1:5" ht="15.75" customHeight="1" x14ac:dyDescent="0.25">
      <c r="A697" s="1" t="s">
        <v>1394</v>
      </c>
      <c r="B697" s="1">
        <v>8097</v>
      </c>
      <c r="C697" s="3">
        <v>44415.798206018517</v>
      </c>
      <c r="D697" s="1" t="s">
        <v>1395</v>
      </c>
      <c r="E697" s="4" t="str">
        <f ca="1">IFERROR(__xludf.DUMMYFUNCTION("GOOGLETRANSLATE(A697 , ""tr"" , ""en"")"),"""The day in which the vaccine has come to go!"" Our 30-year-old patient is the Zekeriya Atabey, from postponing the vaccine. Although he tried to protect itself, he could not prevent caught in Covid-19. Professor Dr. Under treatment in the Feriha self-em"&amp;"ergency hospital. Says the hardest days of my life. Please listen. https://t.co/sqd5j1f99p")</f>
        <v>"The day in which the vaccine has come to go!" Our 30-year-old patient is the Zekeriya Atabey, from postponing the vaccine. Although he tried to protect itself, he could not prevent caught in Covid-19. Professor Dr. Under treatment in the Feriha self-emergency hospital. Says the hardest days of my life. Please listen. https://t.co/sqd5j1f99p</v>
      </c>
    </row>
    <row r="698" spans="1:5" ht="15.75" customHeight="1" x14ac:dyDescent="0.25">
      <c r="A698" s="1" t="s">
        <v>1396</v>
      </c>
      <c r="B698" s="1">
        <v>11396</v>
      </c>
      <c r="C698" s="3">
        <v>44415.792615740742</v>
      </c>
      <c r="D698" s="1" t="s">
        <v>1397</v>
      </c>
      <c r="E698" s="4" t="str">
        <f ca="1">IFERROR(__xludf.DUMMYFUNCTION("GOOGLETRANSLATE(A698 , ""tr"" , ""en"")"),"Our Interior Minister Süleyman Siller's uncle Hüseyin noble has left this world. I wish her condolence and patience to the noy family, especially from Allah. Hussein's spaces of my uncle be heaven.")</f>
        <v>Our Interior Minister Süleyman Siller's uncle Hüseyin noble has left this world. I wish her condolence and patience to the noy family, especially from Allah. Hussein's spaces of my uncle be heaven.</v>
      </c>
    </row>
    <row r="699" spans="1:5" ht="15.75" customHeight="1" x14ac:dyDescent="0.25">
      <c r="A699" s="1" t="s">
        <v>1398</v>
      </c>
      <c r="B699" s="1">
        <v>6387</v>
      </c>
      <c r="C699" s="3">
        <v>44415.763831018521</v>
      </c>
      <c r="D699" s="1" t="s">
        <v>1399</v>
      </c>
      <c r="E699" s="4" t="str">
        <f ca="1">IFERROR(__xludf.DUMMYFUNCTION("GOOGLETRANSLATE(A699 , ""tr"" , ""en"")"),"Although the number of cases is the weekend, it may be a problem. In order to get the way it has to be vaccine and we should comply with the measures until it is immune. https://t.co/rvlhe7786o https://t.co/e0ousk1opz")</f>
        <v>Although the number of cases is the weekend, it may be a problem. In order to get the way it has to be vaccine and we should comply with the measures until it is immune. https://t.co/rvlhe7786o https://t.co/e0ousk1opz</v>
      </c>
    </row>
    <row r="700" spans="1:5" ht="15.75" customHeight="1" x14ac:dyDescent="0.25">
      <c r="A700" s="1" t="s">
        <v>1400</v>
      </c>
      <c r="B700" s="1">
        <v>11054</v>
      </c>
      <c r="C700" s="3">
        <v>44415.611909722225</v>
      </c>
      <c r="D700" s="1" t="s">
        <v>1401</v>
      </c>
      <c r="E700" s="4" t="str">
        <f ca="1">IFERROR(__xludf.DUMMYFUNCTION("GOOGLETRANSLATE(A700 , ""tr"" , ""en"")"),"In Tokyo Olympics, we can save our gold medal in our country and we are the pride that we have been proud to listen to our Idiklal starter to the world, we celebrate the Buse Naz Çakıroglu of the Buse Naz Çakıroglu. Don't you see the iron fists of BUSEs! "&amp;"https://t.co/uxajtlsgza")</f>
        <v>In Tokyo Olympics, we can save our gold medal in our country and we are the pride that we have been proud to listen to our Idiklal starter to the world, we celebrate the Buse Naz Çakıroglu of the Buse Naz Çakıroglu. Don't you see the iron fists of BUSEs! https://t.co/uxajtlsgza</v>
      </c>
    </row>
    <row r="701" spans="1:5" ht="15.75" customHeight="1" x14ac:dyDescent="0.25">
      <c r="A701" s="1" t="s">
        <v>1402</v>
      </c>
      <c r="B701" s="1">
        <v>4775</v>
      </c>
      <c r="C701" s="3">
        <v>44414.888124999998</v>
      </c>
      <c r="D701" s="1" t="s">
        <v>1403</v>
      </c>
      <c r="E701" s="4" t="str">
        <f ca="1">IFERROR(__xludf.DUMMYFUNCTION("GOOGLETRANSLATE(A701 , ""tr"" , ""en"")"),"Bircan affected by the fire in Alanya has gained ceylan health. Umke crews treated the problems of breathing and nutrition, cough and sound difficulty with their intervention. Ceylan with Bircan? Two goats of our beautiful people who have a human name to "&amp;"their animals! https://t.co/8eseef7cbs")</f>
        <v>Bircan affected by the fire in Alanya has gained ceylan health. Umke crews treated the problems of breathing and nutrition, cough and sound difficulty with their intervention. Ceylan with Bircan? Two goats of our beautiful people who have a human name to their animals! https://t.co/8eseef7cbs</v>
      </c>
    </row>
    <row r="702" spans="1:5" ht="15.75" customHeight="1" x14ac:dyDescent="0.25">
      <c r="A702" s="1" t="s">
        <v>1404</v>
      </c>
      <c r="B702" s="1">
        <v>13624</v>
      </c>
      <c r="C702" s="3">
        <v>44414.822233796294</v>
      </c>
      <c r="D702" s="1" t="s">
        <v>1405</v>
      </c>
      <c r="E702" s="4" t="str">
        <f ca="1">IFERROR(__xludf.DUMMYFUNCTION("GOOGLETRANSLATE(A702 , ""tr"" , ""en"")"),"Yalova replaces the first dose of over 75% in the low-risk provincial category with the rate of vaccination. Covid-19 is blue in Yalova anymore in the risk map.")</f>
        <v>Yalova replaces the first dose of over 75% in the low-risk provincial category with the rate of vaccination. Covid-19 is blue in Yalova anymore in the risk map.</v>
      </c>
    </row>
    <row r="703" spans="1:5" ht="15.75" customHeight="1" x14ac:dyDescent="0.25">
      <c r="A703" s="1" t="s">
        <v>1406</v>
      </c>
      <c r="B703" s="1">
        <v>5345</v>
      </c>
      <c r="C703" s="3">
        <v>44414.769641203704</v>
      </c>
      <c r="D703" s="1" t="s">
        <v>1407</v>
      </c>
      <c r="E703" s="4" t="str">
        <f ca="1">IFERROR(__xludf.DUMMYFUNCTION("GOOGLETRANSLATE(A703 , ""tr"" , ""en"")"),"""THANK YOU VERY MUCH."" These thanks, with health workers, to you to grow them up and to grow them. With all your heart; Your older brothers are the same place as your older ss, your son. https://t.co/jhv3a94Ieu")</f>
        <v>"THANK YOU VERY MUCH." These thanks, with health workers, to you to grow them up and to grow them. With all your heart; Your older brothers are the same place as your older ss, your son. https://t.co/jhv3a94Ieu</v>
      </c>
    </row>
    <row r="704" spans="1:5" ht="15.75" customHeight="1" x14ac:dyDescent="0.25">
      <c r="A704" s="1" t="s">
        <v>1408</v>
      </c>
      <c r="B704" s="1">
        <v>5462</v>
      </c>
      <c r="C704" s="3">
        <v>44414.7419212963</v>
      </c>
      <c r="D704" s="1" t="s">
        <v>1409</v>
      </c>
      <c r="E704" s="4" t="str">
        <f ca="1">IFERROR(__xludf.DUMMYFUNCTION("GOOGLETRANSLATE(A704 , ""tr"" , ""en"")"),"The Ministry of Health continues with health screening and psychosocial support services for citizens affected by the fire in the woodland of Antalya in Manavgat district. In the region, there are doctors and nurses as well as psychologist and social work"&amp;"ers. https://t.co/w8otfjiemm")</f>
        <v>The Ministry of Health continues with health screening and psychosocial support services for citizens affected by the fire in the woodland of Antalya in Manavgat district. In the region, there are doctors and nurses as well as psychologist and social workers. https://t.co/w8otfjiemm</v>
      </c>
    </row>
    <row r="705" spans="1:5" ht="15.75" customHeight="1" x14ac:dyDescent="0.25">
      <c r="A705" s="1" t="s">
        <v>1410</v>
      </c>
      <c r="B705" s="1">
        <v>6073</v>
      </c>
      <c r="C705" s="3">
        <v>44414.699699074074</v>
      </c>
      <c r="D705" s="1" t="s">
        <v>1411</v>
      </c>
      <c r="E705" s="4" t="str">
        <f ca="1">IFERROR(__xludf.DUMMYFUNCTION("GOOGLETRANSLATE(A705 , ""tr"" , ""en"")"),"If the increase speed of the case numbers fall at the desired level, we will be more confident. There are two ways for that; measure and vaccination. Be your vaccine. https://t.co/rvlhe7786o https://t.co/dujeo2e6u3")</f>
        <v>If the increase speed of the case numbers fall at the desired level, we will be more confident. There are two ways for that; measure and vaccination. Be your vaccine. https://t.co/rvlhe7786o https://t.co/dujeo2e6u3</v>
      </c>
    </row>
    <row r="706" spans="1:5" ht="15.75" customHeight="1" x14ac:dyDescent="0.25">
      <c r="A706" s="1" t="s">
        <v>1412</v>
      </c>
      <c r="B706" s="1">
        <v>20783</v>
      </c>
      <c r="C706" s="3">
        <v>44414.631319444445</v>
      </c>
      <c r="D706" s="1" t="s">
        <v>1413</v>
      </c>
      <c r="E706" s="4" t="str">
        <f ca="1">IFERROR(__xludf.DUMMYFUNCTION("GOOGLETRANSLATE(A706 , ""tr"" , ""en"")"),"We are now at the beginning of our duty. We will meet this frame. https://t.co/IOMHZBYITB")</f>
        <v>We are now at the beginning of our duty. We will meet this frame. https://t.co/IOMHZBYITB</v>
      </c>
    </row>
    <row r="707" spans="1:5" ht="15.75" customHeight="1" x14ac:dyDescent="0.25">
      <c r="A707" s="1" t="s">
        <v>1414</v>
      </c>
      <c r="B707" s="1">
        <v>15435</v>
      </c>
      <c r="C707" s="3">
        <v>44414.407118055555</v>
      </c>
      <c r="D707" s="1" t="s">
        <v>1415</v>
      </c>
      <c r="E707" s="4" t="str">
        <f ca="1">IFERROR(__xludf.DUMMYFUNCTION("GOOGLETRANSLATE(A707 , ""tr"" , ""en"")"),"Minister my friend SN. Ziya has left the SELÇUK task. I would like to thank our teachers with the symbol of laughingness in education and training. New assigned to the Ministry of National Education Prof. Dr. I present my superior success wishes to Mahmut"&amp;" Özer and his aids.")</f>
        <v>Minister my friend SN. Ziya has left the SELÇUK task. I would like to thank our teachers with the symbol of laughingness in education and training. New assigned to the Ministry of National Education Prof. Dr. I present my superior success wishes to Mahmut Özer and his aids.</v>
      </c>
    </row>
    <row r="708" spans="1:5" ht="15.75" customHeight="1" x14ac:dyDescent="0.25">
      <c r="A708" s="1" t="s">
        <v>1416</v>
      </c>
      <c r="B708" s="1">
        <v>7174</v>
      </c>
      <c r="C708" s="3">
        <v>44414.326655092591</v>
      </c>
      <c r="D708" s="1" t="s">
        <v>1417</v>
      </c>
      <c r="E708" s="4" t="str">
        <f ca="1">IFERROR(__xludf.DUMMYFUNCTION("GOOGLETRANSLATE(A708 , ""tr"" , ""en"")"),"75 million dose vaccines were made to Covid-19 outbreaks. Our vaccination speed is our performance high. But the number of dual dose vaccines is not enough to fight outbreaks. More importantly, the people who postpone the first dose are about 20 million 5"&amp;"70 thousand.")</f>
        <v>75 million dose vaccines were made to Covid-19 outbreaks. Our vaccination speed is our performance high. But the number of dual dose vaccines is not enough to fight outbreaks. More importantly, the people who postpone the first dose are about 20 million 570 thousand.</v>
      </c>
    </row>
    <row r="709" spans="1:5" ht="15.75" customHeight="1" x14ac:dyDescent="0.25">
      <c r="A709" s="1" t="s">
        <v>1418</v>
      </c>
      <c r="B709" s="1">
        <v>14794</v>
      </c>
      <c r="C709" s="3">
        <v>44414.313368055555</v>
      </c>
      <c r="D709" s="1" t="s">
        <v>1419</v>
      </c>
      <c r="E709" s="4" t="str">
        <f ca="1">IFERROR(__xludf.DUMMYFUNCTION("GOOGLETRANSLATE(A709 , ""tr"" , ""en"")"),"Covid-19 has been 75 million overdose vaccines against the outbreak.")</f>
        <v>Covid-19 has been 75 million overdose vaccines against the outbreak.</v>
      </c>
    </row>
    <row r="710" spans="1:5" ht="15.75" customHeight="1" x14ac:dyDescent="0.25">
      <c r="A710" s="1" t="s">
        <v>1420</v>
      </c>
      <c r="B710" s="1">
        <v>15483</v>
      </c>
      <c r="C710" s="3">
        <v>44413.698009259257</v>
      </c>
      <c r="D710" s="1" t="s">
        <v>1421</v>
      </c>
      <c r="E710" s="4" t="str">
        <f ca="1">IFERROR(__xludf.DUMMYFUNCTION("GOOGLETRANSLATE(A710 , ""tr"" , ""en"")"),"When Milas is decided to discharge the Village of Akçakaya, the Ayşe, who has been living in the village and walked in the village, was delivered by our teams to the safe area. https://t.co/y4qb2ylc7d")</f>
        <v>When Milas is decided to discharge the Village of Akçakaya, the Ayşe, who has been living in the village and walked in the village, was delivered by our teams to the safe area. https://t.co/y4qb2ylc7d</v>
      </c>
    </row>
    <row r="711" spans="1:5" ht="15.75" customHeight="1" x14ac:dyDescent="0.25">
      <c r="A711" s="1" t="s">
        <v>1422</v>
      </c>
      <c r="B711" s="1">
        <v>5499</v>
      </c>
      <c r="C711" s="3">
        <v>44413.690486111111</v>
      </c>
      <c r="D711" s="1" t="s">
        <v>1423</v>
      </c>
      <c r="E711" s="4" t="str">
        <f ca="1">IFERROR(__xludf.DUMMYFUNCTION("GOOGLETRANSLATE(A711 , ""tr"" , ""en"")"),"The increase speed must slow down to keep the increase in the number of cases in control. If we achieve this with the measure and vaccination, the control will stay. Observe the measures, make your vaccination. https://t.co/rvlhe7786o https://t.co/dinyubl"&amp;"sey")</f>
        <v>The increase speed must slow down to keep the increase in the number of cases in control. If we achieve this with the measure and vaccination, the control will stay. Observe the measures, make your vaccination. https://t.co/rvlhe7786o https://t.co/dinyublsey</v>
      </c>
    </row>
    <row r="712" spans="1:5" ht="15.75" customHeight="1" x14ac:dyDescent="0.25">
      <c r="A712" s="1" t="s">
        <v>1424</v>
      </c>
      <c r="B712" s="1">
        <v>4411</v>
      </c>
      <c r="C712" s="3">
        <v>44413.475960648146</v>
      </c>
      <c r="D712" s="1" t="s">
        <v>1425</v>
      </c>
      <c r="E712" s="4" t="str">
        <f ca="1">IFERROR(__xludf.DUMMYFUNCTION("GOOGLETRANSLATE(A712 , ""tr"" , ""en"")"),"In areas affected by fire, our citizens give our first aid kits, control the overall health status, we direct health care to our institutions. https://t.co/afIaqw5jeo")</f>
        <v>In areas affected by fire, our citizens give our first aid kits, control the overall health status, we direct health care to our institutions. https://t.co/afIaqw5jeo</v>
      </c>
    </row>
    <row r="713" spans="1:5" ht="15.75" customHeight="1" x14ac:dyDescent="0.25">
      <c r="A713" s="1" t="s">
        <v>1426</v>
      </c>
      <c r="B713" s="1">
        <v>3912</v>
      </c>
      <c r="C713" s="3">
        <v>44413.462210648147</v>
      </c>
      <c r="D713" s="1" t="s">
        <v>1427</v>
      </c>
      <c r="E713" s="4" t="str">
        <f ca="1">IFERROR(__xludf.DUMMYFUNCTION("GOOGLETRANSLATE(A713 , ""tr"" , ""en"")"),"The number of cases in a final week is the most increasing provinces; Siirt, Diyarbakir, Bingöl, Batman and Bitlis. The person who has more vaccines means to be influenced by less epidemic. Be your vaccine without losing time. https://t.co/mzmrumGIF8")</f>
        <v>The number of cases in a final week is the most increasing provinces; Siirt, Diyarbakir, Bingöl, Batman and Bitlis. The person who has more vaccines means to be influenced by less epidemic. Be your vaccine without losing time. https://t.co/mzmrumGIF8</v>
      </c>
    </row>
    <row r="714" spans="1:5" ht="15.75" customHeight="1" x14ac:dyDescent="0.25">
      <c r="A714" s="1" t="s">
        <v>1428</v>
      </c>
      <c r="B714" s="1">
        <v>6189</v>
      </c>
      <c r="C714" s="3">
        <v>44413.455775462964</v>
      </c>
      <c r="D714" s="1" t="s">
        <v>1429</v>
      </c>
      <c r="E714" s="4" t="str">
        <f ca="1">IFERROR(__xludf.DUMMYFUNCTION("GOOGLETRANSLATE(A714 , ""tr"" , ""en"")"),"In our provinces, you can see the current version of the incidence map that shows a total number of considers who correspond to 100,000 population. Our provinces with high rate of vaccination are much less affected by case increases. Be your vaccine witho"&amp;"ut losing time. https://t.co/mauwbxynk9")</f>
        <v>In our provinces, you can see the current version of the incidence map that shows a total number of considers who correspond to 100,000 population. Our provinces with high rate of vaccination are much less affected by case increases. Be your vaccine without losing time. https://t.co/mauwbxynk9</v>
      </c>
    </row>
    <row r="715" spans="1:5" ht="15.75" customHeight="1" x14ac:dyDescent="0.25">
      <c r="A715" s="1" t="s">
        <v>1430</v>
      </c>
      <c r="B715" s="1">
        <v>4052</v>
      </c>
      <c r="C715" s="3">
        <v>44412.746932870374</v>
      </c>
      <c r="D715" s="1" t="s">
        <v>1431</v>
      </c>
      <c r="E715" s="4" t="str">
        <f ca="1">IFERROR(__xludf.DUMMYFUNCTION("GOOGLETRANSLATE(A715 , ""tr"" , ""en"")"),"We have our postpone to be vaccinated. Although they take the risk today, scientists will change the thoughts of scientists, as they offer persuasive descriptions of them. Health; indecision is not favorable to contrast. Next to the whole world of humanit"&amp;"y and science does not income inaccurate. https://t.co/aokp8q8gau")</f>
        <v>We have our postpone to be vaccinated. Although they take the risk today, scientists will change the thoughts of scientists, as they offer persuasive descriptions of them. Health; indecision is not favorable to contrast. Next to the whole world of humanity and science does not income inaccurate. https://t.co/aokp8q8gau</v>
      </c>
    </row>
    <row r="716" spans="1:5" ht="15.75" customHeight="1" x14ac:dyDescent="0.25">
      <c r="A716" s="1" t="s">
        <v>1432</v>
      </c>
      <c r="B716" s="1">
        <v>20049</v>
      </c>
      <c r="C716" s="3">
        <v>44412.74386574074</v>
      </c>
      <c r="D716" s="1" t="s">
        <v>1433</v>
      </c>
      <c r="E716" s="4" t="str">
        <f ca="1">IFERROR(__xludf.DUMMYFUNCTION("GOOGLETRANSLATE(A716 , ""tr"" , ""en"")"),"HELLO AGAIN. Our biontech vaccines began to come last night. We will be delivered to the 13 million dose of dose of our vaccine until Monday. We return to our normal speed on Friday. We don't have our appointments unless there is an extraordinary situatio"&amp;"n.")</f>
        <v>HELLO AGAIN. Our biontech vaccines began to come last night. We will be delivered to the 13 million dose of dose of our vaccine until Monday. We return to our normal speed on Friday. We don't have our appointments unless there is an extraordinary situation.</v>
      </c>
    </row>
    <row r="717" spans="1:5" ht="15.75" customHeight="1" x14ac:dyDescent="0.25">
      <c r="A717" s="1" t="s">
        <v>1434</v>
      </c>
      <c r="B717" s="1">
        <v>5523</v>
      </c>
      <c r="C717" s="3">
        <v>44412.720034722224</v>
      </c>
      <c r="D717" s="1" t="s">
        <v>1435</v>
      </c>
      <c r="E717" s="4" t="str">
        <f ca="1">IFERROR(__xludf.DUMMYFUNCTION("GOOGLETRANSLATE(A717 , ""tr"" , ""en"")"),"Case numbers are very over 20 thousand limits we accept the border. We have the number of cases to lower the numbers under this limit. Be your vaccine, stay away from the crowds. https://t.co/rvlhe7786o https://t.co/aphphphjhyqw")</f>
        <v>Case numbers are very over 20 thousand limits we accept the border. We have the number of cases to lower the numbers under this limit. Be your vaccine, stay away from the crowds. https://t.co/rvlhe7786o https://t.co/aphphphjhyqw</v>
      </c>
    </row>
    <row r="718" spans="1:5" ht="15.75" customHeight="1" x14ac:dyDescent="0.25">
      <c r="A718" s="1" t="s">
        <v>1436</v>
      </c>
      <c r="B718" s="1">
        <v>3757</v>
      </c>
      <c r="C718" s="3">
        <v>44412.66479166667</v>
      </c>
      <c r="D718" s="1" t="s">
        <v>1437</v>
      </c>
      <c r="E718" s="4" t="str">
        <f ca="1">IFERROR(__xludf.DUMMYFUNCTION("GOOGLETRANSLATE(A718 , ""tr"" , ""en"")"),"Muğla. We've been discharged by completing their treatment of 450 patients. We have 10 patients in progress. We had been to 1 life loss in the disaster in the area. 61 Ambulance, 22 Umke team, 1 Mobile Command Tool, we are on site with a total of 306 heal"&amp;"th professionals.")</f>
        <v>Muğla. We've been discharged by completing their treatment of 450 patients. We have 10 patients in progress. We had been to 1 life loss in the disaster in the area. 61 Ambulance, 22 Umke team, 1 Mobile Command Tool, we are on site with a total of 306 health professionals.</v>
      </c>
    </row>
    <row r="719" spans="1:5" ht="15.75" customHeight="1" x14ac:dyDescent="0.25">
      <c r="A719" s="1" t="s">
        <v>1438</v>
      </c>
      <c r="B719" s="1">
        <v>4308</v>
      </c>
      <c r="C719" s="3">
        <v>44412.6637962963</v>
      </c>
      <c r="D719" s="1" t="s">
        <v>1439</v>
      </c>
      <c r="E719" s="4" t="str">
        <f ca="1">IFERROR(__xludf.DUMMYFUNCTION("GOOGLETRANSLATE(A719 , ""tr"" , ""en"")"),"ANTALYA. 704 We have discharged our patients by completing their treatment. We have 6 patients in progress. We had been to 7 life loss in the disaster in the region. 46 Ambulance, 17 Umke team, 1 Mobile Command Tool, we are on site with a total of 242 hea"&amp;"lth professionals.")</f>
        <v>ANTALYA. 704 We have discharged our patients by completing their treatment. We have 6 patients in progress. We had been to 7 life loss in the disaster in the region. 46 Ambulance, 17 Umke team, 1 Mobile Command Tool, we are on site with a total of 242 health professionals.</v>
      </c>
    </row>
    <row r="720" spans="1:5" ht="15.75" customHeight="1" x14ac:dyDescent="0.25">
      <c r="A720" s="1" t="s">
        <v>1440</v>
      </c>
      <c r="B720" s="1">
        <v>11202</v>
      </c>
      <c r="C720" s="3">
        <v>44412.643391203703</v>
      </c>
      <c r="D720" s="1" t="s">
        <v>1441</v>
      </c>
      <c r="E720" s="4" t="str">
        <f ca="1">IFERROR(__xludf.DUMMYFUNCTION("GOOGLETRANSLATE(A720 , ""tr"" , ""en"")"),"The Bilecik is now in the low risk category with the overnight rate of 75%. Our blue news get a lot!")</f>
        <v>The Bilecik is now in the low risk category with the overnight rate of 75%. Our blue news get a lot!</v>
      </c>
    </row>
    <row r="721" spans="1:5" ht="15.75" customHeight="1" x14ac:dyDescent="0.25">
      <c r="A721" s="1" t="s">
        <v>1442</v>
      </c>
      <c r="B721" s="1">
        <v>8257</v>
      </c>
      <c r="C721" s="3">
        <v>44412.498749999999</v>
      </c>
      <c r="D721" s="1" t="s">
        <v>1443</v>
      </c>
      <c r="E721" s="4" t="str">
        <f ca="1">IFERROR(__xludf.DUMMYFUNCTION("GOOGLETRANSLATE(A721 , ""tr"" , ""en"")"),"During the fire extinguishing studies, it is the medical intervention required to a forest hero for a forest hero that has to break the job because their eyes are uncomfortable.
Aug 3, Hours: 20.30, Marmaris https://t.co/g71qxw51lm")</f>
        <v>During the fire extinguishing studies, it is the medical intervention required to a forest hero for a forest hero that has to break the job because their eyes are uncomfortable.
Aug 3, Hours: 20.30, Marmaris https://t.co/g71qxw51lm</v>
      </c>
    </row>
    <row r="722" spans="1:5" ht="15.75" customHeight="1" x14ac:dyDescent="0.25">
      <c r="A722" s="1" t="s">
        <v>1444</v>
      </c>
      <c r="B722" s="1">
        <v>5283</v>
      </c>
      <c r="C722" s="3">
        <v>44412.426585648151</v>
      </c>
      <c r="D722" s="1" t="s">
        <v>1445</v>
      </c>
      <c r="E722" s="4" t="str">
        <f ca="1">IFERROR(__xludf.DUMMYFUNCTION("GOOGLETRANSLATE(A722 , ""tr"" , ""en"")"),"Fires for a long time extinguishing are growing in seconds. Thankuui, again glad events in seconds are also experiencing. Yesterday in Marmaris, Umke Timi instantly act for help call from the fumes.
August 3, Hours: 20.17, Marmaris https://t.co/ujycweyh73")</f>
        <v>Fires for a long time extinguishing are growing in seconds. Thankuui, again glad events in seconds are also experiencing. Yesterday in Marmaris, Umke Timi instantly act for help call from the fumes.
August 3, Hours: 20.17, Marmaris https://t.co/ujycweyh73</v>
      </c>
    </row>
    <row r="723" spans="1:5" ht="15.75" customHeight="1" x14ac:dyDescent="0.25">
      <c r="A723" s="1" t="s">
        <v>1446</v>
      </c>
      <c r="B723" s="1">
        <v>12505</v>
      </c>
      <c r="C723" s="3">
        <v>44412.292384259257</v>
      </c>
      <c r="D723" s="1" t="s">
        <v>1447</v>
      </c>
      <c r="E723" s="4" t="str">
        <f ca="1">IFERROR(__xludf.DUMMYFUNCTION("GOOGLETRANSLATE(A723 , ""tr"" , ""en"")"),"Our biggest challenge is now with fires. On the other hand, it is not difficult to get the front, also increases the number of cases in the epidemic disease. Against the circumstances surrounding us, let's do our best together. We need news to the hearts "&amp;"to sprinkle water.")</f>
        <v>Our biggest challenge is now with fires. On the other hand, it is not difficult to get the front, also increases the number of cases in the epidemic disease. Against the circumstances surrounding us, let's do our best together. We need news to the hearts to sprinkle water.</v>
      </c>
    </row>
    <row r="724" spans="1:5" ht="15.75" customHeight="1" x14ac:dyDescent="0.25">
      <c r="A724" s="1" t="s">
        <v>1448</v>
      </c>
      <c r="B724" s="1">
        <v>6130</v>
      </c>
      <c r="C724" s="3">
        <v>44411.84511574074</v>
      </c>
      <c r="D724" s="1" t="s">
        <v>1449</v>
      </c>
      <c r="E724" s="4" t="str">
        <f ca="1">IFERROR(__xludf.DUMMYFUNCTION("GOOGLETRANSLATE(A724 , ""tr"" , ""en"")"),"In Marmaris, Umke Tims reviews emergency response action plans for the possibility of extinguishing teams in progress on the steep terrain between two mountains.
August 3, Hours: 12.10 https://t.co/hcbua3yyqw")</f>
        <v>In Marmaris, Umke Tims reviews emergency response action plans for the possibility of extinguishing teams in progress on the steep terrain between two mountains.
August 3, Hours: 12.10 https://t.co/hcbua3yyqw</v>
      </c>
    </row>
    <row r="725" spans="1:5" ht="15.75" customHeight="1" x14ac:dyDescent="0.25">
      <c r="A725" s="1" t="s">
        <v>1450</v>
      </c>
      <c r="B725" s="1">
        <v>9563</v>
      </c>
      <c r="C725" s="3">
        <v>44411.795219907406</v>
      </c>
      <c r="D725" s="1" t="s">
        <v>1451</v>
      </c>
      <c r="E725" s="4" t="str">
        <f ca="1">IFERROR(__xludf.DUMMYFUNCTION("GOOGLETRANSLATE(A725 , ""tr"" , ""en"")"),"The daily number of cases approached 25 thousand. For the rules of the outbreak of the epidemic, we are acting on to end the epidemic, if we make our vaccination. Like the first dose vaccines, the second and third overdose vaccines are extremely important"&amp;". https://t.co/dxhrgnvtw9")</f>
        <v>The daily number of cases approached 25 thousand. For the rules of the outbreak of the epidemic, we are acting on to end the epidemic, if we make our vaccination. Like the first dose vaccines, the second and third overdose vaccines are extremely important. https://t.co/dxhrgnvtw9</v>
      </c>
    </row>
    <row r="726" spans="1:5" ht="15.75" customHeight="1" x14ac:dyDescent="0.25">
      <c r="A726" s="1" t="s">
        <v>1452</v>
      </c>
      <c r="B726" s="1">
        <v>5442</v>
      </c>
      <c r="C726" s="3">
        <v>44411.360069444447</v>
      </c>
      <c r="D726" s="1" t="s">
        <v>1453</v>
      </c>
      <c r="E726" s="4" t="str">
        <f ca="1">IFERROR(__xludf.DUMMYFUNCTION("GOOGLETRANSLATE(A726 , ""tr"" , ""en"")"),"Muğla. 271 We have discharged our patients by completing their treatment. We have 36 patients ongoing treatment. We had 1 life loss in the disaster in the area. 44 Ambulance, 16 Umke team, 1 Mobile Command Tool, we are on site with a total of 228 health p"&amp;"rofessionals.")</f>
        <v>Muğla. 271 We have discharged our patients by completing their treatment. We have 36 patients ongoing treatment. We had 1 life loss in the disaster in the area. 44 Ambulance, 16 Umke team, 1 Mobile Command Tool, we are on site with a total of 228 health professionals.</v>
      </c>
    </row>
    <row r="727" spans="1:5" ht="15.75" customHeight="1" x14ac:dyDescent="0.25">
      <c r="A727" s="1" t="s">
        <v>1454</v>
      </c>
      <c r="B727" s="1">
        <v>8939</v>
      </c>
      <c r="C727" s="3">
        <v>44411.359444444446</v>
      </c>
      <c r="D727" s="1" t="s">
        <v>1455</v>
      </c>
      <c r="E727" s="4" t="str">
        <f ca="1">IFERROR(__xludf.DUMMYFUNCTION("GOOGLETRANSLATE(A727 , ""tr"" , ""en"")"),"ANTALYA. 598 We've been discharged by completing their treatment. We have 11 patients in progress. We had 7 life loss in the disaster in the area. 34 Ambulance, 17 Umke team, 1 Mobile Command Tool, we are on site with a total of 191 health professionals.")</f>
        <v>ANTALYA. 598 We've been discharged by completing their treatment. We have 11 patients in progress. We had 7 life loss in the disaster in the area. 34 Ambulance, 17 Umke team, 1 Mobile Command Tool, we are on site with a total of 191 health professionals.</v>
      </c>
    </row>
    <row r="728" spans="1:5" ht="15.75" customHeight="1" x14ac:dyDescent="0.25">
      <c r="A728" s="1" t="s">
        <v>1456</v>
      </c>
      <c r="B728" s="1">
        <v>10179</v>
      </c>
      <c r="C728" s="3">
        <v>44410.698761574073</v>
      </c>
      <c r="D728" s="1" t="s">
        <v>1457</v>
      </c>
      <c r="E728" s="4" t="str">
        <f ca="1">IFERROR(__xludf.DUMMYFUNCTION("GOOGLETRANSLATE(A728 , ""tr"" , ""en"")"),"The rate of increase in case numbers tend to decrease. We will make this permanent. Be your vaccination without compromising the measure. https://t.co/rvlhe7786o https://t.co/hx8ekapum9")</f>
        <v>The rate of increase in case numbers tend to decrease. We will make this permanent. Be your vaccination without compromising the measure. https://t.co/rvlhe7786o https://t.co/hx8ekapum9</v>
      </c>
    </row>
    <row r="729" spans="1:5" ht="15.75" customHeight="1" x14ac:dyDescent="0.25">
      <c r="A729" s="1" t="s">
        <v>1458</v>
      </c>
      <c r="B729" s="1">
        <v>9032</v>
      </c>
      <c r="C729" s="3">
        <v>44410.507152777776</v>
      </c>
      <c r="D729" s="1" t="s">
        <v>1459</v>
      </c>
      <c r="E729" s="4" t="str">
        <f ca="1">IFERROR(__xludf.DUMMYFUNCTION("GOOGLETRANSLATE(A729 , ""tr"" , ""en"")"),"Humanities come over by when people suffer.
We are in disaster areas with volunteer Umke teams and emergency health services. https://t.co/m0aytvbmzg")</f>
        <v>Humanities come over by when people suffer.
We are in disaster areas with volunteer Umke teams and emergency health services. https://t.co/m0aytvbmzg</v>
      </c>
    </row>
    <row r="730" spans="1:5" ht="15.75" customHeight="1" x14ac:dyDescent="0.25">
      <c r="A730" s="1" t="s">
        <v>1460</v>
      </c>
      <c r="B730" s="1">
        <v>9713</v>
      </c>
      <c r="C730" s="3">
        <v>44409.765729166669</v>
      </c>
      <c r="D730" s="1" t="s">
        <v>1461</v>
      </c>
      <c r="E730" s="4" t="str">
        <f ca="1">IFERROR(__xludf.DUMMYFUNCTION("GOOGLETRANSLATE(A730 , ""tr"" , ""en"")"),"The life losses on the fires are more than in the burning forests. In the fire in Manavgat, the smoke-affected dog was performed by our medical intervention Umke teams. We thank you on behalf of all animal lovers. https://t.co/ugcywucdtp")</f>
        <v>The life losses on the fires are more than in the burning forests. In the fire in Manavgat, the smoke-affected dog was performed by our medical intervention Umke teams. We thank you on behalf of all animal lovers. https://t.co/ugcywucdtp</v>
      </c>
    </row>
    <row r="731" spans="1:5" ht="15.75" customHeight="1" x14ac:dyDescent="0.25">
      <c r="A731" s="1" t="s">
        <v>1462</v>
      </c>
      <c r="B731" s="1">
        <v>11209</v>
      </c>
      <c r="C731" s="3">
        <v>44409.750949074078</v>
      </c>
      <c r="D731" s="1" t="s">
        <v>1463</v>
      </c>
      <c r="E731" s="4" t="str">
        <f ca="1">IFERROR(__xludf.DUMMYFUNCTION("GOOGLETRANSLATE(A731 , ""tr"" , ""en"")"),"Our patient has a pair of words. The first one: I haven't been a Covid vaccination. Second: I wish I was! Nurettin Karabuk is 48 years old. Covid-19 is treated with the reason. Infected to their virus nearby. The video was taken on the fifth day of intens"&amp;"ive care. https://t.co/ybwoxqbucz")</f>
        <v>Our patient has a pair of words. The first one: I haven't been a Covid vaccination. Second: I wish I was! Nurettin Karabuk is 48 years old. Covid-19 is treated with the reason. Infected to their virus nearby. The video was taken on the fifth day of intensive care. https://t.co/ybwoxqbucz</v>
      </c>
    </row>
    <row r="732" spans="1:5" ht="15.75" customHeight="1" x14ac:dyDescent="0.25">
      <c r="A732" s="1" t="s">
        <v>1464</v>
      </c>
      <c r="B732" s="1">
        <v>3921</v>
      </c>
      <c r="C732" s="3">
        <v>44409.744340277779</v>
      </c>
      <c r="D732" s="1" t="s">
        <v>1465</v>
      </c>
      <c r="E732" s="4" t="str">
        <f ca="1">IFERROR(__xludf.DUMMYFUNCTION("GOOGLETRANSLATE(A732 , ""tr"" , ""en"")"),"In Van, our teams are health scanning in the affected areas. We are on the beginning of the new negativities that can be experienced after the precipitation warnings from the meteorology. https://t.co/55psuwrjvr")</f>
        <v>In Van, our teams are health scanning in the affected areas. We are on the beginning of the new negativities that can be experienced after the precipitation warnings from the meteorology. https://t.co/55psuwrjvr</v>
      </c>
    </row>
    <row r="733" spans="1:5" ht="15.75" customHeight="1" x14ac:dyDescent="0.25">
      <c r="A733" s="1" t="s">
        <v>1466</v>
      </c>
      <c r="B733" s="1">
        <v>3152</v>
      </c>
      <c r="C733" s="3">
        <v>44409.739016203705</v>
      </c>
      <c r="D733" s="1" t="s">
        <v>1467</v>
      </c>
      <c r="E733" s="4" t="str">
        <f ca="1">IFERROR(__xludf.DUMMYFUNCTION("GOOGLETRANSLATE(A733 , ""tr"" , ""en"")"),"The health services we offer to those affected by forest fires in Manavgat are driving. In addition to emergency interventions, general health controls are also performed. All the controls of the elderly and chronic disease were completed, drug and hygien"&amp;"ic maintenance needs were met. https://t.co/o3pezon6zz")</f>
        <v>The health services we offer to those affected by forest fires in Manavgat are driving. In addition to emergency interventions, general health controls are also performed. All the controls of the elderly and chronic disease were completed, drug and hygienic maintenance needs were met. https://t.co/o3pezon6zz</v>
      </c>
    </row>
    <row r="734" spans="1:5" ht="15.75" customHeight="1" x14ac:dyDescent="0.25">
      <c r="A734" s="1" t="s">
        <v>1468</v>
      </c>
      <c r="B734" s="1">
        <v>6010</v>
      </c>
      <c r="C734" s="3">
        <v>44409.72896990741</v>
      </c>
      <c r="D734" s="1" t="s">
        <v>1469</v>
      </c>
      <c r="E734" s="4" t="str">
        <f ca="1">IFERROR(__xludf.DUMMYFUNCTION("GOOGLETRANSLATE(A734 , ""tr"" , ""en"")"),"Compliance with will and measures to stop the rise in the number of cases. Be the vaccination, stay away from the crowds. https://t.co/rvlhe7786o https://t.co/jdw79ytak3")</f>
        <v>Compliance with will and measures to stop the rise in the number of cases. Be the vaccination, stay away from the crowds. https://t.co/rvlhe7786o https://t.co/jdw79ytak3</v>
      </c>
    </row>
    <row r="735" spans="1:5" ht="15.75" customHeight="1" x14ac:dyDescent="0.25">
      <c r="A735" s="1" t="s">
        <v>1470</v>
      </c>
      <c r="B735" s="1">
        <v>4136</v>
      </c>
      <c r="C735" s="3">
        <v>44409.667974537035</v>
      </c>
      <c r="D735" s="1" t="s">
        <v>1471</v>
      </c>
      <c r="E735" s="4" t="str">
        <f ca="1">IFERROR(__xludf.DUMMYFUNCTION("GOOGLETRANSLATE(A735 , ""tr"" , ""en"")"),"112 Emergency Ambulance teams are affected by the incident in the evacueed villages in the evacuated villages and maintenance and treatment of our patients in hospitals for a short time. We are in an exam that emergency health services earn more urgency. "&amp;"I'm celebrating our friends. https://t.co/czk24kiiep")</f>
        <v>112 Emergency Ambulance teams are affected by the incident in the evacueed villages in the evacuated villages and maintenance and treatment of our patients in hospitals for a short time. We are in an exam that emergency health services earn more urgency. I'm celebrating our friends. https://t.co/czk24kiiep</v>
      </c>
    </row>
    <row r="736" spans="1:5" ht="15.75" customHeight="1" x14ac:dyDescent="0.25">
      <c r="A736" s="1" t="s">
        <v>1472</v>
      </c>
      <c r="B736" s="1">
        <v>6302</v>
      </c>
      <c r="C736" s="3">
        <v>44409.553865740738</v>
      </c>
      <c r="D736" s="1" t="s">
        <v>1473</v>
      </c>
      <c r="E736" s="4" t="str">
        <f ca="1">IFERROR(__xludf.DUMMYFUNCTION("GOOGLETRANSLATE(A736 , ""tr"" , ""en"")"),"186 of the 203 people affected by the fires in Marmaris and Bodrum was discharged by completing the treatments. The treatment of 17 is ongoing. With 39 112 ambulances and 15 Umke teams at the scene, 193 health personnel served. We had been a loss of life "&amp;"in Marmaris.")</f>
        <v>186 of the 203 people affected by the fires in Marmaris and Bodrum was discharged by completing the treatments. The treatment of 17 is ongoing. With 39 112 ambulances and 15 Umke teams at the scene, 193 health personnel served. We had been a loss of life in Marmaris.</v>
      </c>
    </row>
    <row r="737" spans="1:5" ht="15.75" customHeight="1" x14ac:dyDescent="0.25">
      <c r="A737" s="1" t="s">
        <v>1474</v>
      </c>
      <c r="B737" s="1">
        <v>4418</v>
      </c>
      <c r="C737" s="3">
        <v>44409.550428240742</v>
      </c>
      <c r="D737" s="1" t="s">
        <v>1475</v>
      </c>
      <c r="E737" s="4" t="str">
        <f ca="1">IFERROR(__xludf.DUMMYFUNCTION("GOOGLETRANSLATE(A737 , ""tr"" , ""en"")"),"154 people affected by the fire in Mersin was discharged by completing treatments. 28 pcs 112 ambulance, 2 Umke Timi, 90 health personnel are in the scene. I offer my wishes that get to all sterlingies on behalf of our health workers.")</f>
        <v>154 people affected by the fire in Mersin was discharged by completing treatments. 28 pcs 112 ambulance, 2 Umke Timi, 90 health personnel are in the scene. I offer my wishes that get to all sterlingies on behalf of our health workers.</v>
      </c>
    </row>
    <row r="738" spans="1:5" ht="15.75" customHeight="1" x14ac:dyDescent="0.25">
      <c r="A738" s="1" t="s">
        <v>1476</v>
      </c>
      <c r="B738" s="1">
        <v>4387</v>
      </c>
      <c r="C738" s="3">
        <v>44409.54891203704</v>
      </c>
      <c r="D738" s="1" t="s">
        <v>1477</v>
      </c>
      <c r="E738" s="4" t="str">
        <f ca="1">IFERROR(__xludf.DUMMYFUNCTION("GOOGLETRANSLATE(A738 , ""tr"" , ""en"")"),"In the fire in Manavgat, two of them have a new total of 7 losses. 497 of the 507 people affected by fire were discharged by completing treatment. 10 people's treatment is driving. 34 112 ambulance, 15 Umke team, 1 Mobile Command Tool, 183 We are at the s"&amp;"cene with health personnel.")</f>
        <v>In the fire in Manavgat, two of them have a new total of 7 losses. 497 of the 507 people affected by fire were discharged by completing treatment. 10 people's treatment is driving. 34 112 ambulance, 15 Umke team, 1 Mobile Command Tool, 183 We are at the scene with health personnel.</v>
      </c>
    </row>
    <row r="739" spans="1:5" ht="15.75" customHeight="1" x14ac:dyDescent="0.25">
      <c r="A739" s="1" t="s">
        <v>1478</v>
      </c>
      <c r="B739" s="1">
        <v>12130</v>
      </c>
      <c r="C739" s="3">
        <v>44409.462060185186</v>
      </c>
      <c r="D739" s="1" t="s">
        <v>1479</v>
      </c>
      <c r="E739" s="4" t="str">
        <f ca="1">IFERROR(__xludf.DUMMYFUNCTION("GOOGLETRANSLATE(A739 , ""tr"" , ""en"")"),"Kilis and Kayseri has reached an over 65% rate in vaccinated by a high risk (orange) provincial group. Switched to the middle risk (yellow) provincial group. Better than that blue!")</f>
        <v>Kilis and Kayseri has reached an over 65% rate in vaccinated by a high risk (orange) provincial group. Switched to the middle risk (yellow) provincial group. Better than that blue!</v>
      </c>
    </row>
    <row r="740" spans="1:5" ht="15.75" customHeight="1" x14ac:dyDescent="0.25">
      <c r="A740" s="1" t="s">
        <v>1480</v>
      </c>
      <c r="B740" s="1">
        <v>14713</v>
      </c>
      <c r="C740" s="3">
        <v>44408.841203703705</v>
      </c>
      <c r="D740" s="1" t="s">
        <v>1481</v>
      </c>
      <c r="E740" s="4" t="str">
        <f ca="1">IFERROR(__xludf.DUMMYFUNCTION("GOOGLETRANSLATE(A740 , ""tr"" , ""en"")"),"We are on the limit of 20 thousand in case numbers. Let's get the measures we have not received, let us be the vaccine we postpone. Results change rapidly if we reverse reasons.")</f>
        <v>We are on the limit of 20 thousand in case numbers. Let's get the measures we have not received, let us be the vaccine we postpone. Results change rapidly if we reverse reasons.</v>
      </c>
    </row>
    <row r="741" spans="1:5" ht="15.75" customHeight="1" x14ac:dyDescent="0.25">
      <c r="A741" s="1" t="s">
        <v>1482</v>
      </c>
      <c r="B741" s="1">
        <v>6545</v>
      </c>
      <c r="C741" s="3">
        <v>44408.784548611111</v>
      </c>
      <c r="D741" s="1" t="s">
        <v>1483</v>
      </c>
      <c r="E741" s="4" t="str">
        <f ca="1">IFERROR(__xludf.DUMMYFUNCTION("GOOGLETRANSLATE(A741 , ""tr"" , ""en"")"),"The 46-year-old yasin treated in Ankara City Hospital Covid-19 Intensive Care Unit, the non-vaccines such as the vaccines, today is tomorrow, but I have received the issue. Nobody neglect the vaccination. ""Https://t.co/n1afve5w4q")</f>
        <v>The 46-year-old yasin treated in Ankara City Hospital Covid-19 Intensive Care Unit, the non-vaccines such as the vaccines, today is tomorrow, but I have received the issue. Nobody neglect the vaccination. "Https://t.co/n1afve5w4q</v>
      </c>
    </row>
    <row r="742" spans="1:5" ht="15.75" customHeight="1" x14ac:dyDescent="0.25">
      <c r="A742" s="1" t="s">
        <v>1484</v>
      </c>
      <c r="B742" s="1">
        <v>4475</v>
      </c>
      <c r="C742" s="3">
        <v>44408.741620370369</v>
      </c>
      <c r="D742" s="1" t="s">
        <v>1485</v>
      </c>
      <c r="E742" s="4" t="str">
        <f ca="1">IFERROR(__xludf.DUMMYFUNCTION("GOOGLETRANSLATE(A742 , ""tr"" , ""en"")"),"You couldn't see this family happy in April like this. Cengiz Bey, the daughter Melike, his son was Alperen COVID-19 patients. Mothers nurse Semra did not become sick, were grafted as health personnel. The time of all three has made their vaccinations its"&amp;"elf. Message of the photo? In our opinion, goodness, health! https://t.co/eghl2sf8IZ")</f>
        <v>You couldn't see this family happy in April like this. Cengiz Bey, the daughter Melike, his son was Alperen COVID-19 patients. Mothers nurse Semra did not become sick, were grafted as health personnel. The time of all three has made their vaccinations itself. Message of the photo? In our opinion, goodness, health! https://t.co/eghl2sf8IZ</v>
      </c>
    </row>
    <row r="743" spans="1:5" ht="15.75" customHeight="1" x14ac:dyDescent="0.25">
      <c r="A743" s="1" t="s">
        <v>1486</v>
      </c>
      <c r="B743" s="1">
        <v>6159</v>
      </c>
      <c r="C743" s="3">
        <v>44408.735995370371</v>
      </c>
      <c r="D743" s="1" t="s">
        <v>1487</v>
      </c>
      <c r="E743" s="4" t="str">
        <f ca="1">IFERROR(__xludf.DUMMYFUNCTION("GOOGLETRANSLATE(A743 , ""tr"" , ""en"")"),"Umke always with us in our land days.
Help Your hand is missing friends. https://t.co/taib79woqn")</f>
        <v>Umke always with us in our land days.
Help Your hand is missing friends. https://t.co/taib79woqn</v>
      </c>
    </row>
    <row r="744" spans="1:5" ht="15.75" customHeight="1" x14ac:dyDescent="0.25">
      <c r="A744" s="1" t="s">
        <v>1488</v>
      </c>
      <c r="B744" s="1">
        <v>5457</v>
      </c>
      <c r="C744" s="3">
        <v>44408.710879629631</v>
      </c>
      <c r="D744" s="1" t="s">
        <v>1489</v>
      </c>
      <c r="E744" s="4" t="str">
        <f ca="1">IFERROR(__xludf.DUMMYFUNCTION("GOOGLETRANSLATE(A744 , ""tr"" , ""en"")"),"Case numbers are over the limit of 20 thousand in spite of the week end. Able to reverse that. If we warn the measures and immunization with vaccines, the situation will return to our favor. https://t.co/rvlhe7786o https://t.co/1wm43qug0l")</f>
        <v>Case numbers are over the limit of 20 thousand in spite of the week end. Able to reverse that. If we warn the measures and immunization with vaccines, the situation will return to our favor. https://t.co/rvlhe7786o https://t.co/1wm43qug0l</v>
      </c>
    </row>
    <row r="745" spans="1:5" ht="15.75" customHeight="1" x14ac:dyDescent="0.25">
      <c r="A745" s="1" t="s">
        <v>1490</v>
      </c>
      <c r="B745" s="1">
        <v>18051</v>
      </c>
      <c r="C745" s="3">
        <v>44408.614236111112</v>
      </c>
      <c r="D745" s="1" t="s">
        <v>1491</v>
      </c>
      <c r="E745" s="4" t="str">
        <f ca="1">IFERROR(__xludf.DUMMYFUNCTION("GOOGLETRANSLATE(A745 , ""tr"" , ""en"")"),"HI. There is a development we will overcome on Wednesday. Due to the biontech vaccine production, there will be several days reduced to our country in our country. I ask that those who prefer this vaccine without making an appointment to be vaccinated. Ri"&amp;"ght for your understanding. There is no hitch in Sinovac.")</f>
        <v>HI. There is a development we will overcome on Wednesday. Due to the biontech vaccine production, there will be several days reduced to our country in our country. I ask that those who prefer this vaccine without making an appointment to be vaccinated. Right for your understanding. There is no hitch in Sinovac.</v>
      </c>
    </row>
    <row r="746" spans="1:5" ht="15.75" customHeight="1" x14ac:dyDescent="0.25">
      <c r="A746" s="1" t="s">
        <v>1492</v>
      </c>
      <c r="B746" s="1">
        <v>5838</v>
      </c>
      <c r="C746" s="3">
        <v>44408.532881944448</v>
      </c>
      <c r="D746" s="1" t="s">
        <v>1493</v>
      </c>
      <c r="E746" s="4" t="str">
        <f ca="1">IFERROR(__xludf.DUMMYFUNCTION("GOOGLETRANSLATE(A746 , ""tr"" , ""en"")"),"In the vaccine 30 July: 1 million 410 thousand 562 dose vaccines were applied yesterday. The number of the first dose of overdose is 331,616. The number of the second overdose is 890.173. The number of third overdose is 188.773. The number of those who do"&amp;" not have the first overdose yet landed on 21.253.444.")</f>
        <v>In the vaccine 30 July: 1 million 410 thousand 562 dose vaccines were applied yesterday. The number of the first dose of overdose is 331,616. The number of the second overdose is 890.173. The number of third overdose is 188.773. The number of those who do not have the first overdose yet landed on 21.253.444.</v>
      </c>
    </row>
    <row r="747" spans="1:5" ht="15.75" customHeight="1" x14ac:dyDescent="0.25">
      <c r="A747" s="1" t="s">
        <v>1494</v>
      </c>
      <c r="B747" s="1">
        <v>6636</v>
      </c>
      <c r="C747" s="3">
        <v>44408.505856481483</v>
      </c>
      <c r="D747" s="1" t="s">
        <v>1495</v>
      </c>
      <c r="E747" s="4" t="str">
        <f ca="1">IFERROR(__xludf.DUMMYFUNCTION("GOOGLETRANSLATE(A747 , ""tr"" , ""en"")"),"In the forest fire in Manavgat, our life losses at the scene have risen to five of our two forests workers. Like the forests, the hearts were in a row. 410 people were affected so far. The 400 people we have completed the treatment was discharged. Our lyi"&amp;"ng patient number is 10.")</f>
        <v>In the forest fire in Manavgat, our life losses at the scene have risen to five of our two forests workers. Like the forests, the hearts were in a row. 410 people were affected so far. The 400 people we have completed the treatment was discharged. Our lying patient number is 10.</v>
      </c>
    </row>
    <row r="748" spans="1:5" ht="15.75" customHeight="1" x14ac:dyDescent="0.25">
      <c r="A748" s="1" t="s">
        <v>1496</v>
      </c>
      <c r="B748" s="1">
        <v>6743</v>
      </c>
      <c r="C748" s="3">
        <v>44408.483587962961</v>
      </c>
      <c r="D748" s="1" t="s">
        <v>1497</v>
      </c>
      <c r="E748" s="4" t="str">
        <f ca="1">IFERROR(__xludf.DUMMYFUNCTION("GOOGLETRANSLATE(A748 , ""tr"" , ""en"")"),"We will also know the value of our athletes who have experienced these pride. Congratulations mete! https://t.co/pfjsiumfsz")</f>
        <v>We will also know the value of our athletes who have experienced these pride. Congratulations mete! https://t.co/pfjsiumfsz</v>
      </c>
    </row>
    <row r="749" spans="1:5" ht="15.75" customHeight="1" x14ac:dyDescent="0.25">
      <c r="A749" s="1" t="s">
        <v>1498</v>
      </c>
      <c r="B749" s="1">
        <v>4820</v>
      </c>
      <c r="C749" s="3">
        <v>44408.478136574071</v>
      </c>
      <c r="D749" s="1" t="s">
        <v>1499</v>
      </c>
      <c r="E749" s="4" t="str">
        <f ca="1">IFERROR(__xludf.DUMMYFUNCTION("GOOGLETRANSLATE(A749 , ""tr"" , ""en"")"),"160 people were affected by the forest fires in Marmaris and Bodrum. We have completed the treatments of our 159 patients, discharged. A patient was referred to Izmir Bozyaka Education and Research Hospital for the treatment of burns. As is known, the fir"&amp;"st day we had been a life loss in Marmaris.")</f>
        <v>160 people were affected by the forest fires in Marmaris and Bodrum. We have completed the treatments of our 159 patients, discharged. A patient was referred to Izmir Bozyaka Education and Research Hospital for the treatment of burns. As is known, the first day we had been a life loss in Marmaris.</v>
      </c>
    </row>
    <row r="750" spans="1:5" ht="15.75" customHeight="1" x14ac:dyDescent="0.25">
      <c r="A750" s="1" t="s">
        <v>1500</v>
      </c>
      <c r="B750" s="1">
        <v>19444</v>
      </c>
      <c r="C750" s="3">
        <v>44407.912199074075</v>
      </c>
      <c r="D750" s="1" t="s">
        <v>1501</v>
      </c>
      <c r="E750" s="4" t="str">
        <f ca="1">IFERROR(__xludf.DUMMYFUNCTION("GOOGLETRANSLATE(A750 , ""tr"" , ""en"")"),"My hometown has been treated with seven murder not minded with an armed attack in Konya. To those who lost his life, I wish the mercy from Allah to their relatives. Konya's pain in common, no purpose is too large to be applied. The place of the murderers "&amp;"are prison, hometown.")</f>
        <v>My hometown has been treated with seven murder not minded with an armed attack in Konya. To those who lost his life, I wish the mercy from Allah to their relatives. Konya's pain in common, no purpose is too large to be applied. The place of the murderers are prison, hometown.</v>
      </c>
    </row>
    <row r="751" spans="1:5" ht="15.75" customHeight="1" x14ac:dyDescent="0.25">
      <c r="A751" s="1" t="s">
        <v>1502</v>
      </c>
      <c r="B751" s="1">
        <v>6622</v>
      </c>
      <c r="C751" s="3">
        <v>44407.88826388889</v>
      </c>
      <c r="D751" s="1" t="s">
        <v>1503</v>
      </c>
      <c r="E751" s="4" t="str">
        <f ca="1">IFERROR(__xludf.DUMMYFUNCTION("GOOGLETRANSLATE(A751 , ""tr"" , ""en"")"),"132 people affected by the fires in Mersin's Silifke and Aydıncık districts were discharged by completing the treatments. I present my wishes to Silifke and Aluminum People, all our country, in the name of our health workers.")</f>
        <v>132 people affected by the fires in Mersin's Silifke and Aydıncık districts were discharged by completing the treatments. I present my wishes to Silifke and Aluminum People, all our country, in the name of our health workers.</v>
      </c>
    </row>
    <row r="752" spans="1:5" ht="15.75" customHeight="1" x14ac:dyDescent="0.25">
      <c r="A752" s="1" t="s">
        <v>1504</v>
      </c>
      <c r="B752" s="1">
        <v>3404</v>
      </c>
      <c r="C752" s="3">
        <v>44407.869710648149</v>
      </c>
      <c r="D752" s="1" t="s">
        <v>1505</v>
      </c>
      <c r="E752" s="4" t="str">
        <f ca="1">IFERROR(__xludf.DUMMYFUNCTION("GOOGLETRANSLATE(A752 , ""tr"" , ""en"")"),"Today, we reached the 1 millionth overdose to the vaccine at Mersin University Hospital at 15.37. Hatice Guzeloğlu's 2nd Dose Biontech Vaccine Nurse Sevda Dürücü, Dr. Made of roses under the supervision of ersosphere. https://t.co/42tbe9vvel")</f>
        <v>Today, we reached the 1 millionth overdose to the vaccine at Mersin University Hospital at 15.37. Hatice Guzeloğlu's 2nd Dose Biontech Vaccine Nurse Sevda Dürücü, Dr. Made of roses under the supervision of ersosphere. https://t.co/42tbe9vvel</v>
      </c>
    </row>
    <row r="753" spans="1:5" ht="15.75" customHeight="1" x14ac:dyDescent="0.25">
      <c r="A753" s="1" t="s">
        <v>1506</v>
      </c>
      <c r="B753" s="1">
        <v>8517</v>
      </c>
      <c r="C753" s="3">
        <v>44407.833425925928</v>
      </c>
      <c r="D753" s="1" t="s">
        <v>1507</v>
      </c>
      <c r="E753" s="4" t="str">
        <f ca="1">IFERROR(__xludf.DUMMYFUNCTION("GOOGLETRANSLATE(A753 , ""tr"" , ""en"")"),"Hakkari, Kırıkkale, Nevsehir and Çankırı category (Yellow) category of high-risk provincial (orange) category.")</f>
        <v>Hakkari, Kırıkkale, Nevsehir and Çankırı category (Yellow) category of high-risk provincial (orange) category.</v>
      </c>
    </row>
    <row r="754" spans="1:5" ht="15.75" customHeight="1" x14ac:dyDescent="0.25">
      <c r="A754" s="1" t="s">
        <v>1508</v>
      </c>
      <c r="B754" s="1">
        <v>10494</v>
      </c>
      <c r="C754" s="3">
        <v>44407.816412037035</v>
      </c>
      <c r="D754" s="1" t="s">
        <v>1509</v>
      </c>
      <c r="E754" s="4" t="str">
        <f ca="1">IFERROR(__xludf.DUMMYFUNCTION("GOOGLETRANSLATE(A754 , ""tr"" , ""en"")"),"Van and Erzurum went to the category of high risk of high-risk provincial (red) category.")</f>
        <v>Van and Erzurum went to the category of high risk of high-risk provincial (red) category.</v>
      </c>
    </row>
    <row r="755" spans="1:5" ht="15.75" customHeight="1" x14ac:dyDescent="0.25">
      <c r="A755" s="1" t="s">
        <v>1510</v>
      </c>
      <c r="B755" s="1">
        <v>7240</v>
      </c>
      <c r="C755" s="3">
        <v>44407.720601851855</v>
      </c>
      <c r="D755" s="1" t="s">
        <v>1511</v>
      </c>
      <c r="E755" s="4" t="str">
        <f ca="1">IFERROR(__xludf.DUMMYFUNCTION("GOOGLETRANSLATE(A755 , ""tr"" , ""en"")"),"We have not yet been able to control the increase in case numbers. The path is the measure and vaccine. Make your vaccine without saying the weekend, without the day without time, please follow the measures. https://t.co/oyejs9puft")</f>
        <v>We have not yet been able to control the increase in case numbers. The path is the measure and vaccine. Make your vaccine without saying the weekend, without the day without time, please follow the measures. https://t.co/oyejs9puft</v>
      </c>
    </row>
    <row r="756" spans="1:5" ht="15.75" customHeight="1" x14ac:dyDescent="0.25">
      <c r="A756" s="1" t="s">
        <v>1512</v>
      </c>
      <c r="B756" s="1">
        <v>5395</v>
      </c>
      <c r="C756" s="3">
        <v>44407.647870370369</v>
      </c>
      <c r="D756" s="1" t="s">
        <v>1513</v>
      </c>
      <c r="E756" s="4" t="str">
        <f ca="1">IFERROR(__xludf.DUMMYFUNCTION("GOOGLETRANSLATE(A756 , ""tr"" , ""en"")"),"A person in the forest fires in Marmaris and Bodrum lost his life. The three were affected by fires, 60 of 60 in foreign nationals were completed by completing 60 treatments. The general situation of the four people in progress is good. We are on duty in "&amp;"fire areas with our teams.")</f>
        <v>A person in the forest fires in Marmaris and Bodrum lost his life. The three were affected by fires, 60 of 60 in foreign nationals were completed by completing 60 treatments. The general situation of the four people in progress is good. We are on duty in fire areas with our teams.</v>
      </c>
    </row>
    <row r="757" spans="1:5" ht="15.75" customHeight="1" x14ac:dyDescent="0.25">
      <c r="A757" s="1" t="s">
        <v>1514</v>
      </c>
      <c r="B757" s="1">
        <v>9361</v>
      </c>
      <c r="C757" s="3">
        <v>44407.644930555558</v>
      </c>
      <c r="D757" s="1" t="s">
        <v>1515</v>
      </c>
      <c r="E757" s="4" t="str">
        <f ca="1">IFERROR(__xludf.DUMMYFUNCTION("GOOGLETRANSLATE(A757 , ""tr"" , ""en"")"),"We have three life loss in the forest fire in Manavgat. Two of the 16 people operated because of two fractures are driving. 292 We have discharged our patients by completing their treatment. In accordance with the partial evacuation, 10 YESTS Maintenance "&amp;"patients in our state hospital were transported to other hospitals.")</f>
        <v>We have three life loss in the forest fire in Manavgat. Two of the 16 people operated because of two fractures are driving. 292 We have discharged our patients by completing their treatment. In accordance with the partial evacuation, 10 YESTS Maintenance patients in our state hospital were transported to other hospitals.</v>
      </c>
    </row>
    <row r="758" spans="1:5" ht="15.75" customHeight="1" x14ac:dyDescent="0.25">
      <c r="A758" s="1" t="s">
        <v>1516</v>
      </c>
      <c r="B758" s="1">
        <v>8025</v>
      </c>
      <c r="C758" s="3">
        <v>44407.405949074076</v>
      </c>
      <c r="D758" s="1" t="s">
        <v>1517</v>
      </c>
      <c r="E758" s="4" t="str">
        <f ca="1">IFERROR(__xludf.DUMMYFUNCTION("GOOGLETRANSLATE(A758 , ""tr"" , ""en"")"),"JULY 29: Yesterday, 1 million 405 thousand 579 dose vaccines were applied yesterday. The number of first dose of overdose is 316.571. The number of the second overdose is 857.710. The number of third overdose is 231,298. The number of those who do not hav"&amp;"e the first overdose yet landed on 21.585.060.")</f>
        <v>JULY 29: Yesterday, 1 million 405 thousand 579 dose vaccines were applied yesterday. The number of first dose of overdose is 316.571. The number of the second overdose is 857.710. The number of third overdose is 231,298. The number of those who do not have the first overdose yet landed on 21.585.060.</v>
      </c>
    </row>
    <row r="759" spans="1:5" ht="15.75" customHeight="1" x14ac:dyDescent="0.25">
      <c r="A759" s="1" t="s">
        <v>1518</v>
      </c>
      <c r="B759" s="1">
        <v>13907</v>
      </c>
      <c r="C759" s="3">
        <v>44406.883009259262</v>
      </c>
      <c r="D759" s="1" t="s">
        <v>1519</v>
      </c>
      <c r="E759" s="4" t="str">
        <f ca="1">IFERROR(__xludf.DUMMYFUNCTION("GOOGLETRANSLATE(A759 , ""tr"" , ""en"")"),"Today 1 million 405 thousand 579 dose vaccines were applied.
Let's overcome this number tomorrow morning with new appointments.")</f>
        <v>Today 1 million 405 thousand 579 dose vaccines were applied.
Let's overcome this number tomorrow morning with new appointments.</v>
      </c>
    </row>
    <row r="760" spans="1:5" ht="15.75" customHeight="1" x14ac:dyDescent="0.25">
      <c r="A760" s="1" t="s">
        <v>1520</v>
      </c>
      <c r="B760" s="1">
        <v>9583</v>
      </c>
      <c r="C760" s="3">
        <v>44406.78565972222</v>
      </c>
      <c r="D760" s="1" t="s">
        <v>1521</v>
      </c>
      <c r="E760" s="4" t="str">
        <f ca="1">IFERROR(__xludf.DUMMYFUNCTION("GOOGLETRANSLATE(A760 , ""tr"" , ""en"")"),"A physician working sacrifically has left our friend. We lost our life-saving brother. Beylikdüzü State Hospital Policitorship Dr.ali Kalionmu has lost his life in the hospital it has been treated since long time. May the head of our camiaz, especially th"&amp;"eir family and lovers.")</f>
        <v>A physician working sacrifically has left our friend. We lost our life-saving brother. Beylikdüzü State Hospital Policitorship Dr.ali Kalionmu has lost his life in the hospital it has been treated since long time. May the head of our camiaz, especially their family and lovers.</v>
      </c>
    </row>
    <row r="761" spans="1:5" ht="15.75" customHeight="1" x14ac:dyDescent="0.25">
      <c r="A761" s="1" t="s">
        <v>1522</v>
      </c>
      <c r="B761" s="1">
        <v>2868</v>
      </c>
      <c r="C761" s="3">
        <v>44406.772534722222</v>
      </c>
      <c r="D761" s="1" t="s">
        <v>1523</v>
      </c>
      <c r="E761" s="4" t="str">
        <f ca="1">IFERROR(__xludf.DUMMYFUNCTION("GOOGLETRANSLATE(A761 , ""tr"" , ""en"")"),"SHERIF SEZER: When I turn back, I see that all the pain is going through when I don't pass. That will also pass. Gene will be hugged with four hands, thanks to the vaccination. Please let's be vaccine, let's not risk ourselves and our loved ones. https://"&amp;"t.co/wwwun9qpvd")</f>
        <v>SHERIF SEZER: When I turn back, I see that all the pain is going through when I don't pass. That will also pass. Gene will be hugged with four hands, thanks to the vaccination. Please let's be vaccine, let's not risk ourselves and our loved ones. https://t.co/wwwun9qpvd</v>
      </c>
    </row>
    <row r="762" spans="1:5" ht="15.75" customHeight="1" x14ac:dyDescent="0.25">
      <c r="A762" s="1" t="s">
        <v>1524</v>
      </c>
      <c r="B762" s="1">
        <v>8140</v>
      </c>
      <c r="C762" s="3">
        <v>44406.767812500002</v>
      </c>
      <c r="D762" s="1" t="s">
        <v>1525</v>
      </c>
      <c r="E762" s="4" t="str">
        <f ca="1">IFERROR(__xludf.DUMMYFUNCTION("GOOGLETRANSLATE(A762 , ""tr"" , ""en"")"),"The syrnick passed to the category of high-risk provincial (orange) category from the category of very high risk. Our goal is the ""Low Risk"" group with a higher vaccine rate!")</f>
        <v>The syrnick passed to the category of high-risk provincial (orange) category from the category of very high risk. Our goal is the "Low Risk" group with a higher vaccine rate!</v>
      </c>
    </row>
    <row r="763" spans="1:5" ht="15.75" customHeight="1" x14ac:dyDescent="0.25">
      <c r="A763" s="1" t="s">
        <v>1526</v>
      </c>
      <c r="B763" s="1">
        <v>4935</v>
      </c>
      <c r="C763" s="3">
        <v>44406.754166666666</v>
      </c>
      <c r="D763" s="1" t="s">
        <v>1527</v>
      </c>
      <c r="E763" s="4" t="str">
        <f ca="1">IFERROR(__xludf.DUMMYFUNCTION("GOOGLETRANSLATE(A763 , ""tr"" , ""en"")"),"Hayko Cepkin: Vaccine to concerts, fields, cinemas, theaters, our doorway to life. We don't have this door closing again and we all have to be vaccinated to be healthy. https://t.co/bub34gctg1")</f>
        <v>Hayko Cepkin: Vaccine to concerts, fields, cinemas, theaters, our doorway to life. We don't have this door closing again and we all have to be vaccinated to be healthy. https://t.co/bub34gctg1</v>
      </c>
    </row>
    <row r="764" spans="1:5" ht="15.75" customHeight="1" x14ac:dyDescent="0.25">
      <c r="A764" s="1" t="s">
        <v>1528</v>
      </c>
      <c r="B764" s="1">
        <v>5937</v>
      </c>
      <c r="C764" s="3">
        <v>44406.727268518516</v>
      </c>
      <c r="D764" s="1" t="s">
        <v>1529</v>
      </c>
      <c r="E764" s="4" t="str">
        <f ca="1">IFERROR(__xludf.DUMMYFUNCTION("GOOGLETRANSLATE(A764 , ""tr"" , ""en"")"),"The current number of cases is 22.161. It is not possible to be protected in the epidemic without compliance with the measures without vaccination. Let's get back to the re-fight with vaccination and measure. https://t.co/rvlhe7786o https://t.co/195wcacuz"&amp;"a")</f>
        <v>The current number of cases is 22.161. It is not possible to be protected in the epidemic without compliance with the measures without vaccination. Let's get back to the re-fight with vaccination and measure. https://t.co/rvlhe7786o https://t.co/195wcacuza</v>
      </c>
    </row>
    <row r="765" spans="1:5" ht="15.75" customHeight="1" x14ac:dyDescent="0.25">
      <c r="A765" s="1" t="s">
        <v>1530</v>
      </c>
      <c r="B765" s="1">
        <v>23433</v>
      </c>
      <c r="C765" s="3">
        <v>44406.67597222222</v>
      </c>
      <c r="D765" s="1" t="s">
        <v>1531</v>
      </c>
      <c r="E765" s="4" t="str">
        <f ca="1">IFERROR(__xludf.DUMMYFUNCTION("GOOGLETRANSLATE(A765 , ""tr"" , ""en"")"),"Last Minute: The total number of vaccines has passed 71 million.")</f>
        <v>Last Minute: The total number of vaccines has passed 71 million.</v>
      </c>
    </row>
    <row r="766" spans="1:5" ht="15.75" customHeight="1" x14ac:dyDescent="0.25">
      <c r="A766" s="1" t="s">
        <v>1532</v>
      </c>
      <c r="B766" s="1">
        <v>6835</v>
      </c>
      <c r="C766" s="3">
        <v>44406.484872685185</v>
      </c>
      <c r="D766" s="1" t="s">
        <v>1533</v>
      </c>
      <c r="E766" s="4" t="str">
        <f ca="1">IFERROR(__xludf.DUMMYFUNCTION("GOOGLETRANSLATE(A766 , ""tr"" , ""en"")"),"In the vaccine 28: 1 million 99 thousand 5 dose of oversees were applied yesterday. The number of the first dose of overdose is 222,803. The number of the second overdose is 680,278. The number of third overdose is 195.924. The number of those who do not "&amp;"have the first overdose yet landed on 21.901.631.")</f>
        <v>In the vaccine 28: 1 million 99 thousand 5 dose of oversees were applied yesterday. The number of the first dose of overdose is 222,803. The number of the second overdose is 680,278. The number of third overdose is 195.924. The number of those who do not have the first overdose yet landed on 21.901.631.</v>
      </c>
    </row>
    <row r="767" spans="1:5" ht="15.75" customHeight="1" x14ac:dyDescent="0.25">
      <c r="A767" s="1" t="s">
        <v>1534</v>
      </c>
      <c r="B767" s="1">
        <v>22094</v>
      </c>
      <c r="C767" s="3">
        <v>44405.915289351855</v>
      </c>
      <c r="D767" s="1" t="s">
        <v>1535</v>
      </c>
      <c r="E767" s="4" t="str">
        <f ca="1">IFERROR(__xludf.DUMMYFUNCTION("GOOGLETRANSLATE(A767 , ""tr"" , ""en"")"),"1,099,005 people have done a good job for all of us today.")</f>
        <v>1,099,005 people have done a good job for all of us today.</v>
      </c>
    </row>
    <row r="768" spans="1:5" ht="15.75" customHeight="1" x14ac:dyDescent="0.25">
      <c r="A768" s="1" t="s">
        <v>1536</v>
      </c>
      <c r="B768" s="1">
        <v>5069</v>
      </c>
      <c r="C768" s="3">
        <v>44405.893425925926</v>
      </c>
      <c r="D768" s="1" t="s">
        <v>1537</v>
      </c>
      <c r="E768" s="4" t="str">
        <f ca="1">IFERROR(__xludf.DUMMYFUNCTION("GOOGLETRANSLATE(A768 , ""tr"" , ""en"")"),"Aksaray lowered the level of risk. The aksaray, which is very high risky, namely in the provincial group, which is shown in red, is now orange, in a lower risk group. Switching to blue is a decision, depending on the speed.")</f>
        <v>Aksaray lowered the level of risk. The aksaray, which is very high risky, namely in the provincial group, which is shown in red, is now orange, in a lower risk group. Switching to blue is a decision, depending on the speed.</v>
      </c>
    </row>
    <row r="769" spans="1:5" ht="15.75" customHeight="1" x14ac:dyDescent="0.25">
      <c r="A769" s="1" t="s">
        <v>1538</v>
      </c>
      <c r="B769" s="1">
        <v>17053</v>
      </c>
      <c r="C769" s="3">
        <v>44405.888842592591</v>
      </c>
      <c r="D769" s="1" t="s">
        <v>1539</v>
      </c>
      <c r="E769" s="4" t="str">
        <f ca="1">IFERROR(__xludf.DUMMYFUNCTION("GOOGLETRANSLATE(A769 , ""tr"" , ""en"")"),"Eskişehir's decision is blue.
At least 1 dose of vaccination is over 75%.")</f>
        <v>Eskişehir's decision is blue.
At least 1 dose of vaccination is over 75%.</v>
      </c>
    </row>
    <row r="770" spans="1:5" ht="15.75" customHeight="1" x14ac:dyDescent="0.25">
      <c r="A770" s="1" t="s">
        <v>1540</v>
      </c>
      <c r="B770" s="1">
        <v>9342</v>
      </c>
      <c r="C770" s="3">
        <v>44405.884375000001</v>
      </c>
      <c r="D770" s="1" t="s">
        <v>1541</v>
      </c>
      <c r="E770" s="4" t="str">
        <f ca="1">IFERROR(__xludf.DUMMYFUNCTION("GOOGLETRANSLATE(A770 , ""tr"" , ""en"")"),"Aydın's decision is blue.
At least 1 dose of vaccination is over 75%.")</f>
        <v>Aydın's decision is blue.
At least 1 dose of vaccination is over 75%.</v>
      </c>
    </row>
    <row r="771" spans="1:5" ht="15.75" customHeight="1" x14ac:dyDescent="0.25">
      <c r="A771" s="1" t="s">
        <v>1542</v>
      </c>
      <c r="B771" s="1">
        <v>26981</v>
      </c>
      <c r="C771" s="3">
        <v>44405.828969907408</v>
      </c>
      <c r="D771" s="1" t="s">
        <v>1543</v>
      </c>
      <c r="E771" s="4" t="str">
        <f ca="1">IFERROR(__xludf.DUMMYFUNCTION("GOOGLETRANSLATE(A771 , ""tr"" , ""en"")"),"If the coronavirus contains you, let your body know what to do. Be your vaccine.")</f>
        <v>If the coronavirus contains you, let your body know what to do. Be your vaccine.</v>
      </c>
    </row>
    <row r="772" spans="1:5" ht="15.75" customHeight="1" x14ac:dyDescent="0.25">
      <c r="A772" s="1" t="s">
        <v>1544</v>
      </c>
      <c r="B772" s="1">
        <v>3273</v>
      </c>
      <c r="C772" s="3">
        <v>44405.794537037036</v>
      </c>
      <c r="D772" s="1" t="s">
        <v>1545</v>
      </c>
      <c r="E772" s="4" t="str">
        <f ca="1">IFERROR(__xludf.DUMMYFUNCTION("GOOGLETRANSLATE(A772 , ""tr"" , ""en"")"),"Our first priority is that all our citizens take responsibility and take their own precautions as a responsible individual and fulfill their homework against society as a vaccination. https://t.co/8kkl3teh1v")</f>
        <v>Our first priority is that all our citizens take responsibility and take their own precautions as a responsible individual and fulfill their homework against society as a vaccination. https://t.co/8kkl3teh1v</v>
      </c>
    </row>
    <row r="773" spans="1:5" ht="15.75" customHeight="1" x14ac:dyDescent="0.25">
      <c r="A773" s="1" t="s">
        <v>1546</v>
      </c>
      <c r="B773" s="1">
        <v>2883</v>
      </c>
      <c r="C773" s="3">
        <v>44405.781030092592</v>
      </c>
      <c r="D773" s="1" t="s">
        <v>1547</v>
      </c>
      <c r="E773" s="4" t="str">
        <f ca="1">IFERROR(__xludf.DUMMYFUNCTION("GOOGLETRANSLATE(A773 , ""tr"" , ""en"")"),"The effective time and effectiveness of vaccines in terms of epidemic management is extremely important. Our pre-evaluation shows that the risk group and the 3rd dose of overdoses are required for their age. https://t.co/e4bho9hvtl")</f>
        <v>The effective time and effectiveness of vaccines in terms of epidemic management is extremely important. Our pre-evaluation shows that the risk group and the 3rd dose of overdoses are required for their age. https://t.co/e4bho9hvtl</v>
      </c>
    </row>
    <row r="774" spans="1:5" ht="15.75" customHeight="1" x14ac:dyDescent="0.25">
      <c r="A774" s="1" t="s">
        <v>1548</v>
      </c>
      <c r="B774" s="1">
        <v>9757</v>
      </c>
      <c r="C774" s="3">
        <v>44405.768923611111</v>
      </c>
      <c r="D774" s="1" t="s">
        <v>1549</v>
      </c>
      <c r="E774" s="4" t="str">
        <f ca="1">IFERROR(__xludf.DUMMYFUNCTION("GOOGLETRANSLATE(A774 , ""tr"" , ""en"")"),"95% of our patients who are hospitalized in vaccine. https://t.co/ypl2uo1x4y")</f>
        <v>95% of our patients who are hospitalized in vaccine. https://t.co/ypl2uo1x4y</v>
      </c>
    </row>
    <row r="775" spans="1:5" ht="15.75" customHeight="1" x14ac:dyDescent="0.25">
      <c r="A775" s="1" t="s">
        <v>1550</v>
      </c>
      <c r="B775" s="1">
        <v>2832</v>
      </c>
      <c r="C775" s="3">
        <v>44405.761006944442</v>
      </c>
      <c r="D775" s="1" t="s">
        <v>1551</v>
      </c>
      <c r="E775" s="4" t="str">
        <f ca="1">IFERROR(__xludf.DUMMYFUNCTION("GOOGLETRANSLATE(A775 , ""tr"" , ""en"")"),"Increased Case Numbers have a risk that our vaccination program is raiding a new variant in reaching the target of community immunity and disrupt our immune program with vaccination. https://t.co/4iwyrcnzly")</f>
        <v>Increased Case Numbers have a risk that our vaccination program is raiding a new variant in reaching the target of community immunity and disrupt our immune program with vaccination. https://t.co/4iwyrcnzly</v>
      </c>
    </row>
    <row r="776" spans="1:5" ht="15.75" customHeight="1" x14ac:dyDescent="0.25">
      <c r="A776" s="1" t="s">
        <v>1552</v>
      </c>
      <c r="B776" s="1">
        <v>7121</v>
      </c>
      <c r="C776" s="3">
        <v>44405.743923611109</v>
      </c>
      <c r="D776" s="1" t="s">
        <v>1553</v>
      </c>
      <c r="E776" s="4" t="str">
        <f ca="1">IFERROR(__xludf.DUMMYFUNCTION("GOOGLETRANSLATE(A776 , ""tr"" , ""en"")"),"62 people were affected by the fire in Manavgat. 3 The burn, 2 were fractured, 57 was treated due to exposure to the smoke. 112 Our ambulances, our mobile Command vehicle, Umke teams at the scene. The discharge of our public hospital is out of the questio"&amp;"n. May we all be big to us")</f>
        <v>62 people were affected by the fire in Manavgat. 3 The burn, 2 were fractured, 57 was treated due to exposure to the smoke. 112 Our ambulances, our mobile Command vehicle, Umke teams at the scene. The discharge of our public hospital is out of the question. May we all be big to us</v>
      </c>
    </row>
    <row r="777" spans="1:5" ht="15.75" customHeight="1" x14ac:dyDescent="0.25">
      <c r="A777" s="1" t="s">
        <v>1554</v>
      </c>
      <c r="B777" s="1">
        <v>5518</v>
      </c>
      <c r="C777" s="3">
        <v>44405.736493055556</v>
      </c>
      <c r="D777" s="1" t="s">
        <v>1555</v>
      </c>
      <c r="E777" s="4" t="str">
        <f ca="1">IFERROR(__xludf.DUMMYFUNCTION("GOOGLETRANSLATE(A777 , ""tr"" , ""en"")"),"The cases are at the level to make it difficult to control the epidemic. We must stop this risk with the decision that will be in common will and all of us. Should adhere to the measures and have vaccines. The first dose is immediately, the second and thi"&amp;"rd dose does not come to the time! https://t.co/rvlhe7786o https://t.co/fr5secvvvuv")</f>
        <v>The cases are at the level to make it difficult to control the epidemic. We must stop this risk with the decision that will be in common will and all of us. Should adhere to the measures and have vaccines. The first dose is immediately, the second and third dose does not come to the time! https://t.co/rvlhe7786o https://t.co/fr5secvvvuv</v>
      </c>
    </row>
    <row r="778" spans="1:5" ht="15.75" customHeight="1" x14ac:dyDescent="0.25">
      <c r="A778" s="1" t="s">
        <v>1556</v>
      </c>
      <c r="B778" s="1">
        <v>2610</v>
      </c>
      <c r="C778" s="3">
        <v>44405.699930555558</v>
      </c>
      <c r="D778" s="1" t="s">
        <v>1557</v>
      </c>
      <c r="E778" s="4" t="str">
        <f ca="1">IFERROR(__xludf.DUMMYFUNCTION("GOOGLETRANSLATE(A778 , ""tr"" , ""en"")"),"Live: After our Science Board Meeting, our press statement:
https://t.co/6eykwyIppz")</f>
        <v>Live: After our Science Board Meeting, our press statement:
https://t.co/6eykwyIppz</v>
      </c>
    </row>
    <row r="779" spans="1:5" ht="15.75" customHeight="1" x14ac:dyDescent="0.25">
      <c r="A779" s="1" t="s">
        <v>1558</v>
      </c>
      <c r="B779" s="1">
        <v>4876</v>
      </c>
      <c r="C779" s="3">
        <v>44405.615636574075</v>
      </c>
      <c r="D779" s="1" t="s">
        <v>1559</v>
      </c>
      <c r="E779" s="4" t="str">
        <f ca="1">IFERROR(__xludf.DUMMYFUNCTION("GOOGLETRANSLATE(A779 , ""tr"" , ""en"")"),"Emergency medicine technician, who served at the Söke Emergency Health Services Station, our friend Erol Star, the factory in the factory in the factory in the factory is the first vaccine of the Fatma Star. The Fatma Hanım who previously passed Covid-19 "&amp;"suggests that it is vaccinated to everyone. https://t.co/6s7dmo2voI")</f>
        <v>Emergency medicine technician, who served at the Söke Emergency Health Services Station, our friend Erol Star, the factory in the factory in the factory in the factory is the first vaccine of the Fatma Star. The Fatma Hanım who previously passed Covid-19 suggests that it is vaccinated to everyone. https://t.co/6s7dmo2voI</v>
      </c>
    </row>
    <row r="780" spans="1:5" ht="15.75" customHeight="1" x14ac:dyDescent="0.25">
      <c r="A780" s="1" t="s">
        <v>1560</v>
      </c>
      <c r="B780" s="1">
        <v>7563</v>
      </c>
      <c r="C780" s="3">
        <v>44405.509155092594</v>
      </c>
      <c r="D780" s="1" t="s">
        <v>1561</v>
      </c>
      <c r="E780" s="4" t="str">
        <f ca="1">IFERROR(__xludf.DUMMYFUNCTION("GOOGLETRANSLATE(A780 , ""tr"" , ""en"")"),"In the vaccine 27: 1 million 144 thousand 837 dose vaccines were applied yesterday. The number of the first dose of overdose is 219.973. The number of the second overdose is 722.598. The number of third overdose is 202.266. The number of those who do not "&amp;"have the first overdose yet landed in 22.124.434.")</f>
        <v>In the vaccine 27: 1 million 144 thousand 837 dose vaccines were applied yesterday. The number of the first dose of overdose is 219.973. The number of the second overdose is 722.598. The number of third overdose is 202.266. The number of those who do not have the first overdose yet landed in 22.124.434.</v>
      </c>
    </row>
    <row r="781" spans="1:5" ht="15.75" customHeight="1" x14ac:dyDescent="0.25">
      <c r="A781" s="1" t="s">
        <v>1562</v>
      </c>
      <c r="B781" s="1">
        <v>20592</v>
      </c>
      <c r="C781" s="3">
        <v>44405.367106481484</v>
      </c>
      <c r="D781" s="1" t="s">
        <v>1563</v>
      </c>
      <c r="E781" s="4" t="str">
        <f ca="1">IFERROR(__xludf.DUMMYFUNCTION("GOOGLETRANSLATE(A781 , ""tr"" , ""en"")"),"Last minute: The number of at least one dose of vaccines has passed 40 million.")</f>
        <v>Last minute: The number of at least one dose of vaccines has passed 40 million.</v>
      </c>
    </row>
    <row r="782" spans="1:5" ht="15.75" customHeight="1" x14ac:dyDescent="0.25">
      <c r="A782" s="1" t="s">
        <v>1564</v>
      </c>
      <c r="B782" s="1">
        <v>3598</v>
      </c>
      <c r="C782" s="3">
        <v>44405.354687500003</v>
      </c>
      <c r="D782" s="1" t="s">
        <v>1565</v>
      </c>
      <c r="E782" s="4" t="str">
        <f ca="1">IFERROR(__xludf.DUMMYFUNCTION("GOOGLETRANSLATE(A782 , ""tr"" , ""en"")"),"The number of cases in a final week is the most increasing provinces; Siirt, Diyarbakır, Bitlis, Giresun and Iğır. There is a relationship between increase and vaccination rates in the number of cases. Vaccine and follow measures. https://t.co/akge6cv87r")</f>
        <v>The number of cases in a final week is the most increasing provinces; Siirt, Diyarbakır, Bitlis, Giresun and Iğır. There is a relationship between increase and vaccination rates in the number of cases. Vaccine and follow measures. https://t.co/akge6cv87r</v>
      </c>
    </row>
    <row r="783" spans="1:5" ht="15.75" customHeight="1" x14ac:dyDescent="0.25">
      <c r="A783" s="1" t="s">
        <v>1566</v>
      </c>
      <c r="B783" s="1">
        <v>4777</v>
      </c>
      <c r="C783" s="3">
        <v>44405.346053240741</v>
      </c>
      <c r="D783" s="1" t="s">
        <v>1567</v>
      </c>
      <c r="E783" s="4" t="str">
        <f ca="1">IFERROR(__xludf.DUMMYFUNCTION("GOOGLETRANSLATE(A783 , ""tr"" , ""en"")"),"In our provinces, you can see the current version of the incidence map that shows a total number of considers who correspond to 100,000 population. Let's not put our strength under control. Vaccine and we have to comply with the measures. https://t.co/l8l"&amp;"odq94vx")</f>
        <v>In our provinces, you can see the current version of the incidence map that shows a total number of considers who correspond to 100,000 population. Let's not put our strength under control. Vaccine and we have to comply with the measures. https://t.co/l8lodq94vx</v>
      </c>
    </row>
    <row r="784" spans="1:5" ht="15.75" customHeight="1" x14ac:dyDescent="0.25">
      <c r="A784" s="1" t="s">
        <v>1568</v>
      </c>
      <c r="B784" s="1">
        <v>3692</v>
      </c>
      <c r="C784" s="3">
        <v>44404.814618055556</v>
      </c>
      <c r="D784" s="1" t="s">
        <v>1569</v>
      </c>
      <c r="E784" s="4" t="str">
        <f ca="1">IFERROR(__xludf.DUMMYFUNCTION("GOOGLETRANSLATE(A784 , ""tr"" , ""en"")"),"July 27, 1 millionth dose
The vaccine is: Hatice Neen Day (34)
Vaccination: Sinovac, 2nd dose
Doing the vaccination: İrem Özay
Responsible Physician: Seedling Star Unal
Time of vaccine: 18.05
Location: Istanbul Okan University
Health Application and Resea"&amp;"rch Center, Tuzla https://t.co/clcfjwtfoh")</f>
        <v>July 27, 1 millionth dose
The vaccine is: Hatice Neen Day (34)
Vaccination: Sinovac, 2nd dose
Doing the vaccination: İrem Özay
Responsible Physician: Seedling Star Unal
Time of vaccine: 18.05
Location: Istanbul Okan University
Health Application and Research Center, Tuzla https://t.co/clcfjwtfoh</v>
      </c>
    </row>
    <row r="785" spans="1:5" ht="15.75" customHeight="1" x14ac:dyDescent="0.25">
      <c r="A785" s="1" t="s">
        <v>1570</v>
      </c>
      <c r="B785" s="1">
        <v>7501</v>
      </c>
      <c r="C785" s="3">
        <v>44404.800023148149</v>
      </c>
      <c r="D785" s="1" t="s">
        <v>1571</v>
      </c>
      <c r="E785" s="4" t="str">
        <f ca="1">IFERROR(__xludf.DUMMYFUNCTION("GOOGLETRANSLATE(A785 , ""tr"" , ""en"")"),"They say it's easy, they make their vaccinations. Our vaccine teams are in the fields in order to be able to make vaccinations of agricultural workers who will come to our health institutions. Photo of Bafra's greenish neighborhood. https://t.co/pjebe5qgx"&amp;"z")</f>
        <v>They say it's easy, they make their vaccinations. Our vaccine teams are in the fields in order to be able to make vaccinations of agricultural workers who will come to our health institutions. Photo of Bafra's greenish neighborhood. https://t.co/pjebe5qgxz</v>
      </c>
    </row>
    <row r="786" spans="1:5" ht="15.75" customHeight="1" x14ac:dyDescent="0.25">
      <c r="A786" s="1" t="s">
        <v>1572</v>
      </c>
      <c r="B786" s="1">
        <v>4751</v>
      </c>
      <c r="C786" s="3">
        <v>44404.777569444443</v>
      </c>
      <c r="D786" s="1" t="s">
        <v>1573</v>
      </c>
      <c r="E786" s="4" t="str">
        <f ca="1">IFERROR(__xludf.DUMMYFUNCTION("GOOGLETRANSLATE(A786 , ""tr"" , ""en"")"),"Sevcan Orhan: Are you aware of how much the hospitalization and life loss rate has declined since the vaccines began to apply? Everyone is vaccinated to meet us much more beautiful days. Please, please be your vaccine. https://t.co/xukjblpnsx")</f>
        <v>Sevcan Orhan: Are you aware of how much the hospitalization and life loss rate has declined since the vaccines began to apply? Everyone is vaccinated to meet us much more beautiful days. Please, please be your vaccine. https://t.co/xukjblpnsx</v>
      </c>
    </row>
    <row r="787" spans="1:5" ht="15.75" customHeight="1" x14ac:dyDescent="0.25">
      <c r="A787" s="1" t="s">
        <v>1574</v>
      </c>
      <c r="B787" s="1">
        <v>16712</v>
      </c>
      <c r="C787" s="3">
        <v>44404.771898148145</v>
      </c>
      <c r="D787" s="1" t="s">
        <v>1575</v>
      </c>
      <c r="E787" s="4" t="str">
        <f ca="1">IFERROR(__xludf.DUMMYFUNCTION("GOOGLETRANSLATE(A787 , ""tr"" , ""en"")"),"The number of daily cases approached 20 thousand. According to the rules of the epidemic struggle, we start to take the results after an average week, if we make our vaccination, we are acting to end the epidemic. Like the first dose vaccines, the second "&amp;"and third overdose vaccines are extremely important.")</f>
        <v>The number of daily cases approached 20 thousand. According to the rules of the epidemic struggle, we start to take the results after an average week, if we make our vaccination, we are acting to end the epidemic. Like the first dose vaccines, the second and third overdose vaccines are extremely important.</v>
      </c>
    </row>
    <row r="788" spans="1:5" ht="15.75" customHeight="1" x14ac:dyDescent="0.25">
      <c r="A788" s="1" t="s">
        <v>1576</v>
      </c>
      <c r="B788" s="1">
        <v>6092</v>
      </c>
      <c r="C788" s="3">
        <v>44404.752118055556</v>
      </c>
      <c r="D788" s="1" t="s">
        <v>1577</v>
      </c>
      <c r="E788" s="4" t="str">
        <f ca="1">IFERROR(__xludf.DUMMYFUNCTION("GOOGLETRANSLATE(A788 , ""tr"" , ""en"")"),"Beyazit Öztürk: None of us is inappropriate to stay apart from each other, living with life restrictions. What we really need to do today is very simple. Trust to science and vaccine to normalize. https://t.co/ckhefj3nxk")</f>
        <v>Beyazit Öztürk: None of us is inappropriate to stay apart from each other, living with life restrictions. What we really need to do today is very simple. Trust to science and vaccine to normalize. https://t.co/ckhefj3nxk</v>
      </c>
    </row>
    <row r="789" spans="1:5" ht="15.75" customHeight="1" x14ac:dyDescent="0.25">
      <c r="A789" s="1" t="s">
        <v>1578</v>
      </c>
      <c r="B789" s="1">
        <v>8838</v>
      </c>
      <c r="C789" s="3">
        <v>44404.70752314815</v>
      </c>
      <c r="D789" s="1" t="s">
        <v>1579</v>
      </c>
      <c r="E789" s="4" t="str">
        <f ca="1">IFERROR(__xludf.DUMMYFUNCTION("GOOGLETRANSLATE(A789 , ""tr"" , ""en"")"),"In the control of the epidemic, we reached the number of cases of uneasy the uneasy. It is will that we will show that to stop this. Conform to the measures and make your vaccination. https://t.co/rvlhe7786o https://t.co/ja4otgjtcz")</f>
        <v>In the control of the epidemic, we reached the number of cases of uneasy the uneasy. It is will that we will show that to stop this. Conform to the measures and make your vaccination. https://t.co/rvlhe7786o https://t.co/ja4otgjtcz</v>
      </c>
    </row>
    <row r="790" spans="1:5" ht="15.75" customHeight="1" x14ac:dyDescent="0.25">
      <c r="A790" s="1" t="s">
        <v>1580</v>
      </c>
      <c r="B790" s="1">
        <v>7403</v>
      </c>
      <c r="C790" s="3">
        <v>44404.482164351852</v>
      </c>
      <c r="D790" s="1" t="s">
        <v>1581</v>
      </c>
      <c r="E790" s="4" t="str">
        <f ca="1">IFERROR(__xludf.DUMMYFUNCTION("GOOGLETRANSLATE(A790 , ""tr"" , ""en"")"),"The vaccines were made at the same time! 18-year-old triplets for the vaccine in Kırşehir Kaman The 18-year-old Triplise sisters has been performed at the same time by our health care employee in the vaccines and the vaccines of the BUSE. We thanked thems"&amp;"elves for this color moment they joined the epidemic. https://t.co/a5pdybou9s")</f>
        <v>The vaccines were made at the same time! 18-year-old triplets for the vaccine in Kırşehir Kaman The 18-year-old Triplise sisters has been performed at the same time by our health care employee in the vaccines and the vaccines of the BUSE. We thanked themselves for this color moment they joined the epidemic. https://t.co/a5pdybou9s</v>
      </c>
    </row>
    <row r="791" spans="1:5" ht="15.75" customHeight="1" x14ac:dyDescent="0.25">
      <c r="A791" s="1" t="s">
        <v>1582</v>
      </c>
      <c r="B791" s="1">
        <v>4830</v>
      </c>
      <c r="C791" s="3">
        <v>44404.37909722222</v>
      </c>
      <c r="D791" s="1" t="s">
        <v>1583</v>
      </c>
      <c r="E791" s="4" t="str">
        <f ca="1">IFERROR(__xludf.DUMMYFUNCTION("GOOGLETRANSLATE(A791 , ""tr"" , ""en"")"),"July 26, 1 millionth vaccine
Hatice Marble (51)
Vaccination: Biontech, 2nd dose
Nurse doing the vaccination: Nevin Özdemir
Responsible Physician: Mehmet İlker Uludag
Time to make vaccine: 15.49
Location: Dr. Sadettin Gainstate Hospital
Isparta, SARKİKARAĞ"&amp;"AK https://t.co/olp0j6aqzy")</f>
        <v>July 26, 1 millionth vaccine
Hatice Marble (51)
Vaccination: Biontech, 2nd dose
Nurse doing the vaccination: Nevin Özdemir
Responsible Physician: Mehmet İlker Uludag
Time to make vaccine: 15.49
Location: Dr. Sadettin Gainstate Hospital
Isparta, SARKİKARAĞAK https://t.co/olp0j6aqzy</v>
      </c>
    </row>
    <row r="792" spans="1:5" ht="15.75" customHeight="1" x14ac:dyDescent="0.25">
      <c r="A792" s="1" t="s">
        <v>1584</v>
      </c>
      <c r="B792" s="1">
        <v>9293</v>
      </c>
      <c r="C792" s="3">
        <v>44404.316770833335</v>
      </c>
      <c r="D792" s="1" t="s">
        <v>1585</v>
      </c>
      <c r="E792" s="4" t="str">
        <f ca="1">IFERROR(__xludf.DUMMYFUNCTION("GOOGLETRANSLATE(A792 , ""tr"" , ""en"")"),"In the vaccine, July 26: A total of 1 million 367 thousand 872 dose vaccines were applied. The number of the first dose of overdose is 244,868. The number of second overdose is 910.136. The number of third overdose is 212,868. The number of those who do n"&amp;"ot have the first overdose yet landed in 22.344.407.")</f>
        <v>In the vaccine, July 26: A total of 1 million 367 thousand 872 dose vaccines were applied. The number of the first dose of overdose is 244,868. The number of second overdose is 910.136. The number of third overdose is 212,868. The number of those who do not have the first overdose yet landed in 22.344.407.</v>
      </c>
    </row>
    <row r="793" spans="1:5" ht="15.75" customHeight="1" x14ac:dyDescent="0.25">
      <c r="A793" s="1" t="s">
        <v>1586</v>
      </c>
      <c r="B793" s="1">
        <v>11955</v>
      </c>
      <c r="C793" s="3">
        <v>44403.897905092592</v>
      </c>
      <c r="D793" s="1" t="s">
        <v>1587</v>
      </c>
      <c r="E793" s="4" t="str">
        <f ca="1">IFERROR(__xludf.DUMMYFUNCTION("GOOGLETRANSLATE(A793 , ""tr"" , ""en"")"),"Adiyaman and Kahramanmaras passed to the category of high risk (orange) from the category of very high-risk provincial (red) category. Let's minimize the risk by making our vaccines.")</f>
        <v>Adiyaman and Kahramanmaras passed to the category of high risk (orange) from the category of very high-risk provincial (red) category. Let's minimize the risk by making our vaccines.</v>
      </c>
    </row>
    <row r="794" spans="1:5" ht="15.75" customHeight="1" x14ac:dyDescent="0.25">
      <c r="A794" s="1" t="s">
        <v>1588</v>
      </c>
      <c r="B794" s="1">
        <v>11313</v>
      </c>
      <c r="C794" s="3">
        <v>44403.723703703705</v>
      </c>
      <c r="D794" s="1" t="s">
        <v>1589</v>
      </c>
      <c r="E794" s="4" t="str">
        <f ca="1">IFERROR(__xludf.DUMMYFUNCTION("GOOGLETRANSLATE(A794 , ""tr"" , ""en"")"),"The rate of increase in the number of cases makes it difficult to keep the release in control. The compensation of compromising measures without immune with vaccines may cause painful experiences. Observe the measures, make your vaccination. https://t.co/"&amp;"rvlhe7786o https://t.co/h04jkf887z")</f>
        <v>The rate of increase in the number of cases makes it difficult to keep the release in control. The compensation of compromising measures without immune with vaccines may cause painful experiences. Observe the measures, make your vaccination. https://t.co/rvlhe7786o https://t.co/h04jkf887z</v>
      </c>
    </row>
    <row r="795" spans="1:5" ht="15.75" customHeight="1" x14ac:dyDescent="0.25">
      <c r="A795" s="1" t="s">
        <v>1590</v>
      </c>
      <c r="B795" s="1">
        <v>16782</v>
      </c>
      <c r="C795" s="3">
        <v>44402.814444444448</v>
      </c>
      <c r="D795" s="1" t="s">
        <v>1591</v>
      </c>
      <c r="E795" s="4" t="str">
        <f ca="1">IFERROR(__xludf.DUMMYFUNCTION("GOOGLETRANSLATE(A795 , ""tr"" , ""en"")"),"Amasya went to the blue.
Amasya is now among low-risk provinces. The rate of at least one dose of vaccines is over 75%. Adaptation to the rules of the epidemic struggle. We celebrate Amasya. Our blue news get a lot!")</f>
        <v>Amasya went to the blue.
Amasya is now among low-risk provinces. The rate of at least one dose of vaccines is over 75%. Adaptation to the rules of the epidemic struggle. We celebrate Amasya. Our blue news get a lot!</v>
      </c>
    </row>
    <row r="796" spans="1:5" ht="15.75" customHeight="1" x14ac:dyDescent="0.25">
      <c r="A796" s="1" t="s">
        <v>1592</v>
      </c>
      <c r="B796" s="1">
        <v>12229</v>
      </c>
      <c r="C796" s="3">
        <v>44402.744525462964</v>
      </c>
      <c r="D796" s="1" t="s">
        <v>1593</v>
      </c>
      <c r="E796" s="4" t="str">
        <f ca="1">IFERROR(__xludf.DUMMYFUNCTION("GOOGLETRANSLATE(A796 , ""tr"" , ""en"")"),"Covid-19 does not comply with the rules of the challenge of the challenge and it may take long to stop the outbreak of our vaccine immediately at the first opportunity. Consider the limits we have paid, the restrictions we live, financial and spiritual lo"&amp;"sses. Remember what we lost a lot of people. Outbreak is not defeated. Be your vaccine.")</f>
        <v>Covid-19 does not comply with the rules of the challenge of the challenge and it may take long to stop the outbreak of our vaccine immediately at the first opportunity. Consider the limits we have paid, the restrictions we live, financial and spiritual losses. Remember what we lost a lot of people. Outbreak is not defeated. Be your vaccine.</v>
      </c>
    </row>
    <row r="797" spans="1:5" ht="15.75" customHeight="1" x14ac:dyDescent="0.25">
      <c r="A797" s="1" t="s">
        <v>1594</v>
      </c>
      <c r="B797" s="1">
        <v>24946</v>
      </c>
      <c r="C797" s="3">
        <v>44402.734212962961</v>
      </c>
      <c r="D797" s="1" t="s">
        <v>1595</v>
      </c>
      <c r="E797" s="4" t="str">
        <f ca="1">IFERROR(__xludf.DUMMYFUNCTION("GOOGLETRANSLATE(A797 , ""tr"" , ""en"")"),"We can't say ""what to do, like that."" There are things we will do right now!")</f>
        <v>We can't say "what to do, like that." There are things we will do right now!</v>
      </c>
    </row>
    <row r="798" spans="1:5" ht="15.75" customHeight="1" x14ac:dyDescent="0.25">
      <c r="A798" s="1" t="s">
        <v>1596</v>
      </c>
      <c r="B798" s="1">
        <v>9816</v>
      </c>
      <c r="C798" s="3">
        <v>44402.683182870373</v>
      </c>
      <c r="D798" s="1" t="s">
        <v>1597</v>
      </c>
      <c r="E798" s="4" t="str">
        <f ca="1">IFERROR(__xludf.DUMMYFUNCTION("GOOGLETRANSLATE(A798 , ""tr"" , ""en"")"),"It would not be cautious and it may take a long time to stop the epidemic. Think about our loved ones we lost and be your vaccine. https://t.co/rvlhe7786o https://t.co/9vi5uoztqj")</f>
        <v>It would not be cautious and it may take a long time to stop the epidemic. Think about our loved ones we lost and be your vaccine. https://t.co/rvlhe7786o https://t.co/9vi5uoztqj</v>
      </c>
    </row>
    <row r="799" spans="1:5" ht="15.75" customHeight="1" x14ac:dyDescent="0.25">
      <c r="A799" s="1" t="s">
        <v>1598</v>
      </c>
      <c r="B799" s="1">
        <v>20439</v>
      </c>
      <c r="C799" s="3">
        <v>44402.33421296296</v>
      </c>
      <c r="D799" s="1" t="s">
        <v>1599</v>
      </c>
      <c r="E799" s="4" t="str">
        <f ca="1">IFERROR(__xludf.DUMMYFUNCTION("GOOGLETRANSLATE(A799 , ""tr"" , ""en"")"),"We can't go back and live more carefully on the last 10 days. It's up to us tomorrow!")</f>
        <v>We can't go back and live more carefully on the last 10 days. It's up to us tomorrow!</v>
      </c>
    </row>
    <row r="800" spans="1:5" ht="15.75" customHeight="1" x14ac:dyDescent="0.25">
      <c r="A800" s="1" t="s">
        <v>1600</v>
      </c>
      <c r="B800" s="1">
        <v>13407</v>
      </c>
      <c r="C800" s="3">
        <v>44402.315509259257</v>
      </c>
      <c r="D800" s="1" t="s">
        <v>1601</v>
      </c>
      <c r="E800" s="4" t="str">
        <f ca="1">IFERROR(__xludf.DUMMYFUNCTION("GOOGLETRANSLATE(A800 , ""tr"" , ""en"")"),"Approximately 23 million people have not yet been vaccinated. 2. The number of non-dose is 17 million. The double dose vaccine, 3. The number of people who do not have overdose is close to 9 million. We should quickly complete the process to get the resul"&amp;"t that we want from the vaccine. Current problem is the flexibility of measures. Let's address control.")</f>
        <v>Approximately 23 million people have not yet been vaccinated. 2. The number of non-dose is 17 million. The double dose vaccine, 3. The number of people who do not have overdose is close to 9 million. We should quickly complete the process to get the result that we want from the vaccine. Current problem is the flexibility of measures. Let's address control.</v>
      </c>
    </row>
    <row r="801" spans="1:5" ht="15.75" customHeight="1" x14ac:dyDescent="0.25">
      <c r="A801" s="1" t="s">
        <v>1602</v>
      </c>
      <c r="B801" s="1">
        <v>8427</v>
      </c>
      <c r="C801" s="3">
        <v>44401.885011574072</v>
      </c>
      <c r="D801" s="1" t="s">
        <v>1603</v>
      </c>
      <c r="E801" s="4" t="str">
        <f ca="1">IFERROR(__xludf.DUMMYFUNCTION("GOOGLETRANSLATE(A801 , ""tr"" , ""en"")"),"In the Fırat Kalkan area, our two soldiers were martyr in the attack on terrorists. Our two soldiers are injured. I wish the two heroes of our nation from Allah to the mercy, patience for the relatives, the immediate healing to our wounded. May the head o"&amp;"f our nation be right. https://t.co/nkdkkinkor")</f>
        <v>In the Fırat Kalkan area, our two soldiers were martyr in the attack on terrorists. Our two soldiers are injured. I wish the two heroes of our nation from Allah to the mercy, patience for the relatives, the immediate healing to our wounded. May the head of our nation be right. https://t.co/nkdkkinkor</v>
      </c>
    </row>
    <row r="802" spans="1:5" ht="15.75" customHeight="1" x14ac:dyDescent="0.25">
      <c r="A802" s="1" t="s">
        <v>1604</v>
      </c>
      <c r="B802" s="1">
        <v>9939</v>
      </c>
      <c r="C802" s="3">
        <v>44401.797152777777</v>
      </c>
      <c r="D802" s="1" t="s">
        <v>1605</v>
      </c>
      <c r="E802" s="4" t="str">
        <f ca="1">IFERROR(__xludf.DUMMYFUNCTION("GOOGLETRANSLATE(A802 , ""tr"" , ""en"")"),"Today's number of cases is 12.381. New Case Numbers are due to average contacts of 1 week as we know. This means that on recent days, we have forgotten that we are currently experienced in terms of epidemic, lead to the result of today. Let's get back to "&amp;"the re-fight with vaccination and measure.")</f>
        <v>Today's number of cases is 12.381. New Case Numbers are due to average contacts of 1 week as we know. This means that on recent days, we have forgotten that we are currently experienced in terms of epidemic, lead to the result of today. Let's get back to the re-fight with vaccination and measure.</v>
      </c>
    </row>
    <row r="803" spans="1:5" ht="15.75" customHeight="1" x14ac:dyDescent="0.25">
      <c r="A803" s="1" t="s">
        <v>1606</v>
      </c>
      <c r="B803" s="1">
        <v>21161</v>
      </c>
      <c r="C803" s="3">
        <v>44401.792662037034</v>
      </c>
      <c r="D803" s="1" t="s">
        <v>1607</v>
      </c>
      <c r="E803" s="4" t="str">
        <f ca="1">IFERROR(__xludf.DUMMYFUNCTION("GOOGLETRANSLATE(A803 , ""tr"" , ""en"")"),"Today's number of cases is 12.381. Let's get back to the re-fight with vaccination and measure.")</f>
        <v>Today's number of cases is 12.381. Let's get back to the re-fight with vaccination and measure.</v>
      </c>
    </row>
    <row r="804" spans="1:5" ht="15.75" customHeight="1" x14ac:dyDescent="0.25">
      <c r="A804" s="1" t="s">
        <v>1608</v>
      </c>
      <c r="B804" s="1">
        <v>8727</v>
      </c>
      <c r="C804" s="3">
        <v>44401.69159722222</v>
      </c>
      <c r="D804" s="1" t="s">
        <v>1609</v>
      </c>
      <c r="E804" s="4" t="str">
        <f ca="1">IFERROR(__xludf.DUMMYFUNCTION("GOOGLETRANSLATE(A804 , ""tr"" , ""en"")"),"The increase in the number of cases continues. This may also be reflected in hospitalization. The way to protect this is to comply with the measures and to be vaccinated. Be your vaccine don't waste time. Do not compromise the measure. https://t.co/rvlhe7"&amp;"786o https://t.co/53mqar5vvo")</f>
        <v>The increase in the number of cases continues. This may also be reflected in hospitalization. The way to protect this is to comply with the measures and to be vaccinated. Be your vaccine don't waste time. Do not compromise the measure. https://t.co/rvlhe7786o https://t.co/53mqar5vvo</v>
      </c>
    </row>
    <row r="805" spans="1:5" ht="15.75" customHeight="1" x14ac:dyDescent="0.25">
      <c r="A805" s="1" t="s">
        <v>1610</v>
      </c>
      <c r="B805" s="1">
        <v>4833</v>
      </c>
      <c r="C805" s="3">
        <v>44401.650150462963</v>
      </c>
      <c r="D805" s="1" t="s">
        <v>1611</v>
      </c>
      <c r="E805" s="4" t="str">
        <f ca="1">IFERROR(__xludf.DUMMYFUNCTION("GOOGLETRANSLATE(A805 , ""tr"" , ""en"")"),"Made the 3rd overdose of his older sister. Aydın Karacasu Community Health Center The EBE Deniz Ingan Darker, the Nursing Retire Brother Pınar Mehri Şanlier has made the 3rd dose of biontech vaccination. Sea Lady has a message to those who postpone the va"&amp;"ccine: ""We are examples of the healthpieces."" https://t.co/WIUS0HIJYR")</f>
        <v>Made the 3rd overdose of his older sister. Aydın Karacasu Community Health Center The EBE Deniz Ingan Darker, the Nursing Retire Brother Pınar Mehri Şanlier has made the 3rd dose of biontech vaccination. Sea Lady has a message to those who postpone the vaccine: "We are examples of the healthpieces." https://t.co/WIUS0HIJYR</v>
      </c>
    </row>
    <row r="806" spans="1:5" ht="15.75" customHeight="1" x14ac:dyDescent="0.25">
      <c r="A806" s="1" t="s">
        <v>1612</v>
      </c>
      <c r="B806" s="1">
        <v>7027</v>
      </c>
      <c r="C806" s="3">
        <v>44400.833124999997</v>
      </c>
      <c r="D806" s="1" t="s">
        <v>1613</v>
      </c>
      <c r="E806" s="4" t="str">
        <f ca="1">IFERROR(__xludf.DUMMYFUNCTION("GOOGLETRANSLATE(A806 , ""tr"" , ""en"")"),"Father and doctor daughter in vaccination. Dr. Mystery Ertürk Kastamonu works in the County State Hospital. Father Rafet Bey Health Officer, mother's midwife. They were caught in all family Covid-19 '. They spent heavy disease. Dr. Like the vaccinations o"&amp;"f Gizem, childhood, his father. https://t.co/p60xdjr6nb")</f>
        <v>Father and doctor daughter in vaccination. Dr. Mystery Ertürk Kastamonu works in the County State Hospital. Father Rafet Bey Health Officer, mother's midwife. They were caught in all family Covid-19 '. They spent heavy disease. Dr. Like the vaccinations of Gizem, childhood, his father. https://t.co/p60xdjr6nb</v>
      </c>
    </row>
    <row r="807" spans="1:5" ht="15.75" customHeight="1" x14ac:dyDescent="0.25">
      <c r="A807" s="1" t="s">
        <v>1614</v>
      </c>
      <c r="B807" s="1">
        <v>4147</v>
      </c>
      <c r="C807" s="3">
        <v>44400.829027777778</v>
      </c>
      <c r="D807" s="1" t="s">
        <v>1615</v>
      </c>
      <c r="E807" s="4" t="str">
        <f ca="1">IFERROR(__xludf.DUMMYFUNCTION("GOOGLETRANSLATE(A807 , ""tr"" , ""en"")"),"Mother girl in vaccination! The daughter of the Huriye lady with her vaccines, Buca Seyfi Demirosoy training and research hospital. Huriye lady is unstable on the second dose. The aft, the vaccination is why the condition is told. Mother love and accurate"&amp;" information! Both of them fixed the problem together. https://t.co/u5uoteo0xg")</f>
        <v>Mother girl in vaccination! The daughter of the Huriye lady with her vaccines, Buca Seyfi Demirosoy training and research hospital. Huriye lady is unstable on the second dose. The aft, the vaccination is why the condition is told. Mother love and accurate information! Both of them fixed the problem together. https://t.co/u5uoteo0xg</v>
      </c>
    </row>
    <row r="808" spans="1:5" ht="15.75" customHeight="1" x14ac:dyDescent="0.25">
      <c r="A808" s="1" t="s">
        <v>1616</v>
      </c>
      <c r="B808" s="1">
        <v>22820</v>
      </c>
      <c r="C808" s="3">
        <v>44400.717256944445</v>
      </c>
      <c r="D808" s="1" t="s">
        <v>1617</v>
      </c>
      <c r="E808" s="4" t="str">
        <f ca="1">IFERROR(__xludf.DUMMYFUNCTION("GOOGLETRANSLATE(A808 , ""tr"" , ""en"")"),"Number of cases today: 11.094
We must return to strict measure from flexibility and do our first overdose immediately.")</f>
        <v>Number of cases today: 11.094
We must return to strict measure from flexibility and do our first overdose immediately.</v>
      </c>
    </row>
    <row r="809" spans="1:5" ht="15.75" customHeight="1" x14ac:dyDescent="0.25">
      <c r="A809" s="1" t="s">
        <v>1618</v>
      </c>
      <c r="B809" s="1">
        <v>13008</v>
      </c>
      <c r="C809" s="3">
        <v>44400.704722222225</v>
      </c>
      <c r="D809" s="1" t="s">
        <v>1619</v>
      </c>
      <c r="E809" s="4" t="str">
        <f ca="1">IFERROR(__xludf.DUMMYFUNCTION("GOOGLETRANSLATE(A809 , ""tr"" , ""en"")"),"There is no infectious disease that drives the destructive effect. Unless community immunity is provided, Covid-19 also will become unimportant in the number of cases. Our institutions are at the day and day-to-day, our health workers are at your service."&amp;" If you haven't had your first dose vaccinations immediately.")</f>
        <v>There is no infectious disease that drives the destructive effect. Unless community immunity is provided, Covid-19 also will become unimportant in the number of cases. Our institutions are at the day and day-to-day, our health workers are at your service. If you haven't had your first dose vaccinations immediately.</v>
      </c>
    </row>
    <row r="810" spans="1:5" ht="15.75" customHeight="1" x14ac:dyDescent="0.25">
      <c r="A810" s="1" t="s">
        <v>1620</v>
      </c>
      <c r="B810" s="1">
        <v>5569</v>
      </c>
      <c r="C810" s="3">
        <v>44400.68445601852</v>
      </c>
      <c r="D810" s="1" t="s">
        <v>1621</v>
      </c>
      <c r="E810" s="4" t="str">
        <f ca="1">IFERROR(__xludf.DUMMYFUNCTION("GOOGLETRANSLATE(A810 , ""tr"" , ""en"")"),"If you want to get better than today, follow the measures. Be your vaccine. The given labor is the mortality of all of us. https://t.co/rvlhe7786o https://t.co/kznv6bigfd")</f>
        <v>If you want to get better than today, follow the measures. Be your vaccine. The given labor is the mortality of all of us. https://t.co/rvlhe7786o https://t.co/kznv6bigfd</v>
      </c>
    </row>
    <row r="811" spans="1:5" ht="15.75" customHeight="1" x14ac:dyDescent="0.25">
      <c r="A811" s="1" t="s">
        <v>1622</v>
      </c>
      <c r="B811" s="1">
        <v>8142</v>
      </c>
      <c r="C811" s="3">
        <v>44400.668078703704</v>
      </c>
      <c r="D811" s="1" t="s">
        <v>1623</v>
      </c>
      <c r="E811" s="4" t="str">
        <f ca="1">IFERROR(__xludf.DUMMYFUNCTION("GOOGLETRANSLATE(A811 , ""tr"" , ""en"")"),"We passed a total of 65 million dose in our vaccine campaign. Success is common and large. However, let's not forget that the number of those who have not yet been in the population of 18 years or older is close to 23 million. This is also a serious weake"&amp;"st point. Let's have the first dose from snooze.")</f>
        <v>We passed a total of 65 million dose in our vaccine campaign. Success is common and large. However, let's not forget that the number of those who have not yet been in the population of 18 years or older is close to 23 million. This is also a serious weakest point. Let's have the first dose from snooze.</v>
      </c>
    </row>
    <row r="812" spans="1:5" ht="15.75" customHeight="1" x14ac:dyDescent="0.25">
      <c r="A812" s="1" t="s">
        <v>1624</v>
      </c>
      <c r="B812" s="1">
        <v>3808</v>
      </c>
      <c r="C812" s="3">
        <v>44400.66070601852</v>
      </c>
      <c r="D812" s="1" t="s">
        <v>1625</v>
      </c>
      <c r="E812" s="4" t="str">
        <f ca="1">IFERROR(__xludf.DUMMYFUNCTION("GOOGLETRANSLATE(A812 , ""tr"" , ""en"")"),"In November, the entire family Covid-19 is the nurse Ayşebarku, this time his brother's Sister Recep. The proposal of our friend to postpone the vaccination of our friend in Hatay: ""A moment before!"" https://t.co/updlqnhjx6")</f>
        <v>In November, the entire family Covid-19 is the nurse Ayşebarku, this time his brother's Sister Recep. The proposal of our friend to postpone the vaccination of our friend in Hatay: "A moment before!" https://t.co/updlqnhjx6</v>
      </c>
    </row>
    <row r="813" spans="1:5" ht="15.75" customHeight="1" x14ac:dyDescent="0.25">
      <c r="A813" s="1" t="s">
        <v>1626</v>
      </c>
      <c r="B813" s="1">
        <v>3857</v>
      </c>
      <c r="C813" s="3">
        <v>44400.653912037036</v>
      </c>
      <c r="D813" s="1" t="s">
        <v>1627</v>
      </c>
      <c r="E813" s="4" t="str">
        <f ca="1">IFERROR(__xludf.DUMMYFUNCTION("GOOGLETRANSLATE(A813 , ""tr"" , ""en"")"),"The nurse on the foot is Ayşebarku. Sitting, nurse gamze climber. The nurse lady is the vaccination of the nurse lady. Two friends at Hatay had also spent Covid-19. Both of the importance of the vaccine knows both patients and well as health workers. http"&amp;"s://t.co/mxmhx1irnu")</f>
        <v>The nurse on the foot is Ayşebarku. Sitting, nurse gamze climber. The nurse lady is the vaccination of the nurse lady. Two friends at Hatay had also spent Covid-19. Both of the importance of the vaccine knows both patients and well as health workers. https://t.co/mxmhx1irnu</v>
      </c>
    </row>
    <row r="814" spans="1:5" ht="15.75" customHeight="1" x14ac:dyDescent="0.25">
      <c r="A814" s="1" t="s">
        <v>1628</v>
      </c>
      <c r="B814" s="1">
        <v>13307</v>
      </c>
      <c r="C814" s="3">
        <v>44400.648796296293</v>
      </c>
      <c r="D814" s="1" t="s">
        <v>1629</v>
      </c>
      <c r="E814" s="4" t="str">
        <f ca="1">IFERROR(__xludf.DUMMYFUNCTION("GOOGLETRANSLATE(A814 , ""tr"" , ""en"")"),"We passed 65 million dose in our vaccine campaign. Let's get our place among those who have the vaccination.")</f>
        <v>We passed 65 million dose in our vaccine campaign. Let's get our place among those who have the vaccination.</v>
      </c>
    </row>
    <row r="815" spans="1:5" ht="15.75" customHeight="1" x14ac:dyDescent="0.25">
      <c r="A815" s="1" t="s">
        <v>1630</v>
      </c>
      <c r="B815" s="1">
        <v>14693</v>
      </c>
      <c r="C815" s="3">
        <v>44399.870104166665</v>
      </c>
      <c r="D815" s="1" t="s">
        <v>1631</v>
      </c>
      <c r="E815" s="4" t="str">
        <f ca="1">IFERROR(__xludf.DUMMYFUNCTION("GOOGLETRANSLATE(A815 , ""tr"" , ""en"")"),"The physician candidate's the pain of our brother burned our heart. Faculty of Faculty of Faculty of Kırıkkale has learned that the Alp Eker has been reached in the lifeless body. The first day of the feast was lost trying to find the sacrifice that escap"&amp;"ed into the mountainous area. I wish his parents to their friends condolences. https://t.co/dqekddslie")</f>
        <v>The physician candidate's the pain of our brother burned our heart. Faculty of Faculty of Faculty of Kırıkkale has learned that the Alp Eker has been reached in the lifeless body. The first day of the feast was lost trying to find the sacrifice that escaped into the mountainous area. I wish his parents to their friends condolences. https://t.co/dqekddslie</v>
      </c>
    </row>
    <row r="816" spans="1:5" ht="15.75" customHeight="1" x14ac:dyDescent="0.25">
      <c r="A816" s="1" t="s">
        <v>1632</v>
      </c>
      <c r="B816" s="1">
        <v>7989</v>
      </c>
      <c r="C816" s="3">
        <v>44399.853761574072</v>
      </c>
      <c r="D816" s="1" t="s">
        <v>1633</v>
      </c>
      <c r="E816" s="4" t="str">
        <f ca="1">IFERROR(__xludf.DUMMYFUNCTION("GOOGLETRANSLATE(A816 , ""tr"" , ""en"")"),"We know the number of cases with our experiences in 1 day, in a few days. We will probably face a higher number tomorrow. The rules we will comply with the next days will determine the vaccines we will make. Let's move according to the conclusion we want "&amp;"to get. Let's be committed.")</f>
        <v>We know the number of cases with our experiences in 1 day, in a few days. We will probably face a higher number tomorrow. The rules we will comply with the next days will determine the vaccines we will make. Let's move according to the conclusion we want to get. Let's be committed.</v>
      </c>
    </row>
    <row r="817" spans="1:5" ht="15.75" customHeight="1" x14ac:dyDescent="0.25">
      <c r="A817" s="1" t="s">
        <v>1634</v>
      </c>
      <c r="B817" s="1">
        <v>10514</v>
      </c>
      <c r="C817" s="3">
        <v>44399.850127314814</v>
      </c>
      <c r="D817" s="1" t="s">
        <v>1635</v>
      </c>
      <c r="E817" s="4" t="str">
        <f ca="1">IFERROR(__xludf.DUMMYFUNCTION("GOOGLETRANSLATE(A817 , ""tr"" , ""en"")"),"We have been at least one dose of our 63%. If the rate of vaccination was lower, we will encounter higher case numbers today. Our weakest point is to be tired of the rules of the epidemic struggle and some of us delay the vaccination. Let's address contro"&amp;"l with the rules.")</f>
        <v>We have been at least one dose of our 63%. If the rate of vaccination was lower, we will encounter higher case numbers today. Our weakest point is to be tired of the rules of the epidemic struggle and some of us delay the vaccination. Let's address control with the rules.</v>
      </c>
    </row>
    <row r="818" spans="1:5" ht="15.75" customHeight="1" x14ac:dyDescent="0.25">
      <c r="A818" s="1" t="s">
        <v>1636</v>
      </c>
      <c r="B818" s="1">
        <v>22862</v>
      </c>
      <c r="C818" s="3">
        <v>44399.74015046296</v>
      </c>
      <c r="D818" s="1" t="s">
        <v>1637</v>
      </c>
      <c r="E818" s="4" t="str">
        <f ca="1">IFERROR(__xludf.DUMMYFUNCTION("GOOGLETRANSLATE(A818 , ""tr"" , ""en"")"),"New Case Numbers have 2 times in 2 weeks. Solution: The strict measure from the moment is the vaccination at the first opportunity. Our health institutions for the first dose and continued doses are at your order at night. Let's stretch the number of case"&amp;"s with 9.586.")</f>
        <v>New Case Numbers have 2 times in 2 weeks. Solution: The strict measure from the moment is the vaccination at the first opportunity. Our health institutions for the first dose and continued doses are at your order at night. Let's stretch the number of cases with 9.586.</v>
      </c>
    </row>
    <row r="819" spans="1:5" ht="15.75" customHeight="1" x14ac:dyDescent="0.25">
      <c r="A819" s="1" t="s">
        <v>1638</v>
      </c>
      <c r="B819" s="1">
        <v>6738</v>
      </c>
      <c r="C819" s="3">
        <v>44399.722118055557</v>
      </c>
      <c r="D819" s="1" t="s">
        <v>1639</v>
      </c>
      <c r="E819" s="4" t="str">
        <f ca="1">IFERROR(__xludf.DUMMYFUNCTION("GOOGLETRANSLATE(A819 , ""tr"" , ""en"")"),"We've reached the highest number of cases today. The epidemic is out of the agenda without securing the vaccine. Get your measure vaccine. This is our social responsibility. https://t.co/vkwjp8fnml")</f>
        <v>We've reached the highest number of cases today. The epidemic is out of the agenda without securing the vaccine. Get your measure vaccine. This is our social responsibility. https://t.co/vkwjp8fnml</v>
      </c>
    </row>
    <row r="820" spans="1:5" ht="15.75" customHeight="1" x14ac:dyDescent="0.25">
      <c r="A820" s="1" t="s">
        <v>1640</v>
      </c>
      <c r="B820" s="1">
        <v>4018</v>
      </c>
      <c r="C820" s="3">
        <v>44399.693715277775</v>
      </c>
      <c r="D820" s="1" t="s">
        <v>1641</v>
      </c>
      <c r="E820" s="4" t="str">
        <f ca="1">IFERROR(__xludf.DUMMYFUNCTION("GOOGLETRANSLATE(A820 , ""tr"" , ""en"")"),"The number of cases in a final week is the most increasing provinces; Siirt, Giresun, Bingöl, Diyarbakir and Kırıkkale. We have to comply with the measures until social immunity is obtained. Don't jeopardize your loved ones. https://t.co/8lkn9y8hqw")</f>
        <v>The number of cases in a final week is the most increasing provinces; Siirt, Giresun, Bingöl, Diyarbakir and Kırıkkale. We have to comply with the measures until social immunity is obtained. Don't jeopardize your loved ones. https://t.co/8lkn9y8hqw</v>
      </c>
    </row>
    <row r="821" spans="1:5" ht="15.75" customHeight="1" x14ac:dyDescent="0.25">
      <c r="A821" s="1" t="s">
        <v>1642</v>
      </c>
      <c r="B821" s="1">
        <v>4249</v>
      </c>
      <c r="C821" s="3">
        <v>44399.689942129633</v>
      </c>
      <c r="D821" s="1" t="s">
        <v>1643</v>
      </c>
      <c r="E821" s="4" t="str">
        <f ca="1">IFERROR(__xludf.DUMMYFUNCTION("GOOGLETRANSLATE(A821 , ""tr"" , ""en"")"),"In our provinces, you can see the current version of the incidence map that shows a total number of considers who correspond to 100,000 population. If we can complete the vaccine program as soon as possible, we remain outside the epidemic agenda. https://"&amp;"t.co/IOOSIR3VRC")</f>
        <v>In our provinces, you can see the current version of the incidence map that shows a total number of considers who correspond to 100,000 population. If we can complete the vaccine program as soon as possible, we remain outside the epidemic agenda. https://t.co/IOOSIR3VRC</v>
      </c>
    </row>
    <row r="822" spans="1:5" ht="15.75" customHeight="1" x14ac:dyDescent="0.25">
      <c r="A822" s="1" t="s">
        <v>1644</v>
      </c>
      <c r="B822" s="1">
        <v>5072</v>
      </c>
      <c r="C822" s="3">
        <v>44399.61041666667</v>
      </c>
      <c r="D822" s="1" t="s">
        <v>1645</v>
      </c>
      <c r="E822" s="4" t="str">
        <f ca="1">IFERROR(__xludf.DUMMYFUNCTION("GOOGLETRANSLATE(A822 , ""tr"" , ""en"")"),"In Artvin Arhavi, the Afat Seven 112 Ambulances, which leads to heavy rainborne floods, 1 Umke Timi was assigned. 1 person under the dent was transmitted to the hospital. The condition is good. Arhavi State Hospital began to accept patient. Get the past, "&amp;"we are on the artvin, we are in for your health!")</f>
        <v>In Artvin Arhavi, the Afat Seven 112 Ambulances, which leads to heavy rainborne floods, 1 Umke Timi was assigned. 1 person under the dent was transmitted to the hospital. The condition is good. Arhavi State Hospital began to accept patient. Get the past, we are on the artvin, we are in for your health!</v>
      </c>
    </row>
    <row r="823" spans="1:5" ht="15.75" customHeight="1" x14ac:dyDescent="0.25">
      <c r="A823" s="1" t="s">
        <v>1646</v>
      </c>
      <c r="B823" s="1">
        <v>6235</v>
      </c>
      <c r="C823" s="3">
        <v>44399.524108796293</v>
      </c>
      <c r="D823" s="1" t="s">
        <v>1647</v>
      </c>
      <c r="E823" s="4" t="str">
        <f ca="1">IFERROR(__xludf.DUMMYFUNCTION("GOOGLETRANSLATE(A823 , ""tr"" , ""en"")"),"Gaziantep provincial ambulance is an official team in the Case of Case. A bird fell in front of the road. They turn and pick up, the foot is broken. They made a dressing on their wounds. Will stay there till the bird they bring to the station is healing. "&amp;"Health Worker Heart! Be right friends. https://t.co/nwhutd0k3t")</f>
        <v>Gaziantep provincial ambulance is an official team in the Case of Case. A bird fell in front of the road. They turn and pick up, the foot is broken. They made a dressing on their wounds. Will stay there till the bird they bring to the station is healing. Health Worker Heart! Be right friends. https://t.co/nwhutd0k3t</v>
      </c>
    </row>
    <row r="824" spans="1:5" ht="15.75" customHeight="1" x14ac:dyDescent="0.25">
      <c r="A824" s="1" t="s">
        <v>1648</v>
      </c>
      <c r="B824" s="1">
        <v>12528</v>
      </c>
      <c r="C824" s="3">
        <v>44399.503645833334</v>
      </c>
      <c r="D824" s="1" t="s">
        <v>1649</v>
      </c>
      <c r="E824" s="4" t="str">
        <f ca="1">IFERROR(__xludf.DUMMYFUNCTION("GOOGLETRANSLATE(A824 , ""tr"" , ""en"")"),"We've lost the theater artist Turgay Star with heart discomfort for a while. The treatment of our patient was finally continued in the intensive care unit of Ankara city hospital. I wish himself from Allah to the mercy, family, lovers.")</f>
        <v>We've lost the theater artist Turgay Star with heart discomfort for a while. The treatment of our patient was finally continued in the intensive care unit of Ankara city hospital. I wish himself from Allah to the mercy, family, lovers.</v>
      </c>
    </row>
    <row r="825" spans="1:5" ht="15.75" customHeight="1" x14ac:dyDescent="0.25">
      <c r="A825" s="1" t="s">
        <v>1650</v>
      </c>
      <c r="B825" s="1">
        <v>13140</v>
      </c>
      <c r="C825" s="3">
        <v>44399.293113425927</v>
      </c>
      <c r="D825" s="1" t="s">
        <v>1651</v>
      </c>
      <c r="E825" s="4" t="str">
        <f ca="1">IFERROR(__xludf.DUMMYFUNCTION("GOOGLETRANSLATE(A825 , ""tr"" , ""en"")"),"The social immunity to be provided by vaccines and measures is otherwise vicious circle. Follow the measures to finish your outbreak, be your vaccination. Either the measure and vaccine, either vicious circle!")</f>
        <v>The social immunity to be provided by vaccines and measures is otherwise vicious circle. Follow the measures to finish your outbreak, be your vaccination. Either the measure and vaccine, either vicious circle!</v>
      </c>
    </row>
    <row r="826" spans="1:5" ht="15.75" customHeight="1" x14ac:dyDescent="0.25">
      <c r="A826" s="1" t="s">
        <v>1652</v>
      </c>
      <c r="B826" s="1">
        <v>20294</v>
      </c>
      <c r="C826" s="3">
        <v>44398.715682870374</v>
      </c>
      <c r="D826" s="1" t="s">
        <v>1653</v>
      </c>
      <c r="E826" s="4" t="str">
        <f ca="1">IFERROR(__xludf.DUMMYFUNCTION("GOOGLETRANSLATE(A826 , ""tr"" , ""en"")"),"""We'll get a little more time!"" What if it is a little late? The number of daily cases is up to 8,780. If you delayed your vaccine immediately.")</f>
        <v>"We'll get a little more time!" What if it is a little late? The number of daily cases is up to 8,780. If you delayed your vaccine immediately.</v>
      </c>
    </row>
    <row r="827" spans="1:5" ht="15.75" customHeight="1" x14ac:dyDescent="0.25">
      <c r="A827" s="1" t="s">
        <v>1654</v>
      </c>
      <c r="B827" s="1">
        <v>5890</v>
      </c>
      <c r="C827" s="3">
        <v>44398.701527777775</v>
      </c>
      <c r="D827" s="1" t="s">
        <v>1655</v>
      </c>
      <c r="E827" s="4" t="str">
        <f ca="1">IFERROR(__xludf.DUMMYFUNCTION("GOOGLETRANSLATE(A827 , ""tr"" , ""en"")"),"The feast is extremely important to control the increasing case numbers. The vaccine is out of epidemics if social immunity is achieved by complying with measures. Otherwise vicious circle. Observe the measures, make your vaccination. https://t.co/rvlhe77"&amp;"86o https://t.co/qqrgactxwb")</f>
        <v>The feast is extremely important to control the increasing case numbers. The vaccine is out of epidemics if social immunity is achieved by complying with measures. Otherwise vicious circle. Observe the measures, make your vaccination. https://t.co/rvlhe7786o https://t.co/qqrgactxwb</v>
      </c>
    </row>
    <row r="828" spans="1:5" ht="15.75" customHeight="1" x14ac:dyDescent="0.25">
      <c r="A828" s="1" t="s">
        <v>1656</v>
      </c>
      <c r="B828" s="1">
        <v>6957</v>
      </c>
      <c r="C828" s="3">
        <v>44398.669016203705</v>
      </c>
      <c r="D828" s="1" t="s">
        <v>1657</v>
      </c>
      <c r="E828" s="4" t="str">
        <f ca="1">IFERROR(__xludf.DUMMYFUNCTION("GOOGLETRANSLATE(A828 , ""tr"" , ""en"")"),"28-year-old Ahmet Yilmaz, the first overdose in the village of Kütahya, where second dose vaccines are completed, was the last person of the first overdose. He greeted our teams at the village entrance and his vaccination. https://t.co/3c5u1ajgfv")</f>
        <v>28-year-old Ahmet Yilmaz, the first overdose in the village of Kütahya, where second dose vaccines are completed, was the last person of the first overdose. He greeted our teams at the village entrance and his vaccination. https://t.co/3c5u1ajgfv</v>
      </c>
    </row>
    <row r="829" spans="1:5" ht="15.75" customHeight="1" x14ac:dyDescent="0.25">
      <c r="A829" s="1" t="s">
        <v>1658</v>
      </c>
      <c r="B829" s="1">
        <v>10089</v>
      </c>
      <c r="C829" s="3">
        <v>44397.867511574077</v>
      </c>
      <c r="D829" s="1" t="s">
        <v>1659</v>
      </c>
      <c r="E829" s="4" t="str">
        <f ca="1">IFERROR(__xludf.DUMMYFUNCTION("GOOGLETRANSLATE(A829 , ""tr"" , ""en"")"),"Our ambulance of Kahramanmaras provincial ambulance service is an accident during the patient transplantation. Our severe injured driver has not been saved in spite of all interventions in the hospital it is grown. 2 Health personnel are driving 5 people."&amp;" May God experience similar pain.")</f>
        <v>Our ambulance of Kahramanmaras provincial ambulance service is an accident during the patient transplantation. Our severe injured driver has not been saved in spite of all interventions in the hospital it is grown. 2 Health personnel are driving 5 people. May God experience similar pain.</v>
      </c>
    </row>
    <row r="830" spans="1:5" ht="15.75" customHeight="1" x14ac:dyDescent="0.25">
      <c r="A830" s="1" t="s">
        <v>1660</v>
      </c>
      <c r="B830" s="1">
        <v>17729</v>
      </c>
      <c r="C830" s="3">
        <v>44397.77847222222</v>
      </c>
      <c r="D830" s="1" t="s">
        <v>1661</v>
      </c>
      <c r="E830" s="4" t="str">
        <f ca="1">IFERROR(__xludf.DUMMYFUNCTION("GOOGLETRANSLATE(A830 , ""tr"" , ""en"")"),"The new number of cases today is 8,780.
Nothing is to serve this number in the holiday size.")</f>
        <v>The new number of cases today is 8,780.
Nothing is to serve this number in the holiday size.</v>
      </c>
    </row>
    <row r="831" spans="1:5" ht="15.75" customHeight="1" x14ac:dyDescent="0.25">
      <c r="A831" s="1" t="s">
        <v>1662</v>
      </c>
      <c r="B831" s="1">
        <v>10320</v>
      </c>
      <c r="C831" s="3">
        <v>44397.766180555554</v>
      </c>
      <c r="D831" s="1" t="s">
        <v>1663</v>
      </c>
      <c r="E831" s="4" t="str">
        <f ca="1">IFERROR(__xludf.DUMMYFUNCTION("GOOGLETRANSLATE(A831 , ""tr"" , ""en"")"),"Two dose vaccines cuts the presence of case numbers. The two dose vaccines provide the decrease in the number of cases no longer return. Let's be very careful without breaking the feast. Permanent solution is immune to be acquired with vaccine. The new nu"&amp;"mber of cases today is 8,780. Get in mind all over Turkey.")</f>
        <v>Two dose vaccines cuts the presence of case numbers. The two dose vaccines provide the decrease in the number of cases no longer return. Let's be very careful without breaking the feast. Permanent solution is immune to be acquired with vaccine. The new number of cases today is 8,780. Get in mind all over Turkey.</v>
      </c>
    </row>
    <row r="832" spans="1:5" ht="15.75" customHeight="1" x14ac:dyDescent="0.25">
      <c r="A832" s="1" t="s">
        <v>1664</v>
      </c>
      <c r="B832" s="1">
        <v>6339</v>
      </c>
      <c r="C832" s="3">
        <v>44397.701238425929</v>
      </c>
      <c r="D832" s="1" t="s">
        <v>1665</v>
      </c>
      <c r="E832" s="4" t="str">
        <f ca="1">IFERROR(__xludf.DUMMYFUNCTION("GOOGLETRANSLATE(A832 , ""tr"" , ""en"")"),"A moment to prevent the increase in the number of cases is to obtain immunity as two dose vaccines. The feast is not to turn into an opportunity for epidemic illness. May be a combination of joy and augu. https://t.co/rvlhe7786o https://t.co/m3mwgc78m7")</f>
        <v>A moment to prevent the increase in the number of cases is to obtain immunity as two dose vaccines. The feast is not to turn into an opportunity for epidemic illness. May be a combination of joy and augu. https://t.co/rvlhe7786o https://t.co/m3mwgc78m7</v>
      </c>
    </row>
    <row r="833" spans="1:5" ht="15.75" customHeight="1" x14ac:dyDescent="0.25">
      <c r="A833" s="1" t="s">
        <v>1666</v>
      </c>
      <c r="B833" s="1">
        <v>10947</v>
      </c>
      <c r="C833" s="3">
        <v>44397.564791666664</v>
      </c>
      <c r="D833" s="1" t="s">
        <v>1667</v>
      </c>
      <c r="E833" s="4" t="str">
        <f ca="1">IFERROR(__xludf.DUMMYFUNCTION("GOOGLETRANSLATE(A833 , ""tr"" , ""en"")"),"Do not leave the turn.
Get your vaccine now on your current location. Our health institutions are at your service for the first dose and continuation dose vaccines.")</f>
        <v>Do not leave the turn.
Get your vaccine now on your current location. Our health institutions are at your service for the first dose and continuation dose vaccines.</v>
      </c>
    </row>
    <row r="834" spans="1:5" ht="15.75" customHeight="1" x14ac:dyDescent="0.25">
      <c r="A834" s="1" t="s">
        <v>1668</v>
      </c>
      <c r="B834" s="1">
        <v>7170</v>
      </c>
      <c r="C834" s="3">
        <v>44397.465601851851</v>
      </c>
      <c r="D834" s="1" t="s">
        <v>1669</v>
      </c>
      <c r="E834" s="4" t="str">
        <f ca="1">IFERROR(__xludf.DUMMYFUNCTION("GOOGLETRANSLATE(A834 , ""tr"" , ""en"")"),"Our anesthetist friend who is caught in Covid-19 in May Dr. Volkan benefit, 20 days in intensive care, 45 days at the service gave life struggles. Balıkesir Atatürk is again in the city hospital. While Covid is interested in intensive care patients, there"&amp;" is also a vaccine polyclinet. https://t.co/edlt9tsmot")</f>
        <v>Our anesthetist friend who is caught in Covid-19 in May Dr. Volkan benefit, 20 days in intensive care, 45 days at the service gave life struggles. Balıkesir Atatürk is again in the city hospital. While Covid is interested in intensive care patients, there is also a vaccine polyclinet. https://t.co/edlt9tsmot</v>
      </c>
    </row>
    <row r="835" spans="1:5" ht="15.75" customHeight="1" x14ac:dyDescent="0.25">
      <c r="A835" s="1" t="s">
        <v>1670</v>
      </c>
      <c r="B835" s="1">
        <v>5571</v>
      </c>
      <c r="C835" s="3">
        <v>44397.167604166665</v>
      </c>
      <c r="D835" s="1" t="s">
        <v>1671</v>
      </c>
      <c r="E835" s="4" t="str">
        <f ca="1">IFERROR(__xludf.DUMMYFUNCTION("GOOGLETRANSLATE(A835 , ""tr"" , ""en"")"),"We have to start the preparation of the holidays today. Let's allocate our video chat for two minutes. Our feast of the sacrifice, our joys are such a great and one. https://t.co/m42xgh3syd")</f>
        <v>We have to start the preparation of the holidays today. Let's allocate our video chat for two minutes. Our feast of the sacrifice, our joys are such a great and one. https://t.co/m42xgh3syd</v>
      </c>
    </row>
    <row r="836" spans="1:5" ht="15.75" customHeight="1" x14ac:dyDescent="0.25">
      <c r="A836" s="1" t="s">
        <v>1672</v>
      </c>
      <c r="B836" s="1">
        <v>3775</v>
      </c>
      <c r="C836" s="3">
        <v>44396.78806712963</v>
      </c>
      <c r="D836" s="1" t="s">
        <v>1673</v>
      </c>
      <c r="E836" s="4" t="str">
        <f ca="1">IFERROR(__xludf.DUMMYFUNCTION("GOOGLETRANSLATE(A836 , ""tr"" , ""en"")"),"The place arrived we went to the fields. In the village gardens we met in the city squads. Now the number of those who have at least one dose of overdose is over 39 million. I celebrate the feast of each person of our country, those who have vaccines, the"&amp;" home wandering and the vaccine. https://t.co/rkzh0h3nng")</f>
        <v>The place arrived we went to the fields. In the village gardens we met in the city squads. Now the number of those who have at least one dose of overdose is over 39 million. I celebrate the feast of each person of our country, those who have vaccines, the home wandering and the vaccine. https://t.co/rkzh0h3nng</v>
      </c>
    </row>
    <row r="837" spans="1:5" ht="15.75" customHeight="1" x14ac:dyDescent="0.25">
      <c r="A837" s="1" t="s">
        <v>1674</v>
      </c>
      <c r="B837" s="1">
        <v>14301</v>
      </c>
      <c r="C837" s="3">
        <v>44396.750694444447</v>
      </c>
      <c r="D837" s="1" t="s">
        <v>1675</v>
      </c>
      <c r="E837" s="4" t="str">
        <f ca="1">IFERROR(__xludf.DUMMYFUNCTION("GOOGLETRANSLATE(A837 , ""tr"" , ""en"")"),"To meet, be involved.
The two are resembling each other. Let's keep the distance on holiday.")</f>
        <v>To meet, be involved.
The two are resembling each other. Let's keep the distance on holiday.</v>
      </c>
    </row>
    <row r="838" spans="1:5" ht="15.75" customHeight="1" x14ac:dyDescent="0.25">
      <c r="A838" s="1" t="s">
        <v>1676</v>
      </c>
      <c r="B838" s="1">
        <v>18855</v>
      </c>
      <c r="C838" s="3">
        <v>44396.730127314811</v>
      </c>
      <c r="D838" s="1" t="s">
        <v>1677</v>
      </c>
      <c r="E838" s="4" t="str">
        <f ca="1">IFERROR(__xludf.DUMMYFUNCTION("GOOGLETRANSLATE(A838 , ""tr"" , ""en"")"),"Nice to meet, the patient has to leave. Let's be careful in the holiday.")</f>
        <v>Nice to meet, the patient has to leave. Let's be careful in the holiday.</v>
      </c>
    </row>
    <row r="839" spans="1:5" ht="15.75" customHeight="1" x14ac:dyDescent="0.25">
      <c r="A839" s="1" t="s">
        <v>1678</v>
      </c>
      <c r="B839" s="1">
        <v>4851</v>
      </c>
      <c r="C839" s="3">
        <v>44396.703773148147</v>
      </c>
      <c r="D839" s="1" t="s">
        <v>1679</v>
      </c>
      <c r="E839" s="4" t="str">
        <f ca="1">IFERROR(__xludf.DUMMYFUNCTION("GOOGLETRANSLATE(A839 , ""tr"" , ""en"")"),"The number of cases increased by about 30% compared to last week. Do not underestimate measures in festive flurry and joy. Closed and stay away from crowded environments. Do not make imprudences to drop shadow to Bayram. https://t.co/rvlhe7786o https://t."&amp;"co/e6tm3xluz3")</f>
        <v>The number of cases increased by about 30% compared to last week. Do not underestimate measures in festive flurry and joy. Closed and stay away from crowded environments. Do not make imprudences to drop shadow to Bayram. https://t.co/rvlhe7786o https://t.co/e6tm3xluz3</v>
      </c>
    </row>
    <row r="840" spans="1:5" ht="15.75" customHeight="1" x14ac:dyDescent="0.25">
      <c r="A840" s="1" t="s">
        <v>1680</v>
      </c>
      <c r="B840" s="1">
        <v>6246</v>
      </c>
      <c r="C840" s="3">
        <v>44396.698333333334</v>
      </c>
      <c r="D840" s="1" t="s">
        <v>1681</v>
      </c>
      <c r="E840" s="4" t="str">
        <f ca="1">IFERROR(__xludf.DUMMYFUNCTION("GOOGLETRANSLATE(A840 , ""tr"" , ""en"")"),"The number of those who have at least one dose of oversees has passed 39 million.
This number corresponds to approximately 63% of the population of 18 years or older.")</f>
        <v>The number of those who have at least one dose of oversees has passed 39 million.
This number corresponds to approximately 63% of the population of 18 years or older.</v>
      </c>
    </row>
    <row r="841" spans="1:5" ht="15.75" customHeight="1" x14ac:dyDescent="0.25">
      <c r="A841" s="1" t="s">
        <v>1682</v>
      </c>
      <c r="B841" s="1">
        <v>8072</v>
      </c>
      <c r="C841" s="3">
        <v>44396.693599537037</v>
      </c>
      <c r="D841" s="1" t="s">
        <v>1683</v>
      </c>
      <c r="E841" s="4" t="str">
        <f ca="1">IFERROR(__xludf.DUMMYFUNCTION("GOOGLETRANSLATE(A841 , ""tr"" , ""en"")"),"The number of two dose of overdoses has passed 20 million.
This number corresponds to about 33% of the population of 18 years or older.")</f>
        <v>The number of two dose of overdoses has passed 20 million.
This number corresponds to about 33% of the population of 18 years or older.</v>
      </c>
    </row>
    <row r="842" spans="1:5" ht="15.75" customHeight="1" x14ac:dyDescent="0.25">
      <c r="A842" s="1" t="s">
        <v>1684</v>
      </c>
      <c r="B842" s="1">
        <v>11843</v>
      </c>
      <c r="C842" s="3">
        <v>44396.392453703702</v>
      </c>
      <c r="D842" s="1" t="s">
        <v>1685</v>
      </c>
      <c r="E842" s="4" t="str">
        <f ca="1">IFERROR(__xludf.DUMMYFUNCTION("GOOGLETRANSLATE(A842 , ""tr"" , ""en"")"),"Depending on the environments where transmission is easier, the number of cases is increasing. Number of new cases with 5.261 a week ago yesterday 7,680 yesterday. A little more care keeps our joy in the feast, prevents us from spending the patient after "&amp;"the holiday.")</f>
        <v>Depending on the environments where transmission is easier, the number of cases is increasing. Number of new cases with 5.261 a week ago yesterday 7,680 yesterday. A little more care keeps our joy in the feast, prevents us from spending the patient after the holiday.</v>
      </c>
    </row>
    <row r="843" spans="1:5" ht="15.75" customHeight="1" x14ac:dyDescent="0.25">
      <c r="A843" s="1" t="s">
        <v>1686</v>
      </c>
      <c r="B843" s="1">
        <v>9206</v>
      </c>
      <c r="C843" s="3">
        <v>44396.362129629626</v>
      </c>
      <c r="D843" s="1" t="s">
        <v>1687</v>
      </c>
      <c r="E843" s="4" t="str">
        <f ca="1">IFERROR(__xludf.DUMMYFUNCTION("GOOGLETRANSLATE(A843 , ""tr"" , ""en"")"),"Make your fans vaccinated I thank the football clubs and clubs who call. Let's be our vaccine, let the tribunes have a full staff. https://t.co/5d05toswfn")</f>
        <v>Make your fans vaccinated I thank the football clubs and clubs who call. Let's be our vaccine, let the tribunes have a full staff. https://t.co/5d05toswfn</v>
      </c>
    </row>
    <row r="844" spans="1:5" ht="15.75" customHeight="1" x14ac:dyDescent="0.25">
      <c r="A844" s="1" t="s">
        <v>1688</v>
      </c>
      <c r="B844" s="1">
        <v>4625</v>
      </c>
      <c r="C844" s="3">
        <v>44395.750011574077</v>
      </c>
      <c r="D844" s="1" t="s">
        <v>1689</v>
      </c>
      <c r="E844" s="4" t="str">
        <f ca="1">IFERROR(__xludf.DUMMYFUNCTION("GOOGLETRANSLATE(A844 , ""tr"" , ""en"")"),"The fans should leave the full staff to the tribunes. Let's get our vaccines to protect ourselves from the disease. I would like to thank Trabzon Sports Club for the tenderness it shows. https://t.co/mffg0qxqh2")</f>
        <v>The fans should leave the full staff to the tribunes. Let's get our vaccines to protect ourselves from the disease. I would like to thank Trabzon Sports Club for the tenderness it shows. https://t.co/mffg0qxqh2</v>
      </c>
    </row>
    <row r="845" spans="1:5" ht="15.75" customHeight="1" x14ac:dyDescent="0.25">
      <c r="A845" s="1" t="s">
        <v>1690</v>
      </c>
      <c r="B845" s="1">
        <v>5546</v>
      </c>
      <c r="C845" s="3">
        <v>44395.743344907409</v>
      </c>
      <c r="D845" s="1" t="s">
        <v>1691</v>
      </c>
      <c r="E845" s="4" t="str">
        <f ca="1">IFERROR(__xludf.DUMMYFUNCTION("GOOGLETRANSLATE(A845 , ""tr"" , ""en"")"),"The fans should leave the full staff to the tribunes. Let's get our vaccines to protect ourselves from the disease. I would like to thank Besiktas Sports Club for the tenderness it shows. https://t.co/ztcztek1n3")</f>
        <v>The fans should leave the full staff to the tribunes. Let's get our vaccines to protect ourselves from the disease. I would like to thank Besiktas Sports Club for the tenderness it shows. https://t.co/ztcztek1n3</v>
      </c>
    </row>
    <row r="846" spans="1:5" ht="15.75" customHeight="1" x14ac:dyDescent="0.25">
      <c r="A846" s="1" t="s">
        <v>1692</v>
      </c>
      <c r="B846" s="1">
        <v>8973</v>
      </c>
      <c r="C846" s="3">
        <v>44395.736527777779</v>
      </c>
      <c r="D846" s="1" t="s">
        <v>1693</v>
      </c>
      <c r="E846" s="4" t="str">
        <f ca="1">IFERROR(__xludf.DUMMYFUNCTION("GOOGLETRANSLATE(A846 , ""tr"" , ""en"")"),"The fans should leave the full staff to the tribunes. Let's get our vaccines to protect ourselves from the disease. I would like to thank Galatasaray Sports Club for the tenderness it shows. https://t.co/1v1UKYEBLP")</f>
        <v>The fans should leave the full staff to the tribunes. Let's get our vaccines to protect ourselves from the disease. I would like to thank Galatasaray Sports Club for the tenderness it shows. https://t.co/1v1UKYEBLP</v>
      </c>
    </row>
    <row r="847" spans="1:5" ht="15.75" customHeight="1" x14ac:dyDescent="0.25">
      <c r="A847" s="1" t="s">
        <v>1694</v>
      </c>
      <c r="B847" s="1">
        <v>15943</v>
      </c>
      <c r="C847" s="3">
        <v>44395.729201388887</v>
      </c>
      <c r="D847" s="1" t="s">
        <v>1695</v>
      </c>
      <c r="E847" s="4" t="str">
        <f ca="1">IFERROR(__xludf.DUMMYFUNCTION("GOOGLETRANSLATE(A847 , ""tr"" , ""en"")"),"The fans should leave the full staff to the tribunes. Let's get our vaccines to protect ourselves from the disease. I thank Fenerbahce Sports Club for the tenderness it shows. https://t.co/qvxa7c7wpf")</f>
        <v>The fans should leave the full staff to the tribunes. Let's get our vaccines to protect ourselves from the disease. I thank Fenerbahce Sports Club for the tenderness it shows. https://t.co/qvxa7c7wpf</v>
      </c>
    </row>
    <row r="848" spans="1:5" ht="15.75" customHeight="1" x14ac:dyDescent="0.25">
      <c r="A848" s="1" t="s">
        <v>1696</v>
      </c>
      <c r="B848" s="1">
        <v>6078</v>
      </c>
      <c r="C848" s="3">
        <v>44395.725034722222</v>
      </c>
      <c r="D848" s="1" t="s">
        <v>1697</v>
      </c>
      <c r="E848" s="4" t="str">
        <f ca="1">IFERROR(__xludf.DUMMYFUNCTION("GOOGLETRANSLATE(A848 , ""tr"" , ""en"")"),"Aydin, Izmir and Tekirdagi approached blue. Let's obey the measures without concessions. Featuring measures on the holiday, the feast also feasts. https://t.co/rvlhe7786o https://t.co/poxlhlh5n6")</f>
        <v>Aydin, Izmir and Tekirdagi approached blue. Let's obey the measures without concessions. Featuring measures on the holiday, the feast also feasts. https://t.co/rvlhe7786o https://t.co/poxlhlh5n6</v>
      </c>
    </row>
    <row r="849" spans="1:5" ht="15.75" customHeight="1" x14ac:dyDescent="0.25">
      <c r="A849" s="1" t="s">
        <v>1698</v>
      </c>
      <c r="B849" s="1">
        <v>5749</v>
      </c>
      <c r="C849" s="3">
        <v>44394.804756944446</v>
      </c>
      <c r="D849" s="1" t="s">
        <v>1699</v>
      </c>
      <c r="E849" s="4" t="str">
        <f ca="1">IFERROR(__xludf.DUMMYFUNCTION("GOOGLETRANSLATE(A849 , ""tr"" , ""en"")"),"After four days ago in Rize, our emergency health teams, this time, this time, the villages affected by the event have made the health checks of our citizens. The past get rize. May God experience similar pain. https://t.co/uztszpzsgh")</f>
        <v>After four days ago in Rize, our emergency health teams, this time, this time, the villages affected by the event have made the health checks of our citizens. The past get rize. May God experience similar pain. https://t.co/uztszpzsgh</v>
      </c>
    </row>
    <row r="850" spans="1:5" ht="15.75" customHeight="1" x14ac:dyDescent="0.25">
      <c r="A850" s="1" t="s">
        <v>1700</v>
      </c>
      <c r="B850" s="1">
        <v>6599</v>
      </c>
      <c r="C850" s="3">
        <v>44394.730891203704</v>
      </c>
      <c r="D850" s="1" t="s">
        <v>1701</v>
      </c>
      <c r="E850" s="4" t="str">
        <f ca="1">IFERROR(__xludf.DUMMYFUNCTION("GOOGLETRANSLATE(A850 , ""tr"" , ""en"")"),"Van, Mountain Plateau. Our nurse fellows the ViYan Çakir, the vaccine will be able to enter the contacts of the people who will enter the system 2.700 meters high internet access. Then in the mountain plateau, he made the vaccinations of our citizens livi"&amp;"ng at a height of 1,950 meters. https://t.co/dpmfqjttss")</f>
        <v>Van, Mountain Plateau. Our nurse fellows the ViYan Çakir, the vaccine will be able to enter the contacts of the people who will enter the system 2.700 meters high internet access. Then in the mountain plateau, he made the vaccinations of our citizens living at a height of 1,950 meters. https://t.co/dpmfqjttss</v>
      </c>
    </row>
    <row r="851" spans="1:5" ht="15.75" customHeight="1" x14ac:dyDescent="0.25">
      <c r="A851" s="1" t="s">
        <v>1702</v>
      </c>
      <c r="B851" s="1">
        <v>11378</v>
      </c>
      <c r="C851" s="3">
        <v>44394.711284722223</v>
      </c>
      <c r="D851" s="1" t="s">
        <v>1703</v>
      </c>
      <c r="E851" s="4" t="str">
        <f ca="1">IFERROR(__xludf.DUMMYFUNCTION("GOOGLETRANSLATE(A851 , ""tr"" , ""en"")"),"Ghazal Aunty kissed our vaccination on our forehead. We are also kissing your hands Ghazal aunty. Escrow us after God's first place. https://t.co/4ISG9BZPWY")</f>
        <v>Ghazal Aunty kissed our vaccination on our forehead. We are also kissing your hands Ghazal aunty. Escrow us after God's first place. https://t.co/4ISG9BZPWY</v>
      </c>
    </row>
    <row r="852" spans="1:5" ht="15.75" customHeight="1" x14ac:dyDescent="0.25">
      <c r="A852" s="1" t="s">
        <v>1704</v>
      </c>
      <c r="B852" s="1">
        <v>5444</v>
      </c>
      <c r="C852" s="3">
        <v>44394.692152777781</v>
      </c>
      <c r="D852" s="1" t="s">
        <v>1705</v>
      </c>
      <c r="E852" s="4" t="str">
        <f ca="1">IFERROR(__xludf.DUMMYFUNCTION("GOOGLETRANSLATE(A852 , ""tr"" , ""en"")"),"Were less than fishing. Let's strive for our goal to be at least one dose of population of 18 years of age before the feast. Let's get the outbreak out of the agenda with the vaccine. https://t.co/rvlhe7786o https://t.co/za4cxjjsd0")</f>
        <v>Were less than fishing. Let's strive for our goal to be at least one dose of population of 18 years of age before the feast. Let's get the outbreak out of the agenda with the vaccine. https://t.co/rvlhe7786o https://t.co/za4cxjjsd0</v>
      </c>
    </row>
    <row r="853" spans="1:5" ht="15.75" customHeight="1" x14ac:dyDescent="0.25">
      <c r="A853" s="1" t="s">
        <v>1706</v>
      </c>
      <c r="B853" s="1">
        <v>6324</v>
      </c>
      <c r="C853" s="3">
        <v>44394.607581018521</v>
      </c>
      <c r="D853" s="1" t="s">
        <v>1707</v>
      </c>
      <c r="E853" s="4" t="str">
        <f ca="1">IFERROR(__xludf.DUMMYFUNCTION("GOOGLETRANSLATE(A853 , ""tr"" , ""en"")"),"Dreams are getting real. Our hospital is being served more service. Today, we are the opening of our Erzurum City Hospital with the factors of our President. Get auspicious to our erzurum and the erzurums. https://t.co/ObInpmqk")</f>
        <v>Dreams are getting real. Our hospital is being served more service. Today, we are the opening of our Erzurum City Hospital with the factors of our President. Get auspicious to our erzurum and the erzurums. https://t.co/ObInpmqk</v>
      </c>
    </row>
    <row r="854" spans="1:5" ht="15.75" customHeight="1" x14ac:dyDescent="0.25">
      <c r="A854" s="1" t="s">
        <v>1708</v>
      </c>
      <c r="B854" s="1">
        <v>0</v>
      </c>
      <c r="C854" s="3">
        <v>44394.579027777778</v>
      </c>
      <c r="D854" s="1" t="s">
        <v>1709</v>
      </c>
      <c r="E854" s="4" t="str">
        <f ca="1">IFERROR(__xludf.DUMMYFUNCTION("GOOGLETRANSLATE(A854 , ""tr"" , ""en"")"),"RT @rterdogan: The opening ceremony of projects completed in Erzurum
https://t.co/fsgw1ydrjh")</f>
        <v>RT @rterdogan: The opening ceremony of projects completed in Erzurum
https://t.co/fsgw1ydrjh</v>
      </c>
    </row>
    <row r="855" spans="1:5" ht="15.75" customHeight="1" x14ac:dyDescent="0.25">
      <c r="A855" s="1" t="s">
        <v>1710</v>
      </c>
      <c r="B855" s="1">
        <v>7704</v>
      </c>
      <c r="C855" s="3">
        <v>44394.573159722226</v>
      </c>
      <c r="D855" s="1" t="s">
        <v>1711</v>
      </c>
      <c r="E855" s="4" t="str">
        <f ca="1">IFERROR(__xludf.DUMMYFUNCTION("GOOGLETRANSLATE(A855 , ""tr"" , ""en"")"),"With the factors of our Mr. President, we are opening the Erzurum city hospital. https://t.co/oqokjjvfjd")</f>
        <v>With the factors of our Mr. President, we are opening the Erzurum city hospital. https://t.co/oqokjjvfjd</v>
      </c>
    </row>
    <row r="856" spans="1:5" ht="15.75" customHeight="1" x14ac:dyDescent="0.25">
      <c r="A856" s="1" t="s">
        <v>1712</v>
      </c>
      <c r="B856" s="1">
        <v>15069</v>
      </c>
      <c r="C856" s="3">
        <v>44393.87909722222</v>
      </c>
      <c r="D856" s="1" t="s">
        <v>1713</v>
      </c>
      <c r="E856" s="4" t="str">
        <f ca="1">IFERROR(__xludf.DUMMYFUNCTION("GOOGLETRANSLATE(A856 , ""tr"" , ""en"")"),"It would be good than healthier's number.
Bayrak to 3 days, 1 million 132 thousand 517 dose of dose!")</f>
        <v>It would be good than healthier's number.
Bayrak to 3 days, 1 million 132 thousand 517 dose of dose!</v>
      </c>
    </row>
    <row r="857" spans="1:5" ht="15.75" customHeight="1" x14ac:dyDescent="0.25">
      <c r="A857" s="1" t="s">
        <v>1714</v>
      </c>
      <c r="B857" s="1">
        <v>4734</v>
      </c>
      <c r="C857" s="3">
        <v>44393.85359953704</v>
      </c>
      <c r="D857" s="1" t="s">
        <v>1715</v>
      </c>
      <c r="E857" s="4" t="str">
        <f ca="1">IFERROR(__xludf.DUMMYFUNCTION("GOOGLETRANSLATE(A857 , ""tr"" , ""en"")"),"Nurhan Gönür (46)
Nurse doing the vaccination: Zübey is small
Physician in charge of the vaccine: Nihat flag
Time to make vaccine: 19.46
Location: Grasshopper State Hospital
The 1 millionth overdose has multiple differences from the overdose vaccine of 99"&amp;"9.999. One is excited! https://t.co/6t9darjiip")</f>
        <v>Nurhan Gönür (46)
Nurse doing the vaccination: Zübey is small
Physician in charge of the vaccine: Nihat flag
Time to make vaccine: 19.46
Location: Grasshopper State Hospital
The 1 millionth overdose has multiple differences from the overdose vaccine of 999.999. One is excited! https://t.co/6t9darjiip</v>
      </c>
    </row>
    <row r="858" spans="1:5" ht="15.75" customHeight="1" x14ac:dyDescent="0.25">
      <c r="A858" s="1" t="s">
        <v>1716</v>
      </c>
      <c r="B858" s="1">
        <v>10181</v>
      </c>
      <c r="C858" s="3">
        <v>44393.80872685185</v>
      </c>
      <c r="D858" s="1" t="s">
        <v>1717</v>
      </c>
      <c r="E858" s="4" t="str">
        <f ca="1">IFERROR(__xludf.DUMMYFUNCTION("GOOGLETRANSLATE(A858 , ""tr"" , ""en"")"),"Yesterday made a vaccination to 510 people.
The nurse in the State Hospital in Afyonkarahisar State Hospital has made vaccinated 510 people yesterday. Note the photo. It says I do it even if the order is waiting. Your hands don't get trouble Nihal lady. h"&amp;"ttps://t.co/kx40u9f6bx")</f>
        <v>Yesterday made a vaccination to 510 people.
The nurse in the State Hospital in Afyonkarahisar State Hospital has made vaccinated 510 people yesterday. Note the photo. It says I do it even if the order is waiting. Your hands don't get trouble Nihal lady. https://t.co/kx40u9f6bx</v>
      </c>
    </row>
    <row r="859" spans="1:5" ht="15.75" customHeight="1" x14ac:dyDescent="0.25">
      <c r="A859" s="1" t="s">
        <v>1718</v>
      </c>
      <c r="B859" s="1">
        <v>4643</v>
      </c>
      <c r="C859" s="3">
        <v>44393.801979166667</v>
      </c>
      <c r="D859" s="1" t="s">
        <v>1719</v>
      </c>
      <c r="E859" s="4" t="str">
        <f ca="1">IFERROR(__xludf.DUMMYFUNCTION("GOOGLETRANSLATE(A859 , ""tr"" , ""en"")"),"In close to a third of the population of 18 years or older, ie 20 million people have made two overdose. We're more than one-third double dose! https://t.co_rydx7kfvha")</f>
        <v>In close to a third of the population of 18 years or older, ie 20 million people have made two overdose. We're more than one-third double dose! https://t.co_rydx7kfvha</v>
      </c>
    </row>
    <row r="860" spans="1:5" ht="15.75" customHeight="1" x14ac:dyDescent="0.25">
      <c r="A860" s="1" t="s">
        <v>1720</v>
      </c>
      <c r="B860" s="1">
        <v>6447</v>
      </c>
      <c r="C860" s="3">
        <v>44393.714722222219</v>
      </c>
      <c r="D860" s="1" t="s">
        <v>1721</v>
      </c>
      <c r="E860" s="4" t="str">
        <f ca="1">IFERROR(__xludf.DUMMYFUNCTION("GOOGLETRANSLATE(A860 , ""tr"" , ""en"")"),"He deserved to celebrate like Balikesir Day holiday. Balıkesir is now in the blue category. Let's get our place in the fight against our at least one dose of overdose before the holiday. https://t.co/rvlhe7786o https://t.co/l8ln88l9cn")</f>
        <v>He deserved to celebrate like Balikesir Day holiday. Balıkesir is now in the blue category. Let's get our place in the fight against our at least one dose of overdose before the holiday. https://t.co/rvlhe7786o https://t.co/l8ln88l9cn</v>
      </c>
    </row>
    <row r="861" spans="1:5" ht="15.75" customHeight="1" x14ac:dyDescent="0.25">
      <c r="A861" s="1" t="s">
        <v>1722</v>
      </c>
      <c r="B861" s="1">
        <v>9588</v>
      </c>
      <c r="C861" s="3">
        <v>44393.701342592591</v>
      </c>
      <c r="D861" s="1" t="s">
        <v>1723</v>
      </c>
      <c r="E861" s="4" t="str">
        <f ca="1">IFERROR(__xludf.DUMMYFUNCTION("GOOGLETRANSLATE(A861 , ""tr"" , ""en"")"),"We have passed 1 million dose. Every new dose to be put on top is very precious. Permanent victory against the epidemic will provide us vaccination.")</f>
        <v>We have passed 1 million dose. Every new dose to be put on top is very precious. Permanent victory against the epidemic will provide us vaccination.</v>
      </c>
    </row>
    <row r="862" spans="1:5" ht="15.75" customHeight="1" x14ac:dyDescent="0.25">
      <c r="A862" s="1" t="s">
        <v>1724</v>
      </c>
      <c r="B862" s="1">
        <v>23401</v>
      </c>
      <c r="C862" s="3">
        <v>44393.661006944443</v>
      </c>
      <c r="D862" s="1" t="s">
        <v>1725</v>
      </c>
      <c r="E862" s="4" t="str">
        <f ca="1">IFERROR(__xludf.DUMMYFUNCTION("GOOGLETRANSLATE(A862 , ""tr"" , ""en"")"),"Are we going to the homeland?
Let's get through the family physician without going.
Let's be both virtue and our vaccine.")</f>
        <v>Are we going to the homeland?
Let's get through the family physician without going.
Let's be both virtue and our vaccine.</v>
      </c>
    </row>
    <row r="863" spans="1:5" ht="15.75" customHeight="1" x14ac:dyDescent="0.25">
      <c r="A863" s="1" t="s">
        <v>1726</v>
      </c>
      <c r="B863" s="1">
        <v>9871</v>
      </c>
      <c r="C863" s="3">
        <v>44393.651909722219</v>
      </c>
      <c r="D863" s="1" t="s">
        <v>1727</v>
      </c>
      <c r="E863" s="4" t="str">
        <f ca="1">IFERROR(__xludf.DUMMYFUNCTION("GOOGLETRANSLATE(A863 , ""tr"" , ""en"")"),"Our total number of dose is over 62 million.")</f>
        <v>Our total number of dose is over 62 million.</v>
      </c>
    </row>
    <row r="864" spans="1:5" ht="15.75" customHeight="1" x14ac:dyDescent="0.25">
      <c r="A864" s="1" t="s">
        <v>1728</v>
      </c>
      <c r="B864" s="1">
        <v>11583</v>
      </c>
      <c r="C864" s="3">
        <v>44393.323159722226</v>
      </c>
      <c r="D864" s="1" t="s">
        <v>1729</v>
      </c>
      <c r="E864" s="4" t="str">
        <f ca="1">IFERROR(__xludf.DUMMYFUNCTION("GOOGLETRANSLATE(A864 , ""tr"" , ""en"")"),"Turkovac-Coronovac 3. Dose clinical work started at Ankara City Hospital. The study has 2 dose synovac vaccine and the volunteers of 18-59 years of age 90 days over the 20 days. We are looking forward to the ground floor vaccine unit for supporting the fi"&amp;"nal vaccine. Tel: 0312 552 60 19")</f>
        <v>Turkovac-Coronovac 3. Dose clinical work started at Ankara City Hospital. The study has 2 dose synovac vaccine and the volunteers of 18-59 years of age 90 days over the 20 days. We are looking forward to the ground floor vaccine unit for supporting the final vaccine. Tel: 0312 552 60 19</v>
      </c>
    </row>
    <row r="865" spans="1:5" ht="15.75" customHeight="1" x14ac:dyDescent="0.25">
      <c r="A865" s="1" t="s">
        <v>1730</v>
      </c>
      <c r="B865" s="1">
        <v>11428</v>
      </c>
      <c r="C865" s="3">
        <v>44392.699537037035</v>
      </c>
      <c r="D865" s="1" t="s">
        <v>1731</v>
      </c>
      <c r="E865" s="4" t="str">
        <f ca="1">IFERROR(__xludf.DUMMYFUNCTION("GOOGLETRANSLATE(A865 , ""tr"" , ""en"")"),"Two dose SINOVAC 83.5% effective. Phase-3 studies completed in Turkey, the Chinese Sinovac vaccine (Coronavac) was determined to be 83.5% of the two dose effectiveness. The results of the study with 10 thousand 218 people were published in The Lancet of t"&amp;"he famous magazines of the medical world. https://t.co/vuhtq59cug")</f>
        <v>Two dose SINOVAC 83.5% effective. Phase-3 studies completed in Turkey, the Chinese Sinovac vaccine (Coronavac) was determined to be 83.5% of the two dose effectiveness. The results of the study with 10 thousand 218 people were published in The Lancet of the famous magazines of the medical world. https://t.co/vuhtq59cug</v>
      </c>
    </row>
    <row r="866" spans="1:5" ht="15.75" customHeight="1" x14ac:dyDescent="0.25">
      <c r="A866" s="1" t="s">
        <v>1732</v>
      </c>
      <c r="B866" s="1">
        <v>5318</v>
      </c>
      <c r="C866" s="3">
        <v>44392.688275462962</v>
      </c>
      <c r="D866" s="1" t="s">
        <v>1733</v>
      </c>
      <c r="E866" s="4" t="str">
        <f ca="1">IFERROR(__xludf.DUMMYFUNCTION("GOOGLETRANSLATE(A866 , ""tr"" , ""en"")"),"Gaziantep and Konya went out of the red category. Row is Kahramanmaras, Aksaray and Adıyaman. Let's afford the feast as our vaccine up to feast. https://t.co/rvlhe7786o https://t.co/umfdqngpt2")</f>
        <v>Gaziantep and Konya went out of the red category. Row is Kahramanmaras, Aksaray and Adıyaman. Let's afford the feast as our vaccine up to feast. https://t.co/rvlhe7786o https://t.co/umfdqngpt2</v>
      </c>
    </row>
    <row r="867" spans="1:5" ht="15.75" customHeight="1" x14ac:dyDescent="0.25">
      <c r="A867" s="1" t="s">
        <v>1734</v>
      </c>
      <c r="B867" s="1">
        <v>7558</v>
      </c>
      <c r="C867" s="3">
        <v>44392.515393518515</v>
      </c>
      <c r="D867" s="1" t="s">
        <v>1735</v>
      </c>
      <c r="E867" s="4" t="str">
        <f ca="1">IFERROR(__xludf.DUMMYFUNCTION("GOOGLETRANSLATE(A867 , ""tr"" , ""en"")"),"In Rize, our first ambulance against the flood disaster in 19.22 yesterday has reached 19.40 instead of the event. 14 of the 112 ambulance, 6 of the Umke Timi; A total of 64 health personnel were assigned. The Afat 6 people gave. 13 people were affected. "&amp;"It takes a search work for 2 people. 1 person under treatment.")</f>
        <v>In Rize, our first ambulance against the flood disaster in 19.22 yesterday has reached 19.40 instead of the event. 14 of the 112 ambulance, 6 of the Umke Timi; A total of 64 health personnel were assigned. The Afat 6 people gave. 13 people were affected. It takes a search work for 2 people. 1 person under treatment.</v>
      </c>
    </row>
    <row r="868" spans="1:5" ht="15.75" customHeight="1" x14ac:dyDescent="0.25">
      <c r="A868" s="1" t="s">
        <v>1736</v>
      </c>
      <c r="B868" s="1">
        <v>11626</v>
      </c>
      <c r="C868" s="3">
        <v>44392.288842592592</v>
      </c>
      <c r="D868" s="1" t="s">
        <v>1737</v>
      </c>
      <c r="E868" s="4" t="str">
        <f ca="1">IFERROR(__xludf.DUMMYFUNCTION("GOOGLETRANSLATE(A868 , ""tr"" , ""en"")"),"We are nationally. The person in the street is the people in the square. We are the bread of the bread and the sanctuary of the flag. We have a face. That night we overcome the war that hypocrits open with the real face. We remember our martyrs 15 July. W"&amp;"e greet our veterans with respect. https://t.co/37xwtzuq2e")</f>
        <v>We are nationally. The person in the street is the people in the square. We are the bread of the bread and the sanctuary of the flag. We have a face. That night we overcome the war that hypocrits open with the real face. We remember our martyrs 15 July. We greet our veterans with respect. https://t.co/37xwtzuq2e</v>
      </c>
    </row>
    <row r="869" spans="1:5" ht="15.75" customHeight="1" x14ac:dyDescent="0.25">
      <c r="A869" s="1" t="s">
        <v>1738</v>
      </c>
      <c r="B869" s="1">
        <v>15335</v>
      </c>
      <c r="C869" s="3">
        <v>44391.930949074071</v>
      </c>
      <c r="D869" s="1" t="s">
        <v>1739</v>
      </c>
      <c r="E869" s="4" t="str">
        <f ca="1">IFERROR(__xludf.DUMMYFUNCTION("GOOGLETRANSLATE(A869 , ""tr"" , ""en"")"),"Up to 24.00 o'clock 1 million 34 thousand 135 dose vaccines. Million doses, life will be even better for all of us as they are added to million doses.")</f>
        <v>Up to 24.00 o'clock 1 million 34 thousand 135 dose vaccines. Million doses, life will be even better for all of us as they are added to million doses.</v>
      </c>
    </row>
    <row r="870" spans="1:5" ht="15.75" customHeight="1" x14ac:dyDescent="0.25">
      <c r="A870" s="1" t="s">
        <v>1740</v>
      </c>
      <c r="B870" s="1">
        <v>5102</v>
      </c>
      <c r="C870" s="3">
        <v>44391.905844907407</v>
      </c>
      <c r="D870" s="1" t="s">
        <v>1741</v>
      </c>
      <c r="E870" s="4" t="str">
        <f ca="1">IFERROR(__xludf.DUMMYFUNCTION("GOOGLETRANSLATE(A870 , ""tr"" , ""en"")"),"Vaccine: Evren Durcan. Doing the vaccination: Dr. Muhammet Rose. HOURS: 18.13. Today, 1 millionth overdose was performed in our tent in Istanbul Bagcilar Square. When we give these news to our friends late, they had just returned to their homes. The memor"&amp;"y of the day we wanted a photo. They sent. https://t.co/r6xrgwe5xf")</f>
        <v>Vaccine: Evren Durcan. Doing the vaccination: Dr. Muhammet Rose. HOURS: 18.13. Today, 1 millionth overdose was performed in our tent in Istanbul Bagcilar Square. When we give these news to our friends late, they had just returned to their homes. The memory of the day we wanted a photo. They sent. https://t.co/r6xrgwe5xf</v>
      </c>
    </row>
    <row r="871" spans="1:5" ht="15.75" customHeight="1" x14ac:dyDescent="0.25">
      <c r="A871" s="1" t="s">
        <v>1742</v>
      </c>
      <c r="B871" s="1">
        <v>4117</v>
      </c>
      <c r="C871" s="3">
        <v>44391.808449074073</v>
      </c>
      <c r="D871" s="1" t="s">
        <v>1743</v>
      </c>
      <c r="E871" s="4" t="str">
        <f ca="1">IFERROR(__xludf.DUMMYFUNCTION("GOOGLETRANSLATE(A871 , ""tr"" , ""en"")"),"Despite the success of our vaccine program, there is an increase in case numbers. Is indicative that this epidemic has not yet been finished. Of course we are not on a agenda that will be needed restrictions. However, we do not comply with the measures an"&amp;"d we can encounter the power days when we do not have our vaccine. https://t.co/zg8czocxbc")</f>
        <v>Despite the success of our vaccine program, there is an increase in case numbers. Is indicative that this epidemic has not yet been finished. Of course we are not on a agenda that will be needed restrictions. However, we do not comply with the measures and we can encounter the power days when we do not have our vaccine. https://t.co/zg8czocxbc</v>
      </c>
    </row>
    <row r="872" spans="1:5" ht="15.75" customHeight="1" x14ac:dyDescent="0.25">
      <c r="A872" s="1" t="s">
        <v>1744</v>
      </c>
      <c r="B872" s="1">
        <v>3739</v>
      </c>
      <c r="C872" s="3">
        <v>44391.801145833335</v>
      </c>
      <c r="D872" s="1" t="s">
        <v>1745</v>
      </c>
      <c r="E872" s="4" t="str">
        <f ca="1">IFERROR(__xludf.DUMMYFUNCTION("GOOGLETRANSLATE(A872 , ""tr"" , ""en"")"),"According to the new knowledge and experience obtained 1. For our citizens completed 1. For our citizens completed, the 2nd dose vaccines after 4 weeks, the biontech vaccines may be 3 weeks after their first dose. https://t.co/0x9bjdlxc7")</f>
        <v>According to the new knowledge and experience obtained 1. For our citizens completed 1. For our citizens completed, the 2nd dose vaccines after 4 weeks, the biontech vaccines may be 3 weeks after their first dose. https://t.co/0x9bjdlxc7</v>
      </c>
    </row>
    <row r="873" spans="1:5" ht="15.75" customHeight="1" x14ac:dyDescent="0.25">
      <c r="A873" s="1" t="s">
        <v>1746</v>
      </c>
      <c r="B873" s="1">
        <v>3785</v>
      </c>
      <c r="C873" s="3">
        <v>44391.792592592596</v>
      </c>
      <c r="D873" s="1" t="s">
        <v>1747</v>
      </c>
      <c r="E873" s="4" t="str">
        <f ca="1">IFERROR(__xludf.DUMMYFUNCTION("GOOGLETRANSLATE(A873 , ""tr"" , ""en"")"),"This will be the last feast we will figure out the festive measures and we will spend hand kissing and hugging each other. Last time, let's stay away from contact with each other. https://t.co/tterzbjsak")</f>
        <v>This will be the last feast we will figure out the festive measures and we will spend hand kissing and hugging each other. Last time, let's stay away from contact with each other. https://t.co/tterzbjsak</v>
      </c>
    </row>
    <row r="874" spans="1:5" ht="15.75" customHeight="1" x14ac:dyDescent="0.25">
      <c r="A874" s="1" t="s">
        <v>1748</v>
      </c>
      <c r="B874" s="1">
        <v>4444</v>
      </c>
      <c r="C874" s="3">
        <v>44391.787824074076</v>
      </c>
      <c r="D874" s="1" t="s">
        <v>1749</v>
      </c>
      <c r="E874" s="4" t="str">
        <f ca="1">IFERROR(__xludf.DUMMYFUNCTION("GOOGLETRANSLATE(A874 , ""tr"" , ""en"")"),"Hakkari crossed in orange category from red categories. This sample should quickly spread to our provinces in the red category. https://t.co/rvlhe7786o https://t.co/ntopu4cs8c")</f>
        <v>Hakkari crossed in orange category from red categories. This sample should quickly spread to our provinces in the red category. https://t.co/rvlhe7786o https://t.co/ntopu4cs8c</v>
      </c>
    </row>
    <row r="875" spans="1:5" ht="15.75" customHeight="1" x14ac:dyDescent="0.25">
      <c r="A875" s="1" t="s">
        <v>1750</v>
      </c>
      <c r="B875" s="1">
        <v>2736</v>
      </c>
      <c r="C875" s="3">
        <v>44391.780358796299</v>
      </c>
      <c r="D875" s="1" t="s">
        <v>1751</v>
      </c>
      <c r="E875" s="4" t="str">
        <f ca="1">IFERROR(__xludf.DUMMYFUNCTION("GOOGLETRANSLATE(A875 , ""tr"" , ""en"")"),"Unfortunately the number of cases is similar to the rate of vaccination with our increasing provinces. Case numbers are rising several times in the previous week in our provinces with low the rate of being vaccine except for several exceptions. https://t."&amp;"co/mosmzllonq")</f>
        <v>Unfortunately the number of cases is similar to the rate of vaccination with our increasing provinces. Case numbers are rising several times in the previous week in our provinces with low the rate of being vaccine except for several exceptions. https://t.co/mosmzllonq</v>
      </c>
    </row>
    <row r="876" spans="1:5" ht="15.75" customHeight="1" x14ac:dyDescent="0.25">
      <c r="A876" s="1" t="s">
        <v>1752</v>
      </c>
      <c r="B876" s="1">
        <v>4231</v>
      </c>
      <c r="C876" s="3">
        <v>44391.770243055558</v>
      </c>
      <c r="D876" s="1" t="s">
        <v>1753</v>
      </c>
      <c r="E876" s="4" t="str">
        <f ca="1">IFERROR(__xludf.DUMMYFUNCTION("GOOGLETRANSLATE(A876 , ""tr"" , ""en"")"),"Since the beginning, we wanted to implement at least 1 dose of our citizens of all 18 years of age and over before the holiday and to the target to the Bayram. https://t.co/Ifimvzzqv0")</f>
        <v>Since the beginning, we wanted to implement at least 1 dose of our citizens of all 18 years of age and over before the holiday and to the target to the Bayram. https://t.co/Ifimvzzqv0</v>
      </c>
    </row>
    <row r="877" spans="1:5" ht="15.75" customHeight="1" x14ac:dyDescent="0.25">
      <c r="A877" s="1" t="s">
        <v>1754</v>
      </c>
      <c r="B877" s="1">
        <v>2192</v>
      </c>
      <c r="C877" s="3">
        <v>44391.738275462965</v>
      </c>
      <c r="D877" s="1" t="s">
        <v>1755</v>
      </c>
      <c r="E877" s="4" t="str">
        <f ca="1">IFERROR(__xludf.DUMMYFUNCTION("GOOGLETRANSLATE(A877 , ""tr"" , ""en"")"),"Live: After our Science Board Meeting, our press statement:
https://t.co/thubs27nkp")</f>
        <v>Live: After our Science Board Meeting, our press statement:
https://t.co/thubs27nkp</v>
      </c>
    </row>
    <row r="878" spans="1:5" ht="15.75" customHeight="1" x14ac:dyDescent="0.25">
      <c r="A878" s="1" t="s">
        <v>1756</v>
      </c>
      <c r="B878" s="1">
        <v>19923</v>
      </c>
      <c r="C878" s="3">
        <v>44391.523009259261</v>
      </c>
      <c r="D878" s="1" t="s">
        <v>1757</v>
      </c>
      <c r="E878" s="4" t="str">
        <f ca="1">IFERROR(__xludf.DUMMYFUNCTION("GOOGLETRANSLATE(A878 , ""tr"" , ""en"")"),"We crossed the dose of 60 million.
As the number of million dose of dose increases, you are much closer to immunity.")</f>
        <v>We crossed the dose of 60 million.
As the number of million dose of dose increases, you are much closer to immunity.</v>
      </c>
    </row>
    <row r="879" spans="1:5" ht="15.75" customHeight="1" x14ac:dyDescent="0.25">
      <c r="A879" s="1" t="s">
        <v>1758</v>
      </c>
      <c r="B879" s="1">
        <v>6274</v>
      </c>
      <c r="C879" s="3">
        <v>44390.756805555553</v>
      </c>
      <c r="D879" s="1" t="s">
        <v>1759</v>
      </c>
      <c r="E879" s="4" t="str">
        <f ca="1">IFERROR(__xludf.DUMMYFUNCTION("GOOGLETRANSLATE(A879 , ""tr"" , ""en"")"),"Thank the Sertab Erener, the sound of our vaccine campaign by reinterpreting the songs of the late Cem Karaca. https://t.co/petpsdlmid")</f>
        <v>Thank the Sertab Erener, the sound of our vaccine campaign by reinterpreting the songs of the late Cem Karaca. https://t.co/petpsdlmid</v>
      </c>
    </row>
    <row r="880" spans="1:5" ht="15.75" customHeight="1" x14ac:dyDescent="0.25">
      <c r="A880" s="1" t="s">
        <v>1760</v>
      </c>
      <c r="B880" s="1">
        <v>7478</v>
      </c>
      <c r="C880" s="3">
        <v>44390.696377314816</v>
      </c>
      <c r="D880" s="1" t="s">
        <v>1761</v>
      </c>
      <c r="E880" s="4" t="str">
        <f ca="1">IFERROR(__xludf.DUMMYFUNCTION("GOOGLETRANSLATE(A880 , ""tr"" , ""en"")"),"Our number of cases increased by last week, the top 5 provinces, Siirt, Pain, Hakkari, Antalya and Van. Let's be our vaccine without losing time. https://t.co/rvlhe7786o https://t.co/uyhmdewyy1")</f>
        <v>Our number of cases increased by last week, the top 5 provinces, Siirt, Pain, Hakkari, Antalya and Van. Let's be our vaccine without losing time. https://t.co/rvlhe7786o https://t.co/uyhmdewyy1</v>
      </c>
    </row>
    <row r="881" spans="1:5" ht="15.75" customHeight="1" x14ac:dyDescent="0.25">
      <c r="A881" s="1" t="s">
        <v>1762</v>
      </c>
      <c r="B881" s="1">
        <v>3923</v>
      </c>
      <c r="C881" s="3">
        <v>44390.676412037035</v>
      </c>
      <c r="D881" s="1" t="s">
        <v>1763</v>
      </c>
      <c r="E881" s="4" t="str">
        <f ca="1">IFERROR(__xludf.DUMMYFUNCTION("GOOGLETRANSLATE(A881 , ""tr"" , ""en"")"),"The number of cases in a final week is the most diminished provinces; Kars, Erzurum, Isparta, Kutahya and Corum. Our hope is increasing with the vaccination. Make your vaccine a moment when you haven't been yet. https://t.co/sx1tslbgcx")</f>
        <v>The number of cases in a final week is the most diminished provinces; Kars, Erzurum, Isparta, Kutahya and Corum. Our hope is increasing with the vaccination. Make your vaccine a moment when you haven't been yet. https://t.co/sx1tslbgcx</v>
      </c>
    </row>
    <row r="882" spans="1:5" ht="15.75" customHeight="1" x14ac:dyDescent="0.25">
      <c r="A882" s="1" t="s">
        <v>1764</v>
      </c>
      <c r="B882" s="1">
        <v>7116</v>
      </c>
      <c r="C882" s="3">
        <v>44390.658159722225</v>
      </c>
      <c r="D882" s="1" t="s">
        <v>1765</v>
      </c>
      <c r="E882" s="4" t="str">
        <f ca="1">IFERROR(__xludf.DUMMYFUNCTION("GOOGLETRANSLATE(A882 , ""tr"" , ""en"")"),"Today we fell in a craving martyr. Hakkır Safur Safur President of Hakkari Provincial Principal Director of Hakkari Province in Menammur Attack is Hasan Ore, I wish our nation. https://t.co/e7v2bkquky")</f>
        <v>Today we fell in a craving martyr. Hakkır Safur Safur President of Hakkari Provincial Principal Director of Hakkari Province in Menammur Attack is Hasan Ore, I wish our nation. https://t.co/e7v2bkquky</v>
      </c>
    </row>
    <row r="883" spans="1:5" ht="15.75" customHeight="1" x14ac:dyDescent="0.25">
      <c r="A883" s="1" t="s">
        <v>1766</v>
      </c>
      <c r="B883" s="1">
        <v>5304</v>
      </c>
      <c r="C883" s="3">
        <v>44390.652349537035</v>
      </c>
      <c r="D883" s="1" t="s">
        <v>1767</v>
      </c>
      <c r="E883" s="4" t="str">
        <f ca="1">IFERROR(__xludf.DUMMYFUNCTION("GOOGLETRANSLATE(A883 , ""tr"" , ""en"")"),"In our provinces, you can see the current version of the incidence map that shows a total number of considers who correspond to 100,000 population. Our hope is increasing with the vaccination. Make your vaccine a moment when you haven't been yet. https://"&amp;"t.co/uoyzn8ugbh")</f>
        <v>In our provinces, you can see the current version of the incidence map that shows a total number of considers who correspond to 100,000 population. Our hope is increasing with the vaccination. Make your vaccine a moment when you haven't been yet. https://t.co/uoyzn8ugbh</v>
      </c>
    </row>
    <row r="884" spans="1:5" ht="15.75" customHeight="1" x14ac:dyDescent="0.25">
      <c r="A884" s="1" t="s">
        <v>1768</v>
      </c>
      <c r="B884" s="1">
        <v>15429</v>
      </c>
      <c r="C884" s="3">
        <v>44390.422222222223</v>
      </c>
      <c r="D884" s="1" t="s">
        <v>1769</v>
      </c>
      <c r="E884" s="4" t="str">
        <f ca="1">IFERROR(__xludf.DUMMYFUNCTION("GOOGLETRANSLATE(A884 , ""tr"" , ""en"")"),"We passed 59 million dose.
As the number of million dose of dose increases, you are much closer to immunity.")</f>
        <v>We passed 59 million dose.
As the number of million dose of dose increases, you are much closer to immunity.</v>
      </c>
    </row>
    <row r="885" spans="1:5" ht="15.75" customHeight="1" x14ac:dyDescent="0.25">
      <c r="A885" s="1" t="s">
        <v>1770</v>
      </c>
      <c r="B885" s="1">
        <v>23017</v>
      </c>
      <c r="C885" s="3">
        <v>44389.855300925927</v>
      </c>
      <c r="D885" s="1" t="s">
        <v>1771</v>
      </c>
      <c r="E885" s="4" t="str">
        <f ca="1">IFERROR(__xludf.DUMMYFUNCTION("GOOGLETRANSLATE(A885 , ""tr"" , ""en"")"),"Balıkesir Close to the conclusion: either sky blue or teal.")</f>
        <v>Balıkesir Close to the conclusion: either sky blue or teal.</v>
      </c>
    </row>
    <row r="886" spans="1:5" ht="15.75" customHeight="1" x14ac:dyDescent="0.25">
      <c r="A886" s="1" t="s">
        <v>1772</v>
      </c>
      <c r="B886" s="1">
        <v>15528</v>
      </c>
      <c r="C886" s="3">
        <v>44389.848807870374</v>
      </c>
      <c r="D886" s="1" t="s">
        <v>1773</v>
      </c>
      <c r="E886" s="4" t="str">
        <f ca="1">IFERROR(__xludf.DUMMYFUNCTION("GOOGLETRANSLATE(A886 , ""tr"" , ""en"")"),"We approach the conclusion a province.
Edirne was blue.")</f>
        <v>We approach the conclusion a province.
Edirne was blue.</v>
      </c>
    </row>
    <row r="887" spans="1:5" ht="15.75" customHeight="1" x14ac:dyDescent="0.25">
      <c r="A887" s="1" t="s">
        <v>1774</v>
      </c>
      <c r="B887" s="1">
        <v>5226</v>
      </c>
      <c r="C887" s="3">
        <v>44389.811284722222</v>
      </c>
      <c r="D887" s="1" t="s">
        <v>1775</v>
      </c>
      <c r="E887" s="4" t="str">
        <f ca="1">IFERROR(__xludf.DUMMYFUNCTION("GOOGLETRANSLATE(A887 , ""tr"" , ""en"")"),"We met our brother Seyfullah Duran during filion work. 23 years old. Have down syndrome. The first dose of Seyfullah's first dose of Covid-19 was held in the Army Korgan State Hospital today. The nurse performed his vaccination, the nurse fate with MENTEŞ"&amp;". https://t.co/u6fr4qcgzk")</f>
        <v>We met our brother Seyfullah Duran during filion work. 23 years old. Have down syndrome. The first dose of Seyfullah's first dose of Covid-19 was held in the Army Korgan State Hospital today. The nurse performed his vaccination, the nurse fate with MENTEŞ. https://t.co/u6fr4qcgzk</v>
      </c>
    </row>
    <row r="888" spans="1:5" ht="15.75" customHeight="1" x14ac:dyDescent="0.25">
      <c r="A888" s="1" t="s">
        <v>1776</v>
      </c>
      <c r="B888" s="1">
        <v>8917</v>
      </c>
      <c r="C888" s="3">
        <v>44389.72761574074</v>
      </c>
      <c r="D888" s="1" t="s">
        <v>1777</v>
      </c>
      <c r="E888" s="4" t="str">
        <f ca="1">IFERROR(__xludf.DUMMYFUNCTION("GOOGLETRANSLATE(A888 , ""tr"" , ""en"")"),"Ilber Midden: Humanity has struggled with various epidemic diseases of history. This epidemic was able to get rid of the vaccination system that some physicians found. We are currently fighting with them maybe the most frustrated and durable. Let's be vac"&amp;"cinated against Koronavirus. https://t.co/0t3l7r5mid")</f>
        <v>Ilber Midden: Humanity has struggled with various epidemic diseases of history. This epidemic was able to get rid of the vaccination system that some physicians found. We are currently fighting with them maybe the most frustrated and durable. Let's be vaccinated against Koronavirus. https://t.co/0t3l7r5mid</v>
      </c>
    </row>
    <row r="889" spans="1:5" ht="15.75" customHeight="1" x14ac:dyDescent="0.25">
      <c r="A889" s="1" t="s">
        <v>1778</v>
      </c>
      <c r="B889" s="1">
        <v>9139</v>
      </c>
      <c r="C889" s="3">
        <v>44389.714641203704</v>
      </c>
      <c r="D889" s="1" t="s">
        <v>1779</v>
      </c>
      <c r="E889" s="4" t="str">
        <f ca="1">IFERROR(__xludf.DUMMYFUNCTION("GOOGLETRANSLATE(A889 , ""tr"" , ""en"")"),"Welcome Edirne. More than 75% of the target population becomes vaccinated 4. Our city was Edirne. Be your vaccination for all our provinces to turn blue color as soon as possible. https://t.co/rvlhe7786o https://t.co/mgnollo218")</f>
        <v>Welcome Edirne. More than 75% of the target population becomes vaccinated 4. Our city was Edirne. Be your vaccination for all our provinces to turn blue color as soon as possible. https://t.co/rvlhe7786o https://t.co/mgnollo218</v>
      </c>
    </row>
    <row r="890" spans="1:5" ht="15.75" customHeight="1" x14ac:dyDescent="0.25">
      <c r="A890" s="1" t="s">
        <v>1780</v>
      </c>
      <c r="B890" s="1">
        <v>0</v>
      </c>
      <c r="C890" s="3">
        <v>44389.678287037037</v>
      </c>
      <c r="D890" s="1" t="s">
        <v>1781</v>
      </c>
      <c r="E890" s="4" t="str">
        <f ca="1">IFERROR(__xludf.DUMMYFUNCTION("GOOGLETRANSLATE(A890 , ""tr"" , ""en"")"),"RT @rterdogan: Shouting Nation After Cabinet Meeting https://t.co/daljrzb4fh")</f>
        <v>RT @rterdogan: Shouting Nation After Cabinet Meeting https://t.co/daljrzb4fh</v>
      </c>
    </row>
    <row r="891" spans="1:5" ht="15.75" customHeight="1" x14ac:dyDescent="0.25">
      <c r="A891" s="1" t="s">
        <v>1782</v>
      </c>
      <c r="B891" s="1">
        <v>7817</v>
      </c>
      <c r="C891" s="3">
        <v>44388.726701388892</v>
      </c>
      <c r="D891" s="1" t="s">
        <v>1783</v>
      </c>
      <c r="E891" s="4" t="str">
        <f ca="1">IFERROR(__xludf.DUMMYFUNCTION("GOOGLETRANSLATE(A891 , ""tr"" , ""en"")"),"In our provinces in the red category, it is difficult to keep the decrease trend of case numbers in our provinces. Be your vaccine to get your place in the fight. https://t.co/rvlhe7786o https://t.co/chfkzwdptt")</f>
        <v>In our provinces in the red category, it is difficult to keep the decrease trend of case numbers in our provinces. Be your vaccine to get your place in the fight. https://t.co/rvlhe7786o https://t.co/chfkzwdptt</v>
      </c>
    </row>
    <row r="892" spans="1:5" ht="15.75" customHeight="1" x14ac:dyDescent="0.25">
      <c r="A892" s="1" t="s">
        <v>1784</v>
      </c>
      <c r="B892" s="1">
        <v>6291</v>
      </c>
      <c r="C892" s="3">
        <v>44388.502881944441</v>
      </c>
      <c r="D892" s="1" t="s">
        <v>1785</v>
      </c>
      <c r="E892" s="4" t="str">
        <f ca="1">IFERROR(__xludf.DUMMYFUNCTION("GOOGLETRANSLATE(A892 , ""tr"" , ""en"")"),"Our valuable teacher of the Deputy Minister of Environment and Urbanism. Marmara Sea is returned to the original, we celebrate you. The location is immaculate white in our map. When the vaccines are soon completed, the sea will be on the same color in Mar"&amp;"mara. We are preparing the azure map. https://t.co/viy7d80pao")</f>
        <v>Our valuable teacher of the Deputy Minister of Environment and Urbanism. Marmara Sea is returned to the original, we celebrate you. The location is immaculate white in our map. When the vaccines are soon completed, the sea will be on the same color in Marmara. We are preparing the azure map. https://t.co/viy7d80pao</v>
      </c>
    </row>
    <row r="893" spans="1:5" ht="15.75" customHeight="1" x14ac:dyDescent="0.25">
      <c r="A893" s="1" t="s">
        <v>1786</v>
      </c>
      <c r="B893" s="1">
        <v>6232</v>
      </c>
      <c r="C893" s="3">
        <v>44388.476875</v>
      </c>
      <c r="D893" s="1" t="s">
        <v>1787</v>
      </c>
      <c r="E893" s="4" t="str">
        <f ca="1">IFERROR(__xludf.DUMMYFUNCTION("GOOGLETRANSLATE(A893 , ""tr"" , ""en"")"),"1995 Srebrenitsa We are on the year of the genocide. Genocity in the genocide, the mercy of Allah, than Allah, iszetbegovich's ""forgotten genocide repetitions."" We are condolences to the Bosnian people he says. Also a memory flower of this flower that i"&amp;"s symbolized. Had appeared on bulk tombs. https://t.co/vtko6spj7h")</f>
        <v>1995 Srebrenitsa We are on the year of the genocide. Genocity in the genocide, the mercy of Allah, than Allah, iszetbegovich's "forgotten genocide repetitions." We are condolences to the Bosnian people he says. Also a memory flower of this flower that is symbolized. Had appeared on bulk tombs. https://t.co/vtko6spj7h</v>
      </c>
    </row>
    <row r="894" spans="1:5" ht="15.75" customHeight="1" x14ac:dyDescent="0.25">
      <c r="A894" s="1" t="s">
        <v>1788</v>
      </c>
      <c r="B894" s="1">
        <v>3189</v>
      </c>
      <c r="C894" s="3">
        <v>44388.45752314815</v>
      </c>
      <c r="D894" s="1" t="s">
        <v>1789</v>
      </c>
      <c r="E894" s="4" t="str">
        <f ca="1">IFERROR(__xludf.DUMMYFUNCTION("GOOGLETRANSLATE(A894 , ""tr"" , ""en"")"),"""The estimation of the hürum is spreading by moving it from our Self."" The intelluy moral, liability, responsibility, figures and movement thinker nurettin artillery was left on a 10 July of July. Unfortunately, we are unfortunately stayed at the presen"&amp;"t. Every new generation will better understand his case. https://t.co/x1out4dad5")</f>
        <v>"The estimation of the hürum is spreading by moving it from our Self." The intelluy moral, liability, responsibility, figures and movement thinker nurettin artillery was left on a 10 July of July. Unfortunately, we are unfortunately stayed at the present. Every new generation will better understand his case. https://t.co/x1out4dad5</v>
      </c>
    </row>
    <row r="895" spans="1:5" ht="15.75" customHeight="1" x14ac:dyDescent="0.25">
      <c r="A895" s="1" t="s">
        <v>1790</v>
      </c>
      <c r="B895" s="1">
        <v>7830</v>
      </c>
      <c r="C895" s="3">
        <v>44387.754490740743</v>
      </c>
      <c r="D895" s="1" t="s">
        <v>1791</v>
      </c>
      <c r="E895" s="4" t="str">
        <f ca="1">IFERROR(__xludf.DUMMYFUNCTION("GOOGLETRANSLATE(A895 , ""tr"" , ""en"")"),"Today we haven't been added to the blue category. We cannot achieve social immunity without increasing the rate of vaccination in all our provinces. Be your vaccine in Binan. https://t.co/rvlhe7786o https://t.co/4cl3l0nsg6")</f>
        <v>Today we haven't been added to the blue category. We cannot achieve social immunity without increasing the rate of vaccination in all our provinces. Be your vaccine in Binan. https://t.co/rvlhe7786o https://t.co/4cl3l0nsg6</v>
      </c>
    </row>
    <row r="896" spans="1:5" ht="15.75" customHeight="1" x14ac:dyDescent="0.25">
      <c r="A896" s="1" t="s">
        <v>1792</v>
      </c>
      <c r="B896" s="1">
        <v>10378</v>
      </c>
      <c r="C896" s="3">
        <v>44387.585115740738</v>
      </c>
      <c r="D896" s="1" t="s">
        <v>1793</v>
      </c>
      <c r="E896" s="4" t="str">
        <f ca="1">IFERROR(__xludf.DUMMYFUNCTION("GOOGLETRANSLATE(A896 , ""tr"" , ""en"")"),"The nurse is serving in the Vaccine Unit of TINAS, Aydın Women's Birth and Child Diseases Hospital. Daughter Sıla Da Aydın Atatürk State Hospital Radiology technician. Their childhood vaccines have made the vaccinations of Sıla to today. Covid-19 vaccine."&amp;" https://t.co/hokpywnsjv")</f>
        <v>The nurse is serving in the Vaccine Unit of TINAS, Aydın Women's Birth and Child Diseases Hospital. Daughter Sıla Da Aydın Atatürk State Hospital Radiology technician. Their childhood vaccines have made the vaccinations of Sıla to today. Covid-19 vaccine. https://t.co/hokpywnsjv</v>
      </c>
    </row>
    <row r="897" spans="1:5" ht="15.75" customHeight="1" x14ac:dyDescent="0.25">
      <c r="A897" s="1" t="s">
        <v>1794</v>
      </c>
      <c r="B897" s="1">
        <v>4159</v>
      </c>
      <c r="C897" s="3">
        <v>44387.481678240743</v>
      </c>
      <c r="D897" s="1" t="s">
        <v>1795</v>
      </c>
      <c r="E897" s="4" t="str">
        <f ca="1">IFERROR(__xludf.DUMMYFUNCTION("GOOGLETRANSLATE(A897 , ""tr"" , ""en"")"),"Ahmet Özhan: Anyone who likes people who love people and everyone who cares about the health of the society. I have no doubt that. https://t.co/orepdcj30c")</f>
        <v>Ahmet Özhan: Anyone who likes people who love people and everyone who cares about the health of the society. I have no doubt that. https://t.co/orepdcj30c</v>
      </c>
    </row>
    <row r="898" spans="1:5" ht="15.75" customHeight="1" x14ac:dyDescent="0.25">
      <c r="A898" s="1" t="s">
        <v>1796</v>
      </c>
      <c r="B898" s="1">
        <v>7201</v>
      </c>
      <c r="C898" s="3">
        <v>44387.473715277774</v>
      </c>
      <c r="D898" s="1" t="s">
        <v>1797</v>
      </c>
      <c r="E898" s="4" t="str">
        <f ca="1">IFERROR(__xludf.DUMMYFUNCTION("GOOGLETRANSLATE(A898 , ""tr"" , ""en"")"),"ACUN LIFE: We need to be vaccination. Have tons of reasons. But most importantly to gain immunity by social. Let's move together to reach the goal and let's be our vaccine first. https://t.co/MIWD3EW9US")</f>
        <v>ACUN LIFE: We need to be vaccination. Have tons of reasons. But most importantly to gain immunity by social. Let's move together to reach the goal and let's be our vaccine first. https://t.co/MIWD3EW9US</v>
      </c>
    </row>
    <row r="899" spans="1:5" ht="15.75" customHeight="1" x14ac:dyDescent="0.25">
      <c r="A899" s="1" t="s">
        <v>1798</v>
      </c>
      <c r="B899" s="1">
        <v>18584</v>
      </c>
      <c r="C899" s="3">
        <v>44386.882152777776</v>
      </c>
      <c r="D899" s="1" t="s">
        <v>1799</v>
      </c>
      <c r="E899" s="4" t="str">
        <f ca="1">IFERROR(__xludf.DUMMYFUNCTION("GOOGLETRANSLATE(A899 , ""tr"" , ""en"")"),"Congratulations are forts.
With the high vaccine rate, the color is always blue!")</f>
        <v>Congratulations are forts.
With the high vaccine rate, the color is always blue!</v>
      </c>
    </row>
    <row r="900" spans="1:5" ht="15.75" customHeight="1" x14ac:dyDescent="0.25">
      <c r="A900" s="1" t="s">
        <v>1800</v>
      </c>
      <c r="B900" s="1">
        <v>16274</v>
      </c>
      <c r="C900" s="3">
        <v>44386.881539351853</v>
      </c>
      <c r="D900" s="1" t="s">
        <v>1801</v>
      </c>
      <c r="E900" s="4" t="str">
        <f ca="1">IFERROR(__xludf.DUMMYFUNCTION("GOOGLETRANSLATE(A900 , ""tr"" , ""en"")"),"Congratulations Çanakkale.
With the high vaccine rate, the color is always blue!")</f>
        <v>Congratulations Çanakkale.
With the high vaccine rate, the color is always blue!</v>
      </c>
    </row>
    <row r="901" spans="1:5" ht="15.75" customHeight="1" x14ac:dyDescent="0.25">
      <c r="A901" s="1" t="s">
        <v>1802</v>
      </c>
      <c r="B901" s="1">
        <v>11449</v>
      </c>
      <c r="C901" s="3">
        <v>44386.843495370369</v>
      </c>
      <c r="D901" s="1" t="s">
        <v>1803</v>
      </c>
      <c r="E901" s="4" t="str">
        <f ca="1">IFERROR(__xludf.DUMMYFUNCTION("GOOGLETRANSLATE(A901 , ""tr"" , ""en"")"),"We passed 57 million dose. The ratio of the first dose of overdose is over 60%. Take an appointment, a moment to book your vaccine.")</f>
        <v>We passed 57 million dose. The ratio of the first dose of overdose is over 60%. Take an appointment, a moment to book your vaccine.</v>
      </c>
    </row>
    <row r="902" spans="1:5" ht="15.75" customHeight="1" x14ac:dyDescent="0.25">
      <c r="A902" s="1" t="s">
        <v>1804</v>
      </c>
      <c r="B902" s="1">
        <v>27598</v>
      </c>
      <c r="C902" s="3">
        <v>44386.734166666669</v>
      </c>
      <c r="D902" s="1" t="s">
        <v>1805</v>
      </c>
      <c r="E902" s="4" t="str">
        <f ca="1">IFERROR(__xludf.DUMMYFUNCTION("GOOGLETRANSLATE(A902 , ""tr"" , ""en"")"),"It is impossible to understand the best of love to good behavior from animals. Are less than. Each life deserves love. Our is our most human feature if love is. I have been very happy to have past the Law of Animals Protection Law. I celebrate the contrib"&amp;"ution ones. https://t.co/wtmhpdyhw2")</f>
        <v>It is impossible to understand the best of love to good behavior from animals. Are less than. Each life deserves love. Our is our most human feature if love is. I have been very happy to have past the Law of Animals Protection Law. I celebrate the contribution ones. https://t.co/wtmhpdyhw2</v>
      </c>
    </row>
    <row r="903" spans="1:5" ht="15.75" customHeight="1" x14ac:dyDescent="0.25">
      <c r="A903" s="1" t="s">
        <v>1806</v>
      </c>
      <c r="B903" s="1">
        <v>17421</v>
      </c>
      <c r="C903" s="3">
        <v>44386.722858796296</v>
      </c>
      <c r="D903" s="1" t="s">
        <v>1807</v>
      </c>
      <c r="E903" s="4" t="str">
        <f ca="1">IFERROR(__xludf.DUMMYFUNCTION("GOOGLETRANSLATE(A903 , ""tr"" , ""en"")"),"In the provinces where there is a low rate of vaccination, the number of cases began to increase. With the strict measure of life in life, the disease will not last concern with me. Let's make an appointment and get our vaccination.")</f>
        <v>In the provinces where there is a low rate of vaccination, the number of cases began to increase. With the strict measure of life in life, the disease will not last concern with me. Let's make an appointment and get our vaccination.</v>
      </c>
    </row>
    <row r="904" spans="1:5" ht="15.75" customHeight="1" x14ac:dyDescent="0.25">
      <c r="A904" s="1" t="s">
        <v>1808</v>
      </c>
      <c r="B904" s="1">
        <v>5222</v>
      </c>
      <c r="C904" s="3">
        <v>44386.712175925924</v>
      </c>
      <c r="D904" s="1" t="s">
        <v>1809</v>
      </c>
      <c r="E904" s="4" t="str">
        <f ca="1">IFERROR(__xludf.DUMMYFUNCTION("GOOGLETRANSLATE(A904 , ""tr"" , ""en"")"),"Today our two provinces turned blue. New Sample Provinces Kırklareli and Çanakkale. The new field of struggle is to be vaccination. Be your vaccine in Binan. https://t.co/rvlhe7786o https://t.co/xykucg99q2")</f>
        <v>Today our two provinces turned blue. New Sample Provinces Kırklareli and Çanakkale. The new field of struggle is to be vaccination. Be your vaccine in Binan. https://t.co/rvlhe7786o https://t.co/xykucg99q2</v>
      </c>
    </row>
    <row r="905" spans="1:5" ht="15.75" customHeight="1" x14ac:dyDescent="0.25">
      <c r="A905" s="1" t="s">
        <v>1810</v>
      </c>
      <c r="B905" s="1">
        <v>0</v>
      </c>
      <c r="C905" s="3">
        <v>44386.591550925928</v>
      </c>
      <c r="D905" s="1" t="s">
        <v>1811</v>
      </c>
      <c r="E905" s="4" t="str">
        <f ca="1">IFERROR(__xludf.DUMMYFUNCTION("GOOGLETRANSLATE(A905 , ""tr"" , ""en"")"),"RT @rterdogan: Bulk opening ceremony of projects completed in Diyarbakır https://t.co/Ibhltbwest")</f>
        <v>RT @rterdogan: Bulk opening ceremony of projects completed in Diyarbakır https://t.co/Ibhltbwest</v>
      </c>
    </row>
    <row r="906" spans="1:5" ht="15.75" customHeight="1" x14ac:dyDescent="0.25">
      <c r="A906" s="1" t="s">
        <v>1812</v>
      </c>
      <c r="B906" s="1">
        <v>4856</v>
      </c>
      <c r="C906" s="3">
        <v>44386.583784722221</v>
      </c>
      <c r="D906" s="1" t="s">
        <v>1813</v>
      </c>
      <c r="E906" s="4" t="str">
        <f ca="1">IFERROR(__xludf.DUMMYFUNCTION("GOOGLETRANSLATE(A906 , ""tr"" , ""en"")"),"With the factors of our Mr. President; Diyarbakir Bulk Opening Ceremia. https://t.co/bfbpol7ddg")</f>
        <v>With the factors of our Mr. President; Diyarbakir Bulk Opening Ceremia. https://t.co/bfbpol7ddg</v>
      </c>
    </row>
    <row r="907" spans="1:5" ht="15.75" customHeight="1" x14ac:dyDescent="0.25">
      <c r="A907" s="1" t="s">
        <v>1814</v>
      </c>
      <c r="B907" s="1">
        <v>12038</v>
      </c>
      <c r="C907" s="3">
        <v>44386.316423611112</v>
      </c>
      <c r="D907" s="1" t="s">
        <v>1815</v>
      </c>
      <c r="E907" s="4" t="str">
        <f ca="1">IFERROR(__xludf.DUMMYFUNCTION("GOOGLETRANSLATE(A907 , ""tr"" , ""en"")"),"37 million 250 thousand people had at least one dose of overdose. Thus, the rate of the first overdose in the population of 18 years and older reached 60%. If the first, second, the total number of third doses is over 56 million. Take an appointment, a mo"&amp;"ment to book your vaccine.")</f>
        <v>37 million 250 thousand people had at least one dose of overdose. Thus, the rate of the first overdose in the population of 18 years and older reached 60%. If the first, second, the total number of third doses is over 56 million. Take an appointment, a moment to book your vaccine.</v>
      </c>
    </row>
    <row r="908" spans="1:5" ht="15.75" customHeight="1" x14ac:dyDescent="0.25">
      <c r="A908" s="1" t="s">
        <v>1816</v>
      </c>
      <c r="B908" s="1">
        <v>7712</v>
      </c>
      <c r="C908" s="3">
        <v>44385.727488425924</v>
      </c>
      <c r="D908" s="1" t="s">
        <v>1817</v>
      </c>
      <c r="E908" s="4" t="str">
        <f ca="1">IFERROR(__xludf.DUMMYFUNCTION("GOOGLETRANSLATE(A908 , ""tr"" , ""en"")"),"The number of provinces approaching blue is increasing. Make your vaccine in order to provide full immunity with vaccine. https://t.co/qzujwgu64a")</f>
        <v>The number of provinces approaching blue is increasing. Make your vaccine in order to provide full immunity with vaccine. https://t.co/qzujwgu64a</v>
      </c>
    </row>
    <row r="909" spans="1:5" ht="15.75" customHeight="1" x14ac:dyDescent="0.25">
      <c r="A909" s="1" t="s">
        <v>1818</v>
      </c>
      <c r="B909" s="1">
        <v>17796</v>
      </c>
      <c r="C909" s="3">
        <v>44385.491550925923</v>
      </c>
      <c r="D909" s="1" t="s">
        <v>1819</v>
      </c>
      <c r="E909" s="4" t="str">
        <f ca="1">IFERROR(__xludf.DUMMYFUNCTION("GOOGLETRANSLATE(A909 , ""tr"" , ""en"")"),"Being vaccinated is to know the enemy without attacking us. Postponement is risky. Let's make an appointment and make our Covid-19 vaccine.")</f>
        <v>Being vaccinated is to know the enemy without attacking us. Postponement is risky. Let's make an appointment and make our Covid-19 vaccine.</v>
      </c>
    </row>
    <row r="910" spans="1:5" ht="15.75" customHeight="1" x14ac:dyDescent="0.25">
      <c r="A910" s="1" t="s">
        <v>1820</v>
      </c>
      <c r="B910" s="1">
        <v>7498</v>
      </c>
      <c r="C910" s="3">
        <v>44385.382731481484</v>
      </c>
      <c r="D910" s="1" t="s">
        <v>1821</v>
      </c>
      <c r="E910" s="4" t="str">
        <f ca="1">IFERROR(__xludf.DUMMYFUNCTION("GOOGLETRANSLATE(A910 , ""tr"" , ""en"")"),"In the last 10 days of the first overdose, decided to be the vaccine and the number of appointments has passed 4 million 330 thousand. Fast moving gives all of us power, it will reduce time unprotected against risk. Both other people who are not vaccinate"&amp;"d in both your surroundings.")</f>
        <v>In the last 10 days of the first overdose, decided to be the vaccine and the number of appointments has passed 4 million 330 thousand. Fast moving gives all of us power, it will reduce time unprotected against risk. Both other people who are not vaccinated in both your surroundings.</v>
      </c>
    </row>
    <row r="911" spans="1:5" ht="15.75" customHeight="1" x14ac:dyDescent="0.25">
      <c r="A911" s="1" t="s">
        <v>1822</v>
      </c>
      <c r="B911" s="1">
        <v>13566</v>
      </c>
      <c r="C911" s="3">
        <v>44385.365300925929</v>
      </c>
      <c r="D911" s="1" t="s">
        <v>1823</v>
      </c>
      <c r="E911" s="4" t="str">
        <f ca="1">IFERROR(__xludf.DUMMYFUNCTION("GOOGLETRANSLATE(A911 , ""tr"" , ""en"")"),"The number of vaccines made in the last 10 days passed 8 million dose.")</f>
        <v>The number of vaccines made in the last 10 days passed 8 million dose.</v>
      </c>
    </row>
    <row r="912" spans="1:5" ht="15.75" customHeight="1" x14ac:dyDescent="0.25">
      <c r="A912" s="1" t="s">
        <v>1824</v>
      </c>
      <c r="B912" s="1">
        <v>5700</v>
      </c>
      <c r="C912" s="3">
        <v>44385.335023148145</v>
      </c>
      <c r="D912" s="1" t="s">
        <v>1825</v>
      </c>
      <c r="E912" s="4" t="str">
        <f ca="1">IFERROR(__xludf.DUMMYFUNCTION("GOOGLETRANSLATE(A912 , ""tr"" , ""en"")"),"Engin Altan Katyatan: We knew the importance of our health ... but we learned about how valuable social health is the painful experiences of the pandem. Fortunately, we now have a very strong solution. Please be a vaccine for us to earn our social immunit"&amp;"y at a moment. https://t.co/oobdfcarmo")</f>
        <v>Engin Altan Katyatan: We knew the importance of our health ... but we learned about how valuable social health is the painful experiences of the pandem. Fortunately, we now have a very strong solution. Please be a vaccine for us to earn our social immunity at a moment. https://t.co/oobdfcarmo</v>
      </c>
    </row>
    <row r="913" spans="1:5" ht="15.75" customHeight="1" x14ac:dyDescent="0.25">
      <c r="A913" s="1" t="s">
        <v>1826</v>
      </c>
      <c r="B913" s="1">
        <v>6844</v>
      </c>
      <c r="C913" s="3">
        <v>44385.313668981478</v>
      </c>
      <c r="D913" s="1" t="s">
        <v>1827</v>
      </c>
      <c r="E913" s="4" t="str">
        <f ca="1">IFERROR(__xludf.DUMMYFUNCTION("GOOGLETRANSLATE(A913 , ""tr"" , ""en"")"),"Zeynep ridden: We missed each other, laughing together, so we missed to have fun ... Our lives with vaccine began to return to normal again. But the danger is still not past. Please let's be our vaccinations, let's not live the same woes again. https://t."&amp;"co/4fdjbolkrI")</f>
        <v>Zeynep ridden: We missed each other, laughing together, so we missed to have fun ... Our lives with vaccine began to return to normal again. But the danger is still not past. Please let's be our vaccinations, let's not live the same woes again. https://t.co/4fdjbolkrI</v>
      </c>
    </row>
    <row r="914" spans="1:5" ht="15.75" customHeight="1" x14ac:dyDescent="0.25">
      <c r="A914" s="1" t="s">
        <v>1828</v>
      </c>
      <c r="B914" s="1">
        <v>7354</v>
      </c>
      <c r="C914" s="3">
        <v>44384.847766203704</v>
      </c>
      <c r="D914" s="1" t="s">
        <v>1829</v>
      </c>
      <c r="E914" s="4" t="str">
        <f ca="1">IFERROR(__xludf.DUMMYFUNCTION("GOOGLETRANSLATE(A914 , ""tr"" , ""en"")"),"The nurse in the Covid-19 Service and Vaccination Unit in Didim, the nurse working in the Covid-19 Service and Vaccination Unit loses his niece with his mother for a week apart, shortly continued his duty. The best-knowing the epidemic, healthcareists. Th"&amp;"e importance of being vaccination is the importance of making vaccines! https://t.co/by1ko7tt0u")</f>
        <v>The nurse in the Covid-19 Service and Vaccination Unit in Didim, the nurse working in the Covid-19 Service and Vaccination Unit loses his niece with his mother for a week apart, shortly continued his duty. The best-knowing the epidemic, healthcareists. The importance of being vaccination is the importance of making vaccines! https://t.co/by1ko7tt0u</v>
      </c>
    </row>
    <row r="915" spans="1:5" ht="15.75" customHeight="1" x14ac:dyDescent="0.25">
      <c r="A915" s="1" t="s">
        <v>1830</v>
      </c>
      <c r="B915" s="1">
        <v>3357</v>
      </c>
      <c r="C915" s="3">
        <v>44384.823229166665</v>
      </c>
      <c r="D915" s="1" t="s">
        <v>1831</v>
      </c>
      <c r="E915" s="4" t="str">
        <f ca="1">IFERROR(__xludf.DUMMYFUNCTION("GOOGLETRANSLATE(A915 , ""tr"" , ""en"")"),"Let's not compromise our personal measures until social immunity is provided. Let's be our vaccine in a moment. https://t.co/x70fn3y1dz")</f>
        <v>Let's not compromise our personal measures until social immunity is provided. Let's be our vaccine in a moment. https://t.co/x70fn3y1dz</v>
      </c>
    </row>
    <row r="916" spans="1:5" ht="15.75" customHeight="1" x14ac:dyDescent="0.25">
      <c r="A916" s="1" t="s">
        <v>1832</v>
      </c>
      <c r="B916" s="1">
        <v>5003</v>
      </c>
      <c r="C916" s="3">
        <v>44384.809374999997</v>
      </c>
      <c r="D916" s="1" t="s">
        <v>1833</v>
      </c>
      <c r="E916" s="4" t="str">
        <f ca="1">IFERROR(__xludf.DUMMYFUNCTION("GOOGLETRANSLATE(A916 , ""tr"" , ""en"")"),"Whether our citizens have undergone the disease they can also create a vaccine certificate by making two dose vaccines. https://t.co/r1wdlsmfvr")</f>
        <v>Whether our citizens have undergone the disease they can also create a vaccine certificate by making two dose vaccines. https://t.co/r1wdlsmfvr</v>
      </c>
    </row>
    <row r="917" spans="1:5" ht="15.75" customHeight="1" x14ac:dyDescent="0.25">
      <c r="A917" s="1" t="s">
        <v>1834</v>
      </c>
      <c r="B917" s="1">
        <v>3559</v>
      </c>
      <c r="C917" s="3">
        <v>44384.801458333335</v>
      </c>
      <c r="D917" s="1" t="s">
        <v>1835</v>
      </c>
      <c r="E917" s="4" t="str">
        <f ca="1">IFERROR(__xludf.DUMMYFUNCTION("GOOGLETRANSLATE(A917 , ""tr"" , ""en"")"),"In the third dose vaccination, our citizens and health workers over 50 years of the inactive vaccine may be with the vaccination type they want to do dose vaccines. https://t.co/3tqwvvefee")</f>
        <v>In the third dose vaccination, our citizens and health workers over 50 years of the inactive vaccine may be with the vaccination type they want to do dose vaccines. https://t.co/3tqwvvefee</v>
      </c>
    </row>
    <row r="918" spans="1:5" ht="15.75" customHeight="1" x14ac:dyDescent="0.25">
      <c r="A918" s="1" t="s">
        <v>1836</v>
      </c>
      <c r="B918" s="1">
        <v>3087</v>
      </c>
      <c r="C918" s="3">
        <v>44384.793124999997</v>
      </c>
      <c r="D918" s="1" t="s">
        <v>1837</v>
      </c>
      <c r="E918" s="4" t="str">
        <f ca="1">IFERROR(__xludf.DUMMYFUNCTION("GOOGLETRANSLATE(A918 , ""tr"" , ""en"")"),"They have experienced the disease and over 3 months of our citizens over 3 months. In the people who have already spent the disease, the reminder vaccine was evaluated by the science board. https://t.co/wwzwqcyhpj")</f>
        <v>They have experienced the disease and over 3 months of our citizens over 3 months. In the people who have already spent the disease, the reminder vaccine was evaluated by the science board. https://t.co/wwzwqcyhpj</v>
      </c>
    </row>
    <row r="919" spans="1:5" ht="15.75" customHeight="1" x14ac:dyDescent="0.25">
      <c r="A919" s="1" t="s">
        <v>1838</v>
      </c>
      <c r="B919" s="1">
        <v>4697</v>
      </c>
      <c r="C919" s="3">
        <v>44384.770428240743</v>
      </c>
      <c r="D919" s="1" t="s">
        <v>1839</v>
      </c>
      <c r="E919" s="4" t="str">
        <f ca="1">IFERROR(__xludf.DUMMYFUNCTION("GOOGLETRANSLATE(A919 , ""tr"" , ""en"")"),"A successful vaccine program means a celebrated celebrity from the epidemic. https://t.co/mmk5l6qmyh")</f>
        <v>A successful vaccine program means a celebrated celebrity from the epidemic. https://t.co/mmk5l6qmyh</v>
      </c>
    </row>
    <row r="920" spans="1:5" ht="15.75" customHeight="1" x14ac:dyDescent="0.25">
      <c r="A920" s="1" t="s">
        <v>1840</v>
      </c>
      <c r="B920" s="1">
        <v>6081</v>
      </c>
      <c r="C920" s="3">
        <v>44384.749467592592</v>
      </c>
      <c r="D920" s="1" t="s">
        <v>1841</v>
      </c>
      <c r="E920" s="4" t="str">
        <f ca="1">IFERROR(__xludf.DUMMYFUNCTION("GOOGLETRANSLATE(A920 , ""tr"" , ""en"")"),"The map will turn red to blue. The rate of reaching the vaccine program will determine our rate of removal from the agenda. Join the fight as your vaccine. https://t.co/0z7xeoakcj")</f>
        <v>The map will turn red to blue. The rate of reaching the vaccine program will determine our rate of removal from the agenda. Join the fight as your vaccine. https://t.co/0z7xeoakcj</v>
      </c>
    </row>
    <row r="921" spans="1:5" ht="15.75" customHeight="1" x14ac:dyDescent="0.25">
      <c r="A921" s="1" t="s">
        <v>1842</v>
      </c>
      <c r="B921" s="1">
        <v>2704</v>
      </c>
      <c r="C921" s="3">
        <v>44384.730555555558</v>
      </c>
      <c r="D921" s="1" t="s">
        <v>1843</v>
      </c>
      <c r="E921" s="4" t="str">
        <f ca="1">IFERROR(__xludf.DUMMYFUNCTION("GOOGLETRANSLATE(A921 , ""tr"" , ""en"")"),"Live: After our Science Board Meeting, our press statement:
https://t.co/gwbaseb10I")</f>
        <v>Live: After our Science Board Meeting, our press statement:
https://t.co/gwbaseb10I</v>
      </c>
    </row>
    <row r="922" spans="1:5" ht="15.75" customHeight="1" x14ac:dyDescent="0.25">
      <c r="A922" s="1" t="s">
        <v>1844</v>
      </c>
      <c r="B922" s="1">
        <v>14540</v>
      </c>
      <c r="C922" s="3">
        <v>44383.893796296295</v>
      </c>
      <c r="D922" s="1" t="s">
        <v>1845</v>
      </c>
      <c r="E922" s="4" t="str">
        <f ca="1">IFERROR(__xludf.DUMMYFUNCTION("GOOGLETRANSLATE(A922 , ""tr"" , ""en"")"),"Today 863 thousand 433 dose vaccines were performed. Tomorrow an appointment, turn the conditions against Covid-19 in your favor!")</f>
        <v>Today 863 thousand 433 dose vaccines were performed. Tomorrow an appointment, turn the conditions against Covid-19 in your favor!</v>
      </c>
    </row>
    <row r="923" spans="1:5" ht="15.75" customHeight="1" x14ac:dyDescent="0.25">
      <c r="A923" s="1" t="s">
        <v>1846</v>
      </c>
      <c r="B923" s="1">
        <v>8042</v>
      </c>
      <c r="C923" s="3">
        <v>44383.692384259259</v>
      </c>
      <c r="D923" s="1" t="s">
        <v>1847</v>
      </c>
      <c r="E923" s="4" t="str">
        <f ca="1">IFERROR(__xludf.DUMMYFUNCTION("GOOGLETRANSLATE(A923 , ""tr"" , ""en"")"),"The course of the epidemic is changing. The vaccine will continue to fight until social immunity is provided. Let's assure your tomorrow from today. If you haven't yet have your vaccination please hurry. https://t.co/rvlhe7786o https://t.co/uspcg0wcqb")</f>
        <v>The course of the epidemic is changing. The vaccine will continue to fight until social immunity is provided. Let's assure your tomorrow from today. If you haven't yet have your vaccination please hurry. https://t.co/rvlhe7786o https://t.co/uspcg0wcqb</v>
      </c>
    </row>
    <row r="924" spans="1:5" ht="15.75" customHeight="1" x14ac:dyDescent="0.25">
      <c r="A924" s="1" t="s">
        <v>1848</v>
      </c>
      <c r="B924" s="1">
        <v>7798</v>
      </c>
      <c r="C924" s="3">
        <v>44383.538865740738</v>
      </c>
      <c r="D924" s="1" t="s">
        <v>1849</v>
      </c>
      <c r="E924" s="4" t="str">
        <f ca="1">IFERROR(__xludf.DUMMYFUNCTION("GOOGLETRANSLATE(A924 , ""tr"" , ""en"")"),"Mother girl in vaccination. 26 years of nurses in the country of Arslan, in Aydin State Hospital. When caught in Covid-19, his disease has infected his daughter. He made his daughter's vaccine with their own hands. The an average of 2,400 people per day i"&amp;"s applied in the polyclinic. https://t.co/th0bvfbbpp")</f>
        <v>Mother girl in vaccination. 26 years of nurses in the country of Arslan, in Aydin State Hospital. When caught in Covid-19, his disease has infected his daughter. He made his daughter's vaccine with their own hands. The an average of 2,400 people per day is applied in the polyclinic. https://t.co/th0bvfbbpp</v>
      </c>
    </row>
    <row r="925" spans="1:5" ht="15.75" customHeight="1" x14ac:dyDescent="0.25">
      <c r="A925" s="1" t="s">
        <v>1850</v>
      </c>
      <c r="B925" s="1">
        <v>3772</v>
      </c>
      <c r="C925" s="3">
        <v>44383.376180555555</v>
      </c>
      <c r="D925" s="1" t="s">
        <v>1851</v>
      </c>
      <c r="E925" s="4" t="str">
        <f ca="1">IFERROR(__xludf.DUMMYFUNCTION("GOOGLETRANSLATE(A925 , ""tr"" , ""en"")"),"The number of cases in a final week is the most diminished provinces; Gumushane, Eskisehir, Artvin, Denizli and Bartin. Comes with the end of the epidemic. Be your vaccination to be able to look at tomorrow more safe than today. https://t.co/IVWPGEZ03V")</f>
        <v>The number of cases in a final week is the most diminished provinces; Gumushane, Eskisehir, Artvin, Denizli and Bartin. Comes with the end of the epidemic. Be your vaccination to be able to look at tomorrow more safe than today. https://t.co/IVWPGEZ03V</v>
      </c>
    </row>
    <row r="926" spans="1:5" ht="15.75" customHeight="1" x14ac:dyDescent="0.25">
      <c r="A926" s="1" t="s">
        <v>1852</v>
      </c>
      <c r="B926" s="1">
        <v>5938</v>
      </c>
      <c r="C926" s="3">
        <v>44383.372256944444</v>
      </c>
      <c r="D926" s="1" t="s">
        <v>1853</v>
      </c>
      <c r="E926" s="4" t="str">
        <f ca="1">IFERROR(__xludf.DUMMYFUNCTION("GOOGLETRANSLATE(A926 , ""tr"" , ""en"")"),"In our provinces, you can see the current version of the incidence map that shows a total number of considers who correspond to 100,000 population. Comes with the end of the epidemic. Be your vaccination to be able to look at tomorrow more safe than today"&amp;". https://t.co/zq768qvpyb")</f>
        <v>In our provinces, you can see the current version of the incidence map that shows a total number of considers who correspond to 100,000 population. Comes with the end of the epidemic. Be your vaccination to be able to look at tomorrow more safe than today. https://t.co/zq768qvpyb</v>
      </c>
    </row>
    <row r="927" spans="1:5" ht="15.75" customHeight="1" x14ac:dyDescent="0.25">
      <c r="A927" s="1" t="s">
        <v>1854</v>
      </c>
      <c r="B927" s="1">
        <v>11266</v>
      </c>
      <c r="C927" s="3">
        <v>44383.311145833337</v>
      </c>
      <c r="D927" s="1" t="s">
        <v>1855</v>
      </c>
      <c r="E927" s="4" t="str">
        <f ca="1">IFERROR(__xludf.DUMMYFUNCTION("GOOGLETRANSLATE(A927 , ""tr"" , ""en"")"),"- ""How you come to this mountain, what are you coming for? Tell him.""
- ""Uncle I came to you, we will make your vaccine."" https://t.co/omndvngae6")</f>
        <v>- "How you come to this mountain, what are you coming for? Tell him."
- "Uncle I came to you, we will make your vaccine." https://t.co/omndvngae6</v>
      </c>
    </row>
    <row r="928" spans="1:5" ht="15.75" customHeight="1" x14ac:dyDescent="0.25">
      <c r="A928" s="1" t="s">
        <v>1856</v>
      </c>
      <c r="B928" s="1">
        <v>13457</v>
      </c>
      <c r="C928" s="3">
        <v>44382.901388888888</v>
      </c>
      <c r="D928" s="1" t="s">
        <v>1857</v>
      </c>
      <c r="E928" s="4" t="str">
        <f ca="1">IFERROR(__xludf.DUMMYFUNCTION("GOOGLETRANSLATE(A928 , ""tr"" , ""en"")"),"Today 1 million 81 thousand 352 dose of overdose was applied.
Let's overcome this number tomorrow morning with new appointments.")</f>
        <v>Today 1 million 81 thousand 352 dose of overdose was applied.
Let's overcome this number tomorrow morning with new appointments.</v>
      </c>
    </row>
    <row r="929" spans="1:5" ht="15.75" customHeight="1" x14ac:dyDescent="0.25">
      <c r="A929" s="1" t="s">
        <v>1858</v>
      </c>
      <c r="B929" s="1">
        <v>56743</v>
      </c>
      <c r="C929" s="3">
        <v>44382.807928240742</v>
      </c>
      <c r="D929" s="1" t="s">
        <v>1859</v>
      </c>
      <c r="E929" s="4" t="str">
        <f ca="1">IFERROR(__xludf.DUMMYFUNCTION("GOOGLETRANSLATE(A929 , ""tr"" , ""en"")"),"In Kütahya, a health personnel in the autogard were invited to our citizens with a humorous attitude. Our services are everywhere but vaccine is a serious issue. There is no situation that requires the investigation of our staff. But we all have to take t"&amp;"he vaccination seriously.")</f>
        <v>In Kütahya, a health personnel in the autogard were invited to our citizens with a humorous attitude. Our services are everywhere but vaccine is a serious issue. There is no situation that requires the investigation of our staff. But we all have to take the vaccination seriously.</v>
      </c>
    </row>
    <row r="930" spans="1:5" ht="15.75" customHeight="1" x14ac:dyDescent="0.25">
      <c r="A930" s="1" t="s">
        <v>1860</v>
      </c>
      <c r="B930" s="1">
        <v>5230</v>
      </c>
      <c r="C930" s="3">
        <v>44382.787222222221</v>
      </c>
      <c r="D930" s="1" t="s">
        <v>1861</v>
      </c>
      <c r="E930" s="4" t="str">
        <f ca="1">IFERROR(__xludf.DUMMYFUNCTION("GOOGLETRANSLATE(A930 , ""tr"" , ""en"")"),"1 millionth dose today
Vaccinated: SELEY HAPPEN, 29 YEARS
Nurse doing the vaccination: Sadiye Gamze ionoğlu
Physician in charge of the vaccine: Spacious Arslan
Time to apply vaccine: 19:21
Location: Nazilli State Hospital HTTPS://T.CO/DNOIT2SJMY")</f>
        <v>1 millionth dose today
Vaccinated: SELEY HAPPEN, 29 YEARS
Nurse doing the vaccination: Sadiye Gamze ionoğlu
Physician in charge of the vaccine: Spacious Arslan
Time to apply vaccine: 19:21
Location: Nazilli State Hospital HTTPS://T.CO/DNOIT2SJMY</v>
      </c>
    </row>
    <row r="931" spans="1:5" ht="15.75" customHeight="1" x14ac:dyDescent="0.25">
      <c r="A931" s="1" t="s">
        <v>1862</v>
      </c>
      <c r="B931" s="1">
        <v>6119</v>
      </c>
      <c r="C931" s="3">
        <v>44382.778449074074</v>
      </c>
      <c r="D931" s="1" t="s">
        <v>1863</v>
      </c>
      <c r="E931" s="4" t="str">
        <f ca="1">IFERROR(__xludf.DUMMYFUNCTION("GOOGLETRANSLATE(A931 , ""tr"" , ""en"")"),"Our Leader of Vaccine Program Muğla. We will strive until all our provinces turn blue. The epidemic is out of our agenda. https://t.co/rvlhe7786o https://t.co/paxeqqcemf")</f>
        <v>Our Leader of Vaccine Program Muğla. We will strive until all our provinces turn blue. The epidemic is out of our agenda. https://t.co/rvlhe7786o https://t.co/paxeqqcemf</v>
      </c>
    </row>
    <row r="932" spans="1:5" ht="15.75" customHeight="1" x14ac:dyDescent="0.25">
      <c r="A932" s="1" t="s">
        <v>1864</v>
      </c>
      <c r="B932" s="1">
        <v>4015</v>
      </c>
      <c r="C932" s="3">
        <v>44382.7659375</v>
      </c>
      <c r="D932" s="1" t="s">
        <v>1865</v>
      </c>
      <c r="E932" s="4" t="str">
        <f ca="1">IFERROR(__xludf.DUMMYFUNCTION("GOOGLETRANSLATE(A932 , ""tr"" , ""en"")"),"Nurse Saliha Aybasti is in the community health center in the Ordu. His wife dentist. He postponed the vaccination when he has difficulty in keeping their patients who cannot be treated during the difficult days of the epidemic. Conclusion: The nurse lady"&amp;" who is on the field with his team ""on-site vaccine"". (Note: Vaccine in some occupations much more important!) Https://t.co/veobo0qktn")</f>
        <v>Nurse Saliha Aybasti is in the community health center in the Ordu. His wife dentist. He postponed the vaccination when he has difficulty in keeping their patients who cannot be treated during the difficult days of the epidemic. Conclusion: The nurse lady who is on the field with his team "on-site vaccine". (Note: Vaccine in some occupations much more important!) Https://t.co/veobo0qktn</v>
      </c>
    </row>
    <row r="933" spans="1:5" ht="15.75" customHeight="1" x14ac:dyDescent="0.25">
      <c r="A933" s="1" t="s">
        <v>1866</v>
      </c>
      <c r="B933" s="1">
        <v>13547</v>
      </c>
      <c r="C933" s="3">
        <v>44382.745393518519</v>
      </c>
      <c r="D933" s="1" t="s">
        <v>1867</v>
      </c>
      <c r="E933" s="4" t="str">
        <f ca="1">IFERROR(__xludf.DUMMYFUNCTION("GOOGLETRANSLATE(A933 , ""tr"" , ""en"")"),"The whole country was concerned when the first case is seen. Currently, it has at least 1 dose of 36 million people vaccine to be protected from the infectious disease and provide social immunity. 1 Case Hazard meant. Is 36 million trust. Let's grow this "&amp;"trust.")</f>
        <v>The whole country was concerned when the first case is seen. Currently, it has at least 1 dose of 36 million people vaccine to be protected from the infectious disease and provide social immunity. 1 Case Hazard meant. Is 36 million trust. Let's grow this trust.</v>
      </c>
    </row>
    <row r="934" spans="1:5" ht="15.75" customHeight="1" x14ac:dyDescent="0.25">
      <c r="A934" s="1" t="s">
        <v>1868</v>
      </c>
      <c r="B934" s="1">
        <v>0</v>
      </c>
      <c r="C934" s="3">
        <v>44382.694328703707</v>
      </c>
      <c r="D934" s="1" t="s">
        <v>1869</v>
      </c>
      <c r="E934" s="4" t="str">
        <f ca="1">IFERROR(__xludf.DUMMYFUNCTION("GOOGLETRANSLATE(A934 , ""tr"" , ""en"")"),"RT @RterDogan: Shouting to Nation after Cabinet Meeting
https://t.co/kfzoek4yhz")</f>
        <v>RT @RterDogan: Shouting to Nation after Cabinet Meeting
https://t.co/kfzoek4yhz</v>
      </c>
    </row>
    <row r="935" spans="1:5" ht="15.75" customHeight="1" x14ac:dyDescent="0.25">
      <c r="A935" s="1" t="s">
        <v>1870</v>
      </c>
      <c r="B935" s="1">
        <v>13998</v>
      </c>
      <c r="C935" s="3">
        <v>44382.688969907409</v>
      </c>
      <c r="D935" s="1" t="s">
        <v>1871</v>
      </c>
      <c r="E935" s="4" t="str">
        <f ca="1">IFERROR(__xludf.DUMMYFUNCTION("GOOGLETRANSLATE(A935 , ""tr"" , ""en"")"),"No more first or new dose vaccines before the 24 hours is filled yet. Turkey, in contagious Covid-19 illness to gain immunity.")</f>
        <v>No more first or new dose vaccines before the 24 hours is filled yet. Turkey, in contagious Covid-19 illness to gain immunity.</v>
      </c>
    </row>
    <row r="936" spans="1:5" ht="15.75" customHeight="1" x14ac:dyDescent="0.25">
      <c r="A936" s="1" t="s">
        <v>1872</v>
      </c>
      <c r="B936" s="1">
        <v>12062</v>
      </c>
      <c r="C936" s="3">
        <v>44381.82</v>
      </c>
      <c r="D936" s="1" t="s">
        <v>1873</v>
      </c>
      <c r="E936" s="4" t="str">
        <f ca="1">IFERROR(__xludf.DUMMYFUNCTION("GOOGLETRANSLATE(A936 , ""tr"" , ""en"")"),"We will now watch the number of cases and the view of the vaccine program from a new screen. We will continue to publish all the details we have previously shared in weekly reports. Provinces will compete in being vaccines. https://t.co/rvlhe7786o https:/"&amp;"/t.co/l3q5lxvmvv")</f>
        <v>We will now watch the number of cases and the view of the vaccine program from a new screen. We will continue to publish all the details we have previously shared in weekly reports. Provinces will compete in being vaccines. https://t.co/rvlhe7786o https://t.co/l3q5lxvmvv</v>
      </c>
    </row>
    <row r="937" spans="1:5" ht="15.75" customHeight="1" x14ac:dyDescent="0.25">
      <c r="A937" s="1" t="s">
        <v>1874</v>
      </c>
      <c r="B937" s="1">
        <v>11876</v>
      </c>
      <c r="C937" s="3">
        <v>44381.506886574076</v>
      </c>
      <c r="D937" s="1" t="s">
        <v>1875</v>
      </c>
      <c r="E937" s="4" t="str">
        <f ca="1">IFERROR(__xludf.DUMMYFUNCTION("GOOGLETRANSLATE(A937 , ""tr"" , ""en"")"),"The vaccine in our airports and border doors. 38 of the 48 airport, we offer 1st or 2nd overdose services to our citizens from abroad. 4 There are vaccination service at the black border doors in our provinces. Our two border masses and the vaccine at 2 a"&amp;"irports start Monday. Numbers will increase.")</f>
        <v>The vaccine in our airports and border doors. 38 of the 48 airport, we offer 1st or 2nd overdose services to our citizens from abroad. 4 There are vaccination service at the black border doors in our provinces. Our two border masses and the vaccine at 2 airports start Monday. Numbers will increase.</v>
      </c>
    </row>
    <row r="938" spans="1:5" ht="15.75" customHeight="1" x14ac:dyDescent="0.25">
      <c r="A938" s="1" t="s">
        <v>1876</v>
      </c>
      <c r="B938" s="1">
        <v>18710</v>
      </c>
      <c r="C938" s="3">
        <v>44380.90116898148</v>
      </c>
      <c r="D938" s="1" t="s">
        <v>1877</v>
      </c>
      <c r="E938" s="4" t="str">
        <f ca="1">IFERROR(__xludf.DUMMYFUNCTION("GOOGLETRANSLATE(A938 , ""tr"" , ""en"")"),"Date of birth: 3.07.2021
Birthday: Ambulance
In the district of Afyonkarahisar, a baby came from expected to the world this morning. Health officers who take the mother to the hospital had to have born in the ambulance. I celebrate the family, emergency "&amp;"medical team. Your eye is Aydin. https://t.co/1gh2qbe0hh")</f>
        <v>Date of birth: 3.07.2021
Birthday: Ambulance
In the district of Afyonkarahisar, a baby came from expected to the world this morning. Health officers who take the mother to the hospital had to have born in the ambulance. I celebrate the family, emergency medical team. Your eye is Aydin. https://t.co/1gh2qbe0hh</v>
      </c>
    </row>
    <row r="939" spans="1:5" ht="15.75" customHeight="1" x14ac:dyDescent="0.25">
      <c r="A939" s="1" t="s">
        <v>1878</v>
      </c>
      <c r="B939" s="1">
        <v>9117</v>
      </c>
      <c r="C939" s="3">
        <v>44380.861620370371</v>
      </c>
      <c r="D939" s="1" t="s">
        <v>1879</v>
      </c>
      <c r="E939" s="4" t="str">
        <f ca="1">IFERROR(__xludf.DUMMYFUNCTION("GOOGLETRANSLATE(A939 , ""tr"" , ""en"")"),"Serpil nurse knows most of us well. Why is the vaccination important? In November of last year, his mother, his father, his son was caught in Covid-19. It is currently working in the Kocaeli State Hospital Vaccine Polyclinet. And the more you can make the"&amp;" more happy! https://t.co/hpl7vudsu9")</f>
        <v>Serpil nurse knows most of us well. Why is the vaccination important? In November of last year, his mother, his father, his son was caught in Covid-19. It is currently working in the Kocaeli State Hospital Vaccine Polyclinet. And the more you can make the more happy! https://t.co/hpl7vudsu9</v>
      </c>
    </row>
    <row r="940" spans="1:5" ht="15.75" customHeight="1" x14ac:dyDescent="0.25">
      <c r="A940" s="1" t="s">
        <v>1880</v>
      </c>
      <c r="B940" s="1">
        <v>23046</v>
      </c>
      <c r="C940" s="3">
        <v>44380.335439814815</v>
      </c>
      <c r="D940" s="1" t="s">
        <v>1881</v>
      </c>
      <c r="E940" s="4" t="str">
        <f ca="1">IFERROR(__xludf.DUMMYFUNCTION("GOOGLETRANSLATE(A940 , ""tr"" , ""en"")"),"I wish you were among us these days.
21 years ago, we remember that Today, 56 years of disposal Kemal Sunal. https://t.co/cnwwgqd18e")</f>
        <v>I wish you were among us these days.
21 years ago, we remember that Today, 56 years of disposal Kemal Sunal. https://t.co/cnwwgqd18e</v>
      </c>
    </row>
    <row r="941" spans="1:5" ht="15.75" customHeight="1" x14ac:dyDescent="0.25">
      <c r="A941" s="1" t="s">
        <v>1882</v>
      </c>
      <c r="B941" s="1">
        <v>23136</v>
      </c>
      <c r="C941" s="3">
        <v>44379.920335648145</v>
      </c>
      <c r="D941" s="1" t="s">
        <v>1883</v>
      </c>
      <c r="E941" s="4" t="str">
        <f ca="1">IFERROR(__xludf.DUMMYFUNCTION("GOOGLETRANSLATE(A941 , ""tr"" , ""en"")"),"How is Covid-19 landed to Covid-zero?
The only solution close to the conclusion is the vaccine!")</f>
        <v>How is Covid-19 landed to Covid-zero?
The only solution close to the conclusion is the vaccine!</v>
      </c>
    </row>
    <row r="942" spans="1:5" ht="15.75" customHeight="1" x14ac:dyDescent="0.25">
      <c r="A942" s="1" t="s">
        <v>1884</v>
      </c>
      <c r="B942" s="1">
        <v>13128</v>
      </c>
      <c r="C942" s="3">
        <v>44379.904895833337</v>
      </c>
      <c r="D942" s="1" t="s">
        <v>1885</v>
      </c>
      <c r="E942" s="4" t="str">
        <f ca="1">IFERROR(__xludf.DUMMYFUNCTION("GOOGLETRANSLATE(A942 , ""tr"" , ""en"")"),"Up to 24 o'clock 1 million 171 thousand 305 dose vaccines.
We approach healthy, not worrier days one day!")</f>
        <v>Up to 24 o'clock 1 million 171 thousand 305 dose vaccines.
We approach healthy, not worrier days one day!</v>
      </c>
    </row>
    <row r="943" spans="1:5" ht="15.75" customHeight="1" x14ac:dyDescent="0.25">
      <c r="A943" s="1" t="s">
        <v>1886</v>
      </c>
      <c r="B943" s="1">
        <v>5066</v>
      </c>
      <c r="C943" s="3">
        <v>44379.882789351854</v>
      </c>
      <c r="D943" s="1" t="s">
        <v>1887</v>
      </c>
      <c r="E943" s="4" t="str">
        <f ca="1">IFERROR(__xludf.DUMMYFUNCTION("GOOGLETRANSLATE(A943 , ""tr"" , ""en"")"),"The vaccine mobilization of the coronavirus sacrifice is great support. We had one of the new samples in Batman. Provincial Health Directorate of Gercüş to Kırkat village has supported our village teams, village imam, village people. https://t.co/s9I0srgs"&amp;"nt")</f>
        <v>The vaccine mobilization of the coronavirus sacrifice is great support. We had one of the new samples in Batman. Provincial Health Directorate of Gercüş to Kırkat village has supported our village teams, village imam, village people. https://t.co/s9I0srgsnt</v>
      </c>
    </row>
    <row r="944" spans="1:5" ht="15.75" customHeight="1" x14ac:dyDescent="0.25">
      <c r="A944" s="1" t="s">
        <v>1888</v>
      </c>
      <c r="B944" s="1">
        <v>8209</v>
      </c>
      <c r="C944" s="3">
        <v>44379.756967592592</v>
      </c>
      <c r="D944" s="1" t="s">
        <v>1889</v>
      </c>
      <c r="E944" s="4" t="str">
        <f ca="1">IFERROR(__xludf.DUMMYFUNCTION("GOOGLETRANSLATE(A944 , ""tr"" , ""en"")"),"The opening of the Sakarya Women's Birth and Children's Hospital, with the factors of our President, has 27 women's birth, 26 children's polyclinics and 5 operating rooms. Total bed capacity 370. Investment to health is to mean service and trust. Reasons "&amp;"are increasing to be good. https://t.co/7gxxdkr8I3")</f>
        <v>The opening of the Sakarya Women's Birth and Children's Hospital, with the factors of our President, has 27 women's birth, 26 children's polyclinics and 5 operating rooms. Total bed capacity 370. Investment to health is to mean service and trust. Reasons are increasing to be good. https://t.co/7gxxdkr8I3</v>
      </c>
    </row>
    <row r="945" spans="1:5" ht="15.75" customHeight="1" x14ac:dyDescent="0.25">
      <c r="A945" s="1" t="s">
        <v>1890</v>
      </c>
      <c r="B945" s="1">
        <v>6447</v>
      </c>
      <c r="C945" s="3">
        <v>44379.670335648145</v>
      </c>
      <c r="D945" s="1" t="s">
        <v>1891</v>
      </c>
      <c r="E945" s="4" t="str">
        <f ca="1">IFERROR(__xludf.DUMMYFUNCTION("GOOGLETRANSLATE(A945 , ""tr"" , ""en"")"),"The present 1 millionth dose vaccine was held in the Kusadasi State Hospital. At the supervision of the Physician Yusuf Well in charge of the Makblane Hanim, he applied our health personnel UTKU Karacia. You have done the best with the vaccination Makblu "&amp;"Lady. We are waiting if you have no vaccines from your surroundings. https://t.co/l2uaubg8cm")</f>
        <v>The present 1 millionth dose vaccine was held in the Kusadasi State Hospital. At the supervision of the Physician Yusuf Well in charge of the Makblane Hanim, he applied our health personnel UTKU Karacia. You have done the best with the vaccination Makblu Lady. We are waiting if you have no vaccines from your surroundings. https://t.co/l2uaubg8cm</v>
      </c>
    </row>
    <row r="946" spans="1:5" ht="15.75" customHeight="1" x14ac:dyDescent="0.25">
      <c r="A946" s="1" t="s">
        <v>1892</v>
      </c>
      <c r="B946" s="1">
        <v>7901</v>
      </c>
      <c r="C946" s="3">
        <v>44379.616087962961</v>
      </c>
      <c r="D946" s="1" t="s">
        <v>1893</v>
      </c>
      <c r="E946" s="4" t="str">
        <f ca="1">IFERROR(__xludf.DUMMYFUNCTION("GOOGLETRANSLATE(A946 , ""tr"" , ""en"")"),"Eagle Tibet farewell to life. The audience was as well as the legends of the Yeşilagam, he liked his legends as he liked it with series. In an interview, he says that ""role"" is natural in place. And it is short to make life's evil is man's fans. Rest in"&amp;" piece. https://t.co/moow9o90r7")</f>
        <v>Eagle Tibet farewell to life. The audience was as well as the legends of the Yeşilagam, he liked his legends as he liked it with series. In an interview, he says that "role" is natural in place. And it is short to make life's evil is man's fans. Rest in piece. https://t.co/moow9o90r7</v>
      </c>
    </row>
    <row r="947" spans="1:5" ht="15.75" customHeight="1" x14ac:dyDescent="0.25">
      <c r="A947" s="1" t="s">
        <v>1894</v>
      </c>
      <c r="B947" s="1">
        <v>0</v>
      </c>
      <c r="C947" s="3">
        <v>44379.533622685187</v>
      </c>
      <c r="D947" s="1" t="s">
        <v>1895</v>
      </c>
      <c r="E947" s="4" t="str">
        <f ca="1">IFERROR(__xludf.DUMMYFUNCTION("GOOGLETRANSLATE(A947 , ""tr"" , ""en"")"),"RT @rterdogan: The official opening ceremony of projects completed in Sakarya https://t.co/xtycdnhjle")</f>
        <v>RT @rterdogan: The official opening ceremony of projects completed in Sakarya https://t.co/xtycdnhjle</v>
      </c>
    </row>
    <row r="948" spans="1:5" ht="15.75" customHeight="1" x14ac:dyDescent="0.25">
      <c r="A948" s="1" t="s">
        <v>1896</v>
      </c>
      <c r="B948" s="1">
        <v>4143</v>
      </c>
      <c r="C948" s="3">
        <v>44379.524664351855</v>
      </c>
      <c r="D948" s="1" t="s">
        <v>1897</v>
      </c>
      <c r="E948" s="4" t="str">
        <f ca="1">IFERROR(__xludf.DUMMYFUNCTION("GOOGLETRANSLATE(A948 , ""tr"" , ""en"")"),"With the factors of our Mr. President; Sakarya Women's Birth and Children's Children's Hospital Opening Program.
📍sakarya https://t.co/di4y5Ibopy")</f>
        <v>With the factors of our Mr. President; Sakarya Women's Birth and Children's Children's Hospital Opening Program.
📍sakarya https://t.co/di4y5Ibopy</v>
      </c>
    </row>
    <row r="949" spans="1:5" ht="15.75" customHeight="1" x14ac:dyDescent="0.25">
      <c r="A949" s="1" t="s">
        <v>1898</v>
      </c>
      <c r="B949" s="1">
        <v>10659</v>
      </c>
      <c r="C949" s="3">
        <v>44379.396504629629</v>
      </c>
      <c r="D949" s="1" t="s">
        <v>1899</v>
      </c>
      <c r="E949" s="4" t="str">
        <f ca="1">IFERROR(__xludf.DUMMYFUNCTION("GOOGLETRANSLATE(A949 , ""tr"" , ""en"")"),"Our family physicians give a great struggle from the start against the pandemia. They are in the preliminary rows in the vaccine application. Our goal is not to stay in the families in the families they serve. Our Ministry will not leave the success of ou"&amp;"r family physicians in the name of our community.")</f>
        <v>Our family physicians give a great struggle from the start against the pandemia. They are in the preliminary rows in the vaccine application. Our goal is not to stay in the families in the families they serve. Our Ministry will not leave the success of our family physicians in the name of our community.</v>
      </c>
    </row>
    <row r="950" spans="1:5" ht="15.75" customHeight="1" x14ac:dyDescent="0.25">
      <c r="A950" s="1" t="s">
        <v>1900</v>
      </c>
      <c r="B950" s="1">
        <v>29163</v>
      </c>
      <c r="C950" s="3">
        <v>44379.202465277776</v>
      </c>
      <c r="D950" s="1" t="s">
        <v>1901</v>
      </c>
      <c r="E950" s="4" t="str">
        <f ca="1">IFERROR(__xludf.DUMMYFUNCTION("GOOGLETRANSLATE(A950 , ""tr"" , ""en"")"),"Appointment in the morning, the vaccination in the day?
You didn't read wrong. We are waiting for today.")</f>
        <v>Appointment in the morning, the vaccination in the day?
You didn't read wrong. We are waiting for today.</v>
      </c>
    </row>
    <row r="951" spans="1:5" ht="15.75" customHeight="1" x14ac:dyDescent="0.25">
      <c r="A951" s="1" t="s">
        <v>1902</v>
      </c>
      <c r="B951" s="1">
        <v>16596</v>
      </c>
      <c r="C951" s="3">
        <v>44378.841874999998</v>
      </c>
      <c r="D951" s="1" t="s">
        <v>1903</v>
      </c>
      <c r="E951" s="4" t="str">
        <f ca="1">IFERROR(__xludf.DUMMYFUNCTION("GOOGLETRANSLATE(A951 , ""tr"" , ""en"")"),"We passed the overdose of 50 million today. The number of people at least one dose is over 35 million: 57% of our 18 years of age and older population is inoculated. Our goal is up to 70%. The vaccine does not neglect. Let's get to know the priority to ma"&amp;"ke our vaccine.")</f>
        <v>We passed the overdose of 50 million today. The number of people at least one dose is over 35 million: 57% of our 18 years of age and older population is inoculated. Our goal is up to 70%. The vaccine does not neglect. Let's get to know the priority to make our vaccine.</v>
      </c>
    </row>
    <row r="952" spans="1:5" ht="15.75" customHeight="1" x14ac:dyDescent="0.25">
      <c r="A952" s="1" t="s">
        <v>1904</v>
      </c>
      <c r="B952" s="1">
        <v>7201</v>
      </c>
      <c r="C952" s="3">
        <v>44378.770972222221</v>
      </c>
      <c r="D952" s="1" t="s">
        <v>1905</v>
      </c>
      <c r="E952" s="4" t="str">
        <f ca="1">IFERROR(__xludf.DUMMYFUNCTION("GOOGLETRANSLATE(A952 , ""tr"" , ""en"")"),"75,000 dose of overdose in the Ordu University Training Research Hospital. Nurse Çiğdem Aydın; his wife had spent Covid-19 with his son, mother and his father. Is now voluntary in the vaccination unit. We celebrate all the employees of the vaccine unit in"&amp;" the person, crocus lady. https://t.co/099erfghlı")</f>
        <v>75,000 dose of overdose in the Ordu University Training Research Hospital. Nurse Çiğdem Aydın; his wife had spent Covid-19 with his son, mother and his father. Is now voluntary in the vaccination unit. We celebrate all the employees of the vaccine unit in the person, crocus lady. https://t.co/099erfghlı</v>
      </c>
    </row>
    <row r="953" spans="1:5" ht="15.75" customHeight="1" x14ac:dyDescent="0.25">
      <c r="A953" s="1" t="s">
        <v>1906</v>
      </c>
      <c r="B953" s="1">
        <v>0</v>
      </c>
      <c r="C953" s="3">
        <v>44378.377858796295</v>
      </c>
      <c r="D953" s="1" t="s">
        <v>1907</v>
      </c>
      <c r="E953" s="4" t="str">
        <f ca="1">IFERROR(__xludf.DUMMYFUNCTION("GOOGLETRANSLATE(A953 , ""tr"" , ""en"")"),"RT @rterdogan: We have exceeded 50 million dose of our most effective weapon in the fight against coronavirus epidemic. Get auspicious auspicious. Htt ...")</f>
        <v>RT @rterdogan: We have exceeded 50 million dose of our most effective weapon in the fight against coronavirus epidemic. Get auspicious auspicious. Htt ...</v>
      </c>
    </row>
    <row r="954" spans="1:5" ht="15.75" customHeight="1" x14ac:dyDescent="0.25">
      <c r="A954" s="1" t="s">
        <v>1908</v>
      </c>
      <c r="B954" s="1">
        <v>16341</v>
      </c>
      <c r="C954" s="3">
        <v>44378.314756944441</v>
      </c>
      <c r="D954" s="1" t="s">
        <v>1909</v>
      </c>
      <c r="E954" s="4" t="str">
        <f ca="1">IFERROR(__xludf.DUMMYFUNCTION("GOOGLETRANSLATE(A954 , ""tr"" , ""en"")"),"The first overdose of his daughter who wants to be a doctor has made the nurse mother. Esma is 18 years old. Meral Hanim, Batman 112 is trying to emergency. The mother was a mall in the place of the place that brings the daughter. Esma are welcome to call"&amp;" you as Health Workers. You will never have strangers! https://t.co/eakuefiv5f")</f>
        <v>The first overdose of his daughter who wants to be a doctor has made the nurse mother. Esma is 18 years old. Meral Hanim, Batman 112 is trying to emergency. The mother was a mall in the place of the place that brings the daughter. Esma are welcome to call you as Health Workers. You will never have strangers! https://t.co/eakuefiv5f</v>
      </c>
    </row>
    <row r="955" spans="1:5" ht="15.75" customHeight="1" x14ac:dyDescent="0.25">
      <c r="A955" s="1" t="s">
        <v>1910</v>
      </c>
      <c r="B955" s="1">
        <v>10652</v>
      </c>
      <c r="C955" s="3">
        <v>44377.83935185185</v>
      </c>
      <c r="D955" s="1" t="s">
        <v>1911</v>
      </c>
      <c r="E955" s="4" t="str">
        <f ca="1">IFERROR(__xludf.DUMMYFUNCTION("GOOGLETRANSLATE(A955 , ""tr"" , ""en"")"),"Izmir Claim Çelebi University Atatürk Education and Research Hospital The Nurse Betül Mountain in the Vaccine Unit made 300 Covid-19 vaccines yesterday. The wife's nurse is running free mountain, Covid emergency. Number of patients who are interested in y"&amp;"esterday 250. The only expectations of this selfless interest are more interested in vaccine. https://t.co/62nqtitumx")</f>
        <v>Izmir Claim Çelebi University Atatürk Education and Research Hospital The Nurse Betül Mountain in the Vaccine Unit made 300 Covid-19 vaccines yesterday. The wife's nurse is running free mountain, Covid emergency. Number of patients who are interested in yesterday 250. The only expectations of this selfless interest are more interested in vaccine. https://t.co/62nqtitumx</v>
      </c>
    </row>
    <row r="956" spans="1:5" ht="15.75" customHeight="1" x14ac:dyDescent="0.25">
      <c r="A956" s="1" t="s">
        <v>1912</v>
      </c>
      <c r="B956" s="1">
        <v>4219</v>
      </c>
      <c r="C956" s="3">
        <v>44377.811747685184</v>
      </c>
      <c r="D956" s="1" t="s">
        <v>1913</v>
      </c>
      <c r="E956" s="4" t="str">
        <f ca="1">IFERROR(__xludf.DUMMYFUNCTION("GOOGLETRANSLATE(A956 , ""tr"" , ""en"")"),"Today, with his studies in the history of the Sciences in the historical field, the engineering wonder of Islam, the engineering wonder of the engineering wonderful and increasing their works in this age. Dr. Fuat Sezgin 3rd anniversary of our teacher's d"&amp;"eath. Rest in piece. May the works always be considered. https://t.co/rlfcbeu1tg")</f>
        <v>Today, with his studies in the history of the Sciences in the historical field, the engineering wonder of Islam, the engineering wonder of the engineering wonderful and increasing their works in this age. Dr. Fuat Sezgin 3rd anniversary of our teacher's death. Rest in piece. May the works always be considered. https://t.co/rlfcbeu1tg</v>
      </c>
    </row>
    <row r="957" spans="1:5" ht="15.75" customHeight="1" x14ac:dyDescent="0.25">
      <c r="A957" s="1" t="s">
        <v>1914</v>
      </c>
      <c r="B957" s="1">
        <v>4208</v>
      </c>
      <c r="C957" s="3">
        <v>44377.806423611109</v>
      </c>
      <c r="D957" s="1" t="s">
        <v>1915</v>
      </c>
      <c r="E957" s="4" t="str">
        <f ca="1">IFERROR(__xludf.DUMMYFUNCTION("GOOGLETRANSLATE(A957 , ""tr"" , ""en"")"),"I want you to know that we arrived at the hard time over the great jobs. Together Sabright, we struggled together and walk together on the victory. It is to obtain social immunity with vaccines, which will hit the last impact. https://t.co/miax2fqe1g")</f>
        <v>I want you to know that we arrived at the hard time over the great jobs. Together Sabright, we struggled together and walk together on the victory. It is to obtain social immunity with vaccines, which will hit the last impact. https://t.co/miax2fqe1g</v>
      </c>
    </row>
    <row r="958" spans="1:5" ht="15.75" customHeight="1" x14ac:dyDescent="0.25">
      <c r="A958" s="1" t="s">
        <v>1916</v>
      </c>
      <c r="B958" s="1">
        <v>5549</v>
      </c>
      <c r="C958" s="3">
        <v>44377.78125</v>
      </c>
      <c r="D958" s="1" t="s">
        <v>1917</v>
      </c>
      <c r="E958" s="4" t="str">
        <f ca="1">IFERROR(__xludf.DUMMYFUNCTION("GOOGLETRANSLATE(A958 , ""tr"" , ""en"")"),"In childhood vaccines, our country has a vaccination rate such as 98%. In such an environment, it is only useful to discourage a small emerge. https://t.co/mriqrxiexb")</f>
        <v>In childhood vaccines, our country has a vaccination rate such as 98%. In such an environment, it is only useful to discourage a small emerge. https://t.co/mriqrxiexb</v>
      </c>
    </row>
    <row r="959" spans="1:5" ht="15.75" customHeight="1" x14ac:dyDescent="0.25">
      <c r="A959" s="1" t="s">
        <v>1918</v>
      </c>
      <c r="B959" s="1">
        <v>4103</v>
      </c>
      <c r="C959" s="3">
        <v>44377.770636574074</v>
      </c>
      <c r="D959" s="1" t="s">
        <v>1919</v>
      </c>
      <c r="E959" s="4" t="str">
        <f ca="1">IFERROR(__xludf.DUMMYFUNCTION("GOOGLETRANSLATE(A959 , ""tr"" , ""en"")"),"9 months are the institutions of this state to achieve the vaccine in the most accurate conditions. This state power is too large and strong to be in need of proof. When we say to this power we sound with this self-confidence. https://t.co/psurczwr6a")</f>
        <v>9 months are the institutions of this state to achieve the vaccine in the most accurate conditions. This state power is too large and strong to be in need of proof. When we say to this power we sound with this self-confidence. https://t.co/psurczwr6a</v>
      </c>
    </row>
    <row r="960" spans="1:5" ht="15.75" customHeight="1" x14ac:dyDescent="0.25">
      <c r="A960" s="1" t="s">
        <v>1920</v>
      </c>
      <c r="B960" s="1">
        <v>6220</v>
      </c>
      <c r="C960" s="3">
        <v>44377.764988425923</v>
      </c>
      <c r="D960" s="1" t="s">
        <v>1921</v>
      </c>
      <c r="E960" s="4" t="str">
        <f ca="1">IFERROR(__xludf.DUMMYFUNCTION("GOOGLETRANSLATE(A960 , ""tr"" , ""en"")"),"In the light of the new data, our citizens, the first dose of the biontech vaccine can make an appointment such as 4 weeks later. https://t.co/ERPSU2WDSI")</f>
        <v>In the light of the new data, our citizens, the first dose of the biontech vaccine can make an appointment such as 4 weeks later. https://t.co/ERPSU2WDSI</v>
      </c>
    </row>
    <row r="961" spans="1:5" ht="15.75" customHeight="1" x14ac:dyDescent="0.25">
      <c r="A961" s="1" t="s">
        <v>1922</v>
      </c>
      <c r="B961" s="1">
        <v>4518</v>
      </c>
      <c r="C961" s="3">
        <v>44377.760509259257</v>
      </c>
      <c r="D961" s="1" t="s">
        <v>1923</v>
      </c>
      <c r="E961" s="4" t="str">
        <f ca="1">IFERROR(__xludf.DUMMYFUNCTION("GOOGLETRANSLATE(A961 , ""tr"" , ""en"")"),"Our citizens who have had the disease may be after the reminder dose after 3 months of the disease. https://t.co/epoe5oogoy")</f>
        <v>Our citizens who have had the disease may be after the reminder dose after 3 months of the disease. https://t.co/epoe5oogoy</v>
      </c>
    </row>
    <row r="962" spans="1:5" ht="15.75" customHeight="1" x14ac:dyDescent="0.25">
      <c r="A962" s="1" t="s">
        <v>1924</v>
      </c>
      <c r="B962" s="1">
        <v>12399</v>
      </c>
      <c r="C962" s="3">
        <v>44377.754756944443</v>
      </c>
      <c r="D962" s="1" t="s">
        <v>1925</v>
      </c>
      <c r="E962" s="4" t="str">
        <f ca="1">IFERROR(__xludf.DUMMYFUNCTION("GOOGLETRANSLATE(A962 , ""tr"" , ""en"")"),"With our two-dose vaccinated 50 years of age and older citizens, our health workers will be able to make an appointment to be 3rd over-dose vaccines from tomorrow. https://t.co/adrpdrabcn")</f>
        <v>With our two-dose vaccinated 50 years of age and older citizens, our health workers will be able to make an appointment to be 3rd over-dose vaccines from tomorrow. https://t.co/adrpdrabcn</v>
      </c>
    </row>
    <row r="963" spans="1:5" ht="15.75" customHeight="1" x14ac:dyDescent="0.25">
      <c r="A963" s="1" t="s">
        <v>1926</v>
      </c>
      <c r="B963" s="1">
        <v>3685</v>
      </c>
      <c r="C963" s="3">
        <v>44377.716423611113</v>
      </c>
      <c r="D963" s="1" t="s">
        <v>1927</v>
      </c>
      <c r="E963" s="4" t="str">
        <f ca="1">IFERROR(__xludf.DUMMYFUNCTION("GOOGLETRANSLATE(A963 , ""tr"" , ""en"")"),"Live: After our Science Board Meeting, our press statement: https://t.co/4ecqhpps5y")</f>
        <v>Live: After our Science Board Meeting, our press statement: https://t.co/4ecqhpps5y</v>
      </c>
    </row>
    <row r="964" spans="1:5" ht="15.75" customHeight="1" x14ac:dyDescent="0.25">
      <c r="A964" s="1" t="s">
        <v>1928</v>
      </c>
      <c r="B964" s="1">
        <v>7162</v>
      </c>
      <c r="C964" s="3">
        <v>44376.906331018516</v>
      </c>
      <c r="D964" s="1" t="s">
        <v>1929</v>
      </c>
      <c r="E964" s="4" t="str">
        <f ca="1">IFERROR(__xludf.DUMMYFUNCTION("GOOGLETRANSLATE(A964 , ""tr"" , ""en"")"),"In the entrances to Turkey from abroad, PCR negative test result and / or rapid antigen negative test result is mandatory. Other than that, we do not have a freedom practice. https://t.co/i51g8mnupc")</f>
        <v>In the entrances to Turkey from abroad, PCR negative test result and / or rapid antigen negative test result is mandatory. Other than that, we do not have a freedom practice. https://t.co/i51g8mnupc</v>
      </c>
    </row>
    <row r="965" spans="1:5" ht="15.75" customHeight="1" x14ac:dyDescent="0.25">
      <c r="A965" s="1" t="s">
        <v>1930</v>
      </c>
      <c r="B965" s="1">
        <v>7418</v>
      </c>
      <c r="C965" s="3">
        <v>44376.890092592592</v>
      </c>
      <c r="D965" s="1" t="s">
        <v>1931</v>
      </c>
      <c r="E965" s="4" t="str">
        <f ca="1">IFERROR(__xludf.DUMMYFUNCTION("GOOGLETRANSLATE(A965 , ""tr"" , ""en"")"),"Turkey provides vaccines that other countries do not receive the vaccines of other countries as BionTech is providing vaccines for Turkey. Vaccines to Turkey and Germany in Biontech, deliver the PFizer to other countries. We are delivering the vaccines to"&amp;" us. We strived that for 9 months. https://t.co/w7pdhnpelv")</f>
        <v>Turkey provides vaccines that other countries do not receive the vaccines of other countries as BionTech is providing vaccines for Turkey. Vaccines to Turkey and Germany in Biontech, deliver the PFizer to other countries. We are delivering the vaccines to us. We strived that for 9 months. https://t.co/w7pdhnpelv</v>
      </c>
    </row>
    <row r="966" spans="1:5" ht="15.75" customHeight="1" x14ac:dyDescent="0.25">
      <c r="A966" s="1" t="s">
        <v>1932</v>
      </c>
      <c r="B966" s="1">
        <v>8374</v>
      </c>
      <c r="C966" s="3">
        <v>44376.872650462959</v>
      </c>
      <c r="D966" s="1" t="s">
        <v>1933</v>
      </c>
      <c r="E966" s="4" t="str">
        <f ca="1">IFERROR(__xludf.DUMMYFUNCTION("GOOGLETRANSLATE(A966 , ""tr"" , ""en"")"),"Our city hospitals are the public. It is also not the transfer of selling. The operator change is not possible without our permission. https://t.co/hiyk6FIHKF")</f>
        <v>Our city hospitals are the public. It is also not the transfer of selling. The operator change is not possible without our permission. https://t.co/hiyk6FIHKF</v>
      </c>
    </row>
    <row r="967" spans="1:5" ht="15.75" customHeight="1" x14ac:dyDescent="0.25">
      <c r="A967" s="1" t="s">
        <v>1934</v>
      </c>
      <c r="B967" s="1">
        <v>18062</v>
      </c>
      <c r="C967" s="3">
        <v>44376.598553240743</v>
      </c>
      <c r="D967" s="1" t="s">
        <v>1935</v>
      </c>
      <c r="E967" s="4" t="str">
        <f ca="1">IFERROR(__xludf.DUMMYFUNCTION("GOOGLETRANSLATE(A967 , ""tr"" , ""en"")"),"The vaccination of each of 4 people has been completed. The number of double dose vaccines has reached 15 million today at noon. 25% of our 18 years of age or older population is now grafted. The increase in our epidemic depends on the rise of the rate. L"&amp;"et's get our vaccine.")</f>
        <v>The vaccination of each of 4 people has been completed. The number of double dose vaccines has reached 15 million today at noon. 25% of our 18 years of age or older population is now grafted. The increase in our epidemic depends on the rise of the rate. Let's get our vaccine.</v>
      </c>
    </row>
    <row r="968" spans="1:5" ht="15.75" customHeight="1" x14ac:dyDescent="0.25">
      <c r="A968" s="1" t="s">
        <v>1936</v>
      </c>
      <c r="B968" s="1">
        <v>22794</v>
      </c>
      <c r="C968" s="3">
        <v>44376.461388888885</v>
      </c>
      <c r="D968" s="1" t="s">
        <v>1937</v>
      </c>
      <c r="E968" s="4" t="str">
        <f ca="1">IFERROR(__xludf.DUMMYFUNCTION("GOOGLETRANSLATE(A968 , ""tr"" , ""en"")"),"In the centers we have created in the train and bus station, the vaccine service began. The first app is in Ankara. It's enough to stretch your arm of those who want to become vaccines.")</f>
        <v>In the centers we have created in the train and bus station, the vaccine service began. The first app is in Ankara. It's enough to stretch your arm of those who want to become vaccines.</v>
      </c>
    </row>
    <row r="969" spans="1:5" ht="15.75" customHeight="1" x14ac:dyDescent="0.25">
      <c r="A969" s="1" t="s">
        <v>1938</v>
      </c>
      <c r="B969" s="1">
        <v>14198</v>
      </c>
      <c r="C969" s="3">
        <v>44376.427245370367</v>
      </c>
      <c r="D969" s="1" t="s">
        <v>1939</v>
      </c>
      <c r="E969" s="4" t="str">
        <f ca="1">IFERROR(__xludf.DUMMYFUNCTION("GOOGLETRANSLATE(A969 , ""tr"" , ""en"")"),"Our traveling vaccine team in Bartin has encountered his 18-year-old Furkan. They asked whether you want to become vaccines. The vaccine was immediately there. He had downloaded his mask for the ice cream in his hand. Forgotten to put on again. Such as su"&amp;"ch a moment. (Team, continue to vaccine!) Https://t.co/qkx6j8962m")</f>
        <v>Our traveling vaccine team in Bartin has encountered his 18-year-old Furkan. They asked whether you want to become vaccines. The vaccine was immediately there. He had downloaded his mask for the ice cream in his hand. Forgotten to put on again. Such as such a moment. (Team, continue to vaccine!) Https://t.co/qkx6j8962m</v>
      </c>
    </row>
    <row r="970" spans="1:5" ht="15.75" customHeight="1" x14ac:dyDescent="0.25">
      <c r="A970" s="1" t="s">
        <v>1940</v>
      </c>
      <c r="B970" s="1">
        <v>16946</v>
      </c>
      <c r="C970" s="3">
        <v>44375.880740740744</v>
      </c>
      <c r="D970" s="1" t="s">
        <v>1941</v>
      </c>
      <c r="E970" s="4" t="str">
        <f ca="1">IFERROR(__xludf.DUMMYFUNCTION("GOOGLETRANSLATE(A970 , ""tr"" , ""en"")"),"1 million 44 thousand 263 people had the vaccine today.
Take your appointment, you also make your vaccine.")</f>
        <v>1 million 44 thousand 263 people had the vaccine today.
Take your appointment, you also make your vaccine.</v>
      </c>
    </row>
    <row r="971" spans="1:5" ht="15.75" customHeight="1" x14ac:dyDescent="0.25">
      <c r="A971" s="1" t="s">
        <v>1942</v>
      </c>
      <c r="B971" s="1">
        <v>30332</v>
      </c>
      <c r="C971" s="3">
        <v>44375.851284722223</v>
      </c>
      <c r="D971" s="1" t="s">
        <v>1943</v>
      </c>
      <c r="E971" s="4" t="str">
        <f ca="1">IFERROR(__xludf.DUMMYFUNCTION("GOOGLETRANSLATE(A971 , ""tr"" , ""en"")"),"The vaccine he made others do not keep your health. Please make your vaccine.")</f>
        <v>The vaccine he made others do not keep your health. Please make your vaccine.</v>
      </c>
    </row>
    <row r="972" spans="1:5" ht="15.75" customHeight="1" x14ac:dyDescent="0.25">
      <c r="A972" s="1" t="s">
        <v>1944</v>
      </c>
      <c r="B972" s="1">
        <v>6609</v>
      </c>
      <c r="C972" s="3">
        <v>44375.844166666669</v>
      </c>
      <c r="D972" s="1" t="s">
        <v>1945</v>
      </c>
      <c r="E972" s="4" t="str">
        <f ca="1">IFERROR(__xludf.DUMMYFUNCTION("GOOGLETRANSLATE(A972 , ""tr"" , ""en"")"),"Today, 1 millionth overdose was performed in Ankara Gülhane Education and Research Hospital in 21.04. Our friend who applies the vaccination nurse says that we are waiting for everyone to the vaccine as our entire study of friends. ""If the whole country "&amp;"is inoculated, we get rid of this virus."" https://t.co/qzka5krign")</f>
        <v>Today, 1 millionth overdose was performed in Ankara Gülhane Education and Research Hospital in 21.04. Our friend who applies the vaccination nurse says that we are waiting for everyone to the vaccine as our entire study of friends. "If the whole country is inoculated, we get rid of this virus." https://t.co/qzka5krign</v>
      </c>
    </row>
    <row r="973" spans="1:5" ht="15.75" customHeight="1" x14ac:dyDescent="0.25">
      <c r="A973" s="1" t="s">
        <v>1946</v>
      </c>
      <c r="B973" s="1">
        <v>14145</v>
      </c>
      <c r="C973" s="3">
        <v>44375.725405092591</v>
      </c>
      <c r="D973" s="1" t="s">
        <v>1947</v>
      </c>
      <c r="E973" s="4" t="str">
        <f ca="1">IFERROR(__xludf.DUMMYFUNCTION("GOOGLETRANSLATE(A973 , ""tr"" , ""en"")"),"The rain nurse is served in Covid-19 service. He could not be with his own father while interested in their patients. His wife physician. Yesterday, even though he was not official, he helped my rainwife in vaccination 9 hours. There are bitter experience"&amp;"s behind these sacrifices. The rain lady is very right when you say make your vaccine. https://t.co/en5v76rb9t")</f>
        <v>The rain nurse is served in Covid-19 service. He could not be with his own father while interested in their patients. His wife physician. Yesterday, even though he was not official, he helped my rainwife in vaccination 9 hours. There are bitter experiences behind these sacrifices. The rain lady is very right when you say make your vaccine. https://t.co/en5v76rb9t</v>
      </c>
    </row>
    <row r="974" spans="1:5" ht="15.75" customHeight="1" x14ac:dyDescent="0.25">
      <c r="A974" s="1" t="s">
        <v>1948</v>
      </c>
      <c r="B974" s="1">
        <v>20389</v>
      </c>
      <c r="C974" s="3">
        <v>44375.688854166663</v>
      </c>
      <c r="D974" s="1" t="s">
        <v>1949</v>
      </c>
      <c r="E974" s="4" t="str">
        <f ca="1">IFERROR(__xludf.DUMMYFUNCTION("GOOGLETRANSLATE(A974 , ""tr"" , ""en"")"),"Meliha Baby is a preliminary diagnosis of aspiration pneumonia in Sivas Kayulhisar State Hospital around 13.20. Air Ambulance gets up at 13.40 in Sivas, reached Boyulhisar in 14.08. In Meliha 14.47, the Sivas Sample Hospital Pediatrics was treated in emer"&amp;"gency. Is this team happy? https://t.co/7mpbfmtbex")</f>
        <v>Meliha Baby is a preliminary diagnosis of aspiration pneumonia in Sivas Kayulhisar State Hospital around 13.20. Air Ambulance gets up at 13.40 in Sivas, reached Boyulhisar in 14.08. In Meliha 14.47, the Sivas Sample Hospital Pediatrics was treated in emergency. Is this team happy? https://t.co/7mpbfmtbex</v>
      </c>
    </row>
    <row r="975" spans="1:5" ht="15.75" customHeight="1" x14ac:dyDescent="0.25">
      <c r="A975" s="1" t="s">
        <v>1950</v>
      </c>
      <c r="B975" s="1">
        <v>4704</v>
      </c>
      <c r="C975" s="3">
        <v>44375.659097222226</v>
      </c>
      <c r="D975" s="1" t="s">
        <v>1951</v>
      </c>
      <c r="E975" s="4" t="str">
        <f ca="1">IFERROR(__xludf.DUMMYFUNCTION("GOOGLETRANSLATE(A975 , ""tr"" , ""en"")"),"The number of cases in a final week is the most diminished provinces; Bolu, Kastamonu, Mus, Yozgat and slap. The decrease in the number of cases increases our courage to normalization. We will get rid of anxiety with vaccine. Let's get our vaccine. https:"&amp;"//t.co/htvjlzv5ld")</f>
        <v>The number of cases in a final week is the most diminished provinces; Bolu, Kastamonu, Mus, Yozgat and slap. The decrease in the number of cases increases our courage to normalization. We will get rid of anxiety with vaccine. Let's get our vaccine. https://t.co/htvjlzv5ld</v>
      </c>
    </row>
    <row r="976" spans="1:5" ht="15.75" customHeight="1" x14ac:dyDescent="0.25">
      <c r="A976" s="1" t="s">
        <v>1952</v>
      </c>
      <c r="B976" s="1">
        <v>5649</v>
      </c>
      <c r="C976" s="3">
        <v>44375.654270833336</v>
      </c>
      <c r="D976" s="1" t="s">
        <v>1953</v>
      </c>
      <c r="E976" s="4" t="str">
        <f ca="1">IFERROR(__xludf.DUMMYFUNCTION("GOOGLETRANSLATE(A976 , ""tr"" , ""en"")"),"The current form of the incidence map shows the total number of total cases that correspond to 100,000 population in our provinces. Although the rate of decline in the number of cases is reduced, this situation does not prevent normalization. The vaccine "&amp;"is that if there is no return to the days without worries. Let's get our vaccine. https://t.co/v5re5lugrc")</f>
        <v>The current form of the incidence map shows the total number of total cases that correspond to 100,000 population in our provinces. Although the rate of decline in the number of cases is reduced, this situation does not prevent normalization. The vaccine is that if there is no return to the days without worries. Let's get our vaccine. https://t.co/v5re5lugrc</v>
      </c>
    </row>
    <row r="977" spans="1:5" ht="15.75" customHeight="1" x14ac:dyDescent="0.25">
      <c r="A977" s="1" t="s">
        <v>1954</v>
      </c>
      <c r="B977" s="1">
        <v>9681</v>
      </c>
      <c r="C977" s="3">
        <v>44374.758402777778</v>
      </c>
      <c r="D977" s="1" t="s">
        <v>1955</v>
      </c>
      <c r="E977" s="4" t="str">
        <f ca="1">IFERROR(__xludf.DUMMYFUNCTION("GOOGLETRANSLATE(A977 , ""tr"" , ""en"")"),"The day comes everyone in vaccination forgets the day. But some vaccine stories are not memorable. Here's the story of the sovereign: https://t.co/XUC58ORI4Z")</f>
        <v>The day comes everyone in vaccination forgets the day. But some vaccine stories are not memorable. Here's the story of the sovereign: https://t.co/XUC58ORI4Z</v>
      </c>
    </row>
    <row r="978" spans="1:5" ht="15.75" customHeight="1" x14ac:dyDescent="0.25">
      <c r="A978" s="1" t="s">
        <v>1956</v>
      </c>
      <c r="B978" s="1">
        <v>33631</v>
      </c>
      <c r="C978" s="3">
        <v>44374.703877314816</v>
      </c>
      <c r="D978" s="1" t="s">
        <v>1957</v>
      </c>
      <c r="E978" s="4" t="str">
        <f ca="1">IFERROR(__xludf.DUMMYFUNCTION("GOOGLETRANSLATE(A978 , ""tr"" , ""en"")"),"4.883 The number of cases, the pride statement of those who have the vaccination should be counted.")</f>
        <v>4.883 The number of cases, the pride statement of those who have the vaccination should be counted.</v>
      </c>
    </row>
    <row r="979" spans="1:5" ht="15.75" customHeight="1" x14ac:dyDescent="0.25">
      <c r="A979" s="1" t="s">
        <v>1958</v>
      </c>
      <c r="B979" s="1">
        <v>18281</v>
      </c>
      <c r="C979" s="3">
        <v>44374.681979166664</v>
      </c>
      <c r="D979" s="1" t="s">
        <v>1959</v>
      </c>
      <c r="E979" s="4" t="str">
        <f ca="1">IFERROR(__xludf.DUMMYFUNCTION("GOOGLETRANSLATE(A979 , ""tr"" , ""en"")"),"In 18.10, the total number of vaccines made up to date has passed 47 million dose. 54% of our 18-year-old population has at least one dose of vaccines.")</f>
        <v>In 18.10, the total number of vaccines made up to date has passed 47 million dose. 54% of our 18-year-old population has at least one dose of vaccines.</v>
      </c>
    </row>
    <row r="980" spans="1:5" ht="15.75" customHeight="1" x14ac:dyDescent="0.25">
      <c r="A980" s="1" t="s">
        <v>1960</v>
      </c>
      <c r="B980" s="1">
        <v>8155</v>
      </c>
      <c r="C980" s="3">
        <v>44374.624826388892</v>
      </c>
      <c r="D980" s="1" t="s">
        <v>1961</v>
      </c>
      <c r="E980" s="4" t="str">
        <f ca="1">IFERROR(__xludf.DUMMYFUNCTION("GOOGLETRANSLATE(A980 , ""tr"" , ""en"")"),"Our nurse is trying to complete the vaccines at Gaziantep-Sahinbey in Gaziantep-Sahinbey. Covid-19 Intensive care unit engaged in the colleague SARE lady, July, took a wedding date: Before the wedding, the vaccine should win against the outbreak. https://"&amp;"t.co/3xvah9hrtx")</f>
        <v>Our nurse is trying to complete the vaccines at Gaziantep-Sahinbey in Gaziantep-Sahinbey. Covid-19 Intensive care unit engaged in the colleague SARE lady, July, took a wedding date: Before the wedding, the vaccine should win against the outbreak. https://t.co/3xvah9hrtx</v>
      </c>
    </row>
    <row r="981" spans="1:5" ht="15.75" customHeight="1" x14ac:dyDescent="0.25">
      <c r="A981" s="1" t="s">
        <v>1962</v>
      </c>
      <c r="B981" s="1">
        <v>17203</v>
      </c>
      <c r="C981" s="3">
        <v>44374.544745370367</v>
      </c>
      <c r="D981" s="1" t="s">
        <v>1963</v>
      </c>
      <c r="E981" s="4" t="str">
        <f ca="1">IFERROR(__xludf.DUMMYFUNCTION("GOOGLETRANSLATE(A981 , ""tr"" , ""en"")"),"KIVENÇ Sweet: I think the people who need to be the main admiration in the world, scientists and health workers. We hold on to life through their sacrifices, we maintained our hopes. Now it's our turn. Let's be vaccinated. https://t.co/ISXIHVHKQY")</f>
        <v>KIVENÇ Sweet: I think the people who need to be the main admiration in the world, scientists and health workers. We hold on to life through their sacrifices, we maintained our hopes. Now it's our turn. Let's be vaccinated. https://t.co/ISXIHVHKQY</v>
      </c>
    </row>
    <row r="982" spans="1:5" ht="15.75" customHeight="1" x14ac:dyDescent="0.25">
      <c r="A982" s="1" t="s">
        <v>1964</v>
      </c>
      <c r="B982" s="1">
        <v>8658</v>
      </c>
      <c r="C982" s="3">
        <v>44374.495509259257</v>
      </c>
      <c r="D982" s="1" t="s">
        <v>1965</v>
      </c>
      <c r="E982" s="4" t="str">
        <f ca="1">IFERROR(__xludf.DUMMYFUNCTION("GOOGLETRANSLATE(A982 , ""tr"" , ""en"")"),"Cedi Osman: You missed being on the field, we feel the audience support with us ... Be your vaccine for good days, we will be the party that win against Koronavirus. https://t.co/rlcqctpjjq")</f>
        <v>Cedi Osman: You missed being on the field, we feel the audience support with us ... Be your vaccine for good days, we will be the party that win against Koronavirus. https://t.co/rlcqctpjjq</v>
      </c>
    </row>
    <row r="983" spans="1:5" ht="15.75" customHeight="1" x14ac:dyDescent="0.25">
      <c r="A983" s="1" t="s">
        <v>1966</v>
      </c>
      <c r="B983" s="1">
        <v>27631</v>
      </c>
      <c r="C983" s="3">
        <v>44374.412129629629</v>
      </c>
      <c r="D983" s="1" t="s">
        <v>1967</v>
      </c>
      <c r="E983" s="4" t="str">
        <f ca="1">IFERROR(__xludf.DUMMYFUNCTION("GOOGLETRANSLATE(A983 , ""tr"" , ""en"")"),"The vaccine is that if normal life is not. Let's get our vaccine immediately.")</f>
        <v>The vaccine is that if normal life is not. Let's get our vaccine immediately.</v>
      </c>
    </row>
    <row r="984" spans="1:5" ht="15.75" customHeight="1" x14ac:dyDescent="0.25">
      <c r="A984" s="1" t="s">
        <v>1968</v>
      </c>
      <c r="B984" s="1">
        <v>17619</v>
      </c>
      <c r="C984" s="3">
        <v>44373.580925925926</v>
      </c>
      <c r="D984" s="1" t="s">
        <v>1969</v>
      </c>
      <c r="E984" s="4" t="str">
        <f ca="1">IFERROR(__xludf.DUMMYFUNCTION("GOOGLETRANSLATE(A984 , ""tr"" , ""en"")"),"Ebru Ulu, 13 years of nurse. Caught Covid-19 in November. Lost his father due to the same disease. Currently served at Balikesir Atatürk City Hospital. The Covid-19 vaccine was carried out in the Covid-19 vaccination polyclinet 2,000 dose of overdose. If "&amp;"you're in place, did you don't work with you too? https://t.co/zgpp9DIBPO")</f>
        <v>Ebru Ulu, 13 years of nurse. Caught Covid-19 in November. Lost his father due to the same disease. Currently served at Balikesir Atatürk City Hospital. The Covid-19 vaccine was carried out in the Covid-19 vaccination polyclinet 2,000 dose of overdose. If you're in place, did you don't work with you too? https://t.co/zgpp9DIBPO</v>
      </c>
    </row>
    <row r="985" spans="1:5" ht="15.75" customHeight="1" x14ac:dyDescent="0.25">
      <c r="A985" s="1" t="s">
        <v>1970</v>
      </c>
      <c r="B985" s="1">
        <v>20010</v>
      </c>
      <c r="C985" s="3">
        <v>44373.302291666667</v>
      </c>
      <c r="D985" s="1" t="s">
        <v>1971</v>
      </c>
      <c r="E985" s="4" t="str">
        <f ca="1">IFERROR(__xludf.DUMMYFUNCTION("GOOGLETRANSLATE(A985 , ""tr"" , ""en"")"),"In order to make the vaccine, 997 thousand people came to 24 health institutions yesterday, 997 thousand dose of overdose. If they know the importance of being vaccinated without losing time, the other thanking the vaccines thanks for the vaccine. Let's w"&amp;"ait and no risk. Take our appointment and get our vaccination.")</f>
        <v>In order to make the vaccine, 997 thousand people came to 24 health institutions yesterday, 997 thousand dose of overdose. If they know the importance of being vaccinated without losing time, the other thanking the vaccines thanks for the vaccine. Let's wait and no risk. Take our appointment and get our vaccination.</v>
      </c>
    </row>
    <row r="986" spans="1:5" ht="15.75" customHeight="1" x14ac:dyDescent="0.25">
      <c r="A986" s="1" t="s">
        <v>1972</v>
      </c>
      <c r="B986" s="1">
        <v>43496</v>
      </c>
      <c r="C986" s="3">
        <v>44373.162708333337</v>
      </c>
      <c r="D986" s="1" t="s">
        <v>1973</v>
      </c>
      <c r="E986" s="4" t="str">
        <f ca="1">IFERROR(__xludf.DUMMYFUNCTION("GOOGLETRANSLATE(A986 , ""tr"" , ""en"")"),"Teenagers who take the exam I wish you all the best of luck. Remember, always gains to the verification.")</f>
        <v>Teenagers who take the exam I wish you all the best of luck. Remember, always gains to the verification.</v>
      </c>
    </row>
    <row r="987" spans="1:5" ht="15.75" customHeight="1" x14ac:dyDescent="0.25">
      <c r="A987" s="1" t="s">
        <v>1974</v>
      </c>
      <c r="B987" s="1">
        <v>10391</v>
      </c>
      <c r="C987" s="3">
        <v>44372.841180555559</v>
      </c>
      <c r="D987" s="1" t="s">
        <v>1975</v>
      </c>
      <c r="E987" s="4" t="str">
        <f ca="1">IFERROR(__xludf.DUMMYFUNCTION("GOOGLETRANSLATE(A987 , ""tr"" , ""en"")"),"In Bingöl's Kısık district, there was a 5.2 earthquake felt in our environmental provinces. Thank God, we have no injury. I am offering my wishes to get to our public people. We are at your side with your immediate call. God bless all of us from disasters"&amp;".")</f>
        <v>In Bingöl's Kısık district, there was a 5.2 earthquake felt in our environmental provinces. Thank God, we have no injury. I am offering my wishes to get to our public people. We are at your side with your immediate call. God bless all of us from disasters.</v>
      </c>
    </row>
    <row r="988" spans="1:5" ht="15.75" customHeight="1" x14ac:dyDescent="0.25">
      <c r="A988" s="1" t="s">
        <v>1976</v>
      </c>
      <c r="B988" s="1">
        <v>9375</v>
      </c>
      <c r="C988" s="3">
        <v>44372.707013888888</v>
      </c>
      <c r="D988" s="1" t="s">
        <v>1977</v>
      </c>
      <c r="E988" s="4" t="str">
        <f ca="1">IFERROR(__xludf.DUMMYFUNCTION("GOOGLETRANSLATE(A988 , ""tr"" , ""en"")"),"Elazig Fethi Sekin City Hospital. EDA nurse treatment is still at the beginning of his task. Covid-19 knows well, he lived in person. He took part in our tens of thousands of vaccines. The sacrifices of our friends are the most meaningful call for vaccina"&amp;"tion. https://t.co/ntlcoaawd8")</f>
        <v>Elazig Fethi Sekin City Hospital. EDA nurse treatment is still at the beginning of his task. Covid-19 knows well, he lived in person. He took part in our tens of thousands of vaccines. The sacrifices of our friends are the most meaningful call for vaccination. https://t.co/ntlcoaawd8</v>
      </c>
    </row>
    <row r="989" spans="1:5" ht="15.75" customHeight="1" x14ac:dyDescent="0.25">
      <c r="A989" s="1" t="s">
        <v>1978</v>
      </c>
      <c r="B989" s="1">
        <v>9414</v>
      </c>
      <c r="C989" s="3">
        <v>44372.650092592594</v>
      </c>
      <c r="D989" s="1" t="s">
        <v>1979</v>
      </c>
      <c r="E989" s="4" t="str">
        <f ca="1">IFERROR(__xludf.DUMMYFUNCTION("GOOGLETRANSLATE(A989 , ""tr"" , ""en"")"),"Okan Bayülgen: I also read the anti-domestic foreign vaccination writings, watched videos. I know many people are in the mind. Then I asked my doctor my friends. We don't have the vaccination to the fatal effects of Covid-19. I believe in doctors. https:/"&amp;"/t.co/hsuvyfm8en")</f>
        <v>Okan Bayülgen: I also read the anti-domestic foreign vaccination writings, watched videos. I know many people are in the mind. Then I asked my doctor my friends. We don't have the vaccination to the fatal effects of Covid-19. I believe in doctors. https://t.co/hsuvyfm8en</v>
      </c>
    </row>
    <row r="990" spans="1:5" ht="15.75" customHeight="1" x14ac:dyDescent="0.25">
      <c r="A990" s="1" t="s">
        <v>1980</v>
      </c>
      <c r="B990" s="1">
        <v>54842</v>
      </c>
      <c r="C990" s="3">
        <v>44372.624212962961</v>
      </c>
      <c r="D990" s="1" t="s">
        <v>1981</v>
      </c>
      <c r="E990" s="4" t="str">
        <f ca="1">IFERROR(__xludf.DUMMYFUNCTION("GOOGLETRANSLATE(A990 , ""tr"" , ""en"")"),"In the summer period, everyone over 18 years of age can be vaccinated, they say that the face does not blush on the summer of the summer, they hope they often come to the sun these days.")</f>
        <v>In the summer period, everyone over 18 years of age can be vaccinated, they say that the face does not blush on the summer of the summer, they hope they often come to the sun these days.</v>
      </c>
    </row>
    <row r="991" spans="1:5" ht="15.75" customHeight="1" x14ac:dyDescent="0.25">
      <c r="A991" s="1" t="s">
        <v>1982</v>
      </c>
      <c r="B991" s="1">
        <v>12227</v>
      </c>
      <c r="C991" s="3">
        <v>44372.607800925929</v>
      </c>
      <c r="D991" s="1" t="s">
        <v>1983</v>
      </c>
      <c r="E991" s="4" t="str">
        <f ca="1">IFERROR(__xludf.DUMMYFUNCTION("GOOGLETRANSLATE(A991 , ""tr"" , ""en"")"),"Preparation to young normal began. Friends are excited. https://t.co/6IQGZLPKQI")</f>
        <v>Preparation to young normal began. Friends are excited. https://t.co/6IQGZLPKQI</v>
      </c>
    </row>
    <row r="992" spans="1:5" ht="15.75" customHeight="1" x14ac:dyDescent="0.25">
      <c r="A992" s="1" t="s">
        <v>1984</v>
      </c>
      <c r="B992" s="1">
        <v>13399</v>
      </c>
      <c r="C992" s="3">
        <v>44372.320428240739</v>
      </c>
      <c r="D992" s="1" t="s">
        <v>1985</v>
      </c>
      <c r="E992" s="4" t="str">
        <f ca="1">IFERROR(__xludf.DUMMYFUNCTION("GOOGLETRANSLATE(A992 , ""tr"" , ""en"")"),"The rate of vaccine came and the proportion of at least 1 dose of vaccines is rising. The most effective way to control the outbreak diseases is the vaccine today as it was yesterday. Plaster the arms as well for your health. https://t.co/VPJPEMFLIX")</f>
        <v>The rate of vaccine came and the proportion of at least 1 dose of vaccines is rising. The most effective way to control the outbreak diseases is the vaccine today as it was yesterday. Plaster the arms as well for your health. https://t.co/VPJPEMFLIX</v>
      </c>
    </row>
    <row r="993" spans="1:5" ht="15.75" customHeight="1" x14ac:dyDescent="0.25">
      <c r="A993" s="1" t="s">
        <v>1986</v>
      </c>
      <c r="B993" s="1">
        <v>11276</v>
      </c>
      <c r="C993" s="3">
        <v>44371.725462962961</v>
      </c>
      <c r="D993" s="1" t="s">
        <v>1987</v>
      </c>
      <c r="E993" s="4" t="str">
        <f ca="1">IFERROR(__xludf.DUMMYFUNCTION("GOOGLETRANSLATE(A993 , ""tr"" , ""en"")"),"Candan Erçetin: It continues from the place where the music is left and our children's face-to-face education depends on having a moment of vaccination. Don't neglect, not postponement, let's say songs together again. https://t.co/kqkqkkık1pu")</f>
        <v>Candan Erçetin: It continues from the place where the music is left and our children's face-to-face education depends on having a moment of vaccination. Don't neglect, not postponement, let's say songs together again. https://t.co/kqkqkkık1pu</v>
      </c>
    </row>
    <row r="994" spans="1:5" ht="15.75" customHeight="1" x14ac:dyDescent="0.25">
      <c r="A994" s="1" t="s">
        <v>1988</v>
      </c>
      <c r="B994" s="1">
        <v>40002</v>
      </c>
      <c r="C994" s="3">
        <v>44371.631516203706</v>
      </c>
      <c r="D994" s="1" t="s">
        <v>1989</v>
      </c>
      <c r="E994" s="4" t="str">
        <f ca="1">IFERROR(__xludf.DUMMYFUNCTION("GOOGLETRANSLATE(A994 , ""tr"" , ""en"")"),"Teenagers, let's get over and get involved in life. The age limit in appointments landed at 18. The first day is tomorrow!")</f>
        <v>Teenagers, let's get over and get involved in life. The age limit in appointments landed at 18. The first day is tomorrow!</v>
      </c>
    </row>
    <row r="995" spans="1:5" ht="15.75" customHeight="1" x14ac:dyDescent="0.25">
      <c r="A995" s="1" t="s">
        <v>1990</v>
      </c>
      <c r="B995" s="1">
        <v>5283</v>
      </c>
      <c r="C995" s="3">
        <v>44371.418391203704</v>
      </c>
      <c r="D995" s="1" t="s">
        <v>1991</v>
      </c>
      <c r="E995" s="4" t="str">
        <f ca="1">IFERROR(__xludf.DUMMYFUNCTION("GOOGLETRANSLATE(A995 , ""tr"" , ""en"")"),"Everyone should be more careful for a while by creating their own personal circle and has to vaccine without time. https://t.co/skchwomsgt")</f>
        <v>Everyone should be more careful for a while by creating their own personal circle and has to vaccine without time. https://t.co/skchwomsgt</v>
      </c>
    </row>
    <row r="996" spans="1:5" ht="15.75" customHeight="1" x14ac:dyDescent="0.25">
      <c r="A996" s="1" t="s">
        <v>1992</v>
      </c>
      <c r="B996" s="1">
        <v>3648</v>
      </c>
      <c r="C996" s="3">
        <v>44371.395381944443</v>
      </c>
      <c r="D996" s="1" t="s">
        <v>1993</v>
      </c>
      <c r="E996" s="4" t="str">
        <f ca="1">IFERROR(__xludf.DUMMYFUNCTION("GOOGLETRANSLATE(A996 , ""tr"" , ""en"")"),"Today, there was at least 3.9 million people Covid-19 on the global scale, but it is evaluated that there is Covid-19 and his destructive effect on 10 million deaths, such as the restriction of unpresented cases and health services. https://t.co/llapjqsuv"&amp;"k")</f>
        <v>Today, there was at least 3.9 million people Covid-19 on the global scale, but it is evaluated that there is Covid-19 and his destructive effect on 10 million deaths, such as the restriction of unpresented cases and health services. https://t.co/llapjqsuvk</v>
      </c>
    </row>
    <row r="997" spans="1:5" ht="15.75" customHeight="1" x14ac:dyDescent="0.25">
      <c r="A997" s="1" t="s">
        <v>1994</v>
      </c>
      <c r="B997" s="1">
        <v>6356</v>
      </c>
      <c r="C997" s="3">
        <v>44371.373935185184</v>
      </c>
      <c r="D997" s="1" t="s">
        <v>1995</v>
      </c>
      <c r="E997" s="4" t="str">
        <f ca="1">IFERROR(__xludf.DUMMYFUNCTION("GOOGLETRANSLATE(A997 , ""tr"" , ""en"")"),"We are on the verge of completely getting rid of the vaccine with the vaccination. https://t.co/r9li6oi9da")</f>
        <v>We are on the verge of completely getting rid of the vaccine with the vaccination. https://t.co/r9li6oi9da</v>
      </c>
    </row>
    <row r="998" spans="1:5" ht="15.75" customHeight="1" x14ac:dyDescent="0.25">
      <c r="A998" s="1" t="s">
        <v>1996</v>
      </c>
      <c r="B998" s="1">
        <v>5120</v>
      </c>
      <c r="C998" s="3">
        <v>44371.352662037039</v>
      </c>
      <c r="D998" s="1" t="s">
        <v>1997</v>
      </c>
      <c r="E998" s="4" t="str">
        <f ca="1">IFERROR(__xludf.DUMMYFUNCTION("GOOGLETRANSLATE(A998 , ""tr"" , ""en"")"),"As you know, we carry out one of the world's fastest vaccination programs. https://t.co/ct3zspjvke")</f>
        <v>As you know, we carry out one of the world's fastest vaccination programs. https://t.co/ct3zspjvke</v>
      </c>
    </row>
    <row r="999" spans="1:5" ht="15.75" customHeight="1" x14ac:dyDescent="0.25">
      <c r="A999" s="1" t="s">
        <v>1998</v>
      </c>
      <c r="B999" s="1">
        <v>12451</v>
      </c>
      <c r="C999" s="3">
        <v>44371.337094907409</v>
      </c>
      <c r="D999" s="1" t="s">
        <v>1999</v>
      </c>
      <c r="E999" s="4" t="str">
        <f ca="1">IFERROR(__xludf.DUMMYFUNCTION("GOOGLETRANSLATE(A999 , ""tr"" , ""en"")"),"From Friday; Everyone who has taken day 18 will have an appointment. https://t.co/gmpceob9no")</f>
        <v>From Friday; Everyone who has taken day 18 will have an appointment. https://t.co/gmpceob9no</v>
      </c>
    </row>
    <row r="1000" spans="1:5" ht="15.75" customHeight="1" x14ac:dyDescent="0.25">
      <c r="A1000" s="1" t="s">
        <v>2000</v>
      </c>
      <c r="B1000" s="1">
        <v>4776</v>
      </c>
      <c r="C1000" s="3">
        <v>44370.676435185182</v>
      </c>
      <c r="D1000" s="1" t="s">
        <v>2001</v>
      </c>
      <c r="E1000" s="4" t="str">
        <f ca="1">IFERROR(__xludf.DUMMYFUNCTION("GOOGLETRANSLATE(A1000 , ""tr"" , ""en"")"),"After our Science Board meeting, our press statement on the latest developments on the coronavirus.
📍 The Ministry of Health
https://t.co/IDwaolosaq")</f>
        <v>After our Science Board meeting, our press statement on the latest developments on the coronavirus.
📍 The Ministry of Health
https://t.co/IDwaolosaq</v>
      </c>
    </row>
    <row r="1001" spans="1:5" ht="15.75" customHeight="1" x14ac:dyDescent="0.25">
      <c r="A1001" s="1" t="s">
        <v>2002</v>
      </c>
      <c r="B1001" s="1">
        <v>16786</v>
      </c>
      <c r="C1001" s="3">
        <v>44370.568738425929</v>
      </c>
      <c r="D1001" s="1" t="s">
        <v>2003</v>
      </c>
      <c r="E1001" s="4" t="str">
        <f ca="1">IFERROR(__xludf.DUMMYFUNCTION("GOOGLETRANSLATE(A1001 , ""tr"" , ""en"")"),"Cem Yılmaz: ""Please let us be our vaccines to get back to our healthy days."" The most effective way to control the outbreak diseases is the vaccine today as it was yesterday. Let's plasting the arms for our health. https://t.co/z8gf2nnrlg")</f>
        <v>Cem Yılmaz: "Please let us be our vaccines to get back to our healthy days." The most effective way to control the outbreak diseases is the vaccine today as it was yesterday. Let's plasting the arms for our health. https://t.co/z8gf2nnrlg</v>
      </c>
    </row>
    <row r="1002" spans="1:5" ht="15.75" customHeight="1" x14ac:dyDescent="0.25">
      <c r="A1002" s="1" t="s">
        <v>2004</v>
      </c>
      <c r="B1002" s="1">
        <v>9738</v>
      </c>
      <c r="C1002" s="3">
        <v>44370.331585648149</v>
      </c>
      <c r="D1002" s="1" t="s">
        <v>2005</v>
      </c>
      <c r="E1002" s="4" t="str">
        <f ca="1">IFERROR(__xludf.DUMMYFUNCTION("GOOGLETRANSLATE(A1002 , ""tr"" , ""en"")"),"Dr. Mehmet Öz: ""Let's be vaccinated to bring the end of the pandem and look healthy to the future."" The most effective way to control the outbreak diseases is the vaccine today as it was yesterday. Let's plasting the arms for our health. https://t.co/ku"&amp;"cvtejotx")</f>
        <v>Dr. Mehmet Öz: "Let's be vaccinated to bring the end of the pandem and look healthy to the future." The most effective way to control the outbreak diseases is the vaccine today as it was yesterday. Let's plasting the arms for our health. https://t.co/kucvtejotx</v>
      </c>
    </row>
    <row r="1003" spans="1:5" ht="15.75" customHeight="1" x14ac:dyDescent="0.25">
      <c r="A1003" s="1" t="s">
        <v>2006</v>
      </c>
      <c r="B1003" s="1">
        <v>13312</v>
      </c>
      <c r="C1003" s="3">
        <v>44370.320069444446</v>
      </c>
      <c r="D1003" s="1" t="s">
        <v>2007</v>
      </c>
      <c r="E1003" s="4" t="str">
        <f ca="1">IFERROR(__xludf.DUMMYFUNCTION("GOOGLETRANSLATE(A1003 , ""tr"" , ""en"")"),"Haluk Bilginer: ""In vaccine, our pandem will last, our curtains will open again. Today, the applauds are not us, but the vaccines that we all keep the health of us ... ""is the most effective way to control epidemic diseases is today as yesterday. Let's "&amp;"plasting the arms for our health. https://t.co/cty9lolylo")</f>
        <v>Haluk Bilginer: "In vaccine, our pandem will last, our curtains will open again. Today, the applauds are not us, but the vaccines that we all keep the health of us ... "is the most effective way to control epidemic diseases is today as yesterday. Let's plasting the arms for our health. https://t.co/cty9lolylo</v>
      </c>
    </row>
    <row r="1004" spans="1:5" ht="15.75" customHeight="1" x14ac:dyDescent="0.25">
      <c r="A1004" s="1" t="s">
        <v>2008</v>
      </c>
      <c r="B1004" s="1">
        <v>19563</v>
      </c>
      <c r="C1004" s="3">
        <v>44370.310023148151</v>
      </c>
      <c r="D1004" s="1" t="s">
        <v>2009</v>
      </c>
      <c r="E1004" s="4" t="str">
        <f ca="1">IFERROR(__xludf.DUMMYFUNCTION("GOOGLETRANSLATE(A1004 , ""tr"" , ""en"")"),"The vaccine is increasing the confidence of each other. Let's get our vaccine immediately.")</f>
        <v>The vaccine is increasing the confidence of each other. Let's get our vaccine immediately.</v>
      </c>
    </row>
    <row r="1005" spans="1:5" ht="15.75" customHeight="1" x14ac:dyDescent="0.25">
      <c r="A1005" s="1" t="s">
        <v>2010</v>
      </c>
      <c r="B1005" s="1">
        <v>36202</v>
      </c>
      <c r="C1005" s="3">
        <v>44370.292500000003</v>
      </c>
      <c r="D1005" s="1" t="s">
        <v>2011</v>
      </c>
      <c r="E1005" s="4" t="str">
        <f ca="1">IFERROR(__xludf.DUMMYFUNCTION("GOOGLETRANSLATE(A1005 , ""tr"" , ""en"")"),"The vaccine is increasing the self-confidence. Let's get our vaccine immediately.")</f>
        <v>The vaccine is increasing the self-confidence. Let's get our vaccine immediately.</v>
      </c>
    </row>
    <row r="1006" spans="1:5" ht="15.75" customHeight="1" x14ac:dyDescent="0.25">
      <c r="A1006" s="1" t="s">
        <v>2012</v>
      </c>
      <c r="B1006" s="1">
        <v>27934</v>
      </c>
      <c r="C1006" s="3">
        <v>44369.769803240742</v>
      </c>
      <c r="D1006" s="1" t="s">
        <v>2013</v>
      </c>
      <c r="E1006" s="4" t="str">
        <f ca="1">IFERROR(__xludf.DUMMYFUNCTION("GOOGLETRANSLATE(A1006 , ""tr"" , ""en"")"),"Ezgi break: ""This is how many things we said happen in the movies. Let's be our vaccine, let us go on health from where we left our lives. "" The most effective way to control the outbreak diseases is the vaccine today as it was yesterday. Let's plasting"&amp;" the arms for our health. https://t.co/lpkqwcıbbh")</f>
        <v>Ezgi break: "This is how many things we said happen in the movies. Let's be our vaccine, let us go on health from where we left our lives. " The most effective way to control the outbreak diseases is the vaccine today as it was yesterday. Let's plasting the arms for our health. https://t.co/lpkqwcıbbh</v>
      </c>
    </row>
    <row r="1007" spans="1:5" ht="15.75" customHeight="1" x14ac:dyDescent="0.25">
      <c r="A1007" s="1" t="s">
        <v>2014</v>
      </c>
      <c r="B1007" s="1">
        <v>18682</v>
      </c>
      <c r="C1007" s="3">
        <v>44369.742060185185</v>
      </c>
      <c r="D1007" s="1" t="s">
        <v>2015</v>
      </c>
      <c r="E1007" s="4" t="str">
        <f ca="1">IFERROR(__xludf.DUMMYFUNCTION("GOOGLETRANSLATE(A1007 , ""tr"" , ""en"")"),"Şener ŞEN: ""In cinemas, concerts, to meet in theaters, and you must be returned to our normal life. The most effective way to control the outbreak diseases is the vaccine today as it was yesterday. Let's plasting the arms for our health. https://t.co/rdl"&amp;"4wjdezh")</f>
        <v>Şener ŞEN: "In cinemas, concerts, to meet in theaters, and you must be returned to our normal life. The most effective way to control the outbreak diseases is the vaccine today as it was yesterday. Let's plasting the arms for our health. https://t.co/rdl4wjdezh</v>
      </c>
    </row>
    <row r="1008" spans="1:5" ht="15.75" customHeight="1" x14ac:dyDescent="0.25">
      <c r="A1008" s="1" t="s">
        <v>2016</v>
      </c>
      <c r="B1008" s="1">
        <v>4838</v>
      </c>
      <c r="C1008" s="3">
        <v>44369.710636574076</v>
      </c>
      <c r="D1008" s="1" t="s">
        <v>2017</v>
      </c>
      <c r="E1008" s="4" t="str">
        <f ca="1">IFERROR(__xludf.DUMMYFUNCTION("GOOGLETRANSLATE(A1008 , ""tr"" , ""en"")"),"The number of cases in a final week is the most diminished provinces; Kars, Gumushane, Bartin, Balıkesir and Kırklareli. We will be immunized with the vaccine to continue decline in the numbers of cases. We will continue to normalize. Will end with the va"&amp;"ccine. https://t.co/sqkyIBVYI")</f>
        <v>The number of cases in a final week is the most diminished provinces; Kars, Gumushane, Bartin, Balıkesir and Kırklareli. We will be immunized with the vaccine to continue decline in the numbers of cases. We will continue to normalize. Will end with the vaccine. https://t.co/sqkyIBVYI</v>
      </c>
    </row>
    <row r="1009" spans="1:5" ht="15.75" customHeight="1" x14ac:dyDescent="0.25">
      <c r="A1009" s="1" t="s">
        <v>2018</v>
      </c>
      <c r="B1009" s="1">
        <v>5839</v>
      </c>
      <c r="C1009" s="3">
        <v>44369.700752314813</v>
      </c>
      <c r="D1009" s="1" t="s">
        <v>2019</v>
      </c>
      <c r="E1009" s="4" t="str">
        <f ca="1">IFERROR(__xludf.DUMMYFUNCTION("GOOGLETRANSLATE(A1009 , ""tr"" , ""en"")"),"In our provinces, you can see the current version of the incidence map that shows a total number of considers who correspond to 100,000 population. Although the speed rate of the number of cases is reduced, it does not prevent normalization. Will end with"&amp;" the vaccine. https://t.co/xbywcpfxqo")</f>
        <v>In our provinces, you can see the current version of the incidence map that shows a total number of considers who correspond to 100,000 population. Although the speed rate of the number of cases is reduced, it does not prevent normalization. Will end with the vaccine. https://t.co/xbywcpfxqo</v>
      </c>
    </row>
    <row r="1010" spans="1:5" ht="15.75" customHeight="1" x14ac:dyDescent="0.25">
      <c r="A1010" s="1" t="s">
        <v>2020</v>
      </c>
      <c r="B1010" s="1">
        <v>19283</v>
      </c>
      <c r="C1010" s="3">
        <v>44369.685995370368</v>
      </c>
      <c r="D1010" s="1" t="s">
        <v>2021</v>
      </c>
      <c r="E1010" s="4" t="str">
        <f ca="1">IFERROR(__xludf.DUMMYFUNCTION("GOOGLETRANSLATE(A1010 , ""tr"" , ""en"")"),"The first dose was applied in the 3rd phase studies of Turkovac. Although 40 thousand 800 volunteers needed, there were 846 thousand 451 applications over E-pulse. Our faith in the conclusion is full. We will be one of the countries that produce and vacci"&amp;"ne in the world soon. https://t.co/v6kz9jazsh")</f>
        <v>The first dose was applied in the 3rd phase studies of Turkovac. Although 40 thousand 800 volunteers needed, there were 846 thousand 451 applications over E-pulse. Our faith in the conclusion is full. We will be one of the countries that produce and vaccine in the world soon. https://t.co/v6kz9jazsh</v>
      </c>
    </row>
    <row r="1011" spans="1:5" ht="15.75" customHeight="1" x14ac:dyDescent="0.25">
      <c r="A1011" s="1" t="s">
        <v>2022</v>
      </c>
      <c r="B1011" s="1">
        <v>0</v>
      </c>
      <c r="C1011" s="3">
        <v>44369.540358796294</v>
      </c>
      <c r="D1011" s="1" t="s">
        <v>2023</v>
      </c>
      <c r="E1011" s="4" t="str">
        <f ca="1">IFERROR(__xludf.DUMMYFUNCTION("GOOGLETRANSLATE(A1011 , ""tr"" , ""en"")"),"RT @tcbestepe: President @rterdogan: ""Turkey's native kowid-19 vaccine is turkovac.""")</f>
        <v>RT @tcbestepe: President @rterdogan: "Turkey's native kowid-19 vaccine is turkovac."</v>
      </c>
    </row>
    <row r="1012" spans="1:5" ht="15.75" customHeight="1" x14ac:dyDescent="0.25">
      <c r="A1012" s="1" t="s">
        <v>2024</v>
      </c>
      <c r="B1012" s="1">
        <v>0</v>
      </c>
      <c r="C1012" s="3">
        <v>44369.534375000003</v>
      </c>
      <c r="D1012" s="1" t="s">
        <v>2025</v>
      </c>
      <c r="E1012" s="4" t="str">
        <f ca="1">IFERROR(__xludf.DUMMYFUNCTION("GOOGLETRANSLATE(A1012 , ""tr"" , ""en"")"),"RT @TCBestepe: President @rterdogan joined the first dose of the third phase of the native vaccine with video conference method https://t.co/4.")</f>
        <v>RT @TCBestepe: President @rterdogan joined the first dose of the third phase of the native vaccine with video conference method https://t.co/4.</v>
      </c>
    </row>
    <row r="1013" spans="1:5" ht="15.75" customHeight="1" x14ac:dyDescent="0.25">
      <c r="A1013" s="1" t="s">
        <v>2026</v>
      </c>
      <c r="B1013" s="1">
        <v>47640</v>
      </c>
      <c r="C1013" s="3">
        <v>44369.324502314812</v>
      </c>
      <c r="D1013" s="1" t="s">
        <v>2027</v>
      </c>
      <c r="E1013" s="4" t="str">
        <f ca="1">IFERROR(__xludf.DUMMYFUNCTION("GOOGLETRANSLATE(A1013 , ""tr"" , ""en"")"),"Take action against youth epidemic. The age limit in vaccine appointments landed at 25. First appointments are tomorrow.")</f>
        <v>Take action against youth epidemic. The age limit in vaccine appointments landed at 25. First appointments are tomorrow.</v>
      </c>
    </row>
    <row r="1014" spans="1:5" ht="15.75" customHeight="1" x14ac:dyDescent="0.25">
      <c r="A1014" s="1" t="s">
        <v>2028</v>
      </c>
      <c r="B1014" s="1">
        <v>24988</v>
      </c>
      <c r="C1014" s="3">
        <v>44369.314895833333</v>
      </c>
      <c r="D1014" s="1" t="s">
        <v>2029</v>
      </c>
      <c r="E1014" s="4" t="str">
        <f ca="1">IFERROR(__xludf.DUMMYFUNCTION("GOOGLETRANSLATE(A1014 , ""tr"" , ""en"")"),"The age limit in vaccine appointments landed at 25. The appointment teenagers have the big ones that have postponed the vaccination and help it for an appointment. First appointments are tomorrow. Take action against youth epidemic.")</f>
        <v>The age limit in vaccine appointments landed at 25. The appointment teenagers have the big ones that have postponed the vaccination and help it for an appointment. First appointments are tomorrow. Take action against youth epidemic.</v>
      </c>
    </row>
    <row r="1015" spans="1:5" ht="15.75" customHeight="1" x14ac:dyDescent="0.25">
      <c r="A1015" s="1" t="s">
        <v>2030</v>
      </c>
      <c r="B1015" s="1">
        <v>18170</v>
      </c>
      <c r="C1015" s="3">
        <v>44368.907037037039</v>
      </c>
      <c r="D1015" s="1" t="s">
        <v>2031</v>
      </c>
      <c r="E1015" s="4" t="str">
        <f ca="1">IFERROR(__xludf.DUMMYFUNCTION("GOOGLETRANSLATE(A1015 , ""tr"" , ""en"")"),"There was 1 million 195 thousand 426 dose vaccines for normal life. (June 21 Monday Vaccination Report)")</f>
        <v>There was 1 million 195 thousand 426 dose vaccines for normal life. (June 21 Monday Vaccination Report)</v>
      </c>
    </row>
    <row r="1016" spans="1:5" ht="15.75" customHeight="1" x14ac:dyDescent="0.25">
      <c r="A1016" s="1" t="s">
        <v>2032</v>
      </c>
      <c r="B1016" s="1">
        <v>9234</v>
      </c>
      <c r="C1016" s="3">
        <v>44368.890347222223</v>
      </c>
      <c r="D1016" s="1" t="s">
        <v>2033</v>
      </c>
      <c r="E1016" s="4" t="str">
        <f ca="1">IFERROR(__xludf.DUMMYFUNCTION("GOOGLETRANSLATE(A1016 , ""tr"" , ""en"")"),"Today, 1 million vaccines were held in 18.56 in Kütahya Evliya Çelebi Education and Research Hospital. The symbol name of the day from our health personnel, Emine Altuner. The physician responsible for the vaccine is our friend, Ömer Çankaya. The Halime H"&amp;"anim, who made his vaccination, joined us to fight outbreak. https://t.co/gdjjs9qwfp")</f>
        <v>Today, 1 million vaccines were held in 18.56 in Kütahya Evliya Çelebi Education and Research Hospital. The symbol name of the day from our health personnel, Emine Altuner. The physician responsible for the vaccine is our friend, Ömer Çankaya. The Halime Hanim, who made his vaccination, joined us to fight outbreak. https://t.co/gdjjs9qwfp</v>
      </c>
    </row>
    <row r="1017" spans="1:5" ht="15.75" customHeight="1" x14ac:dyDescent="0.25">
      <c r="A1017" s="1" t="s">
        <v>2034</v>
      </c>
      <c r="B1017" s="1">
        <v>10904</v>
      </c>
      <c r="C1017" s="3">
        <v>44368.849004629628</v>
      </c>
      <c r="D1017" s="1" t="s">
        <v>2035</v>
      </c>
      <c r="E1017" s="4" t="str">
        <f ca="1">IFERROR(__xludf.DUMMYFUNCTION("GOOGLETRANSLATE(A1017 , ""tr"" , ""en"")"),"Antalya's 28th annual midwife fellows in Aksu district was at Antalya Airport all day. Previously, Bingöl took responsibility for his own request in Maraş and Islahiye. Millions wanting to become vaccination deserves these sacrifices. Thank you thousands "&amp;"of Serpil Hanimsa! https://t.co/jz4depacri")</f>
        <v>Antalya's 28th annual midwife fellows in Aksu district was at Antalya Airport all day. Previously, Bingöl took responsibility for his own request in Maraş and Islahiye. Millions wanting to become vaccination deserves these sacrifices. Thank you thousands of Serpil Hanimsa! https://t.co/jz4depacri</v>
      </c>
    </row>
    <row r="1018" spans="1:5" ht="15.75" customHeight="1" x14ac:dyDescent="0.25">
      <c r="A1018" s="1" t="s">
        <v>2036</v>
      </c>
      <c r="B1018" s="1">
        <v>14621</v>
      </c>
      <c r="C1018" s="3">
        <v>44368.774305555555</v>
      </c>
      <c r="D1018" s="1" t="s">
        <v>2037</v>
      </c>
      <c r="E1018" s="4" t="str">
        <f ca="1">IFERROR(__xludf.DUMMYFUNCTION("GOOGLETRANSLATE(A1018 , ""tr"" , ""en"")"),"The best performance at vaccination speed is Turkey's. Between 14-20 June, Turkey, China and Germany left behind, the country showing the highest performance at vaccination rate. Each day, the vaccination of 1.45 of each 100 in the vaccine program was vac"&amp;"cinated. (Source: Our World in Data) https://t.co/vl5dmvciwg")</f>
        <v>The best performance at vaccination speed is Turkey's. Between 14-20 June, Turkey, China and Germany left behind, the country showing the highest performance at vaccination rate. Each day, the vaccination of 1.45 of each 100 in the vaccine program was vaccinated. (Source: Our World in Data) https://t.co/vl5dmvciwg</v>
      </c>
    </row>
    <row r="1019" spans="1:5" ht="15.75" customHeight="1" x14ac:dyDescent="0.25">
      <c r="A1019" s="1" t="s">
        <v>2038</v>
      </c>
      <c r="B1019" s="1">
        <v>0</v>
      </c>
      <c r="C1019" s="3">
        <v>44368.672291666669</v>
      </c>
      <c r="D1019" s="1" t="s">
        <v>2039</v>
      </c>
      <c r="E1019" s="4" t="str">
        <f ca="1">IFERROR(__xludf.DUMMYFUNCTION("GOOGLETRANSLATE(A1019 , ""tr"" , ""en"")"),"RT @rterdogan: Shouting Nation After Cabinet Meeting https://t.co/zwauczepr9")</f>
        <v>RT @rterdogan: Shouting Nation After Cabinet Meeting https://t.co/zwauczepr9</v>
      </c>
    </row>
    <row r="1020" spans="1:5" ht="15.75" customHeight="1" x14ac:dyDescent="0.25">
      <c r="A1020" s="1" t="s">
        <v>2040</v>
      </c>
      <c r="B1020" s="1">
        <v>21579</v>
      </c>
      <c r="C1020" s="3">
        <v>44368.638877314814</v>
      </c>
      <c r="D1020" s="1" t="s">
        <v>2041</v>
      </c>
      <c r="E1020" s="4" t="str">
        <f ca="1">IFERROR(__xludf.DUMMYFUNCTION("GOOGLETRANSLATE(A1020 , ""tr"" , ""en"")"),"The vaccination report of the last week: 7 million 776 thousand 326 dose vaccines from 00.00 to June 14, 7 million 776 thousand 326.")</f>
        <v>The vaccination report of the last week: 7 million 776 thousand 326 dose vaccines from 00.00 to June 14, 7 million 776 thousand 326.</v>
      </c>
    </row>
    <row r="1021" spans="1:5" ht="15.75" customHeight="1" x14ac:dyDescent="0.25">
      <c r="A1021" s="1" t="s">
        <v>2042</v>
      </c>
      <c r="B1021" s="1">
        <v>31413</v>
      </c>
      <c r="C1021" s="3">
        <v>44367.544398148151</v>
      </c>
      <c r="D1021" s="1" t="s">
        <v>2043</v>
      </c>
      <c r="E1021" s="4" t="str">
        <f ca="1">IFERROR(__xludf.DUMMYFUNCTION("GOOGLETRANSLATE(A1021 , ""tr"" , ""en"")"),"Regularity was provided in vaccination. There is also no problem with the number of health personnel who make vaccines. We exceed 1.5 million dose a day. Get your vaccine by making an appointment.")</f>
        <v>Regularity was provided in vaccination. There is also no problem with the number of health personnel who make vaccines. We exceed 1.5 million dose a day. Get your vaccine by making an appointment.</v>
      </c>
    </row>
    <row r="1022" spans="1:5" ht="15.75" customHeight="1" x14ac:dyDescent="0.25">
      <c r="A1022" s="1" t="s">
        <v>2044</v>
      </c>
      <c r="B1022" s="1">
        <v>20867</v>
      </c>
      <c r="C1022" s="3">
        <v>44367.450115740743</v>
      </c>
      <c r="D1022" s="1" t="s">
        <v>2045</v>
      </c>
      <c r="E1022" s="4" t="str">
        <f ca="1">IFERROR(__xludf.DUMMYFUNCTION("GOOGLETRANSLATE(A1022 , ""tr"" , ""en"")"),"Happy Father's Father's Day with Fathers. https://t.co/rjqbewgzpt")</f>
        <v>Happy Father's Father's Day with Fathers. https://t.co/rjqbewgzpt</v>
      </c>
    </row>
    <row r="1023" spans="1:5" ht="15.75" customHeight="1" x14ac:dyDescent="0.25">
      <c r="A1023" s="1" t="s">
        <v>2046</v>
      </c>
      <c r="B1023" s="1">
        <v>27397</v>
      </c>
      <c r="C1023" s="3">
        <v>44366.713159722225</v>
      </c>
      <c r="D1023" s="1" t="s">
        <v>2047</v>
      </c>
      <c r="E1023" s="4" t="str">
        <f ca="1">IFERROR(__xludf.DUMMYFUNCTION("GOOGLETRANSLATE(A1023 , ""tr"" , ""en"")"),"Your appointment vaccine applications slow down us a little. Yet we exceed 1.5 million dose a day. Let's speed up the job by making an appointment.")</f>
        <v>Your appointment vaccine applications slow down us a little. Yet we exceed 1.5 million dose a day. Let's speed up the job by making an appointment.</v>
      </c>
    </row>
    <row r="1024" spans="1:5" ht="15.75" customHeight="1" x14ac:dyDescent="0.25">
      <c r="A1024" s="1" t="s">
        <v>2048</v>
      </c>
      <c r="B1024" s="1">
        <v>39312</v>
      </c>
      <c r="C1024" s="3">
        <v>44366.585104166668</v>
      </c>
      <c r="D1024" s="1" t="s">
        <v>2049</v>
      </c>
      <c r="E1024" s="4" t="str">
        <f ca="1">IFERROR(__xludf.DUMMYFUNCTION("GOOGLETRANSLATE(A1024 , ""tr"" , ""en"")"),"The age limit in vaccine appointments landed 30. (The elders who postage the vaccine can also be involved between the young people.)")</f>
        <v>The age limit in vaccine appointments landed 30. (The elders who postage the vaccine can also be involved between the young people.)</v>
      </c>
    </row>
    <row r="1025" spans="1:5" ht="15.75" customHeight="1" x14ac:dyDescent="0.25">
      <c r="A1025" s="1" t="s">
        <v>2050</v>
      </c>
      <c r="B1025" s="1">
        <v>30457</v>
      </c>
      <c r="C1025" s="3">
        <v>44366.574050925927</v>
      </c>
      <c r="D1025" s="1" t="s">
        <v>2051</v>
      </c>
      <c r="E1025" s="4" t="str">
        <f ca="1">IFERROR(__xludf.DUMMYFUNCTION("GOOGLETRANSLATE(A1025 , ""tr"" , ""en"")"),"The age limit in vaccine appointments landed 30. Young people over 30 years of age can make an appointment from tomorrow.")</f>
        <v>The age limit in vaccine appointments landed 30. Young people over 30 years of age can make an appointment from tomorrow.</v>
      </c>
    </row>
    <row r="1026" spans="1:5" ht="15.75" customHeight="1" x14ac:dyDescent="0.25">
      <c r="A1026" s="1" t="s">
        <v>2052</v>
      </c>
      <c r="B1026" s="1">
        <v>29871</v>
      </c>
      <c r="C1026" s="3">
        <v>44365.897789351853</v>
      </c>
      <c r="D1026" s="1" t="s">
        <v>2053</v>
      </c>
      <c r="E1026" s="4" t="str">
        <f ca="1">IFERROR(__xludf.DUMMYFUNCTION("GOOGLETRANSLATE(A1026 , ""tr"" , ""en"")"),"Number of vaccines until 00.00: 1 million 538 thousand 144 dose. Our vaccine team used most for 24 hours again: Next? (Can so many things be better told in words?)")</f>
        <v>Number of vaccines until 00.00: 1 million 538 thousand 144 dose. Our vaccine team used most for 24 hours again: Next? (Can so many things be better told in words?)</v>
      </c>
    </row>
    <row r="1027" spans="1:5" ht="15.75" customHeight="1" x14ac:dyDescent="0.25">
      <c r="A1027" s="1" t="s">
        <v>2054</v>
      </c>
      <c r="B1027" s="1">
        <v>10741</v>
      </c>
      <c r="C1027" s="3">
        <v>44365.869722222225</v>
      </c>
      <c r="D1027" s="1" t="s">
        <v>2055</v>
      </c>
      <c r="E1027" s="4" t="str">
        <f ca="1">IFERROR(__xludf.DUMMYFUNCTION("GOOGLETRANSLATE(A1027 , ""tr"" , ""en"")"),"1.5 millionth dose rosters. Vaccine: Tahir Lion. Health worker who makes vaccination: Alican winter. Physician in charge of the vaccine: crescent blown. Location: Basaksehir Pine and Sakura City Hospital. HOURS: 22.15. This quickly Covid-19 is to be defea"&amp;"ted. https://t.co/jxls5unlsy")</f>
        <v>1.5 millionth dose rosters. Vaccine: Tahir Lion. Health worker who makes vaccination: Alican winter. Physician in charge of the vaccine: crescent blown. Location: Basaksehir Pine and Sakura City Hospital. HOURS: 22.15. This quickly Covid-19 is to be defeated. https://t.co/jxls5unlsy</v>
      </c>
    </row>
    <row r="1028" spans="1:5" ht="15.75" customHeight="1" x14ac:dyDescent="0.25">
      <c r="A1028" s="1" t="s">
        <v>2056</v>
      </c>
      <c r="B1028" s="1">
        <v>43237</v>
      </c>
      <c r="C1028" s="3">
        <v>44365.831134259257</v>
      </c>
      <c r="D1028" s="1" t="s">
        <v>2057</v>
      </c>
      <c r="E1028" s="4" t="str">
        <f ca="1">IFERROR(__xludf.DUMMYFUNCTION("GOOGLETRANSLATE(A1028 , ""tr"" , ""en"")"),"In Mersin, the most vaccine in Mersin has made the nurse Mary blue. The nurse that makes 323 vaccines is served in Mersin City Hospital. The Meryem Hanım and the doctor's wife were caught on Covid-19 in the difficult days of the epidemic. https://t.co/b7c"&amp;"ufz1qgo")</f>
        <v>In Mersin, the most vaccine in Mersin has made the nurse Mary blue. The nurse that makes 323 vaccines is served in Mersin City Hospital. The Meryem Hanım and the doctor's wife were caught on Covid-19 in the difficult days of the epidemic. https://t.co/b7cufz1qgo</v>
      </c>
    </row>
    <row r="1029" spans="1:5" ht="15.75" customHeight="1" x14ac:dyDescent="0.25">
      <c r="A1029" s="1" t="s">
        <v>2058</v>
      </c>
      <c r="B1029" s="1">
        <v>23611</v>
      </c>
      <c r="C1029" s="3">
        <v>44365.772835648146</v>
      </c>
      <c r="D1029" s="1" t="s">
        <v>2059</v>
      </c>
      <c r="E1029" s="4" t="str">
        <f ca="1">IFERROR(__xludf.DUMMYFUNCTION("GOOGLETRANSLATE(A1029 , ""tr"" , ""en"")"),"Location: Istanbul Bayrampaşa State Hospital. HOURS: 15.45. Dr. The Dürşah Hanım is very happy. He did the 40 millionth vaccine. I mean, he had done it. Because we exceeded 40 million 300 thousand right now. https://t.co/xzrjcpolou")</f>
        <v>Location: Istanbul Bayrampaşa State Hospital. HOURS: 15.45. Dr. The Dürşah Hanım is very happy. He did the 40 millionth vaccine. I mean, he had done it. Because we exceeded 40 million 300 thousand right now. https://t.co/xzrjcpolou</v>
      </c>
    </row>
    <row r="1030" spans="1:5" ht="15.75" customHeight="1" x14ac:dyDescent="0.25">
      <c r="A1030" s="1" t="s">
        <v>2060</v>
      </c>
      <c r="B1030" s="1">
        <v>34147</v>
      </c>
      <c r="C1030" s="3">
        <v>44365.541979166665</v>
      </c>
      <c r="D1030" s="1" t="s">
        <v>2061</v>
      </c>
      <c r="E1030" s="4" t="str">
        <f ca="1">IFERROR(__xludf.DUMMYFUNCTION("GOOGLETRANSLATE(A1030 , ""tr"" , ""en"")"),"We reached the 40 millionth dose. Among the 206 countries, we are the 9th countries that make the highest number of vaccines as dose. Our Health Staff gives more than 6,000 people services per minute being days. Our possibilities are great, our solidarity"&amp;" is high. Results are not surprised.")</f>
        <v>We reached the 40 millionth dose. Among the 206 countries, we are the 9th countries that make the highest number of vaccines as dose. Our Health Staff gives more than 6,000 people services per minute being days. Our possibilities are great, our solidarity is high. Results are not surprised.</v>
      </c>
    </row>
    <row r="1031" spans="1:5" ht="15.75" customHeight="1" x14ac:dyDescent="0.25">
      <c r="A1031" s="1" t="s">
        <v>2062</v>
      </c>
      <c r="B1031" s="1">
        <v>23985</v>
      </c>
      <c r="C1031" s="3">
        <v>44365.459976851853</v>
      </c>
      <c r="D1031" s="1" t="s">
        <v>2063</v>
      </c>
      <c r="E1031" s="4" t="str">
        <f ca="1">IFERROR(__xludf.DUMMYFUNCTION("GOOGLETRANSLATE(A1031 , ""tr"" , ""en"")"),"Full dose or first dose vaccine of the population over 18 years of age in the vaccine program is completed. The program will arrive at the success you expect in a short time. The countdown starts countdown in the number of those who have not yet been done")</f>
        <v>Full dose or first dose vaccine of the population over 18 years of age in the vaccine program is completed. The program will arrive at the success you expect in a short time. The countdown starts countdown in the number of those who have not yet been done</v>
      </c>
    </row>
    <row r="1032" spans="1:5" ht="15.75" customHeight="1" x14ac:dyDescent="0.25">
      <c r="A1032" s="1" t="s">
        <v>2064</v>
      </c>
      <c r="B1032" s="1">
        <v>35928</v>
      </c>
      <c r="C1032" s="3">
        <v>44364.88077546296</v>
      </c>
      <c r="D1032" s="1" t="s">
        <v>2065</v>
      </c>
      <c r="E1032" s="4" t="str">
        <f ca="1">IFERROR(__xludf.DUMMYFUNCTION("GOOGLETRANSLATE(A1032 , ""tr"" , ""en"")"),"Today, 1.5 millionth overdose was applied in 21.43 o'clock. Our vaccine army has made 82 thousand 232 dose vaccines in 2 hours 17 minutes. So we reached 1 million 582 thousand 232 doses in the last 24 hours. As of 24.00, the new day's Mesa started. Drink "&amp;"yourself comfortable. Good night.")</f>
        <v>Today, 1.5 millionth overdose was applied in 21.43 o'clock. Our vaccine army has made 82 thousand 232 dose vaccines in 2 hours 17 minutes. So we reached 1 million 582 thousand 232 doses in the last 24 hours. As of 24.00, the new day's Mesa started. Drink yourself comfortable. Good night.</v>
      </c>
    </row>
    <row r="1033" spans="1:5" ht="15.75" customHeight="1" x14ac:dyDescent="0.25">
      <c r="A1033" s="1" t="s">
        <v>2066</v>
      </c>
      <c r="B1033" s="1">
        <v>16591</v>
      </c>
      <c r="C1033" s="3">
        <v>44364.824884259258</v>
      </c>
      <c r="D1033" s="1" t="s">
        <v>2067</v>
      </c>
      <c r="E1033" s="4" t="str">
        <f ca="1">IFERROR(__xludf.DUMMYFUNCTION("GOOGLETRANSLATE(A1033 , ""tr"" , ""en"")"),"The 1.5 millionth dose of overdose was made for 2 hours for 24 hours. Location, Tekirdağ Dr. Ismail Fehmi Cumalioğlu City Hospital. Health staff, wish enthusiasm. Physician responsible for the vaccine, Beraat Özdemir. The total number yesterday was 1 mill"&amp;"ion 416 thousand 795. This speed will finish this job early. https://t.co/xgkurvqtqr")</f>
        <v>The 1.5 millionth dose of overdose was made for 2 hours for 24 hours. Location, Tekirdağ Dr. Ismail Fehmi Cumalioğlu City Hospital. Health staff, wish enthusiasm. Physician responsible for the vaccine, Beraat Özdemir. The total number yesterday was 1 million 416 thousand 795. This speed will finish this job early. https://t.co/xgkurvqtqr</v>
      </c>
    </row>
    <row r="1034" spans="1:5" ht="15.75" customHeight="1" x14ac:dyDescent="0.25">
      <c r="A1034" s="1" t="s">
        <v>2068</v>
      </c>
      <c r="B1034" s="1">
        <v>24456</v>
      </c>
      <c r="C1034" s="3">
        <v>44364.747511574074</v>
      </c>
      <c r="D1034" s="1" t="s">
        <v>2069</v>
      </c>
      <c r="E1034" s="4" t="str">
        <f ca="1">IFERROR(__xludf.DUMMYFUNCTION("GOOGLETRANSLATE(A1034 , ""tr"" , ""en"")"),"Yesterday's best performance, Turkey's. Yesterday, every 1 million people have reached the maximum number of vaccination in the world according to the number of daily vaccination. 47 thousand of vaccines Wait a better result today today.")</f>
        <v>Yesterday's best performance, Turkey's. Yesterday, every 1 million people have reached the maximum number of vaccination in the world according to the number of daily vaccination. 47 thousand of vaccines Wait a better result today today.</v>
      </c>
    </row>
    <row r="1035" spans="1:5" ht="15.75" customHeight="1" x14ac:dyDescent="0.25">
      <c r="A1035" s="1" t="s">
        <v>2070</v>
      </c>
      <c r="B1035" s="1">
        <v>14548</v>
      </c>
      <c r="C1035" s="3">
        <v>44364.633113425924</v>
      </c>
      <c r="D1035" s="1" t="s">
        <v>2071</v>
      </c>
      <c r="E1035" s="4" t="str">
        <f ca="1">IFERROR(__xludf.DUMMYFUNCTION("GOOGLETRANSLATE(A1035 , ""tr"" , ""en"")"),"Today, the 1 millionth vaccine was carried out by the Family Medicine Unit team at 15.20 at 15.20. This time, the respondent physician's friend was Süheyla Camcı. In our vaccine campaign, our doctors have also plasted the arms. Thanks. https://t.co/4umtre"&amp;"cnhu")</f>
        <v>Today, the 1 millionth vaccine was carried out by the Family Medicine Unit team at 15.20 at 15.20. This time, the respondent physician's friend was Süheyla Camcı. In our vaccine campaign, our doctors have also plasted the arms. Thanks. https://t.co/4umtrecnhu</v>
      </c>
    </row>
    <row r="1036" spans="1:5" ht="15.75" customHeight="1" x14ac:dyDescent="0.25">
      <c r="A1036" s="1" t="s">
        <v>2072</v>
      </c>
      <c r="B1036" s="1">
        <v>4984</v>
      </c>
      <c r="C1036" s="3">
        <v>44364.625740740739</v>
      </c>
      <c r="D1036" s="1" t="s">
        <v>2073</v>
      </c>
      <c r="E1036" s="4" t="str">
        <f ca="1">IFERROR(__xludf.DUMMYFUNCTION("GOOGLETRANSLATE(A1036 , ""tr"" , ""en"")"),"The number of cases in a final week is the most diminished provinces; Bilecik, Karaman, Malatya, Kastamonu and Isparta. We will be immunized with the vaccine to continue decline in the numbers of cases. Will end with the vaccine. https://t.co/270I82pan4")</f>
        <v>The number of cases in a final week is the most diminished provinces; Bilecik, Karaman, Malatya, Kastamonu and Isparta. We will be immunized with the vaccine to continue decline in the numbers of cases. Will end with the vaccine. https://t.co/270I82pan4</v>
      </c>
    </row>
    <row r="1037" spans="1:5" ht="15.75" customHeight="1" x14ac:dyDescent="0.25">
      <c r="A1037" s="1" t="s">
        <v>2074</v>
      </c>
      <c r="B1037" s="1">
        <v>7699</v>
      </c>
      <c r="C1037" s="3">
        <v>44364.620706018519</v>
      </c>
      <c r="D1037" s="1" t="s">
        <v>2075</v>
      </c>
      <c r="E1037" s="4" t="str">
        <f ca="1">IFERROR(__xludf.DUMMYFUNCTION("GOOGLETRANSLATE(A1037 , ""tr"" , ""en"")"),"In our provinces, you can see the current version of the incidence map that shows a total number of considers who correspond to 100,000 population. Although the speed of the case numbers decrease the speed is reduced, it continues to fall. Will end with t"&amp;"he vaccine. https://t.co/tyxhsvcopv")</f>
        <v>In our provinces, you can see the current version of the incidence map that shows a total number of considers who correspond to 100,000 population. Although the speed of the case numbers decrease the speed is reduced, it continues to fall. Will end with the vaccine. https://t.co/tyxhsvcopv</v>
      </c>
    </row>
    <row r="1038" spans="1:5" ht="15.75" customHeight="1" x14ac:dyDescent="0.25">
      <c r="A1038" s="1" t="s">
        <v>2076</v>
      </c>
      <c r="B1038" s="1">
        <v>58806</v>
      </c>
      <c r="C1038" s="3">
        <v>44363.876793981479</v>
      </c>
      <c r="D1038" s="1" t="s">
        <v>2077</v>
      </c>
      <c r="E1038" s="4" t="str">
        <f ca="1">IFERROR(__xludf.DUMMYFUNCTION("GOOGLETRANSLATE(A1038 , ""tr"" , ""en"")"),"As of 24 o'clock, our 47.314 Health Workers in the center of 18,584 made 1 million 416 thousand 795 dose of overdose. Friends don't get trouble friends.")</f>
        <v>As of 24 o'clock, our 47.314 Health Workers in the center of 18,584 made 1 million 416 thousand 795 dose of overdose. Friends don't get trouble friends.</v>
      </c>
    </row>
    <row r="1039" spans="1:5" ht="15.75" customHeight="1" x14ac:dyDescent="0.25">
      <c r="A1039" s="1" t="s">
        <v>2078</v>
      </c>
      <c r="B1039" s="1">
        <v>4848</v>
      </c>
      <c r="C1039" s="3">
        <v>44363.743090277778</v>
      </c>
      <c r="D1039" s="1" t="s">
        <v>2079</v>
      </c>
      <c r="E1039" s="4" t="str">
        <f ca="1">IFERROR(__xludf.DUMMYFUNCTION("GOOGLETRANSLATE(A1039 , ""tr"" , ""en"")"),"We can't build tomorrow by forgetting yesterday. https://t.co/zdjhoscdry")</f>
        <v>We can't build tomorrow by forgetting yesterday. https://t.co/zdjhoscdry</v>
      </c>
    </row>
    <row r="1040" spans="1:5" ht="15.75" customHeight="1" x14ac:dyDescent="0.25">
      <c r="A1040" s="1" t="s">
        <v>2080</v>
      </c>
      <c r="B1040" s="1">
        <v>4262</v>
      </c>
      <c r="C1040" s="3">
        <v>44363.729907407411</v>
      </c>
      <c r="D1040" s="1" t="s">
        <v>2081</v>
      </c>
      <c r="E1040" s="4" t="str">
        <f ca="1">IFERROR(__xludf.DUMMYFUNCTION("GOOGLETRANSLATE(A1040 , ""tr"" , ""en"")"),"We should not forget that when the recent time is the highest time is the highest time. https://t.co/lda61ayywg")</f>
        <v>We should not forget that when the recent time is the highest time is the highest time. https://t.co/lda61ayywg</v>
      </c>
    </row>
    <row r="1041" spans="1:5" ht="15.75" customHeight="1" x14ac:dyDescent="0.25">
      <c r="A1041" s="1" t="s">
        <v>2082</v>
      </c>
      <c r="B1041" s="1">
        <v>4919</v>
      </c>
      <c r="C1041" s="3">
        <v>44363.723680555559</v>
      </c>
      <c r="D1041" s="1" t="s">
        <v>2083</v>
      </c>
      <c r="E1041" s="4" t="str">
        <f ca="1">IFERROR(__xludf.DUMMYFUNCTION("GOOGLETRANSLATE(A1041 , ""tr"" , ""en"")"),"We will all get rid of the distance between our loved ones. https://t.co/qkk4t8obnw")</f>
        <v>We will all get rid of the distance between our loved ones. https://t.co/qkk4t8obnw</v>
      </c>
    </row>
    <row r="1042" spans="1:5" ht="15.75" customHeight="1" x14ac:dyDescent="0.25">
      <c r="A1042" s="1" t="s">
        <v>2084</v>
      </c>
      <c r="B1042" s="1">
        <v>6329</v>
      </c>
      <c r="C1042" s="3">
        <v>44363.718460648146</v>
      </c>
      <c r="D1042" s="1" t="s">
        <v>2085</v>
      </c>
      <c r="E1042" s="4" t="str">
        <f ca="1">IFERROR(__xludf.DUMMYFUNCTION("GOOGLETRANSLATE(A1042 , ""tr"" , ""en"")"),"We said trust in this power. https://t.co/86gxy2gwyi")</f>
        <v>We said trust in this power. https://t.co/86gxy2gwyi</v>
      </c>
    </row>
    <row r="1043" spans="1:5" ht="15.75" customHeight="1" x14ac:dyDescent="0.25">
      <c r="A1043" s="1" t="s">
        <v>2086</v>
      </c>
      <c r="B1043" s="1">
        <v>12979</v>
      </c>
      <c r="C1043" s="3">
        <v>44363.713645833333</v>
      </c>
      <c r="D1043" s="1" t="s">
        <v>2087</v>
      </c>
      <c r="E1043" s="4" t="str">
        <f ca="1">IFERROR(__xludf.DUMMYFUNCTION("GOOGLETRANSLATE(A1043 , ""tr"" , ""en"")"),"As of tomorrow, we open vaccine appointments for all our citizens over 35 years. https://t.co/91a09x4dlh")</f>
        <v>As of tomorrow, we open vaccine appointments for all our citizens over 35 years. https://t.co/91a09x4dlh</v>
      </c>
    </row>
    <row r="1044" spans="1:5" ht="15.75" customHeight="1" x14ac:dyDescent="0.25">
      <c r="A1044" s="1" t="s">
        <v>2088</v>
      </c>
      <c r="B1044" s="1">
        <v>3012</v>
      </c>
      <c r="C1044" s="3">
        <v>44363.658530092594</v>
      </c>
      <c r="D1044" s="1" t="s">
        <v>2089</v>
      </c>
      <c r="E1044" s="4" t="str">
        <f ca="1">IFERROR(__xludf.DUMMYFUNCTION("GOOGLETRANSLATE(A1044 , ""tr"" , ""en"")"),"Live: After our Science Board Meeting, our press statement:
https://t.co/11gp4xpw7b")</f>
        <v>Live: After our Science Board Meeting, our press statement:
https://t.co/11gp4xpw7b</v>
      </c>
    </row>
    <row r="1045" spans="1:5" ht="15.75" customHeight="1" x14ac:dyDescent="0.25">
      <c r="A1045" s="1" t="s">
        <v>2090</v>
      </c>
      <c r="B1045" s="1">
        <v>21539</v>
      </c>
      <c r="C1045" s="3">
        <v>44363.656261574077</v>
      </c>
      <c r="D1045" s="1" t="s">
        <v>2091</v>
      </c>
      <c r="E1045" s="4" t="str">
        <f ca="1">IFERROR(__xludf.DUMMYFUNCTION("GOOGLETRANSLATE(A1045 , ""tr"" , ""en"")"),"1 millionth overdose of vaccine. Location: Kocaeli Darica, Farabi Training and Research Hospital. 16:53 o'clock. Health personnel engaged in vaccine: Enis Mediterranean. Responsible Physician: Ömer Faruk Açık. Having a past. You didn't forget to remove th"&amp;"e tape on your shoulders, aren't you? https://t.co/vj4gxoixun")</f>
        <v>1 millionth overdose of vaccine. Location: Kocaeli Darica, Farabi Training and Research Hospital. 16:53 o'clock. Health personnel engaged in vaccine: Enis Mediterranean. Responsible Physician: Ömer Faruk Açık. Having a past. You didn't forget to remove the tape on your shoulders, aren't you? https://t.co/vj4gxoixun</v>
      </c>
    </row>
    <row r="1046" spans="1:5" ht="15.75" customHeight="1" x14ac:dyDescent="0.25">
      <c r="A1046" s="1" t="s">
        <v>2092</v>
      </c>
      <c r="B1046" s="1">
        <v>47657</v>
      </c>
      <c r="C1046" s="3">
        <v>44363.445277777777</v>
      </c>
      <c r="D1046" s="1" t="s">
        <v>2093</v>
      </c>
      <c r="E1046" s="4" t="str">
        <f ca="1">IFERROR(__xludf.DUMMYFUNCTION("GOOGLETRANSLATE(A1046 , ""tr"" , ""en"")"),"""This girl has made vaccination to 224 people today."" A friend from the vaccine team had a tweets like that yesterday. Next, shared the following feeling: ""I have made so many vaccines in the last days, everyone's face is familiar when I go out."" Heal"&amp;"th to your hands who make vaccines. These sacrifices will not be forgotten. https://t.co/fh9chpevfk")</f>
        <v>"This girl has made vaccination to 224 people today." A friend from the vaccine team had a tweets like that yesterday. Next, shared the following feeling: "I have made so many vaccines in the last days, everyone's face is familiar when I go out." Health to your hands who make vaccines. These sacrifices will not be forgotten. https://t.co/fh9chpevfk</v>
      </c>
    </row>
    <row r="1047" spans="1:5" ht="15.75" customHeight="1" x14ac:dyDescent="0.25">
      <c r="A1047" s="1" t="s">
        <v>2094</v>
      </c>
      <c r="B1047" s="1">
        <v>37677</v>
      </c>
      <c r="C1047" s="3">
        <v>44363.334814814814</v>
      </c>
      <c r="D1047" s="1" t="s">
        <v>2095</v>
      </c>
      <c r="E1047" s="4" t="str">
        <f ca="1">IFERROR(__xludf.DUMMYFUNCTION("GOOGLETRANSLATE(A1047 , ""tr"" , ""en"")"),"When is my appointment in request today? We launched the app to ""appointment in the day, in the day"". Take an appointment, let's do your vaccine without time.")</f>
        <v>When is my appointment in request today? We launched the app to "appointment in the day, in the day". Take an appointment, let's do your vaccine without time.</v>
      </c>
    </row>
    <row r="1048" spans="1:5" ht="15.75" customHeight="1" x14ac:dyDescent="0.25">
      <c r="A1048" s="1" t="s">
        <v>2096</v>
      </c>
      <c r="B1048" s="1">
        <v>47689</v>
      </c>
      <c r="C1048" s="3">
        <v>44362.876979166664</v>
      </c>
      <c r="D1048" s="1" t="s">
        <v>2097</v>
      </c>
      <c r="E1048" s="4" t="str">
        <f ca="1">IFERROR(__xludf.DUMMYFUNCTION("GOOGLETRANSLATE(A1048 , ""tr"" , ""en"")"),"1 million 240 thousand 311. What do you think? It's so many dose of overdose in 24 hours, such people who have an appointment and vaccine. Trust for the days ahead. A sweet fatigue for our health workers.")</f>
        <v>1 million 240 thousand 311. What do you think? It's so many dose of overdose in 24 hours, such people who have an appointment and vaccine. Trust for the days ahead. A sweet fatigue for our health workers.</v>
      </c>
    </row>
    <row r="1049" spans="1:5" ht="15.75" customHeight="1" x14ac:dyDescent="0.25">
      <c r="A1049" s="1" t="s">
        <v>2098</v>
      </c>
      <c r="B1049" s="1">
        <v>54398</v>
      </c>
      <c r="C1049" s="3">
        <v>44362.715752314813</v>
      </c>
      <c r="D1049" s="1" t="s">
        <v>2099</v>
      </c>
      <c r="E1049" s="4" t="str">
        <f ca="1">IFERROR(__xludf.DUMMYFUNCTION("GOOGLETRANSLATE(A1049 , ""tr"" , ""en"")"),"We have just reached 1 million dose of overdose targets. The place of one millionth vaccine is Ankara, our friend is 48 years old. Hatice bro, are you aware of the hero of the day?")</f>
        <v>We have just reached 1 million dose of overdose targets. The place of one millionth vaccine is Ankara, our friend is 48 years old. Hatice bro, are you aware of the hero of the day?</v>
      </c>
    </row>
    <row r="1050" spans="1:5" ht="15.75" customHeight="1" x14ac:dyDescent="0.25">
      <c r="A1050" s="1" t="s">
        <v>2100</v>
      </c>
      <c r="B1050" s="1">
        <v>18402</v>
      </c>
      <c r="C1050" s="3">
        <v>44362.484965277778</v>
      </c>
      <c r="D1050" s="1" t="s">
        <v>2101</v>
      </c>
      <c r="E1050" s="4" t="str">
        <f ca="1">IFERROR(__xludf.DUMMYFUNCTION("GOOGLETRANSLATE(A1050 , ""tr"" , ""en"")"),"For the continuity and safety of the production, we start the Vaccine Practice with our mobile teams in the organized industrial regions. The impellers will continue to return. Trust this power.")</f>
        <v>For the continuity and safety of the production, we start the Vaccine Practice with our mobile teams in the organized industrial regions. The impellers will continue to return. Trust this power.</v>
      </c>
    </row>
    <row r="1051" spans="1:5" ht="15.75" customHeight="1" x14ac:dyDescent="0.25">
      <c r="A1051" s="1" t="s">
        <v>2102</v>
      </c>
      <c r="B1051" s="1">
        <v>34284</v>
      </c>
      <c r="C1051" s="3">
        <v>44362.407349537039</v>
      </c>
      <c r="D1051" s="1" t="s">
        <v>2103</v>
      </c>
      <c r="E1051" s="4" t="str">
        <f ca="1">IFERROR(__xludf.DUMMYFUNCTION("GOOGLETRANSLATE(A1051 , ""tr"" , ""en"")"),"As of the moment we reached 35 million dose of overdose. The 35 millionth overdose has just been done in Çanakkale Bayramic.")</f>
        <v>As of the moment we reached 35 million dose of overdose. The 35 millionth overdose has just been done in Çanakkale Bayramic.</v>
      </c>
    </row>
    <row r="1052" spans="1:5" ht="15.75" customHeight="1" x14ac:dyDescent="0.25">
      <c r="A1052" s="1" t="s">
        <v>2104</v>
      </c>
      <c r="B1052" s="1">
        <v>34242</v>
      </c>
      <c r="C1052" s="3">
        <v>44361.878344907411</v>
      </c>
      <c r="D1052" s="1" t="s">
        <v>2105</v>
      </c>
      <c r="E1052" s="4" t="str">
        <f ca="1">IFERROR(__xludf.DUMMYFUNCTION("GOOGLETRANSLATE(A1052 , ""tr"" , ""en"")"),"Monday 14 June Monday Report: 842.494
We have made more vaccines than 92,494 from which we are targeting.")</f>
        <v>Monday 14 June Monday Report: 842.494
We have made more vaccines than 92,494 from which we are targeting.</v>
      </c>
    </row>
    <row r="1053" spans="1:5" ht="15.75" customHeight="1" x14ac:dyDescent="0.25">
      <c r="A1053" s="1" t="s">
        <v>2106</v>
      </c>
      <c r="B1053" s="1">
        <v>15707</v>
      </c>
      <c r="C1053" s="3">
        <v>44361.792511574073</v>
      </c>
      <c r="D1053" s="1" t="s">
        <v>2107</v>
      </c>
      <c r="E1053" s="4" t="str">
        <f ca="1">IFERROR(__xludf.DUMMYFUNCTION("GOOGLETRANSLATE(A1053 , ""tr"" , ""en"")"),"A physician in Kayseri's Develi district is attacked by our friend armed. Attacked with a large number of criminals were caught, our friend was hospitalized with the ambulance. I just met with himself. We will never be incapable of violence as laws and so"&amp;"ciety.")</f>
        <v>A physician in Kayseri's Develi district is attacked by our friend armed. Attacked with a large number of criminals were caught, our friend was hospitalized with the ambulance. I just met with himself. We will never be incapable of violence as laws and society.</v>
      </c>
    </row>
    <row r="1054" spans="1:5" ht="15.75" customHeight="1" x14ac:dyDescent="0.25">
      <c r="A1054" s="1" t="s">
        <v>2108</v>
      </c>
      <c r="B1054" s="1">
        <v>39199</v>
      </c>
      <c r="C1054" s="3">
        <v>44361.771157407406</v>
      </c>
      <c r="D1054" s="1" t="s">
        <v>2109</v>
      </c>
      <c r="E1054" s="4" t="str">
        <f ca="1">IFERROR(__xludf.DUMMYFUNCTION("GOOGLETRANSLATE(A1054 , ""tr"" , ""en"")"),"For all of the workers and officers, tomorrow is starting a new day. All employees registered SSI ... get our first job vaccination appointment tomorrow!")</f>
        <v>For all of the workers and officers, tomorrow is starting a new day. All employees registered SSI ... get our first job vaccination appointment tomorrow!</v>
      </c>
    </row>
    <row r="1055" spans="1:5" ht="15.75" customHeight="1" x14ac:dyDescent="0.25">
      <c r="A1055" s="1" t="s">
        <v>2110</v>
      </c>
      <c r="B1055" s="1">
        <v>54996</v>
      </c>
      <c r="C1055" s="3">
        <v>44361.747777777775</v>
      </c>
      <c r="D1055" s="1" t="s">
        <v>2111</v>
      </c>
      <c r="E1055" s="4" t="str">
        <f ca="1">IFERROR(__xludf.DUMMYFUNCTION("GOOGLETRANSLATE(A1055 , ""tr"" , ""en"")"),"We just made the 750.001-dose of overdose.")</f>
        <v>We just made the 750.001-dose of overdose.</v>
      </c>
    </row>
    <row r="1056" spans="1:5" ht="15.75" customHeight="1" x14ac:dyDescent="0.25">
      <c r="A1056" s="1" t="s">
        <v>2112</v>
      </c>
      <c r="B1056" s="1">
        <v>26281</v>
      </c>
      <c r="C1056" s="3">
        <v>44361.343657407408</v>
      </c>
      <c r="D1056" s="1" t="s">
        <v>2113</v>
      </c>
      <c r="E1056" s="4" t="str">
        <f ca="1">IFERROR(__xludf.DUMMYFUNCTION("GOOGLETRANSLATE(A1056 , ""tr"" , ""en"")"),"We reach the highest daily dose so far: 750,000 dose in one day. A valid first of the short period of time!")</f>
        <v>We reach the highest daily dose so far: 750,000 dose in one day. A valid first of the short period of time!</v>
      </c>
    </row>
    <row r="1057" spans="1:5" ht="15.75" customHeight="1" x14ac:dyDescent="0.25">
      <c r="A1057" s="1" t="s">
        <v>2114</v>
      </c>
      <c r="B1057" s="1">
        <v>31860</v>
      </c>
      <c r="C1057" s="3">
        <v>44361.251770833333</v>
      </c>
      <c r="D1057" s="1" t="s">
        <v>2115</v>
      </c>
      <c r="E1057" s="4" t="str">
        <f ca="1">IFERROR(__xludf.DUMMYFUNCTION("GOOGLETRANSLATE(A1057 , ""tr"" , ""en"")"),"750,000 people today will experience the happiest moments of their life after 11 March 2020.")</f>
        <v>750,000 people today will experience the happiest moments of their life after 11 March 2020.</v>
      </c>
    </row>
    <row r="1058" spans="1:5" ht="15.75" customHeight="1" x14ac:dyDescent="0.25">
      <c r="A1058" s="1" t="s">
        <v>2116</v>
      </c>
      <c r="B1058" s="1">
        <v>16655</v>
      </c>
      <c r="C1058" s="3">
        <v>44360.903553240743</v>
      </c>
      <c r="D1058" s="1" t="s">
        <v>2117</v>
      </c>
      <c r="E1058" s="4" t="str">
        <f ca="1">IFERROR(__xludf.DUMMYFUNCTION("GOOGLETRANSLATE(A1058 , ""tr"" , ""en"")"),"The number I gave is ""faulty"". We did 448 thousand today, 456 thousand dose of overdose. Have vaccines, there is time. We didn't have to turn 8 thousand people back. https://t.co/gcdbqwy745")</f>
        <v>The number I gave is "faulty". We did 448 thousand today, 456 thousand dose of overdose. Have vaccines, there is time. We didn't have to turn 8 thousand people back. https://t.co/gcdbqwy745</v>
      </c>
    </row>
    <row r="1059" spans="1:5" ht="15.75" customHeight="1" x14ac:dyDescent="0.25">
      <c r="A1059" s="1" t="s">
        <v>2118</v>
      </c>
      <c r="B1059" s="1">
        <v>25135</v>
      </c>
      <c r="C1059" s="3">
        <v>44360.878171296295</v>
      </c>
      <c r="D1059" s="1" t="s">
        <v>2119</v>
      </c>
      <c r="E1059" s="4" t="str">
        <f ca="1">IFERROR(__xludf.DUMMYFUNCTION("GOOGLETRANSLATE(A1059 , ""tr"" , ""en"")"),"Today, we have come to these days from the number of passengers 53. Case Count 5.012. Once again we have seen: the victory, the way stable walks wins. The epidemic has thoroughly regressed, very close to the day to renew.")</f>
        <v>Today, we have come to these days from the number of passengers 53. Case Count 5.012. Once again we have seen: the victory, the way stable walks wins. The epidemic has thoroughly regressed, very close to the day to renew.</v>
      </c>
    </row>
    <row r="1060" spans="1:5" ht="15.75" customHeight="1" x14ac:dyDescent="0.25">
      <c r="A1060" s="1" t="s">
        <v>2120</v>
      </c>
      <c r="B1060" s="1">
        <v>7232</v>
      </c>
      <c r="C1060" s="3">
        <v>44360.575729166667</v>
      </c>
      <c r="D1060" s="1" t="s">
        <v>2121</v>
      </c>
      <c r="E1060" s="4" t="str">
        <f ca="1">IFERROR(__xludf.DUMMYFUNCTION("GOOGLETRANSLATE(A1060 , ""tr"" , ""en"")"),"In June 13, 1987, we remember Cemil Meriç, who left our call. The idea will continue to lead us to the rebalance of our civilization that separates the false one with the genuine one in our life. God rest the soul. https://t.co/0ai8fbxkyx")</f>
        <v>In June 13, 1987, we remember Cemil Meriç, who left our call. The idea will continue to lead us to the rebalance of our civilization that separates the false one with the genuine one in our life. God rest the soul. https://t.co/0ai8fbxkyx</v>
      </c>
    </row>
    <row r="1061" spans="1:5" ht="15.75" customHeight="1" x14ac:dyDescent="0.25">
      <c r="A1061" s="1" t="s">
        <v>2122</v>
      </c>
      <c r="B1061" s="1">
        <v>34509</v>
      </c>
      <c r="C1061" s="3">
        <v>44360.313726851855</v>
      </c>
      <c r="D1061" s="1" t="s">
        <v>2123</v>
      </c>
      <c r="E1061" s="4" t="str">
        <f ca="1">IFERROR(__xludf.DUMMYFUNCTION("GOOGLETRANSLATE(A1061 , ""tr"" , ""en"")"),"Today is Vaccination Day for 448 thousand people!")</f>
        <v>Today is Vaccination Day for 448 thousand people!</v>
      </c>
    </row>
    <row r="1062" spans="1:5" ht="15.75" customHeight="1" x14ac:dyDescent="0.25">
      <c r="A1062" s="1" t="s">
        <v>2124</v>
      </c>
      <c r="B1062" s="1">
        <v>47321</v>
      </c>
      <c r="C1062" s="3">
        <v>44360.252939814818</v>
      </c>
      <c r="D1062" s="1" t="s">
        <v>2125</v>
      </c>
      <c r="E1062" s="4" t="str">
        <f ca="1">IFERROR(__xludf.DUMMYFUNCTION("GOOGLETRANSLATE(A1062 , ""tr"" , ""en"")"),"We landed up to 40 years of age. You can make an appointment from this morning if your age is 40 or above. Expect hundred percent attendance.")</f>
        <v>We landed up to 40 years of age. You can make an appointment from this morning if your age is 40 or above. Expect hundred percent attendance.</v>
      </c>
    </row>
    <row r="1063" spans="1:5" ht="15.75" customHeight="1" x14ac:dyDescent="0.25">
      <c r="A1063" s="1" t="s">
        <v>2126</v>
      </c>
      <c r="B1063" s="1">
        <v>30680</v>
      </c>
      <c r="C1063" s="3">
        <v>44359.920787037037</v>
      </c>
      <c r="D1063" s="1" t="s">
        <v>2127</v>
      </c>
      <c r="E1063" s="4" t="str">
        <f ca="1">IFERROR(__xludf.DUMMYFUNCTION("GOOGLETRANSLATE(A1063 , ""tr"" , ""en"")"),"A total of 12 June Saturday has been 449,684 vaccines. 99,485% of the appointments to make vaccinations come and have their vaccinations. We approach a step closer to normal life. Thanks.")</f>
        <v>A total of 12 June Saturday has been 449,684 vaccines. 99,485% of the appointments to make vaccinations come and have their vaccinations. We approach a step closer to normal life. Thanks.</v>
      </c>
    </row>
    <row r="1064" spans="1:5" ht="15.75" customHeight="1" x14ac:dyDescent="0.25">
      <c r="A1064" s="1" t="s">
        <v>2128</v>
      </c>
      <c r="B1064" s="1">
        <v>5056</v>
      </c>
      <c r="C1064" s="3">
        <v>44359.633472222224</v>
      </c>
      <c r="D1064" s="1" t="s">
        <v>2129</v>
      </c>
      <c r="E1064" s="4" t="str">
        <f ca="1">IFERROR(__xludf.DUMMYFUNCTION("GOOGLETRANSLATE(A1064 , ""tr"" , ""en"")"),"We see how the TG3 team from the Italian RAI television is in Mardin in Mardin, how easily the biases are changed. Thanks aunty in Halise. Be right our friend saint. Right Be the young ladies who trust the surroundings. https://t.co/kd5vbnfjle")</f>
        <v>We see how the TG3 team from the Italian RAI television is in Mardin in Mardin, how easily the biases are changed. Thanks aunty in Halise. Be right our friend saint. Right Be the young ladies who trust the surroundings. https://t.co/kd5vbnfjle</v>
      </c>
    </row>
    <row r="1065" spans="1:5" ht="15.75" customHeight="1" x14ac:dyDescent="0.25">
      <c r="A1065" s="1" t="s">
        <v>2130</v>
      </c>
      <c r="B1065" s="1">
        <v>25313</v>
      </c>
      <c r="C1065" s="3">
        <v>44359.532951388886</v>
      </c>
      <c r="D1065" s="1" t="s">
        <v>2131</v>
      </c>
      <c r="E1065" s="4" t="str">
        <f ca="1">IFERROR(__xludf.DUMMYFUNCTION("GOOGLETRANSLATE(A1065 , ""tr"" , ""en"")"),"3 hours ago we made 33 millionth overdose. We are looking forward to the time we decide the orders.")</f>
        <v>3 hours ago we made 33 millionth overdose. We are looking forward to the time we decide the orders.</v>
      </c>
    </row>
    <row r="1066" spans="1:5" ht="15.75" customHeight="1" x14ac:dyDescent="0.25">
      <c r="A1066" s="1" t="s">
        <v>2132</v>
      </c>
      <c r="B1066" s="1">
        <v>8720</v>
      </c>
      <c r="C1066" s="3">
        <v>44359.334351851852</v>
      </c>
      <c r="D1066" s="1" t="s">
        <v>2133</v>
      </c>
      <c r="E1066" s="4" t="str">
        <f ca="1">IFERROR(__xludf.DUMMYFUNCTION("GOOGLETRANSLATE(A1066 , ""tr"" , ""en"")"),"Our domestic vaccine is in the final stage. Volunteer in phase 3 human studies, let's get to the conclusion.
https://t.co/e8uh4tln81 https://t.co/pg4xo7yrsz")</f>
        <v>Our domestic vaccine is in the final stage. Volunteer in phase 3 human studies, let's get to the conclusion.
https://t.co/e8uh4tln81 https://t.co/pg4xo7yrsz</v>
      </c>
    </row>
    <row r="1067" spans="1:5" ht="15.75" customHeight="1" x14ac:dyDescent="0.25">
      <c r="A1067" s="1" t="s">
        <v>2134</v>
      </c>
      <c r="B1067" s="1">
        <v>36270</v>
      </c>
      <c r="C1067" s="3">
        <v>44359.31349537037</v>
      </c>
      <c r="D1067" s="1" t="s">
        <v>2135</v>
      </c>
      <c r="E1067" s="4" t="str">
        <f ca="1">IFERROR(__xludf.DUMMYFUNCTION("GOOGLETRANSLATE(A1067 , ""tr"" , ""en"")"),"Thank you on behalf of the millions waiting for the punishment of the vaccination.")</f>
        <v>Thank you on behalf of the millions waiting for the punishment of the vaccination.</v>
      </c>
    </row>
    <row r="1068" spans="1:5" ht="15.75" customHeight="1" x14ac:dyDescent="0.25">
      <c r="A1068" s="1" t="s">
        <v>2136</v>
      </c>
      <c r="B1068" s="1">
        <v>36664</v>
      </c>
      <c r="C1068" s="3">
        <v>44359.241064814814</v>
      </c>
      <c r="D1068" s="1" t="s">
        <v>2137</v>
      </c>
      <c r="E1068" s="4" t="str">
        <f ca="1">IFERROR(__xludf.DUMMYFUNCTION("GOOGLETRANSLATE(A1068 , ""tr"" , ""en"")"),"Today at least 450,000 people have an important appointment.")</f>
        <v>Today at least 450,000 people have an important appointment.</v>
      </c>
    </row>
    <row r="1069" spans="1:5" ht="15.75" customHeight="1" x14ac:dyDescent="0.25">
      <c r="A1069" s="1" t="s">
        <v>2138</v>
      </c>
      <c r="B1069" s="1">
        <v>27842</v>
      </c>
      <c r="C1069" s="3">
        <v>44358.877106481479</v>
      </c>
      <c r="D1069" s="1" t="s">
        <v>2139</v>
      </c>
      <c r="E1069" s="4" t="str">
        <f ca="1">IFERROR(__xludf.DUMMYFUNCTION("GOOGLETRANSLATE(A1069 , ""tr"" , ""en"")"),"23.59 o'clock. In the last 24 hours, total 597,647 dose vaccines were performed. Thanks to thousands of our citizens who do not disrupt our friends who work in this time! Vaccine, sacrifice, planning: there are all, no problem!")</f>
        <v>23.59 o'clock. In the last 24 hours, total 597,647 dose vaccines were performed. Thanks to thousands of our citizens who do not disrupt our friends who work in this time! Vaccine, sacrifice, planning: there are all, no problem!</v>
      </c>
    </row>
    <row r="1070" spans="1:5" ht="15.75" customHeight="1" x14ac:dyDescent="0.25">
      <c r="A1070" s="1" t="s">
        <v>2140</v>
      </c>
      <c r="B1070" s="1">
        <v>18026</v>
      </c>
      <c r="C1070" s="3">
        <v>44358.780289351853</v>
      </c>
      <c r="D1070" s="1" t="s">
        <v>2141</v>
      </c>
      <c r="E1070" s="4" t="str">
        <f ca="1">IFERROR(__xludf.DUMMYFUNCTION("GOOGLETRANSLATE(A1070 , ""tr"" , ""en"")"),"Our eyes are in Turkey-Italy match in Turkey. This match, which is the opening match of the European football tournament, will watch the whole world. What is football, the world you see friends!")</f>
        <v>Our eyes are in Turkey-Italy match in Turkey. This match, which is the opening match of the European football tournament, will watch the whole world. What is football, the world you see friends!</v>
      </c>
    </row>
    <row r="1071" spans="1:5" ht="15.75" customHeight="1" x14ac:dyDescent="0.25">
      <c r="A1071" s="1" t="s">
        <v>2142</v>
      </c>
      <c r="B1071" s="1">
        <v>24764</v>
      </c>
      <c r="C1071" s="3">
        <v>44358.734942129631</v>
      </c>
      <c r="D1071" s="1" t="s">
        <v>2143</v>
      </c>
      <c r="E1071" s="4" t="str">
        <f ca="1">IFERROR(__xludf.DUMMYFUNCTION("GOOGLETRANSLATE(A1071 , ""tr"" , ""en"")"),"500 thousandths dose vaccine has just been done! In the number of daily dose we will reach a new record at future hours. Our employees are at work. Our daily capacity is more than 3 times on this dose. Let's see: How many dose of today's vaccine will reac"&amp;"h total? On the other side what will be the result of the match?")</f>
        <v>500 thousandths dose vaccine has just been done! In the number of daily dose we will reach a new record at future hours. Our employees are at work. Our daily capacity is more than 3 times on this dose. Let's see: How many dose of today's vaccine will reach total? On the other side what will be the result of the match?</v>
      </c>
    </row>
    <row r="1072" spans="1:5" ht="15.75" customHeight="1" x14ac:dyDescent="0.25">
      <c r="A1072" s="1" t="s">
        <v>2144</v>
      </c>
      <c r="B1072" s="1">
        <v>4731</v>
      </c>
      <c r="C1072" s="3">
        <v>44358.690509259257</v>
      </c>
      <c r="D1072" s="1" t="s">
        <v>2145</v>
      </c>
      <c r="E1072" s="4" t="str">
        <f ca="1">IFERROR(__xludf.DUMMYFUNCTION("GOOGLETRANSLATE(A1072 , ""tr"" , ""en"")"),"The Turkish Crescent is 153 years old. The first founders in 1868 were the sacrifice of sacrifices such as today's duty physicians, staff, volunteers. Where there is a help call Kızılay's Hilal there again. Kızılay is our favorites flag on our world. http"&amp;"s://t.co/5yuodz266q")</f>
        <v>The Turkish Crescent is 153 years old. The first founders in 1868 were the sacrifice of sacrifices such as today's duty physicians, staff, volunteers. Where there is a help call Kızılay's Hilal there again. Kızılay is our favorites flag on our world. https://t.co/5yuodz266q</v>
      </c>
    </row>
    <row r="1073" spans="1:5" ht="15.75" customHeight="1" x14ac:dyDescent="0.25">
      <c r="A1073" s="1" t="s">
        <v>2146</v>
      </c>
      <c r="B1073" s="1">
        <v>51332</v>
      </c>
      <c r="C1073" s="3">
        <v>44358.52202546296</v>
      </c>
      <c r="D1073" s="1" t="s">
        <v>2147</v>
      </c>
      <c r="E1073" s="4" t="str">
        <f ca="1">IFERROR(__xludf.DUMMYFUNCTION("GOOGLETRANSLATE(A1073 , ""tr"" , ""en"")"),"We start tomorrow's vaccines with cargo employees. We're now accelerated thoroughly.")</f>
        <v>We start tomorrow's vaccines with cargo employees. We're now accelerated thoroughly.</v>
      </c>
    </row>
    <row r="1074" spans="1:5" ht="15.75" customHeight="1" x14ac:dyDescent="0.25">
      <c r="A1074" s="1" t="s">
        <v>2148</v>
      </c>
      <c r="B1074" s="1">
        <v>17162</v>
      </c>
      <c r="C1074" s="3">
        <v>44358.334479166668</v>
      </c>
      <c r="D1074" s="1" t="s">
        <v>2149</v>
      </c>
      <c r="E1074" s="4" t="str">
        <f ca="1">IFERROR(__xludf.DUMMYFUNCTION("GOOGLETRANSLATE(A1074 , ""tr"" , ""en"")"),"Taxi and filled trades are included in our vaccine programs with employees in city and intercity transport activities. They may have vaccines from tomorrow.")</f>
        <v>Taxi and filled trades are included in our vaccine programs with employees in city and intercity transport activities. They may have vaccines from tomorrow.</v>
      </c>
    </row>
    <row r="1075" spans="1:5" ht="15.75" customHeight="1" x14ac:dyDescent="0.25">
      <c r="A1075" s="1" t="s">
        <v>2150</v>
      </c>
      <c r="B1075" s="1">
        <v>66744</v>
      </c>
      <c r="C1075" s="3">
        <v>44358.304282407407</v>
      </c>
      <c r="D1075" s="1" t="s">
        <v>2151</v>
      </c>
      <c r="E1075" s="4" t="str">
        <f ca="1">IFERROR(__xludf.DUMMYFUNCTION("GOOGLETRANSLATE(A1075 , ""tr"" , ""en"")"),"Each BIONTECH VILLA has 6 people in the vial, ie 6 dose vaccines. After the vial is opened and diluted, these 6 dose vaccines should be used within 6 hours. Doses that are unused within 6 hours can then be used, wasted. Vaccine precious, not easy to suppl"&amp;"y. Do not disraped your appointment.")</f>
        <v>Each BIONTECH VILLA has 6 people in the vial, ie 6 dose vaccines. After the vial is opened and diluted, these 6 dose vaccines should be used within 6 hours. Doses that are unused within 6 hours can then be used, wasted. Vaccine precious, not easy to supply. Do not disraped your appointment.</v>
      </c>
    </row>
    <row r="1076" spans="1:5" ht="15.75" customHeight="1" x14ac:dyDescent="0.25">
      <c r="A1076" s="1" t="s">
        <v>2152</v>
      </c>
      <c r="B1076" s="1">
        <v>26722</v>
      </c>
      <c r="C1076" s="3">
        <v>44357.730358796296</v>
      </c>
      <c r="D1076" s="1" t="s">
        <v>2153</v>
      </c>
      <c r="E1076" s="4" t="str">
        <f ca="1">IFERROR(__xludf.DUMMYFUNCTION("GOOGLETRANSLATE(A1076 , ""tr"" , ""en"")"),"Without age restraint, all lawyers are included in the vaccine program. All of our lawyers can be vaccines from tomorrow. Trust this power.")</f>
        <v>Without age restraint, all lawyers are included in the vaccine program. All of our lawyers can be vaccines from tomorrow. Trust this power.</v>
      </c>
    </row>
    <row r="1077" spans="1:5" ht="15.75" customHeight="1" x14ac:dyDescent="0.25">
      <c r="A1077" s="1" t="s">
        <v>2154</v>
      </c>
      <c r="B1077" s="1">
        <v>18090</v>
      </c>
      <c r="C1077" s="3">
        <v>44357.717615740738</v>
      </c>
      <c r="D1077" s="1" t="s">
        <v>2155</v>
      </c>
      <c r="E1077" s="4" t="str">
        <f ca="1">IFERROR(__xludf.DUMMYFUNCTION("GOOGLETRANSLATE(A1077 , ""tr"" , ""en"")"),"Within the scope of the vaccine program, barber and hairdressers are also intrinsically. You can get your appointments from tomorrow. Trust this power.")</f>
        <v>Within the scope of the vaccine program, barber and hairdressers are also intrinsically. You can get your appointments from tomorrow. Trust this power.</v>
      </c>
    </row>
    <row r="1078" spans="1:5" ht="15.75" customHeight="1" x14ac:dyDescent="0.25">
      <c r="A1078" s="1" t="s">
        <v>2156</v>
      </c>
      <c r="B1078" s="1">
        <v>16234</v>
      </c>
      <c r="C1078" s="3">
        <v>44357.705000000002</v>
      </c>
      <c r="D1078" s="1" t="s">
        <v>2157</v>
      </c>
      <c r="E1078" s="4" t="str">
        <f ca="1">IFERROR(__xludf.DUMMYFUNCTION("GOOGLETRANSLATE(A1078 , ""tr"" , ""en"")"),"In our vaccine program, the identification of our occupational groups is continued. From the tomorrow, café, restaurant and restaurant employees with food production and distribution sector are also included in the program. Trust this power.")</f>
        <v>In our vaccine program, the identification of our occupational groups is continued. From the tomorrow, café, restaurant and restaurant employees with food production and distribution sector are also included in the program. Trust this power.</v>
      </c>
    </row>
    <row r="1079" spans="1:5" ht="15.75" customHeight="1" x14ac:dyDescent="0.25">
      <c r="A1079" s="1" t="s">
        <v>2158</v>
      </c>
      <c r="B1079" s="1">
        <v>6996</v>
      </c>
      <c r="C1079" s="3">
        <v>44356.759039351855</v>
      </c>
      <c r="D1079" s="1" t="s">
        <v>2159</v>
      </c>
      <c r="E1079" s="4" t="str">
        <f ca="1">IFERROR(__xludf.DUMMYFUNCTION("GOOGLETRANSLATE(A1079 , ""tr"" , ""en"")"),"We will get rid of outbreak news very soon. The day is close to bright, healthy and happy days. Great Turkey is a strong state. Trust this power. https://t.co/fewzmbfnrb")</f>
        <v>We will get rid of outbreak news very soon. The day is close to bright, healthy and happy days. Great Turkey is a strong state. Trust this power. https://t.co/fewzmbfnrb</v>
      </c>
    </row>
    <row r="1080" spans="1:5" ht="15.75" customHeight="1" x14ac:dyDescent="0.25">
      <c r="A1080" s="1" t="s">
        <v>2160</v>
      </c>
      <c r="B1080" s="1">
        <v>4643</v>
      </c>
      <c r="C1080" s="3">
        <v>44356.750393518516</v>
      </c>
      <c r="D1080" s="1" t="s">
        <v>2161</v>
      </c>
      <c r="E1080" s="4" t="str">
        <f ca="1">IFERROR(__xludf.DUMMYFUNCTION("GOOGLETRANSLATE(A1080 , ""tr"" , ""en"")"),"Scientific studies continue to be the third dose of people who provide immunity and two dose vaccines with the specific period of time. https://t.co/lgvucz2gmj")</f>
        <v>Scientific studies continue to be the third dose of people who provide immunity and two dose vaccines with the specific period of time. https://t.co/lgvucz2gmj</v>
      </c>
    </row>
    <row r="1081" spans="1:5" ht="15.75" customHeight="1" x14ac:dyDescent="0.25">
      <c r="A1081" s="1" t="s">
        <v>2162</v>
      </c>
      <c r="B1081" s="1">
        <v>5556</v>
      </c>
      <c r="C1081" s="3">
        <v>44356.740810185183</v>
      </c>
      <c r="D1081" s="1" t="s">
        <v>2163</v>
      </c>
      <c r="E1081" s="4" t="str">
        <f ca="1">IFERROR(__xludf.DUMMYFUNCTION("GOOGLETRANSLATE(A1081 , ""tr"" , ""en"")"),"Turkish vaccine has come to the final stage. We will always live together with the continuity of the outbreak and external dependence in the vaccination. https://t.co/kekIaia3ln")</f>
        <v>Turkish vaccine has come to the final stage. We will always live together with the continuity of the outbreak and external dependence in the vaccination. https://t.co/kekIaia3ln</v>
      </c>
    </row>
    <row r="1082" spans="1:5" ht="15.75" customHeight="1" x14ac:dyDescent="0.25">
      <c r="A1082" s="1" t="s">
        <v>2164</v>
      </c>
      <c r="B1082" s="1">
        <v>3741</v>
      </c>
      <c r="C1082" s="3">
        <v>44356.726736111108</v>
      </c>
      <c r="D1082" s="1" t="s">
        <v>2165</v>
      </c>
      <c r="E1082" s="4" t="str">
        <f ca="1">IFERROR(__xludf.DUMMYFUNCTION("GOOGLETRANSLATE(A1082 , ""tr"" , ""en"")"),"Let us continue to comply with our personal measures uncompromising until we get social immunity with vaccination. https://t.co/mweIXX44TI")</f>
        <v>Let us continue to comply with our personal measures uncompromising until we get social immunity with vaccination. https://t.co/mweIXX44TI</v>
      </c>
    </row>
    <row r="1083" spans="1:5" ht="15.75" customHeight="1" x14ac:dyDescent="0.25">
      <c r="A1083" s="1" t="s">
        <v>2166</v>
      </c>
      <c r="B1083" s="1">
        <v>8655</v>
      </c>
      <c r="C1083" s="3">
        <v>44356.719027777777</v>
      </c>
      <c r="D1083" s="1" t="s">
        <v>2167</v>
      </c>
      <c r="E1083" s="4" t="str">
        <f ca="1">IFERROR(__xludf.DUMMYFUNCTION("GOOGLETRANSLATE(A1083 , ""tr"" , ""en"")"),"Whether you have your turn due to the job or the occupation group, please be your vaccine without losing time. https://t.co/etoxkhja9k")</f>
        <v>Whether you have your turn due to the job or the occupation group, please be your vaccine without losing time. https://t.co/etoxkhja9k</v>
      </c>
    </row>
    <row r="1084" spans="1:5" ht="15.75" customHeight="1" x14ac:dyDescent="0.25">
      <c r="A1084" s="1" t="s">
        <v>2168</v>
      </c>
      <c r="B1084" s="1">
        <v>5013</v>
      </c>
      <c r="C1084" s="3">
        <v>44356.710046296299</v>
      </c>
      <c r="D1084" s="1" t="s">
        <v>2169</v>
      </c>
      <c r="E1084" s="4" t="str">
        <f ca="1">IFERROR(__xludf.DUMMYFUNCTION("GOOGLETRANSLATE(A1084 , ""tr"" , ""en"")"),"It is close to the days when we are going to kiss the hands of our elders, we will cuddle with our loved ones. https://t.co/fpsfzIHYPH")</f>
        <v>It is close to the days when we are going to kiss the hands of our elders, we will cuddle with our loved ones. https://t.co/fpsfzIHYPH</v>
      </c>
    </row>
    <row r="1085" spans="1:5" ht="15.75" customHeight="1" x14ac:dyDescent="0.25">
      <c r="A1085" s="1" t="s">
        <v>2170</v>
      </c>
      <c r="B1085" s="1">
        <v>2713</v>
      </c>
      <c r="C1085" s="3">
        <v>44356.677627314813</v>
      </c>
      <c r="D1085" s="1" t="s">
        <v>2171</v>
      </c>
      <c r="E1085" s="4" t="str">
        <f ca="1">IFERROR(__xludf.DUMMYFUNCTION("GOOGLETRANSLATE(A1085 , ""tr"" , ""en"")"),"Live: After our Science Board Meeting, you can follow our press statement from our Youtube link below.
Video: https://t.co/jv1ajforwb")</f>
        <v>Live: After our Science Board Meeting, you can follow our press statement from our Youtube link below.
Video: https://t.co/jv1ajforwb</v>
      </c>
    </row>
    <row r="1086" spans="1:5" ht="15.75" customHeight="1" x14ac:dyDescent="0.25">
      <c r="A1086" s="1" t="s">
        <v>2172</v>
      </c>
      <c r="B1086" s="1">
        <v>2769</v>
      </c>
      <c r="C1086" s="3">
        <v>44356.63994212963</v>
      </c>
      <c r="D1086" s="1" t="s">
        <v>2173</v>
      </c>
      <c r="E1086" s="4" t="str">
        <f ca="1">IFERROR(__xludf.DUMMYFUNCTION("GOOGLETRANSLATE(A1086 , ""tr"" , ""en"")"),"After our scientific commercial meeting, we can follow our press statement, hours: 19.00 From our Youtube channel below.
YouTube: https://t.co/lzzbtwlqkj")</f>
        <v>After our scientific commercial meeting, we can follow our press statement, hours: 19.00 From our Youtube channel below.
YouTube: https://t.co/lzzbtwlqkj</v>
      </c>
    </row>
    <row r="1087" spans="1:5" ht="15.75" customHeight="1" x14ac:dyDescent="0.25">
      <c r="A1087" s="1" t="s">
        <v>2174</v>
      </c>
      <c r="B1087" s="1">
        <v>0</v>
      </c>
      <c r="C1087" s="3">
        <v>44356.379317129627</v>
      </c>
      <c r="D1087" s="1" t="s">
        <v>2175</v>
      </c>
      <c r="E1087" s="4" t="str">
        <f ca="1">IFERROR(__xludf.DUMMYFUNCTION("GOOGLETRANSLATE(A1087 , ""tr"" , ""en"")"),"RT @rterdogan: AK Party Tbm Group Meeting https://t.co/yylj8yfhtm")</f>
        <v>RT @rterdogan: AK Party Tbm Group Meeting https://t.co/yylj8yfhtm</v>
      </c>
    </row>
    <row r="1088" spans="1:5" ht="15.75" customHeight="1" x14ac:dyDescent="0.25">
      <c r="A1088" s="1" t="s">
        <v>2176</v>
      </c>
      <c r="B1088" s="1">
        <v>15394</v>
      </c>
      <c r="C1088" s="3">
        <v>44355.855810185189</v>
      </c>
      <c r="D1088" s="1" t="s">
        <v>2177</v>
      </c>
      <c r="E1088" s="4" t="str">
        <f ca="1">IFERROR(__xludf.DUMMYFUNCTION("GOOGLETRANSLATE(A1088 , ""tr"" , ""en"")"),"Behzat Bey, your order has already come due to your age group :) But don't worry, our theaters are already in the coverage that we declare. https://t.co/xz3kh2ltum")</f>
        <v>Behzat Bey, your order has already come due to your age group :) But don't worry, our theaters are already in the coverage that we declare. https://t.co/xz3kh2ltum</v>
      </c>
    </row>
    <row r="1089" spans="1:5" ht="15.75" customHeight="1" x14ac:dyDescent="0.25">
      <c r="A1089" s="1" t="s">
        <v>2178</v>
      </c>
      <c r="B1089" s="1">
        <v>13207</v>
      </c>
      <c r="C1089" s="3">
        <v>44355.831226851849</v>
      </c>
      <c r="D1089" s="1" t="s">
        <v>2179</v>
      </c>
      <c r="E1089" s="4" t="str">
        <f ca="1">IFERROR(__xludf.DUMMYFUNCTION("GOOGLETRANSLATE(A1089 , ""tr"" , ""en"")"),"Cem Bey, don't worry about 13 September our university students will be their vaccinations. Now the epidemic will leave the agenda of our country. You are supporting too. https://t.co/2zvuxvw1xn")</f>
        <v>Cem Bey, don't worry about 13 September our university students will be their vaccinations. Now the epidemic will leave the agenda of our country. You are supporting too. https://t.co/2zvuxvw1xn</v>
      </c>
    </row>
    <row r="1090" spans="1:5" ht="15.75" customHeight="1" x14ac:dyDescent="0.25">
      <c r="A1090" s="1" t="s">
        <v>2180</v>
      </c>
      <c r="B1090" s="1">
        <v>35150</v>
      </c>
      <c r="C1090" s="3">
        <v>44355.709814814814</v>
      </c>
      <c r="D1090" s="1" t="s">
        <v>2181</v>
      </c>
      <c r="E1090" s="4" t="str">
        <f ca="1">IFERROR(__xludf.DUMMYFUNCTION("GOOGLETRANSLATE(A1090 , ""tr"" , ""en"")"),"An occupational group is in the more vaccine program. In order to start face-to-face training in September in September, we start the vaccination of our faculty members and university staff. Trust this power.")</f>
        <v>An occupational group is in the more vaccine program. In order to start face-to-face training in September in September, we start the vaccination of our faculty members and university staff. Trust this power.</v>
      </c>
    </row>
    <row r="1091" spans="1:5" ht="15.75" customHeight="1" x14ac:dyDescent="0.25">
      <c r="A1091" s="1" t="s">
        <v>2182</v>
      </c>
      <c r="B1091" s="1">
        <v>16143</v>
      </c>
      <c r="C1091" s="3">
        <v>44355.664143518516</v>
      </c>
      <c r="D1091" s="1" t="s">
        <v>2183</v>
      </c>
      <c r="E1091" s="4" t="str">
        <f ca="1">IFERROR(__xludf.DUMMYFUNCTION("GOOGLETRANSLATE(A1091 , ""tr"" , ""en"")"),"In our vaccine program, we start the more vaccination of a group. Musicians, movies and array production teams can be able to be vaccinated from tomorrow. By adding new profession and age groups every day, we will remove our country from the epidemic agen"&amp;"da as soon as possible. Trust this power.")</f>
        <v>In our vaccine program, we start the more vaccination of a group. Musicians, movies and array production teams can be able to be vaccinated from tomorrow. By adding new profession and age groups every day, we will remove our country from the epidemic agenda as soon as possible. Trust this power.</v>
      </c>
    </row>
    <row r="1092" spans="1:5" ht="15.75" customHeight="1" x14ac:dyDescent="0.25">
      <c r="A1092" s="1" t="s">
        <v>2184</v>
      </c>
      <c r="B1092" s="1">
        <v>4495</v>
      </c>
      <c r="C1092" s="3">
        <v>44355.584398148145</v>
      </c>
      <c r="D1092" s="1" t="s">
        <v>2185</v>
      </c>
      <c r="E1092" s="4" t="str">
        <f ca="1">IFERROR(__xludf.DUMMYFUNCTION("GOOGLETRANSLATE(A1092 , ""tr"" , ""en"")"),"The number of cases in a final week is the most diminished provinces in Gumushane, Bilecik, Bayburt, Kocaeli and Kırklareli. We will be immunized with the vaccine to continue decline in the numbers of cases. Trust this power. https://t.co/it0jpgv8JI")</f>
        <v>The number of cases in a final week is the most diminished provinces in Gumushane, Bilecik, Bayburt, Kocaeli and Kırklareli. We will be immunized with the vaccine to continue decline in the numbers of cases. Trust this power. https://t.co/it0jpgv8JI</v>
      </c>
    </row>
    <row r="1093" spans="1:5" ht="15.75" customHeight="1" x14ac:dyDescent="0.25">
      <c r="A1093" s="1" t="s">
        <v>2186</v>
      </c>
      <c r="B1093" s="1">
        <v>6314</v>
      </c>
      <c r="C1093" s="3">
        <v>44355.571689814817</v>
      </c>
      <c r="D1093" s="1" t="s">
        <v>2187</v>
      </c>
      <c r="E1093" s="4" t="str">
        <f ca="1">IFERROR(__xludf.DUMMYFUNCTION("GOOGLETRANSLATE(A1093 , ""tr"" , ""en"")"),"In our provinces, you can see the current version of the incidence map that shows a total number of considers who correspond to 100,000 population. Although the speed of the case numbers decrease the speed is reduced, it continues to fall. Trust this powe"&amp;"r. https://t.co/tdew0cuzqs")</f>
        <v>In our provinces, you can see the current version of the incidence map that shows a total number of considers who correspond to 100,000 population. Although the speed of the case numbers decrease the speed is reduced, it continues to fall. Trust this power. https://t.co/tdew0cuzqs</v>
      </c>
    </row>
    <row r="1094" spans="1:5" ht="15.75" customHeight="1" x14ac:dyDescent="0.25">
      <c r="A1094" s="1" t="s">
        <v>2188</v>
      </c>
      <c r="B1094" s="1">
        <v>19867</v>
      </c>
      <c r="C1094" s="3">
        <v>44355.334374999999</v>
      </c>
      <c r="D1094" s="1" t="s">
        <v>2189</v>
      </c>
      <c r="E1094" s="4" t="str">
        <f ca="1">IFERROR(__xludf.DUMMYFUNCTION("GOOGLETRANSLATE(A1094 , ""tr"" , ""en"")"),"There are new facilities in access to vaccine. For BionTech vaccine, our family physicians are also enabled with public and private hospitals. From today you can make an appointment via E-NAB and MHRS. Trust this power.")</f>
        <v>There are new facilities in access to vaccine. For BionTech vaccine, our family physicians are also enabled with public and private hospitals. From today you can make an appointment via E-NAB and MHRS. Trust this power.</v>
      </c>
    </row>
    <row r="1095" spans="1:5" ht="15.75" customHeight="1" x14ac:dyDescent="0.25">
      <c r="A1095" s="1" t="s">
        <v>2190</v>
      </c>
      <c r="B1095" s="1">
        <v>11899</v>
      </c>
      <c r="C1095" s="3">
        <v>44354.550428240742</v>
      </c>
      <c r="D1095" s="1" t="s">
        <v>2191</v>
      </c>
      <c r="E1095" s="4" t="str">
        <f ca="1">IFERROR(__xludf.DUMMYFUNCTION("GOOGLETRANSLATE(A1095 , ""tr"" , ""en"")"),"Cahit Zarikoğlu, said the seven beautiful men and one of them. With their poems, he gave us with the youth he raised: ""I have white news my brothers"". Abdurrahim Karakoç touched the heart of our people with Mihriban poetry. I remember that two poets for"&amp;" the difference in the year acres.")</f>
        <v>Cahit Zarikoğlu, said the seven beautiful men and one of them. With their poems, he gave us with the youth he raised: "I have white news my brothers". Abdurrahim Karakoç touched the heart of our people with Mihriban poetry. I remember that two poets for the difference in the year acres.</v>
      </c>
    </row>
    <row r="1096" spans="1:5" ht="15.75" customHeight="1" x14ac:dyDescent="0.25">
      <c r="A1096" s="1" t="s">
        <v>2192</v>
      </c>
      <c r="B1096" s="1">
        <v>8766</v>
      </c>
      <c r="C1096" s="3">
        <v>44353.815092592595</v>
      </c>
      <c r="D1096" s="1" t="s">
        <v>2193</v>
      </c>
      <c r="E1096" s="4" t="str">
        <f ca="1">IFERROR(__xludf.DUMMYFUNCTION("GOOGLETRANSLATE(A1096 , ""tr"" , ""en"")"),"Paw Yıldızırım The Herois Soldier with Handmade Explosives in the Harecat region Wishing SAMET SEKET to the mercy, relatives and our nation. https://t.co/t44q9yzzfn")</f>
        <v>Paw Yıldızırım The Herois Soldier with Handmade Explosives in the Harecat region Wishing SAMET SEKET to the mercy, relatives and our nation. https://t.co/t44q9yzzfn</v>
      </c>
    </row>
    <row r="1097" spans="1:5" ht="15.75" customHeight="1" x14ac:dyDescent="0.25">
      <c r="A1097" s="1" t="s">
        <v>2194</v>
      </c>
      <c r="B1097" s="1">
        <v>15776</v>
      </c>
      <c r="C1097" s="3">
        <v>44353.643912037034</v>
      </c>
      <c r="D1097" s="1" t="s">
        <v>2195</v>
      </c>
      <c r="E1097" s="4" t="str">
        <f ca="1">IFERROR(__xludf.DUMMYFUNCTION("GOOGLETRANSLATE(A1097 , ""tr"" , ""en"")"),"Precious dietitians celebrate your World Dieticians Day. Your support is important to those who want to return to their old normal. To the old ordinary, according to us, including healthy eating and normal weights.")</f>
        <v>Precious dietitians celebrate your World Dieticians Day. Your support is important to those who want to return to their old normal. To the old ordinary, according to us, including healthy eating and normal weights.</v>
      </c>
    </row>
    <row r="1098" spans="1:5" ht="15.75" customHeight="1" x14ac:dyDescent="0.25">
      <c r="A1098" s="1" t="s">
        <v>2196</v>
      </c>
      <c r="B1098" s="1">
        <v>6005</v>
      </c>
      <c r="C1098" s="3">
        <v>44352.844814814816</v>
      </c>
      <c r="D1098" s="1" t="s">
        <v>2197</v>
      </c>
      <c r="E1098" s="4" t="str">
        <f ca="1">IFERROR(__xludf.DUMMYFUNCTION("GOOGLETRANSLATE(A1098 , ""tr"" , ""en"")"),"We get to our minors to get to our minors #theles are https://t.co/hywonczonf")</f>
        <v>We get to our minors to get to our minors #theles are https://t.co/hywonczonf</v>
      </c>
    </row>
    <row r="1099" spans="1:5" ht="15.75" customHeight="1" x14ac:dyDescent="0.25">
      <c r="A1099" s="1" t="s">
        <v>2198</v>
      </c>
      <c r="B1099" s="1">
        <v>26334</v>
      </c>
      <c r="C1099" s="3">
        <v>44352.701099537036</v>
      </c>
      <c r="D1099" s="1" t="s">
        <v>2199</v>
      </c>
      <c r="E1099" s="4" t="str">
        <f ca="1">IFERROR(__xludf.DUMMYFUNCTION("GOOGLETRANSLATE(A1099 , ""tr"" , ""en"")"),"Today is World Environment Day. Let me alert from today. We will soon remove the masks. But not the place!")</f>
        <v>Today is World Environment Day. Let me alert from today. We will soon remove the masks. But not the place!</v>
      </c>
    </row>
    <row r="1100" spans="1:5" ht="15.75" customHeight="1" x14ac:dyDescent="0.25">
      <c r="A1100" s="1" t="s">
        <v>2200</v>
      </c>
      <c r="B1100" s="1">
        <v>10958</v>
      </c>
      <c r="C1100" s="3">
        <v>44351.872395833336</v>
      </c>
      <c r="D1100" s="1" t="s">
        <v>2201</v>
      </c>
      <c r="E1100" s="4" t="str">
        <f ca="1">IFERROR(__xludf.DUMMYFUNCTION("GOOGLETRANSLATE(A1100 , ""tr"" , ""en"")"),"We have reached a total of 30 million dose in the vaccine. As of today, we will see the results of this number very soon, 84 million. The way to return to healthy days, let's continue with determination.")</f>
        <v>We have reached a total of 30 million dose in the vaccine. As of today, we will see the results of this number very soon, 84 million. The way to return to healthy days, let's continue with determination.</v>
      </c>
    </row>
    <row r="1101" spans="1:5" ht="15.75" customHeight="1" x14ac:dyDescent="0.25">
      <c r="A1101" s="1" t="s">
        <v>2202</v>
      </c>
      <c r="B1101" s="1">
        <v>21274</v>
      </c>
      <c r="C1101" s="3">
        <v>44351.868576388886</v>
      </c>
      <c r="D1101" s="1" t="s">
        <v>2203</v>
      </c>
      <c r="E1101" s="4" t="str">
        <f ca="1">IFERROR(__xludf.DUMMYFUNCTION("GOOGLETRANSLATE(A1101 , ""tr"" , ""en"")"),"Our passing count has landed below 100 today. The attention and vaccine you have shown is increasingly controlling everything. In our patients who left our call, I wish more than Allah. The way to return to healthy days, let's continue with determination.")</f>
        <v>Our passing count has landed below 100 today. The attention and vaccine you have shown is increasingly controlling everything. In our patients who left our call, I wish more than Allah. The way to return to healthy days, let's continue with determination.</v>
      </c>
    </row>
    <row r="1102" spans="1:5" ht="15.75" customHeight="1" x14ac:dyDescent="0.25">
      <c r="A1102" s="1" t="s">
        <v>2204</v>
      </c>
      <c r="B1102" s="1">
        <v>3485</v>
      </c>
      <c r="C1102" s="3">
        <v>44351.832824074074</v>
      </c>
      <c r="D1102" s="1" t="s">
        <v>2205</v>
      </c>
      <c r="E1102" s="4" t="str">
        <f ca="1">IFERROR(__xludf.DUMMYFUNCTION("GOOGLETRANSLATE(A1102 , ""tr"" , ""en"")"),"The Hasan, which compiled the hidden treasures of the music and the masses that bring together with the masses, today was terrified today. With the heart attack, this music person leaves us will live in the hearts. Thanks to this world that is widespread "&amp;"the Turk Ahmet Aslan and Kemal vocabulates a window: https://t.co/eevdu2dkm5")</f>
        <v>The Hasan, which compiled the hidden treasures of the music and the masses that bring together with the masses, today was terrified today. With the heart attack, this music person leaves us will live in the hearts. Thanks to this world that is widespread the Turk Ahmet Aslan and Kemal vocabulates a window: https://t.co/eevdu2dkm5</v>
      </c>
    </row>
    <row r="1103" spans="1:5" ht="15.75" customHeight="1" x14ac:dyDescent="0.25">
      <c r="A1103" s="1" t="s">
        <v>2206</v>
      </c>
      <c r="B1103" s="1">
        <v>6505</v>
      </c>
      <c r="C1103" s="3">
        <v>44351.619351851848</v>
      </c>
      <c r="D1103" s="1" t="s">
        <v>2207</v>
      </c>
      <c r="E1103" s="4" t="str">
        <f ca="1">IFERROR(__xludf.DUMMYFUNCTION("GOOGLETRANSLATE(A1103 , ""tr"" , ""en"")"),"We strive to prepare all the necessary requirements for our citizens to be vaccinated. Our citizens are almost our service will be there. We will gain immunity as vaccination and bring out its epidemic agenda. Trust this power. https://t.co/smybxbejj4")</f>
        <v>We strive to prepare all the necessary requirements for our citizens to be vaccinated. Our citizens are almost our service will be there. We will gain immunity as vaccination and bring out its epidemic agenda. Trust this power. https://t.co/smybxbejj4</v>
      </c>
    </row>
    <row r="1104" spans="1:5" ht="15.75" customHeight="1" x14ac:dyDescent="0.25">
      <c r="A1104" s="1" t="s">
        <v>2208</v>
      </c>
      <c r="B1104" s="1">
        <v>12218</v>
      </c>
      <c r="C1104" s="3">
        <v>44351.46402777778</v>
      </c>
      <c r="D1104" s="1" t="s">
        <v>2209</v>
      </c>
      <c r="E1104" s="4" t="str">
        <f ca="1">IFERROR(__xludf.DUMMYFUNCTION("GOOGLETRANSLATE(A1104 , ""tr"" , ""en"")"),"As of today, 30 million dose of overdose was performed. More than one-third of our population has been applied. We have an agreement for more than three-fold dose vaccines of our population. Tomorrow will be more beautiful than today. Trust this power. ht"&amp;"tps://t.co/h7ao82ctpi")</f>
        <v>As of today, 30 million dose of overdose was performed. More than one-third of our population has been applied. We have an agreement for more than three-fold dose vaccines of our population. Tomorrow will be more beautiful than today. Trust this power. https://t.co/h7ao82ctpi</v>
      </c>
    </row>
    <row r="1105" spans="1:5" ht="15.75" customHeight="1" x14ac:dyDescent="0.25">
      <c r="A1105" s="1" t="s">
        <v>2210</v>
      </c>
      <c r="B1105" s="1">
        <v>6025</v>
      </c>
      <c r="C1105" s="3">
        <v>44350.534259259257</v>
      </c>
      <c r="D1105" s="1" t="s">
        <v>2211</v>
      </c>
      <c r="E1105" s="4" t="str">
        <f ca="1">IFERROR(__xludf.DUMMYFUNCTION("GOOGLETRANSLATE(A1105 , ""tr"" , ""en"")"),"Our battle, poverty, searing of freedom, our great poet telling the universal story of human beings, I respect the Yenim Hikmet in the year of death. We have gained the love of the whole world of all the world's love. Let's listen to the girl's poetry fro"&amp;"m his own voice. https://t.co/yujimmptln")</f>
        <v>Our battle, poverty, searing of freedom, our great poet telling the universal story of human beings, I respect the Yenim Hikmet in the year of death. We have gained the love of the whole world of all the world's love. Let's listen to the girl's poetry from his own voice. https://t.co/yujimmptln</v>
      </c>
    </row>
    <row r="1106" spans="1:5" ht="15.75" customHeight="1" x14ac:dyDescent="0.25">
      <c r="A1106" s="1" t="s">
        <v>2212</v>
      </c>
      <c r="B1106" s="1">
        <v>25550</v>
      </c>
      <c r="C1106" s="3">
        <v>44349.687418981484</v>
      </c>
      <c r="D1106" s="1" t="s">
        <v>2213</v>
      </c>
      <c r="E1106" s="4" t="str">
        <f ca="1">IFERROR(__xludf.DUMMYFUNCTION("GOOGLETRANSLATE(A1106 , ""tr"" , ""en"")"),"A new period is starting for our next week inoculation program. From Monday June 7, all our teachers will be vaccinated without age limit. We will gain immunity with the vaccine and bring out the epidemic agenda. Trust this power.")</f>
        <v>A new period is starting for our next week inoculation program. From Monday June 7, all our teachers will be vaccinated without age limit. We will gain immunity with the vaccine and bring out the epidemic agenda. Trust this power.</v>
      </c>
    </row>
    <row r="1107" spans="1:5" ht="15.75" customHeight="1" x14ac:dyDescent="0.25">
      <c r="A1107" s="1" t="s">
        <v>2214</v>
      </c>
      <c r="B1107" s="1">
        <v>4453</v>
      </c>
      <c r="C1107" s="3">
        <v>44349.679467592592</v>
      </c>
      <c r="D1107" s="1" t="s">
        <v>2215</v>
      </c>
      <c r="E1107" s="4" t="str">
        <f ca="1">IFERROR(__xludf.DUMMYFUNCTION("GOOGLETRANSLATE(A1107 , ""tr"" , ""en"")"),"In Bitlis-Tatvan in the conflict in which they entered the martyrs falling ranger of Yücel Aki and Gendarmeri Lieutenant Baki Koçak. I wish our family, lovers and my nationality. For our 4 hero soldiers injured in the same conflict, I wish you emergency h"&amp;"ealing. https://t.co/bacfp12pum")</f>
        <v>In Bitlis-Tatvan in the conflict in which they entered the martyrs falling ranger of Yücel Aki and Gendarmeri Lieutenant Baki Koçak. I wish our family, lovers and my nationality. For our 4 hero soldiers injured in the same conflict, I wish you emergency healing. https://t.co/bacfp12pum</v>
      </c>
    </row>
    <row r="1108" spans="1:5" ht="15.75" customHeight="1" x14ac:dyDescent="0.25">
      <c r="A1108" s="1" t="s">
        <v>2216</v>
      </c>
      <c r="B1108" s="1">
        <v>5337</v>
      </c>
      <c r="C1108" s="3">
        <v>44349.674884259257</v>
      </c>
      <c r="D1108" s="1" t="s">
        <v>2217</v>
      </c>
      <c r="E1108" s="4" t="str">
        <f ca="1">IFERROR(__xludf.DUMMYFUNCTION("GOOGLETRANSLATE(A1108 , ""tr"" , ""en"")"),"The way to the old normal is going through vaccination. https://t.co/vvovvxkkdn")</f>
        <v>The way to the old normal is going through vaccination. https://t.co/vvovvxkkdn</v>
      </c>
    </row>
    <row r="1109" spans="1:5" ht="15.75" customHeight="1" x14ac:dyDescent="0.25">
      <c r="A1109" s="1" t="s">
        <v>2218</v>
      </c>
      <c r="B1109" s="1">
        <v>4755</v>
      </c>
      <c r="C1109" s="3">
        <v>44349.668368055558</v>
      </c>
      <c r="D1109" s="1" t="s">
        <v>2219</v>
      </c>
      <c r="E1109" s="4" t="str">
        <f ca="1">IFERROR(__xludf.DUMMYFUNCTION("GOOGLETRANSLATE(A1109 , ""tr"" , ""en"")"),"Our citizen of our citizen has to be the vaccination safely if there is possibility of vaccination with vaccination. https://t.co/v6tfcx8bcp")</f>
        <v>Our citizen of our citizen has to be the vaccination safely if there is possibility of vaccination with vaccination. https://t.co/v6tfcx8bcp</v>
      </c>
    </row>
    <row r="1110" spans="1:5" ht="15.75" customHeight="1" x14ac:dyDescent="0.25">
      <c r="A1110" s="1" t="s">
        <v>2220</v>
      </c>
      <c r="B1110" s="1">
        <v>8505</v>
      </c>
      <c r="C1110" s="3">
        <v>44349.660243055558</v>
      </c>
      <c r="D1110" s="1" t="s">
        <v>2221</v>
      </c>
      <c r="E1110" s="4" t="str">
        <f ca="1">IFERROR(__xludf.DUMMYFUNCTION("GOOGLETRANSLATE(A1110 , ""tr"" , ""en"")"),"The last summer that the masks sweat in our face will be this summer. https://t.co/6dlklyko0f")</f>
        <v>The last summer that the masks sweat in our face will be this summer. https://t.co/6dlklyko0f</v>
      </c>
    </row>
    <row r="1111" spans="1:5" ht="15.75" customHeight="1" x14ac:dyDescent="0.25">
      <c r="A1111" s="1" t="s">
        <v>2222</v>
      </c>
      <c r="B1111" s="1">
        <v>2704</v>
      </c>
      <c r="C1111" s="3">
        <v>44349.642905092594</v>
      </c>
      <c r="D1111" s="1" t="s">
        <v>2223</v>
      </c>
      <c r="E1111" s="4" t="str">
        <f ca="1">IFERROR(__xludf.DUMMYFUNCTION("GOOGLETRANSLATE(A1111 , ""tr"" , ""en"")"),"Live: After our Science Board Meeting, you can follow our press statement from our Youtube link below.
Video: https://t.co/s3tnybezkn")</f>
        <v>Live: After our Science Board Meeting, you can follow our press statement from our Youtube link below.
Video: https://t.co/s3tnybezkn</v>
      </c>
    </row>
    <row r="1112" spans="1:5" ht="15.75" customHeight="1" x14ac:dyDescent="0.25">
      <c r="A1112" s="1" t="s">
        <v>2224</v>
      </c>
      <c r="B1112" s="1">
        <v>2217</v>
      </c>
      <c r="C1112" s="3">
        <v>44349.632453703707</v>
      </c>
      <c r="D1112" s="1" t="s">
        <v>2225</v>
      </c>
      <c r="E1112" s="4" t="str">
        <f ca="1">IFERROR(__xludf.DUMMYFUNCTION("GOOGLETRANSLATE(A1112 , ""tr"" , ""en"")"),"After our Science Board meeting, we can follow our press statement from our Youtube channel below in 18.20.
YouTube: https://t.co/lzzbtwlqkj")</f>
        <v>After our Science Board meeting, we can follow our press statement from our Youtube channel below in 18.20.
YouTube: https://t.co/lzzbtwlqkj</v>
      </c>
    </row>
    <row r="1113" spans="1:5" ht="15.75" customHeight="1" x14ac:dyDescent="0.25">
      <c r="A1113" s="1" t="s">
        <v>2226</v>
      </c>
      <c r="B1113" s="1">
        <v>4801</v>
      </c>
      <c r="C1113" s="3">
        <v>44349.457442129627</v>
      </c>
      <c r="D1113" s="1" t="s">
        <v>2227</v>
      </c>
      <c r="E1113" s="4" t="str">
        <f ca="1">IFERROR(__xludf.DUMMYFUNCTION("GOOGLETRANSLATE(A1113 , ""tr"" , ""en"")"),"It is not only a heavy crime that brought severe penalties to violence instead of respective respondency and sacrifice, but also a heavy embarrassment of conscience. # HEALTHEFYEFYAFIOK HTTPS://T.CO/I5VPKF0LLV")</f>
        <v>It is not only a heavy crime that brought severe penalties to violence instead of respective respondency and sacrifice, but also a heavy embarrassment of conscience. # HEALTHEFYEFYAFIOK HTTPS://T.CO/I5VPKF0LLV</v>
      </c>
    </row>
    <row r="1114" spans="1:5" ht="15.75" customHeight="1" x14ac:dyDescent="0.25">
      <c r="A1114" s="1" t="s">
        <v>2228</v>
      </c>
      <c r="B1114" s="1">
        <v>9184</v>
      </c>
      <c r="C1114" s="3">
        <v>44348.818749999999</v>
      </c>
      <c r="D1114" s="1" t="s">
        <v>2229</v>
      </c>
      <c r="E1114" s="4" t="str">
        <f ca="1">IFERROR(__xludf.DUMMYFUNCTION("GOOGLETRANSLATE(A1114 , ""tr"" , ""en"")"),"I visited the colleague with the attack on himself in the hospital where the Ertan Alexander was treated. The situation is going well every day. Our follow-up will continue until the results of the attacks. Preserving health workers is all responsibility."&amp;" https://t.co/2hcmcczBTI")</f>
        <v>I visited the colleague with the attack on himself in the hospital where the Ertan Alexander was treated. The situation is going well every day. Our follow-up will continue until the results of the attacks. Preserving health workers is all responsibility. https://t.co/2hcmcczBTI</v>
      </c>
    </row>
    <row r="1115" spans="1:5" ht="15.75" customHeight="1" x14ac:dyDescent="0.25">
      <c r="A1115" s="1" t="s">
        <v>2230</v>
      </c>
      <c r="B1115" s="1">
        <v>4924</v>
      </c>
      <c r="C1115" s="3">
        <v>44348.716643518521</v>
      </c>
      <c r="D1115" s="1" t="s">
        <v>2231</v>
      </c>
      <c r="E1115" s="4" t="str">
        <f ca="1">IFERROR(__xludf.DUMMYFUNCTION("GOOGLETRANSLATE(A1115 , ""tr"" , ""en"")"),"The number of cases in a final week is the most diminished provinces in Erzurum, Tunceli, Kastamonu, Samsun and Kocaeli. It takes positive cruise. Trust this power. https://t.co/saqw0yjtj6")</f>
        <v>The number of cases in a final week is the most diminished provinces in Erzurum, Tunceli, Kastamonu, Samsun and Kocaeli. It takes positive cruise. Trust this power. https://t.co/saqw0yjtj6</v>
      </c>
    </row>
    <row r="1116" spans="1:5" ht="15.75" customHeight="1" x14ac:dyDescent="0.25">
      <c r="A1116" s="1" t="s">
        <v>2232</v>
      </c>
      <c r="B1116" s="1">
        <v>7011</v>
      </c>
      <c r="C1116" s="3">
        <v>44348.7108912037</v>
      </c>
      <c r="D1116" s="1" t="s">
        <v>2233</v>
      </c>
      <c r="E1116" s="4" t="str">
        <f ca="1">IFERROR(__xludf.DUMMYFUNCTION("GOOGLETRANSLATE(A1116 , ""tr"" , ""en"")"),"In our provinces, you can see the current version of the incidence map that shows a total number of considers who correspond to 100,000 population. The decline trend of the number of cases continues. https://t.co/xbwwbckwmm")</f>
        <v>In our provinces, you can see the current version of the incidence map that shows a total number of considers who correspond to 100,000 population. The decline trend of the number of cases continues. https://t.co/xbwwbckwmm</v>
      </c>
    </row>
    <row r="1117" spans="1:5" ht="15.75" customHeight="1" x14ac:dyDescent="0.25">
      <c r="A1117" s="1" t="s">
        <v>2234</v>
      </c>
      <c r="B1117" s="1">
        <v>16590</v>
      </c>
      <c r="C1117" s="3">
        <v>44348.662581018521</v>
      </c>
      <c r="D1117" s="1" t="s">
        <v>2235</v>
      </c>
      <c r="E1117" s="4" t="str">
        <f ca="1">IFERROR(__xludf.DUMMYFUNCTION("GOOGLETRANSLATE(A1117 , ""tr"" , ""en"")"),"COVID-19 VAS COVID-19 VAS CORONOVAC; Approved by the World Health Organization. We will continue to bring the reliability and effect of proven every vaccine with our citizens. Trust this power.")</f>
        <v>COVID-19 VAS COVID-19 VAS CORONOVAC; Approved by the World Health Organization. We will continue to bring the reliability and effect of proven every vaccine with our citizens. Trust this power.</v>
      </c>
    </row>
    <row r="1118" spans="1:5" ht="15.75" customHeight="1" x14ac:dyDescent="0.25">
      <c r="A1118" s="1" t="s">
        <v>2236</v>
      </c>
      <c r="B1118" s="1">
        <v>24948</v>
      </c>
      <c r="C1118" s="3">
        <v>44348.507523148146</v>
      </c>
      <c r="D1118" s="1" t="s">
        <v>2237</v>
      </c>
      <c r="E1118" s="4" t="str">
        <f ca="1">IFERROR(__xludf.DUMMYFUNCTION("GOOGLETRANSLATE(A1118 , ""tr"" , ""en"")"),"The vaccine program of our citizens over 50 years started as of today. We will remove the effect of the outbreak with the vaccine from our agenda. Trust this power.")</f>
        <v>The vaccine program of our citizens over 50 years started as of today. We will remove the effect of the outbreak with the vaccine from our agenda. Trust this power.</v>
      </c>
    </row>
    <row r="1119" spans="1:5" ht="15.75" customHeight="1" x14ac:dyDescent="0.25">
      <c r="A1119" s="1" t="s">
        <v>2238</v>
      </c>
      <c r="B1119" s="1">
        <v>5931</v>
      </c>
      <c r="C1119" s="3">
        <v>44347.791620370372</v>
      </c>
      <c r="D1119" s="1" t="s">
        <v>2239</v>
      </c>
      <c r="E1119" s="4" t="str">
        <f ca="1">IFERROR(__xludf.DUMMYFUNCTION("GOOGLETRANSLATE(A1119 , ""tr"" , ""en"")"),"To share all the beauties of life with our loved ones #sholes of https://t.co/31auc7evza")</f>
        <v>To share all the beauties of life with our loved ones #sholes of https://t.co/31auc7evza</v>
      </c>
    </row>
    <row r="1120" spans="1:5" ht="15.75" customHeight="1" x14ac:dyDescent="0.25">
      <c r="A1120" s="1" t="s">
        <v>2240</v>
      </c>
      <c r="B1120" s="1">
        <v>0</v>
      </c>
      <c r="C1120" s="3">
        <v>44347.703865740739</v>
      </c>
      <c r="D1120" s="1" t="s">
        <v>2241</v>
      </c>
      <c r="E1120" s="4" t="str">
        <f ca="1">IFERROR(__xludf.DUMMYFUNCTION("GOOGLETRANSLATE(A1120 , ""tr"" , ""en"")"),"RT @rterdogan: Shouting Nation After Cabinet Meeting https://t.co/wg6thhver0")</f>
        <v>RT @rterdogan: Shouting Nation After Cabinet Meeting https://t.co/wg6thhver0</v>
      </c>
    </row>
    <row r="1121" spans="1:5" ht="15.75" customHeight="1" x14ac:dyDescent="0.25">
      <c r="A1121" s="1" t="s">
        <v>2242</v>
      </c>
      <c r="B1121" s="1">
        <v>24702</v>
      </c>
      <c r="C1121" s="3">
        <v>44347.505706018521</v>
      </c>
      <c r="D1121" s="1" t="s">
        <v>2243</v>
      </c>
      <c r="E1121" s="4" t="str">
        <f ca="1">IFERROR(__xludf.DUMMYFUNCTION("GOOGLETRANSLATE(A1121 , ""tr"" , ""en"")"),"With the smoke of tobacco products such as cigarette, puro, pipo, hookah, you will probably prepare the causes of diseases away from you. Even even even. Do not afford to be caught in heavy diseases for the sake of a brief ""joy."" May 31st Be Decision Da"&amp;"y for Health Day of the World Together.")</f>
        <v>With the smoke of tobacco products such as cigarette, puro, pipo, hookah, you will probably prepare the causes of diseases away from you. Even even even. Do not afford to be caught in heavy diseases for the sake of a brief "joy." May 31st Be Decision Day for Health Day of the World Together.</v>
      </c>
    </row>
    <row r="1122" spans="1:5" ht="15.75" customHeight="1" x14ac:dyDescent="0.25">
      <c r="A1122" s="1" t="s">
        <v>2244</v>
      </c>
      <c r="B1122" s="1">
        <v>23755</v>
      </c>
      <c r="C1122" s="3">
        <v>44346.889965277776</v>
      </c>
      <c r="D1122" s="1" t="s">
        <v>2245</v>
      </c>
      <c r="E1122" s="4" t="str">
        <f ca="1">IFERROR(__xludf.DUMMYFUNCTION("GOOGLETRANSLATE(A1122 , ""tr"" , ""en"")"),"Anadolu Efes, the Russian team in the Semi final of the Euroleague, was the champion by beating the Spanish team Barcelona in the final. I celebrate everyone with a share in this success, especially our players. The crucials know the largest of Europe ver"&amp;"y well, so much!")</f>
        <v>Anadolu Efes, the Russian team in the Semi final of the Euroleague, was the champion by beating the Spanish team Barcelona in the final. I celebrate everyone with a share in this success, especially our players. The crucials know the largest of Europe very well, so much!</v>
      </c>
    </row>
    <row r="1123" spans="1:5" ht="15.75" customHeight="1" x14ac:dyDescent="0.25">
      <c r="A1123" s="1" t="s">
        <v>2246</v>
      </c>
      <c r="B1123" s="1">
        <v>8183</v>
      </c>
      <c r="C1123" s="3">
        <v>44346.793796296297</v>
      </c>
      <c r="D1123" s="1" t="s">
        <v>2247</v>
      </c>
      <c r="E1123" s="4" t="str">
        <f ca="1">IFERROR(__xludf.DUMMYFUNCTION("GOOGLETRANSLATE(A1123 , ""tr"" , ""en"")"),"Our business is to normalize our lives #theles are https://t.co/lmmr7hkk97")</f>
        <v>Our business is to normalize our lives #theles are https://t.co/lmmr7hkk97</v>
      </c>
    </row>
    <row r="1124" spans="1:5" ht="15.75" customHeight="1" x14ac:dyDescent="0.25">
      <c r="A1124" s="1" t="s">
        <v>2248</v>
      </c>
      <c r="B1124" s="1">
        <v>8447</v>
      </c>
      <c r="C1124" s="3">
        <v>44345.771006944444</v>
      </c>
      <c r="D1124" s="1" t="s">
        <v>2249</v>
      </c>
      <c r="E1124" s="4" t="str">
        <f ca="1">IFERROR(__xludf.DUMMYFUNCTION("GOOGLETRANSLATE(A1124 , ""tr"" , ""en"")"),"We are going to reach victory together against Koronavirus Https://t.co/cp8pkxs1nr")</f>
        <v>We are going to reach victory together against Koronavirus Https://t.co/cp8pkxs1nr</v>
      </c>
    </row>
    <row r="1125" spans="1:5" ht="15.75" customHeight="1" x14ac:dyDescent="0.25">
      <c r="A1125" s="1" t="s">
        <v>2250</v>
      </c>
      <c r="B1125" s="1">
        <v>29778</v>
      </c>
      <c r="C1125" s="3">
        <v>44345.333796296298</v>
      </c>
      <c r="D1125" s="1" t="s">
        <v>2251</v>
      </c>
      <c r="E1125" s="4" t="str">
        <f ca="1">IFERROR(__xludf.DUMMYFUNCTION("GOOGLETRANSLATE(A1125 , ""tr"" , ""en"")"),"We love you with the love of the first day Istanbul. Happy 568th anniversary of the conquest, the spirit of the Irraborated Fatih is the Sadi. https://t.co/rkqbruizyq")</f>
        <v>We love you with the love of the first day Istanbul. Happy 568th anniversary of the conquest, the spirit of the Irraborated Fatih is the Sadi. https://t.co/rkqbruizyq</v>
      </c>
    </row>
    <row r="1126" spans="1:5" ht="15.75" customHeight="1" x14ac:dyDescent="0.25">
      <c r="A1126" s="1" t="s">
        <v>2252</v>
      </c>
      <c r="B1126" s="1">
        <v>9314</v>
      </c>
      <c r="C1126" s="3">
        <v>44344.828831018516</v>
      </c>
      <c r="D1126" s="1" t="s">
        <v>2253</v>
      </c>
      <c r="E1126" s="4" t="str">
        <f ca="1">IFERROR(__xludf.DUMMYFUNCTION("GOOGLETRANSLATE(A1126 , ""tr"" , ""en"")"),"We are going to reach the light at the end of the tunnel #theles that are https://t.co/ftohjstlaz")</f>
        <v>We are going to reach the light at the end of the tunnel #theles that are https://t.co/ftohjstlaz</v>
      </c>
    </row>
    <row r="1127" spans="1:5" ht="15.75" customHeight="1" x14ac:dyDescent="0.25">
      <c r="A1127" s="1" t="s">
        <v>2254</v>
      </c>
      <c r="B1127" s="1">
        <v>3649</v>
      </c>
      <c r="C1127" s="3">
        <v>44344.805185185185</v>
      </c>
      <c r="D1127" s="1" t="s">
        <v>2255</v>
      </c>
      <c r="E1127" s="4" t="str">
        <f ca="1">IFERROR(__xludf.DUMMYFUNCTION("GOOGLETRANSLATE(A1127 , ""tr"" , ""en"")"),"The vaccination of our full-dependent mid-level and heavy disabled citizens began. Our health workers are there if you need the service. Trust this power. https://t.co/zanwtvm07o")</f>
        <v>The vaccination of our full-dependent mid-level and heavy disabled citizens began. Our health workers are there if you need the service. Trust this power. https://t.co/zanwtvm07o</v>
      </c>
    </row>
    <row r="1128" spans="1:5" ht="15.75" customHeight="1" x14ac:dyDescent="0.25">
      <c r="A1128" s="1" t="s">
        <v>2256</v>
      </c>
      <c r="B1128" s="1">
        <v>22573</v>
      </c>
      <c r="C1128" s="3">
        <v>44343.870729166665</v>
      </c>
      <c r="D1128" s="1" t="s">
        <v>2257</v>
      </c>
      <c r="E1128" s="4" t="str">
        <f ca="1">IFERROR(__xludf.DUMMYFUNCTION("GOOGLETRANSLATE(A1128 , ""tr"" , ""en"")"),"Attacked colleague Ertan Alexander's surgery successfully completed. I talked to himself, the situation is good. Under the supervision of police for aggressive judicial transactions. I will be a follower to the end of the subject. Our physicians entrusted"&amp;" by our physicians are entrusted to us.")</f>
        <v>Attacked colleague Ertan Alexander's surgery successfully completed. I talked to himself, the situation is good. Under the supervision of police for aggressive judicial transactions. I will be a follower to the end of the subject. Our physicians entrusted by our physicians are entrusted to us.</v>
      </c>
    </row>
    <row r="1129" spans="1:5" ht="15.75" customHeight="1" x14ac:dyDescent="0.25">
      <c r="A1129" s="1" t="s">
        <v>2258</v>
      </c>
      <c r="B1129" s="1">
        <v>22111</v>
      </c>
      <c r="C1129" s="3">
        <v>44343.812858796293</v>
      </c>
      <c r="D1129" s="1" t="s">
        <v>2259</v>
      </c>
      <c r="E1129" s="4" t="str">
        <f ca="1">IFERROR(__xludf.DUMMYFUNCTION("GOOGLETRANSLATE(A1129 , ""tr"" , ""en"")"),"In Ankara Training and Research Hospital, our assistant physician was attacked by his hand and waist by the hand of the Ertan Alexander. Our physician with a blade is currently in operation. I follow the situation closely. The pardon of trying to cut the "&amp;"healing hand is not possible.")</f>
        <v>In Ankara Training and Research Hospital, our assistant physician was attacked by his hand and waist by the hand of the Ertan Alexander. Our physician with a blade is currently in operation. I follow the situation closely. The pardon of trying to cut the healing hand is not possible.</v>
      </c>
    </row>
    <row r="1130" spans="1:5" ht="15.75" customHeight="1" x14ac:dyDescent="0.25">
      <c r="A1130" s="1" t="s">
        <v>2260</v>
      </c>
      <c r="B1130" s="1">
        <v>7943</v>
      </c>
      <c r="C1130" s="3">
        <v>44343.751168981478</v>
      </c>
      <c r="D1130" s="1" t="s">
        <v>2261</v>
      </c>
      <c r="E1130" s="4" t="str">
        <f ca="1">IFERROR(__xludf.DUMMYFUNCTION("GOOGLETRANSLATE(A1130 , ""tr"" , ""en"")"),"We are the re-normalization of our lives and we are handling https://t.co/iokmdo3dhn")</f>
        <v>We are the re-normalization of our lives and we are handling https://t.co/iokmdo3dhn</v>
      </c>
    </row>
    <row r="1131" spans="1:5" ht="15.75" customHeight="1" x14ac:dyDescent="0.25">
      <c r="A1131" s="1" t="s">
        <v>2262</v>
      </c>
      <c r="B1131" s="1">
        <v>7349</v>
      </c>
      <c r="C1131" s="3">
        <v>44343.57744212963</v>
      </c>
      <c r="D1131" s="1" t="s">
        <v>2263</v>
      </c>
      <c r="E1131" s="4" t="str">
        <f ca="1">IFERROR(__xludf.DUMMYFUNCTION("GOOGLETRANSLATE(A1131 , ""tr"" , ""en"")"),"61 years past 27 May 27 revolution as a history of the Democracy, as a Haynebet Hate. Although they are innocent that they are innocent, I remember our martyrs of democracy. The persecution is not paydar. History recognizes the right to live in heroes.")</f>
        <v>61 years past 27 May 27 revolution as a history of the Democracy, as a Haynebet Hate. Although they are innocent that they are innocent, I remember our martyrs of democracy. The persecution is not paydar. History recognizes the right to live in heroes.</v>
      </c>
    </row>
    <row r="1132" spans="1:5" ht="15.75" customHeight="1" x14ac:dyDescent="0.25">
      <c r="A1132" s="1" t="s">
        <v>2264</v>
      </c>
      <c r="B1132" s="1">
        <v>19549</v>
      </c>
      <c r="C1132" s="3">
        <v>44343.355011574073</v>
      </c>
      <c r="D1132" s="1" t="s">
        <v>2265</v>
      </c>
      <c r="E1132" s="4" t="str">
        <f ca="1">IFERROR(__xludf.DUMMYFUNCTION("GOOGLETRANSLATE(A1132 , ""tr"" , ""en"")"),"In our vaccine program, we begin to vaccination a priority group. From today, the total dependent mid-level and heavy disabled citizens are starting. Trust this power.")</f>
        <v>In our vaccine program, we begin to vaccination a priority group. From today, the total dependent mid-level and heavy disabled citizens are starting. Trust this power.</v>
      </c>
    </row>
    <row r="1133" spans="1:5" ht="15.75" customHeight="1" x14ac:dyDescent="0.25">
      <c r="A1133" s="1" t="s">
        <v>2266</v>
      </c>
      <c r="B1133" s="1">
        <v>6910</v>
      </c>
      <c r="C1133" s="3">
        <v>44343.334178240744</v>
      </c>
      <c r="D1133" s="1" t="s">
        <v>2267</v>
      </c>
      <c r="E1133" s="4" t="str">
        <f ca="1">IFERROR(__xludf.DUMMYFUNCTION("GOOGLETRANSLATE(A1133 , ""tr"" , ""en"")"),"We have also come to the final stage of our native vaccine. One of the three vaccines continuing phase studies has come to phase 3 stages. Phase 3 vaccines will begin as soon as possible. I would like to give the gospel in which the use of our own develop"&amp;"ment is also approaching. https://t.co/7enohe4nh1")</f>
        <v>We have also come to the final stage of our native vaccine. One of the three vaccines continuing phase studies has come to phase 3 stages. Phase 3 vaccines will begin as soon as possible. I would like to give the gospel in which the use of our own development is also approaching. https://t.co/7enohe4nh1</v>
      </c>
    </row>
    <row r="1134" spans="1:5" ht="15.75" customHeight="1" x14ac:dyDescent="0.25">
      <c r="A1134" s="1" t="s">
        <v>2268</v>
      </c>
      <c r="B1134" s="1">
        <v>7623</v>
      </c>
      <c r="C1134" s="3">
        <v>44342.851087962961</v>
      </c>
      <c r="D1134" s="1" t="s">
        <v>2269</v>
      </c>
      <c r="E1134" s="4" t="str">
        <f ca="1">IFERROR(__xludf.DUMMYFUNCTION("GOOGLETRANSLATE(A1134 , ""tr"" , ""en"")"),"We have visited the farmers in the vaccine program to make their vaccines where they are located. We will stop the outbreak with vaccine. Trust this power. https://t.co/g2o4npw6ga")</f>
        <v>We have visited the farmers in the vaccine program to make their vaccines where they are located. We will stop the outbreak with vaccine. Trust this power. https://t.co/g2o4npw6ga</v>
      </c>
    </row>
    <row r="1135" spans="1:5" ht="15.75" customHeight="1" x14ac:dyDescent="0.25">
      <c r="A1135" s="1" t="s">
        <v>2270</v>
      </c>
      <c r="B1135" s="1">
        <v>6445</v>
      </c>
      <c r="C1135" s="3">
        <v>44342.798310185186</v>
      </c>
      <c r="D1135" s="1" t="s">
        <v>2271</v>
      </c>
      <c r="E1135" s="4" t="str">
        <f ca="1">IFERROR(__xludf.DUMMYFUNCTION("GOOGLETRANSLATE(A1135 , ""tr"" , ""en"")"),"When the vaccine procurement is slowed, I present you to the appreciation of these beautiful news today in the same opening today. Those who continue to criticize each positive development are of course and are the rights as it remains within the framewor"&amp;"k of this respect. https://t.co/8aid1jgils")</f>
        <v>When the vaccine procurement is slowed, I present you to the appreciation of these beautiful news today in the same opening today. Those who continue to criticize each positive development are of course and are the rights as it remains within the framework of this respect. https://t.co/8aid1jgils</v>
      </c>
    </row>
    <row r="1136" spans="1:5" ht="15.75" customHeight="1" x14ac:dyDescent="0.25">
      <c r="A1136" s="1" t="s">
        <v>2272</v>
      </c>
      <c r="B1136" s="1">
        <v>5060</v>
      </c>
      <c r="C1136" s="3">
        <v>44342.786400462966</v>
      </c>
      <c r="D1136" s="1" t="s">
        <v>2273</v>
      </c>
      <c r="E1136" s="4" t="str">
        <f ca="1">IFERROR(__xludf.DUMMYFUNCTION("GOOGLETRANSLATE(A1136 , ""tr"" , ""en"")"),"Our scientists are liaison from the beginning of the process with Uğur Şahin and Özling Turece. We have previously been 120 million doses of the agreement we have signed as 30 million doses in 27 December 2020. For your support and efforts, I thank our Uğ"&amp;"ur Üyüm and his team. https://t.co/zsql0lmrs2")</f>
        <v>Our scientists are liaison from the beginning of the process with Uğur Şahin and Özling Turece. We have previously been 120 million doses of the agreement we have signed as 30 million doses in 27 December 2020. For your support and efforts, I thank our Uğur Üyüm and his team. https://t.co/zsql0lmrs2</v>
      </c>
    </row>
    <row r="1137" spans="1:5" ht="15.75" customHeight="1" x14ac:dyDescent="0.25">
      <c r="A1137" s="1" t="s">
        <v>2274</v>
      </c>
      <c r="B1137" s="1">
        <v>5488</v>
      </c>
      <c r="C1137" s="3">
        <v>44342.780972222223</v>
      </c>
      <c r="D1137" s="1" t="s">
        <v>2275</v>
      </c>
      <c r="E1137" s="4" t="str">
        <f ca="1">IFERROR(__xludf.DUMMYFUNCTION("GOOGLETRANSLATE(A1137 , ""tr"" , ""en"")"),"In the days where the vaccine supply is most distressed, we conducted one of the world's fastest vaccine campaigns. Very soon a significant amount of vaccine will have reached our country. I am thankful for the support and understanding of the Chinese aut"&amp;"horities from here. https://t.co/cuefhd4o21")</f>
        <v>In the days where the vaccine supply is most distressed, we conducted one of the world's fastest vaccine campaigns. Very soon a significant amount of vaccine will have reached our country. I am thankful for the support and understanding of the Chinese authorities from here. https://t.co/cuefhd4o21</v>
      </c>
    </row>
    <row r="1138" spans="1:5" ht="15.75" customHeight="1" x14ac:dyDescent="0.25">
      <c r="A1138" s="1" t="s">
        <v>2276</v>
      </c>
      <c r="B1138" s="1">
        <v>5805</v>
      </c>
      <c r="C1138" s="3">
        <v>44342.775196759256</v>
      </c>
      <c r="D1138" s="1" t="s">
        <v>2277</v>
      </c>
      <c r="E1138" s="4" t="str">
        <f ca="1">IFERROR(__xludf.DUMMYFUNCTION("GOOGLETRANSLATE(A1138 , ""tr"" , ""en"")"),"In the normalization period, we aim to decrease the restrictions, but that individual measures will stand out and a reinforced application with common vaccination. From June 1, our citizens over 50 years of age will be introduced. https://t.co/oc3llg77mp")</f>
        <v>In the normalization period, we aim to decrease the restrictions, but that individual measures will stand out and a reinforced application with common vaccination. From June 1, our citizens over 50 years of age will be introduced. https://t.co/oc3llg77mp</v>
      </c>
    </row>
    <row r="1139" spans="1:5" ht="15.75" customHeight="1" x14ac:dyDescent="0.25">
      <c r="A1139" s="1" t="s">
        <v>2278</v>
      </c>
      <c r="B1139" s="1">
        <v>3798</v>
      </c>
      <c r="C1139" s="3">
        <v>44342.682685185187</v>
      </c>
      <c r="D1139" s="1" t="s">
        <v>2279</v>
      </c>
      <c r="E1139" s="4" t="str">
        <f ca="1">IFERROR(__xludf.DUMMYFUNCTION("GOOGLETRANSLATE(A1139 , ""tr"" , ""en"")"),"Live: After our Science Board Meeting, you can follow our press statement from our Youtube link below.
Video: https://t.co/spfupz0ni6")</f>
        <v>Live: After our Science Board Meeting, you can follow our press statement from our Youtube link below.
Video: https://t.co/spfupz0ni6</v>
      </c>
    </row>
    <row r="1140" spans="1:5" ht="15.75" customHeight="1" x14ac:dyDescent="0.25">
      <c r="A1140" s="1" t="s">
        <v>2172</v>
      </c>
      <c r="B1140" s="1">
        <v>3508</v>
      </c>
      <c r="C1140" s="3">
        <v>44342.656238425923</v>
      </c>
      <c r="D1140" s="1" t="s">
        <v>2280</v>
      </c>
      <c r="E1140" s="4" t="str">
        <f ca="1">IFERROR(__xludf.DUMMYFUNCTION("GOOGLETRANSLATE(A1140 , ""tr"" , ""en"")"),"After our scientific commercial meeting, we can follow our press statement, hours: 19.00 From our Youtube channel below.
YouTube: https://t.co/lzzbtwlqkj")</f>
        <v>After our scientific commercial meeting, we can follow our press statement, hours: 19.00 From our Youtube channel below.
YouTube: https://t.co/lzzbtwlqkj</v>
      </c>
    </row>
    <row r="1141" spans="1:5" ht="15.75" customHeight="1" x14ac:dyDescent="0.25">
      <c r="A1141" s="1" t="s">
        <v>2281</v>
      </c>
      <c r="B1141" s="1">
        <v>0</v>
      </c>
      <c r="C1141" s="3">
        <v>44342.388090277775</v>
      </c>
      <c r="D1141" s="1" t="s">
        <v>2282</v>
      </c>
      <c r="E1141" s="4" t="str">
        <f ca="1">IFERROR(__xludf.DUMMYFUNCTION("GOOGLETRANSLATE(A1141 , ""tr"" , ""en"")"),"RT @rterdogan: AK Party Tbm Group Meeting https://t.co/qhtfks5jkz")</f>
        <v>RT @rterdogan: AK Party Tbm Group Meeting https://t.co/qhtfks5jkz</v>
      </c>
    </row>
    <row r="1142" spans="1:5" ht="15.75" customHeight="1" x14ac:dyDescent="0.25">
      <c r="A1142" s="1" t="s">
        <v>2283</v>
      </c>
      <c r="B1142" s="1">
        <v>7129</v>
      </c>
      <c r="C1142" s="3">
        <v>44341.727268518516</v>
      </c>
      <c r="D1142" s="1" t="s">
        <v>2284</v>
      </c>
      <c r="E1142" s="4" t="str">
        <f ca="1">IFERROR(__xludf.DUMMYFUNCTION("GOOGLETRANSLATE(A1142 , ""tr"" , ""en"")"),"The number of cases in a final week is the most diminished provinces in Erzincan, Istanbul, Karabük, Pain and Karaman. It takes positive cruise. We will succeed with fighting together. https://t.co/hutylf6kzz")</f>
        <v>The number of cases in a final week is the most diminished provinces in Erzincan, Istanbul, Karabük, Pain and Karaman. It takes positive cruise. We will succeed with fighting together. https://t.co/hutylf6kzz</v>
      </c>
    </row>
    <row r="1143" spans="1:5" ht="15.75" customHeight="1" x14ac:dyDescent="0.25">
      <c r="A1143" s="1" t="s">
        <v>2285</v>
      </c>
      <c r="B1143" s="1">
        <v>11615</v>
      </c>
      <c r="C1143" s="3">
        <v>44341.722858796296</v>
      </c>
      <c r="D1143" s="1" t="s">
        <v>2286</v>
      </c>
      <c r="E1143" s="4" t="str">
        <f ca="1">IFERROR(__xludf.DUMMYFUNCTION("GOOGLETRANSLATE(A1143 , ""tr"" , ""en"")"),"In our provinces, you can see the current version of the incidence map that shows a total number of considers who correspond to 100,000 population. The decline trend of the number of cases continues. https://t.co/lv2r51epvz")</f>
        <v>In our provinces, you can see the current version of the incidence map that shows a total number of considers who correspond to 100,000 population. The decline trend of the number of cases continues. https://t.co/lv2r51epvz</v>
      </c>
    </row>
    <row r="1144" spans="1:5" ht="15.75" customHeight="1" x14ac:dyDescent="0.25">
      <c r="A1144" s="1" t="s">
        <v>2287</v>
      </c>
      <c r="B1144" s="1">
        <v>9960</v>
      </c>
      <c r="C1144" s="3">
        <v>44341.539629629631</v>
      </c>
      <c r="D1144" s="1" t="s">
        <v>2288</v>
      </c>
      <c r="E1144" s="4" t="str">
        <f ca="1">IFERROR(__xludf.DUMMYFUNCTION("GOOGLETRANSLATE(A1144 , ""tr"" , ""en"")"),"Today, Necip Fazıl's Vefat anniversary. It is a great poet and other than being inquiry, in every aspect. Their works are not only books, but the generations. We remember himself or herself. https://t.co/kuujcqvyrz")</f>
        <v>Today, Necip Fazıl's Vefat anniversary. It is a great poet and other than being inquiry, in every aspect. Their works are not only books, but the generations. We remember himself or herself. https://t.co/kuujcqvyrz</v>
      </c>
    </row>
    <row r="1145" spans="1:5" ht="15.75" customHeight="1" x14ac:dyDescent="0.25">
      <c r="A1145" s="1" t="s">
        <v>2289</v>
      </c>
      <c r="B1145" s="1">
        <v>10852</v>
      </c>
      <c r="C1145" s="3">
        <v>44338.872314814813</v>
      </c>
      <c r="D1145" s="1" t="s">
        <v>2290</v>
      </c>
      <c r="E1145" s="4" t="str">
        <f ca="1">IFERROR(__xludf.DUMMYFUNCTION("GOOGLETRANSLATE(A1145 , ""tr"" , ""en"")"),"The vaccination sequence of seasonal agricultural workers are doing the vaccinations of our citizens. Trust this power. https://t.co/eryj9akriu")</f>
        <v>The vaccination sequence of seasonal agricultural workers are doing the vaccinations of our citizens. Trust this power. https://t.co/eryj9akriu</v>
      </c>
    </row>
    <row r="1146" spans="1:5" ht="15.75" customHeight="1" x14ac:dyDescent="0.25">
      <c r="A1146" s="1" t="s">
        <v>2291</v>
      </c>
      <c r="B1146" s="1">
        <v>15958</v>
      </c>
      <c r="C1146" s="3">
        <v>44338.709305555552</v>
      </c>
      <c r="D1146" s="1" t="s">
        <v>2292</v>
      </c>
      <c r="E1146" s="4" t="str">
        <f ca="1">IFERROR(__xludf.DUMMYFUNCTION("GOOGLETRANSLATE(A1146 , ""tr"" , ""en"")"),"We continue to work with our strength to access adequate vaccine. If our citizen citizens are vaccinated, the destructive effect of this summer release will end. Our citizen's citizen should be vaccine. Trust this power.")</f>
        <v>We continue to work with our strength to access adequate vaccine. If our citizen citizens are vaccinated, the destructive effect of this summer release will end. Our citizen's citizen should be vaccine. Trust this power.</v>
      </c>
    </row>
    <row r="1147" spans="1:5" ht="15.75" customHeight="1" x14ac:dyDescent="0.25">
      <c r="A1147" s="1" t="s">
        <v>2293</v>
      </c>
      <c r="B1147" s="1">
        <v>55410</v>
      </c>
      <c r="C1147" s="3">
        <v>44338.70244212963</v>
      </c>
      <c r="D1147" s="1" t="s">
        <v>2294</v>
      </c>
      <c r="E1147" s="4" t="str">
        <f ca="1">IFERROR(__xludf.DUMMYFUNCTION("GOOGLETRANSLATE(A1147 , ""tr"" , ""en"")"),"We have 100 million dose Sinovac, 120 million dose of biontech and 50 million dose of sputnik vaccines. More than 3 times vaccine of our 270 million dose population. Trust this power.")</f>
        <v>We have 100 million dose Sinovac, 120 million dose of biontech and 50 million dose of sputnik vaccines. More than 3 times vaccine of our 270 million dose population. Trust this power.</v>
      </c>
    </row>
    <row r="1148" spans="1:5" ht="15.75" customHeight="1" x14ac:dyDescent="0.25">
      <c r="A1148" s="1" t="s">
        <v>2295</v>
      </c>
      <c r="B1148" s="1">
        <v>27083</v>
      </c>
      <c r="C1148" s="3">
        <v>44338.6878125</v>
      </c>
      <c r="D1148" s="1" t="s">
        <v>2296</v>
      </c>
      <c r="E1148" s="4" t="str">
        <f ca="1">IFERROR(__xludf.DUMMYFUNCTION("GOOGLETRANSLATE(A1148 , ""tr"" , ""en"")"),"It continues to give the fruit of patience. Today we landed below the number of 9,000 cases. We are the ones that will make the decline continuously. Trust this power.")</f>
        <v>It continues to give the fruit of patience. Today we landed below the number of 9,000 cases. We are the ones that will make the decline continuously. Trust this power.</v>
      </c>
    </row>
    <row r="1149" spans="1:5" ht="15.75" customHeight="1" x14ac:dyDescent="0.25">
      <c r="A1149" s="1" t="s">
        <v>2297</v>
      </c>
      <c r="B1149" s="1">
        <v>36585</v>
      </c>
      <c r="C1149" s="3">
        <v>44337.687673611108</v>
      </c>
      <c r="D1149" s="1" t="s">
        <v>2298</v>
      </c>
      <c r="E1149" s="4" t="str">
        <f ca="1">IFERROR(__xludf.DUMMYFUNCTION("GOOGLETRANSLATE(A1149 , ""tr"" , ""en"")"),"With Ambulance Helicopter, Eskişehir City Hospital is the 15-month Beril Baby's state of the 15-month Beril baby in which we brought to the burning treatment center of Eskişehir city Hospital. If the patient is particularly a child, I always thank you to "&amp;"our health personnel and your interest in your heart. https://t.co/mra47rbfab")</f>
        <v>With Ambulance Helicopter, Eskişehir City Hospital is the 15-month Beril Baby's state of the 15-month Beril baby in which we brought to the burning treatment center of Eskişehir city Hospital. If the patient is particularly a child, I always thank you to our health personnel and your interest in your heart. https://t.co/mra47rbfab</v>
      </c>
    </row>
    <row r="1150" spans="1:5" ht="15.75" customHeight="1" x14ac:dyDescent="0.25">
      <c r="A1150" s="1" t="s">
        <v>2299</v>
      </c>
      <c r="B1150" s="1">
        <v>19150</v>
      </c>
      <c r="C1150" s="3">
        <v>44337.676018518519</v>
      </c>
      <c r="D1150" s="1" t="s">
        <v>2300</v>
      </c>
      <c r="E1150" s="4" t="str">
        <f ca="1">IFERROR(__xludf.DUMMYFUNCTION("GOOGLETRANSLATE(A1150 , ""tr"" , ""en"")"),"Valued Voice Artist Hakan Yesterday was discharged from Ankara City Hospital. I offer my wishes to carry the Liver and the kidney transplant successfully completed and loved ones. I would like to thank all health workers with our physicians in the treatme"&amp;"nt. https://t.co/419fuijolj")</f>
        <v>Valued Voice Artist Hakan Yesterday was discharged from Ankara City Hospital. I offer my wishes to carry the Liver and the kidney transplant successfully completed and loved ones. I would like to thank all health workers with our physicians in the treatment. https://t.co/419fuijolj</v>
      </c>
    </row>
    <row r="1151" spans="1:5" ht="15.75" customHeight="1" x14ac:dyDescent="0.25">
      <c r="A1151" s="1" t="s">
        <v>2301</v>
      </c>
      <c r="B1151" s="1">
        <v>19376</v>
      </c>
      <c r="C1151" s="3">
        <v>44336.804062499999</v>
      </c>
      <c r="D1151" s="1" t="s">
        <v>2302</v>
      </c>
      <c r="E1151" s="4" t="str">
        <f ca="1">IFERROR(__xludf.DUMMYFUNCTION("GOOGLETRANSLATE(A1151 , ""tr"" , ""en"")"),"Professor to the announcement today. Dr. With the Vaccine Supply Agreement with Uğur Sahin, we will have a total of 120 million dose biontech vaccines by the end of September! 6.1 million dosing part of this is delivered. Seems to be the end of the epidem"&amp;"ic. # 120milyondosis https://t.co/Iuniynuafe")</f>
        <v>Professor to the announcement today. Dr. With the Vaccine Supply Agreement with Uğur Sahin, we will have a total of 120 million dose biontech vaccines by the end of September! 6.1 million dosing part of this is delivered. Seems to be the end of the epidemic. # 120milyondosis https://t.co/Iuniynuafe</v>
      </c>
    </row>
    <row r="1152" spans="1:5" ht="15.75" customHeight="1" x14ac:dyDescent="0.25">
      <c r="A1152" s="1" t="s">
        <v>2303</v>
      </c>
      <c r="B1152" s="1">
        <v>72090</v>
      </c>
      <c r="C1152" s="3">
        <v>44336.776747685188</v>
      </c>
      <c r="D1152" s="1" t="s">
        <v>2304</v>
      </c>
      <c r="E1152" s="4" t="str">
        <f ca="1">IFERROR(__xludf.DUMMYFUNCTION("GOOGLETRANSLATE(A1152 , ""tr"" , ""en"")"),"Seems to be the end of the epidemic. # 120milyondosis")</f>
        <v>Seems to be the end of the epidemic. # 120milyondosis</v>
      </c>
    </row>
    <row r="1153" spans="1:5" ht="15.75" customHeight="1" x14ac:dyDescent="0.25">
      <c r="A1153" s="1" t="s">
        <v>2305</v>
      </c>
      <c r="B1153" s="1">
        <v>11829</v>
      </c>
      <c r="C1153" s="3">
        <v>44336.763807870368</v>
      </c>
      <c r="D1153" s="1" t="s">
        <v>2306</v>
      </c>
      <c r="E1153" s="4" t="str">
        <f ca="1">IFERROR(__xludf.DUMMYFUNCTION("GOOGLETRANSLATE(A1153 , ""tr"" , ""en"")"),"Developing the first COVID-19 vaccine. Dr. Uğur Sahin and Dr. The Özlem Tereci joined the Board of Science Board online. We have announced the 120 million dose biontech vaccine supply agreement from the screens with our Ughan Şahin teacher. The eye is Ayd"&amp;"ın Turkey. # 120milyondosis https://t.co/qslhlrans2")</f>
        <v>Developing the first COVID-19 vaccine. Dr. Uğur Sahin and Dr. The Özlem Tereci joined the Board of Science Board online. We have announced the 120 million dose biontech vaccine supply agreement from the screens with our Ughan Şahin teacher. The eye is Aydın Turkey. # 120milyondosis https://t.co/qslhlrans2</v>
      </c>
    </row>
    <row r="1154" spans="1:5" ht="15.75" customHeight="1" x14ac:dyDescent="0.25">
      <c r="A1154" s="1" t="s">
        <v>2307</v>
      </c>
      <c r="B1154" s="1">
        <v>5359</v>
      </c>
      <c r="C1154" s="3">
        <v>44336.677812499998</v>
      </c>
      <c r="D1154" s="1" t="s">
        <v>2308</v>
      </c>
      <c r="E1154" s="4" t="str">
        <f ca="1">IFERROR(__xludf.DUMMYFUNCTION("GOOGLETRANSLATE(A1154 , ""tr"" , ""en"")"),"After our Science Board meeting, our press statement on the latest developments on the coronavirus.
📍 The Ministry of Health
https://t.co/B954PYXMIG")</f>
        <v>After our Science Board meeting, our press statement on the latest developments on the coronavirus.
📍 The Ministry of Health
https://t.co/B954PYXMIG</v>
      </c>
    </row>
    <row r="1155" spans="1:5" ht="15.75" customHeight="1" x14ac:dyDescent="0.25">
      <c r="A1155" s="1" t="s">
        <v>2309</v>
      </c>
      <c r="B1155" s="1">
        <v>0</v>
      </c>
      <c r="C1155" s="3">
        <v>44335.75271990741</v>
      </c>
      <c r="D1155" s="1" t="s">
        <v>2310</v>
      </c>
      <c r="E1155" s="4" t="str">
        <f ca="1">IFERROR(__xludf.DUMMYFUNCTION("GOOGLETRANSLATE(A1155 , ""tr"" , ""en"")"),"RT @rterdogan: # Limbers of Limbers, @CB_Kutuphane https:///.co/ym9qlywkln with our young in @ cb_kutuphane")</f>
        <v>RT @rterdogan: # Limbers of Limbers, @CB_Kutuphane https:///.co/ym9qlywkln with our young in @ cb_kutuphane</v>
      </c>
    </row>
    <row r="1156" spans="1:5" ht="15.75" customHeight="1" x14ac:dyDescent="0.25">
      <c r="A1156" s="1" t="s">
        <v>2311</v>
      </c>
      <c r="B1156" s="1">
        <v>3821</v>
      </c>
      <c r="C1156" s="3">
        <v>44335.35359953704</v>
      </c>
      <c r="D1156" s="1" t="s">
        <v>2312</v>
      </c>
      <c r="E1156" s="4" t="str">
        <f ca="1">IFERROR(__xludf.DUMMYFUNCTION("GOOGLETRANSLATE(A1156 , ""tr"" , ""en"")"),"Yesterday in the Great Nation Assembly of Turkey, we met together with our deputies, we further handled the health issues in their regions. https://t.co/rplgdisatr")</f>
        <v>Yesterday in the Great Nation Assembly of Turkey, we met together with our deputies, we further handled the health issues in their regions. https://t.co/rplgdisatr</v>
      </c>
    </row>
    <row r="1157" spans="1:5" ht="15.75" customHeight="1" x14ac:dyDescent="0.25">
      <c r="A1157" s="1" t="s">
        <v>2313</v>
      </c>
      <c r="B1157" s="1">
        <v>8936</v>
      </c>
      <c r="C1157" s="3">
        <v>44335.33489583333</v>
      </c>
      <c r="D1157" s="1" t="s">
        <v>2314</v>
      </c>
      <c r="E1157" s="4" t="str">
        <f ca="1">IFERROR(__xludf.DUMMYFUNCTION("GOOGLETRANSLATE(A1157 , ""tr"" , ""en"")"),"It is the resurrection day of a nation at the time of all the enemies are done now. What is homeland, what is homeland defendant, is the day that is shown to the whole world today. May 19 Atatürk Memorial, Happy Youth and Sports Day. https://t.co/n5Ikcray"&amp;"g1")</f>
        <v>It is the resurrection day of a nation at the time of all the enemies are done now. What is homeland, what is homeland defendant, is the day that is shown to the whole world today. May 19 Atatürk Memorial, Happy Youth and Sports Day. https://t.co/n5Ikcrayg1</v>
      </c>
    </row>
    <row r="1158" spans="1:5" ht="15.75" customHeight="1" x14ac:dyDescent="0.25">
      <c r="A1158" s="1" t="s">
        <v>2315</v>
      </c>
      <c r="B1158" s="1">
        <v>5764</v>
      </c>
      <c r="C1158" s="3">
        <v>44334.673055555555</v>
      </c>
      <c r="D1158" s="1" t="s">
        <v>2316</v>
      </c>
      <c r="E1158" s="4" t="str">
        <f ca="1">IFERROR(__xludf.DUMMYFUNCTION("GOOGLETRANSLATE(A1158 , ""tr"" , ""en"")"),"The number of cases in a final week is the most diminishing provinces in Kastamonu, Tekirdag, Istanbul, Bayburt and Zonguldak. We have to make this beautiful course lasting. We were able to achieve again. https://t.co/pgiuvfvktg")</f>
        <v>The number of cases in a final week is the most diminishing provinces in Kastamonu, Tekirdag, Istanbul, Bayburt and Zonguldak. We have to make this beautiful course lasting. We were able to achieve again. https://t.co/pgiuvfvktg</v>
      </c>
    </row>
    <row r="1159" spans="1:5" ht="15.75" customHeight="1" x14ac:dyDescent="0.25">
      <c r="A1159" s="1" t="s">
        <v>2317</v>
      </c>
      <c r="B1159" s="1">
        <v>23773</v>
      </c>
      <c r="C1159" s="3">
        <v>44334.666724537034</v>
      </c>
      <c r="D1159" s="1" t="s">
        <v>2318</v>
      </c>
      <c r="E1159" s="4" t="str">
        <f ca="1">IFERROR(__xludf.DUMMYFUNCTION("GOOGLETRANSLATE(A1159 , ""tr"" , ""en"")"),"Today we go to a new stage in the vaccine campaign. We had received all our primary teachers in the vaccine program without age limitation. Now, we are starting to vaccinate all our branch teachers over 40 years of age.")</f>
        <v>Today we go to a new stage in the vaccine campaign. We had received all our primary teachers in the vaccine program without age limitation. Now, we are starting to vaccinate all our branch teachers over 40 years of age.</v>
      </c>
    </row>
    <row r="1160" spans="1:5" ht="15.75" customHeight="1" x14ac:dyDescent="0.25">
      <c r="A1160" s="1" t="s">
        <v>2319</v>
      </c>
      <c r="B1160" s="1">
        <v>7204</v>
      </c>
      <c r="C1160" s="3">
        <v>44334.66375</v>
      </c>
      <c r="D1160" s="1" t="s">
        <v>2320</v>
      </c>
      <c r="E1160" s="4" t="str">
        <f ca="1">IFERROR(__xludf.DUMMYFUNCTION("GOOGLETRANSLATE(A1160 , ""tr"" , ""en"")"),"In our provinces, you can see the current version of the incidence map that shows a total number of considers who correspond to 100,000 population. Although the speed of decline is reduced, the decrease of the case numbers continue. https://t.co/tdbjwctgo"&amp;"k")</f>
        <v>In our provinces, you can see the current version of the incidence map that shows a total number of considers who correspond to 100,000 population. Although the speed of decline is reduced, the decrease of the case numbers continue. https://t.co/tdbjwctgok</v>
      </c>
    </row>
    <row r="1161" spans="1:5" ht="15.75" customHeight="1" x14ac:dyDescent="0.25">
      <c r="A1161" s="1" t="s">
        <v>2321</v>
      </c>
      <c r="B1161" s="1">
        <v>0</v>
      </c>
      <c r="C1161" s="3">
        <v>44333.688263888886</v>
      </c>
      <c r="D1161" s="1" t="s">
        <v>2322</v>
      </c>
      <c r="E1161" s="4" t="str">
        <f ca="1">IFERROR(__xludf.DUMMYFUNCTION("GOOGLETRANSLATE(A1161 , ""tr"" , ""en"")"),"RT @rterdogan: Recommend the nation after Cabinet Meeting https://t.co/EICWLQNYHF")</f>
        <v>RT @rterdogan: Recommend the nation after Cabinet Meeting https://t.co/EICWLQNYHF</v>
      </c>
    </row>
    <row r="1162" spans="1:5" ht="15.75" customHeight="1" x14ac:dyDescent="0.25">
      <c r="A1162" s="1" t="s">
        <v>2323</v>
      </c>
      <c r="B1162" s="1">
        <v>12819</v>
      </c>
      <c r="C1162" s="3">
        <v>44332.335092592592</v>
      </c>
      <c r="D1162" s="1" t="s">
        <v>2324</v>
      </c>
      <c r="E1162" s="4" t="str">
        <f ca="1">IFERROR(__xludf.DUMMYFUNCTION("GOOGLETRANSLATE(A1162 , ""tr"" , ""en"")"),"Alican went to collect the plateau muzla plants at the mountain rocks yesterday. Losing his balance and fallen. Our teams receiving the knowledge that he was injured reached our 12-year-old sister with ambulance helicopter, he made the first intervention "&amp;"in umke. In Van Education Research Hospital right now. The condition is good. https://t.co/fc92o9ywux")</f>
        <v>Alican went to collect the plateau muzla plants at the mountain rocks yesterday. Losing his balance and fallen. Our teams receiving the knowledge that he was injured reached our 12-year-old sister with ambulance helicopter, he made the first intervention in umke. In Van Education Research Hospital right now. The condition is good. https://t.co/fc92o9ywux</v>
      </c>
    </row>
    <row r="1163" spans="1:5" ht="15.75" customHeight="1" x14ac:dyDescent="0.25">
      <c r="A1163" s="1" t="s">
        <v>2325</v>
      </c>
      <c r="B1163" s="1">
        <v>34308</v>
      </c>
      <c r="C1163" s="3">
        <v>44331.840300925927</v>
      </c>
      <c r="D1163" s="1" t="s">
        <v>2326</v>
      </c>
      <c r="E1163" s="4" t="str">
        <f ca="1">IFERROR(__xludf.DUMMYFUNCTION("GOOGLETRANSLATE(A1163 , ""tr"" , ""en"")"),"The Super League Champion was clear. We celebrate Besiktas and your supporters. As of the moment, I believe that the Besiktas community will continue to be the tight-fid of the epidemic struggle. Let's stay at risk when sharing joys.")</f>
        <v>The Super League Champion was clear. We celebrate Besiktas and your supporters. As of the moment, I believe that the Besiktas community will continue to be the tight-fid of the epidemic struggle. Let's stay at risk when sharing joys.</v>
      </c>
    </row>
    <row r="1164" spans="1:5" ht="15.75" customHeight="1" x14ac:dyDescent="0.25">
      <c r="A1164" s="1" t="s">
        <v>2327</v>
      </c>
      <c r="B1164" s="1">
        <v>7883</v>
      </c>
      <c r="C1164" s="3">
        <v>44330.478472222225</v>
      </c>
      <c r="D1164" s="1" t="s">
        <v>2328</v>
      </c>
      <c r="E1164" s="4" t="str">
        <f ca="1">IFERROR(__xludf.DUMMYFUNCTION("GOOGLETRANSLATE(A1164 , ""tr"" , ""en"")"),"Pandemide have been medicine to all.
The first loss from health personnel was one of you. We know in your number, which serves human health; Mercy is the members of the profession where good and other humanitarian qualifications are seen. We are gratitude"&amp;" to you.
Happy Pharmacists Day. https://t.co/w9Ippeh4xt")</f>
        <v>Pandemide have been medicine to all.
The first loss from health personnel was one of you. We know in your number, which serves human health; Mercy is the members of the profession where good and other humanitarian qualifications are seen. We are gratitude to you.
Happy Pharmacists Day. https://t.co/w9Ippeh4xt</v>
      </c>
    </row>
    <row r="1165" spans="1:5" ht="15.75" customHeight="1" x14ac:dyDescent="0.25">
      <c r="A1165" s="1" t="s">
        <v>2329</v>
      </c>
      <c r="B1165" s="1">
        <v>13561</v>
      </c>
      <c r="C1165" s="3">
        <v>44329.907881944448</v>
      </c>
      <c r="D1165" s="1" t="s">
        <v>2330</v>
      </c>
      <c r="E1165" s="4" t="str">
        <f ca="1">IFERROR(__xludf.DUMMYFUNCTION("GOOGLETRANSLATE(A1165 , ""tr"" , ""en"")"),"In Pain Dogubeyazıt, the traitor of the terrorist was conducted by the terrorist organization The Hero of Hero Private Operated Operi Public to Kabalay, I wish our nation to our nation. May the soul of our soul in the Sad. https://t.co/defwmzyvr6")</f>
        <v>In Pain Dogubeyazıt, the traitor of the terrorist was conducted by the terrorist organization The Hero of Hero Private Operated Operi Public to Kabalay, I wish our nation to our nation. May the soul of our soul in the Sad. https://t.co/defwmzyvr6</v>
      </c>
    </row>
    <row r="1166" spans="1:5" ht="15.75" customHeight="1" x14ac:dyDescent="0.25">
      <c r="A1166" s="1" t="s">
        <v>2331</v>
      </c>
      <c r="B1166" s="1">
        <v>9181</v>
      </c>
      <c r="C1166" s="3">
        <v>44329.710856481484</v>
      </c>
      <c r="D1166" s="1" t="s">
        <v>2332</v>
      </c>
      <c r="E1166" s="4" t="str">
        <f ca="1">IFERROR(__xludf.DUMMYFUNCTION("GOOGLETRANSLATE(A1166 , ""tr"" , ""en"")"),"Filiation and contacted tracking continue at the day of the day. This sacrifice will not be forgotten. https://t.co/vt8fifincd")</f>
        <v>Filiation and contacted tracking continue at the day of the day. This sacrifice will not be forgotten. https://t.co/vt8fifincd</v>
      </c>
    </row>
    <row r="1167" spans="1:5" ht="15.75" customHeight="1" x14ac:dyDescent="0.25">
      <c r="A1167" s="1" t="s">
        <v>2333</v>
      </c>
      <c r="B1167" s="1">
        <v>10277</v>
      </c>
      <c r="C1167" s="3">
        <v>44329.614675925928</v>
      </c>
      <c r="D1167" s="1" t="s">
        <v>2334</v>
      </c>
      <c r="E1167" s="4" t="str">
        <f ca="1">IFERROR(__xludf.DUMMYFUNCTION("GOOGLETRANSLATE(A1167 , ""tr"" , ""en"")"),"Our health workers have a festiveology. Let's earn these sacrificial sentences. Happy Our Feast. https://t.co/ufyzuvdgkp")</f>
        <v>Our health workers have a festiveology. Let's earn these sacrificial sentences. Happy Our Feast. https://t.co/ufyzuvdgkp</v>
      </c>
    </row>
    <row r="1168" spans="1:5" ht="15.75" customHeight="1" x14ac:dyDescent="0.25">
      <c r="A1168" s="1" t="s">
        <v>2335</v>
      </c>
      <c r="B1168" s="1">
        <v>7282</v>
      </c>
      <c r="C1168" s="3">
        <v>44329.529444444444</v>
      </c>
      <c r="D1168" s="1" t="s">
        <v>2336</v>
      </c>
      <c r="E1168" s="4" t="str">
        <f ca="1">IFERROR(__xludf.DUMMYFUNCTION("GOOGLETRANSLATE(A1168 , ""tr"" , ""en"")"),"With our loved ones, but distance, the third holiday we will grew without kissing. We reach the days at the end of a month we spend the large part of the restrictions that the restrictions will be gradually. I'm congratulating your feast with the feast of"&amp;" the holidays we will cuddle. https://t.co/no70cozmzn")</f>
        <v>With our loved ones, but distance, the third holiday we will grew without kissing. We reach the days at the end of a month we spend the large part of the restrictions that the restrictions will be gradually. I'm congratulating your feast with the feast of the holidays we will cuddle. https://t.co/no70cozmzn</v>
      </c>
    </row>
    <row r="1169" spans="1:5" ht="15.75" customHeight="1" x14ac:dyDescent="0.25">
      <c r="A1169" s="1" t="s">
        <v>2337</v>
      </c>
      <c r="B1169" s="1">
        <v>33407</v>
      </c>
      <c r="C1169" s="3">
        <v>44328.708506944444</v>
      </c>
      <c r="D1169" s="1" t="s">
        <v>2338</v>
      </c>
      <c r="E1169" s="4" t="str">
        <f ca="1">IFERROR(__xludf.DUMMYFUNCTION("GOOGLETRANSLATE(A1169 , ""tr"" , ""en"")"),"We go to a new tier in the vaccine program. From the tomorrow, we begin to vaccinate the spouses of our health workers. They will be able to make an appointment from tomorrow. Thank you for the sacrifice and fight to our health workers until this time.")</f>
        <v>We go to a new tier in the vaccine program. From the tomorrow, we begin to vaccinate the spouses of our health workers. They will be able to make an appointment from tomorrow. Thank you for the sacrifice and fight to our health workers until this time.</v>
      </c>
    </row>
    <row r="1170" spans="1:5" ht="15.75" customHeight="1" x14ac:dyDescent="0.25">
      <c r="A1170" s="1" t="s">
        <v>2339</v>
      </c>
      <c r="B1170" s="1">
        <v>9391</v>
      </c>
      <c r="C1170" s="3">
        <v>44328.482222222221</v>
      </c>
      <c r="D1170" s="1" t="s">
        <v>2340</v>
      </c>
      <c r="E1170" s="4" t="str">
        <f ca="1">IFERROR(__xludf.DUMMYFUNCTION("GOOGLETRANSLATE(A1170 , ""tr"" , ""en"")"),"Our value is nursing fraternity in our world.
The owners of the labor that will not be forgettable, our pride our friends ...
In the epidemic we have experienced, he seasted the almighty volumes.
The expression of our feelings of gratitude is difficult.
M"&amp;"ay 12 Happy Nurses Day. https://t.co/zbbwsgixqg")</f>
        <v>Our value is nursing fraternity in our world.
The owners of the labor that will not be forgettable, our pride our friends ...
In the epidemic we have experienced, he seasted the almighty volumes.
The expression of our feelings of gratitude is difficult.
May 12 Happy Nurses Day. https://t.co/zbbwsgixqg</v>
      </c>
    </row>
    <row r="1171" spans="1:5" ht="15.75" customHeight="1" x14ac:dyDescent="0.25">
      <c r="A1171" s="1" t="s">
        <v>2341</v>
      </c>
      <c r="B1171" s="1">
        <v>7827</v>
      </c>
      <c r="C1171" s="3">
        <v>44327.656655092593</v>
      </c>
      <c r="D1171" s="1" t="s">
        <v>2342</v>
      </c>
      <c r="E1171" s="4" t="str">
        <f ca="1">IFERROR(__xludf.DUMMYFUNCTION("GOOGLETRANSLATE(A1171 , ""tr"" , ""en"")"),"We have evaluated the course of the epidemic with our health managers in Istanbul. The number of cases and polyclinic applications decreased by 65%. In the hospitalization, 50% decrease in a third of the dense care. It takes the fruit of the patience it s"&amp;"hows Istanbul. We have to stop the epidemic. https://t.co/9ga35otzkn")</f>
        <v>We have evaluated the course of the epidemic with our health managers in Istanbul. The number of cases and polyclinic applications decreased by 65%. In the hospitalization, 50% decrease in a third of the dense care. It takes the fruit of the patience it shows Istanbul. We have to stop the epidemic. https://t.co/9ga35otzkn</v>
      </c>
    </row>
    <row r="1172" spans="1:5" ht="15.75" customHeight="1" x14ac:dyDescent="0.25">
      <c r="A1172" s="1" t="s">
        <v>2343</v>
      </c>
      <c r="B1172" s="1">
        <v>7148</v>
      </c>
      <c r="C1172" s="3">
        <v>44327.542268518519</v>
      </c>
      <c r="D1172" s="1" t="s">
        <v>2344</v>
      </c>
      <c r="E1172" s="4" t="str">
        <f ca="1">IFERROR(__xludf.DUMMYFUNCTION("GOOGLETRANSLATE(A1172 , ""tr"" , ""en"")"),"Last week Case Number of Case Numbers Our most reduced provinces Kırklareli, Çanakkale, Düzce, Istanbul and Tekirdag. The decline in the number of cases will be widely experienced in all of our provinces. https://t.co/6ocxhykkk")</f>
        <v>Last week Case Number of Case Numbers Our most reduced provinces Kırklareli, Çanakkale, Düzce, Istanbul and Tekirdag. The decline in the number of cases will be widely experienced in all of our provinces. https://t.co/6ocxhykkk</v>
      </c>
    </row>
    <row r="1173" spans="1:5" ht="15.75" customHeight="1" x14ac:dyDescent="0.25">
      <c r="A1173" s="1" t="s">
        <v>2345</v>
      </c>
      <c r="B1173" s="1">
        <v>110799</v>
      </c>
      <c r="C1173" s="3">
        <v>44326.888124999998</v>
      </c>
      <c r="D1173" s="1" t="s">
        <v>2346</v>
      </c>
      <c r="E1173" s="4" t="str">
        <f ca="1">IFERROR(__xludf.DUMMYFUNCTION("GOOGLETRANSLATE(A1173 , ""tr"" , ""en"")"),"Masjid-i Aksa is the holy mabed. Mabedde cannot remain silent. Unless mania in the persecution of the mind there is no liberation to anyone.")</f>
        <v>Masjid-i Aksa is the holy mabed. Mabedde cannot remain silent. Unless mania in the persecution of the mind there is no liberation to anyone.</v>
      </c>
    </row>
    <row r="1174" spans="1:5" ht="15.75" customHeight="1" x14ac:dyDescent="0.25">
      <c r="A1174" s="1" t="s">
        <v>2347</v>
      </c>
      <c r="B1174" s="1">
        <v>13446</v>
      </c>
      <c r="C1174" s="3">
        <v>44326.589131944442</v>
      </c>
      <c r="D1174" s="1" t="s">
        <v>2348</v>
      </c>
      <c r="E1174" s="4" t="str">
        <f ca="1">IFERROR(__xludf.DUMMYFUNCTION("GOOGLETRANSLATE(A1174 , ""tr"" , ""en"")"),"In our provinces, you can find the insidans map showing the number of weekly cases corresponding to 100,000 population. Our determination will continue to reduce the number of cases. https://t.co/jj1bzah5ev")</f>
        <v>In our provinces, you can find the insidans map showing the number of weekly cases corresponding to 100,000 population. Our determination will continue to reduce the number of cases. https://t.co/jj1bzah5ev</v>
      </c>
    </row>
    <row r="1175" spans="1:5" ht="15.75" customHeight="1" x14ac:dyDescent="0.25">
      <c r="A1175" s="1" t="s">
        <v>2349</v>
      </c>
      <c r="B1175" s="1">
        <v>21262</v>
      </c>
      <c r="C1175" s="3">
        <v>44325.527118055557</v>
      </c>
      <c r="D1175" s="1" t="s">
        <v>2350</v>
      </c>
      <c r="E1175" s="4" t="str">
        <f ca="1">IFERROR(__xludf.DUMMYFUNCTION("GOOGLETRANSLATE(A1175 , ""tr"" , ""en"")"),"The love of adoption could not be fitted to another mother's heart another. I celebrate our Mother's Day of our loving mothers, especially the health worker mothers who fight the expense of unable to loving their son. If you have the main one.")</f>
        <v>The love of adoption could not be fitted to another mother's heart another. I celebrate our Mother's Day of our loving mothers, especially the health worker mothers who fight the expense of unable to loving their son. If you have the main one.</v>
      </c>
    </row>
    <row r="1176" spans="1:5" ht="15.75" customHeight="1" x14ac:dyDescent="0.25">
      <c r="A1176" s="1" t="s">
        <v>2351</v>
      </c>
      <c r="B1176" s="1">
        <v>33857</v>
      </c>
      <c r="C1176" s="3">
        <v>44324.740729166668</v>
      </c>
      <c r="D1176" s="1" t="s">
        <v>2352</v>
      </c>
      <c r="E1176" s="4" t="str">
        <f ca="1">IFERROR(__xludf.DUMMYFUNCTION("GOOGLETRANSLATE(A1176 , ""tr"" , ""en"")"),"Kadir Night: The night of the YCELIS. Every person's night to be a ""acz"".
Message not to repeat mistakes is to know that the world is coming to the world.
Happy your night.")</f>
        <v>Kadir Night: The night of the YCELIS. Every person's night to be a "acz".
Message not to repeat mistakes is to know that the world is coming to the world.
Happy your night.</v>
      </c>
    </row>
    <row r="1177" spans="1:5" ht="15.75" customHeight="1" x14ac:dyDescent="0.25">
      <c r="A1177" s="1" t="s">
        <v>2353</v>
      </c>
      <c r="B1177" s="1">
        <v>37514</v>
      </c>
      <c r="C1177" s="3">
        <v>44322.693680555552</v>
      </c>
      <c r="D1177" s="1" t="s">
        <v>2354</v>
      </c>
      <c r="E1177" s="4" t="str">
        <f ca="1">IFERROR(__xludf.DUMMYFUNCTION("GOOGLETRANSLATE(A1177 , ""tr"" , ""en"")"),"Where that old ramadans have never been so manidar. But if the pretzards, the beaches are nice, the intentions are still blessed as it used to be. We are in friendly table with our hearts.")</f>
        <v>Where that old ramadans have never been so manidar. But if the pretzards, the beaches are nice, the intentions are still blessed as it used to be. We are in friendly table with our hearts.</v>
      </c>
    </row>
    <row r="1178" spans="1:5" ht="15.75" customHeight="1" x14ac:dyDescent="0.25">
      <c r="A1178" s="1" t="s">
        <v>2355</v>
      </c>
      <c r="B1178" s="1">
        <v>5967</v>
      </c>
      <c r="C1178" s="3">
        <v>44322.570300925923</v>
      </c>
      <c r="D1178" s="1" t="s">
        <v>2356</v>
      </c>
      <c r="E1178" s="4" t="str">
        <f ca="1">IFERROR(__xludf.DUMMYFUNCTION("GOOGLETRANSLATE(A1178 , ""tr"" , ""en"")"),"In the graph I share on 5 May 2021, provincial names are incorrectly placed on the graphics. This technical error has been redeployed by the correct version in our Ministry of Department. I am offering the correct state of the chart to your reinstatement."&amp;" https://t.co/eazshouIce")</f>
        <v>In the graph I share on 5 May 2021, provincial names are incorrectly placed on the graphics. This technical error has been redeployed by the correct version in our Ministry of Department. I am offering the correct state of the chart to your reinstatement. https://t.co/eazshouIce</v>
      </c>
    </row>
    <row r="1179" spans="1:5" ht="15.75" customHeight="1" x14ac:dyDescent="0.25">
      <c r="A1179" s="1" t="s">
        <v>2357</v>
      </c>
      <c r="B1179" s="1">
        <v>12520</v>
      </c>
      <c r="C1179" s="3">
        <v>44321.869629629633</v>
      </c>
      <c r="D1179" s="1" t="s">
        <v>2358</v>
      </c>
      <c r="E1179" s="4" t="str">
        <f ca="1">IFERROR(__xludf.DUMMYFUNCTION("GOOGLETRANSLATE(A1179 , ""tr"" , ""en"")"),"World midwife's day. Health services start with birth. The place of the place in our profession is the 5th May World Magnal Day, celebrating the Day 5 of our midwives, we respect each of our families and society.")</f>
        <v>World midwife's day. Health services start with birth. The place of the place in our profession is the 5th May World Magnal Day, celebrating the Day 5 of our midwives, we respect each of our families and society.</v>
      </c>
    </row>
    <row r="1180" spans="1:5" ht="15.75" customHeight="1" x14ac:dyDescent="0.25">
      <c r="A1180" s="1" t="s">
        <v>2359</v>
      </c>
      <c r="B1180" s="1">
        <v>8259</v>
      </c>
      <c r="C1180" s="3">
        <v>44321.810578703706</v>
      </c>
      <c r="D1180" s="1" t="s">
        <v>2360</v>
      </c>
      <c r="E1180" s="4" t="str">
        <f ca="1">IFERROR(__xludf.DUMMYFUNCTION("GOOGLETRANSLATE(A1180 , ""tr"" , ""en"")"),"We lost Emine Rayu 83 from the famous items of our Turkish. We have been condolences to the mercy, relatives and readers from Allah to our writer on several generations with their novels. Rest in peace.")</f>
        <v>We lost Emine Rayu 83 from the famous items of our Turkish. We have been condolences to the mercy, relatives and readers from Allah to our writer on several generations with their novels. Rest in peace.</v>
      </c>
    </row>
    <row r="1181" spans="1:5" ht="15.75" customHeight="1" x14ac:dyDescent="0.25">
      <c r="A1181" s="1" t="s">
        <v>2361</v>
      </c>
      <c r="B1181" s="1">
        <v>11324</v>
      </c>
      <c r="C1181" s="3">
        <v>44321.751770833333</v>
      </c>
      <c r="D1181" s="1" t="s">
        <v>2362</v>
      </c>
      <c r="E1181" s="4" t="str">
        <f ca="1">IFERROR(__xludf.DUMMYFUNCTION("GOOGLETRANSLATE(A1181 , ""tr"" , ""en"")"),"Currently Turkey; With 100 million dose Sinovac, 90 million dose biontech and 50 million dose are also signed with sputnik. The agreements were signed for the overdose of our approximate population. https://t.co/scxfamvwzl")</f>
        <v>Currently Turkey; With 100 million dose Sinovac, 90 million dose biontech and 50 million dose are also signed with sputnik. The agreements were signed for the overdose of our approximate population. https://t.co/scxfamvwzl</v>
      </c>
    </row>
    <row r="1182" spans="1:5" ht="15.75" customHeight="1" x14ac:dyDescent="0.25">
      <c r="A1182" s="1" t="s">
        <v>2363</v>
      </c>
      <c r="B1182" s="1">
        <v>6063</v>
      </c>
      <c r="C1182" s="3">
        <v>44321.741249999999</v>
      </c>
      <c r="D1182" s="1" t="s">
        <v>2364</v>
      </c>
      <c r="E1182" s="4" t="str">
        <f ca="1">IFERROR(__xludf.DUMMYFUNCTION("GOOGLETRANSLATE(A1182 , ""tr"" , ""en"")"),"Along with applied measures and restrictions, we have been significantly decreased in the number of cases in the last 15 days when the general course of the disease is taken into consideration. https://t.co/chfszaa4nz")</f>
        <v>Along with applied measures and restrictions, we have been significantly decreased in the number of cases in the last 15 days when the general course of the disease is taken into consideration. https://t.co/chfszaa4nz</v>
      </c>
    </row>
    <row r="1183" spans="1:5" ht="15.75" customHeight="1" x14ac:dyDescent="0.25">
      <c r="A1183" s="1" t="s">
        <v>2365</v>
      </c>
      <c r="B1183" s="1">
        <v>3442</v>
      </c>
      <c r="C1183" s="3">
        <v>44321.650821759256</v>
      </c>
      <c r="D1183" s="1" t="s">
        <v>2366</v>
      </c>
      <c r="E1183" s="4" t="str">
        <f ca="1">IFERROR(__xludf.DUMMYFUNCTION("GOOGLETRANSLATE(A1183 , ""tr"" , ""en"")"),"Live: After our Science Board Meeting, you can follow our press statement from our Youtube link below.
Video: https://t.co/7dhbb32pjl")</f>
        <v>Live: After our Science Board Meeting, you can follow our press statement from our Youtube link below.
Video: https://t.co/7dhbb32pjl</v>
      </c>
    </row>
    <row r="1184" spans="1:5" ht="15.75" customHeight="1" x14ac:dyDescent="0.25">
      <c r="A1184" s="1" t="s">
        <v>2367</v>
      </c>
      <c r="B1184" s="1">
        <v>3060</v>
      </c>
      <c r="C1184" s="3">
        <v>44321.612245370372</v>
      </c>
      <c r="D1184" s="1" t="s">
        <v>2368</v>
      </c>
      <c r="E1184" s="4" t="str">
        <f ca="1">IFERROR(__xludf.DUMMYFUNCTION("GOOGLETRANSLATE(A1184 , ""tr"" , ""en"")"),"Following our Science Board Meeting, you can follow our press statement, hours: 18.15 from our Youtube channel below.
YouTube: https://t.co/juhniesmt3q")</f>
        <v>Following our Science Board Meeting, you can follow our press statement, hours: 18.15 from our Youtube channel below.
YouTube: https://t.co/juhniesmt3q</v>
      </c>
    </row>
    <row r="1185" spans="1:5" ht="15.75" customHeight="1" x14ac:dyDescent="0.25">
      <c r="A1185" s="1" t="s">
        <v>2369</v>
      </c>
      <c r="B1185" s="1">
        <v>12351</v>
      </c>
      <c r="C1185" s="3">
        <v>44320.64167824074</v>
      </c>
      <c r="D1185" s="1" t="s">
        <v>2370</v>
      </c>
      <c r="E1185" s="4" t="str">
        <f ca="1">IFERROR(__xludf.DUMMYFUNCTION("GOOGLETRANSLATE(A1185 , ""tr"" , ""en"")"),"In our provinces, you can find the current version of the incidence map showing the number of cases corresponding to 100,000 population in a week. Measures and restrictions will turn this map to a better table every night. https://t.co/ukz20fvx9r")</f>
        <v>In our provinces, you can find the current version of the incidence map showing the number of cases corresponding to 100,000 population in a week. Measures and restrictions will turn this map to a better table every night. https://t.co/ukz20fvx9r</v>
      </c>
    </row>
    <row r="1186" spans="1:5" ht="15.75" customHeight="1" x14ac:dyDescent="0.25">
      <c r="A1186" s="1" t="s">
        <v>2371</v>
      </c>
      <c r="B1186" s="1">
        <v>7012</v>
      </c>
      <c r="C1186" s="3">
        <v>44319.704652777778</v>
      </c>
      <c r="D1186" s="1" t="s">
        <v>2372</v>
      </c>
      <c r="E1186" s="4" t="str">
        <f ca="1">IFERROR(__xludf.DUMMYFUNCTION("GOOGLETRANSLATE(A1186 , ""tr"" , ""en"")"),"At the end of this process we want to live a real feast in which the case numbers are very decreased. We want to live like holiday, feast. https://t.co/jIpls63kzy")</f>
        <v>At the end of this process we want to live a real feast in which the case numbers are very decreased. We want to live like holiday, feast. https://t.co/jIpls63kzy</v>
      </c>
    </row>
    <row r="1187" spans="1:5" ht="15.75" customHeight="1" x14ac:dyDescent="0.25">
      <c r="A1187" s="1" t="s">
        <v>2373</v>
      </c>
      <c r="B1187" s="1">
        <v>4816</v>
      </c>
      <c r="C1187" s="3">
        <v>44319.698344907411</v>
      </c>
      <c r="D1187" s="1" t="s">
        <v>2374</v>
      </c>
      <c r="E1187" s="4" t="str">
        <f ca="1">IFERROR(__xludf.DUMMYFUNCTION("GOOGLETRANSLATE(A1187 , ""tr"" , ""en"")"),"In this distressed period, we show an example of a large sacrifice of nation. I believe we will surely see their earnings soon.
The struggle will be earned together. https://t.co/ILMVB617KA")</f>
        <v>In this distressed period, we show an example of a large sacrifice of nation. I believe we will surely see their earnings soon.
The struggle will be earned together. https://t.co/ILMVB617KA</v>
      </c>
    </row>
    <row r="1188" spans="1:5" ht="15.75" customHeight="1" x14ac:dyDescent="0.25">
      <c r="A1188" s="1" t="s">
        <v>2375</v>
      </c>
      <c r="B1188" s="1">
        <v>3986</v>
      </c>
      <c r="C1188" s="3">
        <v>44319.685868055552</v>
      </c>
      <c r="D1188" s="1" t="s">
        <v>2376</v>
      </c>
      <c r="E1188" s="4" t="str">
        <f ca="1">IFERROR(__xludf.DUMMYFUNCTION("GOOGLETRANSLATE(A1188 , ""tr"" , ""en"")"),"In Edirne, the number of cases were 50% in the number of cases.
The ratio of over 65 citizens in Edirne is 88%. https://t.co/r0eonhcevi")</f>
        <v>In Edirne, the number of cases were 50% in the number of cases.
The ratio of over 65 citizens in Edirne is 88%. https://t.co/r0eonhcevi</v>
      </c>
    </row>
    <row r="1189" spans="1:5" ht="15.75" customHeight="1" x14ac:dyDescent="0.25">
      <c r="A1189" s="1" t="s">
        <v>2377</v>
      </c>
      <c r="B1189" s="1">
        <v>3672</v>
      </c>
      <c r="C1189" s="3">
        <v>44319.671053240738</v>
      </c>
      <c r="D1189" s="1" t="s">
        <v>2378</v>
      </c>
      <c r="E1189" s="4" t="str">
        <f ca="1">IFERROR(__xludf.DUMMYFUNCTION("GOOGLETRANSLATE(A1189 , ""tr"" , ""en"")"),"We will mobilize our current capacity with our new contracts and vaccination supplies and walk a faster vaccination program. BionTech vaccine will be delivered to our country as 30 million doses by the end of June. Will reach a total of 90 million dose. h"&amp;"ttps://t.co/nhmc9qzz52")</f>
        <v>We will mobilize our current capacity with our new contracts and vaccination supplies and walk a faster vaccination program. BionTech vaccine will be delivered to our country as 30 million doses by the end of June. Will reach a total of 90 million dose. https://t.co/nhmc9qzz52</v>
      </c>
    </row>
    <row r="1190" spans="1:5" ht="15.75" customHeight="1" x14ac:dyDescent="0.25">
      <c r="A1190" s="1" t="s">
        <v>2379</v>
      </c>
      <c r="B1190" s="1">
        <v>7171</v>
      </c>
      <c r="C1190" s="3">
        <v>44319.662048611113</v>
      </c>
      <c r="D1190" s="1" t="s">
        <v>2380</v>
      </c>
      <c r="E1190" s="4" t="str">
        <f ca="1">IFERROR(__xludf.DUMMYFUNCTION("GOOGLETRANSLATE(A1190 , ""tr"" , ""en"")"),"With the decline in the number of cases, we see some evaluations that are unusual and non-well-intentioned by reducing test numbers by reducing the number of test numbers. In summary, the decrease of the test numbers is not the reason for the fact that th"&amp;"e number of cases falling down. https://t.co/kp5ks2sabt")</f>
        <v>With the decline in the number of cases, we see some evaluations that are unusual and non-well-intentioned by reducing test numbers by reducing the number of test numbers. In summary, the decrease of the test numbers is not the reason for the fact that the number of cases falling down. https://t.co/kp5ks2sabt</v>
      </c>
    </row>
    <row r="1191" spans="1:5" ht="15.75" customHeight="1" x14ac:dyDescent="0.25">
      <c r="A1191" s="1" t="s">
        <v>2381</v>
      </c>
      <c r="B1191" s="1">
        <v>3143</v>
      </c>
      <c r="C1191" s="3">
        <v>44319.574826388889</v>
      </c>
      <c r="D1191" s="1" t="s">
        <v>2382</v>
      </c>
      <c r="E1191" s="4" t="str">
        <f ca="1">IFERROR(__xludf.DUMMYFUNCTION("GOOGLETRANSLATE(A1191 , ""tr"" , ""en"")"),"EDİRNE, Tekirdag, Çanakkale, Kırklareli in EDİRNE, Kırklareli last situation and Turkey:
📍sirne https://t.co/6tlblmncgr")</f>
        <v>EDİRNE, Tekirdag, Çanakkale, Kırklareli in EDİRNE, Kırklareli last situation and Turkey:
📍sirne https://t.co/6tlblmncgr</v>
      </c>
    </row>
    <row r="1192" spans="1:5" ht="15.75" customHeight="1" x14ac:dyDescent="0.25">
      <c r="A1192" s="1" t="s">
        <v>2383</v>
      </c>
      <c r="B1192" s="1">
        <v>6553</v>
      </c>
      <c r="C1192" s="3">
        <v>44319.51771990741</v>
      </c>
      <c r="D1192" s="1" t="s">
        <v>2384</v>
      </c>
      <c r="E1192" s="4" t="str">
        <f ca="1">IFERROR(__xludf.DUMMYFUNCTION("GOOGLETRANSLATE(A1192 , ""tr"" , ""en"")"),"Edirne Sultan 1. Murat State We have chatted with our elds treated in our hospital. Their health status and satisfaction is our priority. https://t.co/sahrdhtjbn")</f>
        <v>Edirne Sultan 1. Murat State We have chatted with our elds treated in our hospital. Their health status and satisfaction is our priority. https://t.co/sahrdhtjbn</v>
      </c>
    </row>
    <row r="1193" spans="1:5" ht="15.75" customHeight="1" x14ac:dyDescent="0.25">
      <c r="A1193" s="1" t="s">
        <v>2385</v>
      </c>
      <c r="B1193" s="1">
        <v>2510</v>
      </c>
      <c r="C1193" s="3">
        <v>44319.432060185187</v>
      </c>
      <c r="D1193" s="1" t="s">
        <v>2386</v>
      </c>
      <c r="E1193" s="4" t="str">
        <f ca="1">IFERROR(__xludf.DUMMYFUNCTION("GOOGLETRANSLATE(A1193 , ""tr"" , ""en"")"),"We are at Edirne. We will carry out meetings with Edirne, Tekirdag, Canakkale and Kırklareli provinces to assess the outbreak process in the region. https://t.co/tt5jh7dmh4")</f>
        <v>We are at Edirne. We will carry out meetings with Edirne, Tekirdag, Canakkale and Kırklareli provinces to assess the outbreak process in the region. https://t.co/tt5jh7dmh4</v>
      </c>
    </row>
    <row r="1194" spans="1:5" ht="15.75" customHeight="1" x14ac:dyDescent="0.25">
      <c r="A1194" s="1" t="s">
        <v>2387</v>
      </c>
      <c r="B1194" s="1">
        <v>11274</v>
      </c>
      <c r="C1194" s="3">
        <v>44319.372256944444</v>
      </c>
      <c r="D1194" s="1" t="s">
        <v>2388</v>
      </c>
      <c r="E1194" s="4" t="str">
        <f ca="1">IFERROR(__xludf.DUMMYFUNCTION("GOOGLETRANSLATE(A1194 , ""tr"" , ""en"")"),"Karabuk University Founding Rector and 26th Term Karabük MPs, our brother, lost Burhanettin Uysal Geyefendi due to coronavirus. I wish our sister of Burhanettin to the mercy, loves and their relatives from Allah.")</f>
        <v>Karabuk University Founding Rector and 26th Term Karabük MPs, our brother, lost Burhanettin Uysal Geyefendi due to coronavirus. I wish our sister of Burhanettin to the mercy, loves and their relatives from Allah.</v>
      </c>
    </row>
    <row r="1195" spans="1:5" ht="15.75" customHeight="1" x14ac:dyDescent="0.25">
      <c r="A1195" s="1" t="s">
        <v>2389</v>
      </c>
      <c r="B1195" s="1">
        <v>8225</v>
      </c>
      <c r="C1195" s="3">
        <v>44318.93540509259</v>
      </c>
      <c r="D1195" s="1" t="s">
        <v>2390</v>
      </c>
      <c r="E1195" s="4" t="str">
        <f ca="1">IFERROR(__xludf.DUMMYFUNCTION("GOOGLETRANSLATE(A1195 , ""tr"" , ""en"")"),"While a foundation is treated in the University of University Hospital, it was found in Covid-19, as we should be in our records in our records that all information is not given in the death report in the death report. From here there is no benefit of any"&amp;"one making the reliability of the information suspicious. https://t.co/e8r9ndafgd https://t.co/creqkınv8u")</f>
        <v>While a foundation is treated in the University of University Hospital, it was found in Covid-19, as we should be in our records in our records that all information is not given in the death report in the death report. From here there is no benefit of anyone making the reliability of the information suspicious. https://t.co/e8r9ndafgd https://t.co/creqkınv8u</v>
      </c>
    </row>
    <row r="1196" spans="1:5" ht="15.75" customHeight="1" x14ac:dyDescent="0.25">
      <c r="A1196" s="1" t="s">
        <v>2391</v>
      </c>
      <c r="B1196" s="1">
        <v>26718</v>
      </c>
      <c r="C1196" s="3">
        <v>44317.469004629631</v>
      </c>
      <c r="D1196" s="1" t="s">
        <v>2392</v>
      </c>
      <c r="E1196" s="4" t="str">
        <f ca="1">IFERROR(__xludf.DUMMYFUNCTION("GOOGLETRANSLATE(A1196 , ""tr"" , ""en"")"),"I celebrate the Day 1 of the labor and Solidarity Day of all laborers, especially the fedakar and Cansiperane running health workers. https://t.co/wyv9vsmbjr")</f>
        <v>I celebrate the Day 1 of the labor and Solidarity Day of all laborers, especially the fedakar and Cansiperane running health workers. https://t.co/wyv9vsmbjr</v>
      </c>
    </row>
    <row r="1197" spans="1:5" ht="15.75" customHeight="1" x14ac:dyDescent="0.25">
      <c r="A1197" s="1" t="s">
        <v>2393</v>
      </c>
      <c r="B1197" s="1">
        <v>6957</v>
      </c>
      <c r="C1197" s="3">
        <v>44316.732407407406</v>
      </c>
      <c r="D1197" s="1" t="s">
        <v>2394</v>
      </c>
      <c r="E1197" s="4" t="str">
        <f ca="1">IFERROR(__xludf.DUMMYFUNCTION("GOOGLETRANSLATE(A1197 , ""tr"" , ""en"")"),"In Antalya, the number of case numbers decreased by 35%. https://t.co/xpuyf7h5jg")</f>
        <v>In Antalya, the number of case numbers decreased by 35%. https://t.co/xpuyf7h5jg</v>
      </c>
    </row>
    <row r="1198" spans="1:5" ht="15.75" customHeight="1" x14ac:dyDescent="0.25">
      <c r="A1198" s="1" t="s">
        <v>2395</v>
      </c>
      <c r="B1198" s="1">
        <v>4642</v>
      </c>
      <c r="C1198" s="3">
        <v>44316.719548611109</v>
      </c>
      <c r="D1198" s="1" t="s">
        <v>2396</v>
      </c>
      <c r="E1198" s="4" t="str">
        <f ca="1">IFERROR(__xludf.DUMMYFUNCTION("GOOGLETRANSLATE(A1198 , ""tr"" , ""en"")"),"Our vaccination program will drive faster as new vaccines reach. Our goal is to vaccinate over 40 years of age. https://t.co/kubimhxzoy")</f>
        <v>Our vaccination program will drive faster as new vaccines reach. Our goal is to vaccinate over 40 years of age. https://t.co/kubimhxzoy</v>
      </c>
    </row>
    <row r="1199" spans="1:5" ht="15.75" customHeight="1" x14ac:dyDescent="0.25">
      <c r="A1199" s="1" t="s">
        <v>2397</v>
      </c>
      <c r="B1199" s="1">
        <v>7389</v>
      </c>
      <c r="C1199" s="3">
        <v>44316.703125</v>
      </c>
      <c r="D1199" s="1" t="s">
        <v>2398</v>
      </c>
      <c r="E1199" s="4" t="str">
        <f ca="1">IFERROR(__xludf.DUMMYFUNCTION("GOOGLETRANSLATE(A1199 , ""tr"" , ""en"")"),"The compliance on the first day of tightened restraints was satisfied. Thank you because of their tenderness to all our citizens. https://t.co/p3xictccom")</f>
        <v>The compliance on the first day of tightened restraints was satisfied. Thank you because of their tenderness to all our citizens. https://t.co/p3xictccom</v>
      </c>
    </row>
    <row r="1200" spans="1:5" ht="15.75" customHeight="1" x14ac:dyDescent="0.25">
      <c r="A1200" s="1" t="s">
        <v>2399</v>
      </c>
      <c r="B1200" s="1">
        <v>3408</v>
      </c>
      <c r="C1200" s="3">
        <v>44316.635949074072</v>
      </c>
      <c r="D1200" s="1" t="s">
        <v>2400</v>
      </c>
      <c r="E1200" s="4" t="str">
        <f ca="1">IFERROR(__xludf.DUMMYFUNCTION("GOOGLETRANSLATE(A1200 , ""tr"" , ""en"")"),"Last Status in Antalya, Isparta, Burdur in the fight against the output of Antalya and Turkey:
📍antalia
https://t.co/itisdsutIe")</f>
        <v>Last Status in Antalya, Isparta, Burdur in the fight against the output of Antalya and Turkey:
📍antalia
https://t.co/itisdsutIe</v>
      </c>
    </row>
    <row r="1201" spans="1:5" ht="15.75" customHeight="1" x14ac:dyDescent="0.25">
      <c r="A1201" s="1" t="s">
        <v>2401</v>
      </c>
      <c r="B1201" s="1">
        <v>5332</v>
      </c>
      <c r="C1201" s="3">
        <v>44316.61273148148</v>
      </c>
      <c r="D1201" s="1" t="s">
        <v>2402</v>
      </c>
      <c r="E1201" s="4" t="str">
        <f ca="1">IFERROR(__xludf.DUMMYFUNCTION("GOOGLETRANSLATE(A1201 , ""tr"" , ""en"")"),"We have visited our puppies in the treatment of Kepez in our hospital. The situations are fine and they will recently be discharged. For our families expressing their satisfaction due to health services, I thank our hospital staff. https://t.co/x5cubrsndh")</f>
        <v>We have visited our puppies in the treatment of Kepez in our hospital. The situations are fine and they will recently be discharged. For our families expressing their satisfaction due to health services, I thank our hospital staff. https://t.co/x5cubrsndh</v>
      </c>
    </row>
    <row r="1202" spans="1:5" ht="15.75" customHeight="1" x14ac:dyDescent="0.25">
      <c r="A1202" s="1" t="s">
        <v>2403</v>
      </c>
      <c r="B1202" s="1">
        <v>17406</v>
      </c>
      <c r="C1202" s="3">
        <v>44316.520844907405</v>
      </c>
      <c r="D1202" s="1" t="s">
        <v>2404</v>
      </c>
      <c r="E1202" s="4" t="str">
        <f ca="1">IFERROR(__xludf.DUMMYFUNCTION("GOOGLETRANSLATE(A1202 , ""tr"" , ""en"")"),"Turkey's medical and medical device institution has made the emergency use of sputnik v vaccine at the end of the examination and evaluations. I wish it is auspicious for two countries. Thus, as the third vaccine, the sputnik v vaccine will also be used i"&amp;"n our country.")</f>
        <v>Turkey's medical and medical device institution has made the emergency use of sputnik v vaccine at the end of the examination and evaluations. I wish it is auspicious for two countries. Thus, as the third vaccine, the sputnik v vaccine will also be used in our country.</v>
      </c>
    </row>
    <row r="1203" spans="1:5" ht="15.75" customHeight="1" x14ac:dyDescent="0.25">
      <c r="A1203" s="1" t="s">
        <v>2405</v>
      </c>
      <c r="B1203" s="1">
        <v>7718</v>
      </c>
      <c r="C1203" s="3">
        <v>44316.424895833334</v>
      </c>
      <c r="D1203" s="1" t="s">
        <v>2406</v>
      </c>
      <c r="E1203" s="4" t="str">
        <f ca="1">IFERROR(__xludf.DUMMYFUNCTION("GOOGLETRANSLATE(A1203 , ""tr"" , ""en"")"),"We are in Antalya.
On the first day of 17-day shutdown, we will be able to assess the situation on the epidemic process with our provinces of Antalya, Isparta and Burdur. https://t.co/70zt7jne0o")</f>
        <v>We are in Antalya.
On the first day of 17-day shutdown, we will be able to assess the situation on the epidemic process with our provinces of Antalya, Isparta and Burdur. https://t.co/70zt7jne0o</v>
      </c>
    </row>
    <row r="1204" spans="1:5" ht="15.75" customHeight="1" x14ac:dyDescent="0.25">
      <c r="A1204" s="1" t="s">
        <v>2407</v>
      </c>
      <c r="B1204" s="1">
        <v>29879</v>
      </c>
      <c r="C1204" s="3">
        <v>44315.820277777777</v>
      </c>
      <c r="D1204" s="1" t="s">
        <v>2408</v>
      </c>
      <c r="E1204" s="4" t="str">
        <f ca="1">IFERROR(__xludf.DUMMYFUNCTION("GOOGLETRANSLATE(A1204 , ""tr"" , ""en"")"),"Our 17-day challenge began.
May the feast, feast be. https://t.co/sc8wngkjb")</f>
        <v>Our 17-day challenge began.
May the feast, feast be. https://t.co/sc8wngkjb</v>
      </c>
    </row>
    <row r="1205" spans="1:5" ht="15.75" customHeight="1" x14ac:dyDescent="0.25">
      <c r="A1205" s="1" t="s">
        <v>2409</v>
      </c>
      <c r="B1205" s="1">
        <v>4659</v>
      </c>
      <c r="C1205" s="3">
        <v>44315.680844907409</v>
      </c>
      <c r="D1205" s="1" t="s">
        <v>2410</v>
      </c>
      <c r="E1205" s="4" t="str">
        <f ca="1">IFERROR(__xludf.DUMMYFUNCTION("GOOGLETRANSLATE(A1205 , ""tr"" , ""en"")"),"Our Minister of Study and Social Security Mr. Vedat Bilgin Geyefendi is on the visit to the visit. I thank you for the gentle hospitality, I wish you success in his task. https://t.co/b17pwjeyok")</f>
        <v>Our Minister of Study and Social Security Mr. Vedat Bilgin Geyefendi is on the visit to the visit. I thank you for the gentle hospitality, I wish you success in his task. https://t.co/b17pwjeyok</v>
      </c>
    </row>
    <row r="1206" spans="1:5" ht="15.75" customHeight="1" x14ac:dyDescent="0.25">
      <c r="A1206" s="1" t="s">
        <v>2411</v>
      </c>
      <c r="B1206" s="1">
        <v>6243</v>
      </c>
      <c r="C1206" s="3">
        <v>44315.668530092589</v>
      </c>
      <c r="D1206" s="1" t="s">
        <v>2412</v>
      </c>
      <c r="E1206" s="4" t="str">
        <f ca="1">IFERROR(__xludf.DUMMYFUNCTION("GOOGLETRANSLATE(A1206 , ""tr"" , ""en"")"),"We visited the Family and Social Services Minister Mr. Derya Burn House, and wish you success in his task. I wish themselves in terms of muvafufens. https://t.co/py0gkmra3z")</f>
        <v>We visited the Family and Social Services Minister Mr. Derya Burn House, and wish you success in his task. I wish themselves in terms of muvafufens. https://t.co/py0gkmra3z</v>
      </c>
    </row>
    <row r="1207" spans="1:5" ht="15.75" customHeight="1" x14ac:dyDescent="0.25">
      <c r="A1207" s="1" t="s">
        <v>2413</v>
      </c>
      <c r="B1207" s="1">
        <v>5290</v>
      </c>
      <c r="C1207" s="3">
        <v>44315.655046296299</v>
      </c>
      <c r="D1207" s="1" t="s">
        <v>2414</v>
      </c>
      <c r="E1207" s="4" t="str">
        <f ca="1">IFERROR(__xludf.DUMMYFUNCTION("GOOGLETRANSLATE(A1207 , ""tr"" , ""en"")"),"We have visited the Minister of Commerce Mr. Mehmet Mus Geyefendi to visit our wishes by visiting the authority. I wish our siblings in his task. https://t.co/bqoson5fol")</f>
        <v>We have visited the Minister of Commerce Mr. Mehmet Mus Geyefendi to visit our wishes by visiting the authority. I wish our siblings in his task. https://t.co/bqoson5fol</v>
      </c>
    </row>
    <row r="1208" spans="1:5" ht="15.75" customHeight="1" x14ac:dyDescent="0.25">
      <c r="A1208" s="1" t="s">
        <v>2415</v>
      </c>
      <c r="B1208" s="1">
        <v>5767</v>
      </c>
      <c r="C1208" s="3">
        <v>44314.728692129633</v>
      </c>
      <c r="D1208" s="1" t="s">
        <v>2416</v>
      </c>
      <c r="E1208" s="4" t="str">
        <f ca="1">IFERROR(__xludf.DUMMYFUNCTION("GOOGLETRANSLATE(A1208 , ""tr"" , ""en"")"),"I realize that the power of the promise is reduced but I have no worries from your strength. https://t.co/8i34og3yeb")</f>
        <v>I realize that the power of the promise is reduced but I have no worries from your strength. https://t.co/8i34og3yeb</v>
      </c>
    </row>
    <row r="1209" spans="1:5" ht="15.75" customHeight="1" x14ac:dyDescent="0.25">
      <c r="A1209" s="1" t="s">
        <v>2417</v>
      </c>
      <c r="B1209" s="1">
        <v>3825</v>
      </c>
      <c r="C1209" s="3">
        <v>44314.717442129629</v>
      </c>
      <c r="D1209" s="1" t="s">
        <v>2418</v>
      </c>
      <c r="E1209" s="4" t="str">
        <f ca="1">IFERROR(__xludf.DUMMYFUNCTION("GOOGLETRANSLATE(A1209 , ""tr"" , ""en"")"),"The effectiveness of vaccination studies is also another issue that is closely related to the outbreak of the outbreak: mutations. https://t.co/21ouohp9bi")</f>
        <v>The effectiveness of vaccination studies is also another issue that is closely related to the outbreak of the outbreak: mutations. https://t.co/21ouohp9bi</v>
      </c>
    </row>
    <row r="1210" spans="1:5" ht="15.75" customHeight="1" x14ac:dyDescent="0.25">
      <c r="A1210" s="1" t="s">
        <v>2419</v>
      </c>
      <c r="B1210" s="1">
        <v>5007</v>
      </c>
      <c r="C1210" s="3">
        <v>44314.705509259256</v>
      </c>
      <c r="D1210" s="1" t="s">
        <v>2420</v>
      </c>
      <c r="E1210" s="4" t="str">
        <f ca="1">IFERROR(__xludf.DUMMYFUNCTION("GOOGLETRANSLATE(A1210 , ""tr"" , ""en"")"),"Our domestic power is our native vaccines getting ready to go to the field. https://t.co/yhnhk2ohi9")</f>
        <v>Our domestic power is our native vaccines getting ready to go to the field. https://t.co/yhnhk2ohi9</v>
      </c>
    </row>
    <row r="1211" spans="1:5" ht="15.75" customHeight="1" x14ac:dyDescent="0.25">
      <c r="A1211" s="1" t="s">
        <v>2421</v>
      </c>
      <c r="B1211" s="1">
        <v>7903</v>
      </c>
      <c r="C1211" s="3">
        <v>44314.697418981479</v>
      </c>
      <c r="D1211" s="1" t="s">
        <v>2422</v>
      </c>
      <c r="E1211" s="4" t="str">
        <f ca="1">IFERROR(__xludf.DUMMYFUNCTION("GOOGLETRANSLATE(A1211 , ""tr"" , ""en"")"),"The vaccine supply is strengthening for the next 2 months, but it is expected to experience vaccine abundance. https://t.co/91vymykuwa")</f>
        <v>The vaccine supply is strengthening for the next 2 months, but it is expected to experience vaccine abundance. https://t.co/91vymykuwa</v>
      </c>
    </row>
    <row r="1212" spans="1:5" ht="15.75" customHeight="1" x14ac:dyDescent="0.25">
      <c r="A1212" s="1" t="s">
        <v>2423</v>
      </c>
      <c r="B1212" s="1">
        <v>6191</v>
      </c>
      <c r="C1212" s="3">
        <v>44314.67591435185</v>
      </c>
      <c r="D1212" s="1" t="s">
        <v>2424</v>
      </c>
      <c r="E1212" s="4" t="str">
        <f ca="1">IFERROR(__xludf.DUMMYFUNCTION("GOOGLETRANSLATE(A1212 , ""tr"" , ""en"")"),"We paid heavy price throughout the epidemic with the whole world. https://t.co/mfmdxjcowo")</f>
        <v>We paid heavy price throughout the epidemic with the whole world. https://t.co/mfmdxjcowo</v>
      </c>
    </row>
    <row r="1213" spans="1:5" ht="15.75" customHeight="1" x14ac:dyDescent="0.25">
      <c r="A1213" s="1" t="s">
        <v>2425</v>
      </c>
      <c r="B1213" s="1">
        <v>3188</v>
      </c>
      <c r="C1213" s="3">
        <v>44314.65011574074</v>
      </c>
      <c r="D1213" s="1" t="s">
        <v>2426</v>
      </c>
      <c r="E1213" s="4" t="str">
        <f ca="1">IFERROR(__xludf.DUMMYFUNCTION("GOOGLETRANSLATE(A1213 , ""tr"" , ""en"")"),"Live: After our Science Board Meeting, you can follow our press statement from our Youtube link below.
Video: https://t.co/z0w7k9ddea")</f>
        <v>Live: After our Science Board Meeting, you can follow our press statement from our Youtube link below.
Video: https://t.co/z0w7k9ddea</v>
      </c>
    </row>
    <row r="1214" spans="1:5" ht="15.75" customHeight="1" x14ac:dyDescent="0.25">
      <c r="A1214" s="1" t="s">
        <v>2427</v>
      </c>
      <c r="B1214" s="1">
        <v>3127</v>
      </c>
      <c r="C1214" s="3">
        <v>44314.593865740739</v>
      </c>
      <c r="D1214" s="1" t="s">
        <v>2428</v>
      </c>
      <c r="E1214" s="4" t="str">
        <f ca="1">IFERROR(__xludf.DUMMYFUNCTION("GOOGLETRANSLATE(A1214 , ""tr"" , ""en"")"),"After our Science Board Meeting, we can follow our press statement from our Youtube channel below in 18.00.
YouTube: https://t.co/juhniesmt3q")</f>
        <v>After our Science Board Meeting, we can follow our press statement from our Youtube channel below in 18.00.
YouTube: https://t.co/juhniesmt3q</v>
      </c>
    </row>
    <row r="1215" spans="1:5" ht="15.75" customHeight="1" x14ac:dyDescent="0.25">
      <c r="A1215" s="1" t="s">
        <v>2429</v>
      </c>
      <c r="B1215" s="1">
        <v>4765</v>
      </c>
      <c r="C1215" s="3">
        <v>44314.49759259259</v>
      </c>
      <c r="D1215" s="1" t="s">
        <v>2430</v>
      </c>
      <c r="E1215" s="4" t="str">
        <f ca="1">IFERROR(__xludf.DUMMYFUNCTION("GOOGLETRANSLATE(A1215 , ""tr"" , ""en"")"),"According to the last week, the number of weekly cases corresponding to 100,000 population is most increasing provinces; Zonguldak, Gumushane, Kirsehir, Pain and Giresun. If our most diminishing provinces, Yalova, Kastamonu, Canakkale, Samsun and Yozgat. "&amp;"https://t.co/qrioioILGGQ")</f>
        <v>According to the last week, the number of weekly cases corresponding to 100,000 population is most increasing provinces; Zonguldak, Gumushane, Kirsehir, Pain and Giresun. If our most diminishing provinces, Yalova, Kastamonu, Canakkale, Samsun and Yozgat. https://t.co/qrioioILGGQ</v>
      </c>
    </row>
    <row r="1216" spans="1:5" ht="15.75" customHeight="1" x14ac:dyDescent="0.25">
      <c r="A1216" s="1" t="s">
        <v>2431</v>
      </c>
      <c r="B1216" s="1">
        <v>8201</v>
      </c>
      <c r="C1216" s="3">
        <v>44313.580405092594</v>
      </c>
      <c r="D1216" s="1" t="s">
        <v>2432</v>
      </c>
      <c r="E1216" s="4" t="str">
        <f ca="1">IFERROR(__xludf.DUMMYFUNCTION("GOOGLETRANSLATE(A1216 , ""tr"" , ""en"")"),"In the north of Iraq, I was conducting the infantry Lt. https://t.co/v4dlpxg3nl")</f>
        <v>In the north of Iraq, I was conducting the infantry Lt. https://t.co/v4dlpxg3nl</v>
      </c>
    </row>
    <row r="1217" spans="1:5" ht="15.75" customHeight="1" x14ac:dyDescent="0.25">
      <c r="A1217" s="1" t="s">
        <v>2433</v>
      </c>
      <c r="B1217" s="1">
        <v>53464</v>
      </c>
      <c r="C1217" s="3">
        <v>44312.706608796296</v>
      </c>
      <c r="D1217" s="1" t="s">
        <v>2434</v>
      </c>
      <c r="E1217" s="4" t="str">
        <f ca="1">IFERROR(__xludf.DUMMYFUNCTION("GOOGLETRANSLATE(A1217 , ""tr"" , ""en"")"),"Our home is the most secure pen. We will continue the fight for a while. May the end of this sacrifice get feast.")</f>
        <v>Our home is the most secure pen. We will continue the fight for a while. May the end of this sacrifice get feast.</v>
      </c>
    </row>
    <row r="1218" spans="1:5" ht="15.75" customHeight="1" x14ac:dyDescent="0.25">
      <c r="A1218" s="1" t="s">
        <v>2435</v>
      </c>
      <c r="B1218" s="1">
        <v>9986</v>
      </c>
      <c r="C1218" s="3">
        <v>44312.702291666668</v>
      </c>
      <c r="D1218" s="1" t="s">
        <v>2436</v>
      </c>
      <c r="E1218" s="4" t="str">
        <f ca="1">IFERROR(__xludf.DUMMYFUNCTION("GOOGLETRANSLATE(A1218 , ""tr"" , ""en"")"),"In our provinces, you can see the insidans map showing the number of weekly cases corresponding to 100,000 population. Measures and restrictions will make the effect more. https://t.co/vmlogvvxxy")</f>
        <v>In our provinces, you can see the insidans map showing the number of weekly cases corresponding to 100,000 population. Measures and restrictions will make the effect more. https://t.co/vmlogvvxxy</v>
      </c>
    </row>
    <row r="1219" spans="1:5" ht="15.75" customHeight="1" x14ac:dyDescent="0.25">
      <c r="A1219" s="1" t="s">
        <v>2437</v>
      </c>
      <c r="B1219" s="1">
        <v>0</v>
      </c>
      <c r="C1219" s="3">
        <v>44312.666701388887</v>
      </c>
      <c r="D1219" s="1" t="s">
        <v>2438</v>
      </c>
      <c r="E1219" s="4" t="str">
        <f ca="1">IFERROR(__xludf.DUMMYFUNCTION("GOOGLETRANSLATE(A1219 , ""tr"" , ""en"")"),"RT @rterdogan: Shouting Nation After Cabinet Meeting https://t.co/ehz4kpsj83")</f>
        <v>RT @rterdogan: Shouting Nation After Cabinet Meeting https://t.co/ehz4kpsj83</v>
      </c>
    </row>
    <row r="1220" spans="1:5" ht="15.75" customHeight="1" x14ac:dyDescent="0.25">
      <c r="A1220" s="1" t="s">
        <v>2439</v>
      </c>
      <c r="B1220" s="1">
        <v>8993</v>
      </c>
      <c r="C1220" s="3">
        <v>44310.879166666666</v>
      </c>
      <c r="D1220" s="1" t="s">
        <v>2440</v>
      </c>
      <c r="E1220" s="4" t="str">
        <f ca="1">IFERROR(__xludf.DUMMYFUNCTION("GOOGLETRANSLATE(A1220 , ""tr"" , ""en"")"),"Mr. Minister; Gentle visit and thank you for your beautiful messages. We are grateful for the support of your squad. https://t.co/woeducdrmx")</f>
        <v>Mr. Minister; Gentle visit and thank you for your beautiful messages. We are grateful for the support of your squad. https://t.co/woeducdrmx</v>
      </c>
    </row>
    <row r="1221" spans="1:5" ht="15.75" customHeight="1" x14ac:dyDescent="0.25">
      <c r="A1221" s="1" t="s">
        <v>2441</v>
      </c>
      <c r="B1221" s="1">
        <v>13015</v>
      </c>
      <c r="C1221" s="3">
        <v>44310.866689814815</v>
      </c>
      <c r="D1221" s="1" t="s">
        <v>2442</v>
      </c>
      <c r="E1221" s="4" t="str">
        <f ca="1">IFERROR(__xludf.DUMMYFUNCTION("GOOGLETRANSLATE(A1221 , ""tr"" , ""en"")"),"Mr. The President has a hurious thankful thanks. https://t.co/tujzfnkej1")</f>
        <v>Mr. The President has a hurious thankful thanks. https://t.co/tujzfnkej1</v>
      </c>
    </row>
    <row r="1222" spans="1:5" ht="15.75" customHeight="1" x14ac:dyDescent="0.25">
      <c r="A1222" s="1" t="s">
        <v>2443</v>
      </c>
      <c r="B1222" s="1">
        <v>20204</v>
      </c>
      <c r="C1222" s="3">
        <v>44310.863807870373</v>
      </c>
      <c r="D1222" s="1" t="s">
        <v>2444</v>
      </c>
      <c r="E1222" s="4" t="str">
        <f ca="1">IFERROR(__xludf.DUMMYFUNCTION("GOOGLETRANSLATE(A1222 , ""tr"" , ""en"")"),"Today, we have delined our President of our President of our health workers in the seizure. They gave moral to our health workers. We thank you. https://t.co/f9rt6qlemt")</f>
        <v>Today, we have delined our President of our President of our health workers in the seizure. They gave moral to our health workers. We thank you. https://t.co/f9rt6qlemt</v>
      </c>
    </row>
    <row r="1223" spans="1:5" ht="15.75" customHeight="1" x14ac:dyDescent="0.25">
      <c r="A1223" s="1" t="s">
        <v>2445</v>
      </c>
      <c r="B1223" s="1">
        <v>13050</v>
      </c>
      <c r="C1223" s="3">
        <v>44310.436793981484</v>
      </c>
      <c r="D1223" s="1" t="s">
        <v>2446</v>
      </c>
      <c r="E1223" s="4" t="str">
        <f ca="1">IFERROR(__xludf.DUMMYFUNCTION("GOOGLETRANSLATE(A1223 , ""tr"" , ""en"")"),"Northern Cyprus Turkish Republic President Mr. Ersin Tatar Beyefendi's father rüstem Tatar gentleman passed the gentleman. The amounting of Allah is mercy; I wish their relatives, loves and patience to the president.")</f>
        <v>Northern Cyprus Turkish Republic President Mr. Ersin Tatar Beyefendi's father rüstem Tatar gentleman passed the gentleman. The amounting of Allah is mercy; I wish their relatives, loves and patience to the president.</v>
      </c>
    </row>
    <row r="1224" spans="1:5" ht="15.75" customHeight="1" x14ac:dyDescent="0.25">
      <c r="A1224" s="1" t="s">
        <v>2447</v>
      </c>
      <c r="B1224" s="1">
        <v>48242</v>
      </c>
      <c r="C1224" s="3">
        <v>44309.762291666666</v>
      </c>
      <c r="D1224" s="1" t="s">
        <v>2448</v>
      </c>
      <c r="E1224" s="4" t="str">
        <f ca="1">IFERROR(__xludf.DUMMYFUNCTION("GOOGLETRANSLATE(A1224 , ""tr"" , ""en"")"),"Yeah that we married. Mustafa Erkam Army. Fatsa is reading at Toki Primary School. Not my grandson but sometimes my place is making an explanation. https://t.co/uigzxlpdrp")</f>
        <v>Yeah that we married. Mustafa Erkam Army. Fatsa is reading at Toki Primary School. Not my grandson but sometimes my place is making an explanation. https://t.co/uigzxlpdrp</v>
      </c>
    </row>
    <row r="1225" spans="1:5" ht="15.75" customHeight="1" x14ac:dyDescent="0.25">
      <c r="A1225" s="1" t="s">
        <v>2449</v>
      </c>
      <c r="B1225" s="1">
        <v>10231</v>
      </c>
      <c r="C1225" s="3">
        <v>44309.705590277779</v>
      </c>
      <c r="D1225" s="1" t="s">
        <v>2450</v>
      </c>
      <c r="E1225" s="4" t="str">
        <f ca="1">IFERROR(__xludf.DUMMYFUNCTION("GOOGLETRANSLATE(A1225 , ""tr"" , ""en"")"),"We assessed the process of epidemic with our provincial health managers. In Istanbul, there was approximately 20% of the number of cases. There is also a decrease in polyclinics and in the lying patient number. But the intensive care load continues. Compl"&amp;"iance with constraints began to be felt. We will achieve together. https://t.co/dvp667bbmw")</f>
        <v>We assessed the process of epidemic with our provincial health managers. In Istanbul, there was approximately 20% of the number of cases. There is also a decrease in polyclinics and in the lying patient number. But the intensive care load continues. Compliance with constraints began to be felt. We will achieve together. https://t.co/dvp667bbmw</v>
      </c>
    </row>
    <row r="1226" spans="1:5" ht="15.75" customHeight="1" x14ac:dyDescent="0.2">
      <c r="A1226" s="5" t="s">
        <v>2451</v>
      </c>
      <c r="B1226" s="1">
        <v>101463</v>
      </c>
      <c r="C1226" s="3">
        <v>44309.552430555559</v>
      </c>
      <c r="D1226" s="1" t="s">
        <v>2452</v>
      </c>
      <c r="E1226" s="6" t="str">
        <f ca="1">IFERROR(__xludf.DUMMYFUNCTION("GOOGLETRANSLATE(A1226 , ""tr"" , ""en"")"),"https://t.co/zkbt2pfn7f")</f>
        <v>https://t.co/zkbt2pfn7f</v>
      </c>
    </row>
    <row r="1227" spans="1:5" ht="15.75" customHeight="1" x14ac:dyDescent="0.25">
      <c r="A1227" s="1" t="s">
        <v>2453</v>
      </c>
      <c r="B1227" s="1">
        <v>54034</v>
      </c>
      <c r="C1227" s="3">
        <v>44309.545034722221</v>
      </c>
      <c r="D1227" s="1" t="s">
        <v>2454</v>
      </c>
      <c r="E1227" s="4" t="str">
        <f ca="1">IFERROR(__xludf.DUMMYFUNCTION("GOOGLETRANSLATE(A1227 , ""tr"" , ""en"")"),"I will make an explanation at 16.15 o'clock.")</f>
        <v>I will make an explanation at 16.15 o'clock.</v>
      </c>
    </row>
    <row r="1228" spans="1:5" ht="15.75" customHeight="1" x14ac:dyDescent="0.25">
      <c r="A1228" s="1" t="s">
        <v>2455</v>
      </c>
      <c r="B1228" s="1">
        <v>6183</v>
      </c>
      <c r="C1228" s="3">
        <v>44308.679432870369</v>
      </c>
      <c r="D1228" s="1" t="s">
        <v>2456</v>
      </c>
      <c r="E1228" s="4" t="str">
        <f ca="1">IFERROR(__xludf.DUMMYFUNCTION("GOOGLETRANSLATE(A1228 , ""tr"" , ""en"")"),"It is the responsibility of all of us to struggle with the society to inform the society in epidemic management and keep together. https://t.co/fscjr5dwud")</f>
        <v>It is the responsibility of all of us to struggle with the society to inform the society in epidemic management and keep together. https://t.co/fscjr5dwud</v>
      </c>
    </row>
    <row r="1229" spans="1:5" ht="15.75" customHeight="1" x14ac:dyDescent="0.25">
      <c r="A1229" s="1" t="s">
        <v>2457</v>
      </c>
      <c r="B1229" s="1">
        <v>7819</v>
      </c>
      <c r="C1229" s="3">
        <v>44308.671840277777</v>
      </c>
      <c r="D1229" s="1" t="s">
        <v>2458</v>
      </c>
      <c r="E1229" s="4" t="str">
        <f ca="1">IFERROR(__xludf.DUMMYFUNCTION("GOOGLETRANSLATE(A1229 , ""tr"" , ""en"")"),"The native vaccine means domestic strength and confidence. https://t.co/daopjf3cxg")</f>
        <v>The native vaccine means domestic strength and confidence. https://t.co/daopjf3cxg</v>
      </c>
    </row>
    <row r="1230" spans="1:5" ht="15.75" customHeight="1" x14ac:dyDescent="0.25">
      <c r="A1230" s="1" t="s">
        <v>2459</v>
      </c>
      <c r="B1230" s="1">
        <v>13695</v>
      </c>
      <c r="C1230" s="3">
        <v>44308.666562500002</v>
      </c>
      <c r="D1230" s="1" t="s">
        <v>2460</v>
      </c>
      <c r="E1230" s="4" t="str">
        <f ca="1">IFERROR(__xludf.DUMMYFUNCTION("GOOGLETRANSLATE(A1230 , ""tr"" , ""en"")"),"A new species appeared other than existing mutations. https://t.co/yy4cfzzxyy")</f>
        <v>A new species appeared other than existing mutations. https://t.co/yy4cfzzxyy</v>
      </c>
    </row>
    <row r="1231" spans="1:5" ht="15.75" customHeight="1" x14ac:dyDescent="0.25">
      <c r="A1231" s="1" t="s">
        <v>2461</v>
      </c>
      <c r="B1231" s="1">
        <v>8328</v>
      </c>
      <c r="C1231" s="3">
        <v>44308.66133101852</v>
      </c>
      <c r="D1231" s="1" t="s">
        <v>2462</v>
      </c>
      <c r="E1231" s="4" t="str">
        <f ca="1">IFERROR(__xludf.DUMMYFUNCTION("GOOGLETRANSLATE(A1231 , ""tr"" , ""en"")"),"The rate of increase in the number of cases has declined. After that, the number of cases will fall with the construction and measures. https://t.co/wu7ahh07ve")</f>
        <v>The rate of increase in the number of cases has declined. After that, the number of cases will fall with the construction and measures. https://t.co/wu7ahh07ve</v>
      </c>
    </row>
    <row r="1232" spans="1:5" ht="15.75" customHeight="1" x14ac:dyDescent="0.25">
      <c r="A1232" s="1" t="s">
        <v>2463</v>
      </c>
      <c r="B1232" s="1">
        <v>4567</v>
      </c>
      <c r="C1232" s="3">
        <v>44308.585960648146</v>
      </c>
      <c r="D1232" s="1" t="s">
        <v>2464</v>
      </c>
      <c r="E1232" s="4" t="str">
        <f ca="1">IFERROR(__xludf.DUMMYFUNCTION("GOOGLETRANSLATE(A1232 , ""tr"" , ""en"")"),"After our Science Board meeting, we can follow our press statement from our Youtube link below.
Video: https://t.co/ytxIwouumx")</f>
        <v>After our Science Board meeting, we can follow our press statement from our Youtube link below.
Video: https://t.co/ytxIwouumx</v>
      </c>
    </row>
    <row r="1233" spans="1:5" ht="15.75" customHeight="1" x14ac:dyDescent="0.25">
      <c r="A1233" s="1" t="s">
        <v>2465</v>
      </c>
      <c r="B1233" s="1">
        <v>5825</v>
      </c>
      <c r="C1233" s="3">
        <v>44308.550451388888</v>
      </c>
      <c r="D1233" s="1" t="s">
        <v>2466</v>
      </c>
      <c r="E1233" s="4" t="str">
        <f ca="1">IFERROR(__xludf.DUMMYFUNCTION("GOOGLETRANSLATE(A1233 , ""tr"" , ""en"")"),"After our Science Board meeting, we can follow our press statement, hours: 17.00 From our Youtube channel below.
YouTube: https://t.co/juhnizzmt3q https://t.co/b8mrnihjij")</f>
        <v>After our Science Board meeting, we can follow our press statement, hours: 17.00 From our Youtube channel below.
YouTube: https://t.co/juhnizzmt3q https://t.co/b8mrnihjij</v>
      </c>
    </row>
    <row r="1234" spans="1:5" ht="15.75" customHeight="1" x14ac:dyDescent="0.25">
      <c r="A1234" s="1" t="s">
        <v>2467</v>
      </c>
      <c r="B1234" s="1">
        <v>11635</v>
      </c>
      <c r="C1234" s="3">
        <v>44307.891284722224</v>
      </c>
      <c r="D1234" s="1" t="s">
        <v>2468</v>
      </c>
      <c r="E1234" s="4" t="str">
        <f ca="1">IFERROR(__xludf.DUMMYFUNCTION("GOOGLETRANSLATE(A1234 , ""tr"" , ""en"")"),"In Albania, the president of our President, Turkey-Albania Fier Friendship Hospital opening the opening of the Friendship Hospital. May our brothers and brotherhood be auspicious. https://t.co/eIVKBK6MPR")</f>
        <v>In Albania, the president of our President, Turkey-Albania Fier Friendship Hospital opening the opening of the Friendship Hospital. May our brothers and brotherhood be auspicious. https://t.co/eIVKBK6MPR</v>
      </c>
    </row>
    <row r="1235" spans="1:5" ht="15.75" customHeight="1" x14ac:dyDescent="0.25">
      <c r="A1235" s="1" t="s">
        <v>2469</v>
      </c>
      <c r="B1235" s="1">
        <v>0</v>
      </c>
      <c r="C1235" s="3">
        <v>44307.569930555554</v>
      </c>
      <c r="D1235" s="1" t="s">
        <v>2470</v>
      </c>
      <c r="E1235" s="4" t="str">
        <f ca="1">IFERROR(__xludf.DUMMYFUNCTION("GOOGLETRANSLATE(A1235 , ""tr"" , ""en"")"),"RT @rterdogan: Turkey-Albania Fier Friendship Hospital Opening Program https://t.co/yfguwt5oyo")</f>
        <v>RT @rterdogan: Turkey-Albania Fier Friendship Hospital Opening Program https://t.co/yfguwt5oyo</v>
      </c>
    </row>
    <row r="1236" spans="1:5" ht="15.75" customHeight="1" x14ac:dyDescent="0.25">
      <c r="A1236" s="1" t="s">
        <v>2471</v>
      </c>
      <c r="B1236" s="1">
        <v>4877</v>
      </c>
      <c r="C1236" s="3">
        <v>44307.551157407404</v>
      </c>
      <c r="D1236" s="1" t="s">
        <v>2472</v>
      </c>
      <c r="E1236" s="4" t="str">
        <f ca="1">IFERROR(__xludf.DUMMYFUNCTION("GOOGLETRANSLATE(A1236 , ""tr"" , ""en"")"),"Turkey-Albania Fier Friendship Hospital Opening Ceremony.
📍ARnavian https://t.co/mqxhfofhj6")</f>
        <v>Turkey-Albania Fier Friendship Hospital Opening Ceremony.
📍ARnavian https://t.co/mqxhfofhj6</v>
      </c>
    </row>
    <row r="1237" spans="1:5" ht="15.75" customHeight="1" x14ac:dyDescent="0.25">
      <c r="A1237" s="1" t="s">
        <v>2473</v>
      </c>
      <c r="B1237" s="1">
        <v>11641</v>
      </c>
      <c r="C1237" s="3">
        <v>44306.986226851855</v>
      </c>
      <c r="D1237" s="1" t="s">
        <v>2474</v>
      </c>
      <c r="E1237" s="4" t="str">
        <f ca="1">IFERROR(__xludf.DUMMYFUNCTION("GOOGLETRANSLATE(A1237 , ""tr"" , ""en"")"),"I am delivering my wishes to the Londatian Bilgin Beyefendi, who was assigned to the Ministry of Labor and Social Security in the New Cabinet, the Derya Burn Hanımendi to the Ministry of Family and Social Services. Service to the nation waits us.")</f>
        <v>I am delivering my wishes to the Londatian Bilgin Beyefendi, who was assigned to the Ministry of Labor and Social Security in the New Cabinet, the Derya Burn Hanımendi to the Ministry of Family and Social Services. Service to the nation waits us.</v>
      </c>
    </row>
    <row r="1238" spans="1:5" ht="15.75" customHeight="1" x14ac:dyDescent="0.25">
      <c r="A1238" s="1" t="s">
        <v>2475</v>
      </c>
      <c r="B1238" s="1">
        <v>16321</v>
      </c>
      <c r="C1238" s="3">
        <v>44306.985231481478</v>
      </c>
      <c r="D1238" s="1" t="s">
        <v>2476</v>
      </c>
      <c r="E1238" s="4" t="str">
        <f ca="1">IFERROR(__xludf.DUMMYFUNCTION("GOOGLETRANSLATE(A1238 , ""tr"" , ""en"")"),"Our Family, Working and Social Services Together in the cabinet, our old minister of Old Ministers to Zehra Emerald Selçuk Hanımendi and the Trade Old Minister of the Minister of Trade is very much thanks for the services and friendships to Pekcan Hanımen"&amp;"di.")</f>
        <v>Our Family, Working and Social Services Together in the cabinet, our old minister of Old Ministers to Zehra Emerald Selçuk Hanımendi and the Trade Old Minister of the Minister of Trade is very much thanks for the services and friendships to Pekcan Hanımendi.</v>
      </c>
    </row>
    <row r="1239" spans="1:5" ht="15.75" customHeight="1" x14ac:dyDescent="0.25">
      <c r="A1239" s="1" t="s">
        <v>2477</v>
      </c>
      <c r="B1239" s="1">
        <v>9097</v>
      </c>
      <c r="C1239" s="3">
        <v>44306.892199074071</v>
      </c>
      <c r="D1239" s="1" t="s">
        <v>2478</v>
      </c>
      <c r="E1239" s="4" t="str">
        <f ca="1">IFERROR(__xludf.DUMMYFUNCTION("GOOGLETRANSLATE(A1239 , ""tr"" , ""en"")"),"Dear Brother Saramil Thayar Geyefendi's Father Hüseyin Tayyar Gentleman Hüseyin Tayyar Genefendi. Cherish the mercy from Allah, I wish their condolences to their relatives.")</f>
        <v>Dear Brother Saramil Thayar Geyefendi's Father Hüseyin Tayyar Gentleman Hüseyin Tayyar Genefendi. Cherish the mercy from Allah, I wish their condolences to their relatives.</v>
      </c>
    </row>
    <row r="1240" spans="1:5" ht="15.75" customHeight="1" x14ac:dyDescent="0.25">
      <c r="A1240" s="1" t="s">
        <v>2479</v>
      </c>
      <c r="B1240" s="1">
        <v>6379</v>
      </c>
      <c r="C1240" s="3">
        <v>44306.474016203705</v>
      </c>
      <c r="D1240" s="1" t="s">
        <v>2480</v>
      </c>
      <c r="E1240" s="4" t="str">
        <f ca="1">IFERROR(__xludf.DUMMYFUNCTION("GOOGLETRANSLATE(A1240 , ""tr"" , ""en"")"),"The number of weekly cases corresponding to the 100,000 population is the most increasing provinces Düzce, Çanakkale, Zonguldak, Yozgat and Yalova. Our decreasing provinces are children, Kilis, Samsun, Osmaniye and Adiyaman. The number of cases increased "&amp;"by the rate of increase. Case numbers will also decrease with measures. https://t.co/mmshmt3jei")</f>
        <v>The number of weekly cases corresponding to the 100,000 population is the most increasing provinces Düzce, Çanakkale, Zonguldak, Yozgat and Yalova. Our decreasing provinces are children, Kilis, Samsun, Osmaniye and Adiyaman. The number of cases increased by the rate of increase. Case numbers will also decrease with measures. https://t.co/mmshmt3jei</v>
      </c>
    </row>
    <row r="1241" spans="1:5" ht="15.75" customHeight="1" x14ac:dyDescent="0.25">
      <c r="A1241" s="1" t="s">
        <v>2481</v>
      </c>
      <c r="B1241" s="1">
        <v>18523</v>
      </c>
      <c r="C1241" s="3">
        <v>44305.885474537034</v>
      </c>
      <c r="D1241" s="1" t="s">
        <v>2482</v>
      </c>
      <c r="E1241" s="4" t="str">
        <f ca="1">IFERROR(__xludf.DUMMYFUNCTION("GOOGLETRANSLATE(A1241 , ""tr"" , ""en"")"),"This tool carried out our health workers on the return path after completing a patient's filion in Iğdır. The status of our doctor, nurse and driver is good. Health workers will be referred to with the years of health care. Get well soon. https://t.co/roy"&amp;"whspdti")</f>
        <v>This tool carried out our health workers on the return path after completing a patient's filion in Iğdır. The status of our doctor, nurse and driver is good. Health workers will be referred to with the years of health care. Get well soon. https://t.co/roywhspdti</v>
      </c>
    </row>
    <row r="1242" spans="1:5" ht="15.75" customHeight="1" x14ac:dyDescent="0.25">
      <c r="A1242" s="1" t="s">
        <v>2483</v>
      </c>
      <c r="B1242" s="1">
        <v>20632</v>
      </c>
      <c r="C1242" s="3">
        <v>44305.797453703701</v>
      </c>
      <c r="D1242" s="1" t="s">
        <v>2484</v>
      </c>
      <c r="E1242" s="4" t="str">
        <f ca="1">IFERROR(__xludf.DUMMYFUNCTION("GOOGLETRANSLATE(A1242 , ""tr"" , ""en"")"),"Occupancy in our intensive care beds in Istanbul 71.4%. 67.1% in Çanakkale. 73.5% in Tekirdağ. 69% in Kirklareli. 55.4% in Yalova. The increase in the number of cases also increases the burden of our health workers.")</f>
        <v>Occupancy in our intensive care beds in Istanbul 71.4%. 67.1% in Çanakkale. 73.5% in Tekirdağ. 69% in Kirklareli. 55.4% in Yalova. The increase in the number of cases also increases the burden of our health workers.</v>
      </c>
    </row>
    <row r="1243" spans="1:5" ht="15.75" customHeight="1" x14ac:dyDescent="0.25">
      <c r="A1243" s="1" t="s">
        <v>2485</v>
      </c>
      <c r="B1243" s="1">
        <v>7590</v>
      </c>
      <c r="C1243" s="3">
        <v>44305.7969212963</v>
      </c>
      <c r="D1243" s="1" t="s">
        <v>2486</v>
      </c>
      <c r="E1243" s="4" t="str">
        <f ca="1">IFERROR(__xludf.DUMMYFUNCTION("GOOGLETRANSLATE(A1243 , ""tr"" , ""en"")"),"Our case increase is the highest of Istanbul, Çanakkale, Tekirdağ, Kirklareli, Yalova, and we evaluated the epidemic process and the measures taken in our provinces by meeting the health managers and governors of our provinces. https://t.co/hbel1zlvlI")</f>
        <v>Our case increase is the highest of Istanbul, Çanakkale, Tekirdağ, Kirklareli, Yalova, and we evaluated the epidemic process and the measures taken in our provinces by meeting the health managers and governors of our provinces. https://t.co/hbel1zlvlI</v>
      </c>
    </row>
    <row r="1244" spans="1:5" ht="15.75" customHeight="1" x14ac:dyDescent="0.25">
      <c r="A1244" s="1" t="s">
        <v>2487</v>
      </c>
      <c r="B1244" s="1">
        <v>25353</v>
      </c>
      <c r="C1244" s="3">
        <v>44305.577199074076</v>
      </c>
      <c r="D1244" s="1" t="s">
        <v>2488</v>
      </c>
      <c r="E1244" s="4" t="str">
        <f ca="1">IFERROR(__xludf.DUMMYFUNCTION("GOOGLETRANSLATE(A1244 , ""tr"" , ""en"")"),"As of today, we go to a new phase in the vaccination program. In vaccination, the order came over 55 years old. I invite our order to get vaccinated our citizens. Our vaccine program will last with determination depending on the procurement conditions.")</f>
        <v>As of today, we go to a new phase in the vaccination program. In vaccination, the order came over 55 years old. I invite our order to get vaccinated our citizens. Our vaccine program will last with determination depending on the procurement conditions.</v>
      </c>
    </row>
    <row r="1245" spans="1:5" ht="15.75" customHeight="1" x14ac:dyDescent="0.25">
      <c r="A1245" s="1" t="s">
        <v>2489</v>
      </c>
      <c r="B1245" s="1">
        <v>12861</v>
      </c>
      <c r="C1245" s="3">
        <v>44305.328738425924</v>
      </c>
      <c r="D1245" s="1" t="s">
        <v>2490</v>
      </c>
      <c r="E1245" s="4" t="str">
        <f ca="1">IFERROR(__xludf.DUMMYFUNCTION("GOOGLETRANSLATE(A1245 , ""tr"" , ""en"")"),"As of today we have made over 20 million dose of dose. We tried to protect our citizens with our biggest and chronic illness. Our vaccine program will drive with all the difficulties with determination. https://t.co/OSI4yyriqp")</f>
        <v>As of today we have made over 20 million dose of dose. We tried to protect our citizens with our biggest and chronic illness. Our vaccine program will drive with all the difficulties with determination. https://t.co/OSI4yyriqp</v>
      </c>
    </row>
    <row r="1246" spans="1:5" ht="15.75" customHeight="1" x14ac:dyDescent="0.25">
      <c r="A1246" s="1" t="s">
        <v>2491</v>
      </c>
      <c r="B1246" s="1">
        <v>17635</v>
      </c>
      <c r="C1246" s="3">
        <v>44304.665601851855</v>
      </c>
      <c r="D1246" s="1" t="s">
        <v>2492</v>
      </c>
      <c r="E1246" s="4" t="str">
        <f ca="1">IFERROR(__xludf.DUMMYFUNCTION("GOOGLETRANSLATE(A1246 , ""tr"" , ""en"")"),"In our provinces, you can find the current version of the incidence map showing the number of cases corresponding to 100,000 population in a week. Restraint and measures began to reduce the rate of increase. Let's be unity to make this decline quickly and"&amp;" permanently. https://t.co/ahqwbtmvd0")</f>
        <v>In our provinces, you can find the current version of the incidence map showing the number of cases corresponding to 100,000 population in a week. Restraint and measures began to reduce the rate of increase. Let's be unity to make this decline quickly and permanently. https://t.co/ahqwbtmvd0</v>
      </c>
    </row>
    <row r="1247" spans="1:5" ht="15.75" customHeight="1" x14ac:dyDescent="0.25">
      <c r="A1247" s="1" t="s">
        <v>2493</v>
      </c>
      <c r="B1247" s="1">
        <v>26643</v>
      </c>
      <c r="C1247" s="3">
        <v>44303.862164351849</v>
      </c>
      <c r="D1247" s="1" t="s">
        <v>2494</v>
      </c>
      <c r="E1247" s="4" t="str">
        <f ca="1">IFERROR(__xludf.DUMMYFUNCTION("GOOGLETRANSLATE(A1247 , ""tr"" , ""en"")"),"2021 World Money Swimming series races on the first of 50 meters back on the Olympic and European Championship is the first in our girls. Congratulations Sumeye painter. Congratulations Sevilay Öztürk. https://t.co/awoocoelua")</f>
        <v>2021 World Money Swimming series races on the first of 50 meters back on the Olympic and European Championship is the first in our girls. Congratulations Sumeye painter. Congratulations Sevilay Öztürk. https://t.co/awoocoelua</v>
      </c>
    </row>
    <row r="1248" spans="1:5" ht="15.75" customHeight="1" x14ac:dyDescent="0.25">
      <c r="A1248" s="1" t="s">
        <v>2495</v>
      </c>
      <c r="B1248" s="1">
        <v>15997</v>
      </c>
      <c r="C1248" s="3">
        <v>44303.543969907405</v>
      </c>
      <c r="D1248" s="1" t="s">
        <v>2496</v>
      </c>
      <c r="E1248" s="4" t="str">
        <f ca="1">IFERROR(__xludf.DUMMYFUNCTION("GOOGLETRANSLATE(A1248 , ""tr"" , ""en"")"),"8. Our 8th President Turgut Özal, who served our nation with a more free and prosperous Turkey Ideal. https://t.co/iuwpk2azga")</f>
        <v>8. Our 8th President Turgut Özal, who served our nation with a more free and prosperous Turkey Ideal. https://t.co/iuwpk2azga</v>
      </c>
    </row>
    <row r="1249" spans="1:5" ht="15.75" customHeight="1" x14ac:dyDescent="0.25">
      <c r="A1249" s="1" t="s">
        <v>2497</v>
      </c>
      <c r="B1249" s="1">
        <v>8673</v>
      </c>
      <c r="C1249" s="3">
        <v>44302.292604166665</v>
      </c>
      <c r="D1249" s="1" t="s">
        <v>2498</v>
      </c>
      <c r="E1249" s="4" t="str">
        <f ca="1">IFERROR(__xludf.DUMMYFUNCTION("GOOGLETRANSLATE(A1249 , ""tr"" , ""en"")"),"Your contribution is not less than well before. We are all happy that your mother agreed to be vaccines. https://t.co/acı4rqvexw")</f>
        <v>Your contribution is not less than well before. We are all happy that your mother agreed to be vaccines. https://t.co/acı4rqvexw</v>
      </c>
    </row>
    <row r="1250" spans="1:5" ht="15.75" customHeight="1" x14ac:dyDescent="0.25">
      <c r="A1250" s="1" t="s">
        <v>2499</v>
      </c>
      <c r="B1250" s="1">
        <v>31818</v>
      </c>
      <c r="C1250" s="3">
        <v>44301.688668981478</v>
      </c>
      <c r="D1250" s="1" t="s">
        <v>2500</v>
      </c>
      <c r="E1250" s="4" t="str">
        <f ca="1">IFERROR(__xludf.DUMMYFUNCTION("GOOGLETRANSLATE(A1250 , ""tr"" , ""en"")"),"In the last two days, it has been appointed to very little portion of the opening vaccine capacity. Our hospitals are given up to 24 o'clock at night. There is the opportunity to be vaccines after iftar for those who cannot find day time. Our most importa"&amp;"nt weapon vaccination. Be vaccine without spending time if your turn has come.")</f>
        <v>In the last two days, it has been appointed to very little portion of the opening vaccine capacity. Our hospitals are given up to 24 o'clock at night. There is the opportunity to be vaccines after iftar for those who cannot find day time. Our most important weapon vaccination. Be vaccine without spending time if your turn has come.</v>
      </c>
    </row>
    <row r="1251" spans="1:5" ht="15.75" customHeight="1" x14ac:dyDescent="0.25">
      <c r="A1251" s="1" t="s">
        <v>2501</v>
      </c>
      <c r="B1251" s="1">
        <v>17484</v>
      </c>
      <c r="C1251" s="3">
        <v>44301.334745370368</v>
      </c>
      <c r="D1251" s="1" t="s">
        <v>2502</v>
      </c>
      <c r="E1251" s="4" t="str">
        <f ca="1">IFERROR(__xludf.DUMMYFUNCTION("GOOGLETRANSLATE(A1251 , ""tr"" , ""en"")"),"The vaccines we use in the vaccination program are applied in the centers that have appropriate storage conditions. The allegations where the vaccine goes in the trash is not compatible with the fact. We know each dose of vaccine and we are planning to hi"&amp;"m. The vaccine is not in question.")</f>
        <v>The vaccines we use in the vaccination program are applied in the centers that have appropriate storage conditions. The allegations where the vaccine goes in the trash is not compatible with the fact. We know each dose of vaccine and we are planning to him. The vaccine is not in question.</v>
      </c>
    </row>
    <row r="1252" spans="1:5" ht="15.75" customHeight="1" x14ac:dyDescent="0.25">
      <c r="A1252" s="1" t="s">
        <v>2503</v>
      </c>
      <c r="B1252" s="1">
        <v>10815</v>
      </c>
      <c r="C1252" s="3">
        <v>44300.931805555556</v>
      </c>
      <c r="D1252" s="1" t="s">
        <v>2504</v>
      </c>
      <c r="E1252" s="4" t="str">
        <f ca="1">IFERROR(__xludf.DUMMYFUNCTION("GOOGLETRANSLATE(A1252 , ""tr"" , ""en"")"),"Gökhan Bey, hi again.
The difficulties will get easier as we try our best together. The fact about the vaccination is better than perceived floor, it will be better. Thanks for your message. https://t.co/whgfrzoILU")</f>
        <v>Gökhan Bey, hi again.
The difficulties will get easier as we try our best together. The fact about the vaccination is better than perceived floor, it will be better. Thanks for your message. https://t.co/whgfrzoILU</v>
      </c>
    </row>
    <row r="1253" spans="1:5" ht="15.75" customHeight="1" x14ac:dyDescent="0.25">
      <c r="A1253" s="1" t="s">
        <v>2505</v>
      </c>
      <c r="B1253" s="1">
        <v>10779</v>
      </c>
      <c r="C1253" s="3">
        <v>44300.894780092596</v>
      </c>
      <c r="D1253" s="1" t="s">
        <v>2506</v>
      </c>
      <c r="E1253" s="4" t="str">
        <f ca="1">IFERROR(__xludf.DUMMYFUNCTION("GOOGLETRANSLATE(A1253 , ""tr"" , ""en"")"),"In the treacherous attack on the Örikik base region, I wish our military to our military and our nation. https://t.co/4xqzwqufkc")</f>
        <v>In the treacherous attack on the Örikik base region, I wish our military to our military and our nation. https://t.co/4xqzwqufkc</v>
      </c>
    </row>
    <row r="1254" spans="1:5" ht="15.75" customHeight="1" x14ac:dyDescent="0.25">
      <c r="A1254" s="1" t="s">
        <v>2507</v>
      </c>
      <c r="B1254" s="1">
        <v>23326</v>
      </c>
      <c r="C1254" s="3">
        <v>44300.847488425927</v>
      </c>
      <c r="D1254" s="1" t="s">
        <v>2508</v>
      </c>
      <c r="E1254" s="4" t="str">
        <f ca="1">IFERROR(__xludf.DUMMYFUNCTION("GOOGLETRANSLATE(A1254 , ""tr"" , ""en"")"),"Gökhan Bey brother does not get to the mansion to blame responsibility. We have no charge responsibility in the increased number of cases. 84 million has not increased the case numbers but we have the responsibility to struggle together. I don't doubt you"&amp;" will be supported. https://t.co/mnakqhbaiu")</f>
        <v>Gökhan Bey brother does not get to the mansion to blame responsibility. We have no charge responsibility in the increased number of cases. 84 million has not increased the case numbers but we have the responsibility to struggle together. I don't doubt you will be supported. https://t.co/mnakqhbaiu</v>
      </c>
    </row>
    <row r="1255" spans="1:5" ht="15.75" customHeight="1" x14ac:dyDescent="0.25">
      <c r="A1255" s="1" t="s">
        <v>2509</v>
      </c>
      <c r="B1255" s="1">
        <v>15233</v>
      </c>
      <c r="C1255" s="3">
        <v>44300.765740740739</v>
      </c>
      <c r="D1255" s="1" t="s">
        <v>2510</v>
      </c>
      <c r="E1255" s="4" t="str">
        <f ca="1">IFERROR(__xludf.DUMMYFUNCTION("GOOGLETRANSLATE(A1255 , ""tr"" , ""en"")"),"This photograph is from a hospital providing health services. The people who caused this scenery were taken out of consideration by attacking our health workers. Two people were arrested. Health workers are not supposedly in the action of the action, the "&amp;"responsibility of all of us. https://t.co/vppuokbr1e")</f>
        <v>This photograph is from a hospital providing health services. The people who caused this scenery were taken out of consideration by attacking our health workers. Two people were arrested. Health workers are not supposedly in the action of the action, the responsibility of all of us. https://t.co/vppuokbr1e</v>
      </c>
    </row>
    <row r="1256" spans="1:5" ht="15.75" customHeight="1" x14ac:dyDescent="0.25">
      <c r="A1256" s="1" t="s">
        <v>2511</v>
      </c>
      <c r="B1256" s="1">
        <v>9298</v>
      </c>
      <c r="C1256" s="3">
        <v>44300.765381944446</v>
      </c>
      <c r="D1256" s="1" t="s">
        <v>2512</v>
      </c>
      <c r="E1256" s="4" t="str">
        <f ca="1">IFERROR(__xludf.DUMMYFUNCTION("GOOGLETRANSLATE(A1256 , ""tr"" , ""en"")"),"Dr. Once again I was on the phone on the phone with Kemal Gökhan Günel. I would like to know that we have the rights of all our physicians in their self. I also thank our judicial organization because of their tenderness.")</f>
        <v>Dr. Once again I was on the phone on the phone with Kemal Gökhan Günel. I would like to know that we have the rights of all our physicians in their self. I also thank our judicial organization because of their tenderness.</v>
      </c>
    </row>
    <row r="1257" spans="1:5" ht="15.75" customHeight="1" x14ac:dyDescent="0.25">
      <c r="A1257" s="1" t="s">
        <v>2513</v>
      </c>
      <c r="B1257" s="1">
        <v>7370</v>
      </c>
      <c r="C1257" s="3">
        <v>44300.610995370371</v>
      </c>
      <c r="D1257" s="1" t="s">
        <v>2514</v>
      </c>
      <c r="E1257" s="4" t="str">
        <f ca="1">IFERROR(__xludf.DUMMYFUNCTION("GOOGLETRANSLATE(A1257 , ""tr"" , ""en"")"),"We lost the Yildirim Akbulut Gentleman from our old PM. It was a state man in the service of a good person and our nation. My condolences to the mercy, relatives and lovers from Allah. Rest in peace.")</f>
        <v>We lost the Yildirim Akbulut Gentleman from our old PM. It was a state man in the service of a good person and our nation. My condolences to the mercy, relatives and lovers from Allah. Rest in peace.</v>
      </c>
    </row>
    <row r="1258" spans="1:5" ht="15.75" customHeight="1" x14ac:dyDescent="0.25">
      <c r="A1258" s="1" t="s">
        <v>2515</v>
      </c>
      <c r="B1258" s="1">
        <v>25370</v>
      </c>
      <c r="C1258" s="3">
        <v>44300.576412037037</v>
      </c>
      <c r="D1258" s="1" t="s">
        <v>2516</v>
      </c>
      <c r="E1258" s="4" t="str">
        <f ca="1">IFERROR(__xludf.DUMMYFUNCTION("GOOGLETRANSLATE(A1258 , ""tr"" , ""en"")"),"Let's not leave all the job in vaccine. Let's reduce cases up to the vaccine. Partial shutdown is the opportunity.")</f>
        <v>Let's not leave all the job in vaccine. Let's reduce cases up to the vaccine. Partial shutdown is the opportunity.</v>
      </c>
    </row>
    <row r="1259" spans="1:5" ht="15.75" customHeight="1" x14ac:dyDescent="0.25">
      <c r="A1259" s="1" t="s">
        <v>2517</v>
      </c>
      <c r="B1259" s="1">
        <v>4770</v>
      </c>
      <c r="C1259" s="3">
        <v>44300.507349537038</v>
      </c>
      <c r="D1259" s="1" t="s">
        <v>2518</v>
      </c>
      <c r="E1259" s="4" t="str">
        <f ca="1">IFERROR(__xludf.DUMMYFUNCTION("GOOGLETRANSLATE(A1259 , ""tr"" , ""en"")"),"The most increase in the number of weekly cases corresponding to 100,000 population was in Kirklareli, Çanakkale, Bayburt, Istanbul and Tekirdağ. The decrease in Samsun and Ardahan took place. We have to reduce the number of cases with full compliance wit"&amp;"h new decisions. https://t.co/7e5hwypiov")</f>
        <v>The most increase in the number of weekly cases corresponding to 100,000 population was in Kirklareli, Çanakkale, Bayburt, Istanbul and Tekirdağ. The decrease in Samsun and Ardahan took place. We have to reduce the number of cases with full compliance with new decisions. https://t.co/7e5hwypiov</v>
      </c>
    </row>
    <row r="1260" spans="1:5" ht="15.75" customHeight="1" x14ac:dyDescent="0.25">
      <c r="A1260" s="1" t="s">
        <v>2519</v>
      </c>
      <c r="B1260" s="1">
        <v>8459</v>
      </c>
      <c r="C1260" s="3">
        <v>44300.030995370369</v>
      </c>
      <c r="D1260" s="1" t="s">
        <v>2520</v>
      </c>
      <c r="E1260" s="4" t="str">
        <f ca="1">IFERROR(__xludf.DUMMYFUNCTION("GOOGLETRANSLATE(A1260 , ""tr"" , ""en"")"),"Our Minister of Transport and Infrastructure Fair Karaismailoğlu Beyefendi's older sister Nermin Özturk Lady has lost his life. Nermin's Hanim mercy from Allah; I wish our Ministry of Ministry, the sorrowful family and all those who love with all the rela"&amp;"tives of the decent. Rest in peace.")</f>
        <v>Our Minister of Transport and Infrastructure Fair Karaismailoğlu Beyefendi's older sister Nermin Özturk Lady has lost his life. Nermin's Hanim mercy from Allah; I wish our Ministry of Ministry, the sorrowful family and all those who love with all the relatives of the decent. Rest in peace.</v>
      </c>
    </row>
    <row r="1261" spans="1:5" ht="15.75" customHeight="1" x14ac:dyDescent="0.2">
      <c r="A1261" s="5" t="s">
        <v>2521</v>
      </c>
      <c r="B1261" s="1">
        <v>3698</v>
      </c>
      <c r="C1261" s="3">
        <v>44299.918217592596</v>
      </c>
      <c r="D1261" s="1" t="s">
        <v>2522</v>
      </c>
      <c r="E1261" s="6" t="str">
        <f ca="1">IFERROR(__xludf.DUMMYFUNCTION("GOOGLETRANSLATE(A1261 , ""tr"" , ""en"")"),"https://t.co/movzparvqs")</f>
        <v>https://t.co/movzparvqs</v>
      </c>
    </row>
    <row r="1262" spans="1:5" ht="15.75" customHeight="1" x14ac:dyDescent="0.2">
      <c r="A1262" s="5" t="s">
        <v>2523</v>
      </c>
      <c r="B1262" s="1">
        <v>3835</v>
      </c>
      <c r="C1262" s="3">
        <v>44299.917997685188</v>
      </c>
      <c r="D1262" s="1" t="s">
        <v>2524</v>
      </c>
      <c r="E1262" s="6" t="str">
        <f ca="1">IFERROR(__xludf.DUMMYFUNCTION("GOOGLETRANSLATE(A1262 , ""tr"" , ""en"")"),"https://t.co/xnno2neydv")</f>
        <v>https://t.co/xnno2neydv</v>
      </c>
    </row>
    <row r="1263" spans="1:5" ht="15.75" customHeight="1" x14ac:dyDescent="0.2">
      <c r="A1263" s="5" t="s">
        <v>2525</v>
      </c>
      <c r="B1263" s="1">
        <v>3397</v>
      </c>
      <c r="C1263" s="3">
        <v>44299.91777777778</v>
      </c>
      <c r="D1263" s="1" t="s">
        <v>2526</v>
      </c>
      <c r="E1263" s="6" t="str">
        <f ca="1">IFERROR(__xludf.DUMMYFUNCTION("GOOGLETRANSLATE(A1263 , ""tr"" , ""en"")"),"https://t.co/9pcd7dngue")</f>
        <v>https://t.co/9pcd7dngue</v>
      </c>
    </row>
    <row r="1264" spans="1:5" ht="15.75" customHeight="1" x14ac:dyDescent="0.2">
      <c r="A1264" s="5" t="s">
        <v>2527</v>
      </c>
      <c r="B1264" s="1">
        <v>4001</v>
      </c>
      <c r="C1264" s="3">
        <v>44299.917407407411</v>
      </c>
      <c r="D1264" s="1" t="s">
        <v>2528</v>
      </c>
      <c r="E1264" s="6" t="str">
        <f ca="1">IFERROR(__xludf.DUMMYFUNCTION("GOOGLETRANSLATE(A1264 , ""tr"" , ""en"")"),"https://t.co/h9zwxcvy7v")</f>
        <v>https://t.co/h9zwxcvy7v</v>
      </c>
    </row>
    <row r="1265" spans="1:5" ht="15.75" customHeight="1" x14ac:dyDescent="0.2">
      <c r="A1265" s="5" t="s">
        <v>2529</v>
      </c>
      <c r="B1265" s="1">
        <v>8225</v>
      </c>
      <c r="C1265" s="3">
        <v>44299.917256944442</v>
      </c>
      <c r="D1265" s="1" t="s">
        <v>2530</v>
      </c>
      <c r="E1265" s="6" t="str">
        <f ca="1">IFERROR(__xludf.DUMMYFUNCTION("GOOGLETRANSLATE(A1265 , ""tr"" , ""en"")"),"https://t.co/1olziwixth")</f>
        <v>https://t.co/1olziwixth</v>
      </c>
    </row>
    <row r="1266" spans="1:5" ht="15.75" customHeight="1" x14ac:dyDescent="0.25">
      <c r="A1266" s="1" t="s">
        <v>2531</v>
      </c>
      <c r="B1266" s="1">
        <v>13223</v>
      </c>
      <c r="C1266" s="3">
        <v>44299.666076388887</v>
      </c>
      <c r="D1266" s="1" t="s">
        <v>2532</v>
      </c>
      <c r="E1266" s="4" t="str">
        <f ca="1">IFERROR(__xludf.DUMMYFUNCTION("GOOGLETRANSLATE(A1266 , ""tr"" , ""en"")"),"The current version of our incidence map showing the number of weekly cases corresponding to 100,000 population. Mutated virus is the same way but spread faster. Restrictions have become essential. We will struggle together and win. https://t.co/srninjxtr"&amp;"p")</f>
        <v>The current version of our incidence map showing the number of weekly cases corresponding to 100,000 population. Mutated virus is the same way but spread faster. Restrictions have become essential. We will struggle together and win. https://t.co/srninjxtrp</v>
      </c>
    </row>
    <row r="1267" spans="1:5" ht="15.75" customHeight="1" x14ac:dyDescent="0.25">
      <c r="A1267" s="1" t="s">
        <v>2533</v>
      </c>
      <c r="B1267" s="1">
        <v>0</v>
      </c>
      <c r="C1267" s="3">
        <v>44299.641412037039</v>
      </c>
      <c r="D1267" s="1" t="s">
        <v>2534</v>
      </c>
      <c r="E1267" s="4" t="str">
        <f ca="1">IFERROR(__xludf.DUMMYFUNCTION("GOOGLETRANSLATE(A1267 , ""tr"" , ""en"")"),"RT @rterdogan: Shouting Nation After Cabinet Meeting https://t.co/t72xuqgtqp")</f>
        <v>RT @rterdogan: Shouting Nation After Cabinet Meeting https://t.co/t72xuqgtqp</v>
      </c>
    </row>
    <row r="1268" spans="1:5" ht="15.75" customHeight="1" x14ac:dyDescent="0.25">
      <c r="A1268" s="1" t="s">
        <v>2535</v>
      </c>
      <c r="B1268" s="1">
        <v>30949</v>
      </c>
      <c r="C1268" s="3">
        <v>44298.918449074074</v>
      </c>
      <c r="D1268" s="1" t="s">
        <v>2536</v>
      </c>
      <c r="E1268" s="4" t="str">
        <f ca="1">IFERROR(__xludf.DUMMYFUNCTION("GOOGLETRANSLATE(A1268 , ""tr"" , ""en"")"),"We entered Ramadan in the BUSINESS. Against our daily requests, we will give an examination of our own decision. And better than this month we will get out as stronger people. Our Ramadan, our Oruc is blessed.")</f>
        <v>We entered Ramadan in the BUSINESS. Against our daily requests, we will give an examination of our own decision. And better than this month we will get out as stronger people. Our Ramadan, our Oruc is blessed.</v>
      </c>
    </row>
    <row r="1269" spans="1:5" ht="15.75" customHeight="1" x14ac:dyDescent="0.25">
      <c r="A1269" s="1" t="s">
        <v>2537</v>
      </c>
      <c r="B1269" s="1">
        <v>11255</v>
      </c>
      <c r="C1269" s="3">
        <v>44298.867824074077</v>
      </c>
      <c r="D1269" s="1" t="s">
        <v>2538</v>
      </c>
      <c r="E1269" s="4" t="str">
        <f ca="1">IFERROR(__xludf.DUMMYFUNCTION("GOOGLETRANSLATE(A1269 , ""tr"" , ""en"")"),"I want you to know: You won't be alone even if this job is over. You won't even see us unstable or annually. My request from you is to keep your morale high. https://t.co/62qiodjcev")</f>
        <v>I want you to know: You won't be alone even if this job is over. You won't even see us unstable or annually. My request from you is to keep your morale high. https://t.co/62qiodjcev</v>
      </c>
    </row>
    <row r="1270" spans="1:5" ht="15.75" customHeight="1" x14ac:dyDescent="0.25">
      <c r="A1270" s="1" t="s">
        <v>2539</v>
      </c>
      <c r="B1270" s="1">
        <v>5035</v>
      </c>
      <c r="C1270" s="3">
        <v>44298.861493055556</v>
      </c>
      <c r="D1270" s="1" t="s">
        <v>2540</v>
      </c>
      <c r="E1270" s="4" t="str">
        <f ca="1">IFERROR(__xludf.DUMMYFUNCTION("GOOGLETRANSLATE(A1270 , ""tr"" , ""en"")"),"More than 18 million dose of doses were carried out. Whether ""Turkey is successful in the vaccination."" Say, let's say, let's say that the discussion is not a reality: Turkey is the most vaccine in the world is the 6th country! https://t.co/nnaspjwoyw")</f>
        <v>More than 18 million dose of doses were carried out. Whether "Turkey is successful in the vaccination." Say, let's say, let's say that the discussion is not a reality: Turkey is the most vaccine in the world is the 6th country! https://t.co/nnaspjwoyw</v>
      </c>
    </row>
    <row r="1271" spans="1:5" ht="15.75" customHeight="1" x14ac:dyDescent="0.25">
      <c r="A1271" s="1" t="s">
        <v>2541</v>
      </c>
      <c r="B1271" s="1">
        <v>3716</v>
      </c>
      <c r="C1271" s="3">
        <v>44298.853368055556</v>
      </c>
      <c r="D1271" s="1" t="s">
        <v>2542</v>
      </c>
      <c r="E1271" s="4" t="str">
        <f ca="1">IFERROR(__xludf.DUMMYFUNCTION("GOOGLETRANSLATE(A1271 , ""tr"" , ""en"")"),"85% of new cases are welded in UK mutation. This shape of the virus is spread faster than the first coronavirus. This is the type of virus common in the world. The E484K mutation, where the WHO recommends strict follow-up, was found in the 4,820 cases. ht"&amp;"tps://t.co/pycw6c995v")</f>
        <v>85% of new cases are welded in UK mutation. This shape of the virus is spread faster than the first coronavirus. This is the type of virus common in the world. The E484K mutation, where the WHO recommends strict follow-up, was found in the 4,820 cases. https://t.co/pycw6c995v</v>
      </c>
    </row>
    <row r="1272" spans="1:5" ht="15.75" customHeight="1" x14ac:dyDescent="0.25">
      <c r="A1272" s="1" t="s">
        <v>2543</v>
      </c>
      <c r="B1272" s="1">
        <v>3832</v>
      </c>
      <c r="C1272" s="3">
        <v>44298.844583333332</v>
      </c>
      <c r="D1272" s="1" t="s">
        <v>2544</v>
      </c>
      <c r="E1272" s="4" t="str">
        <f ca="1">IFERROR(__xludf.DUMMYFUNCTION("GOOGLETRANSLATE(A1272 , ""tr"" , ""en"")"),"Variant means the virus that varied according to the first figure it occurs. Scientists from different countries connects Covid-19 to the new variants of the virus to show rapid propagation from the old one. Turkey's experience has confirmed that. https:/"&amp;"/t.co/kfsgz9foru")</f>
        <v>Variant means the virus that varied according to the first figure it occurs. Scientists from different countries connects Covid-19 to the new variants of the virus to show rapid propagation from the old one. Turkey's experience has confirmed that. https://t.co/kfsgz9foru</v>
      </c>
    </row>
    <row r="1273" spans="1:5" ht="15.75" customHeight="1" x14ac:dyDescent="0.25">
      <c r="A1273" s="1" t="s">
        <v>2545</v>
      </c>
      <c r="B1273" s="1">
        <v>5635</v>
      </c>
      <c r="C1273" s="3">
        <v>44298.831076388888</v>
      </c>
      <c r="D1273" s="1" t="s">
        <v>2546</v>
      </c>
      <c r="E1273" s="4" t="str">
        <f ca="1">IFERROR(__xludf.DUMMYFUNCTION("GOOGLETRANSLATE(A1273 , ""tr"" , ""en"")"),"Currently, two negative factors combine their forces against us, making it difficult for us to drive faster. One of the factors is to be tired of time. The more important factor is the new variants of the virus. https://t.co/bxrjzglcjr")</f>
        <v>Currently, two negative factors combine their forces against us, making it difficult for us to drive faster. One of the factors is to be tired of time. The more important factor is the new variants of the virus. https://t.co/bxrjzglcjr</v>
      </c>
    </row>
    <row r="1274" spans="1:5" ht="15.75" customHeight="1" x14ac:dyDescent="0.25">
      <c r="A1274" s="1" t="s">
        <v>2547</v>
      </c>
      <c r="B1274" s="1">
        <v>7253</v>
      </c>
      <c r="C1274" s="3">
        <v>44298.761828703704</v>
      </c>
      <c r="D1274" s="1" t="s">
        <v>2548</v>
      </c>
      <c r="E1274" s="4" t="str">
        <f ca="1">IFERROR(__xludf.DUMMYFUNCTION("GOOGLETRANSLATE(A1274 , ""tr"" , ""en"")"),"After our Science Board meeting, our press statement on the latest developments on the coronavirus.
📍 The Ministry of Health
https://t.co/rjsmm4tlvw")</f>
        <v>After our Science Board meeting, our press statement on the latest developments on the coronavirus.
📍 The Ministry of Health
https://t.co/rjsmm4tlvw</v>
      </c>
    </row>
    <row r="1275" spans="1:5" ht="15.75" customHeight="1" x14ac:dyDescent="0.25">
      <c r="A1275" s="1" t="s">
        <v>2549</v>
      </c>
      <c r="B1275" s="1">
        <v>22952</v>
      </c>
      <c r="C1275" s="3">
        <v>44296.626296296294</v>
      </c>
      <c r="D1275" s="1" t="s">
        <v>2550</v>
      </c>
      <c r="E1275" s="4" t="str">
        <f ca="1">IFERROR(__xludf.DUMMYFUNCTION("GOOGLETRANSLATE(A1275 , ""tr"" , ""en"")"),"We celebrate our life and the security of the safety of our community of our community of the police organization 176 of our police organization and Police Week.")</f>
        <v>We celebrate our life and the security of the safety of our community of our community of the police organization 176 of our police organization and Police Week.</v>
      </c>
    </row>
    <row r="1276" spans="1:5" ht="15.75" customHeight="1" x14ac:dyDescent="0.25">
      <c r="A1276" s="1" t="s">
        <v>2551</v>
      </c>
      <c r="B1276" s="1">
        <v>16517</v>
      </c>
      <c r="C1276" s="3">
        <v>44295.744756944441</v>
      </c>
      <c r="D1276" s="1" t="s">
        <v>2552</v>
      </c>
      <c r="E1276" s="4" t="str">
        <f ca="1">IFERROR(__xludf.DUMMYFUNCTION("GOOGLETRANSLATE(A1276 , ""tr"" , ""en"")"),"My Precious Brother, my friend Abdülhamit Rose geyefendi's Mothers of the Mothers of Mothers Saliha Hospital has been treated in the hospital. May the venue be in heaven, the authority.")</f>
        <v>My Precious Brother, my friend Abdülhamit Rose geyefendi's Mothers of the Mothers of Mothers Saliha Hospital has been treated in the hospital. May the venue be in heaven, the authority.</v>
      </c>
    </row>
    <row r="1277" spans="1:5" ht="15.75" customHeight="1" x14ac:dyDescent="0.25">
      <c r="A1277" s="1" t="s">
        <v>2553</v>
      </c>
      <c r="B1277" s="1">
        <v>17531</v>
      </c>
      <c r="C1277" s="3">
        <v>44295.737500000003</v>
      </c>
      <c r="D1277" s="1" t="s">
        <v>2554</v>
      </c>
      <c r="E1277" s="4" t="str">
        <f ca="1">IFERROR(__xludf.DUMMYFUNCTION("GOOGLETRANSLATE(A1277 , ""tr"" , ""en"")"),"85% of the cases detected form various variants. All data shows that contagion is faster. Measures to reduce the speed of contagion. The vaccine is our greatest weapon. Our citizen citizens should not hesitate to have their vaccination by taking their app"&amp;"ointments.")</f>
        <v>85% of the cases detected form various variants. All data shows that contagion is faster. Measures to reduce the speed of contagion. The vaccine is our greatest weapon. Our citizen citizens should not hesitate to have their vaccination by taking their appointments.</v>
      </c>
    </row>
    <row r="1278" spans="1:5" ht="15.75" customHeight="1" x14ac:dyDescent="0.25">
      <c r="A1278" s="1" t="s">
        <v>2555</v>
      </c>
      <c r="B1278" s="1">
        <v>5980</v>
      </c>
      <c r="C1278" s="3">
        <v>44295.736655092594</v>
      </c>
      <c r="D1278" s="1" t="s">
        <v>2556</v>
      </c>
      <c r="E1278" s="4" t="str">
        <f ca="1">IFERROR(__xludf.DUMMYFUNCTION("GOOGLETRANSLATE(A1278 , ""tr"" , ""en"")"),"We assessed the process of epidemic with our provincial health managers. According to Istanbul per March, the number of cases increased by approximately 10 times. About 40% of cases in our country in ISABUL. The status of Istanbul determines the status of"&amp;" our country. We can protect our country if we can protect Istanbul. https://t.co/rhievbiyxm")</f>
        <v>We assessed the process of epidemic with our provincial health managers. According to Istanbul per March, the number of cases increased by approximately 10 times. About 40% of cases in our country in ISABUL. The status of Istanbul determines the status of our country. We can protect our country if we can protect Istanbul. https://t.co/rhievbiyxm</v>
      </c>
    </row>
    <row r="1279" spans="1:5" ht="15.75" customHeight="1" x14ac:dyDescent="0.25">
      <c r="A1279" s="1" t="s">
        <v>2557</v>
      </c>
      <c r="B1279" s="1">
        <v>20954</v>
      </c>
      <c r="C1279" s="3">
        <v>44294.826585648145</v>
      </c>
      <c r="D1279" s="1" t="s">
        <v>2558</v>
      </c>
      <c r="E1279" s="4" t="str">
        <f ca="1">IFERROR(__xludf.DUMMYFUNCTION("GOOGLETRANSLATE(A1279 , ""tr"" , ""en"")"),"Our aging population is increasing. We need more every day to rehab with disabled and elderly care. We have precious colleagues carrying this burden of service. Turkey celebrate the Day of Physiotherapists, I thank them for the services.")</f>
        <v>Our aging population is increasing. We need more every day to rehab with disabled and elderly care. We have precious colleagues carrying this burden of service. Turkey celebrate the Day of Physiotherapists, I thank them for the services.</v>
      </c>
    </row>
    <row r="1280" spans="1:5" ht="15.75" customHeight="1" x14ac:dyDescent="0.25">
      <c r="A1280" s="1" t="s">
        <v>2559</v>
      </c>
      <c r="B1280" s="1">
        <v>14885</v>
      </c>
      <c r="C1280" s="3">
        <v>44293.868310185186</v>
      </c>
      <c r="D1280" s="1" t="s">
        <v>2560</v>
      </c>
      <c r="E1280" s="4" t="str">
        <f ca="1">IFERROR(__xludf.DUMMYFUNCTION("GOOGLETRANSLATE(A1280 , ""tr"" , ""en"")"),"In the region of Olive Branch Operations, I condolences our martyred hero soldiers to our merchant nation from Allah. https://t.co/zhfmwxfe58")</f>
        <v>In the region of Olive Branch Operations, I condolences our martyred hero soldiers to our merchant nation from Allah. https://t.co/zhfmwxfe58</v>
      </c>
    </row>
    <row r="1281" spans="1:5" ht="15.75" customHeight="1" x14ac:dyDescent="0.25">
      <c r="A1281" s="1" t="s">
        <v>2561</v>
      </c>
      <c r="B1281" s="1">
        <v>8693</v>
      </c>
      <c r="C1281" s="3">
        <v>44293.485023148147</v>
      </c>
      <c r="D1281" s="1" t="s">
        <v>2562</v>
      </c>
      <c r="E1281" s="4" t="str">
        <f ca="1">IFERROR(__xludf.DUMMYFUNCTION("GOOGLETRANSLATE(A1281 , ""tr"" , ""en"")"),"Thank you on behalf of all health workers and scientists for Sensitivity and Tevecch they show to our President. Fighting with global epidemics is a political issue. https://t.co/6bgquensnI")</f>
        <v>Thank you on behalf of all health workers and scientists for Sensitivity and Tevecch they show to our President. Fighting with global epidemics is a political issue. https://t.co/6bgquensnI</v>
      </c>
    </row>
    <row r="1282" spans="1:5" ht="15.75" customHeight="1" x14ac:dyDescent="0.25">
      <c r="A1282" s="1" t="s">
        <v>2563</v>
      </c>
      <c r="B1282" s="1">
        <v>2750</v>
      </c>
      <c r="C1282" s="3">
        <v>44293.371712962966</v>
      </c>
      <c r="D1282" s="1" t="s">
        <v>2564</v>
      </c>
      <c r="E1282" s="4" t="str">
        <f ca="1">IFERROR(__xludf.DUMMYFUNCTION("GOOGLETRANSLATE(A1282 , ""tr"" , ""en"")"),"Undoubtedly, Achieving Universal Health Coverage Will Continue to be our Ultimate Goal. In The Light of this Guiding Principle, We Will Strive Towards A Healthier and A Fairer World. #Uhc, # worldhealthday2021, @drtedros, @hans_kluge, # COVID19, @who")</f>
        <v>Undoubtedly, Achieving Universal Health Coverage Will Continue to be our Ultimate Goal. In The Light of this Guiding Principle, We Will Strive Towards A Healthier and A Fairer World. #Uhc, # worldhealthday2021, @drtedros, @hans_kluge, # COVID19, @who</v>
      </c>
    </row>
    <row r="1283" spans="1:5" ht="15.75" customHeight="1" x14ac:dyDescent="0.25">
      <c r="A1283" s="1" t="s">
        <v>2565</v>
      </c>
      <c r="B1283" s="1">
        <v>5741</v>
      </c>
      <c r="C1283" s="3">
        <v>44293.370509259257</v>
      </c>
      <c r="D1283" s="1" t="s">
        <v>2566</v>
      </c>
      <c r="E1283" s="4" t="str">
        <f ca="1">IFERROR(__xludf.DUMMYFUNCTION("GOOGLETRANSLATE(A1283 , ""tr"" , ""en"")"),"With no doubt, universal health inclusiveness will continue to be our ultimate goal. In the light of this guiding principle, we will continue to work with all our efforts for a healthier and fairer world. #Uhc, # worldhealthday2021, @drtedros, @hans_kluge"&amp;", # Covid19, @who")</f>
        <v>With no doubt, universal health inclusiveness will continue to be our ultimate goal. In the light of this guiding principle, we will continue to work with all our efforts for a healthier and fairer world. #Uhc, # worldhealthday2021, @drtedros, @hans_kluge, # Covid19, @who</v>
      </c>
    </row>
    <row r="1284" spans="1:5" ht="15.75" customHeight="1" x14ac:dyDescent="0.25">
      <c r="A1284" s="1" t="s">
        <v>2567</v>
      </c>
      <c r="B1284" s="1">
        <v>16931</v>
      </c>
      <c r="C1284" s="3">
        <v>44292.645115740743</v>
      </c>
      <c r="D1284" s="1" t="s">
        <v>2568</v>
      </c>
      <c r="E1284" s="4" t="str">
        <f ca="1">IFERROR(__xludf.DUMMYFUNCTION("GOOGLETRANSLATE(A1284 , ""tr"" , ""en"")"),"We have an average agency that allows us to live free of charge. In the 101th of its service, Congratulations to the Organization Year of Anatolia Agency.")</f>
        <v>We have an average agency that allows us to live free of charge. In the 101th of its service, Congratulations to the Organization Year of Anatolia Agency.</v>
      </c>
    </row>
    <row r="1285" spans="1:5" ht="15.75" customHeight="1" x14ac:dyDescent="0.25">
      <c r="A1285" s="1" t="s">
        <v>2569</v>
      </c>
      <c r="B1285" s="1">
        <v>32860</v>
      </c>
      <c r="C1285" s="3">
        <v>44292.627395833333</v>
      </c>
      <c r="D1285" s="1" t="s">
        <v>2570</v>
      </c>
      <c r="E1285" s="4" t="str">
        <f ca="1">IFERROR(__xludf.DUMMYFUNCTION("GOOGLETRANSLATE(A1285 , ""tr"" , ""en"")"),"Since the beginning, we separated the fight against the epidemic of politics. We never agree to insult our scientists with an aggressive style by ignoring the labor of our science board throughout the epidemic. The Science Board is not a political rant ma"&amp;"terial. Be respectful.")</f>
        <v>Since the beginning, we separated the fight against the epidemic of politics. We never agree to insult our scientists with an aggressive style by ignoring the labor of our science board throughout the epidemic. The Science Board is not a political rant material. Be respectful.</v>
      </c>
    </row>
    <row r="1286" spans="1:5" ht="15.75" customHeight="1" x14ac:dyDescent="0.25">
      <c r="A1286" s="1" t="s">
        <v>2571</v>
      </c>
      <c r="B1286" s="1">
        <v>0</v>
      </c>
      <c r="C1286" s="3">
        <v>44291.635787037034</v>
      </c>
      <c r="D1286" s="1" t="s">
        <v>2572</v>
      </c>
      <c r="E1286" s="4" t="str">
        <f ca="1">IFERROR(__xludf.DUMMYFUNCTION("GOOGLETRANSLATE(A1286 , ""tr"" , ""en"")"),"RT @rterdogan: After the assessment meeting press release https://t.co/3ssclnwogu")</f>
        <v>RT @rterdogan: After the assessment meeting press release https://t.co/3ssclnwogu</v>
      </c>
    </row>
    <row r="1287" spans="1:5" ht="15.75" customHeight="1" x14ac:dyDescent="0.25">
      <c r="A1287" s="1" t="s">
        <v>2573</v>
      </c>
      <c r="B1287" s="1">
        <v>7737</v>
      </c>
      <c r="C1287" s="3">
        <v>44290.604930555557</v>
      </c>
      <c r="D1287" s="1" t="s">
        <v>2574</v>
      </c>
      <c r="E1287" s="4" t="str">
        <f ca="1">IFERROR(__xludf.DUMMYFUNCTION("GOOGLETRANSLATE(A1287 , ""tr"" , ""en"")"),"If we continue to patiently patiently, the vaccine sequence is not evened in life, we will be experiencing a little pain that will finally feel safe. While the vaccination is going on, the number of large pain will decrease. There is a lot of the number o"&amp;"f yesterday's number of passes. Let's not take a risk. https://t.co/m0fasr71q7")</f>
        <v>If we continue to patiently patiently, the vaccine sequence is not evened in life, we will be experiencing a little pain that will finally feel safe. While the vaccination is going on, the number of large pain will decrease. There is a lot of the number of yesterday's number of passes. Let's not take a risk. https://t.co/m0fasr71q7</v>
      </c>
    </row>
    <row r="1288" spans="1:5" ht="15.75" customHeight="1" x14ac:dyDescent="0.25">
      <c r="A1288" s="1" t="s">
        <v>2575</v>
      </c>
      <c r="B1288" s="1">
        <v>41954</v>
      </c>
      <c r="C1288" s="3">
        <v>44290.600115740737</v>
      </c>
      <c r="D1288" s="1" t="s">
        <v>2576</v>
      </c>
      <c r="E1288" s="4" t="str">
        <f ca="1">IFERROR(__xludf.DUMMYFUNCTION("GOOGLETRANSLATE(A1288 , ""tr"" , ""en"")"),"Vaccine maintains more than mask and distance. Some more patience.")</f>
        <v>Vaccine maintains more than mask and distance. Some more patience.</v>
      </c>
    </row>
    <row r="1289" spans="1:5" ht="15.75" customHeight="1" x14ac:dyDescent="0.25">
      <c r="A1289" s="1" t="s">
        <v>2577</v>
      </c>
      <c r="B1289" s="1">
        <v>16299</v>
      </c>
      <c r="C1289" s="3">
        <v>44290.382847222223</v>
      </c>
      <c r="D1289" s="1" t="s">
        <v>2578</v>
      </c>
      <c r="E1289" s="4" t="str">
        <f ca="1">IFERROR(__xludf.DUMMYFUNCTION("GOOGLETRANSLATE(A1289 , ""tr"" , ""en"")"),"The rate of ages 65 over the last month in total cases dropped from 14.39% to 11.3%. The ratio of young people in active cases is increasing. We will keep our youngsters as well.")</f>
        <v>The rate of ages 65 over the last month in total cases dropped from 14.39% to 11.3%. The ratio of young people in active cases is increasing. We will keep our youngsters as well.</v>
      </c>
    </row>
    <row r="1290" spans="1:5" ht="15.75" customHeight="1" x14ac:dyDescent="0.25">
      <c r="A1290" s="1" t="s">
        <v>2579</v>
      </c>
      <c r="B1290" s="1">
        <v>34885</v>
      </c>
      <c r="C1290" s="3">
        <v>44290.368634259263</v>
      </c>
      <c r="D1290" s="1" t="s">
        <v>2580</v>
      </c>
      <c r="E1290" s="4" t="str">
        <f ca="1">IFERROR(__xludf.DUMMYFUNCTION("GOOGLETRANSLATE(A1290 , ""tr"" , ""en"")"),"Impact and the enthusiastic of guardianship are always wasted. Our nation has given his response to the mindset at the last 15 July.")</f>
        <v>Impact and the enthusiastic of guardianship are always wasted. Our nation has given his response to the mindset at the last 15 July.</v>
      </c>
    </row>
    <row r="1291" spans="1:5" ht="15.75" customHeight="1" x14ac:dyDescent="0.25">
      <c r="A1291" s="1" t="s">
        <v>2581</v>
      </c>
      <c r="B1291" s="1">
        <v>10289</v>
      </c>
      <c r="C1291" s="3">
        <v>44289.814710648148</v>
      </c>
      <c r="D1291" s="1" t="s">
        <v>2582</v>
      </c>
      <c r="E1291" s="4" t="str">
        <f ca="1">IFERROR(__xludf.DUMMYFUNCTION("GOOGLETRANSLATE(A1291 , ""tr"" , ""en"")"),"Turkey is the most vaccine in countries that have not yet produced its vaccination. The total number of dose is 16.668.844 as of the moment this message is placed on the publication. https://t.co/ezdmnm0aap")</f>
        <v>Turkey is the most vaccine in countries that have not yet produced its vaccination. The total number of dose is 16.668.844 as of the moment this message is placed on the publication. https://t.co/ezdmnm0aap</v>
      </c>
    </row>
    <row r="1292" spans="1:5" ht="15.75" customHeight="1" x14ac:dyDescent="0.25">
      <c r="A1292" s="1" t="s">
        <v>2583</v>
      </c>
      <c r="B1292" s="1">
        <v>11295</v>
      </c>
      <c r="C1292" s="3">
        <v>44289.810983796298</v>
      </c>
      <c r="D1292" s="1" t="s">
        <v>2584</v>
      </c>
      <c r="E1292" s="4" t="str">
        <f ca="1">IFERROR(__xludf.DUMMYFUNCTION("GOOGLETRANSLATE(A1292 , ""tr"" , ""en"")"),"We are in 6th among the most vaccine countries. Countries that make more than us are US, China, India, England and Brazil. https://t.co/k7dwgmqzxn")</f>
        <v>We are in 6th among the most vaccine countries. Countries that make more than us are US, China, India, England and Brazil. https://t.co/k7dwgmqzxn</v>
      </c>
    </row>
    <row r="1293" spans="1:5" ht="15.75" customHeight="1" x14ac:dyDescent="0.25">
      <c r="A1293" s="1" t="s">
        <v>2585</v>
      </c>
      <c r="B1293" s="1">
        <v>18514</v>
      </c>
      <c r="C1293" s="3">
        <v>44289.744837962964</v>
      </c>
      <c r="D1293" s="1" t="s">
        <v>2586</v>
      </c>
      <c r="E1293" s="4" t="str">
        <f ca="1">IFERROR(__xludf.DUMMYFUNCTION("GOOGLETRANSLATE(A1293 , ""tr"" , ""en"")"),"The current state of our incidence map showing the number of weekly cases corresponding to 100,000 population in our provinces. We have to turn the status to our favor. https://t.co/gqbktuyajj")</f>
        <v>The current state of our incidence map showing the number of weekly cases corresponding to 100,000 population in our provinces. We have to turn the status to our favor. https://t.co/gqbktuyajj</v>
      </c>
    </row>
    <row r="1294" spans="1:5" ht="15.75" customHeight="1" x14ac:dyDescent="0.25">
      <c r="A1294" s="1" t="s">
        <v>2587</v>
      </c>
      <c r="B1294" s="1">
        <v>8192</v>
      </c>
      <c r="C1294" s="3">
        <v>44288.808032407411</v>
      </c>
      <c r="D1294" s="1" t="s">
        <v>2588</v>
      </c>
      <c r="E1294" s="4" t="str">
        <f ca="1">IFERROR(__xludf.DUMMYFUNCTION("GOOGLETRANSLATE(A1294 , ""tr"" , ""en"")"),"I would like to send the following message to the valued health workers all over the world:
You guys are the people of all humanity, at the same time, for the same reason. Humanity will find the most beautiful way of expressing this feeling. https://t.co/"&amp;"4izw3au4ky")</f>
        <v>I would like to send the following message to the valued health workers all over the world:
You guys are the people of all humanity, at the same time, for the same reason. Humanity will find the most beautiful way of expressing this feeling. https://t.co/4izw3au4ky</v>
      </c>
    </row>
    <row r="1295" spans="1:5" ht="15.75" customHeight="1" x14ac:dyDescent="0.25">
      <c r="A1295" s="1" t="s">
        <v>2589</v>
      </c>
      <c r="B1295" s="1">
        <v>5530</v>
      </c>
      <c r="C1295" s="3">
        <v>44288.796736111108</v>
      </c>
      <c r="D1295" s="1" t="s">
        <v>2590</v>
      </c>
      <c r="E1295" s="4" t="str">
        <f ca="1">IFERROR(__xludf.DUMMYFUNCTION("GOOGLETRANSLATE(A1295 , ""tr"" , ""en"")"),"Autism Awareness Day
What is the greatest power?
The greatest power is human love that is not binded with any condition.
-
This power is in all of us. https://t.co/tlgblf6o7d")</f>
        <v>Autism Awareness Day
What is the greatest power?
The greatest power is human love that is not binded with any condition.
-
This power is in all of us. https://t.co/tlgblf6o7d</v>
      </c>
    </row>
    <row r="1296" spans="1:5" ht="15.75" customHeight="1" x14ac:dyDescent="0.25">
      <c r="A1296" s="1" t="s">
        <v>2591</v>
      </c>
      <c r="B1296" s="1">
        <v>4616</v>
      </c>
      <c r="C1296" s="3">
        <v>44288.694814814815</v>
      </c>
      <c r="D1296" s="1" t="s">
        <v>2592</v>
      </c>
      <c r="E1296" s="4" t="str">
        <f ca="1">IFERROR(__xludf.DUMMYFUNCTION("GOOGLETRANSLATE(A1296 , ""tr"" , ""en"")"),"Autism awareness day. With the mental special requirement and autistic individuals, we have been clung to our homework assignments in the last 1 year. These assignments are above the terms. The summary of our work is in the conversation in our autism symp"&amp;"osium.
Video: https://t.co/jghfo32l7v")</f>
        <v>Autism awareness day. With the mental special requirement and autistic individuals, we have been clung to our homework assignments in the last 1 year. These assignments are above the terms. The summary of our work is in the conversation in our autism symposium.
Video: https://t.co/jghfo32l7v</v>
      </c>
    </row>
    <row r="1297" spans="1:5" ht="15.75" customHeight="1" x14ac:dyDescent="0.25">
      <c r="A1297" s="1" t="s">
        <v>2593</v>
      </c>
      <c r="B1297" s="1">
        <v>5025</v>
      </c>
      <c r="C1297" s="3">
        <v>44288.685150462959</v>
      </c>
      <c r="D1297" s="1" t="s">
        <v>2594</v>
      </c>
      <c r="E1297" s="4" t="str">
        <f ca="1">IFERROR(__xludf.DUMMYFUNCTION("GOOGLETRANSLATE(A1297 , ""tr"" , ""en"")"),"DSO General Director Tedros Ghebreyesus We performed yesterdays yesterday, announced by our suggestion, 2021 international health workers in media briefing on the year of media briefing: https://t.co/ata0c5n2fz")</f>
        <v>DSO General Director Tedros Ghebreyesus We performed yesterdays yesterday, announced by our suggestion, 2021 international health workers in media briefing on the year of media briefing: https://t.co/ata0c5n2fz</v>
      </c>
    </row>
    <row r="1298" spans="1:5" ht="15.75" customHeight="1" x14ac:dyDescent="0.25">
      <c r="A1298" s="1" t="s">
        <v>2595</v>
      </c>
      <c r="B1298" s="1">
        <v>6629</v>
      </c>
      <c r="C1298" s="3">
        <v>44287.807997685188</v>
      </c>
      <c r="D1298" s="1" t="s">
        <v>2596</v>
      </c>
      <c r="E1298" s="4" t="str">
        <f ca="1">IFERROR(__xludf.DUMMYFUNCTION("GOOGLETRANSLATE(A1298 , ""tr"" , ""en"")"),"The General Director of the DSO Tedros Ghebreyesus is the media briefing in the media briefing Turkey's suggestion of international health workers announced 2021 and the world's health worker has taken the new look. Our conversation is on your youtube cha"&amp;"nnel.
Video: https://t.co/bfrto7cmpq")</f>
        <v>The General Director of the DSO Tedros Ghebreyesus is the media briefing in the media briefing Turkey's suggestion of international health workers announced 2021 and the world's health worker has taken the new look. Our conversation is on your youtube channel.
Video: https://t.co/bfrto7cmpq</v>
      </c>
    </row>
    <row r="1299" spans="1:5" ht="15.75" customHeight="1" x14ac:dyDescent="0.25">
      <c r="A1299" s="1" t="s">
        <v>2597</v>
      </c>
      <c r="B1299" s="1">
        <v>16876</v>
      </c>
      <c r="C1299" s="3">
        <v>44287.69803240741</v>
      </c>
      <c r="D1299" s="1" t="s">
        <v>2598</v>
      </c>
      <c r="E1299" s="4" t="str">
        <f ca="1">IFERROR(__xludf.DUMMYFUNCTION("GOOGLETRANSLATE(A1299 , ""tr"" , ""en"")"),"Professor Cemil Taşçıoğlu We lost our teacher today in the quite difficult period of the epidemic today. While the dark interior of hopes. It was a sample of us all with its great selfless. Health worker in himself and his personal, we are considered to r"&amp;"espect all our losses and mercy. Our pain is great, if our way is shortened. https://t.co/dltjgydysz")</f>
        <v>Professor Cemil Taşçıoğlu We lost our teacher today in the quite difficult period of the epidemic today. While the dark interior of hopes. It was a sample of us all with its great selfless. Health worker in himself and his personal, we are considered to respect all our losses and mercy. Our pain is great, if our way is shortened. https://t.co/dltjgydysz</v>
      </c>
    </row>
    <row r="1300" spans="1:5" ht="15.75" customHeight="1" x14ac:dyDescent="0.25">
      <c r="A1300" s="1" t="s">
        <v>2599</v>
      </c>
      <c r="B1300" s="1">
        <v>5908</v>
      </c>
      <c r="C1300" s="3">
        <v>44286.852303240739</v>
      </c>
      <c r="D1300" s="1" t="s">
        <v>2600</v>
      </c>
      <c r="E1300" s="4" t="str">
        <f ca="1">IFERROR(__xludf.DUMMYFUNCTION("GOOGLETRANSLATE(A1300 , ""tr"" , ""en"")"),"Our goal is: Common immunity with vaccine. The remaining part of the load is now above our scientists, health workers. This great sense of responsibility should give you the desire to comply with the measures. You need to do is to protect yourself and awa"&amp;"it your vaccine order.")</f>
        <v>Our goal is: Common immunity with vaccine. The remaining part of the load is now above our scientists, health workers. This great sense of responsibility should give you the desire to comply with the measures. You need to do is to protect yourself and await your vaccine order.</v>
      </c>
    </row>
    <row r="1301" spans="1:5" ht="15.75" customHeight="1" x14ac:dyDescent="0.25">
      <c r="A1301" s="1" t="s">
        <v>2601</v>
      </c>
      <c r="B1301" s="1">
        <v>14071</v>
      </c>
      <c r="C1301" s="3">
        <v>44286.850659722222</v>
      </c>
      <c r="D1301" s="1" t="s">
        <v>2602</v>
      </c>
      <c r="E1301" s="4" t="str">
        <f ca="1">IFERROR(__xludf.DUMMYFUNCTION("GOOGLETRANSLATE(A1301 , ""tr"" , ""en"")"),"Intranazal ie the phase 1 studies to be applied in the form of the nasal spray are about to begin. This vaccine will be a COVID vaccine that is not found in the world as we expect the results on volunteers. (Science Board Meeting, Wednesday 31 March)")</f>
        <v>Intranazal ie the phase 1 studies to be applied in the form of the nasal spray are about to begin. This vaccine will be a COVID vaccine that is not found in the world as we expect the results on volunteers. (Science Board Meeting, Wednesday 31 March)</v>
      </c>
    </row>
    <row r="1302" spans="1:5" ht="15.75" customHeight="1" x14ac:dyDescent="0.25">
      <c r="A1302" s="1" t="s">
        <v>2603</v>
      </c>
      <c r="B1302" s="1">
        <v>7319</v>
      </c>
      <c r="C1302" s="3">
        <v>44286.848877314813</v>
      </c>
      <c r="D1302" s="1" t="s">
        <v>2604</v>
      </c>
      <c r="E1302" s="4" t="str">
        <f ca="1">IFERROR(__xludf.DUMMYFUNCTION("GOOGLETRANSLATE(A1302 , ""tr"" , ""en"")"),"The issue of mutated viruses increases the propagation rate is solemnly addressed in the whole world. These variants are very common in the research in our country in our country. (Science Board Meeting, Wednesday 31 March)")</f>
        <v>The issue of mutated viruses increases the propagation rate is solemnly addressed in the whole world. These variants are very common in the research in our country in our country. (Science Board Meeting, Wednesday 31 March)</v>
      </c>
    </row>
    <row r="1303" spans="1:5" ht="15.75" customHeight="1" x14ac:dyDescent="0.25">
      <c r="A1303" s="1" t="s">
        <v>2605</v>
      </c>
      <c r="B1303" s="1">
        <v>22221</v>
      </c>
      <c r="C1303" s="3">
        <v>44286.84715277778</v>
      </c>
      <c r="D1303" s="1" t="s">
        <v>2606</v>
      </c>
      <c r="E1303" s="4" t="str">
        <f ca="1">IFERROR(__xludf.DUMMYFUNCTION("GOOGLETRANSLATE(A1303 , ""tr"" , ""en"")"),"The increased number of cases is proof that the virus continues to protect the power of the virus. The society seems to have not yet taken the agenda to the agenda. (Science Board Meeting, Wednesday 31 March)")</f>
        <v>The increased number of cases is proof that the virus continues to protect the power of the virus. The society seems to have not yet taken the agenda to the agenda. (Science Board Meeting, Wednesday 31 March)</v>
      </c>
    </row>
    <row r="1304" spans="1:5" ht="15.75" customHeight="1" x14ac:dyDescent="0.25">
      <c r="A1304" s="1" t="s">
        <v>2607</v>
      </c>
      <c r="B1304" s="1">
        <v>6884</v>
      </c>
      <c r="C1304" s="3">
        <v>44286.798483796294</v>
      </c>
      <c r="D1304" s="1" t="s">
        <v>2608</v>
      </c>
      <c r="E1304" s="4" t="str">
        <f ca="1">IFERROR(__xludf.DUMMYFUNCTION("GOOGLETRANSLATE(A1304 , ""tr"" , ""en"")"),"At the present meeting of the Science Board, we addressed the increasing risk level in some of our provinces, with the latest developments and vaccination in vaccination in the present meeting of the virus. With the vaccination, we are by means of the rem"&amp;"inder of the fact that the immunization target protects the virus power. https://t.co/2JFNWIHPOI")</f>
        <v>At the present meeting of the Science Board, we addressed the increasing risk level in some of our provinces, with the latest developments and vaccination in vaccination in the present meeting of the virus. With the vaccination, we are by means of the reminder of the fact that the immunization target protects the virus power. https://t.co/2JFNWIHPOI</v>
      </c>
    </row>
    <row r="1305" spans="1:5" ht="15.75" customHeight="1" x14ac:dyDescent="0.25">
      <c r="A1305" s="1" t="s">
        <v>2609</v>
      </c>
      <c r="B1305" s="1">
        <v>30030</v>
      </c>
      <c r="C1305" s="3">
        <v>44285.968356481484</v>
      </c>
      <c r="D1305" s="1" t="s">
        <v>2610</v>
      </c>
      <c r="E1305" s="4" t="str">
        <f ca="1">IFERROR(__xludf.DUMMYFUNCTION("GOOGLETRANSLATE(A1305 , ""tr"" , ""en"")"),"3-3 is not an equality. Let us show the difference between us with larger support.")</f>
        <v>3-3 is not an equality. Let us show the difference between us with larger support.</v>
      </c>
    </row>
    <row r="1306" spans="1:5" ht="15.75" customHeight="1" x14ac:dyDescent="0.25">
      <c r="A1306" s="1" t="s">
        <v>2611</v>
      </c>
      <c r="B1306" s="1">
        <v>4244</v>
      </c>
      <c r="C1306" s="3">
        <v>44285.936516203707</v>
      </c>
      <c r="D1306" s="1" t="s">
        <v>2612</v>
      </c>
      <c r="E1306" s="4" t="str">
        <f ca="1">IFERROR(__xludf.DUMMYFUNCTION("GOOGLETRANSLATE(A1306 , ""tr"" , ""en"")"),"We had another task yesterday. We were in the council of council. The Tuesday, Wednesdays and Thursdays in which the General Assembly is working on Wednesday and Thursday. I would like to thank all our proxies to meet us to convey your demands on our guar"&amp;"d. https://t.co/15nfkn6i1t")</f>
        <v>We had another task yesterday. We were in the council of council. The Tuesday, Wednesdays and Thursdays in which the General Assembly is working on Wednesday and Thursday. I would like to thank all our proxies to meet us to convey your demands on our guard. https://t.co/15nfkn6i1t</v>
      </c>
    </row>
    <row r="1307" spans="1:5" ht="15.75" customHeight="1" x14ac:dyDescent="0.25">
      <c r="A1307" s="1" t="s">
        <v>2613</v>
      </c>
      <c r="B1307" s="1">
        <v>34686</v>
      </c>
      <c r="C1307" s="3">
        <v>44284.713923611111</v>
      </c>
      <c r="D1307" s="1" t="s">
        <v>2614</v>
      </c>
      <c r="E1307" s="4" t="str">
        <f ca="1">IFERROR(__xludf.DUMMYFUNCTION("GOOGLETRANSLATE(A1307 , ""tr"" , ""en"")"),"Our last map showing the risk status of our provinces. The virus has not lost its power. We have to turn this map to blue. The vaccine program should struggle until we provide society immunity. We don't lose the easy one that has exceeded the hard one. ht"&amp;"tps://t.co/jbnzgpnbwq")</f>
        <v>Our last map showing the risk status of our provinces. The virus has not lost its power. We have to turn this map to blue. The vaccine program should struggle until we provide society immunity. We don't lose the easy one that has exceeded the hard one. https://t.co/jbnzgpnbwq</v>
      </c>
    </row>
    <row r="1308" spans="1:5" ht="15.75" customHeight="1" x14ac:dyDescent="0.25">
      <c r="A1308" s="1" t="s">
        <v>2615</v>
      </c>
      <c r="B1308" s="1">
        <v>0</v>
      </c>
      <c r="C1308" s="3">
        <v>44284.697210648148</v>
      </c>
      <c r="D1308" s="1" t="s">
        <v>2616</v>
      </c>
      <c r="E1308" s="4" t="str">
        <f ca="1">IFERROR(__xludf.DUMMYFUNCTION("GOOGLETRANSLATE(A1308 , ""tr"" , ""en"")"),"RT @rterdogan: Shouting Nation After Cabinet Meeting https://t.co/vcaxodxb1b")</f>
        <v>RT @rterdogan: Shouting Nation After Cabinet Meeting https://t.co/vcaxodxb1b</v>
      </c>
    </row>
    <row r="1309" spans="1:5" ht="15.75" customHeight="1" x14ac:dyDescent="0.25">
      <c r="A1309" s="1" t="s">
        <v>2617</v>
      </c>
      <c r="B1309" s="1">
        <v>19658</v>
      </c>
      <c r="C1309" s="3">
        <v>44283.507708333331</v>
      </c>
      <c r="D1309" s="1" t="s">
        <v>2618</v>
      </c>
      <c r="E1309" s="4" t="str">
        <f ca="1">IFERROR(__xludf.DUMMYFUNCTION("GOOGLETRANSLATE(A1309 , ""tr"" , ""en"")"),"Our Minister Minister Mr. Süleyman Loyal Geyefendi's Precious Unspecified Hami Reis Halk's mercy. I wish heracy from Allah, my brother Süleyman Bey and his family.")</f>
        <v>Our Minister Minister Mr. Süleyman Loyal Geyefendi's Precious Unspecified Hami Reis Halk's mercy. I wish heracy from Allah, my brother Süleyman Bey and his family.</v>
      </c>
    </row>
    <row r="1310" spans="1:5" ht="15.75" customHeight="1" x14ac:dyDescent="0.25">
      <c r="A1310" s="1" t="s">
        <v>2619</v>
      </c>
      <c r="B1310" s="1">
        <v>27741</v>
      </c>
      <c r="C1310" s="3">
        <v>44282.858715277776</v>
      </c>
      <c r="D1310" s="1" t="s">
        <v>2620</v>
      </c>
      <c r="E1310" s="4" t="str">
        <f ca="1">IFERROR(__xludf.DUMMYFUNCTION("GOOGLETRANSLATE(A1310 , ""tr"" , ""en"")"),"We will also get larger matches. We will also hug the fully.
A national football team is thankful for the win. https://t.co/fcba0sp40g")</f>
        <v>We will also get larger matches. We will also hug the fully.
A national football team is thankful for the win. https://t.co/fcba0sp40g</v>
      </c>
    </row>
    <row r="1311" spans="1:5" ht="15.75" customHeight="1" x14ac:dyDescent="0.25">
      <c r="A1311" s="1" t="s">
        <v>2621</v>
      </c>
      <c r="B1311" s="1">
        <v>26333</v>
      </c>
      <c r="C1311" s="3">
        <v>44282.773946759262</v>
      </c>
      <c r="D1311" s="1" t="s">
        <v>2622</v>
      </c>
      <c r="E1311" s="4" t="str">
        <f ca="1">IFERROR(__xludf.DUMMYFUNCTION("GOOGLETRANSLATE(A1311 , ""tr"" , ""en"")"),"Berate wander tonight. In the spirit of ""acquittal"", let's always be full of favor to be nailed to our surroundings to our environment for donating to our environment. Let us be the message to our other virtue and friendship. And we think, what is the m"&amp;"essage to us this night beyond all the gang messages?")</f>
        <v>Berate wander tonight. In the spirit of "acquittal", let's always be full of favor to be nailed to our surroundings to our environment for donating to our environment. Let us be the message to our other virtue and friendship. And we think, what is the message to us this night beyond all the gang messages?</v>
      </c>
    </row>
    <row r="1312" spans="1:5" ht="15.75" customHeight="1" x14ac:dyDescent="0.25">
      <c r="A1312" s="1" t="s">
        <v>2623</v>
      </c>
      <c r="B1312" s="1">
        <v>11185</v>
      </c>
      <c r="C1312" s="3">
        <v>44282.681516203702</v>
      </c>
      <c r="D1312" s="1" t="s">
        <v>2624</v>
      </c>
      <c r="E1312" s="4" t="str">
        <f ca="1">IFERROR(__xludf.DUMMYFUNCTION("GOOGLETRANSLATE(A1312 , ""tr"" , ""en"")"),"Morbid Obese, which is in the risk group, cancer and dialysis patients with malignant tumors and down syndrome are identified to the system to become a priority vaccination of our citizens and immuno suppressive treatment areas. We would like to protect o"&amp;"ur most risky citizen as soon as possible.")</f>
        <v>Morbid Obese, which is in the risk group, cancer and dialysis patients with malignant tumors and down syndrome are identified to the system to become a priority vaccination of our citizens and immuno suppressive treatment areas. We would like to protect our most risky citizen as soon as possible.</v>
      </c>
    </row>
    <row r="1313" spans="1:5" ht="15.75" customHeight="1" x14ac:dyDescent="0.25">
      <c r="A1313" s="1" t="s">
        <v>2625</v>
      </c>
      <c r="B1313" s="1">
        <v>22900</v>
      </c>
      <c r="C1313" s="3">
        <v>44282.681122685186</v>
      </c>
      <c r="D1313" s="1" t="s">
        <v>2626</v>
      </c>
      <c r="E1313" s="4" t="str">
        <f ca="1">IFERROR(__xludf.DUMMYFUNCTION("GOOGLETRANSLATE(A1313 , ""tr"" , ""en"")"),"We go to the new group in the vaccine program. Our citizens, which are defined into the system, our citizens over 60 years of age will be the vaccines by making an appointment with their partners. In addition, some risk groups were also included in the pr"&amp;"ogram.")</f>
        <v>We go to the new group in the vaccine program. Our citizens, which are defined into the system, our citizens over 60 years of age will be the vaccines by making an appointment with their partners. In addition, some risk groups were also included in the program.</v>
      </c>
    </row>
    <row r="1314" spans="1:5" ht="15.75" customHeight="1" x14ac:dyDescent="0.25">
      <c r="A1314" s="1" t="s">
        <v>2627</v>
      </c>
      <c r="B1314" s="1">
        <v>9111</v>
      </c>
      <c r="C1314" s="3">
        <v>44280.886620370373</v>
      </c>
      <c r="D1314" s="1" t="s">
        <v>2628</v>
      </c>
      <c r="E1314" s="4" t="str">
        <f ca="1">IFERROR(__xludf.DUMMYFUNCTION("GOOGLETRANSLATE(A1314 , ""tr"" , ""en"")"),"There's a question you'd expect: How long will it last? When is the epidemic to be controlled? This is very clear: this will last for this ordeal when vaccination is over. According to our plans, 100 million dose of vaccines will be in our hand until the "&amp;"end of May. And the vaccine of 50 million people will be completed. https://t.co/7mlp6sdq4k")</f>
        <v>There's a question you'd expect: How long will it last? When is the epidemic to be controlled? This is very clear: this will last for this ordeal when vaccination is over. According to our plans, 100 million dose of vaccines will be in our hand until the end of May. And the vaccine of 50 million people will be completed. https://t.co/7mlp6sdq4k</v>
      </c>
    </row>
    <row r="1315" spans="1:5" ht="15.75" customHeight="1" x14ac:dyDescent="0.25">
      <c r="A1315" s="1" t="s">
        <v>2629</v>
      </c>
      <c r="B1315" s="1">
        <v>5816</v>
      </c>
      <c r="C1315" s="3">
        <v>44280.867928240739</v>
      </c>
      <c r="D1315" s="1" t="s">
        <v>2630</v>
      </c>
      <c r="E1315" s="4" t="str">
        <f ca="1">IFERROR(__xludf.DUMMYFUNCTION("GOOGLETRANSLATE(A1315 , ""tr"" , ""en"")"),"It is very clear that the vaccine will be a long-term need. It is wrong to connect the vaccines produced by other countries. Beyond forced on supply, economic costs are also heavy. Our own vaccine is our own weapon. Our native vaccine studies include sign"&amp;"ificant developments towards the conclusion. https://t.co/hlvisfrovf")</f>
        <v>It is very clear that the vaccine will be a long-term need. It is wrong to connect the vaccines produced by other countries. Beyond forced on supply, economic costs are also heavy. Our own vaccine is our own weapon. Our native vaccine studies include significant developments towards the conclusion. https://t.co/hlvisfrovf</v>
      </c>
    </row>
    <row r="1316" spans="1:5" ht="15.75" customHeight="1" x14ac:dyDescent="0.25">
      <c r="A1316" s="1" t="s">
        <v>2631</v>
      </c>
      <c r="B1316" s="1">
        <v>4609</v>
      </c>
      <c r="C1316" s="3">
        <v>44280.837835648148</v>
      </c>
      <c r="D1316" s="1" t="s">
        <v>2632</v>
      </c>
      <c r="E1316" s="4" t="str">
        <f ca="1">IFERROR(__xludf.DUMMYFUNCTION("GOOGLETRANSLATE(A1316 , ""tr"" , ""en"")"),"Our options in vaccination are increasing. To accelerate the process of vaccination, we have new procurement sources as well as vaccines such as Sinovac, Biontech. Our interviews with different producers are driving. There are 40 million dose in supply pl"&amp;"anning with only one of them. https://t.co/yffxz5hclo")</f>
        <v>Our options in vaccination are increasing. To accelerate the process of vaccination, we have new procurement sources as well as vaccines such as Sinovac, Biontech. Our interviews with different producers are driving. There are 40 million dose in supply planning with only one of them. https://t.co/yffxz5hclo</v>
      </c>
    </row>
    <row r="1317" spans="1:5" ht="15.75" customHeight="1" x14ac:dyDescent="0.25">
      <c r="A1317" s="1" t="s">
        <v>2633</v>
      </c>
      <c r="B1317" s="1">
        <v>5503</v>
      </c>
      <c r="C1317" s="3">
        <v>44280.822870370372</v>
      </c>
      <c r="D1317" s="1" t="s">
        <v>2634</v>
      </c>
      <c r="E1317" s="4" t="str">
        <f ca="1">IFERROR(__xludf.DUMMYFUNCTION("GOOGLETRANSLATE(A1317 , ""tr"" , ""en"")"),"The BIONTECH vaccine. We have included the German originated BionTech vaccine to accelerate the vaccination. 1.4 million dose vaccines as of today. At the beginning of April this will reach 4.5 million dose. We also made a 30 million dosing option. We wil"&amp;"l get more vaccines as production increases. https://t.co/ftb6iruigw")</f>
        <v>The BIONTECH vaccine. We have included the German originated BionTech vaccine to accelerate the vaccination. 1.4 million dose vaccines as of today. At the beginning of April this will reach 4.5 million dose. We also made a 30 million dosing option. We will get more vaccines as production increases. https://t.co/ftb6iruigw</v>
      </c>
    </row>
    <row r="1318" spans="1:5" ht="15.75" customHeight="1" x14ac:dyDescent="0.25">
      <c r="A1318" s="1" t="s">
        <v>2635</v>
      </c>
      <c r="B1318" s="1">
        <v>11561</v>
      </c>
      <c r="C1318" s="3">
        <v>44280.820127314815</v>
      </c>
      <c r="D1318" s="1" t="s">
        <v>2636</v>
      </c>
      <c r="E1318" s="4" t="str">
        <f ca="1">IFERROR(__xludf.DUMMYFUNCTION("GOOGLETRANSLATE(A1318 , ""tr"" , ""en"")"),"What should we understand from the vaccine statement in the ""BULK""? The bulk although the vaccine is the bottled form of vaccine. This path is preferred due to the convenience in transport. 10 million dose vaccines that reach the previous 18 million dos"&amp;"e, which reached the previous 18 million dose. Bottle is started.")</f>
        <v>What should we understand from the vaccine statement in the "BULK"? The bulk although the vaccine is the bottled form of vaccine. This path is preferred due to the convenience in transport. 10 million dose vaccines that reach the previous 18 million dose, which reached the previous 18 million dose. Bottle is started.</v>
      </c>
    </row>
    <row r="1319" spans="1:5" ht="15.75" customHeight="1" x14ac:dyDescent="0.25">
      <c r="A1319" s="1" t="s">
        <v>2637</v>
      </c>
      <c r="B1319" s="1">
        <v>5716</v>
      </c>
      <c r="C1319" s="3">
        <v>44280.8125</v>
      </c>
      <c r="D1319" s="1" t="s">
        <v>2638</v>
      </c>
      <c r="E1319" s="4" t="str">
        <f ca="1">IFERROR(__xludf.DUMMYFUNCTION("GOOGLETRANSLATE(A1319 , ""tr"" , ""en"")"),"100 million dose vaccines will come by the end of May! The portion that comes so far is over 18 million dose. 14 million dose of vaccine was applied. The vaccine that corresponds to 10 million dose, the vaccine in the ""Bulk"" reached our hand today. With"&amp;" 100 million dose, we will have the vaccination of 50 million people. https://t.co/fsmroIoott")</f>
        <v>100 million dose vaccines will come by the end of May! The portion that comes so far is over 18 million dose. 14 million dose of vaccine was applied. The vaccine that corresponds to 10 million dose, the vaccine in the "Bulk" reached our hand today. With 100 million dose, we will have the vaccination of 50 million people. https://t.co/fsmroIoott</v>
      </c>
    </row>
    <row r="1320" spans="1:5" ht="15.75" customHeight="1" x14ac:dyDescent="0.25">
      <c r="A1320" s="1" t="s">
        <v>2639</v>
      </c>
      <c r="B1320" s="1">
        <v>5977</v>
      </c>
      <c r="C1320" s="3">
        <v>44280.772858796299</v>
      </c>
      <c r="D1320" s="1" t="s">
        <v>2640</v>
      </c>
      <c r="E1320" s="4" t="str">
        <f ca="1">IFERROR(__xludf.DUMMYFUNCTION("GOOGLETRANSLATE(A1320 , ""tr"" , ""en"")"),"After our science board meeting, we can watch our press statement from our YouTube channel.
Video: https://t.co/u3e5Ieoqux https://t.co/xakmwejr0y")</f>
        <v>After our science board meeting, we can watch our press statement from our YouTube channel.
Video: https://t.co/u3e5Ieoqux https://t.co/xakmwejr0y</v>
      </c>
    </row>
    <row r="1321" spans="1:5" ht="15.75" customHeight="1" x14ac:dyDescent="0.25">
      <c r="A1321" s="1" t="s">
        <v>2641</v>
      </c>
      <c r="B1321" s="1">
        <v>26783</v>
      </c>
      <c r="C1321" s="3">
        <v>44280.697604166664</v>
      </c>
      <c r="D1321" s="1" t="s">
        <v>2642</v>
      </c>
      <c r="E1321" s="4" t="str">
        <f ca="1">IFERROR(__xludf.DUMMYFUNCTION("GOOGLETRANSLATE(A1321 , ""tr"" , ""en"")"),"Your stance is not forgotten your style, even the sample was counted. Our nation is still thankful for the attitude such as the castle you show in the hard times of the country. You have brought the sense of Anatolia in politics. The man of this soil love"&amp;"d you for that too. Your soul is the Chairman Muhsin. https://t.co/3mtz31fcou")</f>
        <v>Your stance is not forgotten your style, even the sample was counted. Our nation is still thankful for the attitude such as the castle you show in the hard times of the country. You have brought the sense of Anatolia in politics. The man of this soil loved you for that too. Your soul is the Chairman Muhsin. https://t.co/3mtz31fcou</v>
      </c>
    </row>
    <row r="1322" spans="1:5" ht="15.75" customHeight="1" x14ac:dyDescent="0.25">
      <c r="A1322" s="1" t="s">
        <v>2643</v>
      </c>
      <c r="B1322" s="1">
        <v>18029</v>
      </c>
      <c r="C1322" s="3">
        <v>44279.723391203705</v>
      </c>
      <c r="D1322" s="1" t="s">
        <v>2644</v>
      </c>
      <c r="E1322" s="4" t="str">
        <f ca="1">IFERROR(__xludf.DUMMYFUNCTION("GOOGLETRANSLATE(A1322 , ""tr"" , ""en"")"),"Today, more than 700 thousand dose of biontech vaccines reached our country. Thus, approximately 1.4 million dose has reached the ready-made vaccine. This vaccine will be used for the first time in our country. The vaccine will be applied at each center t"&amp;"hat suits the storage conditions.")</f>
        <v>Today, more than 700 thousand dose of biontech vaccines reached our country. Thus, approximately 1.4 million dose has reached the ready-made vaccine. This vaccine will be used for the first time in our country. The vaccine will be applied at each center that suits the storage conditions.</v>
      </c>
    </row>
    <row r="1323" spans="1:5" ht="15.75" customHeight="1" x14ac:dyDescent="0.25">
      <c r="A1323" s="1" t="s">
        <v>2645</v>
      </c>
      <c r="B1323" s="1">
        <v>8800</v>
      </c>
      <c r="C1323" s="3">
        <v>44279.72247685185</v>
      </c>
      <c r="D1323" s="1" t="s">
        <v>2646</v>
      </c>
      <c r="E1323" s="4" t="str">
        <f ca="1">IFERROR(__xludf.DUMMYFUNCTION("GOOGLETRANSLATE(A1323 , ""tr"" , ""en"")"),"The biontech vaccine has reached our country to test 5,800 in the last week. If yesterday we have received about 750 thousand dose of overdose. The first time of tests and clinical research came to the first time biontech vaccine. Security tests are done "&amp;"and will be applied to our citizens coming next week. https://t.co/endmpad9rt")</f>
        <v>The biontech vaccine has reached our country to test 5,800 in the last week. If yesterday we have received about 750 thousand dose of overdose. The first time of tests and clinical research came to the first time biontech vaccine. Security tests are done and will be applied to our citizens coming next week. https://t.co/endmpad9rt</v>
      </c>
    </row>
    <row r="1324" spans="1:5" ht="15.75" customHeight="1" x14ac:dyDescent="0.25">
      <c r="A1324" s="1" t="s">
        <v>2647</v>
      </c>
      <c r="B1324" s="1">
        <v>30175</v>
      </c>
      <c r="C1324" s="3">
        <v>44279.609513888892</v>
      </c>
      <c r="D1324" s="1" t="s">
        <v>2648</v>
      </c>
      <c r="E1324" s="4" t="str">
        <f ca="1">IFERROR(__xludf.DUMMYFUNCTION("GOOGLETRANSLATE(A1324 , ""tr"" , ""en"")"),"The love is the love, compassion and science that will be brightly to the darkness. The AK Party established with this spirit will continue its way in 2023, in 2053 and the same vision in 2071. In our congress, we congratulate the President of the Preside"&amp;"nt of the President.")</f>
        <v>The love is the love, compassion and science that will be brightly to the darkness. The AK Party established with this spirit will continue its way in 2023, in 2053 and the same vision in 2071. In our congress, we congratulate the President of the President of the President.</v>
      </c>
    </row>
    <row r="1325" spans="1:5" ht="15.75" customHeight="1" x14ac:dyDescent="0.25">
      <c r="A1325" s="1" t="s">
        <v>2649</v>
      </c>
      <c r="B1325" s="1">
        <v>36480</v>
      </c>
      <c r="C1325" s="3">
        <v>44278.711099537039</v>
      </c>
      <c r="D1325" s="1" t="s">
        <v>2650</v>
      </c>
      <c r="E1325" s="4" t="str">
        <f ca="1">IFERROR(__xludf.DUMMYFUNCTION("GOOGLETRANSLATE(A1325 , ""tr"" , ""en"")"),"We have to pay attention. We found 26 thousand 182 new cases today. Again we have 138 life loss today. The case and the number of losses threaten our lives, which we have earned by effort. Our return is the measure.")</f>
        <v>We have to pay attention. We found 26 thousand 182 new cases today. Again we have 138 life loss today. The case and the number of losses threaten our lives, which we have earned by effort. Our return is the measure.</v>
      </c>
    </row>
    <row r="1326" spans="1:5" ht="15.75" customHeight="1" x14ac:dyDescent="0.25">
      <c r="A1326" s="1" t="s">
        <v>2651</v>
      </c>
      <c r="B1326" s="1">
        <v>9199</v>
      </c>
      <c r="C1326" s="3">
        <v>44278.431886574072</v>
      </c>
      <c r="D1326" s="1" t="s">
        <v>2652</v>
      </c>
      <c r="E1326" s="4" t="str">
        <f ca="1">IFERROR(__xludf.DUMMYFUNCTION("GOOGLETRANSLATE(A1326 , ""tr"" , ""en"")"),"Last week 100,000 Population Case Show Rate The most increasing provinces: Kastamonu, Çankırı, Yalova, Istanbul and Erzincan. Our most diminished provinces: Sinop, Gumushane, Mersin, Kırıkkale and Bur. Is the measure to eliminate the risk. https://t.co/mh"&amp;"um3yklho")</f>
        <v>Last week 100,000 Population Case Show Rate The most increasing provinces: Kastamonu, Çankırı, Yalova, Istanbul and Erzincan. Our most diminished provinces: Sinop, Gumushane, Mersin, Kırıkkale and Bur. Is the measure to eliminate the risk. https://t.co/mhum3yklho</v>
      </c>
    </row>
    <row r="1327" spans="1:5" ht="15.75" customHeight="1" x14ac:dyDescent="0.25">
      <c r="A1327" s="1" t="s">
        <v>2653</v>
      </c>
      <c r="B1327" s="1">
        <v>9687</v>
      </c>
      <c r="C1327" s="3">
        <v>44277.932557870372</v>
      </c>
      <c r="D1327" s="1" t="s">
        <v>2654</v>
      </c>
      <c r="E1327" s="4" t="str">
        <f ca="1">IFERROR(__xludf.DUMMYFUNCTION("GOOGLETRANSLATE(A1327 , ""tr"" , ""en"")"),"Case increase continues. In the past week, we have made a cororrelation meeting with our provincial administrators experiencing the most case increase. Our experience is enough to breast this increase. On-site decision, on-site measure, we will not give t"&amp;"he opportunity to the virus with effective struggle. https://t.co/r3ro87jivg")</f>
        <v>Case increase continues. In the past week, we have made a cororrelation meeting with our provincial administrators experiencing the most case increase. Our experience is enough to breast this increase. On-site decision, on-site measure, we will not give the opportunity to the virus with effective struggle. https://t.co/r3ro87jivg</v>
      </c>
    </row>
    <row r="1328" spans="1:5" ht="15.75" customHeight="1" x14ac:dyDescent="0.25">
      <c r="A1328" s="1" t="s">
        <v>2655</v>
      </c>
      <c r="B1328" s="1">
        <v>9169</v>
      </c>
      <c r="C1328" s="3">
        <v>44277.780312499999</v>
      </c>
      <c r="D1328" s="1" t="s">
        <v>2656</v>
      </c>
      <c r="E1328" s="4" t="str">
        <f ca="1">IFERROR(__xludf.DUMMYFUNCTION("GOOGLETRANSLATE(A1328 , ""tr"" , ""en"")"),"Our emergency medical technicians and technicians who have undertaken critical tasks in the moments competed in time to save life ... You are the hero of our health services, all of us boast. 22 March Emergency Medical Technicians and Technicians Happy Da"&amp;"y. Turkey loves you. https://t.co/uhu9hvtda7")</f>
        <v>Our emergency medical technicians and technicians who have undertaken critical tasks in the moments competed in time to save life ... You are the hero of our health services, all of us boast. 22 March Emergency Medical Technicians and Technicians Happy Day. Turkey loves you. https://t.co/uhu9hvtda7</v>
      </c>
    </row>
    <row r="1329" spans="1:5" ht="15.75" customHeight="1" x14ac:dyDescent="0.25">
      <c r="A1329" s="1" t="s">
        <v>2657</v>
      </c>
      <c r="B1329" s="1">
        <v>24707</v>
      </c>
      <c r="C1329" s="3">
        <v>44277.35670138889</v>
      </c>
      <c r="D1329" s="1" t="s">
        <v>2658</v>
      </c>
      <c r="E1329" s="4" t="str">
        <f ca="1">IFERROR(__xludf.DUMMYFUNCTION("GOOGLETRANSLATE(A1329 , ""tr"" , ""en"")"),"Tweet I left to throw yesterdays: 21 March World Poetry Day, yesterday, today, today, happy tomorrow. Let's reinforce the poem against all kinds of viruses, let's not forget.")</f>
        <v>Tweet I left to throw yesterdays: 21 March World Poetry Day, yesterday, today, today, happy tomorrow. Let's reinforce the poem against all kinds of viruses, let's not forget.</v>
      </c>
    </row>
    <row r="1330" spans="1:5" ht="15.75" customHeight="1" x14ac:dyDescent="0.25">
      <c r="A1330" s="1" t="s">
        <v>2659</v>
      </c>
      <c r="B1330" s="1">
        <v>25996</v>
      </c>
      <c r="C1330" s="3">
        <v>44277.314166666663</v>
      </c>
      <c r="D1330" s="1" t="s">
        <v>2660</v>
      </c>
      <c r="E1330" s="4" t="str">
        <f ca="1">IFERROR(__xludf.DUMMYFUNCTION("GOOGLETRANSLATE(A1330 , ""tr"" , ""en"")"),"We take the knowledge that they are removing the mask at work. However, the risk is in the work environment as it is outside. While at work, you are not far from the sight: You are in front of 83 million eyes with the risk you received. Please act respons"&amp;"ibly. Do not remove your mask.")</f>
        <v>We take the knowledge that they are removing the mask at work. However, the risk is in the work environment as it is outside. While at work, you are not far from the sight: You are in front of 83 million eyes with the risk you received. Please act responsibly. Do not remove your mask.</v>
      </c>
    </row>
    <row r="1331" spans="1:5" ht="15.75" customHeight="1" x14ac:dyDescent="0.25">
      <c r="A1331" s="1" t="s">
        <v>2661</v>
      </c>
      <c r="B1331" s="1">
        <v>13734</v>
      </c>
      <c r="C1331" s="3">
        <v>44276.684606481482</v>
      </c>
      <c r="D1331" s="1" t="s">
        <v>2662</v>
      </c>
      <c r="E1331" s="4" t="str">
        <f ca="1">IFERROR(__xludf.DUMMYFUNCTION("GOOGLETRANSLATE(A1331 , ""tr"" , ""en"")"),"Celebrated today is not just the arrival of the spring. More than that. For example, the rise of hopes. Spring inspire all of us against difficulties. I celebrate your Nevruz from the heart.")</f>
        <v>Celebrated today is not just the arrival of the spring. More than that. For example, the rise of hopes. Spring inspire all of us against difficulties. I celebrate your Nevruz from the heart.</v>
      </c>
    </row>
    <row r="1332" spans="1:5" ht="15.75" customHeight="1" x14ac:dyDescent="0.25">
      <c r="A1332" s="1" t="s">
        <v>2663</v>
      </c>
      <c r="B1332" s="1">
        <v>7216</v>
      </c>
      <c r="C1332" s="3">
        <v>44276.661006944443</v>
      </c>
      <c r="D1332" s="1" t="s">
        <v>2664</v>
      </c>
      <c r="E1332" s="4" t="str">
        <f ca="1">IFERROR(__xludf.DUMMYFUNCTION("GOOGLETRANSLATE(A1332 , ""tr"" , ""en"")"),"In love with this world, about half a century, leaving this world. The poems are not when they are the name of them. It was a folk ozan other, a folk philosophofu was a wise to the answer, asking the difficult questions to be expressed. A passenger in the"&amp;" most of the roads. We embarrass. https://t.co/dvp0nh2bey")</f>
        <v>In love with this world, about half a century, leaving this world. The poems are not when they are the name of them. It was a folk ozan other, a folk philosophofu was a wise to the answer, asking the difficult questions to be expressed. A passenger in the most of the roads. We embarrass. https://t.co/dvp0nh2bey</v>
      </c>
    </row>
    <row r="1333" spans="1:5" ht="15.75" customHeight="1" x14ac:dyDescent="0.25">
      <c r="A1333" s="1" t="s">
        <v>2665</v>
      </c>
      <c r="B1333" s="1">
        <v>9298</v>
      </c>
      <c r="C1333" s="3">
        <v>44276.643182870372</v>
      </c>
      <c r="D1333" s="1" t="s">
        <v>2666</v>
      </c>
      <c r="E1333" s="4" t="str">
        <f ca="1">IFERROR(__xludf.DUMMYFUNCTION("GOOGLETRANSLATE(A1333 , ""tr"" , ""en"")"),"On the occasion of DOWN SENDROMU awareness day, I respect our children with down syndrome, respect and their family of adult individuals and their families. Down syndrome are special people with their perceptions and feelings. Let's try to understand them"&amp;". Let's be sensitive to their world that is one.")</f>
        <v>On the occasion of DOWN SENDROMU awareness day, I respect our children with down syndrome, respect and their family of adult individuals and their families. Down syndrome are special people with their perceptions and feelings. Let's try to understand them. Let's be sensitive to their world that is one.</v>
      </c>
    </row>
    <row r="1334" spans="1:5" ht="15.75" customHeight="1" x14ac:dyDescent="0.25">
      <c r="A1334" s="1" t="s">
        <v>2667</v>
      </c>
      <c r="B1334" s="1">
        <v>40244</v>
      </c>
      <c r="C1334" s="3">
        <v>44276.625694444447</v>
      </c>
      <c r="D1334" s="1" t="s">
        <v>2668</v>
      </c>
      <c r="E1334" s="4" t="str">
        <f ca="1">IFERROR(__xludf.DUMMYFUNCTION("GOOGLETRANSLATE(A1334 , ""tr"" , ""en"")"),"Let's be cautious about today.")</f>
        <v>Let's be cautious about today.</v>
      </c>
    </row>
    <row r="1335" spans="1:5" ht="15.75" customHeight="1" x14ac:dyDescent="0.25">
      <c r="A1335" s="1" t="s">
        <v>2669</v>
      </c>
      <c r="B1335" s="1">
        <v>12785</v>
      </c>
      <c r="C1335" s="3">
        <v>44276.562962962962</v>
      </c>
      <c r="D1335" s="1" t="s">
        <v>2670</v>
      </c>
      <c r="E1335" s="4" t="str">
        <f ca="1">IFERROR(__xludf.DUMMYFUNCTION("GOOGLETRANSLATE(A1335 , ""tr"" , ""en"")"),"Close to the victory of the science, but some losses are also given to the victory too. Do not recognize this opportunity.")</f>
        <v>Close to the victory of the science, but some losses are also given to the victory too. Do not recognize this opportunity.</v>
      </c>
    </row>
    <row r="1336" spans="1:5" ht="15.75" customHeight="1" x14ac:dyDescent="0.25">
      <c r="A1336" s="1" t="s">
        <v>2671</v>
      </c>
      <c r="B1336" s="1">
        <v>18331</v>
      </c>
      <c r="C1336" s="3">
        <v>44276.535011574073</v>
      </c>
      <c r="D1336" s="1" t="s">
        <v>2672</v>
      </c>
      <c r="E1336" s="4" t="str">
        <f ca="1">IFERROR(__xludf.DUMMYFUNCTION("GOOGLETRANSLATE(A1336 , ""tr"" , ""en"")"),"Today, some of us are at home, some of us do not want to. Let's drop the risk of weekly everywhere.")</f>
        <v>Today, some of us are at home, some of us do not want to. Let's drop the risk of weekly everywhere.</v>
      </c>
    </row>
    <row r="1337" spans="1:5" ht="15.75" customHeight="1" x14ac:dyDescent="0.25">
      <c r="A1337" s="1" t="s">
        <v>2673</v>
      </c>
      <c r="B1337" s="1">
        <v>34293</v>
      </c>
      <c r="C1337" s="3">
        <v>44275.785937499997</v>
      </c>
      <c r="D1337" s="1" t="s">
        <v>2674</v>
      </c>
      <c r="E1337" s="4" t="str">
        <f ca="1">IFERROR(__xludf.DUMMYFUNCTION("GOOGLETRANSLATE(A1337 , ""tr"" , ""en"")"),"We cannot count the virus. We should not allow him to take our normal life. We can achieve this by complying with the measures.")</f>
        <v>We cannot count the virus. We should not allow him to take our normal life. We can achieve this by complying with the measures.</v>
      </c>
    </row>
    <row r="1338" spans="1:5" ht="15.75" customHeight="1" x14ac:dyDescent="0.25">
      <c r="A1338" s="1" t="s">
        <v>2675</v>
      </c>
      <c r="B1338" s="1">
        <v>16366</v>
      </c>
      <c r="C1338" s="3">
        <v>44275.782685185186</v>
      </c>
      <c r="D1338" s="1" t="s">
        <v>2676</v>
      </c>
      <c r="E1338" s="4" t="str">
        <f ca="1">IFERROR(__xludf.DUMMYFUNCTION("GOOGLETRANSLATE(A1338 , ""tr"" , ""en"")"),"In our provinces, you can see the incidence map that shows the total number of cases corresponding to the weekly 100,000 population. We have to return to normal. This is only possible with a measure. https://t.co/MWA4RSIJDD")</f>
        <v>In our provinces, you can see the incidence map that shows the total number of cases corresponding to the weekly 100,000 population. We have to return to normal. This is only possible with a measure. https://t.co/MWA4RSIJDD</v>
      </c>
    </row>
    <row r="1339" spans="1:5" ht="15.75" customHeight="1" x14ac:dyDescent="0.25">
      <c r="A1339" s="1" t="s">
        <v>2677</v>
      </c>
      <c r="B1339" s="1">
        <v>31583</v>
      </c>
      <c r="C1339" s="3">
        <v>44274.857025462959</v>
      </c>
      <c r="D1339" s="1" t="s">
        <v>2678</v>
      </c>
      <c r="E1339" s="4" t="str">
        <f ca="1">IFERROR(__xludf.DUMMYFUNCTION("GOOGLETRANSLATE(A1339 , ""tr"" , ""en"")"),"Our scientists who depend on the German State Engineer Dr. With Özlem Tereci Professor Dr. Congratulate Uğur Sahin. The mercy to save the world is the science that will bring victory. https://t.co/pch5bdsvfw")</f>
        <v>Our scientists who depend on the German State Engineer Dr. With Özlem Tereci Professor Dr. Congratulate Uğur Sahin. The mercy to save the world is the science that will bring victory. https://t.co/pch5bdsvfw</v>
      </c>
    </row>
    <row r="1340" spans="1:5" ht="15.75" customHeight="1" x14ac:dyDescent="0.25">
      <c r="A1340" s="1" t="s">
        <v>2679</v>
      </c>
      <c r="B1340" s="1">
        <v>9343</v>
      </c>
      <c r="C1340" s="3">
        <v>44274.849178240744</v>
      </c>
      <c r="D1340" s="1" t="s">
        <v>2680</v>
      </c>
      <c r="E1340" s="4" t="str">
        <f ca="1">IFERROR(__xludf.DUMMYFUNCTION("GOOGLETRANSLATE(A1340 , ""tr"" , ""en"")"),"It's too big of our bigger age. Happy Seniors Weekly. https://t.co/rslsstm2dx")</f>
        <v>It's too big of our bigger age. Happy Seniors Weekly. https://t.co/rslsstm2dx</v>
      </c>
    </row>
    <row r="1341" spans="1:5" ht="15.75" customHeight="1" x14ac:dyDescent="0.25">
      <c r="A1341" s="1" t="s">
        <v>2681</v>
      </c>
      <c r="B1341" s="1">
        <v>10279</v>
      </c>
      <c r="C1341" s="3">
        <v>44274.750787037039</v>
      </c>
      <c r="D1341" s="1" t="s">
        <v>2682</v>
      </c>
      <c r="E1341" s="4" t="str">
        <f ca="1">IFERROR(__xludf.DUMMYFUNCTION("GOOGLETRANSLATE(A1341 , ""tr"" , ""en"")"),"We had a coordination meeting with our provinces where the case numbers increased. We have consulted measures and practices with provincial executives. We are the ones who can remove the restrictions for not to come again. There was no virus, we have to c"&amp;"omply with the measures. https://t.co/b88jp7yaz9")</f>
        <v>We had a coordination meeting with our provinces where the case numbers increased. We have consulted measures and practices with provincial executives. We are the ones who can remove the restrictions for not to come again. There was no virus, we have to comply with the measures. https://t.co/b88jp7yaz9</v>
      </c>
    </row>
    <row r="1342" spans="1:5" ht="15.75" customHeight="1" x14ac:dyDescent="0.25">
      <c r="A1342" s="1" t="s">
        <v>2683</v>
      </c>
      <c r="B1342" s="1">
        <v>6477</v>
      </c>
      <c r="C1342" s="3">
        <v>44274.619930555556</v>
      </c>
      <c r="D1342" s="1" t="s">
        <v>2684</v>
      </c>
      <c r="E1342" s="4" t="str">
        <f ca="1">IFERROR(__xludf.DUMMYFUNCTION("GOOGLETRANSLATE(A1342 , ""tr"" , ""en"")"),"The world's largest economic historian Mehmet young, leaving the world's historian mehmet young, generations we can benefit from the size of our country, leaving the same in the same body. May the head of our country be right. I wish the infinite mercy, t"&amp;"heir relatives. https://t.co/mwe0oz3y3t")</f>
        <v>The world's largest economic historian Mehmet young, leaving the world's historian mehmet young, generations we can benefit from the size of our country, leaving the same in the same body. May the head of our country be right. I wish the infinite mercy, their relatives. https://t.co/mwe0oz3y3t</v>
      </c>
    </row>
    <row r="1343" spans="1:5" ht="15.75" customHeight="1" x14ac:dyDescent="0.25">
      <c r="A1343" s="1" t="s">
        <v>2685</v>
      </c>
      <c r="B1343" s="1">
        <v>12641</v>
      </c>
      <c r="C1343" s="3">
        <v>44273.626192129632</v>
      </c>
      <c r="D1343" s="1" t="s">
        <v>2686</v>
      </c>
      <c r="E1343" s="4" t="str">
        <f ca="1">IFERROR(__xludf.DUMMYFUNCTION("GOOGLETRANSLATE(A1343 , ""tr"" , ""en"")"),"The state can only be served with a nationalistic and determination. Congratulations with the occasion of the General Presidency in the 13th Ordinary General Assembly of the Party of Mr. State Gardening that exhibits this national and steady stance.")</f>
        <v>The state can only be served with a nationalistic and determination. Congratulations with the occasion of the General Presidency in the 13th Ordinary General Assembly of the Party of Mr. State Gardening that exhibits this national and steady stance.</v>
      </c>
    </row>
    <row r="1344" spans="1:5" ht="15.75" customHeight="1" x14ac:dyDescent="0.25">
      <c r="A1344" s="1" t="s">
        <v>2687</v>
      </c>
      <c r="B1344" s="1">
        <v>28333</v>
      </c>
      <c r="C1344" s="3">
        <v>44273.366932870369</v>
      </c>
      <c r="D1344" s="1" t="s">
        <v>2688</v>
      </c>
      <c r="E1344" s="4" t="str">
        <f ca="1">IFERROR(__xludf.DUMMYFUNCTION("GOOGLETRANSLATE(A1344 , ""tr"" , ""en"")"),"The place is the place where the strongest is thought to be weak, is the place where it is helpless is Çanakkale. The place where a nation is confidently and stands up. In the 106th of our Çanakkale victory, I remember our martyrs and gratefully.")</f>
        <v>The place is the place where the strongest is thought to be weak, is the place where it is helpless is Çanakkale. The place where a nation is confidently and stands up. In the 106th of our Çanakkale victory, I remember our martyrs and gratefully.</v>
      </c>
    </row>
    <row r="1345" spans="1:5" ht="15.75" customHeight="1" x14ac:dyDescent="0.25">
      <c r="A1345" s="1" t="s">
        <v>2689</v>
      </c>
      <c r="B1345" s="1">
        <v>7578</v>
      </c>
      <c r="C1345" s="3">
        <v>44272.914525462962</v>
      </c>
      <c r="D1345" s="1" t="s">
        <v>2690</v>
      </c>
      <c r="E1345" s="4" t="str">
        <f ca="1">IFERROR(__xludf.DUMMYFUNCTION("GOOGLETRANSLATE(A1345 , ""tr"" , ""en"")"),"Never underestimate the job, saying the virus, not the old virus, mutated. Coronavirus is a dangerous virus, albeit the mutant. I offer all of you respect and greetings. Let's be cautious about today. https://t.co/e1sqjg5hkz")</f>
        <v>Never underestimate the job, saying the virus, not the old virus, mutated. Coronavirus is a dangerous virus, albeit the mutant. I offer all of you respect and greetings. Let's be cautious about today. https://t.co/e1sqjg5hkz</v>
      </c>
    </row>
    <row r="1346" spans="1:5" ht="15.75" customHeight="1" x14ac:dyDescent="0.25">
      <c r="A1346" s="1" t="s">
        <v>2691</v>
      </c>
      <c r="B1346" s="1">
        <v>5616</v>
      </c>
      <c r="C1346" s="3">
        <v>44272.907627314817</v>
      </c>
      <c r="D1346" s="1" t="s">
        <v>2692</v>
      </c>
      <c r="E1346" s="4" t="str">
        <f ca="1">IFERROR(__xludf.DUMMYFUNCTION("GOOGLETRANSLATE(A1346 , ""tr"" , ""en"")"),"There are no years in front of us to get COVID-19 to be a mass problem. Humanity exceeded the helplessness of 2020. The year 2021 is the year of Hope and Victory. https://t.co/pov7cuxqmz")</f>
        <v>There are no years in front of us to get COVID-19 to be a mass problem. Humanity exceeded the helplessness of 2020. The year 2021 is the year of Hope and Victory. https://t.co/pov7cuxqmz</v>
      </c>
    </row>
    <row r="1347" spans="1:5" ht="15.75" customHeight="1" x14ac:dyDescent="0.25">
      <c r="A1347" s="1" t="s">
        <v>2693</v>
      </c>
      <c r="B1347" s="1">
        <v>7378</v>
      </c>
      <c r="C1347" s="3">
        <v>44272.900462962964</v>
      </c>
      <c r="D1347" s="1" t="s">
        <v>2694</v>
      </c>
      <c r="E1347" s="4" t="str">
        <f ca="1">IFERROR(__xludf.DUMMYFUNCTION("GOOGLETRANSLATE(A1347 , ""tr"" , ""en"")"),"Do not give the virus the opportunity to capture social life! https://t.co/fq0tlkca0r")</f>
        <v>Do not give the virus the opportunity to capture social life! https://t.co/fq0tlkca0r</v>
      </c>
    </row>
    <row r="1348" spans="1:5" ht="15.75" customHeight="1" x14ac:dyDescent="0.25">
      <c r="A1348" s="1" t="s">
        <v>2695</v>
      </c>
      <c r="B1348" s="1">
        <v>4946</v>
      </c>
      <c r="C1348" s="3">
        <v>44272.888518518521</v>
      </c>
      <c r="D1348" s="1" t="s">
        <v>2696</v>
      </c>
      <c r="E1348" s="4" t="str">
        <f ca="1">IFERROR(__xludf.DUMMYFUNCTION("GOOGLETRANSLATE(A1348 , ""tr"" , ""en"")"),"Our science assembly was collected this week, evaluated the 15-day reflections of our normalization process: In the last 15 days, unfortunately, there was a case increase in most provinces. The results have not yet started to reflect on hospitals.
Video:"&amp;" https://t.co/oxid95vjd1 https://t.co/djps20dk4s")</f>
        <v>Our science assembly was collected this week, evaluated the 15-day reflections of our normalization process: In the last 15 days, unfortunately, there was a case increase in most provinces. The results have not yet started to reflect on hospitals.
Video: https://t.co/oxid95vjd1 https://t.co/djps20dk4s</v>
      </c>
    </row>
    <row r="1349" spans="1:5" ht="15.75" customHeight="1" x14ac:dyDescent="0.25">
      <c r="A1349" s="1" t="s">
        <v>2697</v>
      </c>
      <c r="B1349" s="1">
        <v>12094</v>
      </c>
      <c r="C1349" s="3">
        <v>44271.8280787037</v>
      </c>
      <c r="D1349" s="1" t="s">
        <v>2698</v>
      </c>
      <c r="E1349" s="4" t="str">
        <f ca="1">IFERROR(__xludf.DUMMYFUNCTION("GOOGLETRANSLATE(A1349 , ""tr"" , ""en"")"),"May the noodle aunt Allah give you a long life. Our responsibility to serve our elders. Yesterday we entrained you, today you have entrusted to us. https://t.co/bkoyxffhsu")</f>
        <v>May the noodle aunt Allah give you a long life. Our responsibility to serve our elders. Yesterday we entrained you, today you have entrusted to us. https://t.co/bkoyxffhsu</v>
      </c>
    </row>
    <row r="1350" spans="1:5" ht="15.75" customHeight="1" x14ac:dyDescent="0.25">
      <c r="A1350" s="1" t="s">
        <v>2699</v>
      </c>
      <c r="B1350" s="1">
        <v>11486</v>
      </c>
      <c r="C1350" s="3">
        <v>44271.681608796294</v>
      </c>
      <c r="D1350" s="1" t="s">
        <v>2700</v>
      </c>
      <c r="E1350" s="4" t="str">
        <f ca="1">IFERROR(__xludf.DUMMYFUNCTION("GOOGLETRANSLATE(A1350 , ""tr"" , ""en"")"),"The last week is 100,000 population in the case of the capability ratio The most increasing provinces: Samsun, Kilis, Balikesir, Istanbul and Yalova. Our most diminished provinces: Sakarya, Army, Amasya, Rize and Bur. Let's support controlled normalizatio"&amp;"n by complying with the measures. https://t.co/ymqzrulefv")</f>
        <v>The last week is 100,000 population in the case of the capability ratio The most increasing provinces: Samsun, Kilis, Balikesir, Istanbul and Yalova. Our most diminished provinces: Sakarya, Army, Amasya, Rize and Bur. Let's support controlled normalization by complying with the measures. https://t.co/ymqzrulefv</v>
      </c>
    </row>
    <row r="1351" spans="1:5" ht="15.75" customHeight="1" x14ac:dyDescent="0.25">
      <c r="A1351" s="1" t="s">
        <v>2701</v>
      </c>
      <c r="B1351" s="1">
        <v>25343</v>
      </c>
      <c r="C1351" s="3">
        <v>44270.899050925924</v>
      </c>
      <c r="D1351" s="1" t="s">
        <v>2702</v>
      </c>
      <c r="E1351" s="4" t="str">
        <f ca="1">IFERROR(__xludf.DUMMYFUNCTION("GOOGLETRANSLATE(A1351 , ""tr"" , ""en"")"),"You can see the total total case numbers that correspond to 100k population in our provinces on the map. It is possible to normalize by following the measures. https://t.co/8ryfngsIJB")</f>
        <v>You can see the total total case numbers that correspond to 100k population in our provinces on the map. It is possible to normalize by following the measures. https://t.co/8ryfngsIJB</v>
      </c>
    </row>
    <row r="1352" spans="1:5" ht="15.75" customHeight="1" x14ac:dyDescent="0.25">
      <c r="A1352" s="1" t="s">
        <v>2703</v>
      </c>
      <c r="B1352" s="1">
        <v>0</v>
      </c>
      <c r="C1352" s="3">
        <v>44270.687152777777</v>
      </c>
      <c r="D1352" s="1" t="s">
        <v>2704</v>
      </c>
      <c r="E1352" s="4" t="str">
        <f ca="1">IFERROR(__xludf.DUMMYFUNCTION("GOOGLETRANSLATE(A1352 , ""tr"" , ""en"")"),"RT @rterdogan: Shouting Nation After Cabinet Meeting https://t.co/vugdffbbt3")</f>
        <v>RT @rterdogan: Shouting Nation After Cabinet Meeting https://t.co/vugdffbbt3</v>
      </c>
    </row>
    <row r="1353" spans="1:5" ht="15.75" customHeight="1" x14ac:dyDescent="0.25">
      <c r="A1353" s="1" t="s">
        <v>2705</v>
      </c>
      <c r="B1353" s="1">
        <v>5250</v>
      </c>
      <c r="C1353" s="3">
        <v>44269.710486111115</v>
      </c>
      <c r="D1353" s="1" t="s">
        <v>2706</v>
      </c>
      <c r="E1353" s="4" t="str">
        <f ca="1">IFERROR(__xludf.DUMMYFUNCTION("GOOGLETRANSLATE(A1353 , ""tr"" , ""en"")"),"#Destanyazasımektupyaz
I'm writing my letter and uploaded it to the system. You can also forward your thoughts to our health personnel with your letter. They deserved a heart from the heart.
https://t.co/3pxvhdchxp")</f>
        <v>#Destanyazasımektupyaz
I'm writing my letter and uploaded it to the system. You can also forward your thoughts to our health personnel with your letter. They deserved a heart from the heart.
https://t.co/3pxvhdchxp</v>
      </c>
    </row>
    <row r="1354" spans="1:5" ht="15.75" customHeight="1" x14ac:dyDescent="0.25">
      <c r="A1354" s="1" t="s">
        <v>2707</v>
      </c>
      <c r="B1354" s="1">
        <v>10263</v>
      </c>
      <c r="C1354" s="3">
        <v>44269.583333333336</v>
      </c>
      <c r="D1354" s="1" t="s">
        <v>2708</v>
      </c>
      <c r="E1354" s="4" t="str">
        <f ca="1">IFERROR(__xludf.DUMMYFUNCTION("GOOGLETRANSLATE(A1354 , ""tr"" , ""en"")"),"Anyone without exception but everyone has accepted us if we need us ununnished, without hesitating, and we are in there with the most eye of our land. This honor is enough to us. https://t.co/xafgkt1ntr")</f>
        <v>Anyone without exception but everyone has accepted us if we need us ununnished, without hesitating, and we are in there with the most eye of our land. This honor is enough to us. https://t.co/xafgkt1ntr</v>
      </c>
    </row>
    <row r="1355" spans="1:5" ht="15.75" customHeight="1" x14ac:dyDescent="0.25">
      <c r="A1355" s="1" t="s">
        <v>2709</v>
      </c>
      <c r="B1355" s="1">
        <v>10148</v>
      </c>
      <c r="C1355" s="3">
        <v>44269.571030092593</v>
      </c>
      <c r="D1355" s="1" t="s">
        <v>2710</v>
      </c>
      <c r="E1355" s="4" t="str">
        <f ca="1">IFERROR(__xludf.DUMMYFUNCTION("GOOGLETRANSLATE(A1355 , ""tr"" , ""en"")"),"Employee without saying nights, I celebrate the 14 March of my colleagues who carry out this sacred task with great sacrifices and the most dishonor of the assets in the chest. https://t.co/me9lpelavv")</f>
        <v>Employee without saying nights, I celebrate the 14 March of my colleagues who carry out this sacred task with great sacrifices and the most dishonor of the assets in the chest. https://t.co/me9lpelavv</v>
      </c>
    </row>
    <row r="1356" spans="1:5" ht="15.75" customHeight="1" x14ac:dyDescent="0.25">
      <c r="A1356" s="1" t="s">
        <v>2711</v>
      </c>
      <c r="B1356" s="1">
        <v>0</v>
      </c>
      <c r="C1356" s="3">
        <v>44269.526655092595</v>
      </c>
      <c r="D1356" s="1" t="s">
        <v>2712</v>
      </c>
      <c r="E1356" s="4" t="str">
        <f ca="1">IFERROR(__xludf.DUMMYFUNCTION("GOOGLETRANSLATE(A1356 , ""tr"" , ""en"")"),"RT @tcbestepe: President Erdogan, # 14MARTTIPBAYRAM VIDEOMESAGI HTTPS://T.CO/MCSHIICR5H")</f>
        <v>RT @tcbestepe: President Erdogan, # 14MARTTIPBAYRAM VIDEOMESAGI HTTPS://T.CO/MCSHIICR5H</v>
      </c>
    </row>
    <row r="1357" spans="1:5" ht="15.75" customHeight="1" x14ac:dyDescent="0.25">
      <c r="A1357" s="1" t="s">
        <v>2713</v>
      </c>
      <c r="B1357" s="1">
        <v>5669</v>
      </c>
      <c r="C1357" s="3">
        <v>44269.50104166667</v>
      </c>
      <c r="D1357" s="1" t="s">
        <v>2714</v>
      </c>
      <c r="E1357" s="4" t="str">
        <f ca="1">IFERROR(__xludf.DUMMYFUNCTION("GOOGLETRANSLATE(A1357 , ""tr"" , ""en"")"),"March 14 Medical Day Program
Live broadcast: https://t.co/czm1wphfdo https://t.co/dcl3j3njoo")</f>
        <v>March 14 Medical Day Program
Live broadcast: https://t.co/czm1wphfdo https://t.co/dcl3j3njoo</v>
      </c>
    </row>
    <row r="1358" spans="1:5" ht="15.75" customHeight="1" x14ac:dyDescent="0.25">
      <c r="A1358" s="1" t="s">
        <v>2715</v>
      </c>
      <c r="B1358" s="1">
        <v>12954</v>
      </c>
      <c r="C1358" s="3">
        <v>44268.810879629629</v>
      </c>
      <c r="D1358" s="1" t="s">
        <v>2716</v>
      </c>
      <c r="E1358" s="4" t="str">
        <f ca="1">IFERROR(__xludf.DUMMYFUNCTION("GOOGLETRANSLATE(A1358 , ""tr"" , ""en"")"),"Mr. The 14th March Festival ceremony will be able to be followed by our Youtube channel.
YouTube: https://t.co/bxfzsefrun https://t.co/pjimmeu2yi")</f>
        <v>Mr. The 14th March Festival ceremony will be able to be followed by our Youtube channel.
YouTube: https://t.co/bxfzsefrun https://t.co/pjimmeu2yi</v>
      </c>
    </row>
    <row r="1359" spans="1:5" ht="15.75" customHeight="1" x14ac:dyDescent="0.25">
      <c r="A1359" s="1" t="s">
        <v>2717</v>
      </c>
      <c r="B1359" s="1">
        <v>48825</v>
      </c>
      <c r="C1359" s="3">
        <v>44268.335381944446</v>
      </c>
      <c r="D1359" s="1" t="s">
        <v>2718</v>
      </c>
      <c r="E1359" s="4" t="str">
        <f ca="1">IFERROR(__xludf.DUMMYFUNCTION("GOOGLETRANSLATE(A1359 , ""tr"" , ""en"")"),"Our Interior Minister Mr. Süleyman Noble Gentleman's Mothers of Motherem Moms had the mercy of the right. I wish more than Allah in Allah, Suleyman Bey to our brother and family.")</f>
        <v>Our Interior Minister Mr. Süleyman Noble Gentleman's Mothers of Motherem Moms had the mercy of the right. I wish more than Allah in Allah, Suleyman Bey to our brother and family.</v>
      </c>
    </row>
    <row r="1360" spans="1:5" ht="15.75" customHeight="1" x14ac:dyDescent="0.25">
      <c r="A1360" s="1" t="s">
        <v>2719</v>
      </c>
      <c r="B1360" s="1">
        <v>9614</v>
      </c>
      <c r="C1360" s="3">
        <v>44267.837152777778</v>
      </c>
      <c r="D1360" s="1" t="s">
        <v>2720</v>
      </c>
      <c r="E1360" s="4" t="str">
        <f ca="1">IFERROR(__xludf.DUMMYFUNCTION("GOOGLETRANSLATE(A1360 , ""tr"" , ""en"")"),"If we need to go to the house of our patient to access the health care, our teams are going to the house. Our offspring us, if our future is entrusted to our offspring. https://t.co/lgmwhhnsjq")</f>
        <v>If we need to go to the house of our patient to access the health care, our teams are going to the house. Our offspring us, if our future is entrusted to our offspring. https://t.co/lgmwhhnsjq</v>
      </c>
    </row>
    <row r="1361" spans="1:5" ht="15.75" customHeight="1" x14ac:dyDescent="0.25">
      <c r="A1361" s="1" t="s">
        <v>2721</v>
      </c>
      <c r="B1361" s="1">
        <v>19551</v>
      </c>
      <c r="C1361" s="3">
        <v>44267.337951388887</v>
      </c>
      <c r="D1361" s="1" t="s">
        <v>2722</v>
      </c>
      <c r="E1361" s="4" t="str">
        <f ca="1">IFERROR(__xludf.DUMMYFUNCTION("GOOGLETRANSLATE(A1361 , ""tr"" , ""en"")"),"I celebrate the 100th anniversary of our intelligence anthem, which has the most beautiful expression of freedom and independence from the heart. Our national poet Mehmet Akif Ersoy and I am grateful to the heroes of our glorious challenge.")</f>
        <v>I celebrate the 100th anniversary of our intelligence anthem, which has the most beautiful expression of freedom and independence from the heart. Our national poet Mehmet Akif Ersoy and I am grateful to the heroes of our glorious challenge.</v>
      </c>
    </row>
    <row r="1362" spans="1:5" ht="15.75" customHeight="1" x14ac:dyDescent="0.25">
      <c r="A1362" s="1" t="s">
        <v>2723</v>
      </c>
      <c r="B1362" s="1">
        <v>14775</v>
      </c>
      <c r="C1362" s="3">
        <v>44266.861261574071</v>
      </c>
      <c r="D1362" s="1" t="s">
        <v>2724</v>
      </c>
      <c r="E1362" s="4" t="str">
        <f ca="1">IFERROR(__xludf.DUMMYFUNCTION("GOOGLETRANSLATE(A1362 , ""tr"" , ""en"")"),"Hard days will stay behind too soon if we were all too yes. We will always get rid of this illness. https://t.co/48zxfduyk0")</f>
        <v>Hard days will stay behind too soon if we were all too yes. We will always get rid of this illness. https://t.co/48zxfduyk0</v>
      </c>
    </row>
    <row r="1363" spans="1:5" ht="15.75" customHeight="1" x14ac:dyDescent="0.25">
      <c r="A1363" s="1" t="s">
        <v>2725</v>
      </c>
      <c r="B1363" s="1">
        <v>56502</v>
      </c>
      <c r="C1363" s="3">
        <v>44266.725358796299</v>
      </c>
      <c r="D1363" s="1" t="s">
        <v>2726</v>
      </c>
      <c r="E1363" s="4" t="str">
        <f ca="1">IFERROR(__xludf.DUMMYFUNCTION("GOOGLETRANSLATE(A1363 , ""tr"" , ""en"")"),"From COVID-19, the days we will talk about the flu as well as the days will come: ""Dispensed! I have been a little corona. "" Let's not open the break with those days. Let's shorten the road together.")</f>
        <v>From COVID-19, the days we will talk about the flu as well as the days will come: "Dispensed! I have been a little corona. " Let's not open the break with those days. Let's shorten the road together.</v>
      </c>
    </row>
    <row r="1364" spans="1:5" ht="15.75" customHeight="1" x14ac:dyDescent="0.25">
      <c r="A1364" s="1" t="s">
        <v>2727</v>
      </c>
      <c r="B1364" s="1">
        <v>6202</v>
      </c>
      <c r="C1364" s="3">
        <v>44266.654930555553</v>
      </c>
      <c r="D1364" s="1" t="s">
        <v>2728</v>
      </c>
      <c r="E1364" s="4" t="str">
        <f ca="1">IFERROR(__xludf.DUMMYFUNCTION("GOOGLETRANSLATE(A1364 , ""tr"" , ""en"")"),"We need to believe that there is no power as big as hope. We have to know is the optimism that shortened the road. https://t.co/wxo1jibb4z")</f>
        <v>We need to believe that there is no power as big as hope. We have to know is the optimism that shortened the road. https://t.co/wxo1jibb4z</v>
      </c>
    </row>
    <row r="1365" spans="1:5" ht="15.75" customHeight="1" x14ac:dyDescent="0.25">
      <c r="A1365" s="1" t="s">
        <v>2729</v>
      </c>
      <c r="B1365" s="1">
        <v>6975</v>
      </c>
      <c r="C1365" s="3">
        <v>44266.646504629629</v>
      </c>
      <c r="D1365" s="1" t="s">
        <v>2730</v>
      </c>
      <c r="E1365" s="4" t="str">
        <f ca="1">IFERROR(__xludf.DUMMYFUNCTION("GOOGLETRANSLATE(A1365 , ""tr"" , ""en"")"),"In the presence of my nation, I express our health workers once again to our health workers. https://t.co/9jd4t1aofd")</f>
        <v>In the presence of my nation, I express our health workers once again to our health workers. https://t.co/9jd4t1aofd</v>
      </c>
    </row>
    <row r="1366" spans="1:5" ht="15.75" customHeight="1" x14ac:dyDescent="0.25">
      <c r="A1366" s="1" t="s">
        <v>2731</v>
      </c>
      <c r="B1366" s="1">
        <v>11776</v>
      </c>
      <c r="C1366" s="3">
        <v>44266.639305555553</v>
      </c>
      <c r="D1366" s="1" t="s">
        <v>2732</v>
      </c>
      <c r="E1366" s="4" t="str">
        <f ca="1">IFERROR(__xludf.DUMMYFUNCTION("GOOGLETRANSLATE(A1366 , ""tr"" , ""en"")"),"Coronavirus will get out of our lives. The dark shadow that it decreases 2020 will not be at 2021. https://t.co/tuqugcnrt6")</f>
        <v>Coronavirus will get out of our lives. The dark shadow that it decreases 2020 will not be at 2021. https://t.co/tuqugcnrt6</v>
      </c>
    </row>
    <row r="1367" spans="1:5" ht="15.75" customHeight="1" x14ac:dyDescent="0.25">
      <c r="A1367" s="1" t="s">
        <v>2733</v>
      </c>
      <c r="B1367" s="1">
        <v>0</v>
      </c>
      <c r="C1367" s="3">
        <v>44266.631539351853</v>
      </c>
      <c r="D1367" s="1" t="s">
        <v>2734</v>
      </c>
      <c r="E1367" s="4" t="str">
        <f ca="1">IFERROR(__xludf.DUMMYFUNCTION("GOOGLETRANSLATE(A1367 , ""tr"" , ""en"")"),"RT @rterdogan: With the sacrifice of our health army, our hospitals and strengths that we have increased their capacities, continuously.")</f>
        <v>RT @rterdogan: With the sacrifice of our health army, our hospitals and strengths that we have increased their capacities, continuously.</v>
      </c>
    </row>
    <row r="1368" spans="1:5" ht="15.75" customHeight="1" x14ac:dyDescent="0.25">
      <c r="A1368" s="1" t="s">
        <v>2735</v>
      </c>
      <c r="B1368" s="1">
        <v>10898</v>
      </c>
      <c r="C1368" s="3">
        <v>44266.593599537038</v>
      </c>
      <c r="D1368" s="1" t="s">
        <v>2736</v>
      </c>
      <c r="E1368" s="4" t="str">
        <f ca="1">IFERROR(__xludf.DUMMYFUNCTION("GOOGLETRANSLATE(A1368 , ""tr"" , ""en"")"),"1 year over the first case in Turkey.
https://t.co/p23wyf2mka")</f>
        <v>1 year over the first case in Turkey.
https://t.co/p23wyf2mka</v>
      </c>
    </row>
    <row r="1369" spans="1:5" ht="15.75" customHeight="1" x14ac:dyDescent="0.25">
      <c r="A1369" s="1" t="s">
        <v>2737</v>
      </c>
      <c r="B1369" s="1">
        <v>9133</v>
      </c>
      <c r="C1369" s="3">
        <v>44266.570370370369</v>
      </c>
      <c r="D1369" s="1" t="s">
        <v>2738</v>
      </c>
      <c r="E1369" s="4" t="str">
        <f ca="1">IFERROR(__xludf.DUMMYFUNCTION("GOOGLETRANSLATE(A1369 , ""tr"" , ""en"")"),"My precious citizens;
I will be in your peace at 17.00 o'clock.
YouTube: https://t.co/bxfzsefrun")</f>
        <v>My precious citizens;
I will be in your peace at 17.00 o'clock.
YouTube: https://t.co/bxfzsefrun</v>
      </c>
    </row>
    <row r="1370" spans="1:5" ht="15.75" customHeight="1" x14ac:dyDescent="0.25">
      <c r="A1370" s="1" t="s">
        <v>2739</v>
      </c>
      <c r="B1370" s="1">
        <v>13249</v>
      </c>
      <c r="C1370" s="3">
        <v>44265.79246527778</v>
      </c>
      <c r="D1370" s="1" t="s">
        <v>2740</v>
      </c>
      <c r="E1370" s="4" t="str">
        <f ca="1">IFERROR(__xludf.DUMMYFUNCTION("GOOGLETRANSLATE(A1370 , ""tr"" , ""en"")"),"In spite of all the obstacles of the vaccine procurement and implementation performance, we are competing in the early commissioned countries, in spite of all the obstacles of the global conditions. We have performed over 10 million vaccination.")</f>
        <v>In spite of all the obstacles of the vaccine procurement and implementation performance, we are competing in the early commissioned countries, in spite of all the obstacles of the global conditions. We have performed over 10 million vaccination.</v>
      </c>
    </row>
    <row r="1371" spans="1:5" ht="15.75" customHeight="1" x14ac:dyDescent="0.25">
      <c r="A1371" s="1" t="s">
        <v>2741</v>
      </c>
      <c r="B1371" s="1">
        <v>29360</v>
      </c>
      <c r="C1371" s="3">
        <v>44265.787627314814</v>
      </c>
      <c r="D1371" s="1" t="s">
        <v>2742</v>
      </c>
      <c r="E1371" s="4" t="str">
        <f ca="1">IFERROR(__xludf.DUMMYFUNCTION("GOOGLETRANSLATE(A1371 , ""tr"" , ""en"")"),"Mutant viruses increased the rate of propagation. Although this increase does not affect hospitalization into hospitals, it is very patient with very patient potential.")</f>
        <v>Mutant viruses increased the rate of propagation. Although this increase does not affect hospitalization into hospitals, it is very patient with very patient potential.</v>
      </c>
    </row>
    <row r="1372" spans="1:5" ht="15.75" customHeight="1" x14ac:dyDescent="0.25">
      <c r="A1372" s="1" t="s">
        <v>2743</v>
      </c>
      <c r="B1372" s="1">
        <v>22267</v>
      </c>
      <c r="C1372" s="3">
        <v>44265.785486111112</v>
      </c>
      <c r="D1372" s="1" t="s">
        <v>2744</v>
      </c>
      <c r="E1372" s="4" t="str">
        <f ca="1">IFERROR(__xludf.DUMMYFUNCTION("GOOGLETRANSLATE(A1372 , ""tr"" , ""en"")"),"To date, a total of 41.488 B.1.1.7 (UK) mutant in our 9 provinces, 61 B.1.351 (South Africa) mutant 1 B.1.427 (California-NewYork) mutant and 1 p.1 (Brazil) The mutant has been identified.")</f>
        <v>To date, a total of 41.488 B.1.1.7 (UK) mutant in our 9 provinces, 61 B.1.351 (South Africa) mutant 1 B.1.427 (California-NewYork) mutant and 1 p.1 (Brazil) The mutant has been identified.</v>
      </c>
    </row>
    <row r="1373" spans="1:5" ht="15.75" customHeight="1" x14ac:dyDescent="0.25">
      <c r="A1373" s="1" t="s">
        <v>2745</v>
      </c>
      <c r="B1373" s="1">
        <v>7225</v>
      </c>
      <c r="C1373" s="3">
        <v>44265.779108796298</v>
      </c>
      <c r="D1373" s="1" t="s">
        <v>2746</v>
      </c>
      <c r="E1373" s="4" t="str">
        <f ca="1">IFERROR(__xludf.DUMMYFUNCTION("GOOGLETRANSLATE(A1373 , ""tr"" , ""en"")"),"Do not forget! Faith is the closest color to red blue as long as there is a decision and determination. https://t.co/tjaablo2hy")</f>
        <v>Do not forget! Faith is the closest color to red blue as long as there is a decision and determination. https://t.co/tjaablo2hy</v>
      </c>
    </row>
    <row r="1374" spans="1:5" ht="15.75" customHeight="1" x14ac:dyDescent="0.25">
      <c r="A1374" s="1" t="s">
        <v>2747</v>
      </c>
      <c r="B1374" s="1">
        <v>32263</v>
      </c>
      <c r="C1374" s="3">
        <v>44265.589953703704</v>
      </c>
      <c r="D1374" s="1" t="s">
        <v>2748</v>
      </c>
      <c r="E1374" s="4" t="str">
        <f ca="1">IFERROR(__xludf.DUMMYFUNCTION("GOOGLETRANSLATE(A1374 , ""tr"" , ""en"")"),"The Motherac of our prophet has been the symbol of a happy longing of the human being of the human being. Because human soulmates would like to make the presence of one's presence to maturity. Celebrating your Facial Wardness, in our adventure, I wish the"&amp;" Mirac is guiding to all of us.")</f>
        <v>The Motherac of our prophet has been the symbol of a happy longing of the human being of the human being. Because human soulmates would like to make the presence of one's presence to maturity. Celebrating your Facial Wardness, in our adventure, I wish the Mirac is guiding to all of us.</v>
      </c>
    </row>
    <row r="1375" spans="1:5" ht="15.75" customHeight="1" x14ac:dyDescent="0.25">
      <c r="A1375" s="1" t="s">
        <v>2749</v>
      </c>
      <c r="B1375" s="1">
        <v>53727</v>
      </c>
      <c r="C1375" s="3">
        <v>44264.533310185187</v>
      </c>
      <c r="D1375" s="1" t="s">
        <v>2750</v>
      </c>
      <c r="E1375" s="4" t="str">
        <f ca="1">IFERROR(__xludf.DUMMYFUNCTION("GOOGLETRANSLATE(A1375 , ""tr"" , ""en"")"),"Let's keep our limits. It is not clear when the virus will attack.")</f>
        <v>Let's keep our limits. It is not clear when the virus will attack.</v>
      </c>
    </row>
    <row r="1376" spans="1:5" ht="15.75" customHeight="1" x14ac:dyDescent="0.25">
      <c r="A1376" s="1" t="s">
        <v>2751</v>
      </c>
      <c r="B1376" s="1">
        <v>92269</v>
      </c>
      <c r="C1376" s="3">
        <v>44263.778402777774</v>
      </c>
      <c r="D1376" s="1" t="s">
        <v>2752</v>
      </c>
      <c r="E1376" s="4" t="str">
        <f ca="1">IFERROR(__xludf.DUMMYFUNCTION("GOOGLETRANSLATE(A1376 , ""tr"" , ""en"")"),"The array, theater and cinema player Rasim Öztekin, after the heart discomfort, Dr. Siamese ERSEK chest heart and vascular surgery education and research have lost their life despite all interventions in our hospital. Every house with television was one o"&amp;"f the family. Sorry for your loss. https://t.co/0sozyIag7e")</f>
        <v>The array, theater and cinema player Rasim Öztekin, after the heart discomfort, Dr. Siamese ERSEK chest heart and vascular surgery education and research have lost their life despite all interventions in our hospital. Every house with television was one of the family. Sorry for your loss. https://t.co/0sozyIag7e</v>
      </c>
    </row>
    <row r="1377" spans="1:5" ht="15.75" customHeight="1" x14ac:dyDescent="0.25">
      <c r="A1377" s="1" t="s">
        <v>2753</v>
      </c>
      <c r="B1377" s="1">
        <v>13588</v>
      </c>
      <c r="C1377" s="3">
        <v>44263.399375000001</v>
      </c>
      <c r="D1377" s="1" t="s">
        <v>2754</v>
      </c>
      <c r="E1377" s="4" t="str">
        <f ca="1">IFERROR(__xludf.DUMMYFUNCTION("GOOGLETRANSLATE(A1377 , ""tr"" , ""en"")"),"Our vaccine program is progressing as planned. As of today, 10 million dose of overdose was performed. Thank you to all of the laboring staff. Our nation deserves the best. https://t.co/bzdpjon1ID")</f>
        <v>Our vaccine program is progressing as planned. As of today, 10 million dose of overdose was performed. Thank you to all of the laboring staff. Our nation deserves the best. https://t.co/bzdpjon1ID</v>
      </c>
    </row>
    <row r="1378" spans="1:5" ht="15.75" customHeight="1" x14ac:dyDescent="0.25">
      <c r="A1378" s="1" t="s">
        <v>2755</v>
      </c>
      <c r="B1378" s="1">
        <v>56518</v>
      </c>
      <c r="C1378" s="3">
        <v>44263.247731481482</v>
      </c>
      <c r="D1378" s="1" t="s">
        <v>2756</v>
      </c>
      <c r="E1378" s="4" t="str">
        <f ca="1">IFERROR(__xludf.DUMMYFUNCTION("GOOGLETRANSLATE(A1378 , ""tr"" , ""en"")"),"May the women donate us. Their sacrifices have not seen the equivalent that it deserves to date. Their lovingly was not protected with the same care. If the words have influenced more, life could have been better. Because mercy with strength is not separa"&amp;"ted in women. Happy 8 March International Women's Day.")</f>
        <v>May the women donate us. Their sacrifices have not seen the equivalent that it deserves to date. Their lovingly was not protected with the same care. If the words have influenced more, life could have been better. Because mercy with strength is not separated in women. Happy 8 March International Women's Day.</v>
      </c>
    </row>
    <row r="1379" spans="1:5" ht="15.75" customHeight="1" x14ac:dyDescent="0.25">
      <c r="A1379" s="1" t="s">
        <v>2757</v>
      </c>
      <c r="B1379" s="1">
        <v>37068</v>
      </c>
      <c r="C1379" s="3">
        <v>44262.667372685188</v>
      </c>
      <c r="D1379" s="1" t="s">
        <v>2758</v>
      </c>
      <c r="E1379" s="4" t="str">
        <f ca="1">IFERROR(__xludf.DUMMYFUNCTION("GOOGLETRANSLATE(A1379 , ""tr"" , ""en"")"),"Pain to Adiyaman, Batman Samsun, Bingöl Ordu, Bitesir, Diyarbakır to Istanbul, Mardin Trabzon, Van İzmir, to Siirt Rize, to the Hakkâri Sinop, Sanlıurfa Konya, Şırnak Zonguldak, butler to Tokat, Iğdir Giresun ... get an example! Let's reduce the risk in a"&amp;"ll provinces.")</f>
        <v>Pain to Adiyaman, Batman Samsun, Bingöl Ordu, Bitesir, Diyarbakır to Istanbul, Mardin Trabzon, Van İzmir, to Siirt Rize, to the Hakkâri Sinop, Sanlıurfa Konya, Şırnak Zonguldak, butler to Tokat, Iğdir Giresun ... get an example! Let's reduce the risk in all provinces.</v>
      </c>
    </row>
    <row r="1380" spans="1:5" ht="15.75" customHeight="1" x14ac:dyDescent="0.25">
      <c r="A1380" s="1" t="s">
        <v>2759</v>
      </c>
      <c r="B1380" s="1">
        <v>14215</v>
      </c>
      <c r="C1380" s="3">
        <v>44262.621203703704</v>
      </c>
      <c r="D1380" s="1" t="s">
        <v>2760</v>
      </c>
      <c r="E1380" s="4" t="str">
        <f ca="1">IFERROR(__xludf.DUMMYFUNCTION("GOOGLETRANSLATE(A1380 , ""tr"" , ""en"")"),"The last week 100,000 population is the most increasing provinces in the current rate: Sinop, Kilis, Samsun, Amasya and Edirne. Our most diminished provinces: Army, Bolu, Trabzon, Nevsehir and Karaman. Let's get all our provinces in the blue category by c"&amp;"omplying with the measures. https://t.co/ghs0lohtrn")</f>
        <v>The last week 100,000 population is the most increasing provinces in the current rate: Sinop, Kilis, Samsun, Amasya and Edirne. Our most diminished provinces: Army, Bolu, Trabzon, Nevsehir and Karaman. Let's get all our provinces in the blue category by complying with the measures. https://t.co/ghs0lohtrn</v>
      </c>
    </row>
    <row r="1381" spans="1:5" ht="15.75" customHeight="1" x14ac:dyDescent="0.25">
      <c r="A1381" s="1" t="s">
        <v>2761</v>
      </c>
      <c r="B1381" s="1">
        <v>70267</v>
      </c>
      <c r="C1381" s="3">
        <v>44262.008576388886</v>
      </c>
      <c r="D1381" s="1" t="s">
        <v>2762</v>
      </c>
      <c r="E1381" s="4" t="str">
        <f ca="1">IFERROR(__xludf.DUMMYFUNCTION("GOOGLETRANSLATE(A1381 , ""tr"" , ""en"")"),"A woman's on the street, the story of the child's eye was subjected to heavy violence, all oversigned Turkey. Our 112 emergency team in the incident in Samsun has reached the patient at 21.16 on 21.16 in 21.20. There is no vital problem in the training re"&amp;"search hospital at the moment.")</f>
        <v>A woman's on the street, the story of the child's eye was subjected to heavy violence, all oversigned Turkey. Our 112 emergency team in the incident in Samsun has reached the patient at 21.16 on 21.16 in 21.20. There is no vital problem in the training research hospital at the moment.</v>
      </c>
    </row>
    <row r="1382" spans="1:5" ht="15.75" customHeight="1" x14ac:dyDescent="0.25">
      <c r="A1382" s="1" t="s">
        <v>2763</v>
      </c>
      <c r="B1382" s="1">
        <v>13782</v>
      </c>
      <c r="C1382" s="3">
        <v>44261.679849537039</v>
      </c>
      <c r="D1382" s="1" t="s">
        <v>2764</v>
      </c>
      <c r="E1382" s="4" t="str">
        <f ca="1">IFERROR(__xludf.DUMMYFUNCTION("GOOGLETRANSLATE(A1382 , ""tr"" , ""en"")"),"Turkey has two armies. One maintains the land of the country, one of the 83 million. Both of them don't come to be fractured with political interest purposes. In particular, the supply of the battle of the outbreak, the supply of the vaccine is at risk wi"&amp;"th empty remarks. The queue order comes to those who wait! https://t.co/xvhns215n6")</f>
        <v>Turkey has two armies. One maintains the land of the country, one of the 83 million. Both of them don't come to be fractured with political interest purposes. In particular, the supply of the battle of the outbreak, the supply of the vaccine is at risk with empty remarks. The queue order comes to those who wait! https://t.co/xvhns215n6</v>
      </c>
    </row>
    <row r="1383" spans="1:5" ht="15.75" customHeight="1" x14ac:dyDescent="0.25">
      <c r="A1383" s="1" t="s">
        <v>2765</v>
      </c>
      <c r="B1383" s="1">
        <v>21900</v>
      </c>
      <c r="C1383" s="3">
        <v>44261.587951388887</v>
      </c>
      <c r="D1383" s="1" t="s">
        <v>2766</v>
      </c>
      <c r="E1383" s="4" t="str">
        <f ca="1">IFERROR(__xludf.DUMMYFUNCTION("GOOGLETRANSLATE(A1383 , ""tr"" , ""en"")"),"The color of our cities will be shaped in accordance with how much of our cities. We have to move more careful and cautious to avoid losing our existing advantages.")</f>
        <v>The color of our cities will be shaped in accordance with how much of our cities. We have to move more careful and cautious to avoid losing our existing advantages.</v>
      </c>
    </row>
    <row r="1384" spans="1:5" ht="15.75" customHeight="1" x14ac:dyDescent="0.25">
      <c r="A1384" s="1" t="s">
        <v>2767</v>
      </c>
      <c r="B1384" s="1">
        <v>16287</v>
      </c>
      <c r="C1384" s="3">
        <v>44261.575590277775</v>
      </c>
      <c r="D1384" s="1" t="s">
        <v>2768</v>
      </c>
      <c r="E1384" s="4" t="str">
        <f ca="1">IFERROR(__xludf.DUMMYFUNCTION("GOOGLETRANSLATE(A1384 , ""tr"" , ""en"")"),"The current state of the incidence map containing the number of weekly cases corresponding to 100,000 population for controlled normalization. High-risk provinces should be more prudent to lower their risks. Normalization should take place controlled. htt"&amp;"ps://t.co/wt7ysoj7qqqqqq")</f>
        <v>The current state of the incidence map containing the number of weekly cases corresponding to 100,000 population for controlled normalization. High-risk provinces should be more prudent to lower their risks. Normalization should take place controlled. https://t.co/wt7ysoj7qqqqqq</v>
      </c>
    </row>
    <row r="1385" spans="1:5" ht="15.75" customHeight="1" x14ac:dyDescent="0.25">
      <c r="A1385" s="1" t="s">
        <v>2769</v>
      </c>
      <c r="B1385" s="1">
        <v>151316</v>
      </c>
      <c r="C1385" s="3">
        <v>44261.544212962966</v>
      </c>
      <c r="D1385" s="1" t="s">
        <v>2770</v>
      </c>
      <c r="E1385" s="4" t="str">
        <f ca="1">IFERROR(__xludf.DUMMYFUNCTION("GOOGLETRANSLATE(A1385 , ""tr"" , ""en"")"),"All day no restriction restrictions there is no restriction :) slowly keep the path of the house?")</f>
        <v>All day no restriction restrictions there is no restriction :) slowly keep the path of the house?</v>
      </c>
    </row>
    <row r="1386" spans="1:5" ht="15.75" customHeight="1" x14ac:dyDescent="0.25">
      <c r="A1386" s="1" t="s">
        <v>2771</v>
      </c>
      <c r="B1386" s="1">
        <v>66243</v>
      </c>
      <c r="C1386" s="3">
        <v>44261.459768518522</v>
      </c>
      <c r="D1386" s="1" t="s">
        <v>2772</v>
      </c>
      <c r="E1386" s="4" t="str">
        <f ca="1">IFERROR(__xludf.DUMMYFUNCTION("GOOGLETRANSLATE(A1386 , ""tr"" , ""en"")"),"Happy Saturday! If we make the mistake, we are upset after ten days after a week.")</f>
        <v>Happy Saturday! If we make the mistake, we are upset after ten days after a week.</v>
      </c>
    </row>
    <row r="1387" spans="1:5" ht="15.75" customHeight="1" x14ac:dyDescent="0.25">
      <c r="A1387" s="1" t="s">
        <v>2773</v>
      </c>
      <c r="B1387" s="1">
        <v>26807</v>
      </c>
      <c r="C1387" s="3">
        <v>44261.366122685184</v>
      </c>
      <c r="D1387" s="1" t="s">
        <v>2774</v>
      </c>
      <c r="E1387" s="4" t="str">
        <f ca="1">IFERROR(__xludf.DUMMYFUNCTION("GOOGLETRANSLATE(A1387 , ""tr"" , ""en"")"),"Let's turn off the road to hard days: If we go out, let's put on the mask.")</f>
        <v>Let's turn off the road to hard days: If we go out, let's put on the mask.</v>
      </c>
    </row>
    <row r="1388" spans="1:5" ht="15.75" customHeight="1" x14ac:dyDescent="0.25">
      <c r="A1388" s="1" t="s">
        <v>2775</v>
      </c>
      <c r="B1388" s="1">
        <v>27942</v>
      </c>
      <c r="C1388" s="3">
        <v>44261.344629629632</v>
      </c>
      <c r="D1388" s="1" t="s">
        <v>2776</v>
      </c>
      <c r="E1388" s="4" t="str">
        <f ca="1">IFERROR(__xludf.DUMMYFUNCTION("GOOGLETRANSLATE(A1388 , ""tr"" , ""en"")"),"The reduction of restrictions is the reward of compliance with the rules. Let's obey the rules.")</f>
        <v>The reduction of restrictions is the reward of compliance with the rules. Let's obey the rules.</v>
      </c>
    </row>
    <row r="1389" spans="1:5" ht="15.75" customHeight="1" x14ac:dyDescent="0.25">
      <c r="A1389" s="1" t="s">
        <v>2777</v>
      </c>
      <c r="B1389" s="1">
        <v>74191</v>
      </c>
      <c r="C1389" s="3">
        <v>44261.319085648145</v>
      </c>
      <c r="D1389" s="1" t="s">
        <v>2778</v>
      </c>
      <c r="E1389" s="4" t="str">
        <f ca="1">IFERROR(__xludf.DUMMYFUNCTION("GOOGLETRANSLATE(A1389 , ""tr"" , ""en"")"),"The first of the Saturdays we expected! The continuation is dependent on us to know the asset.")</f>
        <v>The first of the Saturdays we expected! The continuation is dependent on us to know the asset.</v>
      </c>
    </row>
    <row r="1390" spans="1:5" ht="15.75" customHeight="1" x14ac:dyDescent="0.25">
      <c r="A1390" s="1" t="s">
        <v>2779</v>
      </c>
      <c r="B1390" s="1">
        <v>7259</v>
      </c>
      <c r="C1390" s="3">
        <v>44260.676238425927</v>
      </c>
      <c r="D1390" s="1" t="s">
        <v>2780</v>
      </c>
      <c r="E1390" s="4" t="str">
        <f ca="1">IFERROR(__xludf.DUMMYFUNCTION("GOOGLETRANSLATE(A1390 , ""tr"" , ""en"")"),"In Istanbul, we concluded with our health managers and evaluated the course of the epidemic. It is seen that patient increases in our polyclinics. Istanbul should be the sample city of normalization. We are determined to achieve this. https://t.co/g9ua2i2"&amp;"gpg")</f>
        <v>In Istanbul, we concluded with our health managers and evaluated the course of the epidemic. It is seen that patient increases in our polyclinics. Istanbul should be the sample city of normalization. We are determined to achieve this. https://t.co/g9ua2i2gpg</v>
      </c>
    </row>
    <row r="1391" spans="1:5" ht="15.75" customHeight="1" x14ac:dyDescent="0.25">
      <c r="A1391" s="1" t="s">
        <v>2781</v>
      </c>
      <c r="B1391" s="1">
        <v>11018</v>
      </c>
      <c r="C1391" s="3">
        <v>44260.668310185189</v>
      </c>
      <c r="D1391" s="1" t="s">
        <v>2782</v>
      </c>
      <c r="E1391" s="4" t="str">
        <f ca="1">IFERROR(__xludf.DUMMYFUNCTION("GOOGLETRANSLATE(A1391 , ""tr"" , ""en"")"),"The completed 702 bed Seyrantepe has examined the preparation of our city hospital in place. We start the patient acceptance in March. We will soon open up. Our strong health infrastructure is our greatest security. Trust this power. https://t.co/mkmbkx62"&amp;"qa")</f>
        <v>The completed 702 bed Seyrantepe has examined the preparation of our city hospital in place. We start the patient acceptance in March. We will soon open up. Our strong health infrastructure is our greatest security. Trust this power. https://t.co/mkmbkx62qa</v>
      </c>
    </row>
    <row r="1392" spans="1:5" ht="15.75" customHeight="1" x14ac:dyDescent="0.25">
      <c r="A1392" s="1" t="s">
        <v>2783</v>
      </c>
      <c r="B1392" s="1">
        <v>7978</v>
      </c>
      <c r="C1392" s="3">
        <v>44260.304594907408</v>
      </c>
      <c r="D1392" s="1" t="s">
        <v>2784</v>
      </c>
      <c r="E1392" s="4" t="str">
        <f ca="1">IFERROR(__xludf.DUMMYFUNCTION("GOOGLETRANSLATE(A1392 , ""tr"" , ""en"")"),"I would like to thank all of our laborary ministry staff. Have been registrant of their labor. https://t.co/rl1jc91krc")</f>
        <v>I would like to thank all of our laborary ministry staff. Have been registrant of their labor. https://t.co/rl1jc91krc</v>
      </c>
    </row>
    <row r="1393" spans="1:5" ht="15.75" customHeight="1" x14ac:dyDescent="0.25">
      <c r="A1393" s="1" t="s">
        <v>2785</v>
      </c>
      <c r="B1393" s="1">
        <v>9630</v>
      </c>
      <c r="C1393" s="3">
        <v>44259.801793981482</v>
      </c>
      <c r="D1393" s="1" t="s">
        <v>2786</v>
      </c>
      <c r="E1393" s="4" t="str">
        <f ca="1">IFERROR(__xludf.DUMMYFUNCTION("GOOGLETRANSLATE(A1393 , ""tr"" , ""en"")"),"Our responsibility to deliver health service regardless of conditions. We have to endeavor to make our Army province in a very high risk zone from the very high risk zone. https://t.co/k3kusng6qk")</f>
        <v>Our responsibility to deliver health service regardless of conditions. We have to endeavor to make our Army province in a very high risk zone from the very high risk zone. https://t.co/k3kusng6qk</v>
      </c>
    </row>
    <row r="1394" spans="1:5" ht="15.75" customHeight="1" x14ac:dyDescent="0.25">
      <c r="A1394" s="1" t="s">
        <v>2787</v>
      </c>
      <c r="B1394" s="1">
        <v>8165</v>
      </c>
      <c r="C1394" s="3">
        <v>44259.788946759261</v>
      </c>
      <c r="D1394" s="1" t="s">
        <v>2788</v>
      </c>
      <c r="E1394" s="4" t="str">
        <f ca="1">IFERROR(__xludf.DUMMYFUNCTION("GOOGLETRANSLATE(A1394 , ""tr"" , ""en"")"),"Konya, Trabzon, Sakarya, Edirne, Adiyaman Provincial Provincial Health Managers and Governors were online. In these provinces in very high risk group, we have consulted the measures to be taken in place and to enter the low risk group of these provinces. "&amp;"https://t.co/eznf9wtvp8")</f>
        <v>Konya, Trabzon, Sakarya, Edirne, Adiyaman Provincial Provincial Health Managers and Governors were online. In these provinces in very high risk group, we have consulted the measures to be taken in place and to enter the low risk group of these provinces. https://t.co/eznf9wtvp8</v>
      </c>
    </row>
    <row r="1395" spans="1:5" ht="15.75" customHeight="1" x14ac:dyDescent="0.25">
      <c r="A1395" s="1" t="s">
        <v>2789</v>
      </c>
      <c r="B1395" s="1">
        <v>27669</v>
      </c>
      <c r="C1395" s="3">
        <v>44259.656736111108</v>
      </c>
      <c r="D1395" s="1" t="s">
        <v>2790</v>
      </c>
      <c r="E1395" s="4" t="str">
        <f ca="1">IFERROR(__xludf.DUMMYFUNCTION("GOOGLETRANSLATE(A1395 , ""tr"" , ""en"")"),"As a result of the helicopter, which leads to Tatvan from Bingöl; When we married 9 homeland, our 4 soldiers were injured. I wish our martyrs to the mercy, the wounded soldiers to our urgent healing. May the head of our nation be right. https://t.co/UklCl"&amp;"q0QPU")</f>
        <v>As a result of the helicopter, which leads to Tatvan from Bingöl; When we married 9 homeland, our 4 soldiers were injured. I wish our martyrs to the mercy, the wounded soldiers to our urgent healing. May the head of our nation be right. https://t.co/UklClq0QPU</v>
      </c>
    </row>
    <row r="1396" spans="1:5" ht="15.75" customHeight="1" x14ac:dyDescent="0.25">
      <c r="A1396" s="1" t="s">
        <v>2791</v>
      </c>
      <c r="B1396" s="1">
        <v>27342</v>
      </c>
      <c r="C1396" s="3">
        <v>44258.864421296297</v>
      </c>
      <c r="D1396" s="1" t="s">
        <v>2792</v>
      </c>
      <c r="E1396" s="4" t="str">
        <f ca="1">IFERROR(__xludf.DUMMYFUNCTION("GOOGLETRANSLATE(A1396 , ""tr"" , ""en"")"),"Phase III, Conclusion II: The vaccine we use is 100% eliminating the need to hospitalization. Someone who has a vaccinated, even the CAVID-19 spends the COVID-19. This result, the Sinovac vaccine is described today in Turkey's phase III research. Life wil"&amp;"l be even more normal soon!")</f>
        <v>Phase III, Conclusion II: The vaccine we use is 100% eliminating the need to hospitalization. Someone who has a vaccinated, even the CAVID-19 spends the COVID-19. This result, the Sinovac vaccine is described today in Turkey's phase III research. Life will be even more normal soon!</v>
      </c>
    </row>
    <row r="1397" spans="1:5" ht="15.75" customHeight="1" x14ac:dyDescent="0.25">
      <c r="A1397" s="1" t="s">
        <v>2793</v>
      </c>
      <c r="B1397" s="1">
        <v>26471</v>
      </c>
      <c r="C1397" s="3">
        <v>44258.862685185188</v>
      </c>
      <c r="D1397" s="1" t="s">
        <v>2794</v>
      </c>
      <c r="E1397" s="4" t="str">
        <f ca="1">IFERROR(__xludf.DUMMYFUNCTION("GOOGLETRANSLATE(A1397 , ""tr"" , ""en"")"),"Phase III, Result I: The vaccine we use is effective in 83.5 of each 100 people. This result, the Sinovac vaccine is described today in Turkey's phase III research. Life will be even more normal soon!")</f>
        <v>Phase III, Result I: The vaccine we use is effective in 83.5 of each 100 people. This result, the Sinovac vaccine is described today in Turkey's phase III research. Life will be even more normal soon!</v>
      </c>
    </row>
    <row r="1398" spans="1:5" ht="15.75" customHeight="1" x14ac:dyDescent="0.25">
      <c r="A1398" s="1" t="s">
        <v>2795</v>
      </c>
      <c r="B1398" s="1">
        <v>14392</v>
      </c>
      <c r="C1398" s="3">
        <v>44258.796180555553</v>
      </c>
      <c r="D1398" s="1" t="s">
        <v>2796</v>
      </c>
      <c r="E1398" s="4" t="str">
        <f ca="1">IFERROR(__xludf.DUMMYFUNCTION("GOOGLETRANSLATE(A1398 , ""tr"" , ""en"")"),"We will continue weekly to publish the frequency of 7-day case in provincial basis, the risk map will be published in 15 days.")</f>
        <v>We will continue weekly to publish the frequency of 7-day case in provincial basis, the risk map will be published in 15 days.</v>
      </c>
    </row>
    <row r="1399" spans="1:5" ht="15.75" customHeight="1" x14ac:dyDescent="0.25">
      <c r="A1399" s="1" t="s">
        <v>2797</v>
      </c>
      <c r="B1399" s="1">
        <v>26058</v>
      </c>
      <c r="C1399" s="3">
        <v>44258.79451388889</v>
      </c>
      <c r="D1399" s="1" t="s">
        <v>2798</v>
      </c>
      <c r="E1399" s="4" t="str">
        <f ca="1">IFERROR(__xludf.DUMMYFUNCTION("GOOGLETRANSLATE(A1399 , ""tr"" , ""en"")"),"In our social mobility to the days we expect with hope, we will reach the spread of the virus.")</f>
        <v>In our social mobility to the days we expect with hope, we will reach the spread of the virus.</v>
      </c>
    </row>
    <row r="1400" spans="1:5" ht="15.75" customHeight="1" x14ac:dyDescent="0.25">
      <c r="A1400" s="1" t="s">
        <v>2799</v>
      </c>
      <c r="B1400" s="1">
        <v>6712</v>
      </c>
      <c r="C1400" s="3">
        <v>44258.791504629633</v>
      </c>
      <c r="D1400" s="1" t="s">
        <v>2800</v>
      </c>
      <c r="E1400" s="4" t="str">
        <f ca="1">IFERROR(__xludf.DUMMYFUNCTION("GOOGLETRANSLATE(A1400 , ""tr"" , ""en"")"),"Controlled Normalization period began actually. While living the comfort of this, let's not leave the measure. https://t.co/Ixyuf78nhz")</f>
        <v>Controlled Normalization period began actually. While living the comfort of this, let's not leave the measure. https://t.co/Ixyuf78nhz</v>
      </c>
    </row>
    <row r="1401" spans="1:5" ht="15.75" customHeight="1" x14ac:dyDescent="0.25">
      <c r="A1401" s="1" t="s">
        <v>2801</v>
      </c>
      <c r="B1401" s="1">
        <v>18136</v>
      </c>
      <c r="C1401" s="3">
        <v>44258.662581018521</v>
      </c>
      <c r="D1401" s="1" t="s">
        <v>2802</v>
      </c>
      <c r="E1401" s="4" t="str">
        <f ca="1">IFERROR(__xludf.DUMMYFUNCTION("GOOGLETRANSLATE(A1401 , ""tr"" , ""en"")"),"Today Sinovac vaccine has announced the results of Turkey Phase III. Accordingly, the general event is 83.5% and the hospitalization 100% blocks 100%. The clinical study was made over 10 thousand volunteers. More than 9 million dose occurred vaccines. Our"&amp;" experience is also the direction of hospitalization of hospitalization. https://t.co/amtfnfa6oa")</f>
        <v>Today Sinovac vaccine has announced the results of Turkey Phase III. Accordingly, the general event is 83.5% and the hospitalization 100% blocks 100%. The clinical study was made over 10 thousand volunteers. More than 9 million dose occurred vaccines. Our experience is also the direction of hospitalization of hospitalization. https://t.co/amtfnfa6oa</v>
      </c>
    </row>
    <row r="1402" spans="1:5" ht="15.75" customHeight="1" x14ac:dyDescent="0.25">
      <c r="A1402" s="1" t="s">
        <v>2803</v>
      </c>
      <c r="B1402" s="1">
        <v>21698</v>
      </c>
      <c r="C1402" s="3">
        <v>44257.797546296293</v>
      </c>
      <c r="D1402" s="1" t="s">
        <v>2804</v>
      </c>
      <c r="E1402" s="4" t="str">
        <f ca="1">IFERROR(__xludf.DUMMYFUNCTION("GOOGLETRANSLATE(A1402 , ""tr"" , ""en"")"),"We will try to be the blue of all of our Map. Our most important effort to ensure that is full compliance with measures. Yellow, orange and red provinces should be cautious until blue. Our blue provinces should also protect their status. https://t.co/5IJA"&amp;"NWZGCJ")</f>
        <v>We will try to be the blue of all of our Map. Our most important effort to ensure that is full compliance with measures. Yellow, orange and red provinces should be cautious until blue. Our blue provinces should also protect their status. https://t.co/5IJANWZGCJ</v>
      </c>
    </row>
    <row r="1403" spans="1:5" ht="15.75" customHeight="1" x14ac:dyDescent="0.25">
      <c r="A1403" s="1" t="s">
        <v>2805</v>
      </c>
      <c r="B1403" s="1">
        <v>13937</v>
      </c>
      <c r="C1403" s="3">
        <v>44256.901273148149</v>
      </c>
      <c r="D1403" s="1" t="s">
        <v>2806</v>
      </c>
      <c r="E1403" s="4" t="str">
        <f ca="1">IFERROR(__xludf.DUMMYFUNCTION("GOOGLETRANSLATE(A1403 , ""tr"" , ""en"")"),"We have announced the current map of the weekly total number of cases falling into 100,000 population in our provinces we explained every week. We are gradual and controlled normally. https://t.co/rvlhe7786o https://t.co/Iosaacuqb9")</f>
        <v>We have announced the current map of the weekly total number of cases falling into 100,000 population in our provinces we explained every week. We are gradual and controlled normally. https://t.co/rvlhe7786o https://t.co/Iosaacuqb9</v>
      </c>
    </row>
    <row r="1404" spans="1:5" ht="15.75" customHeight="1" x14ac:dyDescent="0.25">
      <c r="A1404" s="1" t="s">
        <v>2807</v>
      </c>
      <c r="B1404" s="1">
        <v>17822</v>
      </c>
      <c r="C1404" s="3">
        <v>44256.866539351853</v>
      </c>
      <c r="D1404" s="1" t="s">
        <v>2808</v>
      </c>
      <c r="E1404" s="4" t="str">
        <f ca="1">IFERROR(__xludf.DUMMYFUNCTION("GOOGLETRANSLATE(A1404 , ""tr"" , ""en"")"),"Our science assembly has taken into consideration the positive rate of PCR tests with the number of weekly cases that decreased to 100,000 population in determining the risk categories of provinces in determining the risk of PCR tests, intensive care occu"&amp;"pancy rate and intubation patient. We have a gradual normalization.")</f>
        <v>Our science assembly has taken into consideration the positive rate of PCR tests with the number of weekly cases that decreased to 100,000 population in determining the risk categories of provinces in determining the risk of PCR tests, intensive care occupancy rate and intubation patient. We have a gradual normalization.</v>
      </c>
    </row>
    <row r="1405" spans="1:5" ht="15.75" customHeight="1" x14ac:dyDescent="0.25">
      <c r="A1405" s="1" t="s">
        <v>2809</v>
      </c>
      <c r="B1405" s="1">
        <v>48452</v>
      </c>
      <c r="C1405" s="3">
        <v>44256.723703703705</v>
      </c>
      <c r="D1405" s="1" t="s">
        <v>2810</v>
      </c>
      <c r="E1405" s="4" t="str">
        <f ca="1">IFERROR(__xludf.DUMMYFUNCTION("GOOGLETRANSLATE(A1405 , ""tr"" , ""en"")"),"Our provinces were divided into 4 categories according to risk assessment criteria. Low-risk (blue), medium-risk (yellow), high-risk (orange) and categories as very high risk (red) were determined. Accordingly, normalization steps will be applied. We are "&amp;"cautious and gradual normalized. https://t.co/ims9a3ve3e")</f>
        <v>Our provinces were divided into 4 categories according to risk assessment criteria. Low-risk (blue), medium-risk (yellow), high-risk (orange) and categories as very high risk (red) were determined. Accordingly, normalization steps will be applied. We are cautious and gradual normalized. https://t.co/ims9a3ve3e</v>
      </c>
    </row>
    <row r="1406" spans="1:5" ht="15.75" customHeight="1" x14ac:dyDescent="0.25">
      <c r="A1406" s="1" t="s">
        <v>2811</v>
      </c>
      <c r="B1406" s="1">
        <v>0</v>
      </c>
      <c r="C1406" s="3">
        <v>44256.708240740743</v>
      </c>
      <c r="D1406" s="1" t="s">
        <v>2812</v>
      </c>
      <c r="E1406" s="4" t="str">
        <f ca="1">IFERROR(__xludf.DUMMYFUNCTION("GOOGLETRANSLATE(A1406 , ""tr"" , ""en"")"),"RT @rterdogan: Shouting Nation After Cabinet Meeting HTTPS://T.CO/SCDPJO3Y2S")</f>
        <v>RT @rterdogan: Shouting Nation After Cabinet Meeting HTTPS://T.CO/SCDPJO3Y2S</v>
      </c>
    </row>
    <row r="1407" spans="1:5" ht="15.75" customHeight="1" x14ac:dyDescent="0.25">
      <c r="A1407" s="1" t="s">
        <v>2813</v>
      </c>
      <c r="B1407" s="1">
        <v>16532</v>
      </c>
      <c r="C1407" s="3">
        <v>44255.770439814813</v>
      </c>
      <c r="D1407" s="1" t="s">
        <v>2814</v>
      </c>
      <c r="E1407" s="4" t="str">
        <f ca="1">IFERROR(__xludf.DUMMYFUNCTION("GOOGLETRANSLATE(A1407 , ""tr"" , ""en"")"),"112 I would like to have no need for emergency health care. It is a great assurance to know the existence. Healthiers are in the service of our nationality. https://t.co/tonqouq8hp")</f>
        <v>112 I would like to have no need for emergency health care. It is a great assurance to know the existence. Healthiers are in the service of our nationality. https://t.co/tonqouq8hp</v>
      </c>
    </row>
    <row r="1408" spans="1:5" ht="15.75" customHeight="1" x14ac:dyDescent="0.25">
      <c r="A1408" s="1" t="s">
        <v>2815</v>
      </c>
      <c r="B1408" s="1">
        <v>19851</v>
      </c>
      <c r="C1408" s="3">
        <v>44255.467465277776</v>
      </c>
      <c r="D1408" s="1" t="s">
        <v>2816</v>
      </c>
      <c r="E1408" s="4" t="str">
        <f ca="1">IFERROR(__xludf.DUMMYFUNCTION("GOOGLETRANSLATE(A1408 , ""tr"" , ""en"")"),"The pulse is not only to seize legitimate management; Social, Economic and Cultural Life is to be captive. # 28 The postmodern application of the pulse took place in the history as an example of postmodern application. In the face of all kinds of the puls"&amp;"e, we are next to the Nation will.")</f>
        <v>The pulse is not only to seize legitimate management; Social, Economic and Cultural Life is to be captive. # 28 The postmodern application of the pulse took place in the history as an example of postmodern application. In the face of all kinds of the pulse, we are next to the Nation will.</v>
      </c>
    </row>
    <row r="1409" spans="1:5" ht="15.75" customHeight="1" x14ac:dyDescent="0.25">
      <c r="A1409" s="1" t="s">
        <v>2817</v>
      </c>
      <c r="B1409" s="1">
        <v>9908</v>
      </c>
      <c r="C1409" s="3">
        <v>44254.614293981482</v>
      </c>
      <c r="D1409" s="1" t="s">
        <v>2818</v>
      </c>
      <c r="E1409" s="4" t="str">
        <f ca="1">IFERROR(__xludf.DUMMYFUNCTION("GOOGLETRANSLATE(A1409 , ""tr"" , ""en"")"),"Foreign states bringing our challenge to the agenda are increasing. We didn't tackle the world that you appreciate it. Our struggle for our citizen's health and pronouncement. The world's discretion is valuable but our nation's trust is more valuable. htt"&amp;"ps://t.co/kkwd7vmzwr")</f>
        <v>Foreign states bringing our challenge to the agenda are increasing. We didn't tackle the world that you appreciate it. Our struggle for our citizen's health and pronouncement. The world's discretion is valuable but our nation's trust is more valuable. https://t.co/kkwd7vmzwr</v>
      </c>
    </row>
    <row r="1410" spans="1:5" ht="15.75" customHeight="1" x14ac:dyDescent="0.25">
      <c r="A1410" s="1" t="s">
        <v>2819</v>
      </c>
      <c r="B1410" s="1">
        <v>22649</v>
      </c>
      <c r="C1410" s="3">
        <v>44254.429768518516</v>
      </c>
      <c r="D1410" s="1" t="s">
        <v>2820</v>
      </c>
      <c r="E1410" s="4" t="str">
        <f ca="1">IFERROR(__xludf.DUMMYFUNCTION("GOOGLETRANSLATE(A1410 , ""tr"" , ""en"")"),"He wanted to be mentioned as a Muslim that can be cared. Their lovers called him Mujahtan Erbakan. In the 10th year of the deceased Necmettin Erbakan teacher, I rememberful and gratefully. https://t.co/6bqvzf5v5j")</f>
        <v>He wanted to be mentioned as a Muslim that can be cared. Their lovers called him Mujahtan Erbakan. In the 10th year of the deceased Necmettin Erbakan teacher, I rememberful and gratefully. https://t.co/6bqvzf5v5j</v>
      </c>
    </row>
    <row r="1411" spans="1:5" ht="15.75" customHeight="1" x14ac:dyDescent="0.25">
      <c r="A1411" s="1" t="s">
        <v>2821</v>
      </c>
      <c r="B1411" s="1">
        <v>13801</v>
      </c>
      <c r="C1411" s="3">
        <v>44253.801296296297</v>
      </c>
      <c r="D1411" s="1" t="s">
        <v>2822</v>
      </c>
      <c r="E1411" s="4" t="str">
        <f ca="1">IFERROR(__xludf.DUMMYFUNCTION("GOOGLETRANSLATE(A1411 , ""tr"" , ""en"")"),"According to last week, the number of cases is the most diminished provinces in the 100,000 population; Bayburt, Erzincan, Trabzon, Karabuk and Hatay. If our provinces with the most increase; Army, Giresun, Samsun, Slap and Bolu. Needs more labor to norma"&amp;"lize. https://t.co/8ea1x3xx0e")</f>
        <v>According to last week, the number of cases is the most diminished provinces in the 100,000 population; Bayburt, Erzincan, Trabzon, Karabuk and Hatay. If our provinces with the most increase; Army, Giresun, Samsun, Slap and Bolu. Needs more labor to normalize. https://t.co/8ea1x3xx0e</v>
      </c>
    </row>
    <row r="1412" spans="1:5" ht="15.75" customHeight="1" x14ac:dyDescent="0.25">
      <c r="A1412" s="1" t="s">
        <v>2823</v>
      </c>
      <c r="B1412" s="1">
        <v>6787</v>
      </c>
      <c r="C1412" s="3">
        <v>44253.760127314818</v>
      </c>
      <c r="D1412" s="1" t="s">
        <v>2824</v>
      </c>
      <c r="E1412" s="4" t="str">
        <f ca="1">IFERROR(__xludf.DUMMYFUNCTION("GOOGLETRANSLATE(A1412 , ""tr"" , ""en"")"),"We have citizens that need the health service without leaving the place. We also have the possibility to provide them with this service. We will continue to work to serve more. https://t.co/Ihdinuaa6l")</f>
        <v>We have citizens that need the health service without leaving the place. We also have the possibility to provide them with this service. We will continue to work to serve more. https://t.co/Ihdinuaa6l</v>
      </c>
    </row>
    <row r="1413" spans="1:5" ht="15.75" customHeight="1" x14ac:dyDescent="0.25">
      <c r="A1413" s="1" t="s">
        <v>2825</v>
      </c>
      <c r="B1413" s="1">
        <v>12210</v>
      </c>
      <c r="C1413" s="3">
        <v>44253.527696759258</v>
      </c>
      <c r="D1413" s="1" t="s">
        <v>2826</v>
      </c>
      <c r="E1413" s="4" t="str">
        <f ca="1">IFERROR(__xludf.DUMMYFUNCTION("GOOGLETRANSLATE(A1413 , ""tr"" , ""en"")"),"The teacher is Azerbaijan. They slaughtered our eyes. Our martyrs are mercy and grateful ... https://t.co/Iooty05JQ2")</f>
        <v>The teacher is Azerbaijan. They slaughtered our eyes. Our martyrs are mercy and grateful ... https://t.co/Iooty05JQ2</v>
      </c>
    </row>
    <row r="1414" spans="1:5" ht="15.75" customHeight="1" x14ac:dyDescent="0.25">
      <c r="A1414" s="1" t="s">
        <v>2827</v>
      </c>
      <c r="B1414" s="1">
        <v>20019</v>
      </c>
      <c r="C1414" s="3">
        <v>44253.501840277779</v>
      </c>
      <c r="D1414" s="1" t="s">
        <v>2828</v>
      </c>
      <c r="E1414" s="4" t="str">
        <f ca="1">IFERROR(__xludf.DUMMYFUNCTION("GOOGLETRANSLATE(A1414 , ""tr"" , ""en"")"),"It is the mirror of ore in mercy, which is the prospect of the oppressions.
# Iyikydoğdunmilletin https://t.co/HIJL4KBFJI")</f>
        <v>It is the mirror of ore in mercy, which is the prospect of the oppressions.
# Iyikydoğdunmilletin https://t.co/HIJL4KBFJI</v>
      </c>
    </row>
    <row r="1415" spans="1:5" ht="15.75" customHeight="1" x14ac:dyDescent="0.25">
      <c r="A1415" s="1" t="s">
        <v>2829</v>
      </c>
      <c r="B1415" s="1">
        <v>3955</v>
      </c>
      <c r="C1415" s="3">
        <v>44253.405706018515</v>
      </c>
      <c r="D1415" s="1" t="s">
        <v>2830</v>
      </c>
      <c r="E1415" s="4" t="str">
        <f ca="1">IFERROR(__xludf.DUMMYFUNCTION("GOOGLETRANSLATE(A1415 , ""tr"" , ""en"")"),"Head of the EU Delegation The Ambassador Mr. Nikolaus Hosted Meyer-Landrut in our Ministry, we evaluated the epidemic struggle. We have consulted the projects and new cooperation facilities that are partnership with the EU. I thank him for his visit. @Eud"&amp;"elegationTur HTTPS://T.CO/RPKCQI8ZVA")</f>
        <v>Head of the EU Delegation The Ambassador Mr. Nikolaus Hosted Meyer-Landrut in our Ministry, we evaluated the epidemic struggle. We have consulted the projects and new cooperation facilities that are partnership with the EU. I thank him for his visit. @EudelegationTur HTTPS://T.CO/RPKCQI8ZVA</v>
      </c>
    </row>
    <row r="1416" spans="1:5" ht="15.75" customHeight="1" x14ac:dyDescent="0.25">
      <c r="A1416" s="1" t="s">
        <v>2831</v>
      </c>
      <c r="B1416" s="1">
        <v>7436</v>
      </c>
      <c r="C1416" s="3">
        <v>44253.341249999998</v>
      </c>
      <c r="D1416" s="1" t="s">
        <v>2832</v>
      </c>
      <c r="E1416" s="4" t="str">
        <f ca="1">IFERROR(__xludf.DUMMYFUNCTION("GOOGLETRANSLATE(A1416 , ""tr"" , ""en"")"),"Communication channels are well-intentioned in every demand and attitude. There is no need for political rosters to obtain information. https://t.co/tp89ki95lz")</f>
        <v>Communication channels are well-intentioned in every demand and attitude. There is no need for political rosters to obtain information. https://t.co/tp89ki95lz</v>
      </c>
    </row>
    <row r="1417" spans="1:5" ht="15.75" customHeight="1" x14ac:dyDescent="0.25">
      <c r="A1417" s="1" t="s">
        <v>2833</v>
      </c>
      <c r="B1417" s="1">
        <v>3604</v>
      </c>
      <c r="C1417" s="3">
        <v>44252.883148148147</v>
      </c>
      <c r="D1417" s="1" t="s">
        <v>2834</v>
      </c>
      <c r="E1417" s="4" t="str">
        <f ca="1">IFERROR(__xludf.DUMMYFUNCTION("GOOGLETRANSLATE(A1417 , ""tr"" , ""en"")"),"4. The citizen has been tried to cause confusion instead of calling the service path.
All this is unfortunately not moral.
Our nation's irfan is to deliver the level and right to realize the remarks of this truth. (Documents in Turkish and English) https:"&amp;"//t.co/nqrcvrile9")</f>
        <v>4. The citizen has been tried to cause confusion instead of calling the service path.
All this is unfortunately not moral.
Our nation's irfan is to deliver the level and right to realize the remarks of this truth. (Documents in Turkish and English) https://t.co/nqrcvrile9</v>
      </c>
    </row>
    <row r="1418" spans="1:5" ht="15.75" customHeight="1" x14ac:dyDescent="0.25">
      <c r="A1418" s="1" t="s">
        <v>2835</v>
      </c>
      <c r="B1418" s="1">
        <v>7739</v>
      </c>
      <c r="C1418" s="3">
        <v>44252.883125</v>
      </c>
      <c r="D1418" s="1" t="s">
        <v>2836</v>
      </c>
      <c r="E1418" s="4" t="str">
        <f ca="1">IFERROR(__xludf.DUMMYFUNCTION("GOOGLETRANSLATE(A1418 , ""tr"" , ""en"")"),"The place we stop is a point to surround everyone other than politics.
1. It has been imposed with unfair and unsubstantiated allegations.
2. The provision of vaccination has been tried to be blocked.
3. The epidemic management has been tried to make poli"&amp;"tical materials. https://t.co/o5byy3vmqq")</f>
        <v>The place we stop is a point to surround everyone other than politics.
1. It has been imposed with unfair and unsubstantiated allegations.
2. The provision of vaccination has been tried to be blocked.
3. The epidemic management has been tried to make political materials. https://t.co/o5byy3vmqq</v>
      </c>
    </row>
    <row r="1419" spans="1:5" ht="15.75" customHeight="1" x14ac:dyDescent="0.25">
      <c r="A1419" s="1" t="s">
        <v>2837</v>
      </c>
      <c r="B1419" s="1">
        <v>6873</v>
      </c>
      <c r="C1419" s="3">
        <v>44252.846319444441</v>
      </c>
      <c r="D1419" s="1" t="s">
        <v>2838</v>
      </c>
      <c r="E1419" s="4" t="str">
        <f ca="1">IFERROR(__xludf.DUMMYFUNCTION("GOOGLETRANSLATE(A1419 , ""tr"" , ""en"")"),"The vaccine is a matter of health. Health should not be drawn to political space. The steward is never acceptable attempts to disgust the supply of a strategic product in such a critical period. https://t.co/yd6ubvayf7")</f>
        <v>The vaccine is a matter of health. Health should not be drawn to political space. The steward is never acceptable attempts to disgust the supply of a strategic product in such a critical period. https://t.co/yd6ubvayf7</v>
      </c>
    </row>
    <row r="1420" spans="1:5" ht="15.75" customHeight="1" x14ac:dyDescent="0.25">
      <c r="A1420" s="1" t="s">
        <v>2839</v>
      </c>
      <c r="B1420" s="1">
        <v>6093</v>
      </c>
      <c r="C1420" s="3">
        <v>44252.827280092592</v>
      </c>
      <c r="D1420" s="1" t="s">
        <v>2840</v>
      </c>
      <c r="E1420" s="4" t="str">
        <f ca="1">IFERROR(__xludf.DUMMYFUNCTION("GOOGLETRANSLATE(A1420 , ""tr"" , ""en"")"),"We planned to gradual normalization in accordance with the risk classification. https://t.co/6GORDDID5")</f>
        <v>We planned to gradual normalization in accordance with the risk classification. https://t.co/6GORDDID5</v>
      </c>
    </row>
    <row r="1421" spans="1:5" ht="15.75" customHeight="1" x14ac:dyDescent="0.25">
      <c r="A1421" s="1" t="s">
        <v>2841</v>
      </c>
      <c r="B1421" s="1">
        <v>6573</v>
      </c>
      <c r="C1421" s="3">
        <v>44252.819606481484</v>
      </c>
      <c r="D1421" s="1" t="s">
        <v>2842</v>
      </c>
      <c r="E1421" s="4" t="str">
        <f ca="1">IFERROR(__xludf.DUMMYFUNCTION("GOOGLETRANSLATE(A1421 , ""tr"" , ""en"")"),"We are inoculated after 14 days of the second overdose vaccine. https://t.co/hzvu65nm8t")</f>
        <v>We are inoculated after 14 days of the second overdose vaccine. https://t.co/hzvu65nm8t</v>
      </c>
    </row>
    <row r="1422" spans="1:5" ht="15.75" customHeight="1" x14ac:dyDescent="0.25">
      <c r="A1422" s="1" t="s">
        <v>2843</v>
      </c>
      <c r="B1422" s="1">
        <v>7576</v>
      </c>
      <c r="C1422" s="3">
        <v>44252.794351851851</v>
      </c>
      <c r="D1422" s="1" t="s">
        <v>2844</v>
      </c>
      <c r="E1422" s="4" t="str">
        <f ca="1">IFERROR(__xludf.DUMMYFUNCTION("GOOGLETRANSLATE(A1422 , ""tr"" , ""en"")"),"We have succeeded in the fastest and most vaccination within the countries that provide the vaccine. https://t.co/pke7mwcdds")</f>
        <v>We have succeeded in the fastest and most vaccination within the countries that provide the vaccine. https://t.co/pke7mwcdds</v>
      </c>
    </row>
    <row r="1423" spans="1:5" ht="15.75" customHeight="1" x14ac:dyDescent="0.25">
      <c r="A1423" s="1" t="s">
        <v>2845</v>
      </c>
      <c r="B1423" s="1">
        <v>5564</v>
      </c>
      <c r="C1423" s="3">
        <v>44252.764363425929</v>
      </c>
      <c r="D1423" s="1" t="s">
        <v>2846</v>
      </c>
      <c r="E1423" s="4" t="str">
        <f ca="1">IFERROR(__xludf.DUMMYFUNCTION("GOOGLETRANSLATE(A1423 , ""tr"" , ""en"")"),"A year of the epidemic struggle has gained new experiences. The social impact of the epidemic is now more in focus than the old. https://t.co/r0lzbfmnql")</f>
        <v>A year of the epidemic struggle has gained new experiences. The social impact of the epidemic is now more in focus than the old. https://t.co/r0lzbfmnql</v>
      </c>
    </row>
    <row r="1424" spans="1:5" ht="15.75" customHeight="1" x14ac:dyDescent="0.25">
      <c r="A1424" s="1" t="s">
        <v>2847</v>
      </c>
      <c r="B1424" s="1">
        <v>10772</v>
      </c>
      <c r="C1424" s="3">
        <v>44252.69295138889</v>
      </c>
      <c r="D1424" s="1" t="s">
        <v>2848</v>
      </c>
      <c r="E1424" s="4" t="str">
        <f ca="1">IFERROR(__xludf.DUMMYFUNCTION("GOOGLETRANSLATE(A1424 , ""tr"" , ""en"")"),"After our Science Board meeting, our press statement on the latest developments on the coronavirus.
📍 The Ministry of Health
https://t.co/wxgccwddb")</f>
        <v>After our Science Board meeting, our press statement on the latest developments on the coronavirus.
📍 The Ministry of Health
https://t.co/wxgccwddb</v>
      </c>
    </row>
    <row r="1425" spans="1:5" ht="15.75" customHeight="1" x14ac:dyDescent="0.25">
      <c r="A1425" s="1" t="s">
        <v>2849</v>
      </c>
      <c r="B1425" s="1">
        <v>6295</v>
      </c>
      <c r="C1425" s="3">
        <v>44251.893831018519</v>
      </c>
      <c r="D1425" s="1" t="s">
        <v>2850</v>
      </c>
      <c r="E1425" s="4" t="str">
        <f ca="1">IFERROR(__xludf.DUMMYFUNCTION("GOOGLETRANSLATE(A1425 , ""tr"" , ""en"")"),"We have listened to our deputies of our citizens by passing the present in the parliament of our citizens. We have consulted our deputies with our deputies to our Supreme Council. https://t.co/cqlbrq6yd3")</f>
        <v>We have listened to our deputies of our citizens by passing the present in the parliament of our citizens. We have consulted our deputies with our deputies to our Supreme Council. https://t.co/cqlbrq6yd3</v>
      </c>
    </row>
    <row r="1426" spans="1:5" ht="15.75" customHeight="1" x14ac:dyDescent="0.25">
      <c r="A1426" s="1" t="s">
        <v>2851</v>
      </c>
      <c r="B1426" s="1">
        <v>13703</v>
      </c>
      <c r="C1426" s="3">
        <v>44251.869884259257</v>
      </c>
      <c r="D1426" s="1" t="s">
        <v>2852</v>
      </c>
      <c r="E1426" s="4" t="str">
        <f ca="1">IFERROR(__xludf.DUMMYFUNCTION("GOOGLETRANSLATE(A1426 , ""tr"" , ""en"")"),"The whole world is struggling out of outbreak. We also give a struggle as folks. While the political material is too important humanity task to be made, our stance will not change. https://t.co/dqxunpvw4c")</f>
        <v>The whole world is struggling out of outbreak. We also give a struggle as folks. While the political material is too important humanity task to be made, our stance will not change. https://t.co/dqxunpvw4c</v>
      </c>
    </row>
    <row r="1427" spans="1:5" ht="15.75" customHeight="1" x14ac:dyDescent="0.25">
      <c r="A1427" s="1" t="s">
        <v>2853</v>
      </c>
      <c r="B1427" s="1">
        <v>33152</v>
      </c>
      <c r="C1427" s="3">
        <v>44251.616620370369</v>
      </c>
      <c r="D1427" s="1" t="s">
        <v>2854</v>
      </c>
      <c r="E1427" s="4" t="str">
        <f ca="1">IFERROR(__xludf.DUMMYFUNCTION("GOOGLETRANSLATE(A1427 , ""tr"" , ""en"")"),"In the village schools where face-to-face education started the vaccination of our teachers. My friend of my friend overlooking the first vaccine was Selçuk. We will continue to strive together for a safer educational environment.")</f>
        <v>In the village schools where face-to-face education started the vaccination of our teachers. My friend of my friend overlooking the first vaccine was Selçuk. We will continue to strive together for a safer educational environment.</v>
      </c>
    </row>
    <row r="1428" spans="1:5" ht="15.75" customHeight="1" x14ac:dyDescent="0.25">
      <c r="A1428" s="1" t="s">
        <v>2855</v>
      </c>
      <c r="B1428" s="1">
        <v>25363</v>
      </c>
      <c r="C1428" s="3">
        <v>44249.874537037038</v>
      </c>
      <c r="D1428" s="1" t="s">
        <v>2856</v>
      </c>
      <c r="E1428" s="4" t="str">
        <f ca="1">IFERROR(__xludf.DUMMYFUNCTION("GOOGLETRANSLATE(A1428 , ""tr"" , ""en"")"),"The number of cases corresponding to 100,000 percent population has a significant increase in our provinces. In order to be able to return to normal life on what we talk to normalization, each of us should comply with more measures.
https://t.co/rvlhe7786"&amp;"o https://t.co/kpgq3g8c5n")</f>
        <v>The number of cases corresponding to 100,000 percent population has a significant increase in our provinces. In order to be able to return to normal life on what we talk to normalization, each of us should comply with more measures.
https://t.co/rvlhe7786o https://t.co/kpgq3g8c5n</v>
      </c>
    </row>
    <row r="1429" spans="1:5" ht="15.75" customHeight="1" x14ac:dyDescent="0.25">
      <c r="A1429" s="1" t="s">
        <v>2857</v>
      </c>
      <c r="B1429" s="1">
        <v>13892</v>
      </c>
      <c r="C1429" s="3">
        <v>44247.528761574074</v>
      </c>
      <c r="D1429" s="1" t="s">
        <v>2858</v>
      </c>
      <c r="E1429" s="4" t="str">
        <f ca="1">IFERROR(__xludf.DUMMYFUNCTION("GOOGLETRANSLATE(A1429 , ""tr"" , ""en"")"),"No matter where our flag is rippling for our health workers, no hours late. https://t.co/yt89x8hggi")</f>
        <v>No matter where our flag is rippling for our health workers, no hours late. https://t.co/yt89x8hggi</v>
      </c>
    </row>
    <row r="1430" spans="1:5" ht="15.75" customHeight="1" x14ac:dyDescent="0.25">
      <c r="A1430" s="1" t="s">
        <v>2859</v>
      </c>
      <c r="B1430" s="1">
        <v>36091</v>
      </c>
      <c r="C1430" s="3">
        <v>44247.400381944448</v>
      </c>
      <c r="D1430" s="1" t="s">
        <v>2860</v>
      </c>
      <c r="E1430" s="4" t="str">
        <f ca="1">IFERROR(__xludf.DUMMYFUNCTION("GOOGLETRANSLATE(A1430 , ""tr"" , ""en"")"),"We are rigorously working on normalization steps. We are gradual normalized with the period of decision on-site. As of March 1, the process will start with our provincial HIFZISSIHA Boards in the four-risk level of our governors within the framework of th"&amp;"e criteria determined.")</f>
        <v>We are rigorously working on normalization steps. We are gradual normalized with the period of decision on-site. As of March 1, the process will start with our provincial HIFZISSIHA Boards in the four-risk level of our governors within the framework of the criteria determined.</v>
      </c>
    </row>
    <row r="1431" spans="1:5" ht="15.75" customHeight="1" x14ac:dyDescent="0.25">
      <c r="A1431" s="1" t="s">
        <v>2861</v>
      </c>
      <c r="B1431" s="1">
        <v>28690</v>
      </c>
      <c r="C1431" s="3">
        <v>44246.802037037036</v>
      </c>
      <c r="D1431" s="1" t="s">
        <v>2862</v>
      </c>
      <c r="E1431" s="4" t="str">
        <f ca="1">IFERROR(__xludf.DUMMYFUNCTION("GOOGLETRANSLATE(A1431 , ""tr"" , ""en"")"),"We have worked a lifetime of human growth to our hometown, our President of YÖK We lost our muhammad Muhammad Saraş teacher of Muhammad, Muhammad, Muhammad. The death of the scholar is like the death of the realm. May the head of our nation be right.")</f>
        <v>We have worked a lifetime of human growth to our hometown, our President of YÖK We lost our muhammad Muhammad Saraş teacher of Muhammad, Muhammad, Muhammad. The death of the scholar is like the death of the realm. May the head of our nation be right.</v>
      </c>
    </row>
    <row r="1432" spans="1:5" ht="15.75" customHeight="1" x14ac:dyDescent="0.25">
      <c r="A1432" s="1" t="s">
        <v>2863</v>
      </c>
      <c r="B1432" s="1">
        <v>13421</v>
      </c>
      <c r="C1432" s="3">
        <v>44246.613599537035</v>
      </c>
      <c r="D1432" s="1" t="s">
        <v>2864</v>
      </c>
      <c r="E1432" s="4" t="str">
        <f ca="1">IFERROR(__xludf.DUMMYFUNCTION("GOOGLETRANSLATE(A1432 , ""tr"" , ""en"")"),"We have previously told you that the inactive vaccine will be less affected by the mutations as well as the risk of the side effect. Now the world began to talk and communicate it. We continue to work to ensure the best of our country's outrage citizens.
"&amp;"
https://t.co/obkjlt6pen")</f>
        <v>We have previously told you that the inactive vaccine will be less affected by the mutations as well as the risk of the side effect. Now the world began to talk and communicate it. We continue to work to ensure the best of our country's outrage citizens.
https://t.co/obkjlt6pen</v>
      </c>
    </row>
    <row r="1433" spans="1:5" ht="15.75" customHeight="1" x14ac:dyDescent="0.25">
      <c r="A1433" s="1" t="s">
        <v>2865</v>
      </c>
      <c r="B1433" s="1">
        <v>20974</v>
      </c>
      <c r="C1433" s="3">
        <v>44245.800925925927</v>
      </c>
      <c r="D1433" s="1" t="s">
        <v>2866</v>
      </c>
      <c r="E1433" s="4" t="str">
        <f ca="1">IFERROR(__xludf.DUMMYFUNCTION("GOOGLETRANSLATE(A1433 , ""tr"" , ""en"")"),"The heroes of the epidemic do not neglect our cute friends. The Army 112 Emergency Cheetic Mustafa Baran Case Return was not insensitive to the injured dog he saw on the road. The world is the mercy that makes an experienced place. https://t.co/od5grmuljf")</f>
        <v>The heroes of the epidemic do not neglect our cute friends. The Army 112 Emergency Cheetic Mustafa Baran Case Return was not insensitive to the injured dog he saw on the road. The world is the mercy that makes an experienced place. https://t.co/od5grmuljf</v>
      </c>
    </row>
    <row r="1434" spans="1:5" ht="15.75" customHeight="1" x14ac:dyDescent="0.25">
      <c r="A1434" s="1" t="s">
        <v>2867</v>
      </c>
      <c r="B1434" s="1">
        <v>71975</v>
      </c>
      <c r="C1434" s="3">
        <v>44245.65834490741</v>
      </c>
      <c r="D1434" s="1" t="s">
        <v>2868</v>
      </c>
      <c r="E1434" s="4" t="str">
        <f ca="1">IFERROR(__xludf.DUMMYFUNCTION("GOOGLETRANSLATE(A1434 , ""tr"" , ""en"")"),"Each coward is a new light of hope. The bright days are close. May our Regaib Waydill be blessed.")</f>
        <v>Each coward is a new light of hope. The bright days are close. May our Regaib Waydill be blessed.</v>
      </c>
    </row>
    <row r="1435" spans="1:5" ht="15.75" customHeight="1" x14ac:dyDescent="0.25">
      <c r="A1435" s="1" t="s">
        <v>2869</v>
      </c>
      <c r="B1435" s="1">
        <v>10720</v>
      </c>
      <c r="C1435" s="3">
        <v>44245.507210648146</v>
      </c>
      <c r="D1435" s="1" t="s">
        <v>2870</v>
      </c>
      <c r="E1435" s="4" t="str">
        <f ca="1">IFERROR(__xludf.DUMMYFUNCTION("GOOGLETRANSLATE(A1435 , ""tr"" , ""en"")"),"According to last week, the number of cases seen in 100,000 population in 1 week is the most increasing 5 products: Bilecik, Erzincan, Kilis, Usak and Canakkale. Our most diminishing provinces are Bitlis, Mardin, Kastamonu, Yalova and Bingöl. Our greatest"&amp;" strength together with the vaccination of measures and restrictions. https://t.co/moxqbbdvv5")</f>
        <v>According to last week, the number of cases seen in 100,000 population in 1 week is the most increasing 5 products: Bilecik, Erzincan, Kilis, Usak and Canakkale. Our most diminishing provinces are Bitlis, Mardin, Kastamonu, Yalova and Bingöl. Our greatest strength together with the vaccination of measures and restrictions. https://t.co/moxqbbdvv5</v>
      </c>
    </row>
    <row r="1436" spans="1:5" ht="15.75" customHeight="1" x14ac:dyDescent="0.25">
      <c r="A1436" s="1" t="s">
        <v>2871</v>
      </c>
      <c r="B1436" s="1">
        <v>20143</v>
      </c>
      <c r="C1436" s="3">
        <v>44244.855543981481</v>
      </c>
      <c r="D1436" s="1" t="s">
        <v>2872</v>
      </c>
      <c r="E1436" s="4" t="str">
        <f ca="1">IFERROR(__xludf.DUMMYFUNCTION("GOOGLETRANSLATE(A1436 , ""tr"" , ""en"")"),"In our country, the vaccine is only done in the order of priority determined by the Science Board and is free for all. The judicial transaction will be initiated about the scams that demands money by claiming to make our citizens priority in the vaccine. "&amp;"Notice to Sabim 184.")</f>
        <v>In our country, the vaccine is only done in the order of priority determined by the Science Board and is free for all. The judicial transaction will be initiated about the scams that demands money by claiming to make our citizens priority in the vaccine. Notice to Sabim 184.</v>
      </c>
    </row>
    <row r="1437" spans="1:5" ht="15.75" customHeight="1" x14ac:dyDescent="0.25">
      <c r="A1437" s="1" t="s">
        <v>2873</v>
      </c>
      <c r="B1437" s="1">
        <v>0</v>
      </c>
      <c r="C1437" s="3">
        <v>44244.683240740742</v>
      </c>
      <c r="D1437" s="1" t="s">
        <v>2874</v>
      </c>
      <c r="E1437" s="4" t="str">
        <f ca="1">IFERROR(__xludf.DUMMYFUNCTION("GOOGLETRANSLATE(A1437 , ""tr"" , ""en"")"),"RT @rterdogan: Shouting Nation After Cabinet Meeting https://t.co/6cx5sqlztt")</f>
        <v>RT @rterdogan: Shouting Nation After Cabinet Meeting https://t.co/6cx5sqlztt</v>
      </c>
    </row>
    <row r="1438" spans="1:5" ht="15.75" customHeight="1" x14ac:dyDescent="0.25">
      <c r="A1438" s="1" t="s">
        <v>2875</v>
      </c>
      <c r="B1438" s="1">
        <v>14690</v>
      </c>
      <c r="C1438" s="3">
        <v>44244.655023148145</v>
      </c>
      <c r="D1438" s="1" t="s">
        <v>2876</v>
      </c>
      <c r="E1438" s="4" t="str">
        <f ca="1">IFERROR(__xludf.DUMMYFUNCTION("GOOGLETRANSLATE(A1438 , ""tr"" , ""en"")"),"We are at your service on Saturday to make your vaccine. If you have received our message your first job get an appointment. Don't waste time against COVID-19. https://t.co/bsnclvnes0")</f>
        <v>We are at your service on Saturday to make your vaccine. If you have received our message your first job get an appointment. Don't waste time against COVID-19. https://t.co/bsnclvnes0</v>
      </c>
    </row>
    <row r="1439" spans="1:5" ht="15.75" customHeight="1" x14ac:dyDescent="0.25">
      <c r="A1439" s="1" t="s">
        <v>2877</v>
      </c>
      <c r="B1439" s="1">
        <v>44846</v>
      </c>
      <c r="C1439" s="3">
        <v>44243.801342592589</v>
      </c>
      <c r="D1439" s="1" t="s">
        <v>2878</v>
      </c>
      <c r="E1439" s="4" t="str">
        <f ca="1">IFERROR(__xludf.DUMMYFUNCTION("GOOGLETRANSLATE(A1439 , ""tr"" , ""en"")"),"We have made evaluations about higher education today. In the evaluation of the evaluation, it was conducted to face to face as facial as possible to the theoretical trainings to the theoretical trainings to the higher education institution.")</f>
        <v>We have made evaluations about higher education today. In the evaluation of the evaluation, it was conducted to face to face as facial as possible to the theoretical trainings to the theoretical trainings to the higher education institution.</v>
      </c>
    </row>
    <row r="1440" spans="1:5" ht="15.75" customHeight="1" x14ac:dyDescent="0.25">
      <c r="A1440" s="1" t="s">
        <v>2879</v>
      </c>
      <c r="B1440" s="1">
        <v>19835</v>
      </c>
      <c r="C1440" s="3">
        <v>44243.800243055557</v>
      </c>
      <c r="D1440" s="1" t="s">
        <v>2880</v>
      </c>
      <c r="E1440" s="4" t="str">
        <f ca="1">IFERROR(__xludf.DUMMYFUNCTION("GOOGLETRANSLATE(A1440 , ""tr"" , ""en"")"),"As of today we have made more than 5 million vaccines. We are about to complete the 1st stage in vaccination of the priority groups formed by the science board.")</f>
        <v>As of today we have made more than 5 million vaccines. We are about to complete the 1st stage in vaccination of the priority groups formed by the science board.</v>
      </c>
    </row>
    <row r="1441" spans="1:5" ht="15.75" customHeight="1" x14ac:dyDescent="0.25">
      <c r="A1441" s="1" t="s">
        <v>2881</v>
      </c>
      <c r="B1441" s="1">
        <v>10311</v>
      </c>
      <c r="C1441" s="3">
        <v>44243.785590277781</v>
      </c>
      <c r="D1441" s="1" t="s">
        <v>2882</v>
      </c>
      <c r="E1441" s="4" t="str">
        <f ca="1">IFERROR(__xludf.DUMMYFUNCTION("GOOGLETRANSLATE(A1441 , ""tr"" , ""en"")"),"We go to the ""on-site decision"" period according to the case numbers of the measures. https://t.co/7zvypczqfs")</f>
        <v>We go to the "on-site decision" period according to the case numbers of the measures. https://t.co/7zvypczqfs</v>
      </c>
    </row>
    <row r="1442" spans="1:5" ht="15.75" customHeight="1" x14ac:dyDescent="0.25">
      <c r="A1442" s="1" t="s">
        <v>2883</v>
      </c>
      <c r="B1442" s="1">
        <v>44601</v>
      </c>
      <c r="C1442" s="3">
        <v>44243.615694444445</v>
      </c>
      <c r="D1442" s="1" t="s">
        <v>2884</v>
      </c>
      <c r="E1442" s="4" t="str">
        <f ca="1">IFERROR(__xludf.DUMMYFUNCTION("GOOGLETRANSLATE(A1442 , ""tr"" , ""en"")"),"""You don't have your mother, who don't have."" Our famous psychologist Dogan Cüceloğlu used this sentence when telling the death of his mother. Today, we received a news that will make your life touched: Our teacher has left us. I wish his condolences to"&amp;" the mercy, lovers from Allah. https://t.co/ohthczzxko")</f>
        <v>"You don't have your mother, who don't have." Our famous psychologist Dogan Cüceloğlu used this sentence when telling the death of his mother. Today, we received a news that will make your life touched: Our teacher has left us. I wish his condolences to the mercy, lovers from Allah. https://t.co/ohthczzxko</v>
      </c>
    </row>
    <row r="1443" spans="1:5" ht="15.75" customHeight="1" x14ac:dyDescent="0.25">
      <c r="A1443" s="1" t="s">
        <v>2885</v>
      </c>
      <c r="B1443" s="1">
        <v>48503</v>
      </c>
      <c r="C1443" s="3">
        <v>44243.349537037036</v>
      </c>
      <c r="D1443" s="1" t="s">
        <v>2886</v>
      </c>
      <c r="E1443" s="4" t="str">
        <f ca="1">IFERROR(__xludf.DUMMYFUNCTION("GOOGLETRANSLATE(A1443 , ""tr"" , ""en"")"),"The fear we have experienced months will finally shrink as a needle tip. Let's get our vaccine if our turn comes.")</f>
        <v>The fear we have experienced months will finally shrink as a needle tip. Let's get our vaccine if our turn comes.</v>
      </c>
    </row>
    <row r="1444" spans="1:5" ht="15.75" customHeight="1" x14ac:dyDescent="0.25">
      <c r="A1444" s="1" t="s">
        <v>2887</v>
      </c>
      <c r="B1444" s="1">
        <v>35811</v>
      </c>
      <c r="C1444" s="3">
        <v>44242.914120370369</v>
      </c>
      <c r="D1444" s="1" t="s">
        <v>2888</v>
      </c>
      <c r="E1444" s="4" t="str">
        <f ca="1">IFERROR(__xludf.DUMMYFUNCTION("GOOGLETRANSLATE(A1444 , ""tr"" , ""en"")"),"Alperen Bey, maybe there is no old lover of the friend who prepares the chart there but Anatolia has nice people. Everyone knows that when you see there :) https://t.co/07uyppbzi1")</f>
        <v>Alperen Bey, maybe there is no old lover of the friend who prepares the chart there but Anatolia has nice people. Everyone knows that when you see there :) https://t.co/07uyppbzi1</v>
      </c>
    </row>
    <row r="1445" spans="1:5" ht="15.75" customHeight="1" x14ac:dyDescent="0.25">
      <c r="A1445" s="1" t="s">
        <v>2889</v>
      </c>
      <c r="B1445" s="1">
        <v>23391</v>
      </c>
      <c r="C1445" s="3">
        <v>44242.861608796295</v>
      </c>
      <c r="D1445" s="1" t="s">
        <v>2890</v>
      </c>
      <c r="E1445" s="4" t="str">
        <f ca="1">IFERROR(__xludf.DUMMYFUNCTION("GOOGLETRANSLATE(A1445 , ""tr"" , ""en"")"),"In our last press conference, I have stated that we will share the number of cases in our provinces. After that, we will declare the number of cases of 7 days at the beginning of each week. We are at in place decision. https://t.co/rvlhe7oIYM https://t.co"&amp;"/uq4k2tfmiz")</f>
        <v>In our last press conference, I have stated that we will share the number of cases in our provinces. After that, we will declare the number of cases of 7 days at the beginning of each week. We are at in place decision. https://t.co/rvlhe7oIYM https://t.co/uq4k2tfmiz</v>
      </c>
    </row>
    <row r="1446" spans="1:5" ht="15.75" customHeight="1" x14ac:dyDescent="0.25">
      <c r="A1446" s="1" t="s">
        <v>2891</v>
      </c>
      <c r="B1446" s="1">
        <v>6846</v>
      </c>
      <c r="C1446" s="3">
        <v>44242.714560185188</v>
      </c>
      <c r="D1446" s="1" t="s">
        <v>2892</v>
      </c>
      <c r="E1446" s="4" t="str">
        <f ca="1">IFERROR(__xludf.DUMMYFUNCTION("GOOGLETRANSLATE(A1446 , ""tr"" , ""en"")"),"Thank Mr. Mustafa Destici because of the support they give to our program. We will continue to work until all our citizens are vaccinated. https://t.co/pqllcdikh5")</f>
        <v>Thank Mr. Mustafa Destici because of the support they give to our program. We will continue to work until all our citizens are vaccinated. https://t.co/pqllcdikh5</v>
      </c>
    </row>
    <row r="1447" spans="1:5" ht="15.75" customHeight="1" x14ac:dyDescent="0.25">
      <c r="A1447" s="1" t="s">
        <v>2893</v>
      </c>
      <c r="B1447" s="1">
        <v>15480</v>
      </c>
      <c r="C1447" s="3">
        <v>44242.604189814818</v>
      </c>
      <c r="D1447" s="1" t="s">
        <v>2894</v>
      </c>
      <c r="E1447" s="4" t="str">
        <f ca="1">IFERROR(__xludf.DUMMYFUNCTION("GOOGLETRANSLATE(A1447 , ""tr"" , ""en"")"),"Our esteems are our precious. Our responsibility to look at them like our eyes. The relics of us wherever they become. https://t.co/bqphaj5p43")</f>
        <v>Our esteems are our precious. Our responsibility to look at them like our eyes. The relics of us wherever they become. https://t.co/bqphaj5p43</v>
      </c>
    </row>
    <row r="1448" spans="1:5" ht="15.75" customHeight="1" x14ac:dyDescent="0.25">
      <c r="A1448" s="1" t="s">
        <v>2895</v>
      </c>
      <c r="B1448" s="1">
        <v>38527</v>
      </c>
      <c r="C1448" s="3">
        <v>44242.405277777776</v>
      </c>
      <c r="D1448" s="1" t="s">
        <v>2896</v>
      </c>
      <c r="E1448" s="4" t="str">
        <f ca="1">IFERROR(__xludf.DUMMYFUNCTION("GOOGLETRANSLATE(A1448 , ""tr"" , ""en"")"),"We make over 500,000 vaccines today. As the number of vaccines increases, the question marks in our lives will be reduced.")</f>
        <v>We make over 500,000 vaccines today. As the number of vaccines increases, the question marks in our lives will be reduced.</v>
      </c>
    </row>
    <row r="1449" spans="1:5" ht="15.75" customHeight="1" x14ac:dyDescent="0.25">
      <c r="A1449" s="1" t="s">
        <v>2897</v>
      </c>
      <c r="B1449" s="1">
        <v>35356</v>
      </c>
      <c r="C1449" s="3">
        <v>44241.762280092589</v>
      </c>
      <c r="D1449" s="1" t="s">
        <v>2898</v>
      </c>
      <c r="E1449" s="4" t="str">
        <f ca="1">IFERROR(__xludf.DUMMYFUNCTION("GOOGLETRANSLATE(A1449 , ""tr"" , ""en"")"),"May the soul of our stands are in the Sad. May the head of our nation be right. Hain is in all opportunity to increase the violence of betrayal. Will stay on all the traitors of the traitors. Innocentions of innocents are to be buried in the terrorists. h"&amp;"ttps://t.co/5iyozeszhn")</f>
        <v>May the soul of our stands are in the Sad. May the head of our nation be right. Hain is in all opportunity to increase the violence of betrayal. Will stay on all the traitors of the traitors. Innocentions of innocents are to be buried in the terrorists. https://t.co/5iyozeszhn</v>
      </c>
    </row>
    <row r="1450" spans="1:5" ht="15.75" customHeight="1" x14ac:dyDescent="0.25">
      <c r="A1450" s="1" t="s">
        <v>2899</v>
      </c>
      <c r="B1450" s="1">
        <v>58383</v>
      </c>
      <c r="C1450" s="3">
        <v>44240.715474537035</v>
      </c>
      <c r="D1450" s="1" t="s">
        <v>2900</v>
      </c>
      <c r="E1450" s="4" t="str">
        <f ca="1">IFERROR(__xludf.DUMMYFUNCTION("GOOGLETRANSLATE(A1450 , ""tr"" , ""en"")"),"We have a lot of reason to be proud of this country. https://t.co/ft82j4l3il")</f>
        <v>We have a lot of reason to be proud of this country. https://t.co/ft82j4l3il</v>
      </c>
    </row>
    <row r="1451" spans="1:5" ht="15.75" customHeight="1" x14ac:dyDescent="0.25">
      <c r="A1451" s="1" t="s">
        <v>2901</v>
      </c>
      <c r="B1451" s="1">
        <v>12536</v>
      </c>
      <c r="C1451" s="3">
        <v>44240.640532407408</v>
      </c>
      <c r="D1451" s="1" t="s">
        <v>2902</v>
      </c>
      <c r="E1451" s="4" t="str">
        <f ca="1">IFERROR(__xludf.DUMMYFUNCTION("GOOGLETRANSLATE(A1451 , ""tr"" , ""en"")"),"This country of hometown will be in the prayer of our stay in our homeland Oman. https://t.co/eiphlk59tv")</f>
        <v>This country of hometown will be in the prayer of our stay in our homeland Oman. https://t.co/eiphlk59tv</v>
      </c>
    </row>
    <row r="1452" spans="1:5" ht="15.75" customHeight="1" x14ac:dyDescent="0.25">
      <c r="A1452" s="1" t="s">
        <v>2903</v>
      </c>
      <c r="B1452" s="1">
        <v>35695</v>
      </c>
      <c r="C1452" s="3">
        <v>44240.572511574072</v>
      </c>
      <c r="D1452" s="1" t="s">
        <v>2904</v>
      </c>
      <c r="E1452" s="4" t="str">
        <f ca="1">IFERROR(__xludf.DUMMYFUNCTION("GOOGLETRANSLATE(A1452 , ""tr"" , ""en"")"),"Death is a bridge, leads to friendly friend. The life of the lifetime is a low-volunteer, fedakar Kadir Eblak, which has passed our friendly service and people to grow. May the venue be in the heaven, the authority.")</f>
        <v>Death is a bridge, leads to friendly friend. The life of the lifetime is a low-volunteer, fedakar Kadir Eblak, which has passed our friendly service and people to grow. May the venue be in the heaven, the authority.</v>
      </c>
    </row>
    <row r="1453" spans="1:5" ht="15.75" customHeight="1" x14ac:dyDescent="0.25">
      <c r="A1453" s="1" t="s">
        <v>2905</v>
      </c>
      <c r="B1453" s="1">
        <v>83458</v>
      </c>
      <c r="C1453" s="3">
        <v>44240.422476851854</v>
      </c>
      <c r="D1453" s="1" t="s">
        <v>2906</v>
      </c>
      <c r="E1453" s="4" t="str">
        <f ca="1">IFERROR(__xludf.DUMMYFUNCTION("GOOGLETRANSLATE(A1453 , ""tr"" , ""en"")"),"My Allah is RECEB and Shaban blessed us to us and access us to Ramadan. Happy-happy days began. Get blessed.")</f>
        <v>My Allah is RECEB and Shaban blessed us to us and access us to Ramadan. Happy-happy days began. Get blessed.</v>
      </c>
    </row>
    <row r="1454" spans="1:5" ht="15.75" customHeight="1" x14ac:dyDescent="0.25">
      <c r="A1454" s="1" t="s">
        <v>2907</v>
      </c>
      <c r="B1454" s="1">
        <v>38859</v>
      </c>
      <c r="C1454" s="3">
        <v>44239.844212962962</v>
      </c>
      <c r="D1454" s="1" t="s">
        <v>2908</v>
      </c>
      <c r="E1454" s="4" t="str">
        <f ca="1">IFERROR(__xludf.DUMMYFUNCTION("GOOGLETRANSLATE(A1454 , ""tr"" , ""en"")"),"Yes # 235Apperability cannot be able to be
Because the number of 235 new assignments is not the number of squads that remain empty from the leftovers last year. Has nothing to do with new assignments. Spreading the wrong information directly is not health"&amp;"y.")</f>
        <v>Yes # 235Apperability cannot be able to be
Because the number of 235 new assignments is not the number of squads that remain empty from the leftovers last year. Has nothing to do with new assignments. Spreading the wrong information directly is not healthy.</v>
      </c>
    </row>
    <row r="1455" spans="1:5" ht="15.75" customHeight="1" x14ac:dyDescent="0.25">
      <c r="A1455" s="1" t="s">
        <v>2909</v>
      </c>
      <c r="B1455" s="1">
        <v>5415</v>
      </c>
      <c r="C1455" s="3">
        <v>44239.812905092593</v>
      </c>
      <c r="D1455" s="1" t="s">
        <v>2910</v>
      </c>
      <c r="E1455" s="4" t="str">
        <f ca="1">IFERROR(__xludf.DUMMYFUNCTION("GOOGLETRANSLATE(A1455 , ""tr"" , ""en"")"),"Hope to the Emergency Health care is never needed. However, if it is needed, we have health workers and health infrastructures that are grown as the speed. https://t.co/5k00pdupap")</f>
        <v>Hope to the Emergency Health care is never needed. However, if it is needed, we have health workers and health infrastructures that are grown as the speed. https://t.co/5k00pdupap</v>
      </c>
    </row>
    <row r="1456" spans="1:5" ht="15.75" customHeight="1" x14ac:dyDescent="0.25">
      <c r="A1456" s="1" t="s">
        <v>2911</v>
      </c>
      <c r="B1456" s="1">
        <v>36321</v>
      </c>
      <c r="C1456" s="3">
        <v>44239.713333333333</v>
      </c>
      <c r="D1456" s="1" t="s">
        <v>2912</v>
      </c>
      <c r="E1456" s="4" t="str">
        <f ca="1">IFERROR(__xludf.DUMMYFUNCTION("GOOGLETRANSLATE(A1456 , ""tr"" , ""en"")"),"The death of the scholar is like death. The Life is the Foundation of the Foundation to serve the life of Allah in the way of the Canaat Leader Hafiz Abdullah Revenue 107 years old. May the venue heaven, the spirit of the soul. https://t.co/d725spyhpu")</f>
        <v>The death of the scholar is like death. The Life is the Foundation of the Foundation to serve the life of Allah in the way of the Canaat Leader Hafiz Abdullah Revenue 107 years old. May the venue heaven, the spirit of the soul. https://t.co/d725spyhpu</v>
      </c>
    </row>
    <row r="1457" spans="1:5" ht="15.75" customHeight="1" x14ac:dyDescent="0.25">
      <c r="A1457" s="1" t="s">
        <v>2913</v>
      </c>
      <c r="B1457" s="1">
        <v>23563</v>
      </c>
      <c r="C1457" s="3">
        <v>44239.550810185188</v>
      </c>
      <c r="D1457" s="1" t="s">
        <v>2914</v>
      </c>
      <c r="E1457" s="4" t="str">
        <f ca="1">IFERROR(__xludf.DUMMYFUNCTION("GOOGLETRANSLATE(A1457 , ""tr"" , ""en"")"),"The number of our citizens to be vaccinated so far above 3.5 million. Today, our ages over 65 also plastered the arms.")</f>
        <v>The number of our citizens to be vaccinated so far above 3.5 million. Today, our ages over 65 also plastered the arms.</v>
      </c>
    </row>
    <row r="1458" spans="1:5" ht="15.75" customHeight="1" x14ac:dyDescent="0.25">
      <c r="A1458" s="1" t="s">
        <v>2915</v>
      </c>
      <c r="B1458" s="1">
        <v>13285</v>
      </c>
      <c r="C1458" s="3">
        <v>44239.399675925924</v>
      </c>
      <c r="D1458" s="1" t="s">
        <v>2916</v>
      </c>
      <c r="E1458" s="4" t="str">
        <f ca="1">IFERROR(__xludf.DUMMYFUNCTION("GOOGLETRANSLATE(A1458 , ""tr"" , ""en"")"),"Mr. Kemal Kılıkdaroğlu Thank you very much for the support to our vaccine campaign. All of our citizens will work until vaccinated. https://t.co/min4nc37kl")</f>
        <v>Mr. Kemal Kılıkdaroğlu Thank you very much for the support to our vaccine campaign. All of our citizens will work until vaccinated. https://t.co/min4nc37kl</v>
      </c>
    </row>
    <row r="1459" spans="1:5" ht="15.75" customHeight="1" x14ac:dyDescent="0.25">
      <c r="A1459" s="1" t="s">
        <v>2917</v>
      </c>
      <c r="B1459" s="1">
        <v>10560</v>
      </c>
      <c r="C1459" s="3">
        <v>44238.670902777776</v>
      </c>
      <c r="D1459" s="1" t="s">
        <v>2918</v>
      </c>
      <c r="E1459" s="4" t="str">
        <f ca="1">IFERROR(__xludf.DUMMYFUNCTION("GOOGLETRANSLATE(A1459 , ""tr"" , ""en"")"),"The vaccination of our citizens over 65 the morning tomorrow begins. Our citizens over 65 years of age will be able to vaccinate over 60 years of age. You are asking you to get your appointments from our web page and mobile application. https://t.co/jgfzw"&amp;"j4")</f>
        <v>The vaccination of our citizens over 65 the morning tomorrow begins. Our citizens over 65 years of age will be able to vaccinate over 60 years of age. You are asking you to get your appointments from our web page and mobile application. https://t.co/jgfzwj4</v>
      </c>
    </row>
    <row r="1460" spans="1:5" ht="15.75" customHeight="1" x14ac:dyDescent="0.25">
      <c r="A1460" s="1" t="s">
        <v>2919</v>
      </c>
      <c r="B1460" s="1">
        <v>9943</v>
      </c>
      <c r="C1460" s="3">
        <v>44238.5940162037</v>
      </c>
      <c r="D1460" s="1" t="s">
        <v>2920</v>
      </c>
      <c r="E1460" s="4" t="str">
        <f ca="1">IFERROR(__xludf.DUMMYFUNCTION("GOOGLETRANSLATE(A1460 , ""tr"" , ""en"")"),"Mr. State Bahçeli Beyefendi, I present my gratitude due to the sample posture in our support and vaccine program in our vaccine program. https://t.co/asrmm2krav")</f>
        <v>Mr. State Bahçeli Beyefendi, I present my gratitude due to the sample posture in our support and vaccine program in our vaccine program. https://t.co/asrmm2krav</v>
      </c>
    </row>
    <row r="1461" spans="1:5" ht="15.75" customHeight="1" x14ac:dyDescent="0.25">
      <c r="A1461" s="1" t="s">
        <v>2921</v>
      </c>
      <c r="B1461" s="1">
        <v>21897</v>
      </c>
      <c r="C1461" s="3">
        <v>44238.58357638889</v>
      </c>
      <c r="D1461" s="1" t="s">
        <v>2922</v>
      </c>
      <c r="E1461" s="4" t="str">
        <f ca="1">IFERROR(__xludf.DUMMYFUNCTION("GOOGLETRANSLATE(A1461 , ""tr"" , ""en"")"),"28 days ago In the vaccine campaign that our president has initiated, they were 2nd overdose. We will work until all our citizens are inoculated in their leadership.")</f>
        <v>28 days ago In the vaccine campaign that our president has initiated, they were 2nd overdose. We will work until all our citizens are inoculated in their leadership.</v>
      </c>
    </row>
    <row r="1462" spans="1:5" ht="15.75" customHeight="1" x14ac:dyDescent="0.25">
      <c r="A1462" s="1" t="s">
        <v>2923</v>
      </c>
      <c r="B1462" s="1">
        <v>14689</v>
      </c>
      <c r="C1462" s="3">
        <v>44237.914247685185</v>
      </c>
      <c r="D1462" s="1" t="s">
        <v>2924</v>
      </c>
      <c r="E1462" s="4" t="str">
        <f ca="1">IFERROR(__xludf.DUMMYFUNCTION("GOOGLETRANSLATE(A1462 , ""tr"" , ""en"")"),"In the north of Iraq, I wish our heroes that are entered in the north of terrorists. Sorry for your loss. https://t.co/nisjisiuw8")</f>
        <v>In the north of Iraq, I wish our heroes that are entered in the north of terrorists. Sorry for your loss. https://t.co/nisjisiuw8</v>
      </c>
    </row>
    <row r="1463" spans="1:5" ht="15.75" customHeight="1" x14ac:dyDescent="0.25">
      <c r="A1463" s="1" t="s">
        <v>2925</v>
      </c>
      <c r="B1463" s="1">
        <v>5564</v>
      </c>
      <c r="C1463" s="3">
        <v>44237.893437500003</v>
      </c>
      <c r="D1463" s="1" t="s">
        <v>2926</v>
      </c>
      <c r="E1463" s="4" t="str">
        <f ca="1">IFERROR(__xludf.DUMMYFUNCTION("GOOGLETRANSLATE(A1463 , ""tr"" , ""en"")"),"I have previously expressed the size of our vaccination capacity. We have enough subordinate structures when there is enough vaccine. https://t.co/w4ou5ntinu")</f>
        <v>I have previously expressed the size of our vaccination capacity. We have enough subordinate structures when there is enough vaccine. https://t.co/w4ou5ntinu</v>
      </c>
    </row>
    <row r="1464" spans="1:5" ht="15.75" customHeight="1" x14ac:dyDescent="0.25">
      <c r="A1464" s="1" t="s">
        <v>2927</v>
      </c>
      <c r="B1464" s="1">
        <v>14352</v>
      </c>
      <c r="C1464" s="3">
        <v>44237.881354166668</v>
      </c>
      <c r="D1464" s="1" t="s">
        <v>2928</v>
      </c>
      <c r="E1464" s="4" t="str">
        <f ca="1">IFERROR(__xludf.DUMMYFUNCTION("GOOGLETRANSLATE(A1464 , ""tr"" , ""en"")"),"The following message will work until we get to all our citizens. https://t.co/ynja3wsky")</f>
        <v>The following message will work until we get to all our citizens. https://t.co/ynja3wsky</v>
      </c>
    </row>
    <row r="1465" spans="1:5" ht="15.75" customHeight="1" x14ac:dyDescent="0.25">
      <c r="A1465" s="1" t="s">
        <v>2929</v>
      </c>
      <c r="B1465" s="1">
        <v>3879</v>
      </c>
      <c r="C1465" s="3">
        <v>44237.824513888889</v>
      </c>
      <c r="D1465" s="1" t="s">
        <v>2930</v>
      </c>
      <c r="E1465" s="4" t="str">
        <f ca="1">IFERROR(__xludf.DUMMYFUNCTION("GOOGLETRANSLATE(A1465 , ""tr"" , ""en"")"),"Among the COVID-19 vaccines produced by different countries, we have used our preference in particular inactive vaccines. I explained that in the press conference on which it is low risk and more effective. https://t.co/tfwdaguwxb https://t.co/nxu0bqvftz")</f>
        <v>Among the COVID-19 vaccines produced by different countries, we have used our preference in particular inactive vaccines. I explained that in the press conference on which it is low risk and more effective. https://t.co/tfwdaguwxb https://t.co/nxu0bqvftz</v>
      </c>
    </row>
    <row r="1466" spans="1:5" ht="15.75" customHeight="1" x14ac:dyDescent="0.25">
      <c r="A1466" s="1" t="s">
        <v>2931</v>
      </c>
      <c r="B1466" s="1">
        <v>6915</v>
      </c>
      <c r="C1466" s="3">
        <v>44237.810289351852</v>
      </c>
      <c r="D1466" s="1" t="s">
        <v>2932</v>
      </c>
      <c r="E1466" s="4" t="str">
        <f ca="1">IFERROR(__xludf.DUMMYFUNCTION("GOOGLETRANSLATE(A1466 , ""tr"" , ""en"")"),"Our nationality has no gay for the health and the presence of our nation. https://t.co/ahfnt5hahya")</f>
        <v>Our nationality has no gay for the health and the presence of our nation. https://t.co/ahfnt5hahya</v>
      </c>
    </row>
    <row r="1467" spans="1:5" ht="15.75" customHeight="1" x14ac:dyDescent="0.25">
      <c r="A1467" s="1" t="s">
        <v>2933</v>
      </c>
      <c r="B1467" s="1">
        <v>5216</v>
      </c>
      <c r="C1467" s="3">
        <v>44237.738761574074</v>
      </c>
      <c r="D1467" s="1" t="s">
        <v>2934</v>
      </c>
      <c r="E1467" s="4" t="str">
        <f ca="1">IFERROR(__xludf.DUMMYFUNCTION("GOOGLETRANSLATE(A1467 , ""tr"" , ""en"")"),"We are meticulously addressing the vaccine program for a foreseeable future. https://t.co/ilmfvgfKIO")</f>
        <v>We are meticulously addressing the vaccine program for a foreseeable future. https://t.co/ilmfvgfKIO</v>
      </c>
    </row>
    <row r="1468" spans="1:5" ht="15.75" customHeight="1" x14ac:dyDescent="0.25">
      <c r="A1468" s="1" t="s">
        <v>2935</v>
      </c>
      <c r="B1468" s="1">
        <v>45594</v>
      </c>
      <c r="C1468" s="3">
        <v>44237.719513888886</v>
      </c>
      <c r="D1468" s="1" t="s">
        <v>2936</v>
      </c>
      <c r="E1468" s="4" t="str">
        <f ca="1">IFERROR(__xludf.DUMMYFUNCTION("GOOGLETRANSLATE(A1468 , ""tr"" , ""en"")"),"I've been the second overdose of the day 28th. https://t.co/hruıks5tpz")</f>
        <v>I've been the second overdose of the day 28th. https://t.co/hruıks5tpz</v>
      </c>
    </row>
    <row r="1469" spans="1:5" ht="15.75" customHeight="1" x14ac:dyDescent="0.25">
      <c r="A1469" s="1" t="s">
        <v>2937</v>
      </c>
      <c r="B1469" s="1">
        <v>7465</v>
      </c>
      <c r="C1469" s="3">
        <v>44237.692847222221</v>
      </c>
      <c r="D1469" s="1" t="s">
        <v>2938</v>
      </c>
      <c r="E1469" s="4" t="str">
        <f ca="1">IFERROR(__xludf.DUMMYFUNCTION("GOOGLETRANSLATE(A1469 , ""tr"" , ""en"")"),"After our Science Board meeting, our press statement on the latest developments on the coronavirus.
📍 The Ministry of Health
https://t.co/amew1rhmbc")</f>
        <v>After our Science Board meeting, our press statement on the latest developments on the coronavirus.
📍 The Ministry of Health
https://t.co/amew1rhmbc</v>
      </c>
    </row>
    <row r="1470" spans="1:5" ht="15.75" customHeight="1" x14ac:dyDescent="0.25">
      <c r="A1470" s="1" t="s">
        <v>2939</v>
      </c>
      <c r="B1470" s="1">
        <v>10308</v>
      </c>
      <c r="C1470" s="3">
        <v>44236.636597222219</v>
      </c>
      <c r="D1470" s="1" t="s">
        <v>2940</v>
      </c>
      <c r="E1470" s="4" t="str">
        <f ca="1">IFERROR(__xludf.DUMMYFUNCTION("GOOGLETRANSLATE(A1470 , ""tr"" , ""en"")"),"Today is February 9th World Cigarette Day. Today you can also make a healthy decision for your future. To be able to attract your loved ones to your lungs for many years ... https://t.co/h9cvk8j0se")</f>
        <v>Today is February 9th World Cigarette Day. Today you can also make a healthy decision for your future. To be able to attract your loved ones to your lungs for many years ... https://t.co/h9cvk8j0se</v>
      </c>
    </row>
    <row r="1471" spans="1:5" ht="15.75" customHeight="1" x14ac:dyDescent="0.25">
      <c r="A1471" s="1" t="s">
        <v>2941</v>
      </c>
      <c r="B1471" s="1">
        <v>10410</v>
      </c>
      <c r="C1471" s="3">
        <v>44236.457488425927</v>
      </c>
      <c r="D1471" s="1" t="s">
        <v>2942</v>
      </c>
      <c r="E1471" s="4" t="str">
        <f ca="1">IFERROR(__xludf.DUMMYFUNCTION("GOOGLETRANSLATE(A1471 , ""tr"" , ""en"")"),"Our greatest bay to overcome the mountains, past the mountains to give health care. Our health workers are all over the place without saying hard. https://t.co/pdkwj4udld")</f>
        <v>Our greatest bay to overcome the mountains, past the mountains to give health care. Our health workers are all over the place without saying hard. https://t.co/pdkwj4udld</v>
      </c>
    </row>
    <row r="1472" spans="1:5" ht="15.75" customHeight="1" x14ac:dyDescent="0.25">
      <c r="A1472" s="1" t="s">
        <v>2943</v>
      </c>
      <c r="B1472" s="1">
        <v>6356</v>
      </c>
      <c r="C1472" s="3">
        <v>44235.66847222222</v>
      </c>
      <c r="D1472" s="1" t="s">
        <v>2944</v>
      </c>
      <c r="E1472" s="4" t="str">
        <f ca="1">IFERROR(__xludf.DUMMYFUNCTION("GOOGLETRANSLATE(A1472 , ""tr"" , ""en"")"),"Today Italy's Ankara Ambassador SN. We've accommodated the Massimo Gaiani. We addressed our work union on the global epidemic. The cooperation will continue in the epidemic management of two countries. We evaluated the ""Global Health Summit"" plans to be"&amp;" held in Italy's G20 period. https://t.co/IBGMIHOJO9")</f>
        <v>Today Italy's Ankara Ambassador SN. We've accommodated the Massimo Gaiani. We addressed our work union on the global epidemic. The cooperation will continue in the epidemic management of two countries. We evaluated the "Global Health Summit" plans to be held in Italy's G20 period. https://t.co/IBGMIHOJO9</v>
      </c>
    </row>
    <row r="1473" spans="1:5" ht="15.75" customHeight="1" x14ac:dyDescent="0.25">
      <c r="A1473" s="1" t="s">
        <v>2945</v>
      </c>
      <c r="B1473" s="1">
        <v>8651</v>
      </c>
      <c r="C1473" s="3">
        <v>44235.659513888888</v>
      </c>
      <c r="D1473" s="1" t="s">
        <v>2946</v>
      </c>
      <c r="E1473" s="4" t="str">
        <f ca="1">IFERROR(__xludf.DUMMYFUNCTION("GOOGLETRANSLATE(A1473 , ""tr"" , ""en"")"),"Today Hungary Foreign Affairs and Foreign Trade Minister SN. We've accommodated Peter Szijjarto. Minister Bey they thanked the support and cooperation during the global epidemic. Our work union with Hungary will continue. https://t.co/Ihgmiztrn5")</f>
        <v>Today Hungary Foreign Affairs and Foreign Trade Minister SN. We've accommodated Peter Szijjarto. Minister Bey they thanked the support and cooperation during the global epidemic. Our work union with Hungary will continue. https://t.co/Ihgmiztrn5</v>
      </c>
    </row>
    <row r="1474" spans="1:5" ht="15.75" customHeight="1" x14ac:dyDescent="0.25">
      <c r="A1474" s="1" t="s">
        <v>2947</v>
      </c>
      <c r="B1474" s="1">
        <v>22796</v>
      </c>
      <c r="C1474" s="3">
        <v>44233.789398148147</v>
      </c>
      <c r="D1474" s="1" t="s">
        <v>2948</v>
      </c>
      <c r="E1474" s="4" t="str">
        <f ca="1">IFERROR(__xludf.DUMMYFUNCTION("GOOGLETRANSLATE(A1474 , ""tr"" , ""en"")"),"The state of the state in the prayer of the elders. https://t.co/s2uvulejtn")</f>
        <v>The state of the state in the prayer of the elders. https://t.co/s2uvulejtn</v>
      </c>
    </row>
    <row r="1475" spans="1:5" ht="15.75" customHeight="1" x14ac:dyDescent="0.25">
      <c r="A1475" s="1" t="s">
        <v>2949</v>
      </c>
      <c r="B1475" s="1">
        <v>73156</v>
      </c>
      <c r="C1475" s="3">
        <v>44232.896921296298</v>
      </c>
      <c r="D1475" s="1" t="s">
        <v>2950</v>
      </c>
      <c r="E1475" s="4" t="str">
        <f ca="1">IFERROR(__xludf.DUMMYFUNCTION("GOOGLETRANSLATE(A1475 , ""tr"" , ""en"")"),"For the Union and Draw, we are in Erdoğaunan to be the voice of the oppressions to serve our nation")</f>
        <v>For the Union and Draw, we are in Erdoğaunan to be the voice of the oppressions to serve our nation</v>
      </c>
    </row>
    <row r="1476" spans="1:5" ht="15.75" customHeight="1" x14ac:dyDescent="0.25">
      <c r="A1476" s="1" t="s">
        <v>2951</v>
      </c>
      <c r="B1476" s="1">
        <v>0</v>
      </c>
      <c r="C1476" s="3">
        <v>44232.401493055557</v>
      </c>
      <c r="D1476" s="1" t="s">
        <v>2952</v>
      </c>
      <c r="E1476" s="4" t="str">
        <f ca="1">IFERROR(__xludf.DUMMYFUNCTION("GOOGLETRANSLATE(A1476 , ""tr"" , ""en"")"),"Rt @drfahrettinkoca: ""The state is like a breath of breath in cioon."" We are in the service of our nation. https://t.co/wvIaqrct7v")</f>
        <v>Rt @drfahrettinkoca: "The state is like a breath of breath in cioon." We are in the service of our nation. https://t.co/wvIaqrct7v</v>
      </c>
    </row>
    <row r="1477" spans="1:5" ht="15.75" customHeight="1" x14ac:dyDescent="0.25">
      <c r="A1477" s="1" t="s">
        <v>2953</v>
      </c>
      <c r="B1477" s="1">
        <v>11200</v>
      </c>
      <c r="C1477" s="3">
        <v>44231.750451388885</v>
      </c>
      <c r="D1477" s="1" t="s">
        <v>2954</v>
      </c>
      <c r="E1477" s="4" t="str">
        <f ca="1">IFERROR(__xludf.DUMMYFUNCTION("GOOGLETRANSLATE(A1477 , ""tr"" , ""en"")"),"""The state is like a breath of breath in cioon."" We are in the service of our nation. https://t.co/wvIaqrct7v")</f>
        <v>"The state is like a breath of breath in cioon." We are in the service of our nation. https://t.co/wvIaqrct7v</v>
      </c>
    </row>
    <row r="1478" spans="1:5" ht="15.75" customHeight="1" x14ac:dyDescent="0.25">
      <c r="A1478" s="1" t="s">
        <v>2955</v>
      </c>
      <c r="B1478" s="1">
        <v>8806</v>
      </c>
      <c r="C1478" s="3">
        <v>44231.744722222225</v>
      </c>
      <c r="D1478" s="1" t="s">
        <v>2956</v>
      </c>
      <c r="E1478" s="4" t="str">
        <f ca="1">IFERROR(__xludf.DUMMYFUNCTION("GOOGLETRANSLATE(A1478 , ""tr"" , ""en"")"),"Although the central of our struggle is the coronavirus epidemic, all diseases are continuing. Cancer continues to take our loved ones. Early diagnosis saves life in the fight against cancer. https://t.co/mez8hi4dhq")</f>
        <v>Although the central of our struggle is the coronavirus epidemic, all diseases are continuing. Cancer continues to take our loved ones. Early diagnosis saves life in the fight against cancer. https://t.co/mez8hi4dhq</v>
      </c>
    </row>
    <row r="1479" spans="1:5" ht="15.75" customHeight="1" x14ac:dyDescent="0.25">
      <c r="A1479" s="1" t="s">
        <v>2957</v>
      </c>
      <c r="B1479" s="1">
        <v>19474</v>
      </c>
      <c r="C1479" s="3">
        <v>44231.660694444443</v>
      </c>
      <c r="D1479" s="1" t="s">
        <v>2958</v>
      </c>
      <c r="E1479" s="4" t="str">
        <f ca="1">IFERROR(__xludf.DUMMYFUNCTION("GOOGLETRANSLATE(A1479 , ""tr"" , ""en"")"),"Ayla Kırs, İzmir's Seferihisar County, our nurse. In order to interfere with the patient who cannot leave his home due to the flood disaster, he reached the patient and reached the patient and made the necessary intervention. We are in the service of our "&amp;"nation under all conditions. https://t.co/bnwgwjvotp")</f>
        <v>Ayla Kırs, İzmir's Seferihisar County, our nurse. In order to interfere with the patient who cannot leave his home due to the flood disaster, he reached the patient and reached the patient and made the necessary intervention. We are in the service of our nation under all conditions. https://t.co/bnwgwjvotp</v>
      </c>
    </row>
    <row r="1480" spans="1:5" ht="15.75" customHeight="1" x14ac:dyDescent="0.25">
      <c r="A1480" s="1" t="s">
        <v>2959</v>
      </c>
      <c r="B1480" s="1">
        <v>13086</v>
      </c>
      <c r="C1480" s="3">
        <v>44231.652083333334</v>
      </c>
      <c r="D1480" s="1" t="s">
        <v>2960</v>
      </c>
      <c r="E1480" s="4" t="str">
        <f ca="1">IFERROR(__xludf.DUMMYFUNCTION("GOOGLETRANSLATE(A1480 , ""tr"" , ""en"")"),"While the homeland of the homeland has been martyred in Elbab, we were married to Süleyman Demirel, and I wish our nation to our nation. https://t.co/lcb6axyy2p")</f>
        <v>While the homeland of the homeland has been martyred in Elbab, we were married to Süleyman Demirel, and I wish our nation to our nation. https://t.co/lcb6axyy2p</v>
      </c>
    </row>
    <row r="1481" spans="1:5" ht="15.75" customHeight="1" x14ac:dyDescent="0.25">
      <c r="A1481" s="1" t="s">
        <v>2961</v>
      </c>
      <c r="B1481" s="1">
        <v>40826</v>
      </c>
      <c r="C1481" s="3">
        <v>44230.770127314812</v>
      </c>
      <c r="D1481" s="1" t="s">
        <v>2962</v>
      </c>
      <c r="E1481" s="4" t="str">
        <f ca="1">IFERROR(__xludf.DUMMYFUNCTION("GOOGLETRANSLATE(A1481 , ""tr"" , ""en"")"),"The number of cases requires us to treat more carefully to increase. Let's stay away from all kinds of environments that will increase mobility, come together, gather together. Let's avoid closed and crowded places.")</f>
        <v>The number of cases requires us to treat more carefully to increase. Let's stay away from all kinds of environments that will increase mobility, come together, gather together. Let's avoid closed and crowded places.</v>
      </c>
    </row>
    <row r="1482" spans="1:5" ht="15.75" customHeight="1" x14ac:dyDescent="0.25">
      <c r="A1482" s="1" t="s">
        <v>2963</v>
      </c>
      <c r="B1482" s="1">
        <v>26976</v>
      </c>
      <c r="C1482" s="3">
        <v>44230.765648148146</v>
      </c>
      <c r="D1482" s="1" t="s">
        <v>2964</v>
      </c>
      <c r="E1482" s="4" t="str">
        <f ca="1">IFERROR(__xludf.DUMMYFUNCTION("GOOGLETRANSLATE(A1482 , ""tr"" , ""en"")"),"Risky mutations are spreading from limit recognition. England mutation in our country was 196 Two South Africa has been encountered in a Brazilian Varion. We will continue to struggle without compromising measures these days when the new mutations are see"&amp;"n and the cases are reassigned.")</f>
        <v>Risky mutations are spreading from limit recognition. England mutation in our country was 196 Two South Africa has been encountered in a Brazilian Varion. We will continue to struggle without compromising measures these days when the new mutations are seen and the cases are reassigned.</v>
      </c>
    </row>
    <row r="1483" spans="1:5" ht="15.75" customHeight="1" x14ac:dyDescent="0.25">
      <c r="A1483" s="1" t="s">
        <v>2965</v>
      </c>
      <c r="B1483" s="1">
        <v>8154</v>
      </c>
      <c r="C1483" s="3">
        <v>44230.742835648147</v>
      </c>
      <c r="D1483" s="1" t="s">
        <v>2966</v>
      </c>
      <c r="E1483" s="4" t="str">
        <f ca="1">IFERROR(__xludf.DUMMYFUNCTION("GOOGLETRANSLATE(A1483 , ""tr"" , ""en"")"),"Our Science Board reviewed the weekly meeting today and review the course of the disease. The issues to be considered against the reatrow trend of mutations and cases were on the agenda. https://t.co/rvvrsrwanl")</f>
        <v>Our Science Board reviewed the weekly meeting today and review the course of the disease. The issues to be considered against the reatrow trend of mutations and cases were on the agenda. https://t.co/rvvrsrwanl</v>
      </c>
    </row>
    <row r="1484" spans="1:5" ht="15.75" customHeight="1" x14ac:dyDescent="0.25">
      <c r="A1484" s="1" t="s">
        <v>2967</v>
      </c>
      <c r="B1484" s="1">
        <v>15373</v>
      </c>
      <c r="C1484" s="3">
        <v>44228.909629629627</v>
      </c>
      <c r="D1484" s="1" t="s">
        <v>2968</v>
      </c>
      <c r="E1484" s="4" t="str">
        <f ca="1">IFERROR(__xludf.DUMMYFUNCTION("GOOGLETRANSLATE(A1484 , ""tr"" , ""en"")"),"Umke volunteering has ran our daughter Edanur, friends with Gökhan and Mehmet a mother to a mother who is born in the public bus. Umke Health Worker is a tremendous team of our volunteers. In the earthquake, fire, in the epidemic, each place at birth.
Um"&amp;"ke
""Hope volunteers"" https://t.co/lujog05awp")</f>
        <v>Umke volunteering has ran our daughter Edanur, friends with Gökhan and Mehmet a mother to a mother who is born in the public bus. Umke Health Worker is a tremendous team of our volunteers. In the earthquake, fire, in the epidemic, each place at birth.
Umke
"Hope volunteers" https://t.co/lujog05awp</v>
      </c>
    </row>
    <row r="1485" spans="1:5" ht="15.75" customHeight="1" x14ac:dyDescent="0.25">
      <c r="A1485" s="1" t="s">
        <v>2969</v>
      </c>
      <c r="B1485" s="1">
        <v>22244</v>
      </c>
      <c r="C1485" s="3">
        <v>44228.770578703705</v>
      </c>
      <c r="D1485" s="1" t="s">
        <v>2970</v>
      </c>
      <c r="E1485" s="4" t="str">
        <f ca="1">IFERROR(__xludf.DUMMYFUNCTION("GOOGLETRANSLATE(A1485 , ""tr"" , ""en"")"),"""Live the person that the state is thumbs up.""
Sheikh Liferel https://t.co/qasr0pohpq")</f>
        <v>"Live the person that the state is thumbs up."
Sheikh Liferel https://t.co/qasr0pohpq</v>
      </c>
    </row>
    <row r="1486" spans="1:5" ht="15.75" customHeight="1" x14ac:dyDescent="0.25">
      <c r="A1486" s="1" t="s">
        <v>2971</v>
      </c>
      <c r="B1486" s="1">
        <v>0</v>
      </c>
      <c r="C1486" s="3">
        <v>44228.692789351851</v>
      </c>
      <c r="D1486" s="1" t="s">
        <v>2972</v>
      </c>
      <c r="E1486" s="4" t="str">
        <f ca="1">IFERROR(__xludf.DUMMYFUNCTION("GOOGLETRANSLATE(A1486 , ""tr"" , ""en"")"),"RT @rterdogan: Recommend the nation after cabinet meeting https://t.co/whnrzcgthr")</f>
        <v>RT @rterdogan: Recommend the nation after cabinet meeting https://t.co/whnrzcgthr</v>
      </c>
    </row>
    <row r="1487" spans="1:5" ht="15.75" customHeight="1" x14ac:dyDescent="0.25">
      <c r="A1487" s="1" t="s">
        <v>2973</v>
      </c>
      <c r="B1487" s="1">
        <v>31036</v>
      </c>
      <c r="C1487" s="3">
        <v>44226.582025462965</v>
      </c>
      <c r="D1487" s="1" t="s">
        <v>2974</v>
      </c>
      <c r="E1487" s="4" t="str">
        <f ca="1">IFERROR(__xludf.DUMMYFUNCTION("GOOGLETRANSLATE(A1487 , ""tr"" , ""en"")"),"We have the state. https://t.co/7s6TQFI0KL")</f>
        <v>We have the state. https://t.co/7s6TQFI0KL</v>
      </c>
    </row>
    <row r="1488" spans="1:5" ht="15.75" customHeight="1" x14ac:dyDescent="0.25">
      <c r="A1488" s="1" t="s">
        <v>2975</v>
      </c>
      <c r="B1488" s="1">
        <v>18378</v>
      </c>
      <c r="C1488" s="3">
        <v>44225.729583333334</v>
      </c>
      <c r="D1488" s="1" t="s">
        <v>2976</v>
      </c>
      <c r="E1488" s="4" t="str">
        <f ca="1">IFERROR(__xludf.DUMMYFUNCTION("GOOGLETRANSLATE(A1488 , ""tr"" , ""en"")"),"We have to check the number of cases. When we have the control, we should move to the cautious and stay away from the crowded environments.")</f>
        <v>We have to check the number of cases. When we have the control, we should move to the cautious and stay away from the crowded environments.</v>
      </c>
    </row>
    <row r="1489" spans="1:5" ht="15.75" customHeight="1" x14ac:dyDescent="0.25">
      <c r="A1489" s="1" t="s">
        <v>2977</v>
      </c>
      <c r="B1489" s="1">
        <v>15322</v>
      </c>
      <c r="C1489" s="3">
        <v>44225.725624999999</v>
      </c>
      <c r="D1489" s="1" t="s">
        <v>2978</v>
      </c>
      <c r="E1489" s="4" t="str">
        <f ca="1">IFERROR(__xludf.DUMMYFUNCTION("GOOGLETRANSLATE(A1489 , ""tr"" , ""en"")"),"The fact that the virus is mutated does not affect vaccination studies for now. However, new mutations may also force vaccination studies. Our biggest weapon is still complying with the mask and distance rule.")</f>
        <v>The fact that the virus is mutated does not affect vaccination studies for now. However, new mutations may also force vaccination studies. Our biggest weapon is still complying with the mask and distance rule.</v>
      </c>
    </row>
    <row r="1490" spans="1:5" ht="15.75" customHeight="1" x14ac:dyDescent="0.25">
      <c r="A1490" s="1" t="s">
        <v>2979</v>
      </c>
      <c r="B1490" s="1">
        <v>28646</v>
      </c>
      <c r="C1490" s="3">
        <v>44225.722013888888</v>
      </c>
      <c r="D1490" s="1" t="s">
        <v>2980</v>
      </c>
      <c r="E1490" s="4" t="str">
        <f ca="1">IFERROR(__xludf.DUMMYFUNCTION("GOOGLETRANSLATE(A1490 , ""tr"" , ""en"")"),"We have to be careful to the threat of mutation. One of the factors behind the case increases in Europe is the mutated variant of the virus. The number of citizens identified in our country increased to 128. In our 17th city, the British variant was seen.")</f>
        <v>We have to be careful to the threat of mutation. One of the factors behind the case increases in Europe is the mutated variant of the virus. The number of citizens identified in our country increased to 128. In our 17th city, the British variant was seen.</v>
      </c>
    </row>
    <row r="1491" spans="1:5" ht="15.75" customHeight="1" x14ac:dyDescent="0.25">
      <c r="A1491" s="1" t="s">
        <v>2981</v>
      </c>
      <c r="B1491" s="1">
        <v>8959</v>
      </c>
      <c r="C1491" s="3">
        <v>44225.71607638889</v>
      </c>
      <c r="D1491" s="1" t="s">
        <v>2982</v>
      </c>
      <c r="E1491" s="4" t="str">
        <f ca="1">IFERROR(__xludf.DUMMYFUNCTION("GOOGLETRANSLATE(A1491 , ""tr"" , ""en"")"),"Construction Completed 620 Beds Istanbul Seyrantepe Reviewed preparations in our hospital. A new service area is added to our strong health lower structure. Seyrantepe Our hospital will start the patient acceptance in March. The works will be on our natio"&amp;"n will continue. https://t.co/x3jyj5nd7r")</f>
        <v>Construction Completed 620 Beds Istanbul Seyrantepe Reviewed preparations in our hospital. A new service area is added to our strong health lower structure. Seyrantepe Our hospital will start the patient acceptance in March. The works will be on our nation will continue. https://t.co/x3jyj5nd7r</v>
      </c>
    </row>
    <row r="1492" spans="1:5" ht="15.75" customHeight="1" x14ac:dyDescent="0.25">
      <c r="A1492" s="1" t="s">
        <v>2983</v>
      </c>
      <c r="B1492" s="1">
        <v>20317</v>
      </c>
      <c r="C1492" s="3">
        <v>44224.885578703703</v>
      </c>
      <c r="D1492" s="1" t="s">
        <v>2984</v>
      </c>
      <c r="E1492" s="4" t="str">
        <f ca="1">IFERROR(__xludf.DUMMYFUNCTION("GOOGLETRANSLATE(A1492 , ""tr"" , ""en"")"),"The first part of the 1st million dose of inactive vaccines, the first part of the delivery of the previous weekend has reached our hand. As of this morning the second part will have reached our country. In accordance with the supply program, the vaccine "&amp;"shipment will continue.")</f>
        <v>The first part of the 1st million dose of inactive vaccines, the first part of the delivery of the previous weekend has reached our hand. As of this morning the second part will have reached our country. In accordance with the supply program, the vaccine shipment will continue.</v>
      </c>
    </row>
    <row r="1493" spans="1:5" ht="15.75" customHeight="1" x14ac:dyDescent="0.25">
      <c r="A1493" s="1" t="s">
        <v>2985</v>
      </c>
      <c r="B1493" s="1">
        <v>21501</v>
      </c>
      <c r="C1493" s="3">
        <v>44224.747349537036</v>
      </c>
      <c r="D1493" s="1" t="s">
        <v>2986</v>
      </c>
      <c r="E1493" s="4" t="str">
        <f ca="1">IFERROR(__xludf.DUMMYFUNCTION("GOOGLETRANSLATE(A1493 , ""tr"" , ""en"")"),"The number of cases identified today is 7,279 people. We cannot ignore the severity of the situation. In terms of the salaries of the vaccine program, we must comply with the measures and restrictions. We should not risk the control we get with great labo"&amp;"r and trouble.")</f>
        <v>The number of cases identified today is 7,279 people. We cannot ignore the severity of the situation. In terms of the salaries of the vaccine program, we must comply with the measures and restrictions. We should not risk the control we get with great labor and trouble.</v>
      </c>
    </row>
    <row r="1494" spans="1:5" ht="15.75" customHeight="1" x14ac:dyDescent="0.25">
      <c r="A1494" s="1" t="s">
        <v>2987</v>
      </c>
      <c r="B1494" s="1">
        <v>20917</v>
      </c>
      <c r="C1494" s="3">
        <v>44223.828796296293</v>
      </c>
      <c r="D1494" s="1" t="s">
        <v>2988</v>
      </c>
      <c r="E1494" s="4" t="str">
        <f ca="1">IFERROR(__xludf.DUMMYFUNCTION("GOOGLETRANSLATE(A1494 , ""tr"" , ""en"")"),"The weapons of our health army were prepared. They are now more sheltered in the superior struggle they entered. We have completed the first step of our vaccine program by vaccinating health workers.")</f>
        <v>The weapons of our health army were prepared. They are now more sheltered in the superior struggle they entered. We have completed the first step of our vaccine program by vaccinating health workers.</v>
      </c>
    </row>
    <row r="1495" spans="1:5" ht="15.75" customHeight="1" x14ac:dyDescent="0.25">
      <c r="A1495" s="1" t="s">
        <v>2989</v>
      </c>
      <c r="B1495" s="1">
        <v>14314</v>
      </c>
      <c r="C1495" s="3">
        <v>44223.776261574072</v>
      </c>
      <c r="D1495" s="1" t="s">
        <v>2990</v>
      </c>
      <c r="E1495" s="4" t="str">
        <f ca="1">IFERROR(__xludf.DUMMYFUNCTION("GOOGLETRANSLATE(A1495 , ""tr"" , ""en"")"),"We should not remove the epidemic of the world from a person to all over the world. During the epidemic we gave a challenging struggle and our entire nation was very tired. This is the middle of which we are very close to receiving their pay.")</f>
        <v>We should not remove the epidemic of the world from a person to all over the world. During the epidemic we gave a challenging struggle and our entire nation was very tired. This is the middle of which we are very close to receiving their pay.</v>
      </c>
    </row>
    <row r="1496" spans="1:5" ht="15.75" customHeight="1" x14ac:dyDescent="0.25">
      <c r="A1496" s="1" t="s">
        <v>2991</v>
      </c>
      <c r="B1496" s="1">
        <v>25676</v>
      </c>
      <c r="C1496" s="3">
        <v>44223.775914351849</v>
      </c>
      <c r="D1496" s="1" t="s">
        <v>2992</v>
      </c>
      <c r="E1496" s="4" t="str">
        <f ca="1">IFERROR(__xludf.DUMMYFUNCTION("GOOGLETRANSLATE(A1496 , ""tr"" , ""en"")"),"With the proposal of our Science Board, our 75 years of age will be vaccine by making an appointment. We can better protect our elders.")</f>
        <v>With the proposal of our Science Board, our 75 years of age will be vaccine by making an appointment. We can better protect our elders.</v>
      </c>
    </row>
    <row r="1497" spans="1:5" ht="15.75" customHeight="1" x14ac:dyDescent="0.25">
      <c r="A1497" s="1" t="s">
        <v>2993</v>
      </c>
      <c r="B1497" s="1">
        <v>8178</v>
      </c>
      <c r="C1497" s="3">
        <v>44223.770335648151</v>
      </c>
      <c r="D1497" s="1" t="s">
        <v>2994</v>
      </c>
      <c r="E1497" s="4" t="str">
        <f ca="1">IFERROR(__xludf.DUMMYFUNCTION("GOOGLETRANSLATE(A1497 , ""tr"" , ""en"")"),"In our science board, we have evaluated the status of the vaccine program and the priority groups. The effect of the mutation to the course of the outbreak and the epidemic of the epidemic was on our agenda. https://t.co/vqj0qk0d2u")</f>
        <v>In our science board, we have evaluated the status of the vaccine program and the priority groups. The effect of the mutation to the course of the outbreak and the epidemic of the epidemic was on our agenda. https://t.co/vqj0qk0d2u</v>
      </c>
    </row>
    <row r="1498" spans="1:5" ht="15.75" customHeight="1" x14ac:dyDescent="0.25">
      <c r="A1498" s="1" t="s">
        <v>2995</v>
      </c>
      <c r="B1498" s="1">
        <v>20353</v>
      </c>
      <c r="C1498" s="3">
        <v>44222.680196759262</v>
      </c>
      <c r="D1498" s="1" t="s">
        <v>2996</v>
      </c>
      <c r="E1498" s="4" t="str">
        <f ca="1">IFERROR(__xludf.DUMMYFUNCTION("GOOGLETRANSLATE(A1498 , ""tr"" , ""en"")"),"We have significantly lowered the number of cases with compliance with measures and restrictions. However, the case numbers between 5,000-7,000 in the last days are still uneasyed. In the enclosed environments, we must remain away from the crowd, care for"&amp;" the mask and distance rules. https://t.co/rvlhe7786o")</f>
        <v>We have significantly lowered the number of cases with compliance with measures and restrictions. However, the case numbers between 5,000-7,000 in the last days are still uneasyed. In the enclosed environments, we must remain away from the crowd, care for the mask and distance rules. https://t.co/rvlhe7786o</v>
      </c>
    </row>
    <row r="1499" spans="1:5" ht="15.75" customHeight="1" x14ac:dyDescent="0.25">
      <c r="A1499" s="1" t="s">
        <v>2997</v>
      </c>
      <c r="B1499" s="1">
        <v>12667</v>
      </c>
      <c r="C1499" s="3">
        <v>44221.902303240742</v>
      </c>
      <c r="D1499" s="1" t="s">
        <v>2998</v>
      </c>
      <c r="E1499" s="4" t="str">
        <f ca="1">IFERROR(__xludf.DUMMYFUNCTION("GOOGLETRANSLATE(A1499 , ""tr"" , ""en"")"),"Our highest motivation of our patient healing as a result of the labor and dedication they give. Your health that makes us happy. We will continue to work until we are recovering our last patient as health workers. https://t.co/bfokc447c0")</f>
        <v>Our highest motivation of our patient healing as a result of the labor and dedication they give. Your health that makes us happy. We will continue to work until we are recovering our last patient as health workers. https://t.co/bfokc447c0</v>
      </c>
    </row>
    <row r="1500" spans="1:5" ht="15.75" customHeight="1" x14ac:dyDescent="0.25">
      <c r="A1500" s="1" t="s">
        <v>2999</v>
      </c>
      <c r="B1500" s="1">
        <v>13106</v>
      </c>
      <c r="C1500" s="3">
        <v>44221.860462962963</v>
      </c>
      <c r="D1500" s="1" t="s">
        <v>3000</v>
      </c>
      <c r="E1500" s="4" t="str">
        <f ca="1">IFERROR(__xludf.DUMMYFUNCTION("GOOGLETRANSLATE(A1500 , ""tr"" , ""en"")"),"In the president of our President, today, a year ago, new houses were delivered for the earthquake who lost their homes in the earthquake. Azize Hanım, who recovered by the wreckers Umke teams, he gained his home. https://t.co/olzuvoea3a")</f>
        <v>In the president of our President, today, a year ago, new houses were delivered for the earthquake who lost their homes in the earthquake. Azize Hanım, who recovered by the wreckers Umke teams, he gained his home. https://t.co/olzuvoea3a</v>
      </c>
    </row>
    <row r="1501" spans="1:5" ht="15.75" customHeight="1" x14ac:dyDescent="0.25">
      <c r="A1501" s="1" t="s">
        <v>3001</v>
      </c>
      <c r="B1501" s="1">
        <v>0</v>
      </c>
      <c r="C1501" s="3">
        <v>44221.549826388888</v>
      </c>
      <c r="D1501" s="1" t="s">
        <v>3002</v>
      </c>
      <c r="E1501" s="4" t="str">
        <f ca="1">IFERROR(__xludf.DUMMYFUNCTION("GOOGLETRANSLATE(A1501 , ""tr"" , ""en"")"),"RT @rterdogan: We are with our citizens in Elâzak. https://t.co/OXIQ3Z7XQA")</f>
        <v>RT @rterdogan: We are with our citizens in Elâzak. https://t.co/OXIQ3Z7XQA</v>
      </c>
    </row>
    <row r="1502" spans="1:5" ht="15.75" customHeight="1" x14ac:dyDescent="0.25">
      <c r="A1502" s="1" t="s">
        <v>3003</v>
      </c>
      <c r="B1502" s="1">
        <v>21909</v>
      </c>
      <c r="C1502" s="3">
        <v>44221.38894675926</v>
      </c>
      <c r="D1502" s="1" t="s">
        <v>3004</v>
      </c>
      <c r="E1502" s="4" t="str">
        <f ca="1">IFERROR(__xludf.DUMMYFUNCTION("GOOGLETRANSLATE(A1502 , ""tr"" , ""en"")"),"As of the Program prepared with the proposal of our Science Board, we start the vaccination of our citizens over 80 years of age. Our citizens over 80 will be vaccinated in our health institutions.")</f>
        <v>As of the Program prepared with the proposal of our Science Board, we start the vaccination of our citizens over 80 years of age. Our citizens over 80 will be vaccinated in our health institutions.</v>
      </c>
    </row>
    <row r="1503" spans="1:5" ht="15.75" customHeight="1" x14ac:dyDescent="0.25">
      <c r="A1503" s="1" t="s">
        <v>3005</v>
      </c>
      <c r="B1503" s="1">
        <v>10344</v>
      </c>
      <c r="C1503" s="3">
        <v>44221.368159722224</v>
      </c>
      <c r="D1503" s="1" t="s">
        <v>3006</v>
      </c>
      <c r="E1503" s="4" t="str">
        <f ca="1">IFERROR(__xludf.DUMMYFUNCTION("GOOGLETRANSLATE(A1503 , ""tr"" , ""en"")"),"All of the vaccine program in Turkey can now track the development of the program. We will be able to share more information as the program progresses. https://t.co/OSI4YY9HYR")</f>
        <v>All of the vaccine program in Turkey can now track the development of the program. We will be able to share more information as the program progresses. https://t.co/OSI4YY9HYR</v>
      </c>
    </row>
    <row r="1504" spans="1:5" ht="15.75" customHeight="1" x14ac:dyDescent="0.25">
      <c r="A1504" s="1" t="s">
        <v>3007</v>
      </c>
      <c r="B1504" s="1">
        <v>11156</v>
      </c>
      <c r="C1504" s="3">
        <v>44220.497060185182</v>
      </c>
      <c r="D1504" s="1" t="s">
        <v>3008</v>
      </c>
      <c r="E1504" s="4" t="str">
        <f ca="1">IFERROR(__xludf.DUMMYFUNCTION("GOOGLETRANSLATE(A1504 , ""tr"" , ""en"")"),"We were there with the earthquake disaster in Elazig a full year ago. May God experience such disasters to this Saint Nation. https://t.co/h7gf3a1y7x")</f>
        <v>We were there with the earthquake disaster in Elazig a full year ago. May God experience such disasters to this Saint Nation. https://t.co/h7gf3a1y7x</v>
      </c>
    </row>
    <row r="1505" spans="1:5" ht="15.75" customHeight="1" x14ac:dyDescent="0.25">
      <c r="A1505" s="1" t="s">
        <v>3009</v>
      </c>
      <c r="B1505" s="1">
        <v>20509</v>
      </c>
      <c r="C1505" s="3">
        <v>44220.468761574077</v>
      </c>
      <c r="D1505" s="1" t="s">
        <v>3010</v>
      </c>
      <c r="E1505" s="4" t="str">
        <f ca="1">IFERROR(__xludf.DUMMYFUNCTION("GOOGLETRANSLATE(A1505 , ""tr"" , ""en"")"),"He was slaughtered with a valentine who has made his profession with the love of homeland, and a valiant that has been a ferd of this nation. I remember Gaffar Okkan for the 20th year acres of death and gratefully. https://t.co/da20cl7jc9")</f>
        <v>He was slaughtered with a valentine who has made his profession with the love of homeland, and a valiant that has been a ferd of this nation. I remember Gaffar Okkan for the 20th year acres of death and gratefully. https://t.co/da20cl7jc9</v>
      </c>
    </row>
    <row r="1506" spans="1:5" ht="15.75" customHeight="1" x14ac:dyDescent="0.25">
      <c r="A1506" s="1" t="s">
        <v>3011</v>
      </c>
      <c r="B1506" s="1">
        <v>31748</v>
      </c>
      <c r="C1506" s="3">
        <v>44220.454050925924</v>
      </c>
      <c r="D1506" s="1" t="s">
        <v>3012</v>
      </c>
      <c r="E1506" s="4" t="str">
        <f ca="1">IFERROR(__xludf.DUMMYFUNCTION("GOOGLETRANSLATE(A1506 , ""tr"" , ""en"")"),"The first part of the 2nd million dose of inactive vaccines (6.5 million dose) vaccines will be in our country on Monday morning. The deliveries in accordance with the procurement plan will reach our hands to continue without a disruption.")</f>
        <v>The first part of the 2nd million dose of inactive vaccines (6.5 million dose) vaccines will be in our country on Monday morning. The deliveries in accordance with the procurement plan will reach our hands to continue without a disruption.</v>
      </c>
    </row>
    <row r="1507" spans="1:5" ht="15.75" customHeight="1" x14ac:dyDescent="0.25">
      <c r="A1507" s="1" t="s">
        <v>3013</v>
      </c>
      <c r="B1507" s="1">
        <v>24217</v>
      </c>
      <c r="C1507" s="3">
        <v>44219.795486111114</v>
      </c>
      <c r="D1507" s="1" t="s">
        <v>3014</v>
      </c>
      <c r="E1507" s="4" t="str">
        <f ca="1">IFERROR(__xludf.DUMMYFUNCTION("GOOGLETRANSLATE(A1507 , ""tr"" , ""en"")"),"More than 1,200,000 people have been vaccinated so far. You can see the vaccine distribution on the basis of provinces in Turkey. You will be able to follow this as of Monday. More than 224,000 people were vaccinated in Istanbul with the most health worke"&amp;"rs. https://t.co/czghzjx4ep")</f>
        <v>More than 1,200,000 people have been vaccinated so far. You can see the vaccine distribution on the basis of provinces in Turkey. You will be able to follow this as of Monday. More than 224,000 people were vaccinated in Istanbul with the most health workers. https://t.co/czghzjx4ep</v>
      </c>
    </row>
    <row r="1508" spans="1:5" ht="15.75" customHeight="1" x14ac:dyDescent="0.25">
      <c r="A1508" s="1" t="s">
        <v>3015</v>
      </c>
      <c r="B1508" s="1">
        <v>24163</v>
      </c>
      <c r="C1508" s="3">
        <v>44218.699155092596</v>
      </c>
      <c r="D1508" s="1" t="s">
        <v>3016</v>
      </c>
      <c r="E1508" s="4" t="str">
        <f ca="1">IFERROR(__xludf.DUMMYFUNCTION("GOOGLETRANSLATE(A1508 , ""tr"" , ""en"")"),"With the reason of the mutation, the UK had a decision of temporary stopping on flights from Denmark and South Africa to our country. Brazil was also added due to increasing mutated virus cases as of today.")</f>
        <v>With the reason of the mutation, the UK had a decision of temporary stopping on flights from Denmark and South Africa to our country. Brazil was also added due to increasing mutated virus cases as of today.</v>
      </c>
    </row>
    <row r="1509" spans="1:5" ht="15.75" customHeight="1" x14ac:dyDescent="0.25">
      <c r="A1509" s="1" t="s">
        <v>3017</v>
      </c>
      <c r="B1509" s="1">
        <v>13030</v>
      </c>
      <c r="C1509" s="3">
        <v>44218.651365740741</v>
      </c>
      <c r="D1509" s="1" t="s">
        <v>3018</v>
      </c>
      <c r="E1509" s="4" t="str">
        <f ca="1">IFERROR(__xludf.DUMMYFUNCTION("GOOGLETRANSLATE(A1509 , ""tr"" , ""en"")"),"In order to stop the disruptive effect of the epidemic, our fillion team continues to fulfill their duties and responsibilities in the winter conditions of the gang. Health gives faith and persever of our armies. https://t.co/uwbmodjgqf")</f>
        <v>In order to stop the disruptive effect of the epidemic, our fillion team continues to fulfill their duties and responsibilities in the winter conditions of the gang. Health gives faith and persever of our armies. https://t.co/uwbmodjgqf</v>
      </c>
    </row>
    <row r="1510" spans="1:5" ht="15.75" customHeight="1" x14ac:dyDescent="0.25">
      <c r="A1510" s="1" t="s">
        <v>3019</v>
      </c>
      <c r="B1510" s="1">
        <v>22656</v>
      </c>
      <c r="C1510" s="3">
        <v>44218.454027777778</v>
      </c>
      <c r="D1510" s="1" t="s">
        <v>3020</v>
      </c>
      <c r="E1510" s="4" t="str">
        <f ca="1">IFERROR(__xludf.DUMMYFUNCTION("GOOGLETRANSLATE(A1510 , ""tr"" , ""en"")"),"With the works he wrote, we felt the history to young people who love the historic and leaving trail. I wish the Niyazi First (Yavuz Bahadıoğlu) from Allah to the mercy, his family and lovers.")</f>
        <v>With the works he wrote, we felt the history to young people who love the historic and leaving trail. I wish the Niyazi First (Yavuz Bahadıoğlu) from Allah to the mercy, his family and lovers.</v>
      </c>
    </row>
    <row r="1511" spans="1:5" ht="15.75" customHeight="1" x14ac:dyDescent="0.25">
      <c r="A1511" s="1" t="s">
        <v>3021</v>
      </c>
      <c r="B1511" s="1">
        <v>15970</v>
      </c>
      <c r="C1511" s="3">
        <v>44217.739756944444</v>
      </c>
      <c r="D1511" s="1" t="s">
        <v>3022</v>
      </c>
      <c r="E1511" s="4" t="str">
        <f ca="1">IFERROR(__xludf.DUMMYFUNCTION("GOOGLETRANSLATE(A1511 , ""tr"" , ""en"")"),"The vaccines of our 85 years are made at home. Our responsibility to protect them by knowing the value of our elders. https://t.co/jhwkkcyuz")</f>
        <v>The vaccines of our 85 years are made at home. Our responsibility to protect them by knowing the value of our elders. https://t.co/jhwkkcyuz</v>
      </c>
    </row>
    <row r="1512" spans="1:5" ht="15.75" customHeight="1" x14ac:dyDescent="0.25">
      <c r="A1512" s="1" t="s">
        <v>3023</v>
      </c>
      <c r="B1512" s="1">
        <v>11166</v>
      </c>
      <c r="C1512" s="3">
        <v>44216.893113425926</v>
      </c>
      <c r="D1512" s="1" t="s">
        <v>3024</v>
      </c>
      <c r="E1512" s="4" t="str">
        <f ca="1">IFERROR(__xludf.DUMMYFUNCTION("GOOGLETRANSLATE(A1512 , ""tr"" , ""en"")"),"Precious friend Mehmet Muş, our brother's Mushem Uhşam Bakup Muş Geyefendi, I wish the relatives of Allah.")</f>
        <v>Precious friend Mehmet Muş, our brother's Mushem Uhşam Bakup Muş Geyefendi, I wish the relatives of Allah.</v>
      </c>
    </row>
    <row r="1513" spans="1:5" ht="15.75" customHeight="1" x14ac:dyDescent="0.25">
      <c r="A1513" s="1" t="s">
        <v>3025</v>
      </c>
      <c r="B1513" s="1">
        <v>24081</v>
      </c>
      <c r="C1513" s="3">
        <v>44216.84888888889</v>
      </c>
      <c r="D1513" s="1" t="s">
        <v>3026</v>
      </c>
      <c r="E1513" s="4" t="str">
        <f ca="1">IFERROR(__xludf.DUMMYFUNCTION("GOOGLETRANSLATE(A1513 , ""tr"" , ""en"")"),"With the assessment of our science board, our citizens over the age of 85 will be introduced. Our citizens over the age of 85 will be vaccinated in their homes.")</f>
        <v>With the assessment of our science board, our citizens over the age of 85 will be introduced. Our citizens over the age of 85 will be vaccinated in their homes.</v>
      </c>
    </row>
    <row r="1514" spans="1:5" ht="15.75" customHeight="1" x14ac:dyDescent="0.25">
      <c r="A1514" s="1" t="s">
        <v>3027</v>
      </c>
      <c r="B1514" s="1">
        <v>9148</v>
      </c>
      <c r="C1514" s="3">
        <v>44216.847881944443</v>
      </c>
      <c r="D1514" s="1" t="s">
        <v>3028</v>
      </c>
      <c r="E1514" s="4" t="str">
        <f ca="1">IFERROR(__xludf.DUMMYFUNCTION("GOOGLETRANSLATE(A1514 , ""tr"" , ""en"")"),"Our more than 1 million citizens are vaccinated so far. As you know the step 1 of the vaccine program, the health workers started with our health workers and there was more than 980 thousand health workers. https://t.co/uvtui7spby")</f>
        <v>Our more than 1 million citizens are vaccinated so far. As you know the step 1 of the vaccine program, the health workers started with our health workers and there was more than 980 thousand health workers. https://t.co/uvtui7spby</v>
      </c>
    </row>
    <row r="1515" spans="1:5" ht="15.75" customHeight="1" x14ac:dyDescent="0.25">
      <c r="A1515" s="1" t="s">
        <v>3029</v>
      </c>
      <c r="B1515" s="1">
        <v>13319</v>
      </c>
      <c r="C1515" s="3">
        <v>44215.761759259258</v>
      </c>
      <c r="D1515" s="1" t="s">
        <v>3030</v>
      </c>
      <c r="E1515" s="4" t="str">
        <f ca="1">IFERROR(__xludf.DUMMYFUNCTION("GOOGLETRANSLATE(A1515 , ""tr"" , ""en"")"),"One other group of step 2 of the step 2 of the Vaccine Program are over 90 years of age; He started to be vaccinated in their homes with the competent health team and equipment. Nursing homes began in the vaccine program in the elderly maintenance and reh"&amp;"abilitation centers. https://t.co/a1u212ur5c")</f>
        <v>One other group of step 2 of the step 2 of the Vaccine Program are over 90 years of age; He started to be vaccinated in their homes with the competent health team and equipment. Nursing homes began in the vaccine program in the elderly maintenance and rehabilitation centers. https://t.co/a1u212ur5c</v>
      </c>
    </row>
    <row r="1516" spans="1:5" ht="15.75" customHeight="1" x14ac:dyDescent="0.25">
      <c r="A1516" s="1" t="s">
        <v>3031</v>
      </c>
      <c r="B1516" s="1">
        <v>9921</v>
      </c>
      <c r="C1516" s="3">
        <v>44215.674618055556</v>
      </c>
      <c r="D1516" s="1" t="s">
        <v>3032</v>
      </c>
      <c r="E1516" s="4" t="str">
        <f ca="1">IFERROR(__xludf.DUMMYFUNCTION("GOOGLETRANSLATE(A1516 , ""tr"" , ""en"")"),"China People's Republic Ankara Ambassador Mr. Liu Shaobin in our Ministry. I would like to thank them with the support and the friendly role they undertake in our vaccine program. We will continue to work together for the common benefit of humanity. https"&amp;"://t.co/qc62fuwf0v")</f>
        <v>China People's Republic Ankara Ambassador Mr. Liu Shaobin in our Ministry. I would like to thank them with the support and the friendly role they undertake in our vaccine program. We will continue to work together for the common benefit of humanity. https://t.co/qc62fuwf0v</v>
      </c>
    </row>
    <row r="1517" spans="1:5" ht="15.75" customHeight="1" x14ac:dyDescent="0.25">
      <c r="A1517" s="1" t="s">
        <v>3033</v>
      </c>
      <c r="B1517" s="1">
        <v>6657</v>
      </c>
      <c r="C1517" s="3">
        <v>44215.655659722222</v>
      </c>
      <c r="D1517" s="1" t="s">
        <v>3034</v>
      </c>
      <c r="E1517" s="4" t="str">
        <f ca="1">IFERROR(__xludf.DUMMYFUNCTION("GOOGLETRANSLATE(A1517 , ""tr"" , ""en"")"),"Today, I've guests in our Ministry of Mr. Aleksey Yerhov in the Russian Federation Ankara Ambassador. We have evaluated our business troops in the field of health, especially the sputnik v vaccine. Thank you to the tenderness they show about the binary co"&amp;"operation. https://t.co/1cqpbgl2fc")</f>
        <v>Today, I've guests in our Ministry of Mr. Aleksey Yerhov in the Russian Federation Ankara Ambassador. We have evaluated our business troops in the field of health, especially the sputnik v vaccine. Thank you to the tenderness they show about the binary cooperation. https://t.co/1cqpbgl2fc</v>
      </c>
    </row>
    <row r="1518" spans="1:5" ht="15.75" customHeight="1" x14ac:dyDescent="0.25">
      <c r="A1518" s="1" t="s">
        <v>3035</v>
      </c>
      <c r="B1518" s="1">
        <v>12785</v>
      </c>
      <c r="C1518" s="3">
        <v>44214.956342592595</v>
      </c>
      <c r="D1518" s="1" t="s">
        <v>3036</v>
      </c>
      <c r="E1518" s="4" t="str">
        <f ca="1">IFERROR(__xludf.DUMMYFUNCTION("GOOGLETRANSLATE(A1518 , ""tr"" , ""en"")"),"One of the important values ​​of these lands, Prof. Dr. We lost our nur vergin teacher. It was a person who owns science and virtue. We could not benefit from the right to the right. With the wish to benefit from the works of the new generations, I wish o"&amp;"ur teacher mercy from Allah.")</f>
        <v>One of the important values ​​of these lands, Prof. Dr. We lost our nur vergin teacher. It was a person who owns science and virtue. We could not benefit from the right to the right. With the wish to benefit from the works of the new generations, I wish our teacher mercy from Allah.</v>
      </c>
    </row>
    <row r="1519" spans="1:5" ht="15.75" customHeight="1" x14ac:dyDescent="0.25">
      <c r="A1519" s="1" t="s">
        <v>3037</v>
      </c>
      <c r="B1519" s="1">
        <v>9366</v>
      </c>
      <c r="C1519" s="3">
        <v>44214.815787037034</v>
      </c>
      <c r="D1519" s="1" t="s">
        <v>3038</v>
      </c>
      <c r="E1519" s="4" t="str">
        <f ca="1">IFERROR(__xludf.DUMMYFUNCTION("GOOGLETRANSLATE(A1519 , ""tr"" , ""en"")"),"We go to step 2 of the step 1 of the vaccination program. From the tomorrow, the persons responsible for our citizens and those who are in the care of these citizens will be inoculated. At the same time, for our 90 years of age, the program starts tomorro"&amp;"w. https://t.co/a9nl22pebl")</f>
        <v>We go to step 2 of the step 1 of the vaccination program. From the tomorrow, the persons responsible for our citizens and those who are in the care of these citizens will be inoculated. At the same time, for our 90 years of age, the program starts tomorrow. https://t.co/a9nl22pebl</v>
      </c>
    </row>
    <row r="1520" spans="1:5" ht="15.75" customHeight="1" x14ac:dyDescent="0.25">
      <c r="A1520" s="1" t="s">
        <v>3039</v>
      </c>
      <c r="B1520" s="1">
        <v>11041</v>
      </c>
      <c r="C1520" s="3">
        <v>44214.80127314815</v>
      </c>
      <c r="D1520" s="1" t="s">
        <v>3040</v>
      </c>
      <c r="E1520" s="4" t="str">
        <f ca="1">IFERROR(__xludf.DUMMYFUNCTION("GOOGLETRANSLATE(A1520 , ""tr"" , ""en"")"),"We have evaluated our vaccine program with the health managers of our 81 provinces. 830 thousand people from our health workers were the first dose of vaccine. We performed one of the fastest practices in the world. According to the program calendar, heal"&amp;"th workers will be inoculated until Wednesday. https://t.co/o6qonqoeky")</f>
        <v>We have evaluated our vaccine program with the health managers of our 81 provinces. 830 thousand people from our health workers were the first dose of vaccine. We performed one of the fastest practices in the world. According to the program calendar, health workers will be inoculated until Wednesday. https://t.co/o6qonqoeky</v>
      </c>
    </row>
    <row r="1521" spans="1:5" ht="15.75" customHeight="1" x14ac:dyDescent="0.25">
      <c r="A1521" s="1" t="s">
        <v>3041</v>
      </c>
      <c r="B1521" s="1">
        <v>12760</v>
      </c>
      <c r="C1521" s="3">
        <v>44214.633287037039</v>
      </c>
      <c r="D1521" s="1" t="s">
        <v>3042</v>
      </c>
      <c r="E1521" s="4" t="str">
        <f ca="1">IFERROR(__xludf.DUMMYFUNCTION("GOOGLETRANSLATE(A1521 , ""tr"" , ""en"")"),"Democratic Party General President Mr. Gültekin Uysal Gentleman, today was COVID-19 vaccine in our city hospital in Ankara City. I appreciate the support they give our vaccine program. We will win the outbreak fight together.")</f>
        <v>Democratic Party General President Mr. Gültekin Uysal Gentleman, today was COVID-19 vaccine in our city hospital in Ankara City. I appreciate the support they give our vaccine program. We will win the outbreak fight together.</v>
      </c>
    </row>
    <row r="1522" spans="1:5" ht="15.75" customHeight="1" x14ac:dyDescent="0.25">
      <c r="A1522" s="1" t="s">
        <v>3043</v>
      </c>
      <c r="B1522" s="1">
        <v>42293</v>
      </c>
      <c r="C1522" s="3">
        <v>44213.569918981484</v>
      </c>
      <c r="D1522" s="1" t="s">
        <v>3044</v>
      </c>
      <c r="E1522" s="4" t="str">
        <f ca="1">IFERROR(__xludf.DUMMYFUNCTION("GOOGLETRANSLATE(A1522 , ""tr"" , ""en"")"),"We are grateful to our health workers who work from their family, who worked without saying the night and night since the global epidemic is the first in the world. It is not possible to pay the right to our health workers. We owe them a big thanks. 2021 "&amp;"Health Workers Year.")</f>
        <v>We are grateful to our health workers who work from their family, who worked without saying the night and night since the global epidemic is the first in the world. It is not possible to pay the right to our health workers. We owe them a big thanks. 2021 Health Workers Year.</v>
      </c>
    </row>
    <row r="1523" spans="1:5" ht="15.75" customHeight="1" x14ac:dyDescent="0.25">
      <c r="A1523" s="1" t="s">
        <v>3045</v>
      </c>
      <c r="B1523" s="1">
        <v>12320</v>
      </c>
      <c r="C1523" s="3">
        <v>44212.810393518521</v>
      </c>
      <c r="D1523" s="1" t="s">
        <v>3046</v>
      </c>
      <c r="E1523" s="4" t="str">
        <f ca="1">IFERROR(__xludf.DUMMYFUNCTION("GOOGLETRANSLATE(A1523 , ""tr"" , ""en"")"),"Practical information about the vaccine app you can reach the following video. We will win the outbreak fight together. https://T.CO/OSI4YY9HYR https://t.co/eviklbtrjd")</f>
        <v>Practical information about the vaccine app you can reach the following video. We will win the outbreak fight together. https://T.CO/OSI4YY9HYR https://t.co/eviklbtrjd</v>
      </c>
    </row>
    <row r="1524" spans="1:5" ht="15.75" customHeight="1" x14ac:dyDescent="0.25">
      <c r="A1524" s="1" t="s">
        <v>3047</v>
      </c>
      <c r="B1524" s="1">
        <v>7775</v>
      </c>
      <c r="C1524" s="3">
        <v>44211.791712962964</v>
      </c>
      <c r="D1524" s="1" t="s">
        <v>3048</v>
      </c>
      <c r="E1524" s="4" t="str">
        <f ca="1">IFERROR(__xludf.DUMMYFUNCTION("GOOGLETRANSLATE(A1524 , ""tr"" , ""en"")"),"I would like to thank Basic Karamollaoğlu for the Saadet Party General President, the support and courtesies they give to our vaccine program. The responsibility they have shown is extremely valuable. We will win the outbreak fight together. https://t.co/"&amp;"8jtq6dn1de")</f>
        <v>I would like to thank Basic Karamollaoğlu for the Saadet Party General President, the support and courtesies they give to our vaccine program. The responsibility they have shown is extremely valuable. We will win the outbreak fight together. https://t.co/8jtq6dn1de</v>
      </c>
    </row>
    <row r="1525" spans="1:5" ht="15.75" customHeight="1" x14ac:dyDescent="0.25">
      <c r="A1525" s="1" t="s">
        <v>3049</v>
      </c>
      <c r="B1525" s="1">
        <v>12746</v>
      </c>
      <c r="C1525" s="3">
        <v>44211.564849537041</v>
      </c>
      <c r="D1525" s="1" t="s">
        <v>3050</v>
      </c>
      <c r="E1525" s="4" t="str">
        <f ca="1">IFERROR(__xludf.DUMMYFUNCTION("GOOGLETRANSLATE(A1525 , ""tr"" , ""en"")"),"Turkey Labor Party General President I had invited to be vaccinated to be an example in the vaccine program by calling the Erokan Head Geyefendi. He preferred to be an example by waiting for his turn. I appreciate your support. We will win the outbreak fi"&amp;"ght together.")</f>
        <v>Turkey Labor Party General President I had invited to be vaccinated to be an example in the vaccine program by calling the Erokan Head Geyefendi. He preferred to be an example by waiting for his turn. I appreciate your support. We will win the outbreak fight together.</v>
      </c>
    </row>
    <row r="1526" spans="1:5" ht="15.75" customHeight="1" x14ac:dyDescent="0.25">
      <c r="A1526" s="1" t="s">
        <v>3051</v>
      </c>
      <c r="B1526" s="1">
        <v>25586</v>
      </c>
      <c r="C1526" s="3">
        <v>44211.548483796294</v>
      </c>
      <c r="D1526" s="1" t="s">
        <v>3052</v>
      </c>
      <c r="E1526" s="4" t="str">
        <f ca="1">IFERROR(__xludf.DUMMYFUNCTION("GOOGLETRANSLATE(A1526 , ""tr"" , ""en"")"),"HDP General President Mithat Sancar Invited to be an example as vaccines by calling Beyefendi. They chose to be an example by waiting the order with the description they do as a party. I appreciate your support. We will win the outbreak fight together.")</f>
        <v>HDP General President Mithat Sancar Invited to be an example as vaccines by calling Beyefendi. They chose to be an example by waiting the order with the description they do as a party. I appreciate your support. We will win the outbreak fight together.</v>
      </c>
    </row>
    <row r="1527" spans="1:5" ht="15.75" customHeight="1" x14ac:dyDescent="0.25">
      <c r="A1527" s="1" t="s">
        <v>3053</v>
      </c>
      <c r="B1527" s="1">
        <v>11281</v>
      </c>
      <c r="C1527" s="3">
        <v>44211.509606481479</v>
      </c>
      <c r="D1527" s="1" t="s">
        <v>3054</v>
      </c>
      <c r="E1527" s="4" t="str">
        <f ca="1">IFERROR(__xludf.DUMMYFUNCTION("GOOGLETRANSLATE(A1527 , ""tr"" , ""en"")"),"Mr. Our President of the Grand National Assembly of Turkey Prof. Dr. I thank Mustafa Şentop very much for the support they give to our program. We will win the outbreak fight together.")</f>
        <v>Mr. Our President of the Grand National Assembly of Turkey Prof. Dr. I thank Mustafa Şentop very much for the support they give to our program. We will win the outbreak fight together.</v>
      </c>
    </row>
    <row r="1528" spans="1:5" ht="15.75" customHeight="1" x14ac:dyDescent="0.25">
      <c r="A1528" s="1" t="s">
        <v>3055</v>
      </c>
      <c r="B1528" s="1">
        <v>12788</v>
      </c>
      <c r="C1528" s="3">
        <v>44211.485046296293</v>
      </c>
      <c r="D1528" s="1" t="s">
        <v>3056</v>
      </c>
      <c r="E1528" s="4" t="str">
        <f ca="1">IFERROR(__xludf.DUMMYFUNCTION("GOOGLETRANSLATE(A1528 , ""tr"" , ""en"")"),"On the 2nd day of our vaccination program, more than 500,000 health workers were vaccines. We are an experienced country in applying the vaccine program in the country. Our sub-structure is more than enough to carry out this program in controlled manner. "&amp;"We will win the outbreak fight together. https://t.co/a3b04aq4h2")</f>
        <v>On the 2nd day of our vaccination program, more than 500,000 health workers were vaccines. We are an experienced country in applying the vaccine program in the country. Our sub-structure is more than enough to carry out this program in controlled manner. We will win the outbreak fight together. https://t.co/a3b04aq4h2</v>
      </c>
    </row>
    <row r="1529" spans="1:5" ht="15.75" customHeight="1" x14ac:dyDescent="0.25">
      <c r="A1529" s="1" t="s">
        <v>3057</v>
      </c>
      <c r="B1529" s="1">
        <v>33026</v>
      </c>
      <c r="C1529" s="3">
        <v>44211.464108796295</v>
      </c>
      <c r="D1529" s="1" t="s">
        <v>3058</v>
      </c>
      <c r="E1529" s="4" t="str">
        <f ca="1">IFERROR(__xludf.DUMMYFUNCTION("GOOGLETRANSLATE(A1529 , ""tr"" , ""en"")"),"Thank Kemal Kılıçdaroğlu Thank you very much because they declare the explanation and vaccine to support the vaccine program. We will win the outbreak fight together.")</f>
        <v>Thank Kemal Kılıçdaroğlu Thank you very much because they declare the explanation and vaccine to support the vaccine program. We will win the outbreak fight together.</v>
      </c>
    </row>
    <row r="1530" spans="1:5" ht="15.75" customHeight="1" x14ac:dyDescent="0.25">
      <c r="A1530" s="1" t="s">
        <v>3059</v>
      </c>
      <c r="B1530" s="1">
        <v>10905</v>
      </c>
      <c r="C1530" s="3">
        <v>44211.43273148148</v>
      </c>
      <c r="D1530" s="1" t="s">
        <v>3060</v>
      </c>
      <c r="E1530" s="4" t="str">
        <f ca="1">IFERROR(__xludf.DUMMYFUNCTION("GOOGLETRANSLATE(A1530 , ""tr"" , ""en"")"),"Mr. Meral Akşener Hanımendi Accepting our vaccination invitation I thank you very much with their vaccination. We will win the outbreak fight together. https://t.co/uvagjjtctb")</f>
        <v>Mr. Meral Akşener Hanımendi Accepting our vaccination invitation I thank you very much with their vaccination. We will win the outbreak fight together. https://t.co/uvagjjtctb</v>
      </c>
    </row>
    <row r="1531" spans="1:5" ht="15.75" customHeight="1" x14ac:dyDescent="0.25">
      <c r="A1531" s="1" t="s">
        <v>3061</v>
      </c>
      <c r="B1531" s="1">
        <v>14791</v>
      </c>
      <c r="C1531" s="3">
        <v>44211.414803240739</v>
      </c>
      <c r="D1531" s="1" t="s">
        <v>3062</v>
      </c>
      <c r="E1531" s="4" t="str">
        <f ca="1">IFERROR(__xludf.DUMMYFUNCTION("GOOGLETRANSLATE(A1531 , ""tr"" , ""en"")"),"Thank you very much with support and contributions to the vaccine program as part of the sensitivity in which Dear State Bahceli is in the case of state policies. We will win the outbreak fight together. https://t.co/oucrpmfxdi")</f>
        <v>Thank you very much with support and contributions to the vaccine program as part of the sensitivity in which Dear State Bahceli is in the case of state policies. We will win the outbreak fight together. https://t.co/oucrpmfxdi</v>
      </c>
    </row>
    <row r="1532" spans="1:5" ht="15.75" customHeight="1" x14ac:dyDescent="0.25">
      <c r="A1532" s="1" t="s">
        <v>3063</v>
      </c>
      <c r="B1532" s="1">
        <v>31163</v>
      </c>
      <c r="C1532" s="3">
        <v>44210.852222222224</v>
      </c>
      <c r="D1532" s="1" t="s">
        <v>3064</v>
      </c>
      <c r="E1532" s="4" t="str">
        <f ca="1">IFERROR(__xludf.DUMMYFUNCTION("GOOGLETRANSLATE(A1532 , ""tr"" , ""en"")"),"In the scope of becoming the vaccination that our President has initiated the vaccine program, I invited all the political party general heads represented in the parliament to be vaccine by calling our Constitutional Court President and the Assembly Presi"&amp;"dent. I thank you for the kindness they show themselves.")</f>
        <v>In the scope of becoming the vaccination that our President has initiated the vaccine program, I invited all the political party general heads represented in the parliament to be vaccine by calling our Constitutional Court President and the Assembly President. I thank you for the kindness they show themselves.</v>
      </c>
    </row>
    <row r="1533" spans="1:5" ht="15.75" customHeight="1" x14ac:dyDescent="0.25">
      <c r="A1533" s="1" t="s">
        <v>3065</v>
      </c>
      <c r="B1533" s="1">
        <v>27649</v>
      </c>
      <c r="C1533" s="3">
        <v>44210.764976851853</v>
      </c>
      <c r="D1533" s="1" t="s">
        <v>3066</v>
      </c>
      <c r="E1533" s="4" t="str">
        <f ca="1">IFERROR(__xludf.DUMMYFUNCTION("GOOGLETRANSLATE(A1533 , ""tr"" , ""en"")"),"With the proposal of our Members of the Science Members, Mr. The President of the President of the Government Grand Campaign launched itself as the first vaccine. May our nation be auspicious. https://t.co/lnrj709s1r")</f>
        <v>With the proposal of our Members of the Science Members, Mr. The President of the President of the Government Grand Campaign launched itself as the first vaccine. May our nation be auspicious. https://t.co/lnrj709s1r</v>
      </c>
    </row>
    <row r="1534" spans="1:5" ht="15.75" customHeight="1" x14ac:dyDescent="0.25">
      <c r="A1534" s="1" t="s">
        <v>3067</v>
      </c>
      <c r="B1534" s="1">
        <v>0</v>
      </c>
      <c r="C1534" s="3">
        <v>44210.659502314818</v>
      </c>
      <c r="D1534" s="1" t="s">
        <v>3068</v>
      </c>
      <c r="E1534" s="4" t="str">
        <f ca="1">IFERROR(__xludf.DUMMYFUNCTION("GOOGLETRANSLATE(A1534 , ""tr"" , ""en"")"),"RT @rterdogan: Press release https://t.co/jysgssxnrs")</f>
        <v>RT @rterdogan: Press release https://t.co/jysgssxnrs</v>
      </c>
    </row>
    <row r="1535" spans="1:5" ht="15.75" customHeight="1" x14ac:dyDescent="0.25">
      <c r="A1535" s="1" t="s">
        <v>3069</v>
      </c>
      <c r="B1535" s="1">
        <v>0</v>
      </c>
      <c r="C1535" s="3">
        <v>44210.659479166665</v>
      </c>
      <c r="D1535" s="1" t="s">
        <v>3070</v>
      </c>
      <c r="E1535" s="4" t="str">
        <f ca="1">IFERROR(__xludf.DUMMYFUNCTION("GOOGLETRANSLATE(A1535 , ""tr"" , ""en"")"),"RT @rterdogan: Successfully within our continued vaccine program, our 254 thousand health workers were the first dose vaccines. Me too ...")</f>
        <v>RT @rterdogan: Successfully within our continued vaccine program, our 254 thousand health workers were the first dose vaccines. Me too ...</v>
      </c>
    </row>
    <row r="1536" spans="1:5" ht="15.75" customHeight="1" x14ac:dyDescent="0.25">
      <c r="A1536" s="1" t="s">
        <v>3071</v>
      </c>
      <c r="B1536" s="1">
        <v>30428</v>
      </c>
      <c r="C1536" s="3">
        <v>44210.444513888891</v>
      </c>
      <c r="D1536" s="1" t="s">
        <v>3072</v>
      </c>
      <c r="E1536" s="4" t="str">
        <f ca="1">IFERROR(__xludf.DUMMYFUNCTION("GOOGLETRANSLATE(A1536 , ""tr"" , ""en"")"),"As of now, the number of health workers with overdose has passed 100,000. Turkey has a strong infrastructure in applying the vaccine program. I would like to thank everyone who believes in this power. https://t.co/OSI4YY9HYR https://t.co/sljpazynjd")</f>
        <v>As of now, the number of health workers with overdose has passed 100,000. Turkey has a strong infrastructure in applying the vaccine program. I would like to thank everyone who believes in this power. https://t.co/OSI4YY9HYR https://t.co/sljpazynjd</v>
      </c>
    </row>
    <row r="1537" spans="1:5" ht="15.75" customHeight="1" x14ac:dyDescent="0.25">
      <c r="A1537" s="1" t="s">
        <v>3073</v>
      </c>
      <c r="B1537" s="1">
        <v>9500</v>
      </c>
      <c r="C1537" s="3">
        <v>44209.784490740742</v>
      </c>
      <c r="D1537" s="1" t="s">
        <v>3074</v>
      </c>
      <c r="E1537" s="4" t="str">
        <f ca="1">IFERROR(__xludf.DUMMYFUNCTION("GOOGLETRANSLATE(A1537 , ""tr"" , ""en"")"),"The vaccine program will be carried out by justice and the way of science. https://t.co/6vvlqgsuit")</f>
        <v>The vaccine program will be carried out by justice and the way of science. https://t.co/6vvlqgsuit</v>
      </c>
    </row>
    <row r="1538" spans="1:5" ht="15.75" customHeight="1" x14ac:dyDescent="0.25">
      <c r="A1538" s="1" t="s">
        <v>3075</v>
      </c>
      <c r="B1538" s="1">
        <v>9493</v>
      </c>
      <c r="C1538" s="3">
        <v>44209.771203703705</v>
      </c>
      <c r="D1538" s="1" t="s">
        <v>3076</v>
      </c>
      <c r="E1538" s="4" t="str">
        <f ca="1">IFERROR(__xludf.DUMMYFUNCTION("GOOGLETRANSLATE(A1538 , ""tr"" , ""en"")"),"Our vaccine program will be monitored instantly by all of our citizens. https://t.co/wtgabymdmq")</f>
        <v>Our vaccine program will be monitored instantly by all of our citizens. https://t.co/wtgabymdmq</v>
      </c>
    </row>
    <row r="1539" spans="1:5" ht="15.75" customHeight="1" x14ac:dyDescent="0.25">
      <c r="A1539" s="1" t="s">
        <v>3077</v>
      </c>
      <c r="B1539" s="1">
        <v>34768</v>
      </c>
      <c r="C1539" s="3">
        <v>44209.728773148148</v>
      </c>
      <c r="D1539" s="1" t="s">
        <v>3078</v>
      </c>
      <c r="E1539" s="4" t="str">
        <f ca="1">IFERROR(__xludf.DUMMYFUNCTION("GOOGLETRANSLATE(A1539 , ""tr"" , ""en"")"),"Today, with our Members of the Science, we were the first applied health workers after the coronavirus vaccine after the emergency approval. The process has begun for all our health workers. Get auspicious auspicious. https://t.co/k1cpxmt3se")</f>
        <v>Today, with our Members of the Science, we were the first applied health workers after the coronavirus vaccine after the emergency approval. The process has begun for all our health workers. Get auspicious auspicious. https://t.co/k1cpxmt3se</v>
      </c>
    </row>
    <row r="1540" spans="1:5" ht="15.75" customHeight="1" x14ac:dyDescent="0.25">
      <c r="A1540" s="1" t="s">
        <v>3079</v>
      </c>
      <c r="B1540" s="1">
        <v>99033</v>
      </c>
      <c r="C1540" s="3">
        <v>44209.710370370369</v>
      </c>
      <c r="D1540" s="1" t="s">
        <v>3080</v>
      </c>
      <c r="E1540" s="4" t="str">
        <f ca="1">IFERROR(__xludf.DUMMYFUNCTION("GOOGLETRANSLATE(A1540 , ""tr"" , ""en"")"),"I received a message from our Ministry of Health. https://t.co/evgvj00pa2")</f>
        <v>I received a message from our Ministry of Health. https://t.co/evgvj00pa2</v>
      </c>
    </row>
    <row r="1541" spans="1:5" ht="15.75" customHeight="1" x14ac:dyDescent="0.25">
      <c r="A1541" s="1" t="s">
        <v>3081</v>
      </c>
      <c r="B1541" s="1">
        <v>10066</v>
      </c>
      <c r="C1541" s="3">
        <v>44209.674293981479</v>
      </c>
      <c r="D1541" s="1" t="s">
        <v>3082</v>
      </c>
      <c r="E1541" s="4" t="str">
        <f ca="1">IFERROR(__xludf.DUMMYFUNCTION("GOOGLETRANSLATE(A1541 , ""tr"" , ""en"")"),"After our Science Board meeting, our press statement on the latest developments on the coronavirus.
📍 The Ministry of Health
https://t.co/m5voabdjjz")</f>
        <v>After our Science Board meeting, our press statement on the latest developments on the coronavirus.
📍 The Ministry of Health
https://t.co/m5voabdjjz</v>
      </c>
    </row>
    <row r="1542" spans="1:5" ht="15.75" customHeight="1" x14ac:dyDescent="0.25">
      <c r="A1542" s="1" t="s">
        <v>3083</v>
      </c>
      <c r="B1542" s="1">
        <v>9039</v>
      </c>
      <c r="C1542" s="3">
        <v>44209.564143518517</v>
      </c>
      <c r="D1542" s="1" t="s">
        <v>3084</v>
      </c>
      <c r="E1542" s="4" t="str">
        <f ca="1">IFERROR(__xludf.DUMMYFUNCTION("GOOGLETRANSLATE(A1542 , ""tr"" , ""en"")"),"""Know you to stand upright in front of those who want to separate your own self from the glorious past. Have your self and history that you can have tomorrows."" Rauf Denktas, which had appealed to the young people. I remember with mercy and love. https:"&amp;"//t.co/vtn108dbss")</f>
        <v>"Know you to stand upright in front of those who want to separate your own self from the glorious past. Have your self and history that you can have tomorrows." Rauf Denktas, which had appealed to the young people. I remember with mercy and love. https://t.co/vtn108dbss</v>
      </c>
    </row>
    <row r="1543" spans="1:5" ht="15.75" customHeight="1" x14ac:dyDescent="0.25">
      <c r="A1543" s="1" t="s">
        <v>3085</v>
      </c>
      <c r="B1543" s="1">
        <v>21580</v>
      </c>
      <c r="C1543" s="3">
        <v>44208.670717592591</v>
      </c>
      <c r="D1543" s="1" t="s">
        <v>3086</v>
      </c>
      <c r="E1543" s="4" t="str">
        <f ca="1">IFERROR(__xludf.DUMMYFUNCTION("GOOGLETRANSLATE(A1543 , ""tr"" , ""en"")"),"We have 983 new patients identified today. After a long break, our daily patient has landed below 1,000. Our severe patient count continues to decrease. We will proceed to the vaccine application by continuing to comply with restraint and measures. We wil"&amp;"l achieve together. https://t.co/rvlhe7786o")</f>
        <v>We have 983 new patients identified today. After a long break, our daily patient has landed below 1,000. Our severe patient count continues to decrease. We will proceed to the vaccine application by continuing to comply with restraint and measures. We will achieve together. https://t.co/rvlhe7786o</v>
      </c>
    </row>
    <row r="1544" spans="1:5" ht="15.75" customHeight="1" x14ac:dyDescent="0.25">
      <c r="A1544" s="1" t="s">
        <v>3087</v>
      </c>
      <c r="B1544" s="1">
        <v>14692</v>
      </c>
      <c r="C1544" s="3">
        <v>44207.717847222222</v>
      </c>
      <c r="D1544" s="1" t="s">
        <v>3088</v>
      </c>
      <c r="E1544" s="4" t="str">
        <f ca="1">IFERROR(__xludf.DUMMYFUNCTION("GOOGLETRANSLATE(A1544 , ""tr"" , ""en"")"),"We have 1,003 new patients identified today. The decline in the number of severe patients is prominently continuing. Measure is our greatest weapon. The full compliance of the vaccine program is completed successfully and the full compliance with the meas"&amp;"ures is extremely important. We will win together. https://t.co/rvlhe7786o")</f>
        <v>We have 1,003 new patients identified today. The decline in the number of severe patients is prominently continuing. Measure is our greatest weapon. The full compliance of the vaccine program is completed successfully and the full compliance with the measures is extremely important. We will win together. https://t.co/rvlhe7786o</v>
      </c>
    </row>
    <row r="1545" spans="1:5" ht="15.75" customHeight="1" x14ac:dyDescent="0.25">
      <c r="A1545" s="1" t="s">
        <v>3089</v>
      </c>
      <c r="B1545" s="1">
        <v>0</v>
      </c>
      <c r="C1545" s="3">
        <v>44207.696203703701</v>
      </c>
      <c r="D1545" s="1" t="s">
        <v>3090</v>
      </c>
      <c r="E1545" s="4" t="str">
        <f ca="1">IFERROR(__xludf.DUMMYFUNCTION("GOOGLETRANSLATE(A1545 , ""tr"" , ""en"")"),"RT @rterdogan: Shouting the Nation after Cabinet Meeting https://t.co/cbzxkc5i0j")</f>
        <v>RT @rterdogan: Shouting the Nation after Cabinet Meeting https://t.co/cbzxkc5i0j</v>
      </c>
    </row>
    <row r="1546" spans="1:5" ht="15.75" customHeight="1" x14ac:dyDescent="0.25">
      <c r="A1546" s="1" t="s">
        <v>3091</v>
      </c>
      <c r="B1546" s="1">
        <v>21227</v>
      </c>
      <c r="C1546" s="3">
        <v>44206.878136574072</v>
      </c>
      <c r="D1546" s="1" t="s">
        <v>3092</v>
      </c>
      <c r="E1546" s="4" t="str">
        <f ca="1">IFERROR(__xludf.DUMMYFUNCTION("GOOGLETRANSLATE(A1546 , ""tr"" , ""en"")"),"This evening did not have any life or goods due to the 4.5-size earthquake in the Kalecik district of Ankara. Get past Ankara.")</f>
        <v>This evening did not have any life or goods due to the 4.5-size earthquake in the Kalecik district of Ankara. Get past Ankara.</v>
      </c>
    </row>
    <row r="1547" spans="1:5" ht="15.75" customHeight="1" x14ac:dyDescent="0.25">
      <c r="A1547" s="1" t="s">
        <v>3093</v>
      </c>
      <c r="B1547" s="1">
        <v>36028</v>
      </c>
      <c r="C1547" s="3">
        <v>44206.853379629632</v>
      </c>
      <c r="D1547" s="1" t="s">
        <v>3094</v>
      </c>
      <c r="E1547" s="4" t="str">
        <f ca="1">IFERROR(__xludf.DUMMYFUNCTION("GOOGLETRANSLATE(A1547 , ""tr"" , ""en"")"),"Unable to accept folks will be accepted with opposition. As the experienc of the Nation's will, the President of the President of the President of the President of the President of the President of the President ""is to ignore the National Will.")</f>
        <v>Unable to accept folks will be accepted with opposition. As the experienc of the Nation's will, the President of the President of the President of the President of the President of the President of the President "is to ignore the National Will.</v>
      </c>
    </row>
    <row r="1548" spans="1:5" ht="15.75" customHeight="1" x14ac:dyDescent="0.25">
      <c r="A1548" s="1" t="s">
        <v>3095</v>
      </c>
      <c r="B1548" s="1">
        <v>13684</v>
      </c>
      <c r="C1548" s="3">
        <v>44206.666990740741</v>
      </c>
      <c r="D1548" s="1" t="s">
        <v>3096</v>
      </c>
      <c r="E1548" s="4" t="str">
        <f ca="1">IFERROR(__xludf.DUMMYFUNCTION("GOOGLETRANSLATE(A1548 , ""tr"" , ""en"")"),"There are 1.017 new patients identified today. As the number of cases decreases, the need for the test request also decreases gradually. The decline in severe patients will reduce the number of losses. Let's continue to comply with the restriction and mea"&amp;"sures we take. https://t.co/rvlhe7786o")</f>
        <v>There are 1.017 new patients identified today. As the number of cases decreases, the need for the test request also decreases gradually. The decline in severe patients will reduce the number of losses. Let's continue to comply with the restriction and measures we take. https://t.co/rvlhe7786o</v>
      </c>
    </row>
    <row r="1549" spans="1:5" ht="15.75" customHeight="1" x14ac:dyDescent="0.25">
      <c r="A1549" s="1" t="s">
        <v>3097</v>
      </c>
      <c r="B1549" s="1">
        <v>7701</v>
      </c>
      <c r="C1549" s="3">
        <v>44206.368622685186</v>
      </c>
      <c r="D1549" s="1" t="s">
        <v>3098</v>
      </c>
      <c r="E1549" s="4" t="str">
        <f ca="1">IFERROR(__xludf.DUMMYFUNCTION("GOOGLETRANSLATE(A1549 , ""tr"" , ""en"")"),"In the course of the pandemic process we live, he thanks to our journalists for the effort that the decisions received in the rapid and accurate measures of the received decisions and accurately 10 thank our journalists, 10 January working Journalists Day"&amp;" with my emotions. https://t.co/e7fsydz8zp")</f>
        <v>In the course of the pandemic process we live, he thanks to our journalists for the effort that the decisions received in the rapid and accurate measures of the received decisions and accurately 10 thank our journalists, 10 January working Journalists Day with my emotions. https://t.co/e7fsydz8zp</v>
      </c>
    </row>
    <row r="1550" spans="1:5" ht="15.75" customHeight="1" x14ac:dyDescent="0.25">
      <c r="A1550" s="1" t="s">
        <v>3099</v>
      </c>
      <c r="B1550" s="1">
        <v>9969</v>
      </c>
      <c r="C1550" s="3">
        <v>44205.757789351854</v>
      </c>
      <c r="D1550" s="1" t="s">
        <v>3100</v>
      </c>
      <c r="E1550" s="4" t="str">
        <f ca="1">IFERROR(__xludf.DUMMYFUNCTION("GOOGLETRANSLATE(A1550 , ""tr"" , ""en"")"),"We are next to our citizens in every condition. All we expect is firmly complied with the measures. We are strong together. https://t.co/kwdfvhtmo7")</f>
        <v>We are next to our citizens in every condition. All we expect is firmly complied with the measures. We are strong together. https://t.co/kwdfvhtmo7</v>
      </c>
    </row>
    <row r="1551" spans="1:5" ht="15.75" customHeight="1" x14ac:dyDescent="0.25">
      <c r="A1551" s="1" t="s">
        <v>3101</v>
      </c>
      <c r="B1551" s="1">
        <v>12058</v>
      </c>
      <c r="C1551" s="3">
        <v>44205.667604166665</v>
      </c>
      <c r="D1551" s="1" t="s">
        <v>3102</v>
      </c>
      <c r="E1551" s="4" t="str">
        <f ca="1">IFERROR(__xludf.DUMMYFUNCTION("GOOGLETRANSLATE(A1551 , ""tr"" , ""en"")"),"There are 1,103 new patients identified today. Case numbers continue to fall. Number of severe patients declined below 3,000. Restraint and measures give a result. We are determined to combat and save our country from the global epidemic. https://t.co/rvl"&amp;"he7786o")</f>
        <v>There are 1,103 new patients identified today. Case numbers continue to fall. Number of severe patients declined below 3,000. Restraint and measures give a result. We are determined to combat and save our country from the global epidemic. https://t.co/rvlhe7786o</v>
      </c>
    </row>
    <row r="1552" spans="1:5" ht="15.75" customHeight="1" x14ac:dyDescent="0.25">
      <c r="A1552" s="1" t="s">
        <v>3103</v>
      </c>
      <c r="B1552" s="1">
        <v>15304</v>
      </c>
      <c r="C1552" s="3">
        <v>44205.663657407407</v>
      </c>
      <c r="D1552" s="1" t="s">
        <v>3104</v>
      </c>
      <c r="E1552" s="4" t="str">
        <f ca="1">IFERROR(__xludf.DUMMYFUNCTION("GOOGLETRANSLATE(A1552 , ""tr"" , ""en"")"),"We close all the developments on gene treatment. In case of scientific effect of treatment, it will be commissioned in appropriate patients. We will also increase the number of centers where the nusinersen treatment used in the treatment of SMA disease is"&amp;" applied.")</f>
        <v>We close all the developments on gene treatment. In case of scientific effect of treatment, it will be commissioned in appropriate patients. We will also increase the number of centers where the nusinersen treatment used in the treatment of SMA disease is applied.</v>
      </c>
    </row>
    <row r="1553" spans="1:5" ht="15.75" customHeight="1" x14ac:dyDescent="0.25">
      <c r="A1553" s="1" t="s">
        <v>3105</v>
      </c>
      <c r="B1553" s="1">
        <v>7937</v>
      </c>
      <c r="C1553" s="3">
        <v>44205.659398148149</v>
      </c>
      <c r="D1553" s="1" t="s">
        <v>3106</v>
      </c>
      <c r="E1553" s="4" t="str">
        <f ca="1">IFERROR(__xludf.DUMMYFUNCTION("GOOGLETRANSLATE(A1553 , ""tr"" , ""en"")"),"The SMA patient has a significant meeting on the SMA science board of our children. Be sure to evaluate every way of the science to treat our children. The appropriate treatment in the appropriate patient will definitely be commissioned. https://t.co/fn9e"&amp;"eInmz0c")</f>
        <v>The SMA patient has a significant meeting on the SMA science board of our children. Be sure to evaluate every way of the science to treat our children. The appropriate treatment in the appropriate patient will definitely be commissioned. https://t.co/fn9eeInmz0c</v>
      </c>
    </row>
    <row r="1554" spans="1:5" ht="15.75" customHeight="1" x14ac:dyDescent="0.25">
      <c r="A1554" s="1" t="s">
        <v>3107</v>
      </c>
      <c r="B1554" s="1">
        <v>12316</v>
      </c>
      <c r="C1554" s="3">
        <v>44204.668842592589</v>
      </c>
      <c r="D1554" s="1" t="s">
        <v>3108</v>
      </c>
      <c r="E1554" s="4" t="str">
        <f ca="1">IFERROR(__xludf.DUMMYFUNCTION("GOOGLETRANSLATE(A1554 , ""tr"" , ""en"")"),"We have 1,291 new patients identified today. Our heavy patient count continues to decrease. Our hospital load is prominently diminishing. We have the decline in the number of cases permanently. Let's exactly obey the restraint and measures. We will be uni"&amp;"on. https://t.co/rvlhe7786o")</f>
        <v>We have 1,291 new patients identified today. Our heavy patient count continues to decrease. Our hospital load is prominently diminishing. We have the decline in the number of cases permanently. Let's exactly obey the restraint and measures. We will be union. https://t.co/rvlhe7786o</v>
      </c>
    </row>
    <row r="1555" spans="1:5" ht="15.75" customHeight="1" x14ac:dyDescent="0.25">
      <c r="A1555" s="1" t="s">
        <v>3109</v>
      </c>
      <c r="B1555" s="1">
        <v>3711</v>
      </c>
      <c r="C1555" s="3">
        <v>44204.619143518517</v>
      </c>
      <c r="D1555" s="1" t="s">
        <v>3110</v>
      </c>
      <c r="E1555" s="4" t="str">
        <f ca="1">IFERROR(__xludf.DUMMYFUNCTION("GOOGLETRANSLATE(A1555 , ""tr"" , ""en"")"),"By addressing the details on vaccine logistics planning, we reviewed our preparations to quickly implement all steps following the emergency use approval. We have to convert this period to an opportunity for a strong vaccination program. The most importan"&amp;"t agenda after that.")</f>
        <v>By addressing the details on vaccine logistics planning, we reviewed our preparations to quickly implement all steps following the emergency use approval. We have to convert this period to an opportunity for a strong vaccination program. The most important agenda after that.</v>
      </c>
    </row>
    <row r="1556" spans="1:5" ht="15.75" customHeight="1" x14ac:dyDescent="0.25">
      <c r="A1556" s="1" t="s">
        <v>3111</v>
      </c>
      <c r="B1556" s="1">
        <v>8205</v>
      </c>
      <c r="C1556" s="3">
        <v>44204.619143518517</v>
      </c>
      <c r="D1556" s="1" t="s">
        <v>3112</v>
      </c>
      <c r="E1556" s="4" t="str">
        <f ca="1">IFERROR(__xludf.DUMMYFUNCTION("GOOGLETRANSLATE(A1556 , ""tr"" , ""en"")"),"In Istanbul, Ankara, Izmir, and Bursa, we have discussed the situation and vaccine preparations with our Governors and provincial health managers. In the last two weeks in Istanbul and Izmir, 40% in Izmir had 40% decrease in Ankara and Bursa. https://t.co"&amp;"/ffnfsrrewn")</f>
        <v>In Istanbul, Ankara, Izmir, and Bursa, we have discussed the situation and vaccine preparations with our Governors and provincial health managers. In the last two weeks in Istanbul and Izmir, 40% in Izmir had 40% decrease in Ankara and Bursa. https://t.co/ffnfsrrewn</v>
      </c>
    </row>
    <row r="1557" spans="1:5" ht="15.75" customHeight="1" x14ac:dyDescent="0.25">
      <c r="A1557" s="1" t="s">
        <v>3113</v>
      </c>
      <c r="B1557" s="1">
        <v>3731</v>
      </c>
      <c r="C1557" s="3">
        <v>44203.88553240741</v>
      </c>
      <c r="D1557" s="1" t="s">
        <v>3114</v>
      </c>
      <c r="E1557" s="4" t="str">
        <f ca="1">IFERROR(__xludf.DUMMYFUNCTION("GOOGLETRANSLATE(A1557 , ""tr"" , ""en"")"),"A significant portion of the countries, which are parties, is trying to agree with one-to-one vaccine companies to reach the vaccine early. Our old treasure and fiscal ministers of not to be included in this program have nothing to do with Mr. Berat Albay"&amp;"rak.")</f>
        <v>A significant portion of the countries, which are parties, is trying to agree with one-to-one vaccine companies to reach the vaccine early. Our old treasure and fiscal ministers of not to be included in this program have nothing to do with Mr. Berat Albayrak.</v>
      </c>
    </row>
    <row r="1558" spans="1:5" ht="15.75" customHeight="1" x14ac:dyDescent="0.25">
      <c r="A1558" s="1" t="s">
        <v>3115</v>
      </c>
      <c r="B1558" s="1">
        <v>7477</v>
      </c>
      <c r="C1558" s="3">
        <v>44203.88553240741</v>
      </c>
      <c r="D1558" s="1" t="s">
        <v>3116</v>
      </c>
      <c r="E1558" s="4" t="str">
        <f ca="1">IFERROR(__xludf.DUMMYFUNCTION("GOOGLETRANSLATE(A1558 , ""tr"" , ""en"")"),"COVAX formation is primarily planned for countries without access to vaccine. It is still not clear in which it will deliver the vaccine. The party is planned to give up to at least 10% of the population of countries.")</f>
        <v>COVAX formation is primarily planned for countries without access to vaccine. It is still not clear in which it will deliver the vaccine. The party is planned to give up to at least 10% of the population of countries.</v>
      </c>
    </row>
    <row r="1559" spans="1:5" ht="15.75" customHeight="1" x14ac:dyDescent="0.25">
      <c r="A1559" s="1" t="s">
        <v>3117</v>
      </c>
      <c r="B1559" s="1">
        <v>14687</v>
      </c>
      <c r="C1559" s="3">
        <v>44203.874178240738</v>
      </c>
      <c r="D1559" s="1" t="s">
        <v>3118</v>
      </c>
      <c r="E1559" s="4" t="str">
        <f ca="1">IFERROR(__xludf.DUMMYFUNCTION("GOOGLETRANSLATE(A1559 , ""tr"" , ""en"")"),"Following the approval of the emergency use, we aim to vaccinate all our citizens over the 18 years of age and starting from the critical tasks. The logistics planning was organized to cover all our hospitals, especially family health centers.")</f>
        <v>Following the approval of the emergency use, we aim to vaccinate all our citizens over the 18 years of age and starting from the critical tasks. The logistics planning was organized to cover all our hospitals, especially family health centers.</v>
      </c>
    </row>
    <row r="1560" spans="1:5" ht="15.75" customHeight="1" x14ac:dyDescent="0.25">
      <c r="A1560" s="1" t="s">
        <v>3119</v>
      </c>
      <c r="B1560" s="1">
        <v>10416</v>
      </c>
      <c r="C1560" s="3">
        <v>44203.873854166668</v>
      </c>
      <c r="D1560" s="1" t="s">
        <v>3120</v>
      </c>
      <c r="E1560" s="4" t="str">
        <f ca="1">IFERROR(__xludf.DUMMYFUNCTION("GOOGLETRANSLATE(A1560 , ""tr"" , ""en"")"),"Security tests are ongoing for the vaccines we received. If the tests are completed, the emergency use approval will be given if the results are suitable. Up to now, over 10,000 volunteers have been applied 17,700 dose vaccines and the results are continu"&amp;"ed to follow.")</f>
        <v>Security tests are ongoing for the vaccines we received. If the tests are completed, the emergency use approval will be given if the results are suitable. Up to now, over 10,000 volunteers have been applied 17,700 dose vaccines and the results are continued to follow.</v>
      </c>
    </row>
    <row r="1561" spans="1:5" ht="15.75" customHeight="1" x14ac:dyDescent="0.25">
      <c r="A1561" s="1" t="s">
        <v>3121</v>
      </c>
      <c r="B1561" s="1">
        <v>6138</v>
      </c>
      <c r="C1561" s="3">
        <v>44203.869016203702</v>
      </c>
      <c r="D1561" s="1" t="s">
        <v>3122</v>
      </c>
      <c r="E1561" s="4" t="str">
        <f ca="1">IFERROR(__xludf.DUMMYFUNCTION("GOOGLETRANSLATE(A1561 , ""tr"" , ""en"")"),"We addressed the vaccination planning at the first science committee of 2021. Our plans are ready. Be sure to use our strength for the vaccination we hope to end the global release. https://t.co/YIKU4CSUSV")</f>
        <v>We addressed the vaccination planning at the first science committee of 2021. Our plans are ready. Be sure to use our strength for the vaccination we hope to end the global release. https://t.co/YIKU4CSUSV</v>
      </c>
    </row>
    <row r="1562" spans="1:5" ht="15.75" customHeight="1" x14ac:dyDescent="0.25">
      <c r="A1562" s="1" t="s">
        <v>3123</v>
      </c>
      <c r="B1562" s="1">
        <v>5201</v>
      </c>
      <c r="C1562" s="3">
        <v>44203.767511574071</v>
      </c>
      <c r="D1562" s="1" t="s">
        <v>3124</v>
      </c>
      <c r="E1562" s="4" t="str">
        <f ca="1">IFERROR(__xludf.DUMMYFUNCTION("GOOGLETRANSLATE(A1562 , ""tr"" , ""en"")"),"World Health Organization (WHO) European Regional Director We have made a call through the video conference with Hans Kluge. Case increases in the European area in the interview, coronavirus Mutation in Turkey, the current situation and vaccine studies in"&amp;" Turkey. https://t.co/ksbjmdpl4v")</f>
        <v>World Health Organization (WHO) European Regional Director We have made a call through the video conference with Hans Kluge. Case increases in the European area in the interview, coronavirus Mutation in Turkey, the current situation and vaccine studies in Turkey. https://t.co/ksbjmdpl4v</v>
      </c>
    </row>
    <row r="1563" spans="1:5" ht="15.75" customHeight="1" x14ac:dyDescent="0.25">
      <c r="A1563" s="1" t="s">
        <v>3125</v>
      </c>
      <c r="B1563" s="1">
        <v>6996</v>
      </c>
      <c r="C1563" s="3">
        <v>44203.75236111111</v>
      </c>
      <c r="D1563" s="1" t="s">
        <v>3126</v>
      </c>
      <c r="E1563" s="4" t="str">
        <f ca="1">IFERROR(__xludf.DUMMYFUNCTION("GOOGLETRANSLATE(A1563 , ""tr"" , ""en"")"),"Today, our Minister of Industry and Technology is met with Mr. Mustafa Varank and evaluated our vaccine candidates to the human experiments phase in our domestic vaccine projects. All the possibilities of our institutions have the best vaccinations to gai"&amp;"n our country. https://t.co/dujshovpyz")</f>
        <v>Today, our Minister of Industry and Technology is met with Mr. Mustafa Varank and evaluated our vaccine candidates to the human experiments phase in our domestic vaccine projects. All the possibilities of our institutions have the best vaccinations to gain our country. https://t.co/dujshovpyz</v>
      </c>
    </row>
    <row r="1564" spans="1:5" ht="15.75" customHeight="1" x14ac:dyDescent="0.25">
      <c r="A1564" s="1" t="s">
        <v>3127</v>
      </c>
      <c r="B1564" s="1">
        <v>15285</v>
      </c>
      <c r="C1564" s="3">
        <v>44203.701886574076</v>
      </c>
      <c r="D1564" s="1" t="s">
        <v>3128</v>
      </c>
      <c r="E1564" s="4" t="str">
        <f ca="1">IFERROR(__xludf.DUMMYFUNCTION("GOOGLETRANSLATE(A1564 , ""tr"" , ""en"")"),"Professor Dr. We addressed the latest planning of BionTech vaccine with Uğur Sahin and his team. We also interpret how we can increase the number of vaccine doses allotted in our meeting. New production opportunities will increase in Turkey as it is commi"&amp;"ssioned. https://t.co/dzzttous0e")</f>
        <v>Professor Dr. We addressed the latest planning of BionTech vaccine with Uğur Sahin and his team. We also interpret how we can increase the number of vaccine doses allotted in our meeting. New production opportunities will increase in Turkey as it is commissioned. https://t.co/dzzttous0e</v>
      </c>
    </row>
    <row r="1565" spans="1:5" ht="15.75" customHeight="1" x14ac:dyDescent="0.25">
      <c r="A1565" s="1" t="s">
        <v>3129</v>
      </c>
      <c r="B1565" s="1">
        <v>10098</v>
      </c>
      <c r="C1565" s="3">
        <v>44203.682395833333</v>
      </c>
      <c r="D1565" s="1" t="s">
        <v>3130</v>
      </c>
      <c r="E1565" s="4" t="str">
        <f ca="1">IFERROR(__xludf.DUMMYFUNCTION("GOOGLETRANSLATE(A1565 , ""tr"" , ""en"")"),"We have 1,370 new patients identified today. Our severe patient number is running out every day. The limited increase in our active case is observed. Restraint and measures continue to give a result. We will win if we struggle by complying with restraint "&amp;"and measures. https://t.co/rvlhe7786o")</f>
        <v>We have 1,370 new patients identified today. Our severe patient number is running out every day. The limited increase in our active case is observed. Restraint and measures continue to give a result. We will win if we struggle by complying with restraint and measures. https://t.co/rvlhe7786o</v>
      </c>
    </row>
    <row r="1566" spans="1:5" ht="15.75" customHeight="1" x14ac:dyDescent="0.25">
      <c r="A1566" s="1" t="s">
        <v>3131</v>
      </c>
      <c r="B1566" s="1">
        <v>8967</v>
      </c>
      <c r="C1566" s="3">
        <v>44202.950671296298</v>
      </c>
      <c r="D1566" s="1" t="s">
        <v>3132</v>
      </c>
      <c r="E1566" s="4" t="str">
        <f ca="1">IFERROR(__xludf.DUMMYFUNCTION("GOOGLETRANSLATE(A1566 , ""tr"" , ""en"")"),"Our President of the Recep Tayyip Erdogan and Albania Prime Minister Rama prime; We have signed the cooperation agreement between the two countries in the field of health and signed in conjunction with the Minister of Health and Social Protection Ogerta. "&amp;"Congratulations. https://t.co/aIzhdjd6lv")</f>
        <v>Our President of the Recep Tayyip Erdogan and Albania Prime Minister Rama prime; We have signed the cooperation agreement between the two countries in the field of health and signed in conjunction with the Minister of Health and Social Protection Ogerta. Congratulations. https://t.co/aIzhdjd6lv</v>
      </c>
    </row>
    <row r="1567" spans="1:5" ht="15.75" customHeight="1" x14ac:dyDescent="0.25">
      <c r="A1567" s="1" t="s">
        <v>3133</v>
      </c>
      <c r="B1567" s="1">
        <v>12780</v>
      </c>
      <c r="C1567" s="3">
        <v>44202.68545138889</v>
      </c>
      <c r="D1567" s="1" t="s">
        <v>3134</v>
      </c>
      <c r="E1567" s="4" t="str">
        <f ca="1">IFERROR(__xludf.DUMMYFUNCTION("GOOGLETRANSLATE(A1567 , ""tr"" , ""en"")"),"We have 1,458 new patients identified today. Our active case count is still static. Our severe patient count is rejoicing to a decrease. The number of losses has a tendency to decrease. Together measure and we will win with combat. https://t.co/rvlhe7786o")</f>
        <v>We have 1,458 new patients identified today. Our active case count is still static. Our severe patient count is rejoicing to a decrease. The number of losses has a tendency to decrease. Together measure and we will win with combat. https://t.co/rvlhe7786o</v>
      </c>
    </row>
    <row r="1568" spans="1:5" ht="15.75" customHeight="1" x14ac:dyDescent="0.25">
      <c r="A1568" s="1" t="s">
        <v>3135</v>
      </c>
      <c r="B1568" s="1">
        <v>0</v>
      </c>
      <c r="C1568" s="3">
        <v>44202.67454861111</v>
      </c>
      <c r="D1568" s="1" t="s">
        <v>3136</v>
      </c>
      <c r="E1568" s="4" t="str">
        <f ca="1">IFERROR(__xludf.DUMMYFUNCTION("GOOGLETRANSLATE(A1568 , ""tr"" , ""en"")"),"RT @rterdogan: Common press conference with Albanian Prime Minister Edi Rama
Declarate Per Mediating SE Bashku Me Kryeministrin e Shqiperise Z. Ed ...")</f>
        <v>RT @rterdogan: Common press conference with Albanian Prime Minister Edi Rama
Declarate Per Mediating SE Bashku Me Kryeministrin e Shqiperise Z. Ed ...</v>
      </c>
    </row>
    <row r="1569" spans="1:5" ht="15.75" customHeight="1" x14ac:dyDescent="0.25">
      <c r="A1569" s="1" t="s">
        <v>3137</v>
      </c>
      <c r="B1569" s="1">
        <v>21428</v>
      </c>
      <c r="C1569" s="3">
        <v>44202.293530092589</v>
      </c>
      <c r="D1569" s="1" t="s">
        <v>3138</v>
      </c>
      <c r="E1569" s="4" t="str">
        <f ca="1">IFERROR(__xludf.DUMMYFUNCTION("GOOGLETRANSLATE(A1569 , ""tr"" , ""en"")"),"The 'Dirty' direction of the SMA campaign is that some global companies abuse our man's good intentions. All the efforts of acting with sincere feelings are innocent. Each treatment that our SMA science assembly is appropriate, is applied to each suitable"&amp;" patient. The subject is not fiscal, human.")</f>
        <v>The 'Dirty' direction of the SMA campaign is that some global companies abuse our man's good intentions. All the efforts of acting with sincere feelings are innocent. Each treatment that our SMA science assembly is appropriate, is applied to each suitable patient. The subject is not fiscal, human.</v>
      </c>
    </row>
    <row r="1570" spans="1:5" ht="15.75" customHeight="1" x14ac:dyDescent="0.25">
      <c r="A1570" s="1" t="s">
        <v>3139</v>
      </c>
      <c r="B1570" s="1">
        <v>24233</v>
      </c>
      <c r="C1570" s="3">
        <v>44201.891423611109</v>
      </c>
      <c r="D1570" s="1" t="s">
        <v>3140</v>
      </c>
      <c r="E1570" s="4" t="str">
        <f ca="1">IFERROR(__xludf.DUMMYFUNCTION("GOOGLETRANSLATE(A1570 , ""tr"" , ""en"")"),"A vaccine candidate is in the phase II stage, our 6-vaccine candidates came to the phase I study. All of our facilities were mobilized to give us the best vaccination. We will achieve the effort of our people from science and our scientists.")</f>
        <v>A vaccine candidate is in the phase II stage, our 6-vaccine candidates came to the phase I study. All of our facilities were mobilized to give us the best vaccination. We will achieve the effort of our people from science and our scientists.</v>
      </c>
    </row>
    <row r="1571" spans="1:5" ht="15.75" customHeight="1" x14ac:dyDescent="0.25">
      <c r="A1571" s="1" t="s">
        <v>3141</v>
      </c>
      <c r="B1571" s="1">
        <v>8288</v>
      </c>
      <c r="C1571" s="3">
        <v>44201.873043981483</v>
      </c>
      <c r="D1571" s="1" t="s">
        <v>3142</v>
      </c>
      <c r="E1571" s="4" t="str">
        <f ca="1">IFERROR(__xludf.DUMMYFUNCTION("GOOGLETRANSLATE(A1571 , ""tr"" , ""en"")"),"We made a meeting on the continuing vaccination studies in our country. The scientific and technical infrastructure of our country, believe that our scientists and efforts will give us the best vaccinations to us. https://t.co/fobzeevnpq")</f>
        <v>We made a meeting on the continuing vaccination studies in our country. The scientific and technical infrastructure of our country, believe that our scientists and efforts will give us the best vaccinations to us. https://t.co/fobzeevnpq</v>
      </c>
    </row>
    <row r="1572" spans="1:5" ht="15.75" customHeight="1" x14ac:dyDescent="0.25">
      <c r="A1572" s="1" t="s">
        <v>3143</v>
      </c>
      <c r="B1572" s="1">
        <v>24221</v>
      </c>
      <c r="C1572" s="3">
        <v>44201.813969907409</v>
      </c>
      <c r="D1572" s="1" t="s">
        <v>3144</v>
      </c>
      <c r="E1572" s="4" t="str">
        <f ca="1">IFERROR(__xludf.DUMMYFUNCTION("GOOGLETRANSLATE(A1572 , ""tr"" , ""en"")"),"The sacrificing the heart of the homeland is awarded the supreme hearts that hit the heart for the homeland. Our sacrificing health workers are also the kind of values ​​we lost in the fight against terrorism. I'm giving up the Fethi Sekin, who gave up ou"&amp;"r own to protect us, and gratefully.")</f>
        <v>The sacrificing the heart of the homeland is awarded the supreme hearts that hit the heart for the homeland. Our sacrificing health workers are also the kind of values ​​we lost in the fight against terrorism. I'm giving up the Fethi Sekin, who gave up our own to protect us, and gratefully.</v>
      </c>
    </row>
    <row r="1573" spans="1:5" ht="15.75" customHeight="1" x14ac:dyDescent="0.25">
      <c r="A1573" s="1" t="s">
        <v>3145</v>
      </c>
      <c r="B1573" s="1">
        <v>12986</v>
      </c>
      <c r="C1573" s="3">
        <v>44201.680972222224</v>
      </c>
      <c r="D1573" s="1" t="s">
        <v>3146</v>
      </c>
      <c r="E1573" s="4" t="str">
        <f ca="1">IFERROR(__xludf.DUMMYFUNCTION("GOOGLETRANSLATE(A1573 , ""tr"" , ""en"")"),"We have 1,477 new patients identified today. Our heavy patient count continues to decrease. Our losses tend to decrease due to the reduction in the number of severe patients. We have to struggle together and continuously to get results. https://t.co/rvlhe"&amp;"7786o")</f>
        <v>We have 1,477 new patients identified today. Our heavy patient count continues to decrease. Our losses tend to decrease due to the reduction in the number of severe patients. We have to struggle together and continuously to get results. https://t.co/rvlhe7786o</v>
      </c>
    </row>
    <row r="1574" spans="1:5" ht="15.75" customHeight="1" x14ac:dyDescent="0.25">
      <c r="A1574" s="1" t="s">
        <v>3147</v>
      </c>
      <c r="B1574" s="1">
        <v>15006</v>
      </c>
      <c r="C1574" s="3">
        <v>44200.684861111113</v>
      </c>
      <c r="D1574" s="1" t="s">
        <v>3148</v>
      </c>
      <c r="E1574" s="4" t="str">
        <f ca="1">IFERROR(__xludf.DUMMYFUNCTION("GOOGLETRANSLATE(A1574 , ""tr"" , ""en"")"),"We have 1,508 new patients identified today. Our severe patient count continues to fall. We have to make the gains we obtained with restraint and measures. We are strong if we move together. https://t.co/rvlhe7786o")</f>
        <v>We have 1,508 new patients identified today. Our severe patient count continues to fall. We have to make the gains we obtained with restraint and measures. We are strong if we move together. https://t.co/rvlhe7786o</v>
      </c>
    </row>
    <row r="1575" spans="1:5" ht="15.75" customHeight="1" x14ac:dyDescent="0.25">
      <c r="A1575" s="1" t="s">
        <v>3149</v>
      </c>
      <c r="B1575" s="1">
        <v>52138</v>
      </c>
      <c r="C1575" s="3">
        <v>44199.806608796294</v>
      </c>
      <c r="D1575" s="1" t="s">
        <v>3150</v>
      </c>
      <c r="E1575" s="4" t="str">
        <f ca="1">IFERROR(__xludf.DUMMYFUNCTION("GOOGLETRANSLATE(A1575 , ""tr"" , ""en"")"),"With the pressure of drug companies, we will not allow our children as guinea pigs. In our country, SMA disease is not visible, all of our patients are treated until we are treated. https://t.co/qao1xc6ghm")</f>
        <v>With the pressure of drug companies, we will not allow our children as guinea pigs. In our country, SMA disease is not visible, all of our patients are treated until we are treated. https://t.co/qao1xc6ghm</v>
      </c>
    </row>
    <row r="1576" spans="1:5" ht="15.75" customHeight="1" x14ac:dyDescent="0.25">
      <c r="A1576" s="1" t="s">
        <v>3151</v>
      </c>
      <c r="B1576" s="1">
        <v>18634</v>
      </c>
      <c r="C1576" s="3">
        <v>44199.672766203701</v>
      </c>
      <c r="D1576" s="1" t="s">
        <v>3152</v>
      </c>
      <c r="E1576" s="4" t="str">
        <f ca="1">IFERROR(__xludf.DUMMYFUNCTION("GOOGLETRANSLATE(A1576 , ""tr"" , ""en"")"),"We have 1,515 new patients identified today. After a long break, the number of cases landed below 10,000. Depending on the decline in restrictions and test demand, the case numbers are more than expected to make it permanent. We are strong together. https"&amp;"://t.co/rvlhe7786o")</f>
        <v>We have 1,515 new patients identified today. After a long break, the number of cases landed below 10,000. Depending on the decline in restrictions and test demand, the case numbers are more than expected to make it permanent. We are strong together. https://t.co/rvlhe7786o</v>
      </c>
    </row>
    <row r="1577" spans="1:5" ht="15.75" customHeight="1" x14ac:dyDescent="0.25">
      <c r="A1577" s="1" t="s">
        <v>3153</v>
      </c>
      <c r="B1577" s="1">
        <v>14865</v>
      </c>
      <c r="C1577" s="3">
        <v>44199.578240740739</v>
      </c>
      <c r="D1577" s="1" t="s">
        <v>3154</v>
      </c>
      <c r="E1577" s="4" t="str">
        <f ca="1">IFERROR(__xludf.DUMMYFUNCTION("GOOGLETRANSLATE(A1577 , ""tr"" , ""en"")"),"We cannot stop the flow of time. We can slow down and stop the propagation of the disease. Thank you to all our citizens that fits patiently to restraint and measures. https://t.co/lqbno8uxhr")</f>
        <v>We cannot stop the flow of time. We can slow down and stop the propagation of the disease. Thank you to all our citizens that fits patiently to restraint and measures. https://t.co/lqbno8uxhr</v>
      </c>
    </row>
    <row r="1578" spans="1:5" ht="15.75" customHeight="1" x14ac:dyDescent="0.25">
      <c r="A1578" s="1" t="s">
        <v>3155</v>
      </c>
      <c r="B1578" s="1">
        <v>9804</v>
      </c>
      <c r="C1578" s="3">
        <v>44198.754814814813</v>
      </c>
      <c r="D1578" s="1" t="s">
        <v>3156</v>
      </c>
      <c r="E1578" s="4" t="str">
        <f ca="1">IFERROR(__xludf.DUMMYFUNCTION("GOOGLETRANSLATE(A1578 , ""tr"" , ""en"")"),"Every breath we received is very precious. Let's put your distance from old normals today to protect our breath. Let's compromise from measures. https://t.co/Iaefzencd7")</f>
        <v>Every breath we received is very precious. Let's put your distance from old normals today to protect our breath. Let's compromise from measures. https://t.co/Iaefzencd7</v>
      </c>
    </row>
    <row r="1579" spans="1:5" ht="15.75" customHeight="1" x14ac:dyDescent="0.25">
      <c r="A1579" s="1" t="s">
        <v>3157</v>
      </c>
      <c r="B1579" s="1">
        <v>13616</v>
      </c>
      <c r="C1579" s="3">
        <v>44198.69971064815</v>
      </c>
      <c r="D1579" s="1" t="s">
        <v>3158</v>
      </c>
      <c r="E1579" s="4" t="str">
        <f ca="1">IFERROR(__xludf.DUMMYFUNCTION("GOOGLETRANSLATE(A1579 , ""tr"" , ""en"")"),"Let's take our measure of sadness without stealing our door. https://t.co/7rtxzvsvch")</f>
        <v>Let's take our measure of sadness without stealing our door. https://t.co/7rtxzvsvch</v>
      </c>
    </row>
    <row r="1580" spans="1:5" ht="15.75" customHeight="1" x14ac:dyDescent="0.25">
      <c r="A1580" s="1" t="s">
        <v>3159</v>
      </c>
      <c r="B1580" s="1">
        <v>13495</v>
      </c>
      <c r="C1580" s="3">
        <v>44198.667534722219</v>
      </c>
      <c r="D1580" s="1" t="s">
        <v>3160</v>
      </c>
      <c r="E1580" s="4" t="str">
        <f ca="1">IFERROR(__xludf.DUMMYFUNCTION("GOOGLETRANSLATE(A1580 , ""tr"" , ""en"")"),"We have 1,713 new patients identified today. The severe patient is the decline in our number. Our greatest expectation for further reduction of our losses. We have to obey the measures until you succeed in the vaccination program successfully. We are stro"&amp;"ng if we move together. https://t.co/rvlhe7786o")</f>
        <v>We have 1,713 new patients identified today. The severe patient is the decline in our number. Our greatest expectation for further reduction of our losses. We have to obey the measures until you succeed in the vaccination program successfully. We are strong if we move together. https://t.co/rvlhe7786o</v>
      </c>
    </row>
    <row r="1581" spans="1:5" ht="15.75" customHeight="1" x14ac:dyDescent="0.25">
      <c r="A1581" s="1" t="s">
        <v>3161</v>
      </c>
      <c r="B1581" s="1">
        <v>10912</v>
      </c>
      <c r="C1581" s="3">
        <v>44198.522777777776</v>
      </c>
      <c r="D1581" s="1" t="s">
        <v>3162</v>
      </c>
      <c r="E1581" s="4" t="str">
        <f ca="1">IFERROR(__xludf.DUMMYFUNCTION("GOOGLETRANSLATE(A1581 , ""tr"" , ""en"")"),"The number of citizens who lost their life in the terrorist attack in Somalia rose to 2. We continue in our hospital of Mogadishu Recep Tayyip Erdoğan to the treatment of the Turkish 14 people. Our wounded citizens have no vital danger. I strongly condemn"&amp;" the attack.")</f>
        <v>The number of citizens who lost their life in the terrorist attack in Somalia rose to 2. We continue in our hospital of Mogadishu Recep Tayyip Erdoğan to the treatment of the Turkish 14 people. Our wounded citizens have no vital danger. I strongly condemn the attack.</v>
      </c>
    </row>
    <row r="1582" spans="1:5" ht="15.75" customHeight="1" x14ac:dyDescent="0.25">
      <c r="A1582" s="1" t="s">
        <v>3163</v>
      </c>
      <c r="B1582" s="1">
        <v>16855</v>
      </c>
      <c r="C1582" s="3">
        <v>44198.380196759259</v>
      </c>
      <c r="D1582" s="1" t="s">
        <v>3164</v>
      </c>
      <c r="E1582" s="4" t="str">
        <f ca="1">IFERROR(__xludf.DUMMYFUNCTION("GOOGLETRANSLATE(A1582 , ""tr"" , ""en"")"),"Professor Dr. Murat Dilmener and Professor Dr. Feriha Self Emergency We received each of our hospitals as 1008 rooms and a single bed. To date, he has served 235 thousand patients. We also have the answer to give to bed. We are in the service of our natio"&amp;"n. https://t.co/9qzadpjwpj")</f>
        <v>Professor Dr. Murat Dilmener and Professor Dr. Feriha Self Emergency We received each of our hospitals as 1008 rooms and a single bed. To date, he has served 235 thousand patients. We also have the answer to give to bed. We are in the service of our nation. https://t.co/9qzadpjwpj</v>
      </c>
    </row>
    <row r="1583" spans="1:5" ht="15.75" customHeight="1" x14ac:dyDescent="0.25">
      <c r="A1583" s="1" t="s">
        <v>3165</v>
      </c>
      <c r="B1583" s="1">
        <v>11354</v>
      </c>
      <c r="C1583" s="3">
        <v>44197.928599537037</v>
      </c>
      <c r="D1583" s="1" t="s">
        <v>3166</v>
      </c>
      <c r="E1583" s="4" t="str">
        <f ca="1">IFERROR(__xludf.DUMMYFUNCTION("GOOGLETRANSLATE(A1583 , ""tr"" , ""en"")"),"State Old Minister TEOMAN RIZA GÜNERİ GÜNERİ LEARNING OUR SHIPPING MEHEREMY DAY, I have learned that the National Opinion movement has received the Symbol names of Ali Genterian gentlemen Rank-i Rahman. The case was human, withaw.")</f>
        <v>State Old Minister TEOMAN RIZA GÜNERİ GÜNERİ LEARNING OUR SHIPPING MEHEREMY DAY, I have learned that the National Opinion movement has received the Symbol names of Ali Genterian gentlemen Rank-i Rahman. The case was human, withaw.</v>
      </c>
    </row>
    <row r="1584" spans="1:5" ht="15.75" customHeight="1" x14ac:dyDescent="0.25">
      <c r="A1584" s="1" t="s">
        <v>3167</v>
      </c>
      <c r="B1584" s="1">
        <v>25659</v>
      </c>
      <c r="C1584" s="3">
        <v>44197.709837962961</v>
      </c>
      <c r="D1584" s="1" t="s">
        <v>3168</v>
      </c>
      <c r="E1584" s="4" t="str">
        <f ca="1">IFERROR(__xludf.DUMMYFUNCTION("GOOGLETRANSLATE(A1584 , ""tr"" , ""en"")"),"In the reviews of the UK-welded mutation, 15 mutated viruses were detected and controlled in 15 people who are introduced from this country. Introductions from the UK are temporarily completely stopped. https://t.co/vljxs784bg")</f>
        <v>In the reviews of the UK-welded mutation, 15 mutated viruses were detected and controlled in 15 people who are introduced from this country. Introductions from the UK are temporarily completely stopped. https://t.co/vljxs784bg</v>
      </c>
    </row>
    <row r="1585" spans="1:5" ht="15.75" customHeight="1" x14ac:dyDescent="0.25">
      <c r="A1585" s="1" t="s">
        <v>3169</v>
      </c>
      <c r="B1585" s="1">
        <v>12717</v>
      </c>
      <c r="C1585" s="3">
        <v>44197.687210648146</v>
      </c>
      <c r="D1585" s="1" t="s">
        <v>3170</v>
      </c>
      <c r="E1585" s="4" t="str">
        <f ca="1">IFERROR(__xludf.DUMMYFUNCTION("GOOGLETRANSLATE(A1585 , ""tr"" , ""en"")"),"We have 1,908 patients identified today. The number of active cases, the number of severe patients continues to fall. The tendency to fall in our losses began. Our losses will be reduced depending on the decrease in the number of severe patients. I believ"&amp;"e the disruptive effect of the epidemic will decrease. https://t.co/rvlhe7786o")</f>
        <v>We have 1,908 patients identified today. The number of active cases, the number of severe patients continues to fall. The tendency to fall in our losses began. Our losses will be reduced depending on the decrease in the number of severe patients. I believe the disruptive effect of the epidemic will decrease. https://t.co/rvlhe7786o</v>
      </c>
    </row>
    <row r="1586" spans="1:5" ht="15.75" customHeight="1" x14ac:dyDescent="0.25">
      <c r="A1586" s="1" t="s">
        <v>3171</v>
      </c>
      <c r="B1586" s="1">
        <v>8432</v>
      </c>
      <c r="C1586" s="3">
        <v>44196.996157407404</v>
      </c>
      <c r="D1586" s="1" t="s">
        <v>3172</v>
      </c>
      <c r="E1586" s="4" t="str">
        <f ca="1">IFERROR(__xludf.DUMMYFUNCTION("GOOGLETRANSLATE(A1586 , ""tr"" , ""en"")"),"The name is Islands. In the new year, Pine and Sakura city came to the world in our hospital. The mother is also very healthy. We have partnered with the video call method to the joy of the family. I'm married and wish her family a healthy life. https://t"&amp;".co/rk7dpfq55h")</f>
        <v>The name is Islands. In the new year, Pine and Sakura city came to the world in our hospital. The mother is also very healthy. We have partnered with the video call method to the joy of the family. I'm married and wish her family a healthy life. https://t.co/rk7dpfq55h</v>
      </c>
    </row>
    <row r="1587" spans="1:5" ht="15.75" customHeight="1" x14ac:dyDescent="0.25">
      <c r="A1587" s="1" t="s">
        <v>3173</v>
      </c>
      <c r="B1587" s="1">
        <v>12086</v>
      </c>
      <c r="C1587" s="3">
        <v>44196.940324074072</v>
      </c>
      <c r="D1587" s="1" t="s">
        <v>3174</v>
      </c>
      <c r="E1587" s="4" t="str">
        <f ca="1">IFERROR(__xludf.DUMMYFUNCTION("GOOGLETRANSLATE(A1587 , ""tr"" , ""en"")"),"In the New Year Istanbul European Side Command Control Center, we have met our tasks with our working friends. The effort of our health workers will be the year that finished 2021 epidemics with our nation's support. ""Health Workers' Year"" will pass on "&amp;"history as their success. https://t.co/nb0ermswps")</f>
        <v>In the New Year Istanbul European Side Command Control Center, we have met our tasks with our working friends. The effort of our health workers will be the year that finished 2021 epidemics with our nation's support. "Health Workers' Year" will pass on history as their success. https://t.co/nb0ermswps</v>
      </c>
    </row>
    <row r="1588" spans="1:5" ht="15.75" customHeight="1" x14ac:dyDescent="0.25">
      <c r="A1588" s="1" t="s">
        <v>3175</v>
      </c>
      <c r="B1588" s="1">
        <v>17599</v>
      </c>
      <c r="C1588" s="3">
        <v>44196.762407407405</v>
      </c>
      <c r="D1588" s="1" t="s">
        <v>3176</v>
      </c>
      <c r="E1588" s="4" t="str">
        <f ca="1">IFERROR(__xludf.DUMMYFUNCTION("GOOGLETRANSLATE(A1588 , ""tr"" , ""en"")"),"The coronavirus disease gave its name 2019. But he pluck 2020 years of social and economic life. 2021 was agreed to ""Health Workers Year"" with our offer all over the world.
Don't forget! After every night one morning, there is a width after every stenos"&amp;"is. https://t.co/r5paenjsnv")</f>
        <v>The coronavirus disease gave its name 2019. But he pluck 2020 years of social and economic life. 2021 was agreed to "Health Workers Year" with our offer all over the world.
Don't forget! After every night one morning, there is a width after every stenosis. https://t.co/r5paenjsnv</v>
      </c>
    </row>
    <row r="1589" spans="1:5" ht="15.75" customHeight="1" x14ac:dyDescent="0.25">
      <c r="A1589" s="1" t="s">
        <v>3177</v>
      </c>
      <c r="B1589" s="1">
        <v>11032</v>
      </c>
      <c r="C1589" s="3">
        <v>44196.684444444443</v>
      </c>
      <c r="D1589" s="1" t="s">
        <v>3178</v>
      </c>
      <c r="E1589" s="4" t="str">
        <f ca="1">IFERROR(__xludf.DUMMYFUNCTION("GOOGLETRANSLATE(A1589 , ""tr"" , ""en"")"),"We have 2,219 new patients identified today. We expect the decline in the number of our losses to be permanent and continuous. Our severe patient numbers landed at the bottom of 4,000. By moving planned and cautious, we will be successful in accord with t"&amp;"he restrictions. https://t.co/rvlhe7786o")</f>
        <v>We have 2,219 new patients identified today. We expect the decline in the number of our losses to be permanent and continuous. Our severe patient numbers landed at the bottom of 4,000. By moving planned and cautious, we will be successful in accord with the restrictions. https://t.co/rvlhe7786o</v>
      </c>
    </row>
    <row r="1590" spans="1:5" ht="15.75" customHeight="1" x14ac:dyDescent="0.25">
      <c r="A1590" s="1" t="s">
        <v>3179</v>
      </c>
      <c r="B1590" s="1">
        <v>9871</v>
      </c>
      <c r="C1590" s="3">
        <v>44195.760763888888</v>
      </c>
      <c r="D1590" s="1" t="s">
        <v>3180</v>
      </c>
      <c r="E1590" s="4" t="str">
        <f ca="1">IFERROR(__xludf.DUMMYFUNCTION("GOOGLETRANSLATE(A1590 , ""tr"" , ""en"")"),"The vaccine will be distributed in accordance with the risk management strategy and the results will be shared instant and alive. In accordance with the strategy determined by our Science Board, it will be applied in two doses of 28 days. https://t.co/usi"&amp;"5lqqelh")</f>
        <v>The vaccine will be distributed in accordance with the risk management strategy and the results will be shared instant and alive. In accordance with the strategy determined by our Science Board, it will be applied in two doses of 28 days. https://t.co/usi5lqqelh</v>
      </c>
    </row>
    <row r="1591" spans="1:5" ht="15.75" customHeight="1" x14ac:dyDescent="0.25">
      <c r="A1591" s="1" t="s">
        <v>3181</v>
      </c>
      <c r="B1591" s="1">
        <v>11848</v>
      </c>
      <c r="C1591" s="3">
        <v>44195.687094907407</v>
      </c>
      <c r="D1591" s="1" t="s">
        <v>3182</v>
      </c>
      <c r="E1591" s="4" t="str">
        <f ca="1">IFERROR(__xludf.DUMMYFUNCTION("GOOGLETRANSLATE(A1591 , ""tr"" , ""en"")"),"We have 2,612 new patients identified today. Our patient numbers in severe patients and intensive care continues to fall. I hope to see the reflection of this situation in the near future. Beats the fighting virus together. https://t.co/rvlhe7786o")</f>
        <v>We have 2,612 new patients identified today. Our patient numbers in severe patients and intensive care continues to fall. I hope to see the reflection of this situation in the near future. Beats the fighting virus together. https://t.co/rvlhe7786o</v>
      </c>
    </row>
    <row r="1592" spans="1:5" ht="15.75" customHeight="1" x14ac:dyDescent="0.25">
      <c r="A1592" s="1" t="s">
        <v>3183</v>
      </c>
      <c r="B1592" s="1">
        <v>24517</v>
      </c>
      <c r="C1592" s="3">
        <v>44195.114571759259</v>
      </c>
      <c r="D1592" s="1" t="s">
        <v>3184</v>
      </c>
      <c r="E1592" s="4" t="str">
        <f ca="1">IFERROR(__xludf.DUMMYFUNCTION("GOOGLETRANSLATE(A1592 , ""tr"" , ""en"")"),"The plane bringing our vaccines reached our airport. 14 days will take tests immediately Turkey's medicine and medical device will start in our institution. If the tests do not end, our vaccination program will take place in public health GM coordination."&amp;" We will achieve together.")</f>
        <v>The plane bringing our vaccines reached our airport. 14 days will take tests immediately Turkey's medicine and medical device will start in our institution. If the tests do not end, our vaccination program will take place in public health GM coordination. We will achieve together.</v>
      </c>
    </row>
    <row r="1593" spans="1:5" ht="15.75" customHeight="1" x14ac:dyDescent="0.25">
      <c r="A1593" s="1" t="s">
        <v>3185</v>
      </c>
      <c r="B1593" s="1">
        <v>41947</v>
      </c>
      <c r="C1593" s="3">
        <v>44194.964583333334</v>
      </c>
      <c r="D1593" s="1" t="s">
        <v>3186</v>
      </c>
      <c r="E1593" s="4" t="str">
        <f ca="1">IFERROR(__xludf.DUMMYFUNCTION("GOOGLETRANSLATE(A1593 , ""tr"" , ""en"")"),"Hope it is today as the widths that stenosis ends. The aircraft belonging to the Turkish Airlines carrying our vaccines is expected to reach our Esenboğa Airport in 05.30 this morning.")</f>
        <v>Hope it is today as the widths that stenosis ends. The aircraft belonging to the Turkish Airlines carrying our vaccines is expected to reach our Esenboğa Airport in 05.30 this morning.</v>
      </c>
    </row>
    <row r="1594" spans="1:5" ht="15.75" customHeight="1" x14ac:dyDescent="0.25">
      <c r="A1594" s="1" t="s">
        <v>3187</v>
      </c>
      <c r="B1594" s="1">
        <v>10183</v>
      </c>
      <c r="C1594" s="3">
        <v>44194.937094907407</v>
      </c>
      <c r="D1594" s="1" t="s">
        <v>3188</v>
      </c>
      <c r="E1594" s="4" t="str">
        <f ca="1">IFERROR(__xludf.DUMMYFUNCTION("GOOGLETRANSLATE(A1594 , ""tr"" , ""en"")"),"Our disclosure on allegations that are used in the vaccine supply, our disclosure is added. Our nation is the owner of the irfan. He sees truth and have it. https://t.co/ocz0erdgqc")</f>
        <v>Our disclosure on allegations that are used in the vaccine supply, our disclosure is added. Our nation is the owner of the irfan. He sees truth and have it. https://t.co/ocz0erdgqc</v>
      </c>
    </row>
    <row r="1595" spans="1:5" ht="15.75" customHeight="1" x14ac:dyDescent="0.25">
      <c r="A1595" s="1" t="s">
        <v>3189</v>
      </c>
      <c r="B1595" s="1">
        <v>25885</v>
      </c>
      <c r="C1595" s="3">
        <v>44194.712905092594</v>
      </c>
      <c r="D1595" s="1" t="s">
        <v>3190</v>
      </c>
      <c r="E1595" s="4" t="str">
        <f ca="1">IFERROR(__xludf.DUMMYFUNCTION("GOOGLETRANSLATE(A1595 , ""tr"" , ""en"")"),"The airplane that brings the first part of our inactive vaccines in 19.50 in 19.50 were aired from Beijing airport. We expect to be here tomorrow morning. We will continue to report the developments.")</f>
        <v>The airplane that brings the first part of our inactive vaccines in 19.50 in 19.50 were aired from Beijing airport. We expect to be here tomorrow morning. We will continue to report the developments.</v>
      </c>
    </row>
    <row r="1596" spans="1:5" ht="15.75" customHeight="1" x14ac:dyDescent="0.25">
      <c r="A1596" s="1" t="s">
        <v>3191</v>
      </c>
      <c r="B1596" s="1">
        <v>11098</v>
      </c>
      <c r="C1596" s="3">
        <v>44194.673402777778</v>
      </c>
      <c r="D1596" s="1" t="s">
        <v>3192</v>
      </c>
      <c r="E1596" s="4" t="str">
        <f ca="1">IFERROR(__xludf.DUMMYFUNCTION("GOOGLETRANSLATE(A1596 , ""tr"" , ""en"")"),"We have 2,783 new patients identified today. The decline in the number of active cases continues. While slowing down in the speed of decline, our severe patient count continues to fall. Restrictions give results. We must obey the measures patiently until "&amp;"the result is as well as the result. https://t.co/rvlhe7786o")</f>
        <v>We have 2,783 new patients identified today. The decline in the number of active cases continues. While slowing down in the speed of decline, our severe patient count continues to fall. Restrictions give results. We must obey the measures patiently until the result is as well as the result. https://t.co/rvlhe7786o</v>
      </c>
    </row>
    <row r="1597" spans="1:5" ht="15.75" customHeight="1" x14ac:dyDescent="0.25">
      <c r="A1597" s="1" t="s">
        <v>3193</v>
      </c>
      <c r="B1597" s="1">
        <v>8541</v>
      </c>
      <c r="C1597" s="3">
        <v>44193.775625000002</v>
      </c>
      <c r="D1597" s="1" t="s">
        <v>3194</v>
      </c>
      <c r="E1597" s="4" t="str">
        <f ca="1">IFERROR(__xludf.DUMMYFUNCTION("GOOGLETRANSLATE(A1597 , ""tr"" , ""en"")"),"Let us support measures to the struggle of our health workers. Let's not forget that the measures are also the security of our social life. https://t.co/rsqxIziwre")</f>
        <v>Let us support measures to the struggle of our health workers. Let's not forget that the measures are also the security of our social life. https://t.co/rsqxIziwre</v>
      </c>
    </row>
    <row r="1598" spans="1:5" ht="15.75" customHeight="1" x14ac:dyDescent="0.25">
      <c r="A1598" s="1" t="s">
        <v>3195</v>
      </c>
      <c r="B1598" s="1">
        <v>12217</v>
      </c>
      <c r="C1598" s="3">
        <v>44193.67864583333</v>
      </c>
      <c r="D1598" s="1" t="s">
        <v>3196</v>
      </c>
      <c r="E1598" s="4" t="str">
        <f ca="1">IFERROR(__xludf.DUMMYFUNCTION("GOOGLETRANSLATE(A1598 , ""tr"" , ""en"")"),"We have 2,816 new patients identified today. The number of active cases continues to fall. Conditions of full compliance with measures and restrictions to be able to maintain their achievements and fight outbreaks. We will overcome together. https://t.co/"&amp;"rvlhe7786o")</f>
        <v>We have 2,816 new patients identified today. The number of active cases continues to fall. Conditions of full compliance with measures and restrictions to be able to maintain their achievements and fight outbreaks. We will overcome together. https://t.co/rvlhe7786o</v>
      </c>
    </row>
    <row r="1599" spans="1:5" ht="15.75" customHeight="1" x14ac:dyDescent="0.25">
      <c r="A1599" s="1" t="s">
        <v>3197</v>
      </c>
      <c r="B1599" s="1">
        <v>0</v>
      </c>
      <c r="C1599" s="3">
        <v>44193.639409722222</v>
      </c>
      <c r="D1599" s="1" t="s">
        <v>3198</v>
      </c>
      <c r="E1599" s="4" t="str">
        <f ca="1">IFERROR(__xludf.DUMMYFUNCTION("GOOGLETRANSLATE(A1599 , ""tr"" , ""en"")"),"RT @rterdogan: Shouting Nation After Cabinet Meeting https://t.co/trvvvby82at")</f>
        <v>RT @rterdogan: Shouting Nation After Cabinet Meeting https://t.co/trvvvby82at</v>
      </c>
    </row>
    <row r="1600" spans="1:5" ht="15.75" customHeight="1" x14ac:dyDescent="0.25">
      <c r="A1600" s="1" t="s">
        <v>3199</v>
      </c>
      <c r="B1600" s="1">
        <v>12953</v>
      </c>
      <c r="C1600" s="3">
        <v>44192.870243055557</v>
      </c>
      <c r="D1600" s="1" t="s">
        <v>3200</v>
      </c>
      <c r="E1600" s="4" t="str">
        <f ca="1">IFERROR(__xludf.DUMMYFUNCTION("GOOGLETRANSLATE(A1600 , ""tr"" , ""en"")"),"I told you that before the vaccine would not be mandatory. Our vaccination program is ready. We will not have a compelling application of our citizens. We will be in an effort to persuade the necessity of vaccine by explaining our scientists to our societ"&amp;"y. An application would not be in the question. https://t.co/ie3f8wz5qb")</f>
        <v>I told you that before the vaccine would not be mandatory. Our vaccination program is ready. We will not have a compelling application of our citizens. We will be in an effort to persuade the necessity of vaccine by explaining our scientists to our society. An application would not be in the question. https://t.co/ie3f8wz5qb</v>
      </c>
    </row>
    <row r="1601" spans="1:5" ht="15.75" customHeight="1" x14ac:dyDescent="0.25">
      <c r="A1601" s="1" t="s">
        <v>3201</v>
      </c>
      <c r="B1601" s="1">
        <v>13930</v>
      </c>
      <c r="C1601" s="3">
        <v>44192.832650462966</v>
      </c>
      <c r="D1601" s="1" t="s">
        <v>3202</v>
      </c>
      <c r="E1601" s="4" t="str">
        <f ca="1">IFERROR(__xludf.DUMMYFUNCTION("GOOGLETRANSLATE(A1601 , ""tr"" , ""en"")"),"Large Turkish poet, the fact that the case is MEHMET Akif Ersoy in the 84th miniyeti, İnnik. https://t.co/avhve06vhl")</f>
        <v>Large Turkish poet, the fact that the case is MEHMET Akif Ersoy in the 84th miniyeti, İnnik. https://t.co/avhve06vhl</v>
      </c>
    </row>
    <row r="1602" spans="1:5" ht="15.75" customHeight="1" x14ac:dyDescent="0.25">
      <c r="A1602" s="1" t="s">
        <v>3203</v>
      </c>
      <c r="B1602" s="1">
        <v>16042</v>
      </c>
      <c r="C1602" s="3">
        <v>44192.736759259256</v>
      </c>
      <c r="D1602" s="1" t="s">
        <v>3204</v>
      </c>
      <c r="E1602" s="4" t="str">
        <f ca="1">IFERROR(__xludf.DUMMYFUNCTION("GOOGLETRANSLATE(A1602 , ""tr"" , ""en"")"),"COVID-19 alarms in Beijing and COVID-19 cases seen in Beijing customs are temporarily interrupted to customs mobility. For this reason, the arrival of our vaccines expected after customs are delayed for two days. We will continue to transfer developments."&amp;" https://t.co/g2gfex1mxo")</f>
        <v>COVID-19 alarms in Beijing and COVID-19 cases seen in Beijing customs are temporarily interrupted to customs mobility. For this reason, the arrival of our vaccines expected after customs are delayed for two days. We will continue to transfer developments. https://t.co/g2gfex1mxo</v>
      </c>
    </row>
    <row r="1603" spans="1:5" ht="15.75" customHeight="1" x14ac:dyDescent="0.25">
      <c r="A1603" s="1" t="s">
        <v>3205</v>
      </c>
      <c r="B1603" s="1">
        <v>14072</v>
      </c>
      <c r="C1603" s="3">
        <v>44192.670405092591</v>
      </c>
      <c r="D1603" s="1" t="s">
        <v>3206</v>
      </c>
      <c r="E1603" s="4" t="str">
        <f ca="1">IFERROR(__xludf.DUMMYFUNCTION("GOOGLETRANSLATE(A1603 , ""tr"" , ""en"")"),"We have 2,806 patients identified today. The case and patient count continue to fall. The contact number and test request also decreases. We hope to see the impact of measures and restrictions soon in our losses. Struggle continuity will make success perm"&amp;"anent. https://t.co/rvlhe7786o")</f>
        <v>We have 2,806 patients identified today. The case and patient count continue to fall. The contact number and test request also decreases. We hope to see the impact of measures and restrictions soon in our losses. Struggle continuity will make success permanent. https://t.co/rvlhe7786o</v>
      </c>
    </row>
    <row r="1604" spans="1:5" ht="15.75" customHeight="1" x14ac:dyDescent="0.25">
      <c r="A1604" s="1" t="s">
        <v>3207</v>
      </c>
      <c r="B1604" s="1">
        <v>15728</v>
      </c>
      <c r="C1604" s="3">
        <v>44192.467534722222</v>
      </c>
      <c r="D1604" s="1" t="s">
        <v>3208</v>
      </c>
      <c r="E1604" s="4" t="str">
        <f ca="1">IFERROR(__xludf.DUMMYFUNCTION("GOOGLETRANSLATE(A1604 , ""tr"" , ""en"")"),"It is delighted to not experience life loss in the 5.3-size earthquake in Elazig Center. The situation is not a serious citizen. This year gets back to our intelligent nurses that breasts great challenges.")</f>
        <v>It is delighted to not experience life loss in the 5.3-size earthquake in Elazig Center. The situation is not a serious citizen. This year gets back to our intelligent nurses that breasts great challenges.</v>
      </c>
    </row>
    <row r="1605" spans="1:5" ht="15.75" customHeight="1" x14ac:dyDescent="0.25">
      <c r="A1605" s="1" t="s">
        <v>3209</v>
      </c>
      <c r="B1605" s="1">
        <v>5368</v>
      </c>
      <c r="C1605" s="3">
        <v>44191.71534722222</v>
      </c>
      <c r="D1605" s="1" t="s">
        <v>3210</v>
      </c>
      <c r="E1605" s="4" t="str">
        <f ca="1">IFERROR(__xludf.DUMMYFUNCTION("GOOGLETRANSLATE(A1605 , ""tr"" , ""en"")"),"In the samples taken from PCR positive cases in the recent period nor in the samples received from the PCR positive cases, the gene mutation reported in the samples collected from various regions of the dormitory. Our regular examinations will continue.")</f>
        <v>In the samples taken from PCR positive cases in the recent period nor in the samples received from the PCR positive cases, the gene mutation reported in the samples collected from various regions of the dormitory. Our regular examinations will continue.</v>
      </c>
    </row>
    <row r="1606" spans="1:5" ht="15.75" customHeight="1" x14ac:dyDescent="0.25">
      <c r="A1606" s="1" t="s">
        <v>3211</v>
      </c>
      <c r="B1606" s="1">
        <v>4873</v>
      </c>
      <c r="C1606" s="3">
        <v>44191.71533564815</v>
      </c>
      <c r="D1606" s="1" t="s">
        <v>3212</v>
      </c>
      <c r="E1606" s="4" t="str">
        <f ca="1">IFERROR(__xludf.DUMMYFUNCTION("GOOGLETRANSLATE(A1606 , ""tr"" , ""en"")"),"Within the scope of Mutation Measure Applications, examples of the PCR samples of the PCR samples of our country with the PCR samples of our country and the test result in the test result in our country in the last period were examined by the full gene se"&amp;"quencing method in our reference laboratory.")</f>
        <v>Within the scope of Mutation Measure Applications, examples of the PCR samples of the PCR samples of our country with the PCR samples of our country and the test result in the test result in our country in the last period were examined by the full gene sequencing method in our reference laboratory.</v>
      </c>
    </row>
    <row r="1607" spans="1:5" ht="15.75" customHeight="1" x14ac:dyDescent="0.25">
      <c r="A1607" s="1" t="s">
        <v>3213</v>
      </c>
      <c r="B1607" s="1">
        <v>10121</v>
      </c>
      <c r="C1607" s="3">
        <v>44191.71533564815</v>
      </c>
      <c r="D1607" s="1" t="s">
        <v>3214</v>
      </c>
      <c r="E1607" s="4" t="str">
        <f ca="1">IFERROR(__xludf.DUMMYFUNCTION("GOOGLETRANSLATE(A1607 , ""tr"" , ""en"")"),"Our public health reference laboratories are regularly examining examples of our country's various regions. The variations and mutations set within the scope of these examinations are shared with the World Health Organization.")</f>
        <v>Our public health reference laboratories are regularly examining examples of our country's various regions. The variations and mutations set within the scope of these examinations are shared with the World Health Organization.</v>
      </c>
    </row>
    <row r="1608" spans="1:5" ht="15.75" customHeight="1" x14ac:dyDescent="0.25">
      <c r="A1608" s="1" t="s">
        <v>3215</v>
      </c>
      <c r="B1608" s="1">
        <v>12566</v>
      </c>
      <c r="C1608" s="3">
        <v>44191.673206018517</v>
      </c>
      <c r="D1608" s="1" t="s">
        <v>3216</v>
      </c>
      <c r="E1608" s="4" t="str">
        <f ca="1">IFERROR(__xludf.DUMMYFUNCTION("GOOGLETRANSLATE(A1608 , ""tr"" , ""en"")"),"There are 3,002 new patients identified today. The number of cases, the number of active cases and the number of patients continues to fall. The decline in our severe patients is continuing. Struggle until this is the effect of vaccination program that wi"&amp;"ll make these beautiful news constantly. https://t.co/rvlhe7786o")</f>
        <v>There are 3,002 new patients identified today. The number of cases, the number of active cases and the number of patients continues to fall. The decline in our severe patients is continuing. Struggle until this is the effect of vaccination program that will make these beautiful news constantly. https://t.co/rvlhe7786o</v>
      </c>
    </row>
    <row r="1609" spans="1:5" ht="15.75" customHeight="1" x14ac:dyDescent="0.25">
      <c r="A1609" s="1" t="s">
        <v>3217</v>
      </c>
      <c r="B1609" s="1">
        <v>3097</v>
      </c>
      <c r="C1609" s="3">
        <v>44190.870949074073</v>
      </c>
      <c r="D1609" s="1" t="s">
        <v>3218</v>
      </c>
      <c r="E1609" s="4" t="str">
        <f ca="1">IFERROR(__xludf.DUMMYFUNCTION("GOOGLETRANSLATE(A1609 , ""tr"" , ""en"")"),"HATAY: Intensive care occupancy rate is currently 86% despite the maturity of the bed occupancy falls to 54%.
Adana: Intensive care filling is currently 78%, although the bed occupancy rate decreased to 62%.")</f>
        <v>HATAY: Intensive care occupancy rate is currently 86% despite the maturity of the bed occupancy falls to 54%.
Adana: Intensive care filling is currently 78%, although the bed occupancy rate decreased to 62%.</v>
      </c>
    </row>
    <row r="1610" spans="1:5" ht="15.75" customHeight="1" x14ac:dyDescent="0.25">
      <c r="A1610" s="1" t="s">
        <v>3219</v>
      </c>
      <c r="B1610" s="1">
        <v>3455</v>
      </c>
      <c r="C1610" s="3">
        <v>44190.870949074073</v>
      </c>
      <c r="D1610" s="1" t="s">
        <v>3220</v>
      </c>
      <c r="E1610" s="4" t="str">
        <f ca="1">IFERROR(__xludf.DUMMYFUNCTION("GOOGLETRANSLATE(A1610 , ""tr"" , ""en"")"),"Bursa: Bed occupancy rate to 52%, the intensive care occupancy rate dropped to 70%.
Ankara: The bed occupancy rate has fallen to 52%, the intensive care occupancy rate was 65%.")</f>
        <v>Bursa: Bed occupancy rate to 52%, the intensive care occupancy rate dropped to 70%.
Ankara: The bed occupancy rate has fallen to 52%, the intensive care occupancy rate was 65%.</v>
      </c>
    </row>
    <row r="1611" spans="1:5" ht="15.75" customHeight="1" x14ac:dyDescent="0.25">
      <c r="A1611" s="1" t="s">
        <v>3221</v>
      </c>
      <c r="B1611" s="1">
        <v>6635</v>
      </c>
      <c r="C1611" s="3">
        <v>44190.870937500003</v>
      </c>
      <c r="D1611" s="1" t="s">
        <v>3222</v>
      </c>
      <c r="E1611" s="4" t="str">
        <f ca="1">IFERROR(__xludf.DUMMYFUNCTION("GOOGLETRANSLATE(A1611 , ""tr"" , ""en"")"),"Bursa, Ankara, Hatay, Adana Governors, Provincial Health Managers and Public Health Presidents have evaluated the course of the outbreak of the epidemic of our provinces. The case numbers are also glad to have a decrease in hospital loads. We get the resu"&amp;"lts of the restrictions. https://t.co/zzwgy3bph4")</f>
        <v>Bursa, Ankara, Hatay, Adana Governors, Provincial Health Managers and Public Health Presidents have evaluated the course of the outbreak of the epidemic of our provinces. The case numbers are also glad to have a decrease in hospital loads. We get the results of the restrictions. https://t.co/zzwgy3bph4</v>
      </c>
    </row>
    <row r="1612" spans="1:5" ht="15.75" customHeight="1" x14ac:dyDescent="0.25">
      <c r="A1612" s="1" t="s">
        <v>3223</v>
      </c>
      <c r="B1612" s="1">
        <v>12141</v>
      </c>
      <c r="C1612" s="3">
        <v>44190.851979166669</v>
      </c>
      <c r="D1612" s="1" t="s">
        <v>3224</v>
      </c>
      <c r="E1612" s="4" t="str">
        <f ca="1">IFERROR(__xludf.DUMMYFUNCTION("GOOGLETRANSLATE(A1612 , ""tr"" , ""en"")"),"Vaccine will not be compulsory. We want to instill our citizens by persuading our vaccine effect and reliability. One of the first vaccination I will be with our health workers. https://t.co/rghypqdgfq")</f>
        <v>Vaccine will not be compulsory. We want to instill our citizens by persuading our vaccine effect and reliability. One of the first vaccination I will be with our health workers. https://t.co/rghypqdgfq</v>
      </c>
    </row>
    <row r="1613" spans="1:5" ht="15.75" customHeight="1" x14ac:dyDescent="0.25">
      <c r="A1613" s="1" t="s">
        <v>3225</v>
      </c>
      <c r="B1613" s="1">
        <v>10678</v>
      </c>
      <c r="C1613" s="3">
        <v>44190.791365740741</v>
      </c>
      <c r="D1613" s="1" t="s">
        <v>3226</v>
      </c>
      <c r="E1613" s="4" t="str">
        <f ca="1">IFERROR(__xludf.DUMMYFUNCTION("GOOGLETRANSLATE(A1613 , ""tr"" , ""en"")"),"Each health staff is the work of a good education. My friend who looked due to gentle messages Prof. Dr. Ziya Selçuk Thank you for all the training in the cosmia. #Ind of our health https://t.co/uerc7e9bk1")</f>
        <v>Each health staff is the work of a good education. My friend who looked due to gentle messages Prof. Dr. Ziya Selçuk Thank you for all the training in the cosmia. #Ind of our health https://t.co/uerc7e9bk1</v>
      </c>
    </row>
    <row r="1614" spans="1:5" ht="15.75" customHeight="1" x14ac:dyDescent="0.25">
      <c r="A1614" s="1" t="s">
        <v>3227</v>
      </c>
      <c r="B1614" s="1">
        <v>17087</v>
      </c>
      <c r="C1614" s="3">
        <v>44190.758784722224</v>
      </c>
      <c r="D1614" s="1" t="s">
        <v>3228</v>
      </c>
      <c r="E1614" s="4" t="str">
        <f ca="1">IFERROR(__xludf.DUMMYFUNCTION("GOOGLETRANSLATE(A1614 , ""tr"" , ""en"")"),"Prof. Dr. Prof. Dr. Uğur Hawk's teacher has great labor. The privilege for Turkey will not be forgotten. Thank you once again on behalf of our nation.")</f>
        <v>Prof. Dr. Prof. Dr. Uğur Hawk's teacher has great labor. The privilege for Turkey will not be forgotten. Thank you once again on behalf of our nation.</v>
      </c>
    </row>
    <row r="1615" spans="1:5" ht="15.75" customHeight="1" x14ac:dyDescent="0.25">
      <c r="A1615" s="1" t="s">
        <v>3229</v>
      </c>
      <c r="B1615" s="1">
        <v>8964</v>
      </c>
      <c r="C1615" s="3">
        <v>44190.758784722224</v>
      </c>
      <c r="D1615" s="1" t="s">
        <v>3230</v>
      </c>
      <c r="E1615" s="4" t="str">
        <f ca="1">IFERROR(__xludf.DUMMYFUNCTION("GOOGLETRANSLATE(A1615 , ""tr"" , ""en"")"),"The cause of the delay was that the manufacturer was not to be asked to accept responsibility for the problems that may result from the production of the vaccine. The responsibility of the manufacturer has been understood to be limited to the financial si"&amp;"ze of the Convention. Consent will be taken from our citizens to use this vaccine.")</f>
        <v>The cause of the delay was that the manufacturer was not to be asked to accept responsibility for the problems that may result from the production of the vaccine. The responsibility of the manufacturer has been understood to be limited to the financial size of the Convention. Consent will be taken from our citizens to use this vaccine.</v>
      </c>
    </row>
    <row r="1616" spans="1:5" ht="15.75" customHeight="1" x14ac:dyDescent="0.25">
      <c r="A1616" s="1" t="s">
        <v>3231</v>
      </c>
      <c r="B1616" s="1">
        <v>4349</v>
      </c>
      <c r="C1616" s="3">
        <v>44190.758784722224</v>
      </c>
      <c r="D1616" s="1" t="s">
        <v>3232</v>
      </c>
      <c r="E1616" s="4" t="str">
        <f ca="1">IFERROR(__xludf.DUMMYFUNCTION("GOOGLETRANSLATE(A1616 , ""tr"" , ""en"")"),"This amount is expected to come to Turkey by the end of the year or early Jan. However, by the end of March 4.5 million dose of overdose will be delivered to our country. According to our agreement, the vaccine can be provided in the same conditions until"&amp;" 30 million dose of the parties.")</f>
        <v>This amount is expected to come to Turkey by the end of the year or early Jan. However, by the end of March 4.5 million dose of overdose will be delivered to our country. According to our agreement, the vaccine can be provided in the same conditions until 30 million dose of the parties.</v>
      </c>
    </row>
    <row r="1617" spans="1:5" ht="15.75" customHeight="1" x14ac:dyDescent="0.25">
      <c r="A1617" s="1" t="s">
        <v>3233</v>
      </c>
      <c r="B1617" s="1">
        <v>25749</v>
      </c>
      <c r="C1617" s="3">
        <v>44190.758773148147</v>
      </c>
      <c r="D1617" s="1" t="s">
        <v>3234</v>
      </c>
      <c r="E1617" s="4" t="str">
        <f ca="1">IFERROR(__xludf.DUMMYFUNCTION("GOOGLETRANSLATE(A1617 , ""tr"" , ""en"")"),"I was yesterday with you to be signed with the BIONTECH vaccination. The deal was signed at 04.30 tonight. According to the agreement, the departed for this year, we are ready for warehouses. Dr. Uğur Hawk is the amount of dosage that our teacher explaine"&amp;"d 550,000.")</f>
        <v>I was yesterday with you to be signed with the BIONTECH vaccination. The deal was signed at 04.30 tonight. According to the agreement, the departed for this year, we are ready for warehouses. Dr. Uğur Hawk is the amount of dosage that our teacher explained 550,000.</v>
      </c>
    </row>
    <row r="1618" spans="1:5" ht="15.75" customHeight="1" x14ac:dyDescent="0.25">
      <c r="A1618" s="1" t="s">
        <v>3235</v>
      </c>
      <c r="B1618" s="1">
        <v>9759</v>
      </c>
      <c r="C1618" s="3">
        <v>44190.724548611113</v>
      </c>
      <c r="D1618" s="1" t="s">
        <v>3236</v>
      </c>
      <c r="E1618" s="4" t="str">
        <f ca="1">IFERROR(__xludf.DUMMYFUNCTION("GOOGLETRANSLATE(A1618 , ""tr"" , ""en"")"),"We are increasing overseas measures. From the 30th of December, each passenger from overseas to our country will be obliged to submit each passenger of each passenger in the last 72 hours in the last 72 hours. Otherwise the entrance to the country will no"&amp;"t be allowed. https://t.co/nzgbnk7awa")</f>
        <v>We are increasing overseas measures. From the 30th of December, each passenger from overseas to our country will be obliged to submit each passenger of each passenger in the last 72 hours in the last 72 hours. Otherwise the entrance to the country will not be allowed. https://t.co/nzgbnk7awa</v>
      </c>
    </row>
    <row r="1619" spans="1:5" ht="15.75" customHeight="1" x14ac:dyDescent="0.25">
      <c r="A1619" s="1" t="s">
        <v>3237</v>
      </c>
      <c r="B1619" s="1">
        <v>9334</v>
      </c>
      <c r="C1619" s="3">
        <v>44190.679050925923</v>
      </c>
      <c r="D1619" s="1" t="s">
        <v>3238</v>
      </c>
      <c r="E1619" s="4" t="str">
        <f ca="1">IFERROR(__xludf.DUMMYFUNCTION("GOOGLETRANSLATE(A1619 , ""tr"" , ""en"")"),"We have 3,199 new patients identified today. The patient and the decline in the number of cases began to show the impact of the hospital. Our hope is the recent reflection of our recent losses. Let's insist in the measure until the end of the vaccine camp"&amp;"aign. https://t.co/rvlhe7786o")</f>
        <v>We have 3,199 new patients identified today. The patient and the decline in the number of cases began to show the impact of the hospital. Our hope is the recent reflection of our recent losses. Let's insist in the measure until the end of the vaccine campaign. https://t.co/rvlhe7786o</v>
      </c>
    </row>
    <row r="1620" spans="1:5" ht="15.75" customHeight="1" x14ac:dyDescent="0.25">
      <c r="A1620" s="1" t="s">
        <v>3239</v>
      </c>
      <c r="B1620" s="1">
        <v>3619</v>
      </c>
      <c r="C1620" s="3">
        <v>44190.625567129631</v>
      </c>
      <c r="D1620" s="1" t="s">
        <v>3240</v>
      </c>
      <c r="E1620" s="4" t="str">
        <f ca="1">IFERROR(__xludf.DUMMYFUNCTION("GOOGLETRANSLATE(A1620 , ""tr"" , ""en"")"),"Our 1963 Filliation team on the field continues to contact contact. Our health institutions are conducting his duty without disrupting. Our efforts give results. No hesitation, hesitating, no relaxation. We will win all together.")</f>
        <v>Our 1963 Filliation team on the field continues to contact contact. Our health institutions are conducting his duty without disrupting. Our efforts give results. No hesitation, hesitating, no relaxation. We will win all together.</v>
      </c>
    </row>
    <row r="1621" spans="1:5" ht="15.75" customHeight="1" x14ac:dyDescent="0.25">
      <c r="A1621" s="1" t="s">
        <v>3241</v>
      </c>
      <c r="B1621" s="1">
        <v>5879</v>
      </c>
      <c r="C1621" s="3">
        <v>44190.625555555554</v>
      </c>
      <c r="D1621" s="1" t="s">
        <v>3242</v>
      </c>
      <c r="E1621" s="4" t="str">
        <f ca="1">IFERROR(__xludf.DUMMYFUNCTION("GOOGLETRANSLATE(A1621 , ""tr"" , ""en"")"),"We have made our weekly evaluation with our Istanbul Provincial Health Administrators and the Vocuns.
In the last week, the number of cases in Istanbul has been significantly decreased. Was up to 50% reduction in polyclinics; This situation reflected in h"&amp;"ospitalization 35% and 30% to intensive care. https://t.co/JQHTIFV2ZM")</f>
        <v>We have made our weekly evaluation with our Istanbul Provincial Health Administrators and the Vocuns.
In the last week, the number of cases in Istanbul has been significantly decreased. Was up to 50% reduction in polyclinics; This situation reflected in hospitalization 35% and 30% to intensive care. https://t.co/JQHTIFV2ZM</v>
      </c>
    </row>
    <row r="1622" spans="1:5" ht="15.75" customHeight="1" x14ac:dyDescent="0.25">
      <c r="A1622" s="1" t="s">
        <v>3243</v>
      </c>
      <c r="B1622" s="1">
        <v>7993</v>
      </c>
      <c r="C1622" s="3">
        <v>44189.799733796295</v>
      </c>
      <c r="D1622" s="1" t="s">
        <v>3244</v>
      </c>
      <c r="E1622" s="4" t="str">
        <f ca="1">IFERROR(__xludf.DUMMYFUNCTION("GOOGLETRANSLATE(A1622 , ""tr"" , ""en"")"),"Our faith tells us a width after every stenosis. I believe that today, as the folks, it will be a messenger of our transition from time to the width of time. https://t.co/w3ahkxftph")</f>
        <v>Our faith tells us a width after every stenosis. I believe that today, as the folks, it will be a messenger of our transition from time to the width of time. https://t.co/w3ahkxftph</v>
      </c>
    </row>
    <row r="1623" spans="1:5" ht="15.75" customHeight="1" x14ac:dyDescent="0.25">
      <c r="A1623" s="1" t="s">
        <v>3245</v>
      </c>
      <c r="B1623" s="1">
        <v>4657</v>
      </c>
      <c r="C1623" s="3">
        <v>44189.790798611109</v>
      </c>
      <c r="D1623" s="1" t="s">
        <v>3246</v>
      </c>
      <c r="E1623" s="4" t="str">
        <f ca="1">IFERROR(__xludf.DUMMYFUNCTION("GOOGLETRANSLATE(A1623 , ""tr"" , ""en"")"),"The data will be the basis to the approval of the emergency use, evaluated by the Independent Evaluation Committee and Turkey is transmitted to the Pharmaceutical and Medical Device Authority. https://t.co/9JLE2BI2AH")</f>
        <v>The data will be the basis to the approval of the emergency use, evaluated by the Independent Evaluation Committee and Turkey is transmitted to the Pharmaceutical and Medical Device Authority. https://t.co/9JLE2BI2AH</v>
      </c>
    </row>
    <row r="1624" spans="1:5" ht="15.75" customHeight="1" x14ac:dyDescent="0.25">
      <c r="A1624" s="1" t="s">
        <v>3247</v>
      </c>
      <c r="B1624" s="1">
        <v>6586</v>
      </c>
      <c r="C1624" s="3">
        <v>44189.78261574074</v>
      </c>
      <c r="D1624" s="1" t="s">
        <v>3248</v>
      </c>
      <c r="E1624" s="4" t="str">
        <f ca="1">IFERROR(__xludf.DUMMYFUNCTION("GOOGLETRANSLATE(A1624 , ""tr"" , ""en"")"),"The inactive vaccine is the most ancient vaccine method known. https://t.co/f9xtgg4psd")</f>
        <v>The inactive vaccine is the most ancient vaccine method known. https://t.co/f9xtgg4psd</v>
      </c>
    </row>
    <row r="1625" spans="1:5" ht="15.75" customHeight="1" x14ac:dyDescent="0.25">
      <c r="A1625" s="1" t="s">
        <v>3249</v>
      </c>
      <c r="B1625" s="1">
        <v>5878</v>
      </c>
      <c r="C1625" s="3">
        <v>44189.773125</v>
      </c>
      <c r="D1625" s="1" t="s">
        <v>3250</v>
      </c>
      <c r="E1625" s="4" t="str">
        <f ca="1">IFERROR(__xludf.DUMMYFUNCTION("GOOGLETRANSLATE(A1625 , ""tr"" , ""en"")"),"The epidemic affected us in all areas. Re-regulated the moral of the world. https://t.co/u4suj5mfbw")</f>
        <v>The epidemic affected us in all areas. Re-regulated the moral of the world. https://t.co/u4suj5mfbw</v>
      </c>
    </row>
    <row r="1626" spans="1:5" ht="15.75" customHeight="1" x14ac:dyDescent="0.25">
      <c r="A1626" s="1" t="s">
        <v>3251</v>
      </c>
      <c r="B1626" s="1">
        <v>13483</v>
      </c>
      <c r="C1626" s="3">
        <v>44189.742962962962</v>
      </c>
      <c r="D1626" s="1" t="s">
        <v>3252</v>
      </c>
      <c r="E1626" s="4" t="str">
        <f ca="1">IFERROR(__xludf.DUMMYFUNCTION("GOOGLETRANSLATE(A1626 , ""tr"" , ""en"")"),"Throughout the epidemic, although there is a very heavy responsibility on me, I tried to put all the developments on time and most clearly to you. https://t.co/h3jsdl2oct")</f>
        <v>Throughout the epidemic, although there is a very heavy responsibility on me, I tried to put all the developments on time and most clearly to you. https://t.co/h3jsdl2oct</v>
      </c>
    </row>
    <row r="1627" spans="1:5" ht="15.75" customHeight="1" x14ac:dyDescent="0.25">
      <c r="A1627" s="1" t="s">
        <v>3253</v>
      </c>
      <c r="B1627" s="1">
        <v>13855</v>
      </c>
      <c r="C1627" s="3">
        <v>44189.719837962963</v>
      </c>
      <c r="D1627" s="1" t="s">
        <v>3254</v>
      </c>
      <c r="E1627" s="4" t="str">
        <f ca="1">IFERROR(__xludf.DUMMYFUNCTION("GOOGLETRANSLATE(A1627 , ""tr"" , ""en"")"),"We have 3,218 new patients identified today. The decline in the number of active cases continues. We have received the gospel of the vaccine to be effective. It's time to protect ourselves better until it is now vaccinated and effect. Let's get ready for "&amp;"good days. https://t.co/rvlhe7786o")</f>
        <v>We have 3,218 new patients identified today. The decline in the number of active cases continues. We have received the gospel of the vaccine to be effective. It's time to protect ourselves better until it is now vaccinated and effect. Let's get ready for good days. https://t.co/rvlhe7786o</v>
      </c>
    </row>
    <row r="1628" spans="1:5" ht="15.75" customHeight="1" x14ac:dyDescent="0.25">
      <c r="A1628" s="1" t="s">
        <v>3255</v>
      </c>
      <c r="B1628" s="1">
        <v>7686</v>
      </c>
      <c r="C1628" s="3">
        <v>44189.682256944441</v>
      </c>
      <c r="D1628" s="1" t="s">
        <v>3256</v>
      </c>
      <c r="E1628" s="4" t="str">
        <f ca="1">IFERROR(__xludf.DUMMYFUNCTION("GOOGLETRANSLATE(A1628 , ""tr"" , ""en"")"),"After our Science Board Meeting, our press statement on the latest developments on COVID-19.
📍 The Ministry of Health
https://t.co/kpjn7sndfg")</f>
        <v>After our Science Board Meeting, our press statement on the latest developments on COVID-19.
📍 The Ministry of Health
https://t.co/kpjn7sndfg</v>
      </c>
    </row>
    <row r="1629" spans="1:5" ht="15.75" customHeight="1" x14ac:dyDescent="0.25">
      <c r="A1629" s="1" t="s">
        <v>3257</v>
      </c>
      <c r="B1629" s="1">
        <v>6901</v>
      </c>
      <c r="C1629" s="3">
        <v>44188.729525462964</v>
      </c>
      <c r="D1629" s="1" t="s">
        <v>3258</v>
      </c>
      <c r="E1629" s="4" t="str">
        <f ca="1">IFERROR(__xludf.DUMMYFUNCTION("GOOGLETRANSLATE(A1629 , ""tr"" , ""en"")"),"Let's support the measures to our preliminary struggling health care employees in the forefront. Let's not forget that the measures are also the security of our social life. https://t.co/gwlbzjn9uq")</f>
        <v>Let's support the measures to our preliminary struggling health care employees in the forefront. Let's not forget that the measures are also the security of our social life. https://t.co/gwlbzjn9uq</v>
      </c>
    </row>
    <row r="1630" spans="1:5" ht="15.75" customHeight="1" x14ac:dyDescent="0.25">
      <c r="A1630" s="1" t="s">
        <v>3259</v>
      </c>
      <c r="B1630" s="1">
        <v>12305</v>
      </c>
      <c r="C1630" s="3">
        <v>44188.709953703707</v>
      </c>
      <c r="D1630" s="1" t="s">
        <v>3260</v>
      </c>
      <c r="E1630" s="4" t="str">
        <f ca="1">IFERROR(__xludf.DUMMYFUNCTION("GOOGLETRANSLATE(A1630 , ""tr"" , ""en"")"),"We know the environmental sensitivity and the fight against public health. Dr. We live the deep sorrow of losing our Orhan rule teacher. In our teacher, I wish the mercy from Allah, my condolences.")</f>
        <v>We know the environmental sensitivity and the fight against public health. Dr. We live the deep sorrow of losing our Orhan rule teacher. In our teacher, I wish the mercy from Allah, my condolences.</v>
      </c>
    </row>
    <row r="1631" spans="1:5" ht="15.75" customHeight="1" x14ac:dyDescent="0.25">
      <c r="A1631" s="1" t="s">
        <v>3261</v>
      </c>
      <c r="B1631" s="1">
        <v>10639</v>
      </c>
      <c r="C1631" s="3">
        <v>44188.690636574072</v>
      </c>
      <c r="D1631" s="1" t="s">
        <v>3262</v>
      </c>
      <c r="E1631" s="4" t="str">
        <f ca="1">IFERROR(__xludf.DUMMYFUNCTION("GOOGLETRANSLATE(A1631 , ""tr"" , ""en"")"),"We have 3,192 patients identified today. The decrease rejoicing in the number of active cases. We will also reduce the number of new cases with restrictions and measures. It is extremely important to prevent domestic transmissions during this period. The "&amp;"threat to almost measure should focus on there. https://t.co/rvlhe7786o")</f>
        <v>We have 3,192 patients identified today. The decrease rejoicing in the number of active cases. We will also reduce the number of new cases with restrictions and measures. It is extremely important to prevent domestic transmissions during this period. The threat to almost measure should focus on there. https://t.co/rvlhe7786o</v>
      </c>
    </row>
    <row r="1632" spans="1:5" ht="15.75" customHeight="1" x14ac:dyDescent="0.25">
      <c r="A1632" s="1" t="s">
        <v>3263</v>
      </c>
      <c r="B1632" s="1">
        <v>3457</v>
      </c>
      <c r="C1632" s="3">
        <v>44187.896793981483</v>
      </c>
      <c r="D1632" s="1" t="s">
        <v>3264</v>
      </c>
      <c r="E1632" s="4" t="str">
        <f ca="1">IFERROR(__xludf.DUMMYFUNCTION("GOOGLETRANSLATE(A1632 , ""tr"" , ""en"")"),"Rubella virus is Eliminated in Turkey. I would like to Thank My Friend @hans_kluge for congratulating US with this great news. Vaccines are the Most Important Power in hand for prevention from infections. https://t.co/qevezvvyva")</f>
        <v>Rubella virus is Eliminated in Turkey. I would like to Thank My Friend @hans_kluge for congratulating US with this great news. Vaccines are the Most Important Power in hand for prevention from infections. https://t.co/qevezvvyva</v>
      </c>
    </row>
    <row r="1633" spans="1:5" ht="15.75" customHeight="1" x14ac:dyDescent="0.25">
      <c r="A1633" s="1" t="s">
        <v>3265</v>
      </c>
      <c r="B1633" s="1">
        <v>5073</v>
      </c>
      <c r="C1633" s="3">
        <v>44187.896620370368</v>
      </c>
      <c r="D1633" s="1" t="s">
        <v>3266</v>
      </c>
      <c r="E1633" s="4" t="str">
        <f ca="1">IFERROR(__xludf.DUMMYFUNCTION("GOOGLETRANSLATE(A1633 , ""tr"" , ""en"")"),"Rubella virus (rubella) is out of the problem in Turkey. I thank @ Hans_Kluge that congratulate us with this beautiful news. Vaccines are the most important force we have to block infections. https://t.co/qevezvvyva")</f>
        <v>Rubella virus (rubella) is out of the problem in Turkey. I thank @ Hans_Kluge that congratulate us with this beautiful news. Vaccines are the most important force we have to block infections. https://t.co/qevezvvyva</v>
      </c>
    </row>
    <row r="1634" spans="1:5" ht="15.75" customHeight="1" x14ac:dyDescent="0.25">
      <c r="A1634" s="1" t="s">
        <v>3267</v>
      </c>
      <c r="B1634" s="1">
        <v>3530</v>
      </c>
      <c r="C1634" s="3">
        <v>44187.866388888891</v>
      </c>
      <c r="D1634" s="1" t="s">
        <v>3268</v>
      </c>
      <c r="E1634" s="4" t="str">
        <f ca="1">IFERROR(__xludf.DUMMYFUNCTION("GOOGLETRANSLATE(A1634 , ""tr"" , ""en"")"),"The number of cases in Samsun was 35% decline. The bed filling is 62%, the intensive care filling 80%. 40% decline in the number of cases in Hatay. The bed filling is 85%, the intensive care filling 77%. Heavy patient load on Samsun and Hatay is high. Let"&amp;"'s obey the measures.")</f>
        <v>The number of cases in Samsun was 35% decline. The bed filling is 62%, the intensive care filling 80%. 40% decline in the number of cases in Hatay. The bed filling is 85%, the intensive care filling 77%. Heavy patient load on Samsun and Hatay is high. Let's obey the measures.</v>
      </c>
    </row>
    <row r="1635" spans="1:5" ht="15.75" customHeight="1" x14ac:dyDescent="0.25">
      <c r="A1635" s="1" t="s">
        <v>3269</v>
      </c>
      <c r="B1635" s="1">
        <v>3806</v>
      </c>
      <c r="C1635" s="3">
        <v>44187.866377314815</v>
      </c>
      <c r="D1635" s="1" t="s">
        <v>3270</v>
      </c>
      <c r="E1635" s="4" t="str">
        <f ca="1">IFERROR(__xludf.DUMMYFUNCTION("GOOGLETRANSLATE(A1635 , ""tr"" , ""en"")"),"In Izmir, the number of daily cases decreased by 30% in the last week. The bed occupancy rate is 57%, 77% of the intensive care occupancy rate. In Trabzon, the number of cases has dropped 25%, the mattress 52%, the intensive care filling 72%. We must cont"&amp;"inue measures in Izmir and Trabzon.")</f>
        <v>In Izmir, the number of daily cases decreased by 30% in the last week. The bed occupancy rate is 57%, 77% of the intensive care occupancy rate. In Trabzon, the number of cases has dropped 25%, the mattress 52%, the intensive care filling 72%. We must continue measures in Izmir and Trabzon.</v>
      </c>
    </row>
    <row r="1636" spans="1:5" ht="15.75" customHeight="1" x14ac:dyDescent="0.25">
      <c r="A1636" s="1" t="s">
        <v>3271</v>
      </c>
      <c r="B1636" s="1">
        <v>6774</v>
      </c>
      <c r="C1636" s="3">
        <v>44187.866377314815</v>
      </c>
      <c r="D1636" s="1" t="s">
        <v>3272</v>
      </c>
      <c r="E1636" s="4" t="str">
        <f ca="1">IFERROR(__xludf.DUMMYFUNCTION("GOOGLETRANSLATE(A1636 , ""tr"" , ""en"")"),"We have addressed the current status of our provinces with our Izmir, Trabzon, Samsun, Hatay Governors, Provincial Health Presidents and Public Health Presidents. In these provinces, the decline in the number of new cases daily began. However, the load of"&amp;" hospitals and intensive care services is still high. https://t.co/dxcı43wlvd")</f>
        <v>We have addressed the current status of our provinces with our Izmir, Trabzon, Samsun, Hatay Governors, Provincial Health Presidents and Public Health Presidents. In these provinces, the decline in the number of new cases daily began. However, the load of hospitals and intensive care services is still high. https://t.co/dxcı43wlvd</v>
      </c>
    </row>
    <row r="1637" spans="1:5" ht="15.75" customHeight="1" x14ac:dyDescent="0.25">
      <c r="A1637" s="1" t="s">
        <v>3273</v>
      </c>
      <c r="B1637" s="1">
        <v>21500</v>
      </c>
      <c r="C1637" s="3">
        <v>44187.770787037036</v>
      </c>
      <c r="D1637" s="1" t="s">
        <v>3274</v>
      </c>
      <c r="E1637" s="4" t="str">
        <f ca="1">IFERROR(__xludf.DUMMYFUNCTION("GOOGLETRANSLATE(A1637 , ""tr"" , ""en"")"),"Thanks to the compliance with restrictions and measures, our case numbers are falling. Although the transmission pathways of the virus began to change. In-house contamination rates rose up to 85%. Measure, the threat should almost focus on there. Let's be"&amp;" cautious to in-domestic contamination.")</f>
        <v>Thanks to the compliance with restrictions and measures, our case numbers are falling. Although the transmission pathways of the virus began to change. In-house contamination rates rose up to 85%. Measure, the threat should almost focus on there. Let's be cautious to in-domestic contamination.</v>
      </c>
    </row>
    <row r="1638" spans="1:5" ht="15.75" customHeight="1" x14ac:dyDescent="0.25">
      <c r="A1638" s="1" t="s">
        <v>3275</v>
      </c>
      <c r="B1638" s="1">
        <v>10483</v>
      </c>
      <c r="C1638" s="3">
        <v>44187.74690972222</v>
      </c>
      <c r="D1638" s="1" t="s">
        <v>3276</v>
      </c>
      <c r="E1638" s="4" t="str">
        <f ca="1">IFERROR(__xludf.DUMMYFUNCTION("GOOGLETRANSLATE(A1638 , ""tr"" , ""en"")"),"They are the blessing suns for the sake of crescent, divergent to homeland. I'm at the Sarıkamis Martyrship with late and gratefully. https://t.co/lvt6cedfjy")</f>
        <v>They are the blessing suns for the sake of crescent, divergent to homeland. I'm at the Sarıkamis Martyrship with late and gratefully. https://t.co/lvt6cedfjy</v>
      </c>
    </row>
    <row r="1639" spans="1:5" ht="15.75" customHeight="1" x14ac:dyDescent="0.25">
      <c r="A1639" s="1" t="s">
        <v>3277</v>
      </c>
      <c r="B1639" s="1">
        <v>9571</v>
      </c>
      <c r="C1639" s="3">
        <v>44187.696018518516</v>
      </c>
      <c r="D1639" s="1" t="s">
        <v>3278</v>
      </c>
      <c r="E1639" s="4" t="str">
        <f ca="1">IFERROR(__xludf.DUMMYFUNCTION("GOOGLETRANSLATE(A1639 , ""tr"" , ""en"")"),"We have 3,309 new patients identified today. The number of severe patients and the number of active cases continues to fall. In this period in which cases decreased, domestic transmission increases. We should obey the measures everywhere. Together to stru"&amp;"ggle together will give you strong sense. https://t.co/rvlhe7786o")</f>
        <v>We have 3,309 new patients identified today. The number of severe patients and the number of active cases continues to fall. In this period in which cases decreased, domestic transmission increases. We should obey the measures everywhere. Together to struggle together will give you strong sense. https://t.co/rvlhe7786o</v>
      </c>
    </row>
    <row r="1640" spans="1:5" ht="15.75" customHeight="1" x14ac:dyDescent="0.25">
      <c r="A1640" s="1" t="s">
        <v>3279</v>
      </c>
      <c r="B1640" s="1">
        <v>15516</v>
      </c>
      <c r="C1640" s="3">
        <v>44187.661493055559</v>
      </c>
      <c r="D1640" s="1" t="s">
        <v>3280</v>
      </c>
      <c r="E1640" s="4" t="str">
        <f ca="1">IFERROR(__xludf.DUMMYFUNCTION("GOOGLETRANSLATE(A1640 , ""tr"" , ""en"")"),"Without the expectation of life, all kinds of life is the heroes of all of us carrying the burden on their back. 22 December #my paramedic. https://t.co/bca8id5epo")</f>
        <v>Without the expectation of life, all kinds of life is the heroes of all of us carrying the burden on their back. 22 December #my paramedic. https://t.co/bca8id5epo</v>
      </c>
    </row>
    <row r="1641" spans="1:5" ht="15.75" customHeight="1" x14ac:dyDescent="0.25">
      <c r="A1641" s="1" t="s">
        <v>3281</v>
      </c>
      <c r="B1641" s="1">
        <v>0</v>
      </c>
      <c r="C1641" s="3">
        <v>44187.62940972222</v>
      </c>
      <c r="D1641" s="1" t="s">
        <v>3282</v>
      </c>
      <c r="E1641" s="4" t="str">
        <f ca="1">IFERROR(__xludf.DUMMYFUNCTION("GOOGLETRANSLATE(A1641 , ""tr"" , ""en"")"),"Rt @emineerdogan: On the occasion of Paramedicians, we met with our paramedics on the presidential healthcare team. Their night, the night ...")</f>
        <v>Rt @emineerdogan: On the occasion of Paramedicians, we met with our paramedics on the presidential healthcare team. Their night, the night ...</v>
      </c>
    </row>
    <row r="1642" spans="1:5" ht="15.75" customHeight="1" x14ac:dyDescent="0.25">
      <c r="A1642" s="1" t="s">
        <v>3283</v>
      </c>
      <c r="B1642" s="1">
        <v>10780</v>
      </c>
      <c r="C1642" s="3">
        <v>44187.428796296299</v>
      </c>
      <c r="D1642" s="1" t="s">
        <v>3284</v>
      </c>
      <c r="E1642" s="4" t="str">
        <f ca="1">IFERROR(__xludf.DUMMYFUNCTION("GOOGLETRANSLATE(A1642 , ""tr"" , ""en"")"),"Mutation in RNA viruses is an expected situation. Our General Directorate of Public Health has regularly scan gene mutation in all virus strains in our country since the beginning of our country. Since September, the examination of the strains seen in our"&amp;" country will be compared in a short time.")</f>
        <v>Mutation in RNA viruses is an expected situation. Our General Directorate of Public Health has regularly scan gene mutation in all virus strains in our country since the beginning of our country. Since September, the examination of the strains seen in our country will be compared in a short time.</v>
      </c>
    </row>
    <row r="1643" spans="1:5" ht="15.75" customHeight="1" x14ac:dyDescent="0.25">
      <c r="A1643" s="1" t="s">
        <v>3285</v>
      </c>
      <c r="B1643" s="1">
        <v>6083</v>
      </c>
      <c r="C1643" s="3">
        <v>44187.227500000001</v>
      </c>
      <c r="D1643" s="1" t="s">
        <v>3286</v>
      </c>
      <c r="E1643" s="4" t="str">
        <f ca="1">IFERROR(__xludf.DUMMYFUNCTION("GOOGLETRANSLATE(A1643 , ""tr"" , ""en"")"),"All passengers from the UK were made from 14 December. 4.603 passenger's information is being transferred to the site by transferring their residences and their stays. PCR tests are carried out in the coordination of our General Health General Directorate"&amp;" of our passengers.")</f>
        <v>All passengers from the UK were made from 14 December. 4.603 passenger's information is being transferred to the site by transferring their residences and their stays. PCR tests are carried out in the coordination of our General Health General Directorate of our passengers.</v>
      </c>
    </row>
    <row r="1644" spans="1:5" ht="15.75" customHeight="1" x14ac:dyDescent="0.25">
      <c r="A1644" s="1" t="s">
        <v>3287</v>
      </c>
      <c r="B1644" s="1">
        <v>6363</v>
      </c>
      <c r="C1644" s="3">
        <v>44187.227488425924</v>
      </c>
      <c r="D1644" s="1" t="s">
        <v>3288</v>
      </c>
      <c r="E1644" s="4" t="str">
        <f ca="1">IFERROR(__xludf.DUMMYFUNCTION("GOOGLETRANSLATE(A1644 , ""tr"" , ""en"")"),"The 335 passenger health controls that are logged in to our country before these countries and PCR test were performed. PCR samples are taken on the 1st and 7th day of the passengers. Even if the tests are negative, all passengers were obtained to isolati"&amp;"on.")</f>
        <v>The 335 passenger health controls that are logged in to our country before these countries and PCR test were performed. PCR samples are taken on the 1st and 7th day of the passengers. Even if the tests are negative, all passengers were obtained to isolation.</v>
      </c>
    </row>
    <row r="1645" spans="1:5" ht="15.75" customHeight="1" x14ac:dyDescent="0.25">
      <c r="A1645" s="1" t="s">
        <v>3289</v>
      </c>
      <c r="B1645" s="1">
        <v>11713</v>
      </c>
      <c r="C1645" s="3">
        <v>44187.227488425924</v>
      </c>
      <c r="D1645" s="1" t="s">
        <v>3290</v>
      </c>
      <c r="E1645" s="4" t="str">
        <f ca="1">IFERROR(__xludf.DUMMYFUNCTION("GOOGLETRANSLATE(A1645 , ""tr"" , ""en"")"),"On the 20th of the Koronavirus mutation, the United Koronavirus mutation was detected in the UK, the United Kingdom, the Netherlands, Denmark and South Africa has been suspended to our country to our country and has announced our measures for passengers i"&amp;"n the air as of that moment.")</f>
        <v>On the 20th of the Koronavirus mutation, the United Koronavirus mutation was detected in the UK, the United Kingdom, the Netherlands, Denmark and South Africa has been suspended to our country to our country and has announced our measures for passengers in the air as of that moment.</v>
      </c>
    </row>
    <row r="1646" spans="1:5" ht="15.75" customHeight="1" x14ac:dyDescent="0.25">
      <c r="A1646" s="1" t="s">
        <v>3291</v>
      </c>
      <c r="B1646" s="1">
        <v>3479</v>
      </c>
      <c r="C1646" s="3">
        <v>44186.919652777775</v>
      </c>
      <c r="D1646" s="1" t="s">
        <v>3292</v>
      </c>
      <c r="E1646" s="4" t="str">
        <f ca="1">IFERROR(__xludf.DUMMYFUNCTION("GOOGLETRANSLATE(A1646 , ""tr"" , ""en"")"),"Kayseri: Case decline is 35%, the mattress 58%, the intensive care filling 67%.
Tekirdag: Case decline 60%, bedding 43%, intensive care filling 59%.")</f>
        <v>Kayseri: Case decline is 35%, the mattress 58%, the intensive care filling 67%.
Tekirdag: Case decline 60%, bedding 43%, intensive care filling 59%.</v>
      </c>
    </row>
    <row r="1647" spans="1:5" ht="15.75" customHeight="1" x14ac:dyDescent="0.25">
      <c r="A1647" s="1" t="s">
        <v>3293</v>
      </c>
      <c r="B1647" s="1">
        <v>3909</v>
      </c>
      <c r="C1647" s="3">
        <v>44186.919641203705</v>
      </c>
      <c r="D1647" s="1" t="s">
        <v>3294</v>
      </c>
      <c r="E1647" s="4" t="str">
        <f ca="1">IFERROR(__xludf.DUMMYFUNCTION("GOOGLETRANSLATE(A1647 , ""tr"" , ""en"")"),"BURSA: The number of daily cases was 50% in the last week. The bed occupancy rate is 55%, the intensive care occupancy rate is 73%.
Konya: Case Fall is 50%, the bedding 52%, the intensive care filling 66%.")</f>
        <v>BURSA: The number of daily cases was 50% in the last week. The bed occupancy rate is 55%, the intensive care occupancy rate is 73%.
Konya: Case Fall is 50%, the bedding 52%, the intensive care filling 66%.</v>
      </c>
    </row>
    <row r="1648" spans="1:5" ht="15.75" customHeight="1" x14ac:dyDescent="0.25">
      <c r="A1648" s="1" t="s">
        <v>3295</v>
      </c>
      <c r="B1648" s="1">
        <v>8611</v>
      </c>
      <c r="C1648" s="3">
        <v>44186.833831018521</v>
      </c>
      <c r="D1648" s="1" t="s">
        <v>3296</v>
      </c>
      <c r="E1648" s="4" t="str">
        <f ca="1">IFERROR(__xludf.DUMMYFUNCTION("GOOGLETRANSLATE(A1648 , ""tr"" , ""en"")"),"In Bursa, Konya, Kayseri, we addressed the measures to the course of the outbreak of the secretion of Tekirdag. Daily case numbers continue to fall. Gives constraints and measures as a result of adaptation. Let's persist in the struggle. https://t.co/yf3k"&amp;"6e2utk")</f>
        <v>In Bursa, Konya, Kayseri, we addressed the measures to the course of the outbreak of the secretion of Tekirdag. Daily case numbers continue to fall. Gives constraints and measures as a result of adaptation. Let's persist in the struggle. https://t.co/yf3k6e2utk</v>
      </c>
    </row>
    <row r="1649" spans="1:5" ht="15.75" customHeight="1" x14ac:dyDescent="0.25">
      <c r="A1649" s="1" t="s">
        <v>3297</v>
      </c>
      <c r="B1649" s="1">
        <v>15066</v>
      </c>
      <c r="C1649" s="3">
        <v>44186.672962962963</v>
      </c>
      <c r="D1649" s="1" t="s">
        <v>3298</v>
      </c>
      <c r="E1649" s="4" t="str">
        <f ca="1">IFERROR(__xludf.DUMMYFUNCTION("GOOGLETRANSLATE(A1649 , ""tr"" , ""en"")"),"We have 3,412 new patients identified today. Our active case and severe patient numbers are reduced. Bed occupancy, intensive care occupancy rate and respiratory occupancy rates continue to fall. We started to get the rules together as a result of complyi"&amp;"ng. https://t.co/rvlhe7786o")</f>
        <v>We have 3,412 new patients identified today. Our active case and severe patient numbers are reduced. Bed occupancy, intensive care occupancy rate and respiratory occupancy rates continue to fall. We started to get the rules together as a result of complying. https://t.co/rvlhe7786o</v>
      </c>
    </row>
    <row r="1650" spans="1:5" ht="15.75" customHeight="1" x14ac:dyDescent="0.25">
      <c r="A1650" s="1" t="s">
        <v>3299</v>
      </c>
      <c r="B1650" s="1">
        <v>54484</v>
      </c>
      <c r="C1650" s="3">
        <v>44185.870833333334</v>
      </c>
      <c r="D1650" s="1" t="s">
        <v>3300</v>
      </c>
      <c r="E1650" s="4" t="str">
        <f ca="1">IFERROR(__xludf.DUMMYFUNCTION("GOOGLETRANSLATE(A1650 , ""tr"" , ""en"")"),"In the scope of the measures taken on UK-welded mutation risk, all passengers will be tested and the quarantine rules will be applied for flights on the road. Measures are carried out with full coordination.")</f>
        <v>In the scope of the measures taken on UK-welded mutation risk, all passengers will be tested and the quarantine rules will be applied for flights on the road. Measures are carried out with full coordination.</v>
      </c>
    </row>
    <row r="1651" spans="1:5" ht="15.75" customHeight="1" x14ac:dyDescent="0.25">
      <c r="A1651" s="1" t="s">
        <v>3301</v>
      </c>
      <c r="B1651" s="1">
        <v>74268</v>
      </c>
      <c r="C1651" s="3">
        <v>44185.8434375</v>
      </c>
      <c r="D1651" s="1" t="s">
        <v>3302</v>
      </c>
      <c r="E1651" s="4" t="str">
        <f ca="1">IFERROR(__xludf.DUMMYFUNCTION("GOOGLETRANSLATE(A1651 , ""tr"" , ""en"")"),"In the UK with the mutation of the coronavirus, the transition speed has been reported. The instruction of our President is the coordination of our Ministry of Transport and Infrastructure; The British, Denmark, the Netherlands and South Africa have been "&amp;"decided to stop temporarily on our country flights.")</f>
        <v>In the UK with the mutation of the coronavirus, the transition speed has been reported. The instruction of our President is the coordination of our Ministry of Transport and Infrastructure; The British, Denmark, the Netherlands and South Africa have been decided to stop temporarily on our country flights.</v>
      </c>
    </row>
    <row r="1652" spans="1:5" ht="15.75" customHeight="1" x14ac:dyDescent="0.25">
      <c r="A1652" s="1" t="s">
        <v>3303</v>
      </c>
      <c r="B1652" s="1">
        <v>6990</v>
      </c>
      <c r="C1652" s="3">
        <v>44185.841747685183</v>
      </c>
      <c r="D1652" s="1" t="s">
        <v>3304</v>
      </c>
      <c r="E1652" s="4" t="str">
        <f ca="1">IFERROR(__xludf.DUMMYFUNCTION("GOOGLETRANSLATE(A1652 , ""tr"" , ""en"")"),"The world's best physicians are Turkish physicians. The patient is not one of the Turkish physicians, the Turkish physicians, the nurses, patient caregivers.")</f>
        <v>The world's best physicians are Turkish physicians. The patient is not one of the Turkish physicians, the Turkish physicians, the nurses, patient caregivers.</v>
      </c>
    </row>
    <row r="1653" spans="1:5" ht="15.75" customHeight="1" x14ac:dyDescent="0.25">
      <c r="A1653" s="1" t="s">
        <v>3305</v>
      </c>
      <c r="B1653" s="1">
        <v>5176</v>
      </c>
      <c r="C1653" s="3">
        <v>44185.841736111113</v>
      </c>
      <c r="D1653" s="1" t="s">
        <v>3306</v>
      </c>
      <c r="E1653" s="4" t="str">
        <f ca="1">IFERROR(__xludf.DUMMYFUNCTION("GOOGLETRANSLATE(A1653 , ""tr"" , ""en"")"),"Our health infrastructure is better than many European countries.")</f>
        <v>Our health infrastructure is better than many European countries.</v>
      </c>
    </row>
    <row r="1654" spans="1:5" ht="15.75" customHeight="1" x14ac:dyDescent="0.25">
      <c r="A1654" s="1" t="s">
        <v>3307</v>
      </c>
      <c r="B1654" s="1">
        <v>388</v>
      </c>
      <c r="C1654" s="3">
        <v>44185.841736111113</v>
      </c>
      <c r="D1654" s="1" t="s">
        <v>3308</v>
      </c>
      <c r="E1654" s="4" t="str">
        <f ca="1">IFERROR(__xludf.DUMMYFUNCTION("GOOGLETRANSLATE(A1654 , ""tr"" , ""en"")"),"In detecting our cases, in detecting contacts, I would like to ask this question again by looking into the eyes of our health workers in the follow-up and treatment of patients.")</f>
        <v>In detecting our cases, in detecting contacts, I would like to ask this question again by looking into the eyes of our health workers in the follow-up and treatment of patients.</v>
      </c>
    </row>
    <row r="1655" spans="1:5" ht="15.75" customHeight="1" x14ac:dyDescent="0.25">
      <c r="A1655" s="1" t="s">
        <v>3309</v>
      </c>
      <c r="B1655" s="1">
        <v>461</v>
      </c>
      <c r="C1655" s="3">
        <v>44185.841736111113</v>
      </c>
      <c r="D1655" s="1" t="s">
        <v>3310</v>
      </c>
      <c r="E1655" s="4" t="str">
        <f ca="1">IFERROR(__xludf.DUMMYFUNCTION("GOOGLETRANSLATE(A1655 , ""tr"" , ""en"")"),"By sad, we see some of our politicians, our journalists, our friends who are served in non-governmental organizations are evaluated by the name of the criticism.")</f>
        <v>By sad, we see some of our politicians, our journalists, our friends who are served in non-governmental organizations are evaluated by the name of the criticism.</v>
      </c>
    </row>
    <row r="1656" spans="1:5" ht="15.75" customHeight="1" x14ac:dyDescent="0.25">
      <c r="A1656" s="1" t="s">
        <v>3311</v>
      </c>
      <c r="B1656" s="1">
        <v>507</v>
      </c>
      <c r="C1656" s="3">
        <v>44185.841724537036</v>
      </c>
      <c r="D1656" s="1" t="s">
        <v>3312</v>
      </c>
      <c r="E1656" s="4" t="str">
        <f ca="1">IFERROR(__xludf.DUMMYFUNCTION("GOOGLETRANSLATE(A1656 , ""tr"" , ""en"")"),"No one has the right to consume the hopes of society and to make comments to push pessimism. We explain the number of patients regardless of the number of cases. Whereas many countries do not explain. Therefore, we do not know more of the country's patien"&amp;"t.")</f>
        <v>No one has the right to consume the hopes of society and to make comments to push pessimism. We explain the number of patients regardless of the number of cases. Whereas many countries do not explain. Therefore, we do not know more of the country's patient.</v>
      </c>
    </row>
    <row r="1657" spans="1:5" ht="15.75" customHeight="1" x14ac:dyDescent="0.25">
      <c r="A1657" s="1" t="s">
        <v>3313</v>
      </c>
      <c r="B1657" s="1">
        <v>474</v>
      </c>
      <c r="C1657" s="3">
        <v>44185.841724537036</v>
      </c>
      <c r="D1657" s="1" t="s">
        <v>3314</v>
      </c>
      <c r="E1657" s="4" t="str">
        <f ca="1">IFERROR(__xludf.DUMMYFUNCTION("GOOGLETRANSLATE(A1657 , ""tr"" , ""en"")"),"Since the first day, we must be struggled with the epidemic disease, and we stated that the ferd of society should not keep itself out of this struggle.")</f>
        <v>Since the first day, we must be struggled with the epidemic disease, and we stated that the ferd of society should not keep itself out of this struggle.</v>
      </c>
    </row>
    <row r="1658" spans="1:5" ht="15.75" customHeight="1" x14ac:dyDescent="0.25">
      <c r="A1658" s="1" t="s">
        <v>3315</v>
      </c>
      <c r="B1658" s="1">
        <v>9909</v>
      </c>
      <c r="C1658" s="3">
        <v>44185.764293981483</v>
      </c>
      <c r="D1658" s="1" t="s">
        <v>3316</v>
      </c>
      <c r="E1658" s="4" t="str">
        <f ca="1">IFERROR(__xludf.DUMMYFUNCTION("GOOGLETRANSLATE(A1658 , ""tr"" , ""en"")"),"The epidemic is your partner in common. The trust of our health system should be kept away from the insemble impacts to shake. Let's stop seeing ourselves and proud of our nation and his son. https://t.co/k3ouro8vv0")</f>
        <v>The epidemic is your partner in common. The trust of our health system should be kept away from the insemble impacts to shake. Let's stop seeing ourselves and proud of our nation and his son. https://t.co/k3ouro8vv0</v>
      </c>
    </row>
    <row r="1659" spans="1:5" ht="15.75" customHeight="1" x14ac:dyDescent="0.25">
      <c r="A1659" s="1" t="s">
        <v>3317</v>
      </c>
      <c r="B1659" s="1">
        <v>14768</v>
      </c>
      <c r="C1659" s="3">
        <v>44185.67564814815</v>
      </c>
      <c r="D1659" s="1" t="s">
        <v>3318</v>
      </c>
      <c r="E1659" s="4" t="str">
        <f ca="1">IFERROR(__xludf.DUMMYFUNCTION("GOOGLETRANSLATE(A1659 , ""tr"" , ""en"")"),"We have 3,546 new patients identified today. Our severe patient and active case count continues to fall. Measures and restrictions give a result. We believe that we will get more pronounced results. We can achieve this together. Struggling together is str"&amp;"onger than the virus https://t.co/rvlhe7786o")</f>
        <v>We have 3,546 new patients identified today. Our severe patient and active case count continues to fall. Measures and restrictions give a result. We believe that we will get more pronounced results. We can achieve this together. Struggling together is stronger than the virus https://t.co/rvlhe7786o</v>
      </c>
    </row>
    <row r="1660" spans="1:5" ht="15.75" customHeight="1" x14ac:dyDescent="0.25">
      <c r="A1660" s="1" t="s">
        <v>3319</v>
      </c>
      <c r="B1660" s="1">
        <v>6038</v>
      </c>
      <c r="C1660" s="3">
        <v>44185.581516203703</v>
      </c>
      <c r="D1660" s="1" t="s">
        <v>3320</v>
      </c>
      <c r="E1660" s="4" t="str">
        <f ca="1">IFERROR(__xludf.DUMMYFUNCTION("GOOGLETRANSLATE(A1660 , ""tr"" , ""en"")"),"In Gaziantep, the elimental experienced in our private hospital is examined as an administrative and judicial. This Hadise is not useful to establish unreal relationships between the authorities and responsibilities of our Ministry. https://t.co/xznekkrta"&amp;"k")</f>
        <v>In Gaziantep, the elimental experienced in our private hospital is examined as an administrative and judicial. This Hadise is not useful to establish unreal relationships between the authorities and responsibilities of our Ministry. https://t.co/xznekkrtak</v>
      </c>
    </row>
    <row r="1661" spans="1:5" ht="15.75" customHeight="1" x14ac:dyDescent="0.25">
      <c r="A1661" s="1" t="s">
        <v>3321</v>
      </c>
      <c r="B1661" s="1">
        <v>0</v>
      </c>
      <c r="C1661" s="3">
        <v>44184.913935185185</v>
      </c>
      <c r="D1661" s="1" t="s">
        <v>3322</v>
      </c>
      <c r="E1661" s="4" t="str">
        <f ca="1">IFERROR(__xludf.DUMMYFUNCTION("GOOGLETRANSLATE(A1661 , ""tr"" , ""en"")"),"RT @hans_kluge: We wish the hidden health, wounded to those who lost their life as a result of the sad accident in Gaziantep.
We extend our ...")</f>
        <v>RT @hans_kluge: We wish the hidden health, wounded to those who lost their life as a result of the sad accident in Gaziantep.
We extend our ...</v>
      </c>
    </row>
    <row r="1662" spans="1:5" ht="15.75" customHeight="1" x14ac:dyDescent="0.25">
      <c r="A1662" s="1" t="s">
        <v>3323</v>
      </c>
      <c r="B1662" s="1">
        <v>13493</v>
      </c>
      <c r="C1662" s="3">
        <v>44184.792569444442</v>
      </c>
      <c r="D1662" s="1" t="s">
        <v>3324</v>
      </c>
      <c r="E1662" s="4" t="str">
        <f ca="1">IFERROR(__xludf.DUMMYFUNCTION("GOOGLETRANSLATE(A1662 , ""tr"" , ""en"")"),"Due to the sad event that occurs in Gaziantep, our patient has lost its life in the hospital. Our life loss increased to 10. I wish more than Allah in As Allah, I wish their condolences.")</f>
        <v>Due to the sad event that occurs in Gaziantep, our patient has lost its life in the hospital. Our life loss increased to 10. I wish more than Allah in As Allah, I wish their condolences.</v>
      </c>
    </row>
    <row r="1663" spans="1:5" ht="15.75" customHeight="1" x14ac:dyDescent="0.25">
      <c r="A1663" s="1" t="s">
        <v>3325</v>
      </c>
      <c r="B1663" s="1">
        <v>6541</v>
      </c>
      <c r="C1663" s="3">
        <v>44184.708958333336</v>
      </c>
      <c r="D1663" s="1" t="s">
        <v>3326</v>
      </c>
      <c r="E1663" s="4" t="str">
        <f ca="1">IFERROR(__xludf.DUMMYFUNCTION("GOOGLETRANSLATE(A1663 , ""tr"" , ""en"")"),"Our Minister of Justice, Minister, Deputies, MPs, Gaziantep Validia, Metropolitan Mayor, Provincial Health Manager and the participation of our vacancies; We evaluated the epidemic course of our province and the measures taken. https://t.co/ppc55uh9bl")</f>
        <v>Our Minister of Justice, Minister, Deputies, MPs, Gaziantep Validia, Metropolitan Mayor, Provincial Health Manager and the participation of our vacancies; We evaluated the epidemic course of our province and the measures taken. https://t.co/ppc55uh9bl</v>
      </c>
    </row>
    <row r="1664" spans="1:5" ht="15.75" customHeight="1" x14ac:dyDescent="0.25">
      <c r="A1664" s="1" t="s">
        <v>3327</v>
      </c>
      <c r="B1664" s="1">
        <v>10734</v>
      </c>
      <c r="C1664" s="3">
        <v>44184.685046296298</v>
      </c>
      <c r="D1664" s="1" t="s">
        <v>3328</v>
      </c>
      <c r="E1664" s="4" t="str">
        <f ca="1">IFERROR(__xludf.DUMMYFUNCTION("GOOGLETRANSLATE(A1664 , ""tr"" , ""en"")"),"We have 4,002 new patients identified today. Our severe patient and active case count continues to fall. We see the effect of measures and restrictions. We expect more pronounced results in the days ahead. Outbreaks can only be struggled together. https:/"&amp;"/t.co/rvlhe7786o")</f>
        <v>We have 4,002 new patients identified today. Our severe patient and active case count continues to fall. We see the effect of measures and restrictions. We expect more pronounced results in the days ahead. Outbreaks can only be struggled together. https://t.co/rvlhe7786o</v>
      </c>
    </row>
    <row r="1665" spans="1:5" ht="15.75" customHeight="1" x14ac:dyDescent="0.25">
      <c r="A1665" s="1" t="s">
        <v>3329</v>
      </c>
      <c r="B1665" s="1">
        <v>8337</v>
      </c>
      <c r="C1665" s="3">
        <v>44184.644780092596</v>
      </c>
      <c r="D1665" s="1" t="s">
        <v>3330</v>
      </c>
      <c r="E1665" s="4" t="str">
        <f ca="1">IFERROR(__xludf.DUMMYFUNCTION("GOOGLETRANSLATE(A1665 , ""tr"" , ""en"")"),"In Gaziantep, we have received information in the hospital investigations in the hospital in which it is experienced by the win. We have visited our friends who are affected by the incident during intervention and we have visited our friends. https://t.co"&amp;"/ezqxedluh8")</f>
        <v>In Gaziantep, we have received information in the hospital investigations in the hospital in which it is experienced by the win. We have visited our friends who are affected by the incident during intervention and we have visited our friends. https://t.co/ezqxedluh8</v>
      </c>
    </row>
    <row r="1666" spans="1:5" ht="15.75" customHeight="1" x14ac:dyDescent="0.25">
      <c r="A1666" s="1" t="s">
        <v>3331</v>
      </c>
      <c r="B1666" s="1">
        <v>15585</v>
      </c>
      <c r="C1666" s="3">
        <v>44184.591782407406</v>
      </c>
      <c r="D1666" s="1" t="s">
        <v>3332</v>
      </c>
      <c r="E1666" s="4" t="str">
        <f ca="1">IFERROR(__xludf.DUMMYFUNCTION("GOOGLETRANSLATE(A1666 , ""tr"" , ""en"")"),"We are in Gaziantep to review the sad event in place and to follow the process closely. https://t.co/5wbrhugevj")</f>
        <v>We are in Gaziantep to review the sad event in place and to follow the process closely. https://t.co/5wbrhugevj</v>
      </c>
    </row>
    <row r="1667" spans="1:5" ht="15.75" customHeight="1" x14ac:dyDescent="0.25">
      <c r="A1667" s="1" t="s">
        <v>3333</v>
      </c>
      <c r="B1667" s="1">
        <v>17218</v>
      </c>
      <c r="C1667" s="3">
        <v>44184.377152777779</v>
      </c>
      <c r="D1667" s="1" t="s">
        <v>3334</v>
      </c>
      <c r="E1667" s="4" t="str">
        <f ca="1">IFERROR(__xludf.DUMMYFUNCTION("GOOGLETRANSLATE(A1667 , ""tr"" , ""en"")"),"The event of the intensive care unit in Gaziantep has made us all upset. The passage of the passage was 9. Other patients affected by fire 112 were transported to hospitals by our emergency teams. I wish the passers mercy from Allah. We follow the event c"&amp;"losely.")</f>
        <v>The event of the intensive care unit in Gaziantep has made us all upset. The passage of the passage was 9. Other patients affected by fire 112 were transported to hospitals by our emergency teams. I wish the passers mercy from Allah. We follow the event closely.</v>
      </c>
    </row>
    <row r="1668" spans="1:5" ht="15.75" customHeight="1" x14ac:dyDescent="0.25">
      <c r="A1668" s="1" t="s">
        <v>3335</v>
      </c>
      <c r="B1668" s="1">
        <v>5295</v>
      </c>
      <c r="C1668" s="3">
        <v>44183.833483796298</v>
      </c>
      <c r="D1668" s="1" t="s">
        <v>3336</v>
      </c>
      <c r="E1668" s="4" t="str">
        <f ca="1">IFERROR(__xludf.DUMMYFUNCTION("GOOGLETRANSLATE(A1668 , ""tr"" , ""en"")"),"Today, we evaluated the status of our provinces in close-plan Mersin, Diyarbakır, Trabzon, Antalya and Kocaeli. The early results of our struggle were taken to be taken. Continue to fight without breaks. https://t.co/rnfnzp0t9f")</f>
        <v>Today, we evaluated the status of our provinces in close-plan Mersin, Diyarbakır, Trabzon, Antalya and Kocaeli. The early results of our struggle were taken to be taken. Continue to fight without breaks. https://t.co/rnfnzp0t9f</v>
      </c>
    </row>
    <row r="1669" spans="1:5" ht="15.75" customHeight="1" x14ac:dyDescent="0.25">
      <c r="A1669" s="1" t="s">
        <v>3337</v>
      </c>
      <c r="B1669" s="1">
        <v>4470</v>
      </c>
      <c r="C1669" s="3">
        <v>44183.796122685184</v>
      </c>
      <c r="D1669" s="1" t="s">
        <v>3338</v>
      </c>
      <c r="E1669" s="4" t="str">
        <f ca="1">IFERROR(__xludf.DUMMYFUNCTION("GOOGLETRANSLATE(A1669 , ""tr"" , ""en"")"),"Today, ""Human Medical Products published in the Official Gazette has been seen to spread insufficient information about the regulation on the regulation on the licensing regulation. This is an arrangement, especially for our native vaccine candidates and"&amp;" all vaccines to be used in our country. https://t.co/cvn837jvfb")</f>
        <v>Today, "Human Medical Products published in the Official Gazette has been seen to spread insufficient information about the regulation on the regulation on the licensing regulation. This is an arrangement, especially for our native vaccine candidates and all vaccines to be used in our country. https://t.co/cvn837jvfb</v>
      </c>
    </row>
    <row r="1670" spans="1:5" ht="15.75" customHeight="1" x14ac:dyDescent="0.25">
      <c r="A1670" s="1" t="s">
        <v>3339</v>
      </c>
      <c r="B1670" s="1">
        <v>10168</v>
      </c>
      <c r="C1670" s="3">
        <v>44183.726261574076</v>
      </c>
      <c r="D1670" s="1" t="s">
        <v>3340</v>
      </c>
      <c r="E1670" s="4" t="str">
        <f ca="1">IFERROR(__xludf.DUMMYFUNCTION("GOOGLETRANSLATE(A1670 , ""tr"" , ""en"")"),"We have 4,103 new patients identified today. Our severe patient count continues to fall. Our active case count has begun to decrease. We expect measures to show more of the effect from this weekend. Let's continue without a break to the challenge. https:/"&amp;"/t.co/rvlhe7786o")</f>
        <v>We have 4,103 new patients identified today. Our severe patient count continues to fall. Our active case count has begun to decrease. We expect measures to show more of the effect from this weekend. Let's continue without a break to the challenge. https://t.co/rvlhe7786o</v>
      </c>
    </row>
    <row r="1671" spans="1:5" ht="15.75" customHeight="1" x14ac:dyDescent="0.25">
      <c r="A1671" s="1" t="s">
        <v>3341</v>
      </c>
      <c r="B1671" s="1">
        <v>3858</v>
      </c>
      <c r="C1671" s="3">
        <v>44183.689884259256</v>
      </c>
      <c r="D1671" s="1" t="s">
        <v>3342</v>
      </c>
      <c r="E1671" s="4" t="str">
        <f ca="1">IFERROR(__xludf.DUMMYFUNCTION("GOOGLETRANSLATE(A1671 , ""tr"" , ""en"")"),"Compliance with the measures and the struggle began to give the results. However, despite the total daily decline in the last days, the contamination rate in the last days rose. Let's not leave the measures while staying at home. Let's move on with the st"&amp;"ruggle together and without a break.")</f>
        <v>Compliance with the measures and the struggle began to give the results. However, despite the total daily decline in the last days, the contamination rate in the last days rose. Let's not leave the measures while staying at home. Let's move on with the struggle together and without a break.</v>
      </c>
    </row>
    <row r="1672" spans="1:5" ht="15.75" customHeight="1" x14ac:dyDescent="0.25">
      <c r="A1672" s="1" t="s">
        <v>3343</v>
      </c>
      <c r="B1672" s="1">
        <v>3936</v>
      </c>
      <c r="C1672" s="3">
        <v>44183.689884259256</v>
      </c>
      <c r="D1672" s="1" t="s">
        <v>3344</v>
      </c>
      <c r="E1672" s="4" t="str">
        <f ca="1">IFERROR(__xludf.DUMMYFUNCTION("GOOGLETRANSLATE(A1672 , ""tr"" , ""en"")"),"About 30% in the polyclinics and 15% in hospitalization was 10% in intensive care and 10 percent decrease. The bed occupancy rate is 55%, the intensive care occupancy rate is 65%. Our fillion teams removed from 658 to 1934 are the common contact scan.")</f>
        <v>About 30% in the polyclinics and 15% in hospitalization was 10% in intensive care and 10 percent decrease. The bed occupancy rate is 55%, the intensive care occupancy rate is 65%. Our fillion teams removed from 658 to 1934 are the common contact scan.</v>
      </c>
    </row>
    <row r="1673" spans="1:5" ht="15.75" customHeight="1" x14ac:dyDescent="0.25">
      <c r="A1673" s="1" t="s">
        <v>3345</v>
      </c>
      <c r="B1673" s="1">
        <v>6437</v>
      </c>
      <c r="C1673" s="3">
        <v>44183.689872685187</v>
      </c>
      <c r="D1673" s="1" t="s">
        <v>3346</v>
      </c>
      <c r="E1673" s="4" t="str">
        <f ca="1">IFERROR(__xludf.DUMMYFUNCTION("GOOGLETRANSLATE(A1673 , ""tr"" , ""en"")"),"We have made our assessment of routine in Istanbul with our provincial health managers and hospital heads. The effect of measures was to be seen. The reduction in the number of positive cases in the last week has found 20%. We have seen the reflection of "&amp;"this in our hospitals. https://t.co/lml3nebugq")</f>
        <v>We have made our assessment of routine in Istanbul with our provincial health managers and hospital heads. The effect of measures was to be seen. The reduction in the number of positive cases in the last week has found 20%. We have seen the reflection of this in our hospitals. https://t.co/lml3nebugq</v>
      </c>
    </row>
    <row r="1674" spans="1:5" ht="15.75" customHeight="1" x14ac:dyDescent="0.25">
      <c r="A1674" s="1" t="s">
        <v>3347</v>
      </c>
      <c r="B1674" s="1">
        <v>19911</v>
      </c>
      <c r="C1674" s="3">
        <v>44182.890034722222</v>
      </c>
      <c r="D1674" s="1" t="s">
        <v>3348</v>
      </c>
      <c r="E1674" s="4" t="str">
        <f ca="1">IFERROR(__xludf.DUMMYFUNCTION("GOOGLETRANSLATE(A1674 , ""tr"" , ""en"")"),"In Samsun Bafra State Hospital, an attacker was arrested with the knife at the beginning of a doctor's task. It cannot be explained to attack our health workers who counted their dear. We will continue to struggle violently.")</f>
        <v>In Samsun Bafra State Hospital, an attacker was arrested with the knife at the beginning of a doctor's task. It cannot be explained to attack our health workers who counted their dear. We will continue to struggle violently.</v>
      </c>
    </row>
    <row r="1675" spans="1:5" ht="15.75" customHeight="1" x14ac:dyDescent="0.25">
      <c r="A1675" s="1" t="s">
        <v>3349</v>
      </c>
      <c r="B1675" s="1">
        <v>9662</v>
      </c>
      <c r="C1675" s="3">
        <v>44182.849074074074</v>
      </c>
      <c r="D1675" s="1" t="s">
        <v>3350</v>
      </c>
      <c r="E1675" s="4" t="str">
        <f ca="1">IFERROR(__xludf.DUMMYFUNCTION("GOOGLETRANSLATE(A1675 , ""tr"" , ""en"")"),"The call of love is in the 747th in the 747th in the 747th year of the Vuslam as a rental fellowship to the world from Konya. https://t.co/dma6a1ruqb")</f>
        <v>The call of love is in the 747th in the 747th in the 747th year of the Vuslam as a rental fellowship to the world from Konya. https://t.co/dma6a1ruqb</v>
      </c>
    </row>
    <row r="1676" spans="1:5" ht="15.75" customHeight="1" x14ac:dyDescent="0.25">
      <c r="A1676" s="1" t="s">
        <v>3351</v>
      </c>
      <c r="B1676" s="1">
        <v>6104</v>
      </c>
      <c r="C1676" s="3">
        <v>44182.752650462964</v>
      </c>
      <c r="D1676" s="1" t="s">
        <v>3352</v>
      </c>
      <c r="E1676" s="4" t="str">
        <f ca="1">IFERROR(__xludf.DUMMYFUNCTION("GOOGLETRANSLATE(A1676 , ""tr"" , ""en"")"),"Sportsmen is young
The virus does not separate the young old, even the smallest carelessness is able to infect. Let's keep our health and social lives by complying with the measures. https://t.co/xr4vtdxo3g")</f>
        <v>Sportsmen is young
The virus does not separate the young old, even the smallest carelessness is able to infect. Let's keep our health and social lives by complying with the measures. https://t.co/xr4vtdxo3g</v>
      </c>
    </row>
    <row r="1677" spans="1:5" ht="15.75" customHeight="1" x14ac:dyDescent="0.25">
      <c r="A1677" s="1" t="s">
        <v>3353</v>
      </c>
      <c r="B1677" s="1">
        <v>6542</v>
      </c>
      <c r="C1677" s="3">
        <v>44182.681168981479</v>
      </c>
      <c r="D1677" s="1" t="s">
        <v>3354</v>
      </c>
      <c r="E1677" s="4" t="str">
        <f ca="1">IFERROR(__xludf.DUMMYFUNCTION("GOOGLETRANSLATE(A1677 , ""tr"" , ""en"")"),"Hatay, Adana, Samsun and Izmir are close to our pursuit. Efforts give the result. The days we will win together are not far away. https://t.co/Izi7gz9vbb")</f>
        <v>Hatay, Adana, Samsun and Izmir are close to our pursuit. Efforts give the result. The days we will win together are not far away. https://t.co/Izi7gz9vbb</v>
      </c>
    </row>
    <row r="1678" spans="1:5" ht="15.75" customHeight="1" x14ac:dyDescent="0.25">
      <c r="A1678" s="1" t="s">
        <v>3355</v>
      </c>
      <c r="B1678" s="1">
        <v>11645</v>
      </c>
      <c r="C1678" s="3">
        <v>44182.670671296299</v>
      </c>
      <c r="D1678" s="1" t="s">
        <v>3356</v>
      </c>
      <c r="E1678" s="4" t="str">
        <f ca="1">IFERROR(__xludf.DUMMYFUNCTION("GOOGLETRANSLATE(A1678 , ""tr"" , ""en"")"),"We have 4,209 patients identified today. Our severe patient count fell after a long break. The active number of patients continues to decrease. Measures and restrictions began to give a result. We are ours to make this constantly. Let's struggle until the"&amp;" result https://t.co/rvlhe7oIYM")</f>
        <v>We have 4,209 patients identified today. Our severe patient count fell after a long break. The active number of patients continues to decrease. Measures and restrictions began to give a result. We are ours to make this constantly. Let's struggle until the result https://t.co/rvlhe7oIYM</v>
      </c>
    </row>
    <row r="1679" spans="1:5" ht="15.75" customHeight="1" x14ac:dyDescent="0.25">
      <c r="A1679" s="1" t="s">
        <v>3357</v>
      </c>
      <c r="B1679" s="1">
        <v>29288</v>
      </c>
      <c r="C1679" s="3">
        <v>44182.561400462961</v>
      </c>
      <c r="D1679" s="1" t="s">
        <v>3358</v>
      </c>
      <c r="E1679" s="4" t="str">
        <f ca="1">IFERROR(__xludf.DUMMYFUNCTION("GOOGLETRANSLATE(A1679 , ""tr"" , ""en"")"),"Antalya was removed from the official position of the Kumluca State Hospital. About Discipline Investigation The Convention on the Convention of the Property is terminated to terminate the duty. It is impossible to accept such behavior. https://t.co/q28jf"&amp;"wq3q3")</f>
        <v>Antalya was removed from the official position of the Kumluca State Hospital. About Discipline Investigation The Convention on the Convention of the Property is terminated to terminate the duty. It is impossible to accept such behavior. https://t.co/q28jfwq3q3</v>
      </c>
    </row>
    <row r="1680" spans="1:5" ht="15.75" customHeight="1" x14ac:dyDescent="0.25">
      <c r="A1680" s="1" t="s">
        <v>3359</v>
      </c>
      <c r="B1680" s="1">
        <v>5013</v>
      </c>
      <c r="C1680" s="3">
        <v>44182.538854166669</v>
      </c>
      <c r="D1680" s="1" t="s">
        <v>3360</v>
      </c>
      <c r="E1680" s="4" t="str">
        <f ca="1">IFERROR(__xludf.DUMMYFUNCTION("GOOGLETRANSLATE(A1680 , ""tr"" , ""en"")"),"Our public and private health sector gave a successful examination in the struggle of pandemia. Patient preferring statements in developed countries have not been experienced in our country. I am sure that all of our public and private health institutions"&amp;" that do not refrain from sacrifice to date are also required on the vaccination. https://t.co/onklxn6mog")</f>
        <v>Our public and private health sector gave a successful examination in the struggle of pandemia. Patient preferring statements in developed countries have not been experienced in our country. I am sure that all of our public and private health institutions that do not refrain from sacrifice to date are also required on the vaccination. https://t.co/onklxn6mog</v>
      </c>
    </row>
    <row r="1681" spans="1:5" ht="15.75" customHeight="1" x14ac:dyDescent="0.25">
      <c r="A1681" s="1" t="s">
        <v>3361</v>
      </c>
      <c r="B1681" s="1">
        <v>9387</v>
      </c>
      <c r="C1681" s="3">
        <v>44181.923055555555</v>
      </c>
      <c r="D1681" s="1" t="s">
        <v>3362</v>
      </c>
      <c r="E1681" s="4" t="str">
        <f ca="1">IFERROR(__xludf.DUMMYFUNCTION("GOOGLETRANSLATE(A1681 , ""tr"" , ""en"")"),"In a period where COVID-19 vaccine preparations are the most intense, we have received the country of being the country in which the disease was eliminated by the diseases that are prevented by vaccine by the WHO. We are determined to show the same succes"&amp;"s in COVID-19 struggle. https://t.co/37k5aoqcb7")</f>
        <v>In a period where COVID-19 vaccine preparations are the most intense, we have received the country of being the country in which the disease was eliminated by the diseases that are prevented by vaccine by the WHO. We are determined to show the same success in COVID-19 struggle. https://t.co/37k5aoqcb7</v>
      </c>
    </row>
    <row r="1682" spans="1:5" ht="15.75" customHeight="1" x14ac:dyDescent="0.25">
      <c r="A1682" s="1" t="s">
        <v>3363</v>
      </c>
      <c r="B1682" s="1">
        <v>16538</v>
      </c>
      <c r="C1682" s="3">
        <v>44181.691562499997</v>
      </c>
      <c r="D1682" s="1" t="s">
        <v>3364</v>
      </c>
      <c r="E1682" s="4" t="str">
        <f ca="1">IFERROR(__xludf.DUMMYFUNCTION("GOOGLETRANSLATE(A1682 , ""tr"" , ""en"")"),"We have 4,893 patients identified today. Our daily patient has been falling in a while. Today, after a long break, the number of daily recovery has passed the number of new cases. Our active patient count has fallen after a long break. Let's protect our l"&amp;"oved ones by https://t.co/rvlhe7786o")</f>
        <v>We have 4,893 patients identified today. Our daily patient has been falling in a while. Today, after a long break, the number of daily recovery has passed the number of new cases. Our active patient count has fallen after a long break. Let's protect our loved ones by https://t.co/rvlhe7786o</v>
      </c>
    </row>
    <row r="1683" spans="1:5" ht="15.75" customHeight="1" x14ac:dyDescent="0.25">
      <c r="A1683" s="1" t="s">
        <v>3365</v>
      </c>
      <c r="B1683" s="1">
        <v>18749</v>
      </c>
      <c r="C1683" s="3">
        <v>44180.914097222223</v>
      </c>
      <c r="D1683" s="1" t="s">
        <v>3366</v>
      </c>
      <c r="E1683" s="4" t="str">
        <f ca="1">IFERROR(__xludf.DUMMYFUNCTION("GOOGLETRANSLATE(A1683 , ""tr"" , ""en"")"),"In our Ministry, 12 thousand contracted medical staff were disclosed. Results have been released from ÖSYM's site. New assignments will add us to us. Congratulations.")</f>
        <v>In our Ministry, 12 thousand contracted medical staff were disclosed. Results have been released from ÖSYM's site. New assignments will add us to us. Congratulations.</v>
      </c>
    </row>
    <row r="1684" spans="1:5" ht="15.75" customHeight="1" x14ac:dyDescent="0.25">
      <c r="A1684" s="1" t="s">
        <v>3367</v>
      </c>
      <c r="B1684" s="1">
        <v>7605</v>
      </c>
      <c r="C1684" s="3">
        <v>44180.833912037036</v>
      </c>
      <c r="D1684" s="1" t="s">
        <v>3368</v>
      </c>
      <c r="E1684" s="4" t="str">
        <f ca="1">IFERROR(__xludf.DUMMYFUNCTION("GOOGLETRANSLATE(A1684 , ""tr"" , ""en"")"),"The large crowds such as condolences are a great threat to everyone's health involved. Conform to the measures is the security of our health and social life. https://t.co/b1n4rghwlh")</f>
        <v>The large crowds such as condolences are a great threat to everyone's health involved. Conform to the measures is the security of our health and social life. https://t.co/b1n4rghwlh</v>
      </c>
    </row>
    <row r="1685" spans="1:5" ht="15.75" customHeight="1" x14ac:dyDescent="0.25">
      <c r="A1685" s="1" t="s">
        <v>3369</v>
      </c>
      <c r="B1685" s="1">
        <v>12838</v>
      </c>
      <c r="C1685" s="3">
        <v>44180.712569444448</v>
      </c>
      <c r="D1685" s="1" t="s">
        <v>3370</v>
      </c>
      <c r="E1685" s="4" t="str">
        <f ca="1">IFERROR(__xludf.DUMMYFUNCTION("GOOGLETRANSLATE(A1685 , ""tr"" , ""en"")"),"We have 5,105 new patients identified today. Our severe patient count is still static. We have to reduce our losses. Let's keep our loved ones by standing off and off the crowded environments. https://t.co/rvlhe7786o")</f>
        <v>We have 5,105 new patients identified today. Our severe patient count is still static. We have to reduce our losses. Let's keep our loved ones by standing off and off the crowded environments. https://t.co/rvlhe7786o</v>
      </c>
    </row>
    <row r="1686" spans="1:5" ht="15.75" customHeight="1" x14ac:dyDescent="0.25">
      <c r="A1686" s="1" t="s">
        <v>3371</v>
      </c>
      <c r="B1686" s="1">
        <v>7636</v>
      </c>
      <c r="C1686" s="3">
        <v>44179.858310185184</v>
      </c>
      <c r="D1686" s="1" t="s">
        <v>3372</v>
      </c>
      <c r="E1686" s="4" t="str">
        <f ca="1">IFERROR(__xludf.DUMMYFUNCTION("GOOGLETRANSLATE(A1686 , ""tr"" , ""en"")"),"Let's not take measures in our relations with our close environment. The epidemic continues to separate us from our relatives. https://t.co/kapuzkr25p")</f>
        <v>Let's not take measures in our relations with our close environment. The epidemic continues to separate us from our relatives. https://t.co/kapuzkr25p</v>
      </c>
    </row>
    <row r="1687" spans="1:5" ht="15.75" customHeight="1" x14ac:dyDescent="0.25">
      <c r="A1687" s="1" t="s">
        <v>3373</v>
      </c>
      <c r="B1687" s="1">
        <v>12013</v>
      </c>
      <c r="C1687" s="3">
        <v>44179.72824074074</v>
      </c>
      <c r="D1687" s="1" t="s">
        <v>3374</v>
      </c>
      <c r="E1687" s="4" t="str">
        <f ca="1">IFERROR(__xludf.DUMMYFUNCTION("GOOGLETRANSLATE(A1687 , ""tr"" , ""en"")"),"We have 5,064 new patients identified today. Number of severe patients approached 6,000. Our hospital load is still too high. Let's keep our loved ones by staying away from crowds and enclosed environments. We will see the impact of restrictions soon more"&amp;" clearly. https://t.co/rvlhe7786o")</f>
        <v>We have 5,064 new patients identified today. Number of severe patients approached 6,000. Our hospital load is still too high. Let's keep our loved ones by staying away from crowds and enclosed environments. We will see the impact of restrictions soon more clearly. https://t.co/rvlhe7786o</v>
      </c>
    </row>
    <row r="1688" spans="1:5" ht="15.75" customHeight="1" x14ac:dyDescent="0.25">
      <c r="A1688" s="1" t="s">
        <v>3375</v>
      </c>
      <c r="B1688" s="1">
        <v>0</v>
      </c>
      <c r="C1688" s="3">
        <v>44179.699166666665</v>
      </c>
      <c r="D1688" s="1" t="s">
        <v>3376</v>
      </c>
      <c r="E1688" s="4" t="str">
        <f ca="1">IFERROR(__xludf.DUMMYFUNCTION("GOOGLETRANSLATE(A1688 , ""tr"" , ""en"")"),"RT @rterdogan: Shouting Nation After Cabinet Meeting https://t.co/DRC2CBBBL5")</f>
        <v>RT @rterdogan: Shouting Nation After Cabinet Meeting https://t.co/DRC2CBBBL5</v>
      </c>
    </row>
    <row r="1689" spans="1:5" ht="15.75" customHeight="1" x14ac:dyDescent="0.25">
      <c r="A1689" s="1" t="s">
        <v>3377</v>
      </c>
      <c r="B1689" s="1">
        <v>15043</v>
      </c>
      <c r="C1689" s="3">
        <v>44178.917407407411</v>
      </c>
      <c r="D1689" s="1" t="s">
        <v>3378</v>
      </c>
      <c r="E1689" s="4" t="str">
        <f ca="1">IFERROR(__xludf.DUMMYFUNCTION("GOOGLETRANSLATE(A1689 , ""tr"" , ""en"")"),"We have found the opportunity to explore the services of our nation to our nation. We will surpass these difficult days. We hope. https://t.co/zkydvc1sdd")</f>
        <v>We have found the opportunity to explore the services of our nation to our nation. We will surpass these difficult days. We hope. https://t.co/zkydvc1sdd</v>
      </c>
    </row>
    <row r="1690" spans="1:5" ht="15.75" customHeight="1" x14ac:dyDescent="0.25">
      <c r="A1690" s="1" t="s">
        <v>3379</v>
      </c>
      <c r="B1690" s="1">
        <v>34001</v>
      </c>
      <c r="C1690" s="3">
        <v>44178.802175925928</v>
      </c>
      <c r="D1690" s="1" t="s">
        <v>3380</v>
      </c>
      <c r="E1690" s="4" t="str">
        <f ca="1">IFERROR(__xludf.DUMMYFUNCTION("GOOGLETRANSLATE(A1690 , ""tr"" , ""en"")"),"We are in the world in the world (40.3%) in the 100 thousand people (40.3%) in the world. Be proud of Turkey! https://t.co/0anissvlpu")</f>
        <v>We are in the world in the world (40.3%) in the 100 thousand people (40.3%) in the world. Be proud of Turkey! https://t.co/0anissvlpu</v>
      </c>
    </row>
    <row r="1691" spans="1:5" ht="15.75" customHeight="1" x14ac:dyDescent="0.25">
      <c r="A1691" s="1" t="s">
        <v>3381</v>
      </c>
      <c r="B1691" s="1">
        <v>7633</v>
      </c>
      <c r="C1691" s="3">
        <v>44178.780277777776</v>
      </c>
      <c r="D1691" s="1" t="s">
        <v>3382</v>
      </c>
      <c r="E1691" s="4" t="str">
        <f ca="1">IFERROR(__xludf.DUMMYFUNCTION("GOOGLETRANSLATE(A1691 , ""tr"" , ""en"")"),"In our Eastern and Southeastern Anatolia region, Diyarbakır, Şanlıurfa and Mardin outside the city hospitals; With the nature of the city hospitals, Batman, Bingöl, Kars, Mus, Siirt and Sirnak Our hospitals with 500 beds are completed to 2023 and will be "&amp;"offered to the service of our regionals. https://t.co/ldibojkau1")</f>
        <v>In our Eastern and Southeastern Anatolia region, Diyarbakır, Şanlıurfa and Mardin outside the city hospitals; With the nature of the city hospitals, Batman, Bingöl, Kars, Mus, Siirt and Sirnak Our hospitals with 500 beds are completed to 2023 and will be offered to the service of our regionals. https://t.co/ldibojkau1</v>
      </c>
    </row>
    <row r="1692" spans="1:5" ht="15.75" customHeight="1" x14ac:dyDescent="0.25">
      <c r="A1692" s="1" t="s">
        <v>3383</v>
      </c>
      <c r="B1692" s="1">
        <v>8085</v>
      </c>
      <c r="C1692" s="3">
        <v>44178.770092592589</v>
      </c>
      <c r="D1692" s="1" t="s">
        <v>3384</v>
      </c>
      <c r="E1692" s="4" t="str">
        <f ca="1">IFERROR(__xludf.DUMMYFUNCTION("GOOGLETRANSLATE(A1692 , ""tr"" , ""en"")"),"✔samsun, Aydın, Trabzon City Hospitals Tender Processes are completed.
.1.750 Sanliurfa, each of the 1000 beds, Denizli, Sakarya, Diyarbakir, Antalya,
We will also open the service of Rize and the 750-bearing Mardin City Hospitals before 2023. https://t.c"&amp;"o/t7azzm4izs")</f>
        <v>✔samsun, Aydın, Trabzon City Hospitals Tender Processes are completed.
.1.750 Sanliurfa, each of the 1000 beds, Denizli, Sakarya, Diyarbakir, Antalya,
We will also open the service of Rize and the 750-bearing Mardin City Hospitals before 2023. https://t.co/t7azzm4izs</v>
      </c>
    </row>
    <row r="1693" spans="1:5" ht="15.75" customHeight="1" x14ac:dyDescent="0.25">
      <c r="A1693" s="1" t="s">
        <v>3385</v>
      </c>
      <c r="B1693" s="1">
        <v>8926</v>
      </c>
      <c r="C1693" s="3">
        <v>44178.69127314815</v>
      </c>
      <c r="D1693" s="1" t="s">
        <v>3386</v>
      </c>
      <c r="E1693" s="4" t="str">
        <f ca="1">IFERROR(__xludf.DUMMYFUNCTION("GOOGLETRANSLATE(A1693 , ""tr"" , ""en"")"),"The phase II phase of our native vaccine begins. We have also made our agreement on ready vaccine supply. https://t.co/xlouqacpy2")</f>
        <v>The phase II phase of our native vaccine begins. We have also made our agreement on ready vaccine supply. https://t.co/xlouqacpy2</v>
      </c>
    </row>
    <row r="1694" spans="1:5" ht="15.75" customHeight="1" x14ac:dyDescent="0.25">
      <c r="A1694" s="1" t="s">
        <v>3387</v>
      </c>
      <c r="B1694" s="1">
        <v>12640</v>
      </c>
      <c r="C1694" s="3">
        <v>44178.677314814813</v>
      </c>
      <c r="D1694" s="1" t="s">
        <v>3388</v>
      </c>
      <c r="E1694" s="4" t="str">
        <f ca="1">IFERROR(__xludf.DUMMYFUNCTION("GOOGLETRANSLATE(A1694 , ""tr"" , ""en"")"),"We have 5,103 patients identified today. The rate of increase in severe patients continues to decrease. The rate of increase in our patients is also decreasing. Let's stay away from the enclosed and crowded environments until they benefit the vaccine effe"&amp;"ctively. https://t.co/rvlhe7786o")</f>
        <v>We have 5,103 patients identified today. The rate of increase in severe patients continues to decrease. The rate of increase in our patients is also decreasing. Let's stay away from the enclosed and crowded environments until they benefit the vaccine effectively. https://t.co/rvlhe7786o</v>
      </c>
    </row>
    <row r="1695" spans="1:5" ht="15.75" customHeight="1" x14ac:dyDescent="0.25">
      <c r="A1695" s="1" t="s">
        <v>3389</v>
      </c>
      <c r="B1695" s="1">
        <v>9564</v>
      </c>
      <c r="C1695" s="3">
        <v>44178.656967592593</v>
      </c>
      <c r="D1695" s="1" t="s">
        <v>3390</v>
      </c>
      <c r="E1695" s="4" t="str">
        <f ca="1">IFERROR(__xludf.DUMMYFUNCTION("GOOGLETRANSLATE(A1695 , ""tr"" , ""en"")"),"WHO has only reported success in Turkey's pandemic period, there is no other instance in the world. Also regardless of the Social Security in the European Progress Report, Turkey has been emphasized in accordance with free tests and treatment opportunitie"&amp;"s of Turkey. https://t.co/rfmejofeyy")</f>
        <v>WHO has only reported success in Turkey's pandemic period, there is no other instance in the world. Also regardless of the Social Security in the European Progress Report, Turkey has been emphasized in accordance with free tests and treatment opportunities of Turkey. https://t.co/rfmejofeyy</v>
      </c>
    </row>
    <row r="1696" spans="1:5" ht="15.75" customHeight="1" x14ac:dyDescent="0.25">
      <c r="A1696" s="1" t="s">
        <v>3391</v>
      </c>
      <c r="B1696" s="1">
        <v>13221</v>
      </c>
      <c r="C1696" s="3">
        <v>44178.632094907407</v>
      </c>
      <c r="D1696" s="1" t="s">
        <v>3392</v>
      </c>
      <c r="E1696" s="4" t="str">
        <f ca="1">IFERROR(__xludf.DUMMYFUNCTION("GOOGLETRANSLATE(A1696 , ""tr"" , ""en"")"),"We will not forget the heroic your showing the sacrifice that you make. #The grateful https://t.co/m1utkjjgps")</f>
        <v>We will not forget the heroic your showing the sacrifice that you make. #The grateful https://t.co/m1utkjjgps</v>
      </c>
    </row>
    <row r="1697" spans="1:5" ht="15.75" customHeight="1" x14ac:dyDescent="0.25">
      <c r="A1697" s="1" t="s">
        <v>3393</v>
      </c>
      <c r="B1697" s="1">
        <v>38029</v>
      </c>
      <c r="C1697" s="3">
        <v>44177.856886574074</v>
      </c>
      <c r="D1697" s="1" t="s">
        <v>3394</v>
      </c>
      <c r="E1697" s="4" t="str">
        <f ca="1">IFERROR(__xludf.DUMMYFUNCTION("GOOGLETRANSLATE(A1697 , ""tr"" , ""en"")"),"In the epidemic period, we bury our hearts sacrificing health martyrs for our citizens' health. # we are grateful")</f>
        <v>In the epidemic period, we bury our hearts sacrificing health martyrs for our citizens' health. # we are grateful</v>
      </c>
    </row>
    <row r="1698" spans="1:5" ht="15.75" customHeight="1" x14ac:dyDescent="0.25">
      <c r="A1698" s="1" t="s">
        <v>3395</v>
      </c>
      <c r="B1698" s="1">
        <v>7884</v>
      </c>
      <c r="C1698" s="3">
        <v>44177.776539351849</v>
      </c>
      <c r="D1698" s="1" t="s">
        <v>3396</v>
      </c>
      <c r="E1698" s="4" t="str">
        <f ca="1">IFERROR(__xludf.DUMMYFUNCTION("GOOGLETRANSLATE(A1698 , ""tr"" , ""en"")"),"The General Assembly of the TBMM is driving 2021 budget calls. We are in the Supreme Assembly for the budget of our Ministry. https://t.co/xv3tqzdlns")</f>
        <v>The General Assembly of the TBMM is driving 2021 budget calls. We are in the Supreme Assembly for the budget of our Ministry. https://t.co/xv3tqzdlns</v>
      </c>
    </row>
    <row r="1699" spans="1:5" ht="15.75" customHeight="1" x14ac:dyDescent="0.25">
      <c r="A1699" s="1" t="s">
        <v>3397</v>
      </c>
      <c r="B1699" s="1">
        <v>11541</v>
      </c>
      <c r="C1699" s="3">
        <v>44177.66909722222</v>
      </c>
      <c r="D1699" s="1" t="s">
        <v>3398</v>
      </c>
      <c r="E1699" s="4" t="str">
        <f ca="1">IFERROR(__xludf.DUMMYFUNCTION("GOOGLETRANSLATE(A1699 , ""tr"" , ""en"")"),"We have 5,203 patients identified today. The rate of increase in the number of severe patients is glad to be stable. Let's keep our struggle on full compliance and measures to restrictions. Https://t.co/rvlhe7786o, https://t.co/rvlhe7786o")</f>
        <v>We have 5,203 patients identified today. The rate of increase in the number of severe patients is glad to be stable. Let's keep our struggle on full compliance and measures to restrictions. Https://t.co/rvlhe7786o, https://t.co/rvlhe7786o</v>
      </c>
    </row>
    <row r="1700" spans="1:5" ht="15.75" customHeight="1" x14ac:dyDescent="0.25">
      <c r="A1700" s="1" t="s">
        <v>3399</v>
      </c>
      <c r="B1700" s="1">
        <v>13133</v>
      </c>
      <c r="C1700" s="3">
        <v>44177.600891203707</v>
      </c>
      <c r="D1700" s="1" t="s">
        <v>3400</v>
      </c>
      <c r="E1700" s="4" t="str">
        <f ca="1">IFERROR(__xludf.DUMMYFUNCTION("GOOGLETRANSLATE(A1700 , ""tr"" , ""en"")"),"With my friends facing friends, we are in the Almighty Assembly for the 2021 budget interviews. https://t.co/ma6av93la4")</f>
        <v>With my friends facing friends, we are in the Almighty Assembly for the 2021 budget interviews. https://t.co/ma6av93la4</v>
      </c>
    </row>
    <row r="1701" spans="1:5" ht="15.75" customHeight="1" x14ac:dyDescent="0.25">
      <c r="A1701" s="1" t="s">
        <v>3401</v>
      </c>
      <c r="B1701" s="1">
        <v>11994</v>
      </c>
      <c r="C1701" s="3">
        <v>44176.878252314818</v>
      </c>
      <c r="D1701" s="1" t="s">
        <v>3402</v>
      </c>
      <c r="E1701" s="4" t="str">
        <f ca="1">IFERROR(__xludf.DUMMYFUNCTION("GOOGLETRANSLATE(A1701 , ""tr"" , ""en"")"),"Our Nobel Award-winning Science is today. Dr. I have met with Saint Sancar. We have passed my thanks for the explanations that support our master's strategy on the vaccination of our Ministry in the press today. I am grateful to the encouraging words of o"&amp;"ur teacher. https://t.co/fgg28ce4xw")</f>
        <v>Our Nobel Award-winning Science is today. Dr. I have met with Saint Sancar. We have passed my thanks for the explanations that support our master's strategy on the vaccination of our Ministry in the press today. I am grateful to the encouraging words of our teacher. https://t.co/fgg28ce4xw</v>
      </c>
    </row>
    <row r="1702" spans="1:5" ht="15.75" customHeight="1" x14ac:dyDescent="0.25">
      <c r="A1702" s="1" t="s">
        <v>3403</v>
      </c>
      <c r="B1702" s="1">
        <v>4788</v>
      </c>
      <c r="C1702" s="3">
        <v>44176.874212962961</v>
      </c>
      <c r="D1702" s="1" t="s">
        <v>3404</v>
      </c>
      <c r="E1702" s="4" t="str">
        <f ca="1">IFERROR(__xludf.DUMMYFUNCTION("GOOGLETRANSLATE(A1702 , ""tr"" , ""en"")"),"It is easier to take conclusions when you strive to the measures tightly. Let's all be aware of our responsibility. Continue to fight without break; We will win together.")</f>
        <v>It is easier to take conclusions when you strive to the measures tightly. Let's all be aware of our responsibility. Continue to fight without break; We will win together.</v>
      </c>
    </row>
    <row r="1703" spans="1:5" ht="15.75" customHeight="1" x14ac:dyDescent="0.25">
      <c r="A1703" s="1" t="s">
        <v>3405</v>
      </c>
      <c r="B1703" s="1">
        <v>5052</v>
      </c>
      <c r="C1703" s="3">
        <v>44176.874085648145</v>
      </c>
      <c r="D1703" s="1" t="s">
        <v>3406</v>
      </c>
      <c r="E1703" s="4" t="str">
        <f ca="1">IFERROR(__xludf.DUMMYFUNCTION("GOOGLETRANSLATE(A1703 , ""tr"" , ""en"")"),"In Istanbul, Izmir and Kocaeli, 30% in Ankara and the decline in 40 days of cases. However, in hospital and intensive care, the patient load continues. Intensive care occupancy rate 67% in Istanbul, 78% in Izmir, 78% in Kocaeli and Ankara.")</f>
        <v>In Istanbul, Izmir and Kocaeli, 30% in Ankara and the decline in 40 days of cases. However, in hospital and intensive care, the patient load continues. Intensive care occupancy rate 67% in Istanbul, 78% in Izmir, 78% in Kocaeli and Ankara.</v>
      </c>
    </row>
    <row r="1704" spans="1:5" ht="15.75" customHeight="1" x14ac:dyDescent="0.25">
      <c r="A1704" s="1" t="s">
        <v>3407</v>
      </c>
      <c r="B1704" s="1">
        <v>8014</v>
      </c>
      <c r="C1704" s="3">
        <v>44176.873807870368</v>
      </c>
      <c r="D1704" s="1" t="s">
        <v>3408</v>
      </c>
      <c r="E1704" s="4" t="str">
        <f ca="1">IFERROR(__xludf.DUMMYFUNCTION("GOOGLETRANSLATE(A1704 , ""tr"" , ""en"")"),"Istanbul, Ankara, Izmir, our Kocaeli Governors, Provincial Health Managers and public health have evaluated the latest situation with our presidents. https://t.co/weyzc346hi")</f>
        <v>Istanbul, Ankara, Izmir, our Kocaeli Governors, Provincial Health Managers and public health have evaluated the latest situation with our presidents. https://t.co/weyzc346hi</v>
      </c>
    </row>
    <row r="1705" spans="1:5" ht="15.75" customHeight="1" x14ac:dyDescent="0.25">
      <c r="A1705" s="1" t="s">
        <v>3409</v>
      </c>
      <c r="B1705" s="1">
        <v>11639</v>
      </c>
      <c r="C1705" s="3">
        <v>44176.693923611114</v>
      </c>
      <c r="D1705" s="1" t="s">
        <v>3410</v>
      </c>
      <c r="E1705" s="4" t="str">
        <f ca="1">IFERROR(__xludf.DUMMYFUNCTION("GOOGLETRANSLATE(A1705 , ""tr"" , ""en"")"),"We have new patients with 5.607 identified today. The rate of increase in severe patients approached the stop. We have to comply with determination to measures. Let's protect ourselves and our loved ones until the vaccine is implemented and effect. This i"&amp;"s all of us common responsibility. https://t.co/rvlhe7786o")</f>
        <v>We have new patients with 5.607 identified today. The rate of increase in severe patients approached the stop. We have to comply with determination to measures. Let's protect ourselves and our loved ones until the vaccine is implemented and effect. This is all of us common responsibility. https://t.co/rvlhe7786o</v>
      </c>
    </row>
    <row r="1706" spans="1:5" ht="15.75" customHeight="1" x14ac:dyDescent="0.25">
      <c r="A1706" s="1" t="s">
        <v>3411</v>
      </c>
      <c r="B1706" s="1">
        <v>5955</v>
      </c>
      <c r="C1706" s="3">
        <v>44176.679803240739</v>
      </c>
      <c r="D1706" s="1" t="s">
        <v>3412</v>
      </c>
      <c r="E1706" s="4" t="str">
        <f ca="1">IFERROR(__xludf.DUMMYFUNCTION("GOOGLETRANSLATE(A1706 , ""tr"" , ""en"")"),"In the International Participation General Vaccine Symposium held by Hacettepe University; We have shared our developments and studies with the participants. Turkey has taken the early in the need to develop their own vaccine in the need of vaccination. h"&amp;"ttps://t.co/ly3wucbcs3")</f>
        <v>In the International Participation General Vaccine Symposium held by Hacettepe University; We have shared our developments and studies with the participants. Turkey has taken the early in the need to develop their own vaccine in the need of vaccination. https://t.co/ly3wucbcs3</v>
      </c>
    </row>
    <row r="1707" spans="1:5" ht="15.75" customHeight="1" x14ac:dyDescent="0.25">
      <c r="A1707" s="1" t="s">
        <v>3413</v>
      </c>
      <c r="B1707" s="1">
        <v>3971</v>
      </c>
      <c r="C1707" s="3">
        <v>44175.884270833332</v>
      </c>
      <c r="D1707" s="1" t="s">
        <v>3414</v>
      </c>
      <c r="E1707" s="4" t="str">
        <f ca="1">IFERROR(__xludf.DUMMYFUNCTION("GOOGLETRANSLATE(A1707 , ""tr"" , ""en"")"),"As the local additional measures are faster and more stable, it is not possible to receive more positive results. Let's continue to fight without break; We will win together.")</f>
        <v>As the local additional measures are faster and more stable, it is not possible to receive more positive results. Let's continue to fight without break; We will win together.</v>
      </c>
    </row>
    <row r="1708" spans="1:5" ht="15.75" customHeight="1" x14ac:dyDescent="0.25">
      <c r="A1708" s="1" t="s">
        <v>3415</v>
      </c>
      <c r="B1708" s="1">
        <v>4608</v>
      </c>
      <c r="C1708" s="3">
        <v>44175.884270833332</v>
      </c>
      <c r="D1708" s="1" t="s">
        <v>3416</v>
      </c>
      <c r="E1708" s="4" t="str">
        <f ca="1">IFERROR(__xludf.DUMMYFUNCTION("GOOGLETRANSLATE(A1708 , ""tr"" , ""en"")"),"In Gaziantep, the number of daily cases is 35%, 30% in Şanlıurfa, 20% in Tekirdağ and 20% in Denizli. Our filion teams are doing intense follow on the field. Our burden in hospital and intensive care is yet going on.")</f>
        <v>In Gaziantep, the number of daily cases is 35%, 30% in Şanlıurfa, 20% in Tekirdağ and 20% in Denizli. Our filion teams are doing intense follow on the field. Our burden in hospital and intensive care is yet going on.</v>
      </c>
    </row>
    <row r="1709" spans="1:5" ht="15.75" customHeight="1" x14ac:dyDescent="0.25">
      <c r="A1709" s="1" t="s">
        <v>3417</v>
      </c>
      <c r="B1709" s="1">
        <v>7682</v>
      </c>
      <c r="C1709" s="3">
        <v>44175.884259259263</v>
      </c>
      <c r="D1709" s="1" t="s">
        <v>3418</v>
      </c>
      <c r="E1709" s="4" t="str">
        <f ca="1">IFERROR(__xludf.DUMMYFUNCTION("GOOGLETRANSLATE(A1709 , ""tr"" , ""en"")"),"Gaziantep, Sanliurfa, Tekirdag, Denizli Governors, Provincial Health Managers and Public Health Consultants by our presidents, we have made a status evaluation. https://t.co/bxpkop3y31")</f>
        <v>Gaziantep, Sanliurfa, Tekirdag, Denizli Governors, Provincial Health Managers and Public Health Consultants by our presidents, we have made a status evaluation. https://t.co/bxpkop3y31</v>
      </c>
    </row>
    <row r="1710" spans="1:5" ht="15.75" customHeight="1" x14ac:dyDescent="0.25">
      <c r="A1710" s="1" t="s">
        <v>3419</v>
      </c>
      <c r="B1710" s="1">
        <v>13693</v>
      </c>
      <c r="C1710" s="3">
        <v>44175.818993055553</v>
      </c>
      <c r="D1710" s="1" t="s">
        <v>3420</v>
      </c>
      <c r="E1710" s="4" t="str">
        <f ca="1">IFERROR(__xludf.DUMMYFUNCTION("GOOGLETRANSLATE(A1710 , ""tr"" , ""en"")"),"I wish our heroes that are marty with the attack as a result of the attack in Resulay, I wish the mercy from Allah. May the head of our nation be right. https://t.co/pdvtxx81qm")</f>
        <v>I wish our heroes that are marty with the attack as a result of the attack in Resulay, I wish the mercy from Allah. May the head of our nation be right. https://t.co/pdvtxx81qm</v>
      </c>
    </row>
    <row r="1711" spans="1:5" ht="15.75" customHeight="1" x14ac:dyDescent="0.25">
      <c r="A1711" s="1" t="s">
        <v>3421</v>
      </c>
      <c r="B1711" s="1">
        <v>11297</v>
      </c>
      <c r="C1711" s="3">
        <v>44175.701307870368</v>
      </c>
      <c r="D1711" s="1" t="s">
        <v>3422</v>
      </c>
      <c r="E1711" s="4" t="str">
        <f ca="1">IFERROR(__xludf.DUMMYFUNCTION("GOOGLETRANSLATE(A1711 , ""tr"" , ""en"")"),"There are 5918 patients identified today. We started to feel the impact of the measures taken. The number of severe patients in the increase in increase is continuing. We will be successful by supporting the gains obtained with restrictions with personal "&amp;"measures. Let's struggle together. https://t.co/rvlhe7786o")</f>
        <v>There are 5918 patients identified today. We started to feel the impact of the measures taken. The number of severe patients in the increase in increase is continuing. We will be successful by supporting the gains obtained with restrictions with personal measures. Let's struggle together. https://t.co/rvlhe7786o</v>
      </c>
    </row>
    <row r="1712" spans="1:5" ht="15.75" customHeight="1" x14ac:dyDescent="0.25">
      <c r="A1712" s="1" t="s">
        <v>3423</v>
      </c>
      <c r="B1712" s="1">
        <v>5477</v>
      </c>
      <c r="C1712" s="3">
        <v>44175.466493055559</v>
      </c>
      <c r="D1712" s="1" t="s">
        <v>3424</v>
      </c>
      <c r="E1712" s="4" t="str">
        <f ca="1">IFERROR(__xludf.DUMMYFUNCTION("GOOGLETRANSLATE(A1712 , ""tr"" , ""en"")"),"We have to move together to change the course of the outbreak. https://t.co/hafopfzpci")</f>
        <v>We have to move together to change the course of the outbreak. https://t.co/hafopfzpci</v>
      </c>
    </row>
    <row r="1713" spans="1:5" ht="15.75" customHeight="1" x14ac:dyDescent="0.25">
      <c r="A1713" s="1" t="s">
        <v>3425</v>
      </c>
      <c r="B1713" s="1">
        <v>6396</v>
      </c>
      <c r="C1713" s="3">
        <v>44175.447604166664</v>
      </c>
      <c r="D1713" s="1" t="s">
        <v>3426</v>
      </c>
      <c r="E1713" s="4" t="str">
        <f ca="1">IFERROR(__xludf.DUMMYFUNCTION("GOOGLETRANSLATE(A1713 , ""tr"" , ""en"")"),"We shouldn't forget that all of us are on the same side in the struggle of the epidemic. https://t.co/akcbq1txix")</f>
        <v>We shouldn't forget that all of us are on the same side in the struggle of the epidemic. https://t.co/akcbq1txix</v>
      </c>
    </row>
    <row r="1714" spans="1:5" ht="15.75" customHeight="1" x14ac:dyDescent="0.25">
      <c r="A1714" s="1" t="s">
        <v>3427</v>
      </c>
      <c r="B1714" s="1">
        <v>6561</v>
      </c>
      <c r="C1714" s="3">
        <v>44174.891215277778</v>
      </c>
      <c r="D1714" s="1" t="s">
        <v>3428</v>
      </c>
      <c r="E1714" s="4" t="str">
        <f ca="1">IFERROR(__xludf.DUMMYFUNCTION("GOOGLETRANSLATE(A1714 , ""tr"" , ""en"")"),"Our only priority in vaccine is that it is reliable and effective. We know that the traditionalized inactive vaccine we have made for other diseases for years. https://t.co/G6MXYTSIIJ")</f>
        <v>Our only priority in vaccine is that it is reliable and effective. We know that the traditionalized inactive vaccine we have made for other diseases for years. https://t.co/G6MXYTSIIJ</v>
      </c>
    </row>
    <row r="1715" spans="1:5" ht="15.75" customHeight="1" x14ac:dyDescent="0.25">
      <c r="A1715" s="1" t="s">
        <v>3429</v>
      </c>
      <c r="B1715" s="1">
        <v>10979</v>
      </c>
      <c r="C1715" s="3">
        <v>44174.876979166664</v>
      </c>
      <c r="D1715" s="1" t="s">
        <v>3430</v>
      </c>
      <c r="E1715" s="4" t="str">
        <f ca="1">IFERROR(__xludf.DUMMYFUNCTION("GOOGLETRANSLATE(A1715 , ""tr"" , ""en"")"),"This is a mobilization memory. In the Union and Draw we all have to do all over us. https://t.co/1ilakxezhy")</f>
        <v>This is a mobilization memory. In the Union and Draw we all have to do all over us. https://t.co/1ilakxezhy</v>
      </c>
    </row>
    <row r="1716" spans="1:5" ht="15.75" customHeight="1" x14ac:dyDescent="0.25">
      <c r="A1716" s="1" t="s">
        <v>3431</v>
      </c>
      <c r="B1716" s="1">
        <v>10641</v>
      </c>
      <c r="C1716" s="3">
        <v>44174.686689814815</v>
      </c>
      <c r="D1716" s="1" t="s">
        <v>3432</v>
      </c>
      <c r="E1716" s="4" t="str">
        <f ca="1">IFERROR(__xludf.DUMMYFUNCTION("GOOGLETRANSLATE(A1716 , ""tr"" , ""en"")"),"After our Science Board meeting, our press statement on the latest developments on the coronavirus.
📍 The Ministry of Health
https://t.co/lfouajafv3")</f>
        <v>After our Science Board meeting, our press statement on the latest developments on the coronavirus.
📍 The Ministry of Health
https://t.co/lfouajafv3</v>
      </c>
    </row>
    <row r="1717" spans="1:5" ht="15.75" customHeight="1" x14ac:dyDescent="0.25">
      <c r="A1717" s="1" t="s">
        <v>3433</v>
      </c>
      <c r="B1717" s="1">
        <v>6583</v>
      </c>
      <c r="C1717" s="3">
        <v>44174.296724537038</v>
      </c>
      <c r="D1717" s="1" t="s">
        <v>3434</v>
      </c>
      <c r="E1717" s="4" t="str">
        <f ca="1">IFERROR(__xludf.DUMMYFUNCTION("GOOGLETRANSLATE(A1717 , ""tr"" , ""en"")"),"Let's put distance to our search with our old normal to avoid being far from our loved ones.
Let's maintain both ourselves and our loved ones by complying with the measures. https://t.co/lmdglzx3rv")</f>
        <v>Let's put distance to our search with our old normal to avoid being far from our loved ones.
Let's maintain both ourselves and our loved ones by complying with the measures. https://t.co/lmdglzx3rv</v>
      </c>
    </row>
    <row r="1718" spans="1:5" ht="15.75" customHeight="1" x14ac:dyDescent="0.25">
      <c r="A1718" s="1" t="s">
        <v>3435</v>
      </c>
      <c r="B1718" s="1">
        <v>50530</v>
      </c>
      <c r="C1718" s="3">
        <v>44173.901238425926</v>
      </c>
      <c r="D1718" s="1" t="s">
        <v>3436</v>
      </c>
      <c r="E1718" s="4" t="str">
        <f ca="1">IFERROR(__xludf.DUMMYFUNCTION("GOOGLETRANSLATE(A1718 , ""tr"" , ""en"")"),"It is necessary to exhibit this honorable posture regardless of the result. Congratulations Basaksehir with noble stance. #notoracism https://t.co/3s2bxyji3o")</f>
        <v>It is necessary to exhibit this honorable posture regardless of the result. Congratulations Basaksehir with noble stance. #notoracism https://t.co/3s2bxyji3o</v>
      </c>
    </row>
    <row r="1719" spans="1:5" ht="15.75" customHeight="1" x14ac:dyDescent="0.25">
      <c r="A1719" s="1" t="s">
        <v>3437</v>
      </c>
      <c r="B1719" s="1">
        <v>25245</v>
      </c>
      <c r="C1719" s="3">
        <v>44173.897106481483</v>
      </c>
      <c r="D1719" s="1" t="s">
        <v>3438</v>
      </c>
      <c r="E1719" s="4" t="str">
        <f ca="1">IFERROR(__xludf.DUMMYFUNCTION("GOOGLETRANSLATE(A1719 , ""tr"" , ""en"")"),"Disturbed in live broadcasting Prof. Dr. Mehmet Ceyhan I met with our teacher. The general situation is good. We follow closely. Get to our teacher.")</f>
        <v>Disturbed in live broadcasting Prof. Dr. Mehmet Ceyhan I met with our teacher. The general situation is good. We follow closely. Get to our teacher.</v>
      </c>
    </row>
    <row r="1720" spans="1:5" ht="15.75" customHeight="1" x14ac:dyDescent="0.25">
      <c r="A1720" s="1" t="s">
        <v>3439</v>
      </c>
      <c r="B1720" s="1">
        <v>3624</v>
      </c>
      <c r="C1720" s="3">
        <v>44173.718611111108</v>
      </c>
      <c r="D1720" s="1" t="s">
        <v>3440</v>
      </c>
      <c r="E1720" s="4" t="str">
        <f ca="1">IFERROR(__xludf.DUMMYFUNCTION("GOOGLETRANSLATE(A1720 , ""tr"" , ""en"")"),"Local additional measures are easier to get results quickly and on time. The responsibility is all of us. Let's continue to fight without break; We will win together.")</f>
        <v>Local additional measures are easier to get results quickly and on time. The responsibility is all of us. Let's continue to fight without break; We will win together.</v>
      </c>
    </row>
    <row r="1721" spans="1:5" ht="15.75" customHeight="1" x14ac:dyDescent="0.25">
      <c r="A1721" s="1" t="s">
        <v>3441</v>
      </c>
      <c r="B1721" s="1">
        <v>3891</v>
      </c>
      <c r="C1721" s="3">
        <v>44173.718611111108</v>
      </c>
      <c r="D1721" s="1" t="s">
        <v>3442</v>
      </c>
      <c r="E1721" s="4" t="str">
        <f ca="1">IFERROR(__xludf.DUMMYFUNCTION("GOOGLETRANSLATE(A1721 , ""tr"" , ""en"")"),"59% in Izmir, 59%, intensive care occupancy rate is 83%. 62% of the bed occupancy rate in Adana, 81% of the intensive care occupancy rate. In Mersin, the bed occupancy rate is 58%, the intensive care occupancy rate is 84%. 64% of the bed occupancy rate in"&amp;" Hatay, the intensive care occupancy rate is 89%.")</f>
        <v>59% in Izmir, 59%, intensive care occupancy rate is 83%. 62% of the bed occupancy rate in Adana, 81% of the intensive care occupancy rate. In Mersin, the bed occupancy rate is 58%, the intensive care occupancy rate is 84%. 64% of the bed occupancy rate in Hatay, the intensive care occupancy rate is 89%.</v>
      </c>
    </row>
    <row r="1722" spans="1:5" ht="15.75" customHeight="1" x14ac:dyDescent="0.25">
      <c r="A1722" s="1" t="s">
        <v>3443</v>
      </c>
      <c r="B1722" s="1">
        <v>8020</v>
      </c>
      <c r="C1722" s="3">
        <v>44173.718599537038</v>
      </c>
      <c r="D1722" s="1" t="s">
        <v>3444</v>
      </c>
      <c r="E1722" s="4" t="str">
        <f ca="1">IFERROR(__xludf.DUMMYFUNCTION("GOOGLETRANSLATE(A1722 , ""tr"" , ""en"")"),"Izmir, Adana, Mersin, Hatay Governments, we have reviewed the situation by discussing our provincial health managers and public health. These provinces have a fixed case increase, heavy patient load is increasing. Hatay, Mersin, Adana and Izmir, respectiv"&amp;"ely. https://t.co/ahkb4xje5u")</f>
        <v>Izmir, Adana, Mersin, Hatay Governments, we have reviewed the situation by discussing our provincial health managers and public health. These provinces have a fixed case increase, heavy patient load is increasing. Hatay, Mersin, Adana and Izmir, respectively. https://t.co/ahkb4xje5u</v>
      </c>
    </row>
    <row r="1723" spans="1:5" ht="15.75" customHeight="1" x14ac:dyDescent="0.25">
      <c r="A1723" s="1" t="s">
        <v>3445</v>
      </c>
      <c r="B1723" s="1">
        <v>11320</v>
      </c>
      <c r="C1723" s="3">
        <v>44173.679212962961</v>
      </c>
      <c r="D1723" s="1" t="s">
        <v>3446</v>
      </c>
      <c r="E1723" s="4" t="str">
        <f ca="1">IFERROR(__xludf.DUMMYFUNCTION("GOOGLETRANSLATE(A1723 , ""tr"" , ""en"")"),"We have 6,593 new patients identified today. In the number of daily tests, we reached 200,000 in total 20,000,000. Although the rate of increase in severe patients increased, he approached 6,000. We must stand out of crowds and implement our own restricti"&amp;"ons. https://t.co/rvlhe7786o")</f>
        <v>We have 6,593 new patients identified today. In the number of daily tests, we reached 200,000 in total 20,000,000. Although the rate of increase in severe patients increased, he approached 6,000. We must stand out of crowds and implement our own restrictions. https://t.co/rvlhe7786o</v>
      </c>
    </row>
    <row r="1724" spans="1:5" ht="15.75" customHeight="1" x14ac:dyDescent="0.25">
      <c r="A1724" s="1" t="s">
        <v>3447</v>
      </c>
      <c r="B1724" s="1">
        <v>4933</v>
      </c>
      <c r="C1724" s="3">
        <v>44172.807569444441</v>
      </c>
      <c r="D1724" s="1" t="s">
        <v>3448</v>
      </c>
      <c r="E1724" s="4" t="str">
        <f ca="1">IFERROR(__xludf.DUMMYFUNCTION("GOOGLETRANSLATE(A1724 , ""tr"" , ""en"")"),"High risk continues in Samsun, Antalya and Ordu. The increase in Konya and Trabzon is partially under control. Our health workers are doing their best. With our public and private institutions, the sensitivity of all our nurses increases our strength. Let"&amp;"'s continue to fight without a break.")</f>
        <v>High risk continues in Samsun, Antalya and Ordu. The increase in Konya and Trabzon is partially under control. Our health workers are doing their best. With our public and private institutions, the sensitivity of all our nurses increases our strength. Let's continue to fight without a break.</v>
      </c>
    </row>
    <row r="1725" spans="1:5" ht="15.75" customHeight="1" x14ac:dyDescent="0.25">
      <c r="A1725" s="1" t="s">
        <v>3449</v>
      </c>
      <c r="B1725" s="1">
        <v>10068</v>
      </c>
      <c r="C1725" s="3">
        <v>44172.807569444441</v>
      </c>
      <c r="D1725" s="1" t="s">
        <v>3450</v>
      </c>
      <c r="E1725" s="4" t="str">
        <f ca="1">IFERROR(__xludf.DUMMYFUNCTION("GOOGLETRANSLATE(A1725 , ""tr"" , ""en"")"),"Konya, Samsun, Antalya, Trabzon, Army Governors, Provincial Health Directors and Public Health are continuing to meet with our high case numbers. These provinces are under our close tracking. We have increased our testing capacity and our filion teams. ht"&amp;"tps://t.co/acuyk3guuq")</f>
        <v>Konya, Samsun, Antalya, Trabzon, Army Governors, Provincial Health Directors and Public Health are continuing to meet with our high case numbers. These provinces are under our close tracking. We have increased our testing capacity and our filion teams. https://t.co/acuyk3guuq</v>
      </c>
    </row>
    <row r="1726" spans="1:5" ht="15.75" customHeight="1" x14ac:dyDescent="0.25">
      <c r="A1726" s="1" t="s">
        <v>3451</v>
      </c>
      <c r="B1726" s="1">
        <v>14495</v>
      </c>
      <c r="C1726" s="3">
        <v>44172.691122685188</v>
      </c>
      <c r="D1726" s="1" t="s">
        <v>3452</v>
      </c>
      <c r="E1726" s="4" t="str">
        <f ca="1">IFERROR(__xludf.DUMMYFUNCTION("GOOGLETRANSLATE(A1726 , ""tr"" , ""en"")"),"We have 6,420 patients identified today. The rate of increase in severe patients is running out. The effect of restrictions has been seen. We hope we will feel more soon. We all keep our task away from the crowds by applying our own restrictions. https://"&amp;"t.co/rvlhe7786o")</f>
        <v>We have 6,420 patients identified today. The rate of increase in severe patients is running out. The effect of restrictions has been seen. We hope we will feel more soon. We all keep our task away from the crowds by applying our own restrictions. https://t.co/rvlhe7786o</v>
      </c>
    </row>
    <row r="1727" spans="1:5" ht="15.75" customHeight="1" x14ac:dyDescent="0.25">
      <c r="A1727" s="1" t="s">
        <v>3453</v>
      </c>
      <c r="B1727" s="1">
        <v>9663</v>
      </c>
      <c r="C1727" s="3">
        <v>44171.757025462961</v>
      </c>
      <c r="D1727" s="1" t="s">
        <v>3454</v>
      </c>
      <c r="E1727" s="4" t="str">
        <f ca="1">IFERROR(__xludf.DUMMYFUNCTION("GOOGLETRANSLATE(A1727 , ""tr"" , ""en"")"),"Let's focus on protecting ourselves not socializing.
Let's stay in crowd, off and ventilation from insufficient environments. https://t.co/pwk799ftdr")</f>
        <v>Let's focus on protecting ourselves not socializing.
Let's stay in crowd, off and ventilation from insufficient environments. https://t.co/pwk799ftdr</v>
      </c>
    </row>
    <row r="1728" spans="1:5" ht="15.75" customHeight="1" x14ac:dyDescent="0.25">
      <c r="A1728" s="1" t="s">
        <v>3455</v>
      </c>
      <c r="B1728" s="1">
        <v>13565</v>
      </c>
      <c r="C1728" s="3">
        <v>44171.667048611111</v>
      </c>
      <c r="D1728" s="1" t="s">
        <v>3456</v>
      </c>
      <c r="E1728" s="4" t="str">
        <f ca="1">IFERROR(__xludf.DUMMYFUNCTION("GOOGLETRANSLATE(A1728 , ""tr"" , ""en"")"),"We have 6,093 new patients identified today. The rate of increase in severe patients tends to decrease. We hope to see the impact of measures and restrictions. Compliance with measures is a humanitarian task for all of us. Stay away from crowds without re"&amp;"striction https://t.co/rvlhe7786o")</f>
        <v>We have 6,093 new patients identified today. The rate of increase in severe patients tends to decrease. We hope to see the impact of measures and restrictions. Compliance with measures is a humanitarian task for all of us. Stay away from crowds without restriction https://t.co/rvlhe7786o</v>
      </c>
    </row>
    <row r="1729" spans="1:5" ht="15.75" customHeight="1" x14ac:dyDescent="0.25">
      <c r="A1729" s="1" t="s">
        <v>3457</v>
      </c>
      <c r="B1729" s="1">
        <v>4645</v>
      </c>
      <c r="C1729" s="3">
        <v>44170.750138888892</v>
      </c>
      <c r="D1729" s="1" t="s">
        <v>3458</v>
      </c>
      <c r="E1729" s="4" t="str">
        <f ca="1">IFERROR(__xludf.DUMMYFUNCTION("GOOGLETRANSLATE(A1729 , ""tr"" , ""en"")"),"At our risk of risk. Let's not surrender to our habits. Let's turn restrictions into an opportunity. Let us support our health care workers by following the measures. The struggle is earned together.")</f>
        <v>At our risk of risk. Let's not surrender to our habits. Let's turn restrictions into an opportunity. Let us support our health care workers by following the measures. The struggle is earned together.</v>
      </c>
    </row>
    <row r="1730" spans="1:5" ht="15.75" customHeight="1" x14ac:dyDescent="0.25">
      <c r="A1730" s="1" t="s">
        <v>3459</v>
      </c>
      <c r="B1730" s="1">
        <v>5642</v>
      </c>
      <c r="C1730" s="3">
        <v>44170.750138888892</v>
      </c>
      <c r="D1730" s="1" t="s">
        <v>3460</v>
      </c>
      <c r="E1730" s="4" t="str">
        <f ca="1">IFERROR(__xludf.DUMMYFUNCTION("GOOGLETRANSLATE(A1730 , ""tr"" , ""en"")"),"In the last week, the case increase in Adana 50%, the intensive care occupancy rate is 79%. The increase in Hatay is 125%, intensive care occupancy rate 86%. The increase in Mersin is 50%, intensive care occupancy rate 74%. The increase in Samsun is 35%, "&amp;"intensive care occupancy rate 81%. The increase in Kastamonu is 50%, intensive care occupancy rate 74%.")</f>
        <v>In the last week, the case increase in Adana 50%, the intensive care occupancy rate is 79%. The increase in Hatay is 125%, intensive care occupancy rate 86%. The increase in Mersin is 50%, intensive care occupancy rate 74%. The increase in Samsun is 35%, intensive care occupancy rate 81%. The increase in Kastamonu is 50%, intensive care occupancy rate 74%.</v>
      </c>
    </row>
    <row r="1731" spans="1:5" ht="15.75" customHeight="1" x14ac:dyDescent="0.25">
      <c r="A1731" s="1" t="s">
        <v>3461</v>
      </c>
      <c r="B1731" s="1">
        <v>10341</v>
      </c>
      <c r="C1731" s="3">
        <v>44170.750127314815</v>
      </c>
      <c r="D1731" s="1" t="s">
        <v>3462</v>
      </c>
      <c r="E1731" s="4" t="str">
        <f ca="1">IFERROR(__xludf.DUMMYFUNCTION("GOOGLETRANSLATE(A1731 , ""tr"" , ""en"")"),"Adana, Hatay, Mersin, Samsun and Kastamonu Governors, we have repeated our provincial meetings with our health managers and public health presidents. Adana, Hatay, Mersin and Samsun is at high risk. https://t.co/hjfp5b4uz0")</f>
        <v>Adana, Hatay, Mersin, Samsun and Kastamonu Governors, we have repeated our provincial meetings with our health managers and public health presidents. Adana, Hatay, Mersin and Samsun is at high risk. https://t.co/hjfp5b4uz0</v>
      </c>
    </row>
    <row r="1732" spans="1:5" ht="15.75" customHeight="1" x14ac:dyDescent="0.25">
      <c r="A1732" s="1" t="s">
        <v>3463</v>
      </c>
      <c r="B1732" s="1">
        <v>7255</v>
      </c>
      <c r="C1732" s="3">
        <v>44170.694884259261</v>
      </c>
      <c r="D1732" s="1" t="s">
        <v>3464</v>
      </c>
      <c r="E1732" s="4" t="str">
        <f ca="1">IFERROR(__xludf.DUMMYFUNCTION("GOOGLETRANSLATE(A1732 , ""tr"" , ""en"")"),"As with each week, we have evaluated Istanbul with our provincial health managers and the physicians. With the efforts and measures in the last month, 25% decrease in the number of cases this week began. However the hospital and intensive care load contin"&amp;"ues. Let's continue to fight without a break. https://t.co/hmbdqhvpps")</f>
        <v>As with each week, we have evaluated Istanbul with our provincial health managers and the physicians. With the efforts and measures in the last month, 25% decrease in the number of cases this week began. However the hospital and intensive care load continues. Let's continue to fight without a break. https://t.co/hmbdqhvpps</v>
      </c>
    </row>
    <row r="1733" spans="1:5" ht="15.75" customHeight="1" x14ac:dyDescent="0.25">
      <c r="A1733" s="1" t="s">
        <v>3465</v>
      </c>
      <c r="B1733" s="1">
        <v>13028</v>
      </c>
      <c r="C1733" s="3">
        <v>44170.672997685186</v>
      </c>
      <c r="D1733" s="1" t="s">
        <v>3466</v>
      </c>
      <c r="E1733" s="4" t="str">
        <f ca="1">IFERROR(__xludf.DUMMYFUNCTION("GOOGLETRANSLATE(A1733 , ""tr"" , ""en"")"),"We have 6,128 patients identified today. The only reason for the curlewing restriction is to protect the community health. We all have to do all over us and implement our own restrictions. Our house is the safest place. Let's break to the enclosed and cro"&amp;"wded environments. https://t.co/rvlhe7786o")</f>
        <v>We have 6,128 patients identified today. The only reason for the curlewing restriction is to protect the community health. We all have to do all over us and implement our own restrictions. Our house is the safest place. Let's break to the enclosed and crowded environments. https://t.co/rvlhe7786o</v>
      </c>
    </row>
    <row r="1734" spans="1:5" ht="15.75" customHeight="1" x14ac:dyDescent="0.25">
      <c r="A1734" s="1" t="s">
        <v>3467</v>
      </c>
      <c r="B1734" s="1">
        <v>9116</v>
      </c>
      <c r="C1734" s="3">
        <v>44169.781909722224</v>
      </c>
      <c r="D1734" s="1" t="s">
        <v>3468</v>
      </c>
      <c r="E1734" s="4" t="str">
        <f ca="1">IFERROR(__xludf.DUMMYFUNCTION("GOOGLETRANSLATE(A1734 , ""tr"" , ""en"")"),"Our President Mr. Recep Tayyip Erdogan: ""I have any squeezing on being vaccinated. Because here is health. "" https://t.co/vvey6fpvfx")</f>
        <v>Our President Mr. Recep Tayyip Erdogan: "I have any squeezing on being vaccinated. Because here is health. " https://t.co/vvey6fpvfx</v>
      </c>
    </row>
    <row r="1735" spans="1:5" ht="15.75" customHeight="1" x14ac:dyDescent="0.25">
      <c r="A1735" s="1" t="s">
        <v>3469</v>
      </c>
      <c r="B1735" s="1">
        <v>4155</v>
      </c>
      <c r="C1735" s="3">
        <v>44169.757592592592</v>
      </c>
      <c r="D1735" s="1" t="s">
        <v>3470</v>
      </c>
      <c r="E1735" s="4" t="str">
        <f ca="1">IFERROR(__xludf.DUMMYFUNCTION("GOOGLETRANSLATE(A1735 , ""tr"" , ""en"")"),"We have to continue the struggle without breaking. Let us support our health care workers by following the measures. Let's reduce the burden on health workers.")</f>
        <v>We have to continue the struggle without breaking. Let us support our health care workers by following the measures. Let's reduce the burden on health workers.</v>
      </c>
    </row>
    <row r="1736" spans="1:5" ht="15.75" customHeight="1" x14ac:dyDescent="0.25">
      <c r="A1736" s="1" t="s">
        <v>3471</v>
      </c>
      <c r="B1736" s="1">
        <v>4157</v>
      </c>
      <c r="C1736" s="3">
        <v>44169.757592592592</v>
      </c>
      <c r="D1736" s="1" t="s">
        <v>3472</v>
      </c>
      <c r="E1736" s="4" t="str">
        <f ca="1">IFERROR(__xludf.DUMMYFUNCTION("GOOGLETRANSLATE(A1736 , ""tr"" , ""en"")"),"In the last week, the case increase in Zonguldak is 50%, the intensive care occupancy rate is 77%, but the intensive care occupancy rate is 74% in Ankara, 74%, increase in Sivas, 66%, increase in Malatya 35% intensive care occupancy rate is 61%.")</f>
        <v>In the last week, the case increase in Zonguldak is 50%, the intensive care occupancy rate is 77%, but the intensive care occupancy rate is 74% in Ankara, 74%, increase in Sivas, 66%, increase in Malatya 35% intensive care occupancy rate is 61%.</v>
      </c>
    </row>
    <row r="1737" spans="1:5" ht="15.75" customHeight="1" x14ac:dyDescent="0.25">
      <c r="A1737" s="1" t="s">
        <v>3473</v>
      </c>
      <c r="B1737" s="1">
        <v>7698</v>
      </c>
      <c r="C1737" s="3">
        <v>44169.757581018515</v>
      </c>
      <c r="D1737" s="1" t="s">
        <v>3474</v>
      </c>
      <c r="E1737" s="4" t="str">
        <f ca="1">IFERROR(__xludf.DUMMYFUNCTION("GOOGLETRANSLATE(A1737 , ""tr"" , ""en"")"),"Zonguldak, Ankara, Sivas, Malatya Governors, Provincial Health Directors and Public Health Health Presidents have made provincial evaluation meetings.
Risk in Zonguldak, Ankara, Sivas and Malatya, respectively. https://t.co/w2jacob6tr")</f>
        <v>Zonguldak, Ankara, Sivas, Malatya Governors, Provincial Health Directors and Public Health Health Presidents have made provincial evaluation meetings.
Risk in Zonguldak, Ankara, Sivas and Malatya, respectively. https://t.co/w2jacob6tr</v>
      </c>
    </row>
    <row r="1738" spans="1:5" ht="15.75" customHeight="1" x14ac:dyDescent="0.25">
      <c r="A1738" s="1" t="s">
        <v>3475</v>
      </c>
      <c r="B1738" s="1">
        <v>11652</v>
      </c>
      <c r="C1738" s="3">
        <v>44169.687893518516</v>
      </c>
      <c r="D1738" s="1" t="s">
        <v>3476</v>
      </c>
      <c r="E1738" s="4" t="str">
        <f ca="1">IFERROR(__xludf.DUMMYFUNCTION("GOOGLETRANSLATE(A1738 , ""tr"" , ""en"")"),"There are 6,903 new patients identified today. The number of severe patients also continues to increase the number of active patients. The greatest contamination at these days is closed and crowded. Do not be in the crowd in enclosed environments. Protect"&amp;" yourself and your loved ones. https://t.co/rvlhe7786o")</f>
        <v>There are 6,903 new patients identified today. The number of severe patients also continues to increase the number of active patients. The greatest contamination at these days is closed and crowded. Do not be in the crowd in enclosed environments. Protect yourself and your loved ones. https://t.co/rvlhe7786o</v>
      </c>
    </row>
    <row r="1739" spans="1:5" ht="15.75" customHeight="1" x14ac:dyDescent="0.25">
      <c r="A1739" s="1" t="s">
        <v>3477</v>
      </c>
      <c r="B1739" s="1">
        <v>7412</v>
      </c>
      <c r="C1739" s="3">
        <v>44169.680312500001</v>
      </c>
      <c r="D1739" s="1" t="s">
        <v>3478</v>
      </c>
      <c r="E1739" s="4" t="str">
        <f ca="1">IFERROR(__xludf.DUMMYFUNCTION("GOOGLETRANSLATE(A1739 , ""tr"" , ""en"")"),"We restrict our public transport services to do the coronavirus to more people. https://t.co/ep12zp8xp1")</f>
        <v>We restrict our public transport services to do the coronavirus to more people. https://t.co/ep12zp8xp1</v>
      </c>
    </row>
    <row r="1740" spans="1:5" ht="15.75" customHeight="1" x14ac:dyDescent="0.25">
      <c r="A1740" s="1" t="s">
        <v>3479</v>
      </c>
      <c r="B1740" s="1">
        <v>5041</v>
      </c>
      <c r="C1740" s="3">
        <v>44168.894444444442</v>
      </c>
      <c r="D1740" s="1" t="s">
        <v>3480</v>
      </c>
      <c r="E1740" s="4" t="str">
        <f ca="1">IFERROR(__xludf.DUMMYFUNCTION("GOOGLETRANSLATE(A1740 , ""tr"" , ""en"")"),"Mobilization time with all our institutions. Let's reduce the burden on health workers. Is earned by the fighting power association.")</f>
        <v>Mobilization time with all our institutions. Let's reduce the burden on health workers. Is earned by the fighting power association.</v>
      </c>
    </row>
    <row r="1741" spans="1:5" ht="15.75" customHeight="1" x14ac:dyDescent="0.25">
      <c r="A1741" s="1" t="s">
        <v>3481</v>
      </c>
      <c r="B1741" s="1">
        <v>6392</v>
      </c>
      <c r="C1741" s="3">
        <v>44168.894432870373</v>
      </c>
      <c r="D1741" s="1" t="s">
        <v>3482</v>
      </c>
      <c r="E1741" s="4" t="str">
        <f ca="1">IFERROR(__xludf.DUMMYFUNCTION("GOOGLETRANSLATE(A1741 , ""tr"" , ""en"")"),"The case increase in Hatay in the last week is 100%, intensive care occupancy rate 70%, Case increase in Antalya 100%, Intensive care occupancy rate 71%, Case increase in Trabzon, 75% in Trabzon, 75%, Diyarbakır ' There is also a fixed increase; Intensive"&amp;" care occupancy rate is 70%.")</f>
        <v>The case increase in Hatay in the last week is 100%, intensive care occupancy rate 70%, Case increase in Antalya 100%, Intensive care occupancy rate 71%, Case increase in Trabzon, 75% in Trabzon, 75%, Diyarbakır ' There is also a fixed increase; Intensive care occupancy rate is 70%.</v>
      </c>
    </row>
    <row r="1742" spans="1:5" ht="15.75" customHeight="1" x14ac:dyDescent="0.25">
      <c r="A1742" s="1" t="s">
        <v>3483</v>
      </c>
      <c r="B1742" s="1">
        <v>8452</v>
      </c>
      <c r="C1742" s="3">
        <v>44168.894432870373</v>
      </c>
      <c r="D1742" s="1" t="s">
        <v>3484</v>
      </c>
      <c r="E1742" s="4" t="str">
        <f ca="1">IFERROR(__xludf.DUMMYFUNCTION("GOOGLETRANSLATE(A1742 , ""tr"" , ""en"")"),"Hatay, Antalya, Trabzon and Diyarbakir Provincial Health Directors were separately, we have evaluated the situations of these provinces. High risk continues. https://t.co/ku8aly")</f>
        <v>Hatay, Antalya, Trabzon and Diyarbakir Provincial Health Directors were separately, we have evaluated the situations of these provinces. High risk continues. https://t.co/ku8aly</v>
      </c>
    </row>
    <row r="1743" spans="1:5" ht="15.75" customHeight="1" x14ac:dyDescent="0.25">
      <c r="A1743" s="1" t="s">
        <v>3485</v>
      </c>
      <c r="B1743" s="1">
        <v>5814</v>
      </c>
      <c r="C1743" s="3">
        <v>44168.864791666667</v>
      </c>
      <c r="D1743" s="1" t="s">
        <v>3486</v>
      </c>
      <c r="E1743" s="4" t="str">
        <f ca="1">IFERROR(__xludf.DUMMYFUNCTION("GOOGLETRANSLATE(A1743 , ""tr"" , ""en"")"),"With our loved ones, you are not entering the distances in the street and the squares reduces our number, we increase the distance. https://t.co/yfvabojlwm")</f>
        <v>With our loved ones, you are not entering the distances in the street and the squares reduces our number, we increase the distance. https://t.co/yfvabojlwm</v>
      </c>
    </row>
    <row r="1744" spans="1:5" ht="15.75" customHeight="1" x14ac:dyDescent="0.25">
      <c r="A1744" s="1" t="s">
        <v>3487</v>
      </c>
      <c r="B1744" s="1">
        <v>7905</v>
      </c>
      <c r="C1744" s="3">
        <v>44168.861446759256</v>
      </c>
      <c r="D1744" s="1" t="s">
        <v>3488</v>
      </c>
      <c r="E1744" s="4" t="str">
        <f ca="1">IFERROR(__xludf.DUMMYFUNCTION("GOOGLETRANSLATE(A1744 , ""tr"" , ""en"")"),"In order to reduce the influence of the episode as soon as we can take a break to meet in homes. https://t.co/qppy79splp")</f>
        <v>In order to reduce the influence of the episode as soon as we can take a break to meet in homes. https://t.co/qppy79splp</v>
      </c>
    </row>
    <row r="1745" spans="1:5" ht="15.75" customHeight="1" x14ac:dyDescent="0.25">
      <c r="A1745" s="1" t="s">
        <v>3489</v>
      </c>
      <c r="B1745" s="1">
        <v>6905</v>
      </c>
      <c r="C1745" s="3">
        <v>44168.707465277781</v>
      </c>
      <c r="D1745" s="1" t="s">
        <v>3490</v>
      </c>
      <c r="E1745" s="4" t="str">
        <f ca="1">IFERROR(__xludf.DUMMYFUNCTION("GOOGLETRANSLATE(A1745 , ""tr"" , ""en"")"),"That makes us human, our senses are our feelings. Patience, faith, the most noble feelings such as stability, we respect our citizens who live without disabled people with disabilities. https://t.co/v3jqsjkrto")</f>
        <v>That makes us human, our senses are our feelings. Patience, faith, the most noble feelings such as stability, we respect our citizens who live without disabled people with disabilities. https://t.co/v3jqsjkrto</v>
      </c>
    </row>
    <row r="1746" spans="1:5" ht="15.75" customHeight="1" x14ac:dyDescent="0.25">
      <c r="A1746" s="1" t="s">
        <v>3491</v>
      </c>
      <c r="B1746" s="1">
        <v>12706</v>
      </c>
      <c r="C1746" s="3">
        <v>44168.688773148147</v>
      </c>
      <c r="D1746" s="1" t="s">
        <v>3492</v>
      </c>
      <c r="E1746" s="4" t="str">
        <f ca="1">IFERROR(__xludf.DUMMYFUNCTION("GOOGLETRANSLATE(A1746 , ""tr"" , ""en"")"),"We have 6,511 new patients identified today. We have to reduce our patient count. Off and crowded environments are the environments that the virus is the easiest contamed. We have to spend the winter months in crowded and closed. The fight is also possibl"&amp;"e to stay at home. https://t.co/rvlhe7786o")</f>
        <v>We have 6,511 new patients identified today. We have to reduce our patient count. Off and crowded environments are the environments that the virus is the easiest contamed. We have to spend the winter months in crowded and closed. The fight is also possible to stay at home. https://t.co/rvlhe7786o</v>
      </c>
    </row>
    <row r="1747" spans="1:5" ht="15.75" customHeight="1" x14ac:dyDescent="0.25">
      <c r="A1747" s="1" t="s">
        <v>3493</v>
      </c>
      <c r="B1747" s="1">
        <v>0</v>
      </c>
      <c r="C1747" s="3">
        <v>44168.608831018515</v>
      </c>
      <c r="D1747" s="1" t="s">
        <v>3494</v>
      </c>
      <c r="E1747" s="4" t="str">
        <f ca="1">IFERROR(__xludf.DUMMYFUNCTION("GOOGLETRANSLATE(A1747 , ""tr"" , ""en"")"),"RT @rterdogan: UN General Assembly Kovid-19 Tackle Special Session https://t.co/9u2hmmoytk")</f>
        <v>RT @rterdogan: UN General Assembly Kovid-19 Tackle Special Session https://t.co/9u2hmmoytk</v>
      </c>
    </row>
    <row r="1748" spans="1:5" ht="15.75" customHeight="1" x14ac:dyDescent="0.25">
      <c r="A1748" s="1" t="s">
        <v>3495</v>
      </c>
      <c r="B1748" s="1">
        <v>27609</v>
      </c>
      <c r="C1748" s="3">
        <v>44168.506655092591</v>
      </c>
      <c r="D1748" s="1" t="s">
        <v>3496</v>
      </c>
      <c r="E1748" s="4" t="str">
        <f ca="1">IFERROR(__xludf.DUMMYFUNCTION("GOOGLETRANSLATE(A1748 , ""tr"" , ""en"")"),"Although you cannot see your faces because of your white jumpsuits he sees your huge hearts and we know. We are grateful ... https://t.co/M1VIB252SY")</f>
        <v>Although you cannot see your faces because of your white jumpsuits he sees your huge hearts and we know. We are grateful ... https://t.co/M1VIB252SY</v>
      </c>
    </row>
    <row r="1749" spans="1:5" ht="15.75" customHeight="1" x14ac:dyDescent="0.25">
      <c r="A1749" s="1" t="s">
        <v>3497</v>
      </c>
      <c r="B1749" s="1">
        <v>6579</v>
      </c>
      <c r="C1749" s="3">
        <v>44167.947094907409</v>
      </c>
      <c r="D1749" s="1" t="s">
        <v>3498</v>
      </c>
      <c r="E1749" s="4" t="str">
        <f ca="1">IFERROR(__xludf.DUMMYFUNCTION("GOOGLETRANSLATE(A1749 , ""tr"" , ""en"")"),"In the last two weeks Izmir and Konya have 50% case boosts, Adana, Samsun and the Ordu have a 100% case increase. In these provinces, İzmir, Adana and Samsun, our hospitals and health personnel are under a great burden. Our sacrifice examination continues"&amp;" in the fight against outbreak.")</f>
        <v>In the last two weeks Izmir and Konya have 50% case boosts, Adana, Samsun and the Ordu have a 100% case increase. In these provinces, İzmir, Adana and Samsun, our hospitals and health personnel are under a great burden. Our sacrifice examination continues in the fight against outbreak.</v>
      </c>
    </row>
    <row r="1750" spans="1:5" ht="15.75" customHeight="1" x14ac:dyDescent="0.25">
      <c r="A1750" s="1" t="s">
        <v>3499</v>
      </c>
      <c r="B1750" s="1">
        <v>8675</v>
      </c>
      <c r="C1750" s="3">
        <v>44167.947083333333</v>
      </c>
      <c r="D1750" s="1" t="s">
        <v>3500</v>
      </c>
      <c r="E1750" s="4" t="str">
        <f ca="1">IFERROR(__xludf.DUMMYFUNCTION("GOOGLETRANSLATE(A1750 , ""tr"" , ""en"")"),"Izmir, Adana, Samsun, Bursa, Ordu, Gaziantep and Konya We have repeated our online conversation with our health managers. We closely follow the course of the outbreak in our provinces. https://t.co/t6wn2JDI")</f>
        <v>Izmir, Adana, Samsun, Bursa, Ordu, Gaziantep and Konya We have repeated our online conversation with our health managers. We closely follow the course of the outbreak in our provinces. https://t.co/t6wn2JDI</v>
      </c>
    </row>
    <row r="1751" spans="1:5" ht="15.75" customHeight="1" x14ac:dyDescent="0.25">
      <c r="A1751" s="1" t="s">
        <v>3501</v>
      </c>
      <c r="B1751" s="1">
        <v>10998</v>
      </c>
      <c r="C1751" s="3">
        <v>44167.845671296294</v>
      </c>
      <c r="D1751" s="1" t="s">
        <v>3502</v>
      </c>
      <c r="E1751" s="4" t="str">
        <f ca="1">IFERROR(__xludf.DUMMYFUNCTION("GOOGLETRANSLATE(A1751 , ""tr"" , ""en"")"),"We strive to prepare in vaccination as country. Our Science Board conducts his work on the vaccination strategy. We have made our planning. https://t.co/k5fufhdfqI")</f>
        <v>We strive to prepare in vaccination as country. Our Science Board conducts his work on the vaccination strategy. We have made our planning. https://t.co/k5fufhdfqI</v>
      </c>
    </row>
    <row r="1752" spans="1:5" ht="15.75" customHeight="1" x14ac:dyDescent="0.25">
      <c r="A1752" s="1" t="s">
        <v>3503</v>
      </c>
      <c r="B1752" s="1">
        <v>8712</v>
      </c>
      <c r="C1752" s="3">
        <v>44167.767418981479</v>
      </c>
      <c r="D1752" s="1" t="s">
        <v>3504</v>
      </c>
      <c r="E1752" s="4" t="str">
        <f ca="1">IFERROR(__xludf.DUMMYFUNCTION("GOOGLETRANSLATE(A1752 , ""tr"" , ""en"")"),"We do not interfere with the crowd in the Sunday and AVM to put the distance out of the outbreak. https://t.co/fxgrvqarpv")</f>
        <v>We do not interfere with the crowd in the Sunday and AVM to put the distance out of the outbreak. https://t.co/fxgrvqarpv</v>
      </c>
    </row>
    <row r="1753" spans="1:5" ht="15.75" customHeight="1" x14ac:dyDescent="0.25">
      <c r="A1753" s="1" t="s">
        <v>3505</v>
      </c>
      <c r="B1753" s="1">
        <v>15640</v>
      </c>
      <c r="C1753" s="3">
        <v>44167.680590277778</v>
      </c>
      <c r="D1753" s="1" t="s">
        <v>3506</v>
      </c>
      <c r="E1753" s="4" t="str">
        <f ca="1">IFERROR(__xludf.DUMMYFUNCTION("GOOGLETRANSLATE(A1753 , ""tr"" , ""en"")"),"We have 6,690 new patients identified today. The use of closed environments increased due to seasonal conditions. To reduce the increasing number of active patients, we must stand out of crowds, off and adequately non-ventilated environments. https://t.co"&amp;"/rvlhe7786o")</f>
        <v>We have 6,690 new patients identified today. The use of closed environments increased due to seasonal conditions. To reduce the increasing number of active patients, we must stand out of crowds, off and adequately non-ventilated environments. https://t.co/rvlhe7786o</v>
      </c>
    </row>
    <row r="1754" spans="1:5" ht="15.75" customHeight="1" x14ac:dyDescent="0.25">
      <c r="A1754" s="1" t="s">
        <v>3507</v>
      </c>
      <c r="B1754" s="1">
        <v>9783</v>
      </c>
      <c r="C1754" s="3">
        <v>44167.615995370368</v>
      </c>
      <c r="D1754" s="1" t="s">
        <v>3508</v>
      </c>
      <c r="E1754" s="4" t="str">
        <f ca="1">IFERROR(__xludf.DUMMYFUNCTION("GOOGLETRANSLATE(A1754 , ""tr"" , ""en"")"),"We do not exceed 30 people in funerals and wedding for the days we can share our feelings comfortably. https://t.co/rme4nw6deb")</f>
        <v>We do not exceed 30 people in funerals and wedding for the days we can share our feelings comfortably. https://t.co/rme4nw6deb</v>
      </c>
    </row>
    <row r="1755" spans="1:5" ht="15.75" customHeight="1" x14ac:dyDescent="0.25">
      <c r="A1755" s="1" t="s">
        <v>3509</v>
      </c>
      <c r="B1755" s="1">
        <v>10982</v>
      </c>
      <c r="C1755" s="3">
        <v>44166.906458333331</v>
      </c>
      <c r="D1755" s="1" t="s">
        <v>3510</v>
      </c>
      <c r="E1755" s="4" t="str">
        <f ca="1">IFERROR(__xludf.DUMMYFUNCTION("GOOGLETRANSLATE(A1755 , ""tr"" , ""en"")"),"The contract was signed for the vaccine we hope to change the course of the outbreak. Our goal is to start vaccination rapidly in December. First of our health workers will be vaccinated. https://t.co/zdızz78xyd")</f>
        <v>The contract was signed for the vaccine we hope to change the course of the outbreak. Our goal is to start vaccination rapidly in December. First of our health workers will be vaccinated. https://t.co/zdızz78xyd</v>
      </c>
    </row>
    <row r="1756" spans="1:5" ht="15.75" customHeight="1" x14ac:dyDescent="0.25">
      <c r="A1756" s="1" t="s">
        <v>3511</v>
      </c>
      <c r="B1756" s="1">
        <v>8047</v>
      </c>
      <c r="C1756" s="3">
        <v>44166.893796296295</v>
      </c>
      <c r="D1756" s="1" t="s">
        <v>3512</v>
      </c>
      <c r="E1756" s="4" t="str">
        <f ca="1">IFERROR(__xludf.DUMMYFUNCTION("GOOGLETRANSLATE(A1756 , ""tr"" , ""en"")"),"Our goal is not life, but to restrict the outbreak. https://t.co/uqvkqddybe")</f>
        <v>Our goal is not life, but to restrict the outbreak. https://t.co/uqvkqddybe</v>
      </c>
    </row>
    <row r="1757" spans="1:5" ht="15.75" customHeight="1" x14ac:dyDescent="0.25">
      <c r="A1757" s="1" t="s">
        <v>3513</v>
      </c>
      <c r="B1757" s="1">
        <v>8692</v>
      </c>
      <c r="C1757" s="3">
        <v>44166.886921296296</v>
      </c>
      <c r="D1757" s="1" t="s">
        <v>3514</v>
      </c>
      <c r="E1757" s="4" t="str">
        <f ca="1">IFERROR(__xludf.DUMMYFUNCTION("GOOGLETRANSLATE(A1757 , ""tr"" , ""en"")"),"We have to reduce the spread of the epidemic. So we don't go out unless they are mandatory. https://t.co/c6ykqbtion")</f>
        <v>We have to reduce the spread of the epidemic. So we don't go out unless they are mandatory. https://t.co/c6ykqbtion</v>
      </c>
    </row>
    <row r="1758" spans="1:5" ht="15.75" customHeight="1" x14ac:dyDescent="0.25">
      <c r="A1758" s="1" t="s">
        <v>3515</v>
      </c>
      <c r="B1758" s="1">
        <v>5574</v>
      </c>
      <c r="C1758" s="3">
        <v>44166.82640046296</v>
      </c>
      <c r="D1758" s="1" t="s">
        <v>3516</v>
      </c>
      <c r="E1758" s="4" t="str">
        <f ca="1">IFERROR(__xludf.DUMMYFUNCTION("GOOGLETRANSLATE(A1758 , ""tr"" , ""en"")"),"We met our deputies in the TBMM today. We have been in consultations on our hometown's health policies and investments. We have evaluated the demands of our citizens through our proxies. https://t.co/cfxk3ff8he")</f>
        <v>We met our deputies in the TBMM today. We have been in consultations on our hometown's health policies and investments. We have evaluated the demands of our citizens through our proxies. https://t.co/cfxk3ff8he</v>
      </c>
    </row>
    <row r="1759" spans="1:5" ht="15.75" customHeight="1" x14ac:dyDescent="0.25">
      <c r="A1759" s="1" t="s">
        <v>3517</v>
      </c>
      <c r="B1759" s="1">
        <v>16256</v>
      </c>
      <c r="C1759" s="3">
        <v>44166.666296296295</v>
      </c>
      <c r="D1759" s="1" t="s">
        <v>3518</v>
      </c>
      <c r="E1759" s="4" t="str">
        <f ca="1">IFERROR(__xludf.DUMMYFUNCTION("GOOGLETRANSLATE(A1759 , ""tr"" , ""en"")"),"We have 6,101 new patients identified today. As our recovering patient number does not pass our new patient number, the load of the health system continues to increase. If it is necessary, let's not forget that voluntary measures save life. Let's obey the"&amp;" measures. https://t.co/rvlhe7oIYM")</f>
        <v>We have 6,101 new patients identified today. As our recovering patient number does not pass our new patient number, the load of the health system continues to increase. If it is necessary, let's not forget that voluntary measures save life. Let's obey the measures. https://t.co/rvlhe7oIYM</v>
      </c>
    </row>
    <row r="1760" spans="1:5" ht="15.75" customHeight="1" x14ac:dyDescent="0.25">
      <c r="A1760" s="1" t="s">
        <v>3519</v>
      </c>
      <c r="B1760" s="1">
        <v>9796</v>
      </c>
      <c r="C1760" s="3">
        <v>44165.886273148149</v>
      </c>
      <c r="D1760" s="1" t="s">
        <v>3520</v>
      </c>
      <c r="E1760" s="4" t="str">
        <f ca="1">IFERROR(__xludf.DUMMYFUNCTION("GOOGLETRANSLATE(A1760 , ""tr"" , ""en"")"),"Following the Cabinet Meeting, where the recommendations of the science is assessed, our President has announced new measures in the fight against Koronavirus. These measures are both complying and responsibility to comply with the nation. We can only win"&amp;" the struggle together. https://t.co/gvgllywmjn")</f>
        <v>Following the Cabinet Meeting, where the recommendations of the science is assessed, our President has announced new measures in the fight against Koronavirus. These measures are both complying and responsibility to comply with the nation. We can only win the struggle together. https://t.co/gvgllywmjn</v>
      </c>
    </row>
    <row r="1761" spans="1:5" ht="15.75" customHeight="1" x14ac:dyDescent="0.25">
      <c r="A1761" s="1" t="s">
        <v>3521</v>
      </c>
      <c r="B1761" s="1">
        <v>9966</v>
      </c>
      <c r="C1761" s="3">
        <v>44165.810150462959</v>
      </c>
      <c r="D1761" s="1" t="s">
        <v>3522</v>
      </c>
      <c r="E1761" s="4" t="str">
        <f ca="1">IFERROR(__xludf.DUMMYFUNCTION("GOOGLETRANSLATE(A1761 , ""tr"" , ""en"")"),"The thesis behaves live, we can go on a trip to our business if we ride the bus without crowding in the hustle of getting to our work. Let's see what a momentary negligence leads to. Measure Our social responsibility as well as the security of our persona"&amp;"l health. https://t.co/kso5fqbm")</f>
        <v>The thesis behaves live, we can go on a trip to our business if we ride the bus without crowding in the hustle of getting to our work. Let's see what a momentary negligence leads to. Measure Our social responsibility as well as the security of our personal health. https://t.co/kso5fqbm</v>
      </c>
    </row>
    <row r="1762" spans="1:5" ht="15.75" customHeight="1" x14ac:dyDescent="0.25">
      <c r="A1762" s="1" t="s">
        <v>3523</v>
      </c>
      <c r="B1762" s="1">
        <v>18307</v>
      </c>
      <c r="C1762" s="3">
        <v>44165.778067129628</v>
      </c>
      <c r="D1762" s="1" t="s">
        <v>3524</v>
      </c>
      <c r="E1762" s="4" t="str">
        <f ca="1">IFERROR(__xludf.DUMMYFUNCTION("GOOGLETRANSLATE(A1762 , ""tr"" , ""en"")"),"Our struggling guns are obvious: cleaning, mask and distance. We have to take some measures to protect the health of society. With the measures, we will survive in less than compulsory restrictions. Let's show full compliance with restrictions.")</f>
        <v>Our struggling guns are obvious: cleaning, mask and distance. We have to take some measures to protect the health of society. With the measures, we will survive in less than compulsory restrictions. Let's show full compliance with restrictions.</v>
      </c>
    </row>
    <row r="1763" spans="1:5" ht="15.75" customHeight="1" x14ac:dyDescent="0.25">
      <c r="A1763" s="1" t="s">
        <v>3525</v>
      </c>
      <c r="B1763" s="1">
        <v>13115</v>
      </c>
      <c r="C1763" s="3">
        <v>44165.736157407409</v>
      </c>
      <c r="D1763" s="1" t="s">
        <v>3526</v>
      </c>
      <c r="E1763" s="4" t="str">
        <f ca="1">IFERROR(__xludf.DUMMYFUNCTION("GOOGLETRANSLATE(A1763 , ""tr"" , ""en"")"),"We have 6,514 new patients identified today. We need more stringent protection and tighter measure. We have to sustain the challenge together. Support the fight against the measures. https://t.co/rvlhe7786o")</f>
        <v>We have 6,514 new patients identified today. We need more stringent protection and tighter measure. We have to sustain the challenge together. Support the fight against the measures. https://t.co/rvlhe7786o</v>
      </c>
    </row>
    <row r="1764" spans="1:5" ht="15.75" customHeight="1" x14ac:dyDescent="0.25">
      <c r="A1764" s="1" t="s">
        <v>3527</v>
      </c>
      <c r="B1764" s="1">
        <v>0</v>
      </c>
      <c r="C1764" s="3">
        <v>44165.706886574073</v>
      </c>
      <c r="D1764" s="1" t="s">
        <v>3528</v>
      </c>
      <c r="E1764" s="4" t="str">
        <f ca="1">IFERROR(__xludf.DUMMYFUNCTION("GOOGLETRANSLATE(A1764 , ""tr"" , ""en"")"),"RT @rterdogan: Shouting to Nation After Cabinet Meeting https://t.co/jlujptiz64")</f>
        <v>RT @rterdogan: Shouting to Nation After Cabinet Meeting https://t.co/jlujptiz64</v>
      </c>
    </row>
    <row r="1765" spans="1:5" ht="15.75" customHeight="1" x14ac:dyDescent="0.25">
      <c r="A1765" s="1" t="s">
        <v>3529</v>
      </c>
      <c r="B1765" s="1">
        <v>11927</v>
      </c>
      <c r="C1765" s="3">
        <v>44165.245798611111</v>
      </c>
      <c r="D1765" s="1" t="s">
        <v>3530</v>
      </c>
      <c r="E1765" s="4" t="str">
        <f ca="1">IFERROR(__xludf.DUMMYFUNCTION("GOOGLETRANSLATE(A1765 , ""tr"" , ""en"")"),"Underestimate.
Today it underestimates the virus and we can regret tomorrow if we don't give up our old normal. The measure is the assurance of both our health and social lives. https://t.co/fkvmpjt45a")</f>
        <v>Underestimate.
Today it underestimates the virus and we can regret tomorrow if we don't give up our old normal. The measure is the assurance of both our health and social lives. https://t.co/fkvmpjt45a</v>
      </c>
    </row>
    <row r="1766" spans="1:5" ht="15.75" customHeight="1" x14ac:dyDescent="0.25">
      <c r="A1766" s="1" t="s">
        <v>3531</v>
      </c>
      <c r="B1766" s="1">
        <v>18078</v>
      </c>
      <c r="C1766" s="3">
        <v>44164.704097222224</v>
      </c>
      <c r="D1766" s="1" t="s">
        <v>3532</v>
      </c>
      <c r="E1766" s="4" t="str">
        <f ca="1">IFERROR(__xludf.DUMMYFUNCTION("GOOGLETRANSLATE(A1766 , ""tr"" , ""en"")"),"We have 6,439 new patients today. The severe number of patients continues to increase. Support this load to our health workers successfully breasts. Add strength to the struggle by complying with the measures. https://t.co/rvlhe7786o")</f>
        <v>We have 6,439 new patients today. The severe number of patients continues to increase. Support this load to our health workers successfully breasts. Add strength to the struggle by complying with the measures. https://t.co/rvlhe7786o</v>
      </c>
    </row>
    <row r="1767" spans="1:5" ht="15.75" customHeight="1" x14ac:dyDescent="0.25">
      <c r="A1767" s="1" t="s">
        <v>3533</v>
      </c>
      <c r="B1767" s="1">
        <v>19018</v>
      </c>
      <c r="C1767" s="3">
        <v>44163.834351851852</v>
      </c>
      <c r="D1767" s="1" t="s">
        <v>3534</v>
      </c>
      <c r="E1767" s="4" t="str">
        <f ca="1">IFERROR(__xludf.DUMMYFUNCTION("GOOGLETRANSLATE(A1767 , ""tr"" , ""en"")"),"We have made the first deals on COVID-19 vaccination. Our negotiations continue with alternative manufacturers. As I explained before, we plan to make a gradual vaccination by starting our health workers. Our state is next to the citizen. https://t.co/mj5"&amp;"ftssptu")</f>
        <v>We have made the first deals on COVID-19 vaccination. Our negotiations continue with alternative manufacturers. As I explained before, we plan to make a gradual vaccination by starting our health workers. Our state is next to the citizen. https://t.co/mj5ftssptu</v>
      </c>
    </row>
    <row r="1768" spans="1:5" ht="15.75" customHeight="1" x14ac:dyDescent="0.25">
      <c r="A1768" s="1" t="s">
        <v>3535</v>
      </c>
      <c r="B1768" s="1">
        <v>7754</v>
      </c>
      <c r="C1768" s="3">
        <v>44163.791875000003</v>
      </c>
      <c r="D1768" s="1" t="s">
        <v>3536</v>
      </c>
      <c r="E1768" s="4" t="str">
        <f ca="1">IFERROR(__xludf.DUMMYFUNCTION("GOOGLETRANSLATE(A1768 , ""tr"" , ""en"")"),"Today, if we do not put the distance from the former normals, it can enter the distances we don't want to call with our favorite ones tomorrow. Mask, distance and cleaning measures are the greatest assurance of our health and social life. https://t.co/pkm"&amp;"etqnv1s")</f>
        <v>Today, if we do not put the distance from the former normals, it can enter the distances we don't want to call with our favorite ones tomorrow. Mask, distance and cleaning measures are the greatest assurance of our health and social life. https://t.co/pkmetqnv1s</v>
      </c>
    </row>
    <row r="1769" spans="1:5" ht="15.75" customHeight="1" x14ac:dyDescent="0.25">
      <c r="A1769" s="1" t="s">
        <v>3537</v>
      </c>
      <c r="B1769" s="1">
        <v>7689</v>
      </c>
      <c r="C1769" s="3">
        <v>44163.767407407409</v>
      </c>
      <c r="D1769" s="1" t="s">
        <v>3538</v>
      </c>
      <c r="E1769" s="4" t="str">
        <f ca="1">IFERROR(__xludf.DUMMYFUNCTION("GOOGLETRANSLATE(A1769 , ""tr"" , ""en"")"),"We have realized our weekly assessment meeting with our health managers in Istanbul. We reviewed the status of our pandemia management and health services. Istanbul has severe patient growth; The risk continues. Times that are not restrictions, let's spen"&amp;"d at home unless they are obliged. https://t.co/7wlvxednns")</f>
        <v>We have realized our weekly assessment meeting with our health managers in Istanbul. We reviewed the status of our pandemia management and health services. Istanbul has severe patient growth; The risk continues. Times that are not restrictions, let's spend at home unless they are obliged. https://t.co/7wlvxednns</v>
      </c>
    </row>
    <row r="1770" spans="1:5" ht="15.75" customHeight="1" x14ac:dyDescent="0.25">
      <c r="A1770" s="1" t="s">
        <v>3539</v>
      </c>
      <c r="B1770" s="1">
        <v>5523</v>
      </c>
      <c r="C1770" s="3">
        <v>44163.749189814815</v>
      </c>
      <c r="D1770" s="1" t="s">
        <v>3540</v>
      </c>
      <c r="E1770" s="4" t="str">
        <f ca="1">IFERROR(__xludf.DUMMYFUNCTION("GOOGLETRANSLATE(A1770 , ""tr"" , ""en"")"),"PROF. Dr. Feriha Self and Prof. Dr. Murat Dilmener Emergency Emergency We have assessed the status of our hospitals and the status of our lying patients in place. The responsibility of which they undertake in the follow-up of severe patients is the great "&amp;"place in the pandem control in Istanbul. https://t.co/mdsjuzwtnk")</f>
        <v>PROF. Dr. Feriha Self and Prof. Dr. Murat Dilmener Emergency Emergency We have assessed the status of our hospitals and the status of our lying patients in place. The responsibility of which they undertake in the follow-up of severe patients is the great place in the pandem control in Istanbul. https://t.co/mdsjuzwtnk</v>
      </c>
    </row>
    <row r="1771" spans="1:5" ht="15.75" customHeight="1" x14ac:dyDescent="0.25">
      <c r="A1771" s="1" t="s">
        <v>3541</v>
      </c>
      <c r="B1771" s="1">
        <v>18803</v>
      </c>
      <c r="C1771" s="3">
        <v>44163.679537037038</v>
      </c>
      <c r="D1771" s="1" t="s">
        <v>3542</v>
      </c>
      <c r="E1771" s="4" t="str">
        <f ca="1">IFERROR(__xludf.DUMMYFUNCTION("GOOGLETRANSLATE(A1771 , ""tr"" , ""en"")"),"We have 4,903 heavy patients identified today. Our health military is under heavy load. Each of us is in the marshable to comply with the measures. This is not a personal choice but a social obligation. https://t.co/rvlhe7786o")</f>
        <v>We have 4,903 heavy patients identified today. Our health military is under heavy load. Each of us is in the marshable to comply with the measures. This is not a personal choice but a social obligation. https://t.co/rvlhe7786o</v>
      </c>
    </row>
    <row r="1772" spans="1:5" ht="15.75" customHeight="1" x14ac:dyDescent="0.25">
      <c r="A1772" s="1" t="s">
        <v>3543</v>
      </c>
      <c r="B1772" s="1">
        <v>12646</v>
      </c>
      <c r="C1772" s="3">
        <v>44163.64466435185</v>
      </c>
      <c r="D1772" s="1" t="s">
        <v>3544</v>
      </c>
      <c r="E1772" s="4" t="str">
        <f ca="1">IFERROR(__xludf.DUMMYFUNCTION("GOOGLETRANSLATE(A1772 , ""tr"" , ""en"")"),"It can be replaced by remembered coffee. You can enter invisible guests from the door you open to your friends. The most reliable place is your home. Don't invite your risk to your house and keep your family. https://t.co/nvwgeir3wx")</f>
        <v>It can be replaced by remembered coffee. You can enter invisible guests from the door you open to your friends. The most reliable place is your home. Don't invite your risk to your house and keep your family. https://t.co/nvwgeir3wx</v>
      </c>
    </row>
    <row r="1773" spans="1:5" ht="15.75" customHeight="1" x14ac:dyDescent="0.25">
      <c r="A1773" s="1" t="s">
        <v>3545</v>
      </c>
      <c r="B1773" s="1">
        <v>3372</v>
      </c>
      <c r="C1773" s="3">
        <v>44163.526608796295</v>
      </c>
      <c r="D1773" s="1" t="s">
        <v>3546</v>
      </c>
      <c r="E1773" s="4" t="str">
        <f ca="1">IFERROR(__xludf.DUMMYFUNCTION("GOOGLETRANSLATE(A1773 , ""tr"" , ""en"")"),"Gene Treatment As part of the application procedure, the immune system must be suppressed for at least 1 month, and in some patients with high weight, this process can uplay up to 1 year. The SMA Science Board is collected every month, NGOs and families a"&amp;"re informed.")</f>
        <v>Gene Treatment As part of the application procedure, the immune system must be suppressed for at least 1 month, and in some patients with high weight, this process can uplay up to 1 year. The SMA Science Board is collected every month, NGOs and families are informed.</v>
      </c>
    </row>
    <row r="1774" spans="1:5" ht="15.75" customHeight="1" x14ac:dyDescent="0.25">
      <c r="A1774" s="1" t="s">
        <v>3547</v>
      </c>
      <c r="B1774" s="1">
        <v>3714</v>
      </c>
      <c r="C1774" s="3">
        <v>44163.526608796295</v>
      </c>
      <c r="D1774" s="1" t="s">
        <v>3548</v>
      </c>
      <c r="E1774" s="4" t="str">
        <f ca="1">IFERROR(__xludf.DUMMYFUNCTION("GOOGLETRANSLATE(A1774 , ""tr"" , ""en"")"),"The SMA Science Board stated that the allegations of allegations on whether the disease is not the treatment of the disease, unless the gene treatment of the jen. The application process completed the efficacy and side effects of the completed SMA patient"&amp;"s are currently benefiting from treatment in our country.")</f>
        <v>The SMA Science Board stated that the allegations of allegations on whether the disease is not the treatment of the disease, unless the gene treatment of the jen. The application process completed the efficacy and side effects of the completed SMA patients are currently benefiting from treatment in our country.</v>
      </c>
    </row>
    <row r="1775" spans="1:5" ht="15.75" customHeight="1" x14ac:dyDescent="0.25">
      <c r="A1775" s="1" t="s">
        <v>3549</v>
      </c>
      <c r="B1775" s="1">
        <v>8925</v>
      </c>
      <c r="C1775" s="3">
        <v>44163.526608796295</v>
      </c>
      <c r="D1775" s="1" t="s">
        <v>3550</v>
      </c>
      <c r="E1775" s="4" t="str">
        <f ca="1">IFERROR(__xludf.DUMMYFUNCTION("GOOGLETRANSLATE(A1775 , ""tr"" , ""en"")"),"In the SMA disease held by our Ministry, the Members of the Current Treatments in SMA disease participated in MMA Science Board, Ministry officials, SMA associations. The SMA Science Board, SMA medications and the recent scientific studies on the possible"&amp;" scientific studies related to the prospective gene treatment.")</f>
        <v>In the SMA disease held by our Ministry, the Members of the Current Treatments in SMA disease participated in MMA Science Board, Ministry officials, SMA associations. The SMA Science Board, SMA medications and the recent scientific studies on the possible scientific studies related to the prospective gene treatment.</v>
      </c>
    </row>
    <row r="1776" spans="1:5" ht="15.75" customHeight="1" x14ac:dyDescent="0.25">
      <c r="A1776" s="1" t="s">
        <v>3551</v>
      </c>
      <c r="B1776" s="1">
        <v>10253</v>
      </c>
      <c r="C1776" s="3">
        <v>44162.890115740738</v>
      </c>
      <c r="D1776" s="1" t="s">
        <v>3552</v>
      </c>
      <c r="E1776" s="4" t="str">
        <f ca="1">IFERROR(__xludf.DUMMYFUNCTION("GOOGLETRANSLATE(A1776 , ""tr"" , ""en"")"),"The purpose of controlled Social Life is to continue the normal flow of life within the rules. However, increasing case numbers have obliged the constraint application of 20.00-10.00 this weekend. If we are not obliged, let's spend the time when there are"&amp;" no restrictions. https://t.co/ainb1fosd")</f>
        <v>The purpose of controlled Social Life is to continue the normal flow of life within the rules. However, increasing case numbers have obliged the constraint application of 20.00-10.00 this weekend. If we are not obliged, let's spend the time when there are no restrictions. https://t.co/ainb1fosd</v>
      </c>
    </row>
    <row r="1777" spans="1:5" ht="15.75" customHeight="1" x14ac:dyDescent="0.25">
      <c r="A1777" s="1" t="s">
        <v>3553</v>
      </c>
      <c r="B1777" s="1">
        <v>9238</v>
      </c>
      <c r="C1777" s="3">
        <v>44162.758287037039</v>
      </c>
      <c r="D1777" s="1" t="s">
        <v>3554</v>
      </c>
      <c r="E1777" s="4" t="str">
        <f ca="1">IFERROR(__xludf.DUMMYFUNCTION("GOOGLETRANSLATE(A1777 , ""tr"" , ""en"")"),"Great crowds like weddings are a great threat to everyone who participates in. Each neglect is to take an invitation to the virus. https://t.co/sbxrl9paan")</f>
        <v>Great crowds like weddings are a great threat to everyone who participates in. Each neglect is to take an invitation to the virus. https://t.co/sbxrl9paan</v>
      </c>
    </row>
    <row r="1778" spans="1:5" ht="15.75" customHeight="1" x14ac:dyDescent="0.25">
      <c r="A1778" s="1" t="s">
        <v>3555</v>
      </c>
      <c r="B1778" s="1">
        <v>17599</v>
      </c>
      <c r="C1778" s="3">
        <v>44162.694224537037</v>
      </c>
      <c r="D1778" s="1" t="s">
        <v>3556</v>
      </c>
      <c r="E1778" s="4" t="str">
        <f ca="1">IFERROR(__xludf.DUMMYFUNCTION("GOOGLETRANSLATE(A1778 , ""tr"" , ""en"")"),"We have 6,592 new patients identified today. Our severe patient count approached 5,000. Our losses are increasing. We can also struggle without the restraint of the measures. Or restraints become inevitable. The safest place is our house. https://t.co/rvl"&amp;"he7786o")</f>
        <v>We have 6,592 new patients identified today. Our severe patient count approached 5,000. Our losses are increasing. We can also struggle without the restraint of the measures. Or restraints become inevitable. The safest place is our house. https://t.co/rvlhe7786o</v>
      </c>
    </row>
    <row r="1779" spans="1:5" ht="15.75" customHeight="1" x14ac:dyDescent="0.25">
      <c r="A1779" s="1" t="s">
        <v>3557</v>
      </c>
      <c r="B1779" s="1">
        <v>6116</v>
      </c>
      <c r="C1779" s="3">
        <v>44162.639490740738</v>
      </c>
      <c r="D1779" s="1" t="s">
        <v>3558</v>
      </c>
      <c r="E1779" s="4" t="str">
        <f ca="1">IFERROR(__xludf.DUMMYFUNCTION("GOOGLETRANSLATE(A1779 , ""tr"" , ""en"")"),"The cases increased by Tokat, Tekirdağ, Adana, Mersin and Sakarya 100% in Erzurum, 50% in Erzurum. Every compromise we give from the measures makes the epidemic struggle. Threat continues where there is no measure.")</f>
        <v>The cases increased by Tokat, Tekirdağ, Adana, Mersin and Sakarya 100% in Erzurum, 50% in Erzurum. Every compromise we give from the measures makes the epidemic struggle. Threat continues where there is no measure.</v>
      </c>
    </row>
    <row r="1780" spans="1:5" ht="15.75" customHeight="1" x14ac:dyDescent="0.25">
      <c r="A1780" s="1" t="s">
        <v>3559</v>
      </c>
      <c r="B1780" s="1">
        <v>9744</v>
      </c>
      <c r="C1780" s="3">
        <v>44162.639479166668</v>
      </c>
      <c r="D1780" s="1" t="s">
        <v>3560</v>
      </c>
      <c r="E1780" s="4" t="str">
        <f ca="1">IFERROR(__xludf.DUMMYFUNCTION("GOOGLETRANSLATE(A1780 , ""tr"" , ""en"")"),"In our online meeting with Adana, Mersin, Sakarya, Tokat, Tekirdağ and Erzurum Health Directors, we have stood on the course of this provinces in these provinces, patient load and case increases. https://t.co/t1c3wrgn1i")</f>
        <v>In our online meeting with Adana, Mersin, Sakarya, Tokat, Tekirdağ and Erzurum Health Directors, we have stood on the course of this provinces in these provinces, patient load and case increases. https://t.co/t1c3wrgn1i</v>
      </c>
    </row>
    <row r="1781" spans="1:5" ht="15.75" customHeight="1" x14ac:dyDescent="0.25">
      <c r="A1781" s="1" t="s">
        <v>3561</v>
      </c>
      <c r="B1781" s="1">
        <v>8940</v>
      </c>
      <c r="C1781" s="3">
        <v>44161.857835648145</v>
      </c>
      <c r="D1781" s="1" t="s">
        <v>3562</v>
      </c>
      <c r="E1781" s="4" t="str">
        <f ca="1">IFERROR(__xludf.DUMMYFUNCTION("GOOGLETRANSLATE(A1781 , ""tr"" , ""en"")"),"We have addressed outbreak of samsun, İzmir, Denizli, Balikesir and Corum Provincial Health Directors at the online meeting. Case is increasing in Samsun. The use of drugs in Samsun, Corum and Izmir is low. According to the number of cases, hospitalizatio"&amp;"n is increasing. Our sacrifice exam is in progress. https://t.co/3ophgywr52")</f>
        <v>We have addressed outbreak of samsun, İzmir, Denizli, Balikesir and Corum Provincial Health Directors at the online meeting. Case is increasing in Samsun. The use of drugs in Samsun, Corum and Izmir is low. According to the number of cases, hospitalization is increasing. Our sacrifice exam is in progress. https://t.co/3ophgywr52</v>
      </c>
    </row>
    <row r="1782" spans="1:5" ht="15.75" customHeight="1" x14ac:dyDescent="0.25">
      <c r="A1782" s="1" t="s">
        <v>3563</v>
      </c>
      <c r="B1782" s="1">
        <v>7715</v>
      </c>
      <c r="C1782" s="3">
        <v>44161.779293981483</v>
      </c>
      <c r="D1782" s="1" t="s">
        <v>3564</v>
      </c>
      <c r="E1782" s="4" t="str">
        <f ca="1">IFERROR(__xludf.DUMMYFUNCTION("GOOGLETRANSLATE(A1782 , ""tr"" , ""en"")"),"Failure to comply with compulsory quarantine measures means to risk everyone we contact. To comply with the measures, ourselves are our conscientiousness against ourselves and our country. https://t.co/pkvullcıfOf")</f>
        <v>Failure to comply with compulsory quarantine measures means to risk everyone we contact. To comply with the measures, ourselves are our conscientiousness against ourselves and our country. https://t.co/pkvullcıfOf</v>
      </c>
    </row>
    <row r="1783" spans="1:5" ht="15.75" customHeight="1" x14ac:dyDescent="0.25">
      <c r="A1783" s="1" t="s">
        <v>3565</v>
      </c>
      <c r="B1783" s="1">
        <v>19769</v>
      </c>
      <c r="C1783" s="3">
        <v>44161.732638888891</v>
      </c>
      <c r="D1783" s="1" t="s">
        <v>3566</v>
      </c>
      <c r="E1783" s="4" t="str">
        <f ca="1">IFERROR(__xludf.DUMMYFUNCTION("GOOGLETRANSLATE(A1783 , ""tr"" , ""en"")"),"We are also in the race of vaccination development studies against COVID-19.
COVID-19 vaccine studies developed at Erciyes University with TÜSEB support continues in accordance with the scheduled schedule. The second dose of the national vaccine candidate"&amp;" started the second dose practice today. We are hopeful.")</f>
        <v>We are also in the race of vaccination development studies against COVID-19.
COVID-19 vaccine studies developed at Erciyes University with TÜSEB support continues in accordance with the scheduled schedule. The second dose of the national vaccine candidate started the second dose practice today. We are hopeful.</v>
      </c>
    </row>
    <row r="1784" spans="1:5" ht="15.75" customHeight="1" x14ac:dyDescent="0.25">
      <c r="A1784" s="1" t="s">
        <v>3567</v>
      </c>
      <c r="B1784" s="1">
        <v>7880</v>
      </c>
      <c r="C1784" s="3">
        <v>44161.697152777779</v>
      </c>
      <c r="D1784" s="1" t="s">
        <v>3568</v>
      </c>
      <c r="E1784" s="4" t="str">
        <f ca="1">IFERROR(__xludf.DUMMYFUNCTION("GOOGLETRANSLATE(A1784 , ""tr"" , ""en"")"),"The significant part of the patients who are in the event that the hospitalized, intensive care is the transition to the device and lose in the early period, let's know that the important part of the patients we remain in the early period. https://t.co/89"&amp;"tstovqtl")</f>
        <v>The significant part of the patients who are in the event that the hospitalized, intensive care is the transition to the device and lose in the early period, let's know that the important part of the patients we remain in the early period. https://t.co/89tstovqtl</v>
      </c>
    </row>
    <row r="1785" spans="1:5" ht="15.75" customHeight="1" x14ac:dyDescent="0.25">
      <c r="A1785" s="1" t="s">
        <v>3569</v>
      </c>
      <c r="B1785" s="1">
        <v>16733</v>
      </c>
      <c r="C1785" s="3">
        <v>44161.675393518519</v>
      </c>
      <c r="D1785" s="1" t="s">
        <v>3570</v>
      </c>
      <c r="E1785" s="4" t="str">
        <f ca="1">IFERROR(__xludf.DUMMYFUNCTION("GOOGLETRANSLATE(A1785 , ""tr"" , ""en"")"),"We have 6,876 new patients identified today. Our active patient count is increasing. It will be decisive on our measures to our measures as well as the course of the outbreak. Access to the measures do not require restrictions. We can achieve if we strugg"&amp;"le together. https://t.co/rvlhe7786o")</f>
        <v>We have 6,876 new patients identified today. Our active patient count is increasing. It will be decisive on our measures to our measures as well as the course of the outbreak. Access to the measures do not require restrictions. We can achieve if we struggle together. https://t.co/rvlhe7786o</v>
      </c>
    </row>
    <row r="1786" spans="1:5" ht="15.75" customHeight="1" x14ac:dyDescent="0.25">
      <c r="A1786" s="1" t="s">
        <v>3571</v>
      </c>
      <c r="B1786" s="1">
        <v>7039</v>
      </c>
      <c r="C1786" s="3">
        <v>44161.544849537036</v>
      </c>
      <c r="D1786" s="1" t="s">
        <v>3572</v>
      </c>
      <c r="E1786" s="4" t="str">
        <f ca="1">IFERROR(__xludf.DUMMYFUNCTION("GOOGLETRANSLATE(A1786 , ""tr"" , ""en"")"),"We are one of the rare countries that try to develop vaccines in all vaccine platforms in the world. We support all our scientists who receive the approval of the Vaccine Assessment Commission without discriminate. We hope to achieve our first domestic CO"&amp;"VID-19. https://t.co/2IPVQCIOLX")</f>
        <v>We are one of the rare countries that try to develop vaccines in all vaccine platforms in the world. We support all our scientists who receive the approval of the Vaccine Assessment Commission without discriminate. We hope to achieve our first domestic COVID-19. https://t.co/2IPVQCIOLX</v>
      </c>
    </row>
    <row r="1787" spans="1:5" ht="15.75" customHeight="1" x14ac:dyDescent="0.25">
      <c r="A1787" s="1" t="s">
        <v>3573</v>
      </c>
      <c r="B1787" s="1">
        <v>5941</v>
      </c>
      <c r="C1787" s="3">
        <v>44161.534375000003</v>
      </c>
      <c r="D1787" s="1" t="s">
        <v>3574</v>
      </c>
      <c r="E1787" s="4" t="str">
        <f ca="1">IFERROR(__xludf.DUMMYFUNCTION("GOOGLETRANSLATE(A1787 , ""tr"" , ""en"")"),"All kinds of information about cases and contacts are registered in our system. With a hes code query, all our institutions with a collective population are able to access this system. https://t.co/8ss7vgtmo9")</f>
        <v>All kinds of information about cases and contacts are registered in our system. With a hes code query, all our institutions with a collective population are able to access this system. https://t.co/8ss7vgtmo9</v>
      </c>
    </row>
    <row r="1788" spans="1:5" ht="15.75" customHeight="1" x14ac:dyDescent="0.25">
      <c r="A1788" s="1" t="s">
        <v>3575</v>
      </c>
      <c r="B1788" s="1">
        <v>8246</v>
      </c>
      <c r="C1788" s="3">
        <v>44160.904074074075</v>
      </c>
      <c r="D1788" s="1" t="s">
        <v>3576</v>
      </c>
      <c r="E1788" s="4" t="str">
        <f ca="1">IFERROR(__xludf.DUMMYFUNCTION("GOOGLETRANSLATE(A1788 , ""tr"" , ""en"")"),"There is a lot of work in the epidemic period, especially our managers. In the fight against the epidemic should make it fall on everyone, it should focus on icraate. https://t.co/jrdgd1ptmk")</f>
        <v>There is a lot of work in the epidemic period, especially our managers. In the fight against the epidemic should make it fall on everyone, it should focus on icraate. https://t.co/jrdgd1ptmk</v>
      </c>
    </row>
    <row r="1789" spans="1:5" ht="15.75" customHeight="1" x14ac:dyDescent="0.25">
      <c r="A1789" s="1" t="s">
        <v>3577</v>
      </c>
      <c r="B1789" s="1">
        <v>15311</v>
      </c>
      <c r="C1789" s="3">
        <v>44160.875023148146</v>
      </c>
      <c r="D1789" s="1" t="s">
        <v>3578</v>
      </c>
      <c r="E1789" s="4" t="str">
        <f ca="1">IFERROR(__xludf.DUMMYFUNCTION("GOOGLETRANSLATE(A1789 , ""tr"" , ""en"")"),"Violence: The Human is to reject theirs. Violence to the woman is the most prominent indicator of this imposure. We have to struggle with all sorts. https://t.co/7r1vdılafj")</f>
        <v>Violence: The Human is to reject theirs. Violence to the woman is the most prominent indicator of this imposure. We have to struggle with all sorts. https://t.co/7r1vdılafj</v>
      </c>
    </row>
    <row r="1790" spans="1:5" ht="15.75" customHeight="1" x14ac:dyDescent="0.25">
      <c r="A1790" s="1" t="s">
        <v>3579</v>
      </c>
      <c r="B1790" s="1">
        <v>7110</v>
      </c>
      <c r="C1790" s="3">
        <v>44160.87232638889</v>
      </c>
      <c r="D1790" s="1" t="s">
        <v>3580</v>
      </c>
      <c r="E1790" s="4" t="str">
        <f ca="1">IFERROR(__xludf.DUMMYFUNCTION("GOOGLETRANSLATE(A1790 , ""tr"" , ""en"")"),"No one can see itself away from carrying the responsibility of the struggle. https://t.co/7cgczzok0k")</f>
        <v>No one can see itself away from carrying the responsibility of the struggle. https://t.co/7cgczzok0k</v>
      </c>
    </row>
    <row r="1791" spans="1:5" ht="15.75" customHeight="1" x14ac:dyDescent="0.25">
      <c r="A1791" s="1" t="s">
        <v>3581</v>
      </c>
      <c r="B1791" s="1">
        <v>12017</v>
      </c>
      <c r="C1791" s="3">
        <v>44160.851631944446</v>
      </c>
      <c r="D1791" s="1" t="s">
        <v>3582</v>
      </c>
      <c r="E1791" s="4" t="str">
        <f ca="1">IFERROR(__xludf.DUMMYFUNCTION("GOOGLETRANSLATE(A1791 , ""tr"" , ""en"")"),"Period is the period of struggling together. While there is such a serious situation, it is the time to know our responsibility for the excuse without producing, taking measures, to make their tasks falling on us. https://t.co/kpay36u00h")</f>
        <v>Period is the period of struggling together. While there is such a serious situation, it is the time to know our responsibility for the excuse without producing, taking measures, to make their tasks falling on us. https://t.co/kpay36u00h</v>
      </c>
    </row>
    <row r="1792" spans="1:5" ht="15.75" customHeight="1" x14ac:dyDescent="0.25">
      <c r="A1792" s="1" t="s">
        <v>3583</v>
      </c>
      <c r="B1792" s="1">
        <v>14638</v>
      </c>
      <c r="C1792" s="3">
        <v>44160.700555555559</v>
      </c>
      <c r="D1792" s="1" t="s">
        <v>3584</v>
      </c>
      <c r="E1792" s="4" t="str">
        <f ca="1">IFERROR(__xludf.DUMMYFUNCTION("GOOGLETRANSLATE(A1792 , ""tr"" , ""en"")"),"After our Science Board meeting, our press statement on the latest developments on the coronavirus.
📍 The Ministry of Health
https://t.co/m3qlg4desh")</f>
        <v>After our Science Board meeting, our press statement on the latest developments on the coronavirus.
📍 The Ministry of Health
https://t.co/m3qlg4desh</v>
      </c>
    </row>
    <row r="1793" spans="1:5" ht="15.75" customHeight="1" x14ac:dyDescent="0.25">
      <c r="A1793" s="1" t="s">
        <v>3585</v>
      </c>
      <c r="B1793" s="1">
        <v>20857</v>
      </c>
      <c r="C1793" s="3">
        <v>44160.368287037039</v>
      </c>
      <c r="D1793" s="1" t="s">
        <v>3586</v>
      </c>
      <c r="E1793" s="4" t="str">
        <f ca="1">IFERROR(__xludf.DUMMYFUNCTION("GOOGLETRANSLATE(A1793 , ""tr"" , ""en"")"),"In July 2020, the first portion of the completely domestic Tetanos-diphtheric vaccine, including antigen production, was used by our Ministry. The process of domestic vaccine production in the framework of the localization policy will continue with new go"&amp;"spades. https://t.co/tuahwprzqw")</f>
        <v>In July 2020, the first portion of the completely domestic Tetanos-diphtheric vaccine, including antigen production, was used by our Ministry. The process of domestic vaccine production in the framework of the localization policy will continue with new gospades. https://t.co/tuahwprzqw</v>
      </c>
    </row>
    <row r="1794" spans="1:5" ht="15.75" customHeight="1" x14ac:dyDescent="0.25">
      <c r="A1794" s="1" t="s">
        <v>3587</v>
      </c>
      <c r="B1794" s="1">
        <v>6377</v>
      </c>
      <c r="C1794" s="3">
        <v>44159.963333333333</v>
      </c>
      <c r="D1794" s="1" t="s">
        <v>3588</v>
      </c>
      <c r="E1794" s="4" t="str">
        <f ca="1">IFERROR(__xludf.DUMMYFUNCTION("GOOGLETRANSLATE(A1794 , ""tr"" , ""en"")"),"Bursa has a marked increase in Kocaeli and Gaziantep. These provinces need a more diligent, more rigorous study. The importance of your support has increased. Give strength with your support to our struggle.")</f>
        <v>Bursa has a marked increase in Kocaeli and Gaziantep. These provinces need a more diligent, more rigorous study. The importance of your support has increased. Give strength with your support to our struggle.</v>
      </c>
    </row>
    <row r="1795" spans="1:5" ht="15.75" customHeight="1" x14ac:dyDescent="0.25">
      <c r="A1795" s="1" t="s">
        <v>3589</v>
      </c>
      <c r="B1795" s="1">
        <v>8890</v>
      </c>
      <c r="C1795" s="3">
        <v>44159.963333333333</v>
      </c>
      <c r="D1795" s="1" t="s">
        <v>3590</v>
      </c>
      <c r="E1795" s="4" t="str">
        <f ca="1">IFERROR(__xludf.DUMMYFUNCTION("GOOGLETRANSLATE(A1795 , ""tr"" , ""en"")"),"Bursa, Gaziantep, Kocaeli, Tekirdag, Malatya and Ordu Provincial Health Managers are in the online meeting; We reviewed the performance of our epidemic course, service capacity and the performance of the filion teams. We addressed additional measures. htt"&amp;"ps://t.co/li6j2ehd8t")</f>
        <v>Bursa, Gaziantep, Kocaeli, Tekirdag, Malatya and Ordu Provincial Health Managers are in the online meeting; We reviewed the performance of our epidemic course, service capacity and the performance of the filion teams. We addressed additional measures. https://t.co/li6j2ehd8t</v>
      </c>
    </row>
    <row r="1796" spans="1:5" ht="15.75" customHeight="1" x14ac:dyDescent="0.25">
      <c r="A1796" s="1" t="s">
        <v>3591</v>
      </c>
      <c r="B1796" s="1">
        <v>7588</v>
      </c>
      <c r="C1796" s="3">
        <v>44159.747037037036</v>
      </c>
      <c r="D1796" s="1" t="s">
        <v>3592</v>
      </c>
      <c r="E1796" s="4" t="str">
        <f ca="1">IFERROR(__xludf.DUMMYFUNCTION("GOOGLETRANSLATE(A1796 , ""tr"" , ""en"")"),"Today, if we do not put the distance to our old normal, you can enter the distances that will never turn off with our loved ones tomorrow. To comply with the rules of the mask, distance and cleaning, ourselves is our conscientious responsibility against o"&amp;"ur loved ones and our country. This is the assurance of our health and social life. https://t.co/fqx9wqekd3")</f>
        <v>Today, if we do not put the distance to our old normal, you can enter the distances that will never turn off with our loved ones tomorrow. To comply with the rules of the mask, distance and cleaning, ourselves is our conscientious responsibility against our loved ones and our country. This is the assurance of our health and social life. https://t.co/fqx9wqekd3</v>
      </c>
    </row>
    <row r="1797" spans="1:5" ht="15.75" customHeight="1" x14ac:dyDescent="0.25">
      <c r="A1797" s="1" t="s">
        <v>3593</v>
      </c>
      <c r="B1797" s="1">
        <v>24461</v>
      </c>
      <c r="C1797" s="3">
        <v>44159.69636574074</v>
      </c>
      <c r="D1797" s="1" t="s">
        <v>3594</v>
      </c>
      <c r="E1797" s="4" t="str">
        <f ca="1">IFERROR(__xludf.DUMMYFUNCTION("GOOGLETRANSLATE(A1797 , ""tr"" , ""en"")"),"We have 7,381 new patients identified today. Our severe patients reached 4.543. We have to change the course of the epidemic. Your support for the measures and restrictions we have received is better and fast to give the support. Stay away from crowds unl"&amp;"ess mandatory. https://t.co/rvlhe7786o")</f>
        <v>We have 7,381 new patients identified today. Our severe patients reached 4.543. We have to change the course of the epidemic. Your support for the measures and restrictions we have received is better and fast to give the support. Stay away from crowds unless mandatory. https://t.co/rvlhe7786o</v>
      </c>
    </row>
    <row r="1798" spans="1:5" ht="15.75" customHeight="1" x14ac:dyDescent="0.25">
      <c r="A1798" s="1" t="s">
        <v>3595</v>
      </c>
      <c r="B1798" s="1">
        <v>16888</v>
      </c>
      <c r="C1798" s="3">
        <v>44159.555636574078</v>
      </c>
      <c r="D1798" s="1" t="s">
        <v>3596</v>
      </c>
      <c r="E1798" s="4" t="str">
        <f ca="1">IFERROR(__xludf.DUMMYFUNCTION("GOOGLETRANSLATE(A1798 , ""tr"" , ""en"")"),"What the difficulty you know what the distance, you proudly carried the torch of science even in the process of challenging pandemia. I'm celebrating Teachers' Day of our valued teachers with all my heart. https://t.co/zweyyxhimr")</f>
        <v>What the difficulty you know what the distance, you proudly carried the torch of science even in the process of challenging pandemia. I'm celebrating Teachers' Day of our valued teachers with all my heart. https://t.co/zweyyxhimr</v>
      </c>
    </row>
    <row r="1799" spans="1:5" ht="15.75" customHeight="1" x14ac:dyDescent="0.25">
      <c r="A1799" s="1" t="s">
        <v>3597</v>
      </c>
      <c r="B1799" s="1">
        <v>18008</v>
      </c>
      <c r="C1799" s="3">
        <v>44159.231377314813</v>
      </c>
      <c r="D1799" s="1" t="s">
        <v>3598</v>
      </c>
      <c r="E1799" s="4" t="str">
        <f ca="1">IFERROR(__xludf.DUMMYFUNCTION("GOOGLETRANSLATE(A1799 , ""tr"" , ""en"")"),"Our Ministry; 7,000 nurses will receive 12 thousand health personnel at 145 of the EB and 2,864 health technicians / technicians. Following the publication of the preferred manual will be made inextraction. In these difficult days of our fighting pandem, "&amp;"the assignments will add the power to us. https://t.co/po5Isu7bbk")</f>
        <v>Our Ministry; 7,000 nurses will receive 12 thousand health personnel at 145 of the EB and 2,864 health technicians / technicians. Following the publication of the preferred manual will be made inextraction. In these difficult days of our fighting pandem, the assignments will add the power to us. https://t.co/po5Isu7bbk</v>
      </c>
    </row>
    <row r="1800" spans="1:5" ht="15.75" customHeight="1" x14ac:dyDescent="0.25">
      <c r="A1800" s="1" t="s">
        <v>3599</v>
      </c>
      <c r="B1800" s="1">
        <v>8196</v>
      </c>
      <c r="C1800" s="3">
        <v>44158.808657407404</v>
      </c>
      <c r="D1800" s="1" t="s">
        <v>3600</v>
      </c>
      <c r="E1800" s="4" t="str">
        <f ca="1">IFERROR(__xludf.DUMMYFUNCTION("GOOGLETRANSLATE(A1800 , ""tr"" , ""en"")"),"In Sanliurfa, Ankara, Adana, Konya, Manisa, Kayseri, Sakarya, Samsun, Antalya, Diyarbakir, we have addressed the needs of our health workers in the video conference meetings we have made with our health managers. The importance of your support has increas"&amp;"ed. https://t.co/yqupvqh6fc")</f>
        <v>In Sanliurfa, Ankara, Adana, Konya, Manisa, Kayseri, Sakarya, Samsun, Antalya, Diyarbakir, we have addressed the needs of our health workers in the video conference meetings we have made with our health managers. The importance of your support has increased. https://t.co/yqupvqh6fc</v>
      </c>
    </row>
    <row r="1801" spans="1:5" ht="15.75" customHeight="1" x14ac:dyDescent="0.25">
      <c r="A1801" s="1" t="s">
        <v>3601</v>
      </c>
      <c r="B1801" s="1">
        <v>6486</v>
      </c>
      <c r="C1801" s="3">
        <v>44158.779560185183</v>
      </c>
      <c r="D1801" s="1" t="s">
        <v>3602</v>
      </c>
      <c r="E1801" s="4" t="str">
        <f ca="1">IFERROR(__xludf.DUMMYFUNCTION("GOOGLETRANSLATE(A1801 , ""tr"" , ""en"")"),"Today, if we do not put the distance to our old normal, you can enter the distances that will never turn off with our loved ones tomorrow. To comply with the rules of the mask, distance and cleaning, ourselves is our conscientious responsibility against o"&amp;"ur loved ones and our country. This is the assurance of our health and social life. https://t.co/ukdu9grknk")</f>
        <v>Today, if we do not put the distance to our old normal, you can enter the distances that will never turn off with our loved ones tomorrow. To comply with the rules of the mask, distance and cleaning, ourselves is our conscientious responsibility against our loved ones and our country. This is the assurance of our health and social life. https://t.co/ukdu9grknk</v>
      </c>
    </row>
    <row r="1802" spans="1:5" ht="15.75" customHeight="1" x14ac:dyDescent="0.25">
      <c r="A1802" s="1" t="s">
        <v>3603</v>
      </c>
      <c r="B1802" s="1">
        <v>13745</v>
      </c>
      <c r="C1802" s="3">
        <v>44158.732812499999</v>
      </c>
      <c r="D1802" s="1" t="s">
        <v>3604</v>
      </c>
      <c r="E1802" s="4" t="str">
        <f ca="1">IFERROR(__xludf.DUMMYFUNCTION("GOOGLETRANSLATE(A1802 , ""tr"" , ""en"")"),"We are in a society as a society in the fight against outbreak. Only today's new patient count 6.713. Stay at home if you don't have to go out. Our struggle strength will increase as you increase your time at home. The best measure to stop the spread is y"&amp;"our home. https://t.co/z5nsu04hmd")</f>
        <v>We are in a society as a society in the fight against outbreak. Only today's new patient count 6.713. Stay at home if you don't have to go out. Our struggle strength will increase as you increase your time at home. The best measure to stop the spread is your home. https://t.co/z5nsu04hmd</v>
      </c>
    </row>
    <row r="1803" spans="1:5" ht="15.75" customHeight="1" x14ac:dyDescent="0.25">
      <c r="A1803" s="1" t="s">
        <v>3605</v>
      </c>
      <c r="B1803" s="1">
        <v>19692</v>
      </c>
      <c r="C1803" s="3">
        <v>44158.708969907406</v>
      </c>
      <c r="D1803" s="1" t="s">
        <v>3606</v>
      </c>
      <c r="E1803" s="4" t="str">
        <f ca="1">IFERROR(__xludf.DUMMYFUNCTION("GOOGLETRANSLATE(A1803 , ""tr"" , ""en"")"),"We have 6,713 new patients identified today. Provide support to continue to keep the spread of the release of the spread until the vaccine is in use. Follow the measures. Install the mask. Note the cleanliness. Do not enter into crowded environments unles"&amp;"s mandatory. https://t.co/rvlhe7786o")</f>
        <v>We have 6,713 new patients identified today. Provide support to continue to keep the spread of the release of the spread until the vaccine is in use. Follow the measures. Install the mask. Note the cleanliness. Do not enter into crowded environments unless mandatory. https://t.co/rvlhe7786o</v>
      </c>
    </row>
    <row r="1804" spans="1:5" ht="15.75" customHeight="1" x14ac:dyDescent="0.25">
      <c r="A1804" s="1" t="s">
        <v>3607</v>
      </c>
      <c r="B1804" s="1">
        <v>20737</v>
      </c>
      <c r="C1804" s="3">
        <v>44158.661817129629</v>
      </c>
      <c r="D1804" s="1" t="s">
        <v>3608</v>
      </c>
      <c r="E1804" s="4" t="str">
        <f ca="1">IFERROR(__xludf.DUMMYFUNCTION("GOOGLETRANSLATE(A1804 , ""tr"" , ""en"")"),"The COVID-19 vaccine developed at Erciyes University was carried out in 44 volunteers in the Phase-I study. No serious side effect was seen so far. The second overdose is to be made between 26 November and December 14. I'll give your beautiful news 15 vac"&amp;"cine is the candidate")</f>
        <v>The COVID-19 vaccine developed at Erciyes University was carried out in 44 volunteers in the Phase-I study. No serious side effect was seen so far. The second overdose is to be made between 26 November and December 14. I'll give your beautiful news 15 vaccine is the candidate</v>
      </c>
    </row>
    <row r="1805" spans="1:5" ht="15.75" customHeight="1" x14ac:dyDescent="0.25">
      <c r="A1805" s="1" t="s">
        <v>3609</v>
      </c>
      <c r="B1805" s="1">
        <v>9238</v>
      </c>
      <c r="C1805" s="3">
        <v>44158.553055555552</v>
      </c>
      <c r="D1805" s="1" t="s">
        <v>3610</v>
      </c>
      <c r="E1805" s="4" t="str">
        <f ca="1">IFERROR(__xludf.DUMMYFUNCTION("GOOGLETRANSLATE(A1805 , ""tr"" , ""en"")"),"We are in a society as a society in the fight against outbreak. Only yesterday's new patient count 6.017. Stay at home if you don't have to go out. Our struggle strength will increase as you increase your time at home. The best measure to stop the spread "&amp;"is your home. https://t.co/lezpje7rtw")</f>
        <v>We are in a society as a society in the fight against outbreak. Only yesterday's new patient count 6.017. Stay at home if you don't have to go out. Our struggle strength will increase as you increase your time at home. The best measure to stop the spread is your home. https://t.co/lezpje7rtw</v>
      </c>
    </row>
    <row r="1806" spans="1:5" ht="15.75" customHeight="1" x14ac:dyDescent="0.25">
      <c r="A1806" s="1" t="s">
        <v>3611</v>
      </c>
      <c r="B1806" s="1">
        <v>46318</v>
      </c>
      <c r="C1806" s="3">
        <v>44158.465115740742</v>
      </c>
      <c r="D1806" s="1" t="s">
        <v>3612</v>
      </c>
      <c r="E1806" s="4" t="str">
        <f ca="1">IFERROR(__xludf.DUMMYFUNCTION("GOOGLETRANSLATE(A1806 , ""tr"" , ""en"")"),"We are in a sacrifice exam. Don't get out of the house if you have no obligation.")</f>
        <v>We are in a sacrifice exam. Don't get out of the house if you have no obligation.</v>
      </c>
    </row>
    <row r="1807" spans="1:5" ht="15.75" customHeight="1" x14ac:dyDescent="0.25">
      <c r="A1807" s="1" t="s">
        <v>3613</v>
      </c>
      <c r="B1807" s="1">
        <v>24183</v>
      </c>
      <c r="C1807" s="3">
        <v>44157.858159722222</v>
      </c>
      <c r="D1807" s="1" t="s">
        <v>3614</v>
      </c>
      <c r="E1807" s="4" t="str">
        <f ca="1">IFERROR(__xludf.DUMMYFUNCTION("GOOGLETRANSLATE(A1807 , ""tr"" , ""en"")"),"I am thankful for Fatih Altaylı and society to join the program by plugging in our valuable scientists, mask and pay attention to the distance. https://t.co/u1ykrwvdqq")</f>
        <v>I am thankful for Fatih Altaylı and society to join the program by plugging in our valuable scientists, mask and pay attention to the distance. https://t.co/u1ykrwvdqq</v>
      </c>
    </row>
    <row r="1808" spans="1:5" ht="15.75" customHeight="1" x14ac:dyDescent="0.25">
      <c r="A1808" s="1" t="s">
        <v>3615</v>
      </c>
      <c r="B1808" s="1">
        <v>8575</v>
      </c>
      <c r="C1808" s="3">
        <v>44157.769479166665</v>
      </c>
      <c r="D1808" s="1" t="s">
        <v>3616</v>
      </c>
      <c r="E1808" s="4" t="str">
        <f ca="1">IFERROR(__xludf.DUMMYFUNCTION("GOOGLETRANSLATE(A1808 , ""tr"" , ""en"")"),"We are in a sacrifice examination in the struggle of outbreak. Only today's new patient count is over 6,000. In times of non-constraints, you are obliged to stay at home. The challenge strength will increase as we increased at home. The best measure is ou"&amp;"r house. #bishell is https://t.co/uyclrvck2r")</f>
        <v>We are in a sacrifice examination in the struggle of outbreak. Only today's new patient count is over 6,000. In times of non-constraints, you are obliged to stay at home. The challenge strength will increase as we increased at home. The best measure is our house. #bishell is https://t.co/uyclrvck2r</v>
      </c>
    </row>
    <row r="1809" spans="1:5" ht="15.75" customHeight="1" x14ac:dyDescent="0.25">
      <c r="A1809" s="1" t="s">
        <v>3617</v>
      </c>
      <c r="B1809" s="1">
        <v>7083</v>
      </c>
      <c r="C1809" s="3">
        <v>44157.751400462963</v>
      </c>
      <c r="D1809" s="1" t="s">
        <v>3618</v>
      </c>
      <c r="E1809" s="4" t="str">
        <f ca="1">IFERROR(__xludf.DUMMYFUNCTION("GOOGLETRANSLATE(A1809 , ""tr"" , ""en"")"),"We are in a sacrifice examination in the struggle of outbreak. Only today's new patient count is over 6,000. In times of non-constraints, you are obliged to stay at home. The challenge strength will increase as we increased at home. The best measure is ou"&amp;"r house. #bishet is https://t.co/pz33019w0k")</f>
        <v>We are in a sacrifice examination in the struggle of outbreak. Only today's new patient count is over 6,000. In times of non-constraints, you are obliged to stay at home. The challenge strength will increase as we increased at home. The best measure is our house. #bishet is https://t.co/pz33019w0k</v>
      </c>
    </row>
    <row r="1810" spans="1:5" ht="15.75" customHeight="1" x14ac:dyDescent="0.25">
      <c r="A1810" s="1" t="s">
        <v>3619</v>
      </c>
      <c r="B1810" s="1">
        <v>20904</v>
      </c>
      <c r="C1810" s="3">
        <v>44157.699745370373</v>
      </c>
      <c r="D1810" s="1" t="s">
        <v>3620</v>
      </c>
      <c r="E1810" s="4" t="str">
        <f ca="1">IFERROR(__xludf.DUMMYFUNCTION("GOOGLETRANSLATE(A1810 , ""tr"" , ""en"")"),"We have 6,017 patients identified today. We should obey the rules to the rules so that measures and restrictions recently give. The method of the epidemic struggle has not changed: hand cleaning, mask and distance. Let's obey the measures for our loved on"&amp;"es. https://t.co/rvlhe7786o")</f>
        <v>We have 6,017 patients identified today. We should obey the rules to the rules so that measures and restrictions recently give. The method of the epidemic struggle has not changed: hand cleaning, mask and distance. Let's obey the measures for our loved ones. https://t.co/rvlhe7786o</v>
      </c>
    </row>
    <row r="1811" spans="1:5" ht="15.75" customHeight="1" x14ac:dyDescent="0.25">
      <c r="A1811" s="1" t="s">
        <v>3621</v>
      </c>
      <c r="B1811" s="1">
        <v>12165</v>
      </c>
      <c r="C1811" s="3">
        <v>44157.59542824074</v>
      </c>
      <c r="D1811" s="1" t="s">
        <v>3622</v>
      </c>
      <c r="E1811" s="4" t="str">
        <f ca="1">IFERROR(__xludf.DUMMYFUNCTION("GOOGLETRANSLATE(A1811 , ""tr"" , ""en"")"),"November 22, World Dentists Day. Mouth dental health week if the week we are in. We are celebrating our dentists who continue to be closely interested in their patients at the expense of risk during the epidemic period. For their sacrifices, we owe gratit"&amp;"ude to them.")</f>
        <v>November 22, World Dentists Day. Mouth dental health week if the week we are in. We are celebrating our dentists who continue to be closely interested in their patients at the expense of risk during the epidemic period. For their sacrifices, we owe gratitude to them.</v>
      </c>
    </row>
    <row r="1812" spans="1:5" ht="15.75" customHeight="1" x14ac:dyDescent="0.25">
      <c r="A1812" s="1" t="s">
        <v>3623</v>
      </c>
      <c r="B1812" s="1">
        <v>6156</v>
      </c>
      <c r="C1812" s="3">
        <v>44157.48636574074</v>
      </c>
      <c r="D1812" s="1" t="s">
        <v>3624</v>
      </c>
      <c r="E1812" s="4" t="str">
        <f ca="1">IFERROR(__xludf.DUMMYFUNCTION("GOOGLETRANSLATE(A1812 , ""tr"" , ""en"")"),"Today is Sunday. With our relatives, we will benefit from technology if possible to meet with our family huge. Instead of visiting our elders, let's talk to video. Let's get together on the screen with our loved ones. Our struggle strength will increase a"&amp;"s you increase your time at home. https://t.co/frtvybbawm")</f>
        <v>Today is Sunday. With our relatives, we will benefit from technology if possible to meet with our family huge. Instead of visiting our elders, let's talk to video. Let's get together on the screen with our loved ones. Our struggle strength will increase as you increase your time at home. https://t.co/frtvybbawm</v>
      </c>
    </row>
    <row r="1813" spans="1:5" ht="15.75" customHeight="1" x14ac:dyDescent="0.25">
      <c r="A1813" s="1" t="s">
        <v>3625</v>
      </c>
      <c r="B1813" s="1">
        <v>26236</v>
      </c>
      <c r="C1813" s="3">
        <v>44157.465312499997</v>
      </c>
      <c r="D1813" s="1" t="s">
        <v>3626</v>
      </c>
      <c r="E1813" s="4" t="str">
        <f ca="1">IFERROR(__xludf.DUMMYFUNCTION("GOOGLETRANSLATE(A1813 , ""tr"" , ""en"")"),"Our struggle strength will increase as you increase your time at home.")</f>
        <v>Our struggle strength will increase as you increase your time at home.</v>
      </c>
    </row>
    <row r="1814" spans="1:5" ht="15.75" customHeight="1" x14ac:dyDescent="0.25">
      <c r="A1814" s="1" t="s">
        <v>3627</v>
      </c>
      <c r="B1814" s="1">
        <v>78259</v>
      </c>
      <c r="C1814" s="3">
        <v>44157.417812500003</v>
      </c>
      <c r="D1814" s="1" t="s">
        <v>3628</v>
      </c>
      <c r="E1814" s="4" t="str">
        <f ca="1">IFERROR(__xludf.DUMMYFUNCTION("GOOGLETRANSLATE(A1814 , ""tr"" , ""en"")"),"The best measure is our house.")</f>
        <v>The best measure is our house.</v>
      </c>
    </row>
    <row r="1815" spans="1:5" ht="15.75" customHeight="1" x14ac:dyDescent="0.25">
      <c r="A1815" s="1" t="s">
        <v>3629</v>
      </c>
      <c r="B1815" s="1">
        <v>6895</v>
      </c>
      <c r="C1815" s="3">
        <v>44156.838692129626</v>
      </c>
      <c r="D1815" s="1" t="s">
        <v>3630</v>
      </c>
      <c r="E1815" s="4" t="str">
        <f ca="1">IFERROR(__xludf.DUMMYFUNCTION("GOOGLETRANSLATE(A1815 , ""tr"" , ""en"")"),"Today, if we do not put the distance to our old normal, you can enter the distances that will never turn off with our loved ones tomorrow. To comply with the rules of the mask, distance and cleaning, ourselves is our conscientious responsibility against o"&amp;"ur loved ones and our country. This is the assurance of our health and social life. https://t.co/chqdrc3bgl")</f>
        <v>Today, if we do not put the distance to our old normal, you can enter the distances that will never turn off with our loved ones tomorrow. To comply with the rules of the mask, distance and cleaning, ourselves is our conscientious responsibility against our loved ones and our country. This is the assurance of our health and social life. https://t.co/chqdrc3bgl</v>
      </c>
    </row>
    <row r="1816" spans="1:5" ht="15.75" customHeight="1" x14ac:dyDescent="0.25">
      <c r="A1816" s="1" t="s">
        <v>3631</v>
      </c>
      <c r="B1816" s="1">
        <v>7471</v>
      </c>
      <c r="C1816" s="3">
        <v>44156.792731481481</v>
      </c>
      <c r="D1816" s="1" t="s">
        <v>3632</v>
      </c>
      <c r="E1816" s="4" t="str">
        <f ca="1">IFERROR(__xludf.DUMMYFUNCTION("GOOGLETRANSLATE(A1816 , ""tr"" , ""en"")"),"We are in a sacrifice examination in the struggle of outbreak. Our new patient number on just one day is over 5,000. In times of non-constraints, you don't have to be obliged to stay at home. Our fighting strength will increase as we increase the time at "&amp;"home. The best measure is our house. https://t.co/m3fq8n9szw")</f>
        <v>We are in a sacrifice examination in the struggle of outbreak. Our new patient number on just one day is over 5,000. In times of non-constraints, you don't have to be obliged to stay at home. Our fighting strength will increase as we increase the time at home. The best measure is our house. https://t.co/m3fq8n9szw</v>
      </c>
    </row>
    <row r="1817" spans="1:5" ht="15.75" customHeight="1" x14ac:dyDescent="0.25">
      <c r="A1817" s="1" t="s">
        <v>3633</v>
      </c>
      <c r="B1817" s="1">
        <v>7838</v>
      </c>
      <c r="C1817" s="3">
        <v>44156.779942129629</v>
      </c>
      <c r="D1817" s="1" t="s">
        <v>3634</v>
      </c>
      <c r="E1817" s="4" t="str">
        <f ca="1">IFERROR(__xludf.DUMMYFUNCTION("GOOGLETRANSLATE(A1817 , ""tr"" , ""en"")"),"We are in a sacrifice examination in the struggle of outbreak. Our new patient number on just one day is over 5,000. In times of non-constraints, you don't have to be obliged to stay at home. Our fighting strength will increase as we increase the time at "&amp;"home. The best measure is our house. https://t.co/onqfohcnjh")</f>
        <v>We are in a sacrifice examination in the struggle of outbreak. Our new patient number on just one day is over 5,000. In times of non-constraints, you don't have to be obliged to stay at home. Our fighting strength will increase as we increase the time at home. The best measure is our house. https://t.co/onqfohcnjh</v>
      </c>
    </row>
    <row r="1818" spans="1:5" ht="15.75" customHeight="1" x14ac:dyDescent="0.25">
      <c r="A1818" s="1" t="s">
        <v>3635</v>
      </c>
      <c r="B1818" s="1">
        <v>6222</v>
      </c>
      <c r="C1818" s="3">
        <v>44156.728761574072</v>
      </c>
      <c r="D1818" s="1" t="s">
        <v>3636</v>
      </c>
      <c r="E1818" s="4" t="str">
        <f ca="1">IFERROR(__xludf.DUMMYFUNCTION("GOOGLETRANSLATE(A1818 , ""tr"" , ""en"")"),"In the evaluation of Istanbul Health Administrators, we have seen our efforts begin to give results. We are in a better point with increased test numbers, filiation speed, intensive labor and measures of health workers. The increase is under control. The "&amp;"process is connected to all of us. https://t.co/niibuegevf")</f>
        <v>In the evaluation of Istanbul Health Administrators, we have seen our efforts begin to give results. We are in a better point with increased test numbers, filiation speed, intensive labor and measures of health workers. The increase is under control. The process is connected to all of us. https://t.co/niibuegevf</v>
      </c>
    </row>
    <row r="1819" spans="1:5" ht="15.75" customHeight="1" x14ac:dyDescent="0.25">
      <c r="A1819" s="1" t="s">
        <v>3637</v>
      </c>
      <c r="B1819" s="1">
        <v>21042</v>
      </c>
      <c r="C1819" s="3">
        <v>44156.707152777781</v>
      </c>
      <c r="D1819" s="1" t="s">
        <v>3638</v>
      </c>
      <c r="E1819" s="4" t="str">
        <f ca="1">IFERROR(__xludf.DUMMYFUNCTION("GOOGLETRANSLATE(A1819 , ""tr"" , ""en"")"),"The best measure is our house. Our fight against epidemics will increase as we increase the time at home. I have to be at the beginning of my work. We are waiting for photos and videos showing you are at home. #bishet is https://t.co/znapmn4r22")</f>
        <v>The best measure is our house. Our fight against epidemics will increase as we increase the time at home. I have to be at the beginning of my work. We are waiting for photos and videos showing you are at home. #bishet is https://t.co/znapmn4r22</v>
      </c>
    </row>
    <row r="1820" spans="1:5" ht="15.75" customHeight="1" x14ac:dyDescent="0.25">
      <c r="A1820" s="1" t="s">
        <v>3639</v>
      </c>
      <c r="B1820" s="1">
        <v>15259</v>
      </c>
      <c r="C1820" s="3">
        <v>44156.687118055554</v>
      </c>
      <c r="D1820" s="1" t="s">
        <v>3640</v>
      </c>
      <c r="E1820" s="4" t="str">
        <f ca="1">IFERROR(__xludf.DUMMYFUNCTION("GOOGLETRANSLATE(A1820 , ""tr"" , ""en"")"),"There are 5,532 new patients identified today. Our severe patient numbers are also lost in our losses. It is to comply with the rules and measures to reduce our losses. The power of the challenge is to be unity. Give strength. https://t.co/rvlhe7786o")</f>
        <v>There are 5,532 new patients identified today. Our severe patient numbers are also lost in our losses. It is to comply with the rules and measures to reduce our losses. The power of the challenge is to be unity. Give strength. https://t.co/rvlhe7786o</v>
      </c>
    </row>
    <row r="1821" spans="1:5" ht="15.75" customHeight="1" x14ac:dyDescent="0.25">
      <c r="A1821" s="1" t="s">
        <v>3641</v>
      </c>
      <c r="B1821" s="1">
        <v>23112</v>
      </c>
      <c r="C1821" s="3">
        <v>44156.647997685184</v>
      </c>
      <c r="D1821" s="1" t="s">
        <v>3642</v>
      </c>
      <c r="E1821" s="4" t="str">
        <f ca="1">IFERROR(__xludf.DUMMYFUNCTION("GOOGLETRANSLATE(A1821 , ""tr"" , ""en"")"),"Let's be at home at the evening 20.00. Restraint begins. Being at home is a responsibility if the opportunity to spend time at the family is against our health workers who struggle outbreaks. Our struggle strength will increase as you increase your time a"&amp;"t home.")</f>
        <v>Let's be at home at the evening 20.00. Restraint begins. Being at home is a responsibility if the opportunity to spend time at the family is against our health workers who struggle outbreaks. Our struggle strength will increase as you increase your time at home.</v>
      </c>
    </row>
    <row r="1822" spans="1:5" ht="15.75" customHeight="1" x14ac:dyDescent="0.25">
      <c r="A1822" s="1" t="s">
        <v>3643</v>
      </c>
      <c r="B1822" s="1">
        <v>20484</v>
      </c>
      <c r="C1822" s="3">
        <v>44156.511458333334</v>
      </c>
      <c r="D1822" s="1" t="s">
        <v>3644</v>
      </c>
      <c r="E1822" s="4" t="str">
        <f ca="1">IFERROR(__xludf.DUMMYFUNCTION("GOOGLETRANSLATE(A1822 , ""tr"" , ""en"")"),"The number of severe patients increased by 8 times in 4 months. Our new patient count on a day is over 5,000. Our loss of yesterday, 141. Less wound less than the struggle, we must add our own preference to compulsory measures to go out with less pain. Th"&amp;"e best measure is our house. Do not go out if you have no obligation.")</f>
        <v>The number of severe patients increased by 8 times in 4 months. Our new patient count on a day is over 5,000. Our loss of yesterday, 141. Less wound less than the struggle, we must add our own preference to compulsory measures to go out with less pain. The best measure is our house. Do not go out if you have no obligation.</v>
      </c>
    </row>
    <row r="1823" spans="1:5" ht="15.75" customHeight="1" x14ac:dyDescent="0.25">
      <c r="A1823" s="1" t="s">
        <v>3645</v>
      </c>
      <c r="B1823" s="1">
        <v>17608</v>
      </c>
      <c r="C1823" s="3">
        <v>44156.487118055556</v>
      </c>
      <c r="D1823" s="1" t="s">
        <v>3646</v>
      </c>
      <c r="E1823" s="4" t="str">
        <f ca="1">IFERROR(__xludf.DUMMYFUNCTION("GOOGLETRANSLATE(A1823 , ""tr"" , ""en"")"),"Dear young people. Instead of staying at home 13.00-16.00, if you have preferred to exit, make the rules too much to be compared to the old one. Instead of 3 hours outside, this is better for all of us if you spend less time. (Teenagers took the message. "&amp;"We will still phone and remind.)")</f>
        <v>Dear young people. Instead of staying at home 13.00-16.00, if you have preferred to exit, make the rules too much to be compared to the old one. Instead of 3 hours outside, this is better for all of us if you spend less time. (Teenagers took the message. We will still phone and remind.)</v>
      </c>
    </row>
    <row r="1824" spans="1:5" ht="15.75" customHeight="1" x14ac:dyDescent="0.25">
      <c r="A1824" s="1" t="s">
        <v>3647</v>
      </c>
      <c r="B1824" s="1">
        <v>13856</v>
      </c>
      <c r="C1824" s="3">
        <v>44156.356574074074</v>
      </c>
      <c r="D1824" s="1" t="s">
        <v>3648</v>
      </c>
      <c r="E1824" s="4" t="str">
        <f ca="1">IFERROR(__xludf.DUMMYFUNCTION("GOOGLETRANSLATE(A1824 , ""tr"" , ""en"")"),"Our valuable greater. Instead of being at home from 10.00-13.00, if you have preferred to be out, pay too much attention to the rules to be compared to the former. Outside instead of 3 hours, this is better for you if you have less time. (Let us call our "&amp;"elders, find the message.)")</f>
        <v>Our valuable greater. Instead of being at home from 10.00-13.00, if you have preferred to be out, pay too much attention to the rules to be compared to the former. Outside instead of 3 hours, this is better for you if you have less time. (Let us call our elders, find the message.)</v>
      </c>
    </row>
    <row r="1825" spans="1:5" ht="15.75" customHeight="1" x14ac:dyDescent="0.25">
      <c r="A1825" s="1" t="s">
        <v>3649</v>
      </c>
      <c r="B1825" s="1">
        <v>11143</v>
      </c>
      <c r="C1825" s="3">
        <v>44155.896354166667</v>
      </c>
      <c r="D1825" s="1" t="s">
        <v>3650</v>
      </c>
      <c r="E1825" s="4" t="str">
        <f ca="1">IFERROR(__xludf.DUMMYFUNCTION("GOOGLETRANSLATE(A1825 , ""tr"" , ""en"")"),"Our health workers give COVID-19 a real battle against. Non-interrupt! We were only 5,103 new patients yesterday. From the doctor to the nurse, the ambulance driver from the laborer, the burden of all of us became more than weighed. Please follow the rest"&amp;"rictions. To stretch out the outbreak, get to know the opportunity to us. https://t.co/f7qm68ddeDa")</f>
        <v>Our health workers give COVID-19 a real battle against. Non-interrupt! We were only 5,103 new patients yesterday. From the doctor to the nurse, the ambulance driver from the laborer, the burden of all of us became more than weighed. Please follow the restrictions. To stretch out the outbreak, get to know the opportunity to us. https://t.co/f7qm68ddeDa</v>
      </c>
    </row>
    <row r="1826" spans="1:5" ht="15.75" customHeight="1" x14ac:dyDescent="0.25">
      <c r="A1826" s="1" t="s">
        <v>3651</v>
      </c>
      <c r="B1826" s="1">
        <v>13840</v>
      </c>
      <c r="C1826" s="3">
        <v>44155.884942129633</v>
      </c>
      <c r="D1826" s="1" t="s">
        <v>3652</v>
      </c>
      <c r="E1826" s="4" t="str">
        <f ca="1">IFERROR(__xludf.DUMMYFUNCTION("GOOGLETRANSLATE(A1826 , ""tr"" , ""en"")"),"Professor Dr. We lost the ASIM cenani. In the Faculty of Cerrahpaşa, I have been in honor of being one of the students during my child diseases expertise. The pioneer was accepted in the field of genetics and medical biology. I wish himself from Allah to "&amp;"the mercy, their condolences.")</f>
        <v>Professor Dr. We lost the ASIM cenani. In the Faculty of Cerrahpaşa, I have been in honor of being one of the students during my child diseases expertise. The pioneer was accepted in the field of genetics and medical biology. I wish himself from Allah to the mercy, their condolences.</v>
      </c>
    </row>
    <row r="1827" spans="1:5" ht="15.75" customHeight="1" x14ac:dyDescent="0.25">
      <c r="A1827" s="1" t="s">
        <v>3653</v>
      </c>
      <c r="B1827" s="1">
        <v>25983</v>
      </c>
      <c r="C1827" s="3">
        <v>44155.836284722223</v>
      </c>
      <c r="D1827" s="1" t="s">
        <v>3654</v>
      </c>
      <c r="E1827" s="4" t="str">
        <f ca="1">IFERROR(__xludf.DUMMYFUNCTION("GOOGLETRANSLATE(A1827 , ""tr"" , ""en"")"),"In our country, Phase-3 studies were started in September 15, developed COVID-19 vaccine in China, was applied to the first voluntary health workers. For the continuation of the studies, we have announced that we were looking for volunteer from you this m"&amp;"orning. We have received 20 thousand applications before the day is over. Thank thousands on behalf of 83 million.")</f>
        <v>In our country, Phase-3 studies were started in September 15, developed COVID-19 vaccine in China, was applied to the first voluntary health workers. For the continuation of the studies, we have announced that we were looking for volunteer from you this morning. We have received 20 thousand applications before the day is over. Thank thousands on behalf of 83 million.</v>
      </c>
    </row>
    <row r="1828" spans="1:5" ht="15.75" customHeight="1" x14ac:dyDescent="0.25">
      <c r="A1828" s="1" t="s">
        <v>3655</v>
      </c>
      <c r="B1828" s="1">
        <v>8486</v>
      </c>
      <c r="C1828" s="3">
        <v>44155.73097222222</v>
      </c>
      <c r="D1828" s="1" t="s">
        <v>3656</v>
      </c>
      <c r="E1828" s="4" t="str">
        <f ca="1">IFERROR(__xludf.DUMMYFUNCTION("GOOGLETRANSLATE(A1828 , ""tr"" , ""en"")"),"Izmir, Bursa, Kocaeli, Gaziantep, Kahramanmaras, Denizli, Sivas Provincial Health managers, we have addressed the final status of the epidemic, the results expected of new restrictions, additional measures. We reviewed our patient burden and filion work. "&amp;"https://t.co/o4tqvxrmbs")</f>
        <v>Izmir, Bursa, Kocaeli, Gaziantep, Kahramanmaras, Denizli, Sivas Provincial Health managers, we have addressed the final status of the epidemic, the results expected of new restrictions, additional measures. We reviewed our patient burden and filion work. https://t.co/o4tqvxrmbs</v>
      </c>
    </row>
    <row r="1829" spans="1:5" ht="15.75" customHeight="1" x14ac:dyDescent="0.25">
      <c r="A1829" s="1" t="s">
        <v>3657</v>
      </c>
      <c r="B1829" s="1">
        <v>6335</v>
      </c>
      <c r="C1829" s="3">
        <v>44155.710057870368</v>
      </c>
      <c r="D1829" s="1" t="s">
        <v>3658</v>
      </c>
      <c r="E1829" s="4" t="str">
        <f ca="1">IFERROR(__xludf.DUMMYFUNCTION("GOOGLETRANSLATE(A1829 , ""tr"" , ""en"")"),"Today, if we do not put the distance to our old normal, you can enter the distances that will never turn off with our loved ones tomorrow. To comply with the rules of the mask, distance and cleaning, ourselves is our conscientious responsibility against o"&amp;"ur loved ones and our country. This is the assurance of our health and social life. https://t.co/2op8DVIQi1")</f>
        <v>Today, if we do not put the distance to our old normal, you can enter the distances that will never turn off with our loved ones tomorrow. To comply with the rules of the mask, distance and cleaning, ourselves is our conscientious responsibility against our loved ones and our country. This is the assurance of our health and social life. https://t.co/2op8DVIQi1</v>
      </c>
    </row>
    <row r="1830" spans="1:5" ht="15.75" customHeight="1" x14ac:dyDescent="0.25">
      <c r="A1830" s="1" t="s">
        <v>3659</v>
      </c>
      <c r="B1830" s="1">
        <v>15343</v>
      </c>
      <c r="C1830" s="3">
        <v>44155.679722222223</v>
      </c>
      <c r="D1830" s="1" t="s">
        <v>3660</v>
      </c>
      <c r="E1830" s="4" t="str">
        <f ca="1">IFERROR(__xludf.DUMMYFUNCTION("GOOGLETRANSLATE(A1830 , ""tr"" , ""en"")"),"We have 5,103 new patients identified today. Our severe patient count approached 4,000. We had to apply restrictions in the fight against the outbreak. In accordance with measures, we will be easier to fight if we put our own restrictions. Give power http"&amp;"s://t.co/rvlhe7786o")</f>
        <v>We have 5,103 new patients identified today. Our severe patient count approached 4,000. We had to apply restrictions in the fight against the outbreak. In accordance with measures, we will be easier to fight if we put our own restrictions. Give power https://t.co/rvlhe7786o</v>
      </c>
    </row>
    <row r="1831" spans="1:5" ht="15.75" customHeight="1" x14ac:dyDescent="0.25">
      <c r="A1831" s="1" t="s">
        <v>3661</v>
      </c>
      <c r="B1831" s="1">
        <v>38410</v>
      </c>
      <c r="C1831" s="3">
        <v>44155.62599537037</v>
      </c>
      <c r="D1831" s="1" t="s">
        <v>3662</v>
      </c>
      <c r="E1831" s="4" t="str">
        <f ca="1">IFERROR(__xludf.DUMMYFUNCTION("GOOGLETRANSLATE(A1831 , ""tr"" , ""en"")"),"The weekend curfew restriction starts tomorrow. Sunday at 20.00 Sunday by 10.00 in the morning. On Sunday until 05.00 Monday Monday at the evening. We expect you to support for compulsory measures with voluntary measures. If you put additional restraints "&amp;"on yourself we will be glad.")</f>
        <v>The weekend curfew restriction starts tomorrow. Sunday at 20.00 Sunday by 10.00 in the morning. On Sunday until 05.00 Monday Monday at the evening. We expect you to support for compulsory measures with voluntary measures. If you put additional restraints on yourself we will be glad.</v>
      </c>
    </row>
    <row r="1832" spans="1:5" ht="15.75" customHeight="1" x14ac:dyDescent="0.25">
      <c r="A1832" s="1" t="s">
        <v>3663</v>
      </c>
      <c r="B1832" s="1">
        <v>11890</v>
      </c>
      <c r="C1832" s="3">
        <v>44155.482858796298</v>
      </c>
      <c r="D1832" s="1" t="s">
        <v>3664</v>
      </c>
      <c r="E1832" s="4" t="str">
        <f ca="1">IFERROR(__xludf.DUMMYFUNCTION("GOOGLETRANSLATE(A1832 , ""tr"" , ""en"")"),"Why are the big ones? The ages 65 and older will be able to go on the street between only 10.00-13.00 for a while. ""Why not everyone, the big ones?"" In advanced ages, our body resistance against the disease is decreasing. Restraint is not against you, a"&amp;"gainst the virus. Help us protect you.")</f>
        <v>Why are the big ones? The ages 65 and older will be able to go on the street between only 10.00-13.00 for a while. "Why not everyone, the big ones?" In advanced ages, our body resistance against the disease is decreasing. Restraint is not against you, against the virus. Help us protect you.</v>
      </c>
    </row>
    <row r="1833" spans="1:5" ht="15.75" customHeight="1" x14ac:dyDescent="0.25">
      <c r="A1833" s="1" t="s">
        <v>3665</v>
      </c>
      <c r="B1833" s="1">
        <v>11581</v>
      </c>
      <c r="C1833" s="3">
        <v>44155.467013888891</v>
      </c>
      <c r="D1833" s="1" t="s">
        <v>3666</v>
      </c>
      <c r="E1833" s="4" t="str">
        <f ca="1">IFERROR(__xludf.DUMMYFUNCTION("GOOGLETRANSLATE(A1833 , ""tr"" , ""en"")"),"Our valuable greater. Nowadays we have been hard to protect our health. COVID-19, it is spreading as we met. We have to reduce social mobility. Restrictions will start at 20.00 o'clock. 65 years of age or older, only 10.00-13.00 can be on the street. If t"&amp;"hey are less, we will be glad.")</f>
        <v>Our valuable greater. Nowadays we have been hard to protect our health. COVID-19, it is spreading as we met. We have to reduce social mobility. Restrictions will start at 20.00 o'clock. 65 years of age or older, only 10.00-13.00 can be on the street. If they are less, we will be glad.</v>
      </c>
    </row>
    <row r="1834" spans="1:5" ht="15.75" customHeight="1" x14ac:dyDescent="0.25">
      <c r="A1834" s="1" t="s">
        <v>3667</v>
      </c>
      <c r="B1834" s="1">
        <v>22662</v>
      </c>
      <c r="C1834" s="3">
        <v>44155.386990740742</v>
      </c>
      <c r="D1834" s="1" t="s">
        <v>3668</v>
      </c>
      <c r="E1834" s="4" t="str">
        <f ca="1">IFERROR(__xludf.DUMMYFUNCTION("GOOGLETRANSLATE(A1834 , ""tr"" , ""en"")"),"Why are young people? Young people will be on the street for a while, only 13.00-16.00 hours. ""Why not everyone, we are young people?"" Although you notice the virus is very high in the potential of transmission and spread over young people. Against this"&amp;", we need your sacrifice a lot.")</f>
        <v>Why are young people? Young people will be on the street for a while, only 13.00-16.00 hours. "Why not everyone, we are young people?" Although you notice the virus is very high in the potential of transmission and spread over young people. Against this, we need your sacrifice a lot.</v>
      </c>
    </row>
    <row r="1835" spans="1:5" ht="15.75" customHeight="1" x14ac:dyDescent="0.25">
      <c r="A1835" s="1" t="s">
        <v>3669</v>
      </c>
      <c r="B1835" s="1">
        <v>21843</v>
      </c>
      <c r="C1835" s="3">
        <v>44155.366620370369</v>
      </c>
      <c r="D1835" s="1" t="s">
        <v>3670</v>
      </c>
      <c r="E1835" s="4" t="str">
        <f ca="1">IFERROR(__xludf.DUMMYFUNCTION("GOOGLETRANSLATE(A1835 , ""tr"" , ""en"")"),"Dear young people. It is also hard to live the youth these days. COVID-19 is spreading as mobility increases. We have to reduce social mobility. Restrictions will start at 20.00 o'clock. Born in 2001 and later, only 13.00-16.00 will be available to the st"&amp;"reet. If they are less, we will be glad.")</f>
        <v>Dear young people. It is also hard to live the youth these days. COVID-19 is spreading as mobility increases. We have to reduce social mobility. Restrictions will start at 20.00 o'clock. Born in 2001 and later, only 13.00-16.00 will be available to the street. If they are less, we will be glad.</v>
      </c>
    </row>
    <row r="1836" spans="1:5" ht="15.75" customHeight="1" x14ac:dyDescent="0.25">
      <c r="A1836" s="1" t="s">
        <v>3671</v>
      </c>
      <c r="B1836" s="1">
        <v>11939</v>
      </c>
      <c r="C1836" s="3">
        <v>44154.908194444448</v>
      </c>
      <c r="D1836" s="1" t="s">
        <v>3672</v>
      </c>
      <c r="E1836" s="4" t="str">
        <f ca="1">IFERROR(__xludf.DUMMYFUNCTION("GOOGLETRANSLATE(A1836 , ""tr"" , ""en"")"),"The Minister my friend Pekcan Hanımendi's precious mother passed away. We were closely following the status at Basaksehir Pine and Sakura City Hospital. I am conducting the decentry from Allah to the Rahmet, Persarian House, the condolences to their relat"&amp;"ives and loves. Rest in peace.")</f>
        <v>The Minister my friend Pekcan Hanımendi's precious mother passed away. We were closely following the status at Basaksehir Pine and Sakura City Hospital. I am conducting the decentry from Allah to the Rahmet, Persarian House, the condolences to their relatives and loves. Rest in peace.</v>
      </c>
    </row>
    <row r="1837" spans="1:5" ht="15.75" customHeight="1" x14ac:dyDescent="0.25">
      <c r="A1837" s="1" t="s">
        <v>3673</v>
      </c>
      <c r="B1837" s="1">
        <v>8243</v>
      </c>
      <c r="C1837" s="3">
        <v>44154.76935185185</v>
      </c>
      <c r="D1837" s="1" t="s">
        <v>3674</v>
      </c>
      <c r="E1837" s="4" t="str">
        <f ca="1">IFERROR(__xludf.DUMMYFUNCTION("GOOGLETRANSLATE(A1837 , ""tr"" , ""en"")"),"Today, if we do not put the distance to our old normal, you can enter the distances that will never turn off with our loved ones tomorrow. To comply with the rules of the mask, distance and cleaning, ourselves is our conscientious responsibility against o"&amp;"ur loved ones and our country. This is the assurance of our health and social life. https://t.co/m2c6tffaji")</f>
        <v>Today, if we do not put the distance to our old normal, you can enter the distances that will never turn off with our loved ones tomorrow. To comply with the rules of the mask, distance and cleaning, ourselves is our conscientious responsibility against our loved ones and our country. This is the assurance of our health and social life. https://t.co/m2c6tffaji</v>
      </c>
    </row>
    <row r="1838" spans="1:5" ht="15.75" customHeight="1" x14ac:dyDescent="0.25">
      <c r="A1838" s="1" t="s">
        <v>3675</v>
      </c>
      <c r="B1838" s="1">
        <v>16330</v>
      </c>
      <c r="C1838" s="3">
        <v>44154.679976851854</v>
      </c>
      <c r="D1838" s="1" t="s">
        <v>3676</v>
      </c>
      <c r="E1838" s="4" t="str">
        <f ca="1">IFERROR(__xludf.DUMMYFUNCTION("GOOGLETRANSLATE(A1838 , ""tr"" , ""en"")"),"We have 4,542 patients identified today. Our severe patient count has reached 3.850. If we take measures ourselves, we do not oblige to compulsory restrictions. If we do not translate the course of the outbreak there may be compulsory measures in all area"&amp;"s of our lives. Join the challenge. https://t.co/rvlhe7786o")</f>
        <v>We have 4,542 patients identified today. Our severe patient count has reached 3.850. If we take measures ourselves, we do not oblige to compulsory restrictions. If we do not translate the course of the outbreak there may be compulsory measures in all areas of our lives. Join the challenge. https://t.co/rvlhe7786o</v>
      </c>
    </row>
    <row r="1839" spans="1:5" ht="15.75" customHeight="1" x14ac:dyDescent="0.25">
      <c r="A1839" s="1" t="s">
        <v>3677</v>
      </c>
      <c r="B1839" s="1">
        <v>34621</v>
      </c>
      <c r="C1839" s="3">
        <v>44154.624421296299</v>
      </c>
      <c r="D1839" s="1" t="s">
        <v>3678</v>
      </c>
      <c r="E1839" s="4" t="str">
        <f ca="1">IFERROR(__xludf.DUMMYFUNCTION("GOOGLETRANSLATE(A1839 , ""tr"" , ""en"")"),"Let's add voluntary measures to compulsory measures. Let's have more time at home.")</f>
        <v>Let's add voluntary measures to compulsory measures. Let's have more time at home.</v>
      </c>
    </row>
    <row r="1840" spans="1:5" ht="15.75" customHeight="1" x14ac:dyDescent="0.2">
      <c r="A1840" s="5" t="s">
        <v>3679</v>
      </c>
      <c r="B1840" s="1">
        <v>9383</v>
      </c>
      <c r="C1840" s="3">
        <v>44154.584155092591</v>
      </c>
      <c r="D1840" s="1" t="s">
        <v>3680</v>
      </c>
      <c r="E1840" s="6" t="str">
        <f ca="1">IFERROR(__xludf.DUMMYFUNCTION("GOOGLETRANSLATE(A1840 , ""tr"" , ""en"")"),"https://t.co/2txwyhb67h")</f>
        <v>https://t.co/2txwyhb67h</v>
      </c>
    </row>
    <row r="1841" spans="1:5" ht="15.75" customHeight="1" x14ac:dyDescent="0.25">
      <c r="A1841" s="1" t="s">
        <v>3681</v>
      </c>
      <c r="B1841" s="1">
        <v>16980</v>
      </c>
      <c r="C1841" s="3">
        <v>44154.416481481479</v>
      </c>
      <c r="D1841" s="1" t="s">
        <v>3682</v>
      </c>
      <c r="E1841" s="4" t="str">
        <f ca="1">IFERROR(__xludf.DUMMYFUNCTION("GOOGLETRANSLATE(A1841 , ""tr"" , ""en"")"),"Mandatory measures against the epidemic are in our life again. The purpose of compulsory measures is to reduce the spread of the disease and the burden of hospitals. Let's support the purpose of the measures voluntarily. Let's reduce mobility. Let's stay "&amp;"in our house as much as possible.")</f>
        <v>Mandatory measures against the epidemic are in our life again. The purpose of compulsory measures is to reduce the spread of the disease and the burden of hospitals. Let's support the purpose of the measures voluntarily. Let's reduce mobility. Let's stay in our house as much as possible.</v>
      </c>
    </row>
    <row r="1842" spans="1:5" ht="15.75" customHeight="1" x14ac:dyDescent="0.25">
      <c r="A1842" s="1" t="s">
        <v>3683</v>
      </c>
      <c r="B1842" s="1">
        <v>10567</v>
      </c>
      <c r="C1842" s="3">
        <v>44153.86613425926</v>
      </c>
      <c r="D1842" s="1" t="s">
        <v>3684</v>
      </c>
      <c r="E1842" s="4" t="str">
        <f ca="1">IFERROR(__xludf.DUMMYFUNCTION("GOOGLETRANSLATE(A1842 , ""tr"" , ""en"")"),"Within the scope of epidemic measures, smoking was banned in the crowded street and the streets. We believe that the prohibition is to be complied with. Smoking leads to countless diseases. The drinking is also objectionable as it facilitates the infectio"&amp;"n of the virus. Do not remove your mask for cigarettes. https://t.co/IC2x4chba8")</f>
        <v>Within the scope of epidemic measures, smoking was banned in the crowded street and the streets. We believe that the prohibition is to be complied with. Smoking leads to countless diseases. The drinking is also objectionable as it facilitates the infection of the virus. Do not remove your mask for cigarettes. https://t.co/IC2x4chba8</v>
      </c>
    </row>
    <row r="1843" spans="1:5" ht="15.75" customHeight="1" x14ac:dyDescent="0.25">
      <c r="A1843" s="1" t="s">
        <v>3685</v>
      </c>
      <c r="B1843" s="1">
        <v>18378</v>
      </c>
      <c r="C1843" s="3">
        <v>44153.667731481481</v>
      </c>
      <c r="D1843" s="1" t="s">
        <v>3686</v>
      </c>
      <c r="E1843" s="4" t="str">
        <f ca="1">IFERROR(__xludf.DUMMYFUNCTION("GOOGLETRANSLATE(A1843 , ""tr"" , ""en"")"),"There are 4,215 patients identified today. The increase in severe patients continues. The emissation of the virus obliges us to take compulsory measures. We must move together to stop the spread of the disease. Give the struggle to combat the measures tog"&amp;"ether. https://t.co/rvlhe7oIYM")</f>
        <v>There are 4,215 patients identified today. The increase in severe patients continues. The emissation of the virus obliges us to take compulsory measures. We must move together to stop the spread of the disease. Give the struggle to combat the measures together. https://t.co/rvlhe7oIYM</v>
      </c>
    </row>
    <row r="1844" spans="1:5" ht="15.75" customHeight="1" x14ac:dyDescent="0.25">
      <c r="A1844" s="1" t="s">
        <v>3687</v>
      </c>
      <c r="B1844" s="1">
        <v>32926</v>
      </c>
      <c r="C1844" s="3">
        <v>44153.626446759263</v>
      </c>
      <c r="D1844" s="1" t="s">
        <v>3688</v>
      </c>
      <c r="E1844" s="4" t="str">
        <f ca="1">IFERROR(__xludf.DUMMYFUNCTION("GOOGLETRANSLATE(A1844 , ""tr"" , ""en"")"),"If a single mask could be calculated to reduce the patient numbers, it would not remain in the mask. With the mask, we protect ourselves both ourselves.")</f>
        <v>If a single mask could be calculated to reduce the patient numbers, it would not remain in the mask. With the mask, we protect ourselves both ourselves.</v>
      </c>
    </row>
    <row r="1845" spans="1:5" ht="15.75" customHeight="1" x14ac:dyDescent="0.2">
      <c r="A1845" s="5" t="s">
        <v>3689</v>
      </c>
      <c r="B1845" s="1">
        <v>7494</v>
      </c>
      <c r="C1845" s="3">
        <v>44153.586030092592</v>
      </c>
      <c r="D1845" s="1" t="s">
        <v>3690</v>
      </c>
      <c r="E1845" s="6" t="str">
        <f ca="1">IFERROR(__xludf.DUMMYFUNCTION("GOOGLETRANSLATE(A1845 , ""tr"" , ""en"")"),"https://t.co/urihdxlrnt")</f>
        <v>https://t.co/urihdxlrnt</v>
      </c>
    </row>
    <row r="1846" spans="1:5" ht="15.75" customHeight="1" x14ac:dyDescent="0.2">
      <c r="A1846" s="5" t="s">
        <v>3691</v>
      </c>
      <c r="B1846" s="1">
        <v>7328</v>
      </c>
      <c r="C1846" s="3">
        <v>44153.585868055554</v>
      </c>
      <c r="D1846" s="1" t="s">
        <v>3692</v>
      </c>
      <c r="E1846" s="6" t="str">
        <f ca="1">IFERROR(__xludf.DUMMYFUNCTION("GOOGLETRANSLATE(A1846 , ""tr"" , ""en"")"),"https://t.co/guyzk0apum")</f>
        <v>https://t.co/guyzk0apum</v>
      </c>
    </row>
    <row r="1847" spans="1:5" ht="15.75" customHeight="1" x14ac:dyDescent="0.2">
      <c r="A1847" s="5" t="s">
        <v>3693</v>
      </c>
      <c r="B1847" s="1">
        <v>14077</v>
      </c>
      <c r="C1847" s="3">
        <v>44153.585717592592</v>
      </c>
      <c r="D1847" s="1" t="s">
        <v>3694</v>
      </c>
      <c r="E1847" s="6" t="str">
        <f ca="1">IFERROR(__xludf.DUMMYFUNCTION("GOOGLETRANSLATE(A1847 , ""tr"" , ""en"")"),"https://t.co/7mjj9uln0b")</f>
        <v>https://t.co/7mjj9uln0b</v>
      </c>
    </row>
    <row r="1848" spans="1:5" ht="15.75" customHeight="1" x14ac:dyDescent="0.25">
      <c r="A1848" s="1" t="s">
        <v>3695</v>
      </c>
      <c r="B1848" s="1">
        <v>8137</v>
      </c>
      <c r="C1848" s="3">
        <v>44153.423946759256</v>
      </c>
      <c r="D1848" s="1" t="s">
        <v>3696</v>
      </c>
      <c r="E1848" s="4" t="str">
        <f ca="1">IFERROR(__xludf.DUMMYFUNCTION("GOOGLETRANSLATE(A1848 , ""tr"" , ""en"")"),"2021 The TBMM Plan and Budget Commission is a presentation with my team at the Budget Presentation Meeting. We started the presentation meeting with sharing information with the members of the commissioners, ongoing and planned investments. https://t.co/s"&amp;"iiuyxtzjz")</f>
        <v>2021 The TBMM Plan and Budget Commission is a presentation with my team at the Budget Presentation Meeting. We started the presentation meeting with sharing information with the members of the commissioners, ongoing and planned investments. https://t.co/siiuyxtzjz</v>
      </c>
    </row>
    <row r="1849" spans="1:5" ht="15.75" customHeight="1" x14ac:dyDescent="0.25">
      <c r="A1849" s="1" t="s">
        <v>3697</v>
      </c>
      <c r="B1849" s="1">
        <v>22595</v>
      </c>
      <c r="C1849" s="3">
        <v>44152.727592592593</v>
      </c>
      <c r="D1849" s="1" t="s">
        <v>3698</v>
      </c>
      <c r="E1849" s="4" t="str">
        <f ca="1">IFERROR(__xludf.DUMMYFUNCTION("GOOGLETRANSLATE(A1849 , ""tr"" , ""en"")"),"We have 3,819 patients identified today. The critical actors of the struggle are our health workers. We have to keep our most critical fighters strong. Complying with measures is a necessity for all of us. Display your health that you are next to our army"&amp;". Give strength to the challenge. https://t.co/rvlhe7786o")</f>
        <v>We have 3,819 patients identified today. The critical actors of the struggle are our health workers. We have to keep our most critical fighters strong. Complying with measures is a necessity for all of us. Display your health that you are next to our army. Give strength to the challenge. https://t.co/rvlhe7786o</v>
      </c>
    </row>
    <row r="1850" spans="1:5" ht="15.75" customHeight="1" x14ac:dyDescent="0.25">
      <c r="A1850" s="1" t="s">
        <v>3699</v>
      </c>
      <c r="B1850" s="1">
        <v>0</v>
      </c>
      <c r="C1850" s="3">
        <v>44152.689733796295</v>
      </c>
      <c r="D1850" s="1" t="s">
        <v>3700</v>
      </c>
      <c r="E1850" s="4" t="str">
        <f ca="1">IFERROR(__xludf.DUMMYFUNCTION("GOOGLETRANSLATE(A1850 , ""tr"" , ""en"")"),"RT @rterdogan: Shouting Nation After Cabinet Meeting HTTPS://T.CO/3OBRCBL3ZS")</f>
        <v>RT @rterdogan: Shouting Nation After Cabinet Meeting HTTPS://T.CO/3OBRCBL3ZS</v>
      </c>
    </row>
    <row r="1851" spans="1:5" ht="15.75" customHeight="1" x14ac:dyDescent="0.25">
      <c r="A1851" s="1" t="s">
        <v>3701</v>
      </c>
      <c r="B1851" s="1">
        <v>13035</v>
      </c>
      <c r="C1851" s="3">
        <v>44151.666990740741</v>
      </c>
      <c r="D1851" s="1" t="s">
        <v>3702</v>
      </c>
      <c r="E1851" s="4" t="str">
        <f ca="1">IFERROR(__xludf.DUMMYFUNCTION("GOOGLETRANSLATE(A1851 , ""tr"" , ""en"")"),"We have 3,316 new patients identified today. Our severe patient count increased to 3.610. Complying with measures is the most important weapon of this struggle to act together. Responsibility to comply with the measures belongs to all of us. Power to figh"&amp;"t against measures together. https://t.co/rvlhe7786o")</f>
        <v>We have 3,316 new patients identified today. Our severe patient count increased to 3.610. Complying with measures is the most important weapon of this struggle to act together. Responsibility to comply with the measures belongs to all of us. Power to fight against measures together. https://t.co/rvlhe7786o</v>
      </c>
    </row>
    <row r="1852" spans="1:5" ht="15.75" customHeight="1" x14ac:dyDescent="0.25">
      <c r="A1852" s="1" t="s">
        <v>3703</v>
      </c>
      <c r="B1852" s="1">
        <v>27745</v>
      </c>
      <c r="C1852" s="3">
        <v>44151.63790509259</v>
      </c>
      <c r="D1852" s="1" t="s">
        <v>3704</v>
      </c>
      <c r="E1852" s="4" t="str">
        <f ca="1">IFERROR(__xludf.DUMMYFUNCTION("GOOGLETRANSLATE(A1852 , ""tr"" , ""en"")"),"Let's facilitate the conditions by complying with the measures. Measure is better than restraint. If you are adopted!")</f>
        <v>Let's facilitate the conditions by complying with the measures. Measure is better than restraint. If you are adopted!</v>
      </c>
    </row>
    <row r="1853" spans="1:5" ht="15.75" customHeight="1" x14ac:dyDescent="0.25">
      <c r="A1853" s="1" t="s">
        <v>3705</v>
      </c>
      <c r="B1853" s="1">
        <v>45637</v>
      </c>
      <c r="C1853" s="3">
        <v>44151.616956018515</v>
      </c>
      <c r="D1853" s="1" t="s">
        <v>3706</v>
      </c>
      <c r="E1853" s="4" t="str">
        <f ca="1">IFERROR(__xludf.DUMMYFUNCTION("GOOGLETRANSLATE(A1853 , ""tr"" , ""en"")"),"Let's fully close the transmission paths of the virus.")</f>
        <v>Let's fully close the transmission paths of the virus.</v>
      </c>
    </row>
    <row r="1854" spans="1:5" ht="15.75" customHeight="1" x14ac:dyDescent="0.25">
      <c r="A1854" s="1" t="s">
        <v>3707</v>
      </c>
      <c r="B1854" s="1">
        <v>8433</v>
      </c>
      <c r="C1854" s="3">
        <v>44151.553368055553</v>
      </c>
      <c r="D1854" s="1" t="s">
        <v>3708</v>
      </c>
      <c r="E1854" s="4" t="str">
        <f ca="1">IFERROR(__xludf.DUMMYFUNCTION("GOOGLETRANSLATE(A1854 , ""tr"" , ""en"")"),"Get support from technology to discuss with your friends. DO NOT take risks in the same setting. Face-to-face negotiations are also able to do with the computer as well. Remember: COVID-19 young, not separating the elder. https://t.co/6jq7qc89el")</f>
        <v>Get support from technology to discuss with your friends. DO NOT take risks in the same setting. Face-to-face negotiations are also able to do with the computer as well. Remember: COVID-19 young, not separating the elder. https://t.co/6jq7qc89el</v>
      </c>
    </row>
    <row r="1855" spans="1:5" ht="15.75" customHeight="1" x14ac:dyDescent="0.25">
      <c r="A1855" s="1" t="s">
        <v>3709</v>
      </c>
      <c r="B1855" s="1">
        <v>6018</v>
      </c>
      <c r="C1855" s="3">
        <v>44151.500115740739</v>
      </c>
      <c r="D1855" s="1" t="s">
        <v>3710</v>
      </c>
      <c r="E1855" s="4" t="str">
        <f ca="1">IFERROR(__xludf.DUMMYFUNCTION("GOOGLETRANSLATE(A1855 , ""tr"" , ""en"")"),"The protection of the mask depends on the completely shutdown of the mouth and nose. Direct contact with air should be prevented. For example, if the nose is left on, it is possible to intensively expose the virus. The disease becomes heavy as the virus l"&amp;"oad increases. Take full advantage of your mask. Cut the front of the disease. https://t.co/6yoohmlu75")</f>
        <v>The protection of the mask depends on the completely shutdown of the mouth and nose. Direct contact with air should be prevented. For example, if the nose is left on, it is possible to intensively expose the virus. The disease becomes heavy as the virus load increases. Take full advantage of your mask. Cut the front of the disease. https://t.co/6yoohmlu75</v>
      </c>
    </row>
    <row r="1856" spans="1:5" ht="15.75" customHeight="1" x14ac:dyDescent="0.25">
      <c r="A1856" s="1" t="s">
        <v>3711</v>
      </c>
      <c r="B1856" s="1">
        <v>5642</v>
      </c>
      <c r="C1856" s="3">
        <v>44151.459641203706</v>
      </c>
      <c r="D1856" s="1" t="s">
        <v>3712</v>
      </c>
      <c r="E1856" s="4" t="str">
        <f ca="1">IFERROR(__xludf.DUMMYFUNCTION("GOOGLETRANSLATE(A1856 , ""tr"" , ""en"")"),"Take advantage of technology if possible for your meetings. Do not share the same medium except for the people that you do not know whether it is taking risks on recent days. Remember: COVID-19 uses every opportunity to spread. https://t.co/k4huwey164")</f>
        <v>Take advantage of technology if possible for your meetings. Do not share the same medium except for the people that you do not know whether it is taking risks on recent days. Remember: COVID-19 uses every opportunity to spread. https://t.co/k4huwey164</v>
      </c>
    </row>
    <row r="1857" spans="1:5" ht="15.75" customHeight="1" x14ac:dyDescent="0.25">
      <c r="A1857" s="1" t="s">
        <v>3713</v>
      </c>
      <c r="B1857" s="1">
        <v>7607</v>
      </c>
      <c r="C1857" s="3">
        <v>44151.419733796298</v>
      </c>
      <c r="D1857" s="1" t="s">
        <v>3714</v>
      </c>
      <c r="E1857" s="4" t="str">
        <f ca="1">IFERROR(__xludf.DUMMYFUNCTION("GOOGLETRANSLATE(A1857 , ""tr"" , ""en"")"),"The protection of the mask depends on the completely shutdown of the mouth and nose. Direct contact with air should be prevented. For example, if the nose is left on, it is possible to intensively expose the virus. The disease becomes heavy as the virus l"&amp;"oad increases. Take full advantage of your mask. Cut the front of the disease. https://t.co/ZIIHGLDJPW")</f>
        <v>The protection of the mask depends on the completely shutdown of the mouth and nose. Direct contact with air should be prevented. For example, if the nose is left on, it is possible to intensively expose the virus. The disease becomes heavy as the virus load increases. Take full advantage of your mask. Cut the front of the disease. https://t.co/ZIIHGLDJPW</v>
      </c>
    </row>
    <row r="1858" spans="1:5" ht="15.75" customHeight="1" x14ac:dyDescent="0.25">
      <c r="A1858" s="1" t="s">
        <v>3715</v>
      </c>
      <c r="B1858" s="1">
        <v>9066</v>
      </c>
      <c r="C1858" s="3">
        <v>44151.333993055552</v>
      </c>
      <c r="D1858" s="1" t="s">
        <v>3716</v>
      </c>
      <c r="E1858" s="4" t="str">
        <f ca="1">IFERROR(__xludf.DUMMYFUNCTION("GOOGLETRANSLATE(A1858 , ""tr"" , ""en"")"),"The downloaded mask to the bottom of the nose does not have a difference from half-cut mask. If you wear your mask on your nose, you have used one half. The coronavirus is more than the mouth, it is infected by breathing and breathing. Use your mask to pr"&amp;"otect you. https://t.co/3jnp5qi72p")</f>
        <v>The downloaded mask to the bottom of the nose does not have a difference from half-cut mask. If you wear your mask on your nose, you have used one half. The coronavirus is more than the mouth, it is infected by breathing and breathing. Use your mask to protect you. https://t.co/3jnp5qi72p</v>
      </c>
    </row>
    <row r="1859" spans="1:5" ht="15.75" customHeight="1" x14ac:dyDescent="0.25">
      <c r="A1859" s="1" t="s">
        <v>3717</v>
      </c>
      <c r="B1859" s="1">
        <v>8993</v>
      </c>
      <c r="C1859" s="3">
        <v>44150.908171296294</v>
      </c>
      <c r="D1859" s="1" t="s">
        <v>3718</v>
      </c>
      <c r="E1859" s="4" t="str">
        <f ca="1">IFERROR(__xludf.DUMMYFUNCTION("GOOGLETRANSLATE(A1859 , ""tr"" , ""en"")"),"The Nicosia Emergency Hospital opened to the service has 100 bed capacity, 6 operating rooms, 6 views, 64 single bedrooms, 24 intensive care and 12 emergency beds. Get auspicious to the Turkish Cyprus Turks in the 37th organization of the TRNC. https://t."&amp;"co/awvja7a4BI")</f>
        <v>The Nicosia Emergency Hospital opened to the service has 100 bed capacity, 6 operating rooms, 6 views, 64 single bedrooms, 24 intensive care and 12 emergency beds. Get auspicious to the Turkish Cyprus Turks in the 37th organization of the TRNC. https://t.co/awvja7a4BI</v>
      </c>
    </row>
    <row r="1860" spans="1:5" ht="15.75" customHeight="1" x14ac:dyDescent="0.25">
      <c r="A1860" s="1" t="s">
        <v>3719</v>
      </c>
      <c r="B1860" s="1">
        <v>0</v>
      </c>
      <c r="C1860" s="3">
        <v>44150.816631944443</v>
      </c>
      <c r="D1860" s="1" t="s">
        <v>3720</v>
      </c>
      <c r="E1860" s="4" t="str">
        <f ca="1">IFERROR(__xludf.DUMMYFUNCTION("GOOGLETRANSLATE(A1860 , ""tr"" , ""en"")"),"RT @rterdogan: Today the North Cyprus Turkish Republic of the Turkish Republic of Nicosia Emergency Hospital, Cyprus Turkish Halı")</f>
        <v>RT @rterdogan: Today the North Cyprus Turkish Republic of the Turkish Republic of Nicosia Emergency Hospital, Cyprus Turkish Halı</v>
      </c>
    </row>
    <row r="1861" spans="1:5" ht="15.75" customHeight="1" x14ac:dyDescent="0.25">
      <c r="A1861" s="1" t="s">
        <v>3721</v>
      </c>
      <c r="B1861" s="1">
        <v>6399</v>
      </c>
      <c r="C1861" s="3">
        <v>44150.774456018517</v>
      </c>
      <c r="D1861" s="1" t="s">
        <v>3722</v>
      </c>
      <c r="E1861" s="4" t="str">
        <f ca="1">IFERROR(__xludf.DUMMYFUNCTION("GOOGLETRANSLATE(A1861 , ""tr"" , ""en"")"),"LefKosia Emergency Hospital, our President is our President. Recep Tayyip Erdogan with the President of the Turkish Republic of Northern Cyprus. Ersin Tatar's participation in the 37th anniversary of the Turkish Republic of the Turkish Republic of North C"&amp;"yprus, opened to the service today. May the Turkish Cyprus be auspicious. https://t.co/ncg8neqmau")</f>
        <v>LefKosia Emergency Hospital, our President is our President. Recep Tayyip Erdogan with the President of the Turkish Republic of Northern Cyprus. Ersin Tatar's participation in the 37th anniversary of the Turkish Republic of the Turkish Republic of North Cyprus, opened to the service today. May the Turkish Cyprus be auspicious. https://t.co/ncg8neqmau</v>
      </c>
    </row>
    <row r="1862" spans="1:5" ht="15.75" customHeight="1" x14ac:dyDescent="0.25">
      <c r="A1862" s="1" t="s">
        <v>3723</v>
      </c>
      <c r="B1862" s="1">
        <v>0</v>
      </c>
      <c r="C1862" s="3">
        <v>44150.72997685185</v>
      </c>
      <c r="D1862" s="1" t="s">
        <v>3724</v>
      </c>
      <c r="E1862" s="4" t="str">
        <f ca="1">IFERROR(__xludf.DUMMYFUNCTION("GOOGLETRANSLATE(A1862 , ""tr"" , ""en"")"),"RT @rterdogan: KKTC Nicosia Emergency Hospital Opening Ceremony https://t.co/IfobHFP4JM")</f>
        <v>RT @rterdogan: KKTC Nicosia Emergency Hospital Opening Ceremony https://t.co/IfobHFP4JM</v>
      </c>
    </row>
    <row r="1863" spans="1:5" ht="15.75" customHeight="1" x14ac:dyDescent="0.25">
      <c r="A1863" s="1" t="s">
        <v>3725</v>
      </c>
      <c r="B1863" s="1">
        <v>4061</v>
      </c>
      <c r="C1863" s="3">
        <v>44150.720636574071</v>
      </c>
      <c r="D1863" s="1" t="s">
        <v>3726</v>
      </c>
      <c r="E1863" s="4" t="str">
        <f ca="1">IFERROR(__xludf.DUMMYFUNCTION("GOOGLETRANSLATE(A1863 , ""tr"" , ""en"")"),"T.c. The Ministry of Health, TRNC Nicosia We open our Emergency Hospital to our Cyprio sisters. https://t.co/98RZMKDI0m")</f>
        <v>T.c. The Ministry of Health, TRNC Nicosia We open our Emergency Hospital to our Cyprio sisters. https://t.co/98RZMKDI0m</v>
      </c>
    </row>
    <row r="1864" spans="1:5" ht="15.75" customHeight="1" x14ac:dyDescent="0.25">
      <c r="A1864" s="1" t="s">
        <v>3727</v>
      </c>
      <c r="B1864" s="1">
        <v>8032</v>
      </c>
      <c r="C1864" s="3">
        <v>44150.718726851854</v>
      </c>
      <c r="D1864" s="1" t="s">
        <v>3728</v>
      </c>
      <c r="E1864" s="4" t="str">
        <f ca="1">IFERROR(__xludf.DUMMYFUNCTION("GOOGLETRANSLATE(A1864 , ""tr"" , ""en"")"),"We participated in the 37th anniversary celebration program of the Turkish Republic of North Cyprus and the Minister of Turkish Republic of North Cyprus and the ceremonies organized for the Republic Day 15. From 1571 Ottoman conquest, I remember our cypru"&amp;"s martyrs. https://t.co/qiptoIPVD5")</f>
        <v>We participated in the 37th anniversary celebration program of the Turkish Republic of North Cyprus and the Minister of Turkish Republic of North Cyprus and the ceremonies organized for the Republic Day 15. From 1571 Ottoman conquest, I remember our cyprus martyrs. https://t.co/qiptoIPVD5</v>
      </c>
    </row>
    <row r="1865" spans="1:5" ht="15.75" customHeight="1" x14ac:dyDescent="0.25">
      <c r="A1865" s="1" t="s">
        <v>3729</v>
      </c>
      <c r="B1865" s="1">
        <v>20596</v>
      </c>
      <c r="C1865" s="3">
        <v>44150.674884259257</v>
      </c>
      <c r="D1865" s="1" t="s">
        <v>3730</v>
      </c>
      <c r="E1865" s="4" t="str">
        <f ca="1">IFERROR(__xludf.DUMMYFUNCTION("GOOGLETRANSLATE(A1865 , ""tr"" , ""en"")"),"We have 3,223 new patients identified today. Our losses are close to 100 per day. The power of our health workers also has a limit to the capacity of health lower structures. Power to fight against measures. https://t.co/rvlhe7786o")</f>
        <v>We have 3,223 new patients identified today. Our losses are close to 100 per day. The power of our health workers also has a limit to the capacity of health lower structures. Power to fight against measures. https://t.co/rvlhe7786o</v>
      </c>
    </row>
    <row r="1866" spans="1:5" ht="15.75" customHeight="1" x14ac:dyDescent="0.25">
      <c r="A1866" s="1" t="s">
        <v>3731</v>
      </c>
      <c r="B1866" s="1">
        <v>9788</v>
      </c>
      <c r="C1866" s="3">
        <v>44150.505995370368</v>
      </c>
      <c r="D1866" s="1" t="s">
        <v>3732</v>
      </c>
      <c r="E1866" s="4" t="str">
        <f ca="1">IFERROR(__xludf.DUMMYFUNCTION("GOOGLETRANSLATE(A1866 , ""tr"" , ""en"")"),"Normally the solution is this: mask + social distance. Do you think it is better to comply with the rules and keep the layout of life close to the normal? Let's review our preference. https://t.co/kyxQI9lnux")</f>
        <v>Normally the solution is this: mask + social distance. Do you think it is better to comply with the rules and keep the layout of life close to the normal? Let's review our preference. https://t.co/kyxQI9lnux</v>
      </c>
    </row>
    <row r="1867" spans="1:5" ht="15.75" customHeight="1" x14ac:dyDescent="0.25">
      <c r="A1867" s="1" t="s">
        <v>3733</v>
      </c>
      <c r="B1867" s="1">
        <v>5279</v>
      </c>
      <c r="C1867" s="3">
        <v>44150.459861111114</v>
      </c>
      <c r="D1867" s="1" t="s">
        <v>3734</v>
      </c>
      <c r="E1867" s="4" t="str">
        <f ca="1">IFERROR(__xludf.DUMMYFUNCTION("GOOGLETRANSLATE(A1867 , ""tr"" , ""en"")"),"Let's get help from technology to protect our loved ones from risk. Face-to-face interview is also possible by phone. Instead of visiting our elders, we often call. Even if it is not an interview, maybe both pass through a visit. Remember: The big ones al"&amp;"ways appreciate the wake up the rules. https://t.co/bc3ajb9cxw")</f>
        <v>Let's get help from technology to protect our loved ones from risk. Face-to-face interview is also possible by phone. Instead of visiting our elders, we often call. Even if it is not an interview, maybe both pass through a visit. Remember: The big ones always appreciate the wake up the rules. https://t.co/bc3ajb9cxw</v>
      </c>
    </row>
    <row r="1868" spans="1:5" ht="15.75" customHeight="1" x14ac:dyDescent="0.25">
      <c r="A1868" s="1" t="s">
        <v>3735</v>
      </c>
      <c r="B1868" s="1">
        <v>13049</v>
      </c>
      <c r="C1868" s="3">
        <v>44150.408425925925</v>
      </c>
      <c r="D1868" s="1" t="s">
        <v>3736</v>
      </c>
      <c r="E1868" s="4" t="str">
        <f ca="1">IFERROR(__xludf.DUMMYFUNCTION("GOOGLETRANSLATE(A1868 , ""tr"" , ""en"")"),"Today is Sunday. Spend time with your family in your home. Do not risk at the spaces you will share with others. If you don't have a necessity of this! Against the risk of increasing COVID-19, the only place where the rules are invalid. Thank you very muc"&amp;"h to those who say our free market. https://t.co/ua14xqtkxs")</f>
        <v>Today is Sunday. Spend time with your family in your home. Do not risk at the spaces you will share with others. If you don't have a necessity of this! Against the risk of increasing COVID-19, the only place where the rules are invalid. Thank you very much to those who say our free market. https://t.co/ua14xqtkxs</v>
      </c>
    </row>
    <row r="1869" spans="1:5" ht="15.75" customHeight="1" x14ac:dyDescent="0.25">
      <c r="A1869" s="1" t="s">
        <v>3737</v>
      </c>
      <c r="B1869" s="1">
        <v>7536</v>
      </c>
      <c r="C1869" s="3">
        <v>44150.348252314812</v>
      </c>
      <c r="D1869" s="1" t="s">
        <v>3738</v>
      </c>
      <c r="E1869" s="4" t="str">
        <f ca="1">IFERROR(__xludf.DUMMYFUNCTION("GOOGLETRANSLATE(A1869 , ""tr"" , ""en"")"),"The protection of the mask depends on the completely shutdown of the mouth and nose. Direct contact with air should be prevented. For example, if the nose is left on, it is possible to intensively expose the virus. The disease becomes heavy as the virus l"&amp;"oad increases. Take full advantage of your mask. Cut the front of the disease. https://t.co/tceoagd3jo")</f>
        <v>The protection of the mask depends on the completely shutdown of the mouth and nose. Direct contact with air should be prevented. For example, if the nose is left on, it is possible to intensively expose the virus. The disease becomes heavy as the virus load increases. Take full advantage of your mask. Cut the front of the disease. https://t.co/tceoagd3jo</v>
      </c>
    </row>
    <row r="1870" spans="1:5" ht="15.75" customHeight="1" x14ac:dyDescent="0.25">
      <c r="A1870" s="1" t="s">
        <v>3739</v>
      </c>
      <c r="B1870" s="1">
        <v>8700</v>
      </c>
      <c r="C1870" s="3">
        <v>44150.34039351852</v>
      </c>
      <c r="D1870" s="1" t="s">
        <v>3740</v>
      </c>
      <c r="E1870" s="4" t="str">
        <f ca="1">IFERROR(__xludf.DUMMYFUNCTION("GOOGLETRANSLATE(A1870 , ""tr"" , ""en"")"),"The downloaded mask to the bottom of the nose does not have a difference from half-cut mask. If you wear your mask on your nose, you have used one half. The coronavirus is more than the mouth, it is infected by breathing and breathing. Use your mask to pr"&amp;"otect you. https://t.co/wqlvdfjolr")</f>
        <v>The downloaded mask to the bottom of the nose does not have a difference from half-cut mask. If you wear your mask on your nose, you have used one half. The coronavirus is more than the mouth, it is infected by breathing and breathing. Use your mask to protect you. https://t.co/wqlvdfjolr</v>
      </c>
    </row>
    <row r="1871" spans="1:5" ht="15.75" customHeight="1" x14ac:dyDescent="0.25">
      <c r="A1871" s="1" t="s">
        <v>3741</v>
      </c>
      <c r="B1871" s="1">
        <v>6284</v>
      </c>
      <c r="C1871" s="3">
        <v>44149.80400462963</v>
      </c>
      <c r="D1871" s="1" t="s">
        <v>3742</v>
      </c>
      <c r="E1871" s="4" t="str">
        <f ca="1">IFERROR(__xludf.DUMMYFUNCTION("GOOGLETRANSLATE(A1871 , ""tr"" , ""en"")"),"Let's get help from technology to protect our loved ones from risk. Face-to-face interview is also possible by phone. Instead of visiting our elders, we often call. Even if it is not an interview, maybe both pass through a visit. Remember: The big ones al"&amp;"ways appreciate the wake up the rules. https://t.co/coknp6hdmj")</f>
        <v>Let's get help from technology to protect our loved ones from risk. Face-to-face interview is also possible by phone. Instead of visiting our elders, we often call. Even if it is not an interview, maybe both pass through a visit. Remember: The big ones always appreciate the wake up the rules. https://t.co/coknp6hdmj</v>
      </c>
    </row>
    <row r="1872" spans="1:5" ht="15.75" customHeight="1" x14ac:dyDescent="0.25">
      <c r="A1872" s="1" t="s">
        <v>3743</v>
      </c>
      <c r="B1872" s="1">
        <v>6723</v>
      </c>
      <c r="C1872" s="3">
        <v>44149.803437499999</v>
      </c>
      <c r="D1872" s="1" t="s">
        <v>3744</v>
      </c>
      <c r="E1872" s="4" t="str">
        <f ca="1">IFERROR(__xludf.DUMMYFUNCTION("GOOGLETRANSLATE(A1872 , ""tr"" , ""en"")"),"Let's get help from technology to protect our loved ones from risk. Face-to-face interview is also possible by phone. Instead of visiting our elders, we often call. Even if it is not an interview, maybe both pass through a visit. Remember: The big ones al"&amp;"ways appreciate the wake up the rules. https://t.co/eqhmcmrh5n")</f>
        <v>Let's get help from technology to protect our loved ones from risk. Face-to-face interview is also possible by phone. Instead of visiting our elders, we often call. Even if it is not an interview, maybe both pass through a visit. Remember: The big ones always appreciate the wake up the rules. https://t.co/eqhmcmrh5n</v>
      </c>
    </row>
    <row r="1873" spans="1:5" ht="15.75" customHeight="1" x14ac:dyDescent="0.25">
      <c r="A1873" s="1" t="s">
        <v>3745</v>
      </c>
      <c r="B1873" s="1">
        <v>19135</v>
      </c>
      <c r="C1873" s="3">
        <v>44149.783020833333</v>
      </c>
      <c r="D1873" s="1" t="s">
        <v>3746</v>
      </c>
      <c r="E1873" s="4" t="str">
        <f ca="1">IFERROR(__xludf.DUMMYFUNCTION("GOOGLETRANSLATE(A1873 , ""tr"" , ""en"")"),"Tomorrow is Sunday. Spend time with your family in your home. Do not risk at the spaces you will share with others. If you don't have a necessity of this! Against the risk of increasing COVID-19, the only place where the rules are invalid. Thank you very "&amp;"much more than this evening to spend the day at home. https://t.co/rn5amenI5f")</f>
        <v>Tomorrow is Sunday. Spend time with your family in your home. Do not risk at the spaces you will share with others. If you don't have a necessity of this! Against the risk of increasing COVID-19, the only place where the rules are invalid. Thank you very much more than this evening to spend the day at home. https://t.co/rn5amenI5f</v>
      </c>
    </row>
    <row r="1874" spans="1:5" ht="15.75" customHeight="1" x14ac:dyDescent="0.25">
      <c r="A1874" s="1" t="s">
        <v>3747</v>
      </c>
      <c r="B1874" s="1">
        <v>19371</v>
      </c>
      <c r="C1874" s="3">
        <v>44149.762604166666</v>
      </c>
      <c r="D1874" s="1" t="s">
        <v>3748</v>
      </c>
      <c r="E1874" s="4" t="str">
        <f ca="1">IFERROR(__xludf.DUMMYFUNCTION("GOOGLETRANSLATE(A1874 , ""tr"" , ""en"")"),"A new one of the violence against health workers has been experienced last night in the University Faculty of Medicine in Cebeci Hospital. The aggressors were relatives of a patient removed to the child intensive care service. They will account in court. "&amp;"But there will be no response to their children.")</f>
        <v>A new one of the violence against health workers has been experienced last night in the University Faculty of Medicine in Cebeci Hospital. The aggressors were relatives of a patient removed to the child intensive care service. They will account in court. But there will be no response to their children.</v>
      </c>
    </row>
    <row r="1875" spans="1:5" ht="15.75" customHeight="1" x14ac:dyDescent="0.25">
      <c r="A1875" s="1" t="s">
        <v>3749</v>
      </c>
      <c r="B1875" s="1">
        <v>8070</v>
      </c>
      <c r="C1875" s="3">
        <v>44149.717418981483</v>
      </c>
      <c r="D1875" s="1" t="s">
        <v>3750</v>
      </c>
      <c r="E1875" s="4" t="str">
        <f ca="1">IFERROR(__xludf.DUMMYFUNCTION("GOOGLETRANSLATE(A1875 , ""tr"" , ""en"")"),"Last Status meeting in Istanbul: At the meeting in Basakşehir Pine and Sakura City Hospital, in the meeting with the participation of the provincial health managers and the participation of ventures, we addressed our increasing patient load, contact track"&amp;"ing, inevitably visible measures and new strategy. https://t.co/osbt95ktsp")</f>
        <v>Last Status meeting in Istanbul: At the meeting in Basakşehir Pine and Sakura City Hospital, in the meeting with the participation of the provincial health managers and the participation of ventures, we addressed our increasing patient load, contact tracking, inevitably visible measures and new strategy. https://t.co/osbt95ktsp</v>
      </c>
    </row>
    <row r="1876" spans="1:5" ht="15.75" customHeight="1" x14ac:dyDescent="0.25">
      <c r="A1876" s="1" t="s">
        <v>3751</v>
      </c>
      <c r="B1876" s="1">
        <v>15964</v>
      </c>
      <c r="C1876" s="3">
        <v>44149.673495370371</v>
      </c>
      <c r="D1876" s="1" t="s">
        <v>3752</v>
      </c>
      <c r="E1876" s="4" t="str">
        <f ca="1">IFERROR(__xludf.DUMMYFUNCTION("GOOGLETRANSLATE(A1876 , ""tr"" , ""en"")"),"We have 3,116 new patients identified today. Our severe patient count is increasing. The load on the shoulder of our hospital load and health workers is increasing. We have to comply with the measures to keep the current patient burden on the portable lev"&amp;"el. The troop is strength to struggle. https://t.co/rvlhe7786o")</f>
        <v>We have 3,116 new patients identified today. Our severe patient count is increasing. The load on the shoulder of our hospital load and health workers is increasing. We have to comply with the measures to keep the current patient burden on the portable level. The troop is strength to struggle. https://t.co/rvlhe7786o</v>
      </c>
    </row>
    <row r="1877" spans="1:5" ht="15.75" customHeight="1" x14ac:dyDescent="0.25">
      <c r="A1877" s="1" t="s">
        <v>3753</v>
      </c>
      <c r="B1877" s="1">
        <v>6967</v>
      </c>
      <c r="C1877" s="3">
        <v>44149.615706018521</v>
      </c>
      <c r="D1877" s="1" t="s">
        <v>3754</v>
      </c>
      <c r="E1877" s="4" t="str">
        <f ca="1">IFERROR(__xludf.DUMMYFUNCTION("GOOGLETRANSLATE(A1877 , ""tr"" , ""en"")"),"The protection of the mask depends on the completely shutdown of the mouth and nose. Direct contact with air should be prevented. For example, if the nose is left on, it is possible to intensively expose the virus. The disease becomes heavy as the virus l"&amp;"oad increases. Full injury from your mask. Cut the front of the disease. https://t.co/e3f5tljzas")</f>
        <v>The protection of the mask depends on the completely shutdown of the mouth and nose. Direct contact with air should be prevented. For example, if the nose is left on, it is possible to intensively expose the virus. The disease becomes heavy as the virus load increases. Full injury from your mask. Cut the front of the disease. https://t.co/e3f5tljzas</v>
      </c>
    </row>
    <row r="1878" spans="1:5" ht="15.75" customHeight="1" x14ac:dyDescent="0.25">
      <c r="A1878" s="1" t="s">
        <v>3755</v>
      </c>
      <c r="B1878" s="1">
        <v>8013</v>
      </c>
      <c r="C1878" s="3">
        <v>44149.615219907406</v>
      </c>
      <c r="D1878" s="1" t="s">
        <v>3756</v>
      </c>
      <c r="E1878" s="4" t="str">
        <f ca="1">IFERROR(__xludf.DUMMYFUNCTION("GOOGLETRANSLATE(A1878 , ""tr"" , ""en"")"),"The protection of the mask depends on the completely shutdown of the mouth and nose. Direct contact with air should be prevented. For example, if the nose is left on, it is possible to intensively expose the virus. The disease becomes heavy as the virus l"&amp;"oad increases. Full injury from your mask. Cut the front of the disease. https://t.co/jvudmf8cyc")</f>
        <v>The protection of the mask depends on the completely shutdown of the mouth and nose. Direct contact with air should be prevented. For example, if the nose is left on, it is possible to intensively expose the virus. The disease becomes heavy as the virus load increases. Full injury from your mask. Cut the front of the disease. https://t.co/jvudmf8cyc</v>
      </c>
    </row>
    <row r="1879" spans="1:5" ht="15.75" customHeight="1" x14ac:dyDescent="0.25">
      <c r="A1879" s="1" t="s">
        <v>3757</v>
      </c>
      <c r="B1879" s="1">
        <v>10364</v>
      </c>
      <c r="C1879" s="3">
        <v>44149.380787037036</v>
      </c>
      <c r="D1879" s="1" t="s">
        <v>3758</v>
      </c>
      <c r="E1879" s="4" t="str">
        <f ca="1">IFERROR(__xludf.DUMMYFUNCTION("GOOGLETRANSLATE(A1879 , ""tr"" , ""en"")"),"The downloaded mask to the bottom of the nose does not have a difference from half-cut mask. If you wear your mask on your nose, you have used one half. The coronavirus is more than the mouth, it is infected by breathing and breathing. Use your mask to pr"&amp;"otect you. https://t.co/143ht7wmg7")</f>
        <v>The downloaded mask to the bottom of the nose does not have a difference from half-cut mask. If you wear your mask on your nose, you have used one half. The coronavirus is more than the mouth, it is infected by breathing and breathing. Use your mask to protect you. https://t.co/143ht7wmg7</v>
      </c>
    </row>
    <row r="1880" spans="1:5" ht="15.75" customHeight="1" x14ac:dyDescent="0.25">
      <c r="A1880" s="1" t="s">
        <v>3759</v>
      </c>
      <c r="B1880" s="1">
        <v>6033</v>
      </c>
      <c r="C1880" s="3">
        <v>44149.362129629626</v>
      </c>
      <c r="D1880" s="1" t="s">
        <v>3760</v>
      </c>
      <c r="E1880" s="4" t="str">
        <f ca="1">IFERROR(__xludf.DUMMYFUNCTION("GOOGLETRANSLATE(A1880 , ""tr"" , ""en"")"),"Tekirdağ is not the Tekirdag on Nov. 12! Dr. Ismail Fehmi Cumalıoğlu City Hospital opened in November 13th. Our hospital with high bed and intensive care capacity will be a turning point in health services for the provinces of Tekirdağ and Environment. Be"&amp;" once again auspicious. https://t.co/smyapms95s")</f>
        <v>Tekirdağ is not the Tekirdag on Nov. 12! Dr. Ismail Fehmi Cumalıoğlu City Hospital opened in November 13th. Our hospital with high bed and intensive care capacity will be a turning point in health services for the provinces of Tekirdağ and Environment. Be once again auspicious. https://t.co/smyapms95s</v>
      </c>
    </row>
    <row r="1881" spans="1:5" ht="15.75" customHeight="1" x14ac:dyDescent="0.25">
      <c r="A1881" s="1" t="s">
        <v>3761</v>
      </c>
      <c r="B1881" s="1">
        <v>9982</v>
      </c>
      <c r="C1881" s="3">
        <v>44148.832986111112</v>
      </c>
      <c r="D1881" s="1" t="s">
        <v>3762</v>
      </c>
      <c r="E1881" s="4" t="str">
        <f ca="1">IFERROR(__xludf.DUMMYFUNCTION("GOOGLETRANSLATE(A1881 , ""tr"" , ""en"")"),"Today, if we do not put the distance to our old normal, you can enter the distances that will never turn off with our loved ones tomorrow. To comply with the rules of the mask, distance and cleaning, ourselves is our conscientious responsibility against o"&amp;"ur loved ones and our country. This is the assurance of our health and social life. https://t.co/pghyhmdsrz")</f>
        <v>Today, if we do not put the distance to our old normal, you can enter the distances that will never turn off with our loved ones tomorrow. To comply with the rules of the mask, distance and cleaning, ourselves is our conscientious responsibility against our loved ones and our country. This is the assurance of our health and social life. https://t.co/pghyhmdsrz</v>
      </c>
    </row>
    <row r="1882" spans="1:5" ht="15.75" customHeight="1" x14ac:dyDescent="0.25">
      <c r="A1882" s="1" t="s">
        <v>3763</v>
      </c>
      <c r="B1882" s="1">
        <v>8770</v>
      </c>
      <c r="C1882" s="3">
        <v>44148.790532407409</v>
      </c>
      <c r="D1882" s="1" t="s">
        <v>3764</v>
      </c>
      <c r="E1882" s="4" t="str">
        <f ca="1">IFERROR(__xludf.DUMMYFUNCTION("GOOGLETRANSLATE(A1882 , ""tr"" , ""en"")"),"Today, if we do not put the distance to our old normal, you can enter the distances that will never turn off with our loved ones tomorrow. To comply with the rules of the mask, distance and cleaning, ourselves is our conscientious responsibility against o"&amp;"ur loved ones and our country. This is the assurance of our health and social life. https://t.co/qls9seuxvy")</f>
        <v>Today, if we do not put the distance to our old normal, you can enter the distances that will never turn off with our loved ones tomorrow. To comply with the rules of the mask, distance and cleaning, ourselves is our conscientious responsibility against our loved ones and our country. This is the assurance of our health and social life. https://t.co/qls9seuxvy</v>
      </c>
    </row>
    <row r="1883" spans="1:5" ht="15.75" customHeight="1" x14ac:dyDescent="0.25">
      <c r="A1883" s="1" t="s">
        <v>3765</v>
      </c>
      <c r="B1883" s="1">
        <v>23145</v>
      </c>
      <c r="C1883" s="3">
        <v>44148.687789351854</v>
      </c>
      <c r="D1883" s="1" t="s">
        <v>3766</v>
      </c>
      <c r="E1883" s="4" t="str">
        <f ca="1">IFERROR(__xludf.DUMMYFUNCTION("GOOGLETRANSLATE(A1883 , ""tr"" , ""en"")"),"The new number of patients identified today is more than 3,000. Our severe patients are also increasing our losses. Most important tool that reduces the virus load. Power to fight against measures. https://t.co/rvlhe7786o")</f>
        <v>The new number of patients identified today is more than 3,000. Our severe patients are also increasing our losses. Most important tool that reduces the virus load. Power to fight against measures. https://t.co/rvlhe7786o</v>
      </c>
    </row>
    <row r="1884" spans="1:5" ht="15.75" customHeight="1" x14ac:dyDescent="0.25">
      <c r="A1884" s="1" t="s">
        <v>3767</v>
      </c>
      <c r="B1884" s="1">
        <v>8089</v>
      </c>
      <c r="C1884" s="3">
        <v>44148.594513888886</v>
      </c>
      <c r="D1884" s="1" t="s">
        <v>3768</v>
      </c>
      <c r="E1884" s="4" t="str">
        <f ca="1">IFERROR(__xludf.DUMMYFUNCTION("GOOGLETRANSLATE(A1884 , ""tr"" , ""en"")"),"Tekirdag Dr. Ismail Fehmi Cumalioğlu City Hospital opened. Hospital with high bed and intensive care capacity was strengthened with seismic insulators against the risk of earthquake. With the Tekirdag with qualified human resources and modern sub-structur"&amp;"e, it will also serve our surroundings. https://t.co/ncuucdij4v")</f>
        <v>Tekirdag Dr. Ismail Fehmi Cumalioğlu City Hospital opened. Hospital with high bed and intensive care capacity was strengthened with seismic insulators against the risk of earthquake. With the Tekirdag with qualified human resources and modern sub-structure, it will also serve our surroundings. https://t.co/ncuucdij4v</v>
      </c>
    </row>
    <row r="1885" spans="1:5" ht="15.75" customHeight="1" x14ac:dyDescent="0.25">
      <c r="A1885" s="1" t="s">
        <v>3769</v>
      </c>
      <c r="B1885" s="1">
        <v>0</v>
      </c>
      <c r="C1885" s="3">
        <v>44148.577268518522</v>
      </c>
      <c r="D1885" s="1" t="s">
        <v>3770</v>
      </c>
      <c r="E1885" s="4" t="str">
        <f ca="1">IFERROR(__xludf.DUMMYFUNCTION("GOOGLETRANSLATE(A1885 , ""tr"" , ""en"")"),"RT @rterdogan: Tekirdag İsmail Fehmi Cumalioğlu City Hospital, a giant health facility to serve Trakya region, the opening of our hospital ...")</f>
        <v>RT @rterdogan: Tekirdag İsmail Fehmi Cumalioğlu City Hospital, a giant health facility to serve Trakya region, the opening of our hospital ...</v>
      </c>
    </row>
    <row r="1886" spans="1:5" ht="15.75" customHeight="1" x14ac:dyDescent="0.25">
      <c r="A1886" s="1" t="s">
        <v>3771</v>
      </c>
      <c r="B1886" s="1">
        <v>19588</v>
      </c>
      <c r="C1886" s="3">
        <v>44148.378865740742</v>
      </c>
      <c r="D1886" s="1" t="s">
        <v>3772</v>
      </c>
      <c r="E1886" s="4" t="str">
        <f ca="1">IFERROR(__xludf.DUMMYFUNCTION("GOOGLETRANSLATE(A1886 , ""tr"" , ""en"")"),"We missed the days we freely breathe. Mask will have recently been out of our lives. COVID-19 There are great progress in vaccination studies. Let's wait for the result. Apart from our house, let's fit our mask in accordance with our mask everywhere we ar"&amp;"e with others. For your patience: Right. https://t.co/g7aoqbpqhz")</f>
        <v>We missed the days we freely breathe. Mask will have recently been out of our lives. COVID-19 There are great progress in vaccination studies. Let's wait for the result. Apart from our house, let's fit our mask in accordance with our mask everywhere we are with others. For your patience: Right. https://t.co/g7aoqbpqhz</v>
      </c>
    </row>
    <row r="1887" spans="1:5" ht="15.75" customHeight="1" x14ac:dyDescent="0.25">
      <c r="A1887" s="1" t="s">
        <v>3773</v>
      </c>
      <c r="B1887" s="1">
        <v>34184</v>
      </c>
      <c r="C1887" s="3">
        <v>44148.295162037037</v>
      </c>
      <c r="D1887" s="1" t="s">
        <v>3774</v>
      </c>
      <c r="E1887" s="4" t="str">
        <f ca="1">IFERROR(__xludf.DUMMYFUNCTION("GOOGLETRANSLATE(A1887 , ""tr"" , ""en"")"),"We missed the days we freely breathe. Mask will have recently been out of our lives. COVID-19 There are great progress in vaccination studies. Let's wait for the result. Apart from our house, let's fit our mask in accordance with our mask everywhere we ar"&amp;"e with others. For your patience: Right. https://t.co/wbzuyj8enc")</f>
        <v>We missed the days we freely breathe. Mask will have recently been out of our lives. COVID-19 There are great progress in vaccination studies. Let's wait for the result. Apart from our house, let's fit our mask in accordance with our mask everywhere we are with others. For your patience: Right. https://t.co/wbzuyj8enc</v>
      </c>
    </row>
    <row r="1888" spans="1:5" ht="15.75" customHeight="1" x14ac:dyDescent="0.25">
      <c r="A1888" s="1" t="s">
        <v>3775</v>
      </c>
      <c r="B1888" s="1">
        <v>7511</v>
      </c>
      <c r="C1888" s="3">
        <v>44147.832060185188</v>
      </c>
      <c r="D1888" s="1" t="s">
        <v>3776</v>
      </c>
      <c r="E1888" s="4" t="str">
        <f ca="1">IFERROR(__xludf.DUMMYFUNCTION("GOOGLETRANSLATE(A1888 , ""tr"" , ""en"")"),"Today, if we do not put the distance to our old normal, you can enter the distances that will never turn off with our loved ones tomorrow. To comply with the rules of the mask, distance and cleaning, ourselves is our conscientious responsibility against o"&amp;"ur loved ones and our country. This is the assurance of our health and social life. https://t.co/7w3yobtpje")</f>
        <v>Today, if we do not put the distance to our old normal, you can enter the distances that will never turn off with our loved ones tomorrow. To comply with the rules of the mask, distance and cleaning, ourselves is our conscientious responsibility against our loved ones and our country. This is the assurance of our health and social life. https://t.co/7w3yobtpje</v>
      </c>
    </row>
    <row r="1889" spans="1:5" ht="15.75" customHeight="1" x14ac:dyDescent="0.25">
      <c r="A1889" s="1" t="s">
        <v>3777</v>
      </c>
      <c r="B1889" s="1">
        <v>7720</v>
      </c>
      <c r="C1889" s="3">
        <v>44147.783726851849</v>
      </c>
      <c r="D1889" s="1" t="s">
        <v>3778</v>
      </c>
      <c r="E1889" s="4" t="str">
        <f ca="1">IFERROR(__xludf.DUMMYFUNCTION("GOOGLETRANSLATE(A1889 , ""tr"" , ""en"")"),"Today, if we do not put the distance to our old normal, you can enter the distances that will never turn off with our loved ones tomorrow. To comply with the rules of the mask, distance and cleaning, ourselves is our conscientious responsibility against o"&amp;"ur loved ones and our country. This is the assurance of our health and social life. https://t.co/d5ss18ndduo")</f>
        <v>Today, if we do not put the distance to our old normal, you can enter the distances that will never turn off with our loved ones tomorrow. To comply with the rules of the mask, distance and cleaning, ourselves is our conscientious responsibility against our loved ones and our country. This is the assurance of our health and social life. https://t.co/d5ss18ndduo</v>
      </c>
    </row>
    <row r="1890" spans="1:5" ht="15.75" customHeight="1" x14ac:dyDescent="0.25">
      <c r="A1890" s="1" t="s">
        <v>3779</v>
      </c>
      <c r="B1890" s="1">
        <v>11677</v>
      </c>
      <c r="C1890" s="3">
        <v>44147.755127314813</v>
      </c>
      <c r="D1890" s="1" t="s">
        <v>3780</v>
      </c>
      <c r="E1890" s="4" t="str">
        <f ca="1">IFERROR(__xludf.DUMMYFUNCTION("GOOGLETRANSLATE(A1890 , ""tr"" , ""en"")"),"The pneumonious lungs are filled with inflammatory liquid. Choronavirus, including virus, bacteria, rarely occurs as a result of reaching the lungs of fungal-origin infections. Pneumonia is contagious, can lead to death. Freely breathe and know the value "&amp;"of healthy life. https://t.co/ejnqe2iyua")</f>
        <v>The pneumonious lungs are filled with inflammatory liquid. Choronavirus, including virus, bacteria, rarely occurs as a result of reaching the lungs of fungal-origin infections. Pneumonia is contagious, can lead to death. Freely breathe and know the value of healthy life. https://t.co/ejnqe2iyua</v>
      </c>
    </row>
    <row r="1891" spans="1:5" ht="15.75" customHeight="1" x14ac:dyDescent="0.25">
      <c r="A1891" s="1" t="s">
        <v>3781</v>
      </c>
      <c r="B1891" s="1">
        <v>12361</v>
      </c>
      <c r="C1891" s="3">
        <v>44147.732222222221</v>
      </c>
      <c r="D1891" s="1" t="s">
        <v>3782</v>
      </c>
      <c r="E1891" s="4" t="str">
        <f ca="1">IFERROR(__xludf.DUMMYFUNCTION("GOOGLETRANSLATE(A1891 , ""tr"" , ""en"")"),"Tekirdag City Hospital is opening tomorrow. Opening, sec. Will take place with the participation of our president. Our hospital with high bed and intensive care capacity was strengthened with seismic insulators against the risk of earthquake. The second p"&amp;"hase will turn into a giant health campus of 158,000 m². https://t.co/hkncmzcuhs")</f>
        <v>Tekirdag City Hospital is opening tomorrow. Opening, sec. Will take place with the participation of our president. Our hospital with high bed and intensive care capacity was strengthened with seismic insulators against the risk of earthquake. The second phase will turn into a giant health campus of 158,000 m². https://t.co/hkncmzcuhs</v>
      </c>
    </row>
    <row r="1892" spans="1:5" ht="15.75" customHeight="1" x14ac:dyDescent="0.25">
      <c r="A1892" s="1" t="s">
        <v>3783</v>
      </c>
      <c r="B1892" s="1">
        <v>15104</v>
      </c>
      <c r="C1892" s="3">
        <v>44147.689687500002</v>
      </c>
      <c r="D1892" s="1" t="s">
        <v>3784</v>
      </c>
      <c r="E1892" s="4" t="str">
        <f ca="1">IFERROR(__xludf.DUMMYFUNCTION("GOOGLETRANSLATE(A1892 , ""tr"" , ""en"")"),"We have 2,841 new patients identified today. The increase in severe patients continues. It is to comply with measures by reducing mobility and contact to reduce the increasing patients. Let's drop the burden of virus with mask. https://t.co/rvlhe7786o")</f>
        <v>We have 2,841 new patients identified today. The increase in severe patients continues. It is to comply with measures by reducing mobility and contact to reduce the increasing patients. Let's drop the burden of virus with mask. https://t.co/rvlhe7786o</v>
      </c>
    </row>
    <row r="1893" spans="1:5" ht="15.75" customHeight="1" x14ac:dyDescent="0.25">
      <c r="A1893" s="1" t="s">
        <v>3785</v>
      </c>
      <c r="B1893" s="1">
        <v>29467</v>
      </c>
      <c r="C1893" s="3">
        <v>44147.615439814814</v>
      </c>
      <c r="D1893" s="1" t="s">
        <v>3786</v>
      </c>
      <c r="E1893" s="4" t="str">
        <f ca="1">IFERROR(__xludf.DUMMYFUNCTION("GOOGLETRANSLATE(A1893 , ""tr"" , ""en"")"),"PROF. Dr. I made a phone call with Uğur Sahin. Professor Hawk has developed a vaccine that arises interest in COVID-19 against COVID-19, in Biontech, in Germany, Özlem Tereci. We addressed this development in the interview. We were in communication in the"&amp;" process as the Ministry. https://t.co/fobsnzfdnb")</f>
        <v>PROF. Dr. I made a phone call with Uğur Sahin. Professor Hawk has developed a vaccine that arises interest in COVID-19 against COVID-19, in Biontech, in Germany, Özlem Tereci. We addressed this development in the interview. We were in communication in the process as the Ministry. https://t.co/fobsnzfdnb</v>
      </c>
    </row>
    <row r="1894" spans="1:5" ht="15.75" customHeight="1" x14ac:dyDescent="0.25">
      <c r="A1894" s="1" t="s">
        <v>3787</v>
      </c>
      <c r="B1894" s="1">
        <v>5006</v>
      </c>
      <c r="C1894" s="3">
        <v>44146.794768518521</v>
      </c>
      <c r="D1894" s="1" t="s">
        <v>3788</v>
      </c>
      <c r="E1894" s="4" t="str">
        <f ca="1">IFERROR(__xludf.DUMMYFUNCTION("GOOGLETRANSLATE(A1894 , ""tr"" , ""en"")"),"We have joined the HIMSS 20 Eurasia Health Cognition and Technologies Conference to the opening of the video conference method. In our conversation, we stood on the medical technology that our greatest advantage in which the world combined together with t"&amp;"he medical technology we accessed. https://t.co/vrpsyrlc8p")</f>
        <v>We have joined the HIMSS 20 Eurasia Health Cognition and Technologies Conference to the opening of the video conference method. In our conversation, we stood on the medical technology that our greatest advantage in which the world combined together with the medical technology we accessed. https://t.co/vrpsyrlc8p</v>
      </c>
    </row>
    <row r="1895" spans="1:5" ht="15.75" customHeight="1" x14ac:dyDescent="0.25">
      <c r="A1895" s="1" t="s">
        <v>3789</v>
      </c>
      <c r="B1895" s="1">
        <v>8695</v>
      </c>
      <c r="C1895" s="3">
        <v>44146.74695601852</v>
      </c>
      <c r="D1895" s="1" t="s">
        <v>3790</v>
      </c>
      <c r="E1895" s="4" t="str">
        <f ca="1">IFERROR(__xludf.DUMMYFUNCTION("GOOGLETRANSLATE(A1895 , ""tr"" , ""en"")"),"Our proposal for declaring 2021 international health workers was adopted by the World Health Organization. Our suggestion was supported by all Member States on the General Assembly of the World Health Asamble. In the epidemic period, the world owes a lot "&amp;"to health workers. https://t.co/mgh5gyaa7e")</f>
        <v>Our proposal for declaring 2021 international health workers was adopted by the World Health Organization. Our suggestion was supported by all Member States on the General Assembly of the World Health Asamble. In the epidemic period, the world owes a lot to health workers. https://t.co/mgh5gyaa7e</v>
      </c>
    </row>
    <row r="1896" spans="1:5" ht="15.75" customHeight="1" x14ac:dyDescent="0.25">
      <c r="A1896" s="1" t="s">
        <v>3791</v>
      </c>
      <c r="B1896" s="1">
        <v>11625</v>
      </c>
      <c r="C1896" s="3">
        <v>44146.697962962964</v>
      </c>
      <c r="D1896" s="1" t="s">
        <v>3792</v>
      </c>
      <c r="E1896" s="4" t="str">
        <f ca="1">IFERROR(__xludf.DUMMYFUNCTION("GOOGLETRANSLATE(A1896 , ""tr"" , ""en"")"),"We have 2,693 new patients identified today. The fight against epidemics can be carried out in both individual and society. Our Health Employees are working with the power to keep our hospital load on the manageable level. Virus however we can beat togeth"&amp;"er. https://t.co/rvlhe7786o")</f>
        <v>We have 2,693 new patients identified today. The fight against epidemics can be carried out in both individual and society. Our Health Employees are working with the power to keep our hospital load on the manageable level. Virus however we can beat together. https://t.co/rvlhe7786o</v>
      </c>
    </row>
    <row r="1897" spans="1:5" ht="15.75" customHeight="1" x14ac:dyDescent="0.25">
      <c r="A1897" s="1" t="s">
        <v>3793</v>
      </c>
      <c r="B1897" s="1">
        <v>20483</v>
      </c>
      <c r="C1897" s="3">
        <v>44146.542303240742</v>
      </c>
      <c r="D1897" s="1" t="s">
        <v>3794</v>
      </c>
      <c r="E1897" s="4" t="str">
        <f ca="1">IFERROR(__xludf.DUMMYFUNCTION("GOOGLETRANSLATE(A1897 , ""tr"" , ""en"")"),"From you, I just want you to do what you can. Is not more. Take yourself on the mask. Make an effort to abide by the distance rule. The virus is more easily infected by the nose. If the mask is inserted to provide protection, the risk is very reduced.")</f>
        <v>From you, I just want you to do what you can. Is not more. Take yourself on the mask. Make an effort to abide by the distance rule. The virus is more easily infected by the nose. If the mask is inserted to provide protection, the risk is very reduced.</v>
      </c>
    </row>
    <row r="1898" spans="1:5" ht="15.75" customHeight="1" x14ac:dyDescent="0.25">
      <c r="A1898" s="1" t="s">
        <v>3795</v>
      </c>
      <c r="B1898" s="1">
        <v>12431</v>
      </c>
      <c r="C1898" s="3">
        <v>44146.522268518522</v>
      </c>
      <c r="D1898" s="1" t="s">
        <v>3796</v>
      </c>
      <c r="E1898" s="4" t="str">
        <f ca="1">IFERROR(__xludf.DUMMYFUNCTION("GOOGLETRANSLATE(A1898 , ""tr"" , ""en"")"),"Life is hard in the epidemic. The workplaces, transportation, marketplaces, daily life were not planned to be an epidemic in the future. We will give the fight in spite of all the challenges. By doing our best. Let's minimize losses with rules.")</f>
        <v>Life is hard in the epidemic. The workplaces, transportation, marketplaces, daily life were not planned to be an epidemic in the future. We will give the fight in spite of all the challenges. By doing our best. Let's minimize losses with rules.</v>
      </c>
    </row>
    <row r="1899" spans="1:5" ht="15.75" customHeight="1" x14ac:dyDescent="0.25">
      <c r="A1899" s="1" t="s">
        <v>3797</v>
      </c>
      <c r="B1899" s="1">
        <v>0</v>
      </c>
      <c r="C1899" s="3">
        <v>44146.469050925924</v>
      </c>
      <c r="D1899" s="1" t="s">
        <v>3798</v>
      </c>
      <c r="E1899" s="4" t="str">
        <f ca="1">IFERROR(__xludf.DUMMYFUNCTION("GOOGLETRANSLATE(A1899 , ""tr"" , ""en"")"),"RT @rterdogan: AK Party Group Meeting https://t.co/bohlokgfh5")</f>
        <v>RT @rterdogan: AK Party Group Meeting https://t.co/bohlokgfh5</v>
      </c>
    </row>
    <row r="1900" spans="1:5" ht="15.75" customHeight="1" x14ac:dyDescent="0.25">
      <c r="A1900" s="1" t="s">
        <v>3799</v>
      </c>
      <c r="B1900" s="1">
        <v>31460</v>
      </c>
      <c r="C1900" s="3">
        <v>44146.438206018516</v>
      </c>
      <c r="D1900" s="1" t="s">
        <v>3800</v>
      </c>
      <c r="E1900" s="4" t="str">
        <f ca="1">IFERROR(__xludf.DUMMYFUNCTION("GOOGLETRANSLATE(A1900 , ""tr"" , ""en"")"),"Currently, many people with a carrier are not complying with the rules, the virus is infecting to others.")</f>
        <v>Currently, many people with a carrier are not complying with the rules, the virus is infecting to others.</v>
      </c>
    </row>
    <row r="1901" spans="1:5" ht="15.75" customHeight="1" x14ac:dyDescent="0.25">
      <c r="A1901" s="1" t="s">
        <v>3801</v>
      </c>
      <c r="B1901" s="1">
        <v>51670</v>
      </c>
      <c r="C1901" s="3">
        <v>44146.423113425924</v>
      </c>
      <c r="D1901" s="1" t="s">
        <v>3802</v>
      </c>
      <c r="E1901" s="4" t="str">
        <f ca="1">IFERROR(__xludf.DUMMYFUNCTION("GOOGLETRANSLATE(A1901 , ""tr"" , ""en"")"),"Currently, so many people will be COVID-19 patients in several days because they do not comply with the rules.")</f>
        <v>Currently, so many people will be COVID-19 patients in several days because they do not comply with the rules.</v>
      </c>
    </row>
    <row r="1902" spans="1:5" ht="15.75" customHeight="1" x14ac:dyDescent="0.25">
      <c r="A1902" s="1" t="s">
        <v>3803</v>
      </c>
      <c r="B1902" s="1">
        <v>12787</v>
      </c>
      <c r="C1902" s="3">
        <v>44145.803101851852</v>
      </c>
      <c r="D1902" s="1" t="s">
        <v>3804</v>
      </c>
      <c r="E1902" s="4" t="str">
        <f ca="1">IFERROR(__xludf.DUMMYFUNCTION("GOOGLETRANSLATE(A1902 , ""tr"" , ""en"")"),"We have made a phone call with Mikhail Murashko Mr. Mikhail Murashko. COVID-19 Vaccine studies, including the issues we are in the field of health, which we are in the health in the field of health, we exchanged ideas on the international activities.")</f>
        <v>We have made a phone call with Mikhail Murashko Mr. Mikhail Murashko. COVID-19 Vaccine studies, including the issues we are in the field of health, which we are in the health in the field of health, we exchanged ideas on the international activities.</v>
      </c>
    </row>
    <row r="1903" spans="1:5" ht="15.75" customHeight="1" x14ac:dyDescent="0.25">
      <c r="A1903" s="1" t="s">
        <v>3805</v>
      </c>
      <c r="B1903" s="1">
        <v>13352</v>
      </c>
      <c r="C1903" s="3">
        <v>44145.680775462963</v>
      </c>
      <c r="D1903" s="1" t="s">
        <v>3806</v>
      </c>
      <c r="E1903" s="4" t="str">
        <f ca="1">IFERROR(__xludf.DUMMYFUNCTION("GOOGLETRANSLATE(A1903 , ""tr"" , ""en"")"),"We have 2,529 new patients identified today. Our severe patient number has passed 3,000. We have to reduce the patient and severe patients in order to reduce our losses. We can only reach the measures by struggling in the Union and Draw. Plug mask https:/"&amp;"/t.co/rvlhe7786o")</f>
        <v>We have 2,529 new patients identified today. Our severe patient number has passed 3,000. We have to reduce the patient and severe patients in order to reduce our losses. We can only reach the measures by struggling in the Union and Draw. Plug mask https://t.co/rvlhe7786o</v>
      </c>
    </row>
    <row r="1904" spans="1:5" ht="15.75" customHeight="1" x14ac:dyDescent="0.25">
      <c r="A1904" s="1" t="s">
        <v>3807</v>
      </c>
      <c r="B1904" s="1">
        <v>33423</v>
      </c>
      <c r="C1904" s="3">
        <v>44145.58388888889</v>
      </c>
      <c r="D1904" s="1" t="s">
        <v>3808</v>
      </c>
      <c r="E1904" s="4" t="str">
        <f ca="1">IFERROR(__xludf.DUMMYFUNCTION("GOOGLETRANSLATE(A1904 , ""tr"" , ""en"")"),"Unity, Draw, Proximity, Social Distance: Completing jointly! When isn't today?")</f>
        <v>Unity, Draw, Proximity, Social Distance: Completing jointly! When isn't today?</v>
      </c>
    </row>
    <row r="1905" spans="1:5" ht="15.75" customHeight="1" x14ac:dyDescent="0.25">
      <c r="A1905" s="1" t="s">
        <v>3809</v>
      </c>
      <c r="B1905" s="1">
        <v>52425</v>
      </c>
      <c r="C1905" s="3">
        <v>44145.358182870368</v>
      </c>
      <c r="D1905" s="1" t="s">
        <v>3810</v>
      </c>
      <c r="E1905" s="4" t="str">
        <f ca="1">IFERROR(__xludf.DUMMYFUNCTION("GOOGLETRANSLATE(A1905 , ""tr"" , ""en"")"),"We lost Gazi Mustafa Kemal Ataturk today 82 years ago. Each generation of our republic was inspired by the national struggle he pioneered. We respect him with respect for solidarity and the soul of draw. https://t.co/qiws01sofI")</f>
        <v>We lost Gazi Mustafa Kemal Ataturk today 82 years ago. Each generation of our republic was inspired by the national struggle he pioneered. We respect him with respect for solidarity and the soul of draw. https://t.co/qiws01sofI</v>
      </c>
    </row>
    <row r="1906" spans="1:5" ht="15.75" customHeight="1" x14ac:dyDescent="0.25">
      <c r="A1906" s="1" t="s">
        <v>3811</v>
      </c>
      <c r="B1906" s="1">
        <v>31507</v>
      </c>
      <c r="C1906" s="3">
        <v>44145.253831018519</v>
      </c>
      <c r="D1906" s="1" t="s">
        <v>3812</v>
      </c>
      <c r="E1906" s="4" t="str">
        <f ca="1">IFERROR(__xludf.DUMMYFUNCTION("GOOGLETRANSLATE(A1906 , ""tr"" , ""en"")"),"We lost Gazi Mustafa Kemal Ataturk today 82 years ago. Each generation of our republic was inspired by the national struggle he pioneered. We respect him with respect for solidarity and the soul of draw. https://t.co/2ec4ts0h2a")</f>
        <v>We lost Gazi Mustafa Kemal Ataturk today 82 years ago. Each generation of our republic was inspired by the national struggle he pioneered. We respect him with respect for solidarity and the soul of draw. https://t.co/2ec4ts0h2a</v>
      </c>
    </row>
    <row r="1907" spans="1:5" ht="15.75" customHeight="1" x14ac:dyDescent="0.25">
      <c r="A1907" s="1" t="s">
        <v>3813</v>
      </c>
      <c r="B1907" s="1">
        <v>16313</v>
      </c>
      <c r="C1907" s="3">
        <v>44145.207881944443</v>
      </c>
      <c r="D1907" s="1" t="s">
        <v>3814</v>
      </c>
      <c r="E1907" s="4" t="str">
        <f ca="1">IFERROR(__xludf.DUMMYFUNCTION("GOOGLETRANSLATE(A1907 , ""tr"" , ""en"")"),"I celebrate the Mr. Lütfi Elvan that is brought to the Treasury and Ministry of Finance. We believe that the experience based on very long will facilitate an even more difficult task in the period we are in. We all need your success. We are happy to have "&amp;"our study-friend.")</f>
        <v>I celebrate the Mr. Lütfi Elvan that is brought to the Treasury and Ministry of Finance. We believe that the experience based on very long will facilitate an even more difficult task in the period we are in. We all need your success. We are happy to have our study-friend.</v>
      </c>
    </row>
    <row r="1908" spans="1:5" ht="15.75" customHeight="1" x14ac:dyDescent="0.25">
      <c r="A1908" s="1" t="s">
        <v>3815</v>
      </c>
      <c r="B1908" s="1">
        <v>23578</v>
      </c>
      <c r="C1908" s="3">
        <v>44144.932523148149</v>
      </c>
      <c r="D1908" s="1" t="s">
        <v>3816</v>
      </c>
      <c r="E1908" s="4" t="str">
        <f ca="1">IFERROR(__xludf.DUMMYFUNCTION("GOOGLETRANSLATE(A1908 , ""tr"" , ""en"")"),"The responsibility of the responsibility, Turkey's self-sufficient to be sufficiently sufficient to be sufficiently employed in the Berat Albayrak, the request was forgiven at the request. My valuable work is no doubt that my friend will continue to be us"&amp;"eful to our nation with its accumulation.")</f>
        <v>The responsibility of the responsibility, Turkey's self-sufficient to be sufficiently sufficient to be sufficiently employed in the Berat Albayrak, the request was forgiven at the request. My valuable work is no doubt that my friend will continue to be useful to our nation with its accumulation.</v>
      </c>
    </row>
    <row r="1909" spans="1:5" ht="15.75" customHeight="1" x14ac:dyDescent="0.25">
      <c r="A1909" s="1" t="s">
        <v>3817</v>
      </c>
      <c r="B1909" s="1">
        <v>8187</v>
      </c>
      <c r="C1909" s="3">
        <v>44144.81559027778</v>
      </c>
      <c r="D1909" s="1" t="s">
        <v>3818</v>
      </c>
      <c r="E1909" s="4" t="str">
        <f ca="1">IFERROR(__xludf.DUMMYFUNCTION("GOOGLETRANSLATE(A1909 , ""tr"" , ""en"")"),"Eskişehir, Bursa, Isparta, Kocaeli, Denizli Provincial Health Directors, we have evaluated the point in the fight against outbreak in these provinces. We addressed the needs, additional measures, current patient charges and capacity against possible devel"&amp;"opments. https://t.co/wxtwqblkjq")</f>
        <v>Eskişehir, Bursa, Isparta, Kocaeli, Denizli Provincial Health Directors, we have evaluated the point in the fight against outbreak in these provinces. We addressed the needs, additional measures, current patient charges and capacity against possible developments. https://t.co/wxtwqblkjq</v>
      </c>
    </row>
    <row r="1910" spans="1:5" ht="15.75" customHeight="1" x14ac:dyDescent="0.25">
      <c r="A1910" s="1" t="s">
        <v>3819</v>
      </c>
      <c r="B1910" s="1">
        <v>17426</v>
      </c>
      <c r="C1910" s="3">
        <v>44144.729837962965</v>
      </c>
      <c r="D1910" s="1" t="s">
        <v>3820</v>
      </c>
      <c r="E1910" s="4" t="str">
        <f ca="1">IFERROR(__xludf.DUMMYFUNCTION("GOOGLETRANSLATE(A1910 , ""tr"" , ""en"")"),"In the environments where you are in combination, the air you breathe may be in addition to the oxygen that we need, as well as a healthy person to seriously ill. Do not take a risk. Use your mask to completely cover the respiratory path. COVID-19 is spre"&amp;"ading.")</f>
        <v>In the environments where you are in combination, the air you breathe may be in addition to the oxygen that we need, as well as a healthy person to seriously ill. Do not take a risk. Use your mask to completely cover the respiratory path. COVID-19 is spreading.</v>
      </c>
    </row>
    <row r="1911" spans="1:5" ht="15.75" customHeight="1" x14ac:dyDescent="0.25">
      <c r="A1911" s="1" t="s">
        <v>3821</v>
      </c>
      <c r="B1911" s="1">
        <v>12197</v>
      </c>
      <c r="C1911" s="3">
        <v>44144.688773148147</v>
      </c>
      <c r="D1911" s="1" t="s">
        <v>3822</v>
      </c>
      <c r="E1911" s="4" t="str">
        <f ca="1">IFERROR(__xludf.DUMMYFUNCTION("GOOGLETRANSLATE(A1911 , ""tr"" , ""en"")"),"We have 2,576 new patients identified today. Our heavy patient number is 127 than yesterday. Our most effective weapon in this period increased by the release rate of the epidemic is to wear a mask to properly cover the mouth and nose. Reduce the burden o"&amp;"f virus by installing your mask towards https://t.co/rvlhe7786o")</f>
        <v>We have 2,576 new patients identified today. Our heavy patient number is 127 than yesterday. Our most effective weapon in this period increased by the release rate of the epidemic is to wear a mask to properly cover the mouth and nose. Reduce the burden of virus by installing your mask towards https://t.co/rvlhe7786o</v>
      </c>
    </row>
    <row r="1912" spans="1:5" ht="15.75" customHeight="1" x14ac:dyDescent="0.25">
      <c r="A1912" s="1" t="s">
        <v>3823</v>
      </c>
      <c r="B1912" s="1">
        <v>9611</v>
      </c>
      <c r="C1912" s="3">
        <v>44144.641562500001</v>
      </c>
      <c r="D1912" s="1" t="s">
        <v>3824</v>
      </c>
      <c r="E1912" s="4" t="str">
        <f ca="1">IFERROR(__xludf.DUMMYFUNCTION("GOOGLETRANSLATE(A1912 , ""tr"" , ""en"")"),"If you cover your mouth, lower the mask under your nose, you are very little protected. Because we usually breathe from the nose, the disease is easily transmitted with the drips loaded in the environment. As the amount of virus you receive will be too mu"&amp;"ch, you live the disease heavier. https://t.co/5q0gcw6hv0")</f>
        <v>If you cover your mouth, lower the mask under your nose, you are very little protected. Because we usually breathe from the nose, the disease is easily transmitted with the drips loaded in the environment. As the amount of virus you receive will be too much, you live the disease heavier. https://t.co/5q0gcw6hv0</v>
      </c>
    </row>
    <row r="1913" spans="1:5" ht="15.75" customHeight="1" x14ac:dyDescent="0.25">
      <c r="A1913" s="1" t="s">
        <v>3825</v>
      </c>
      <c r="B1913" s="1">
        <v>7418</v>
      </c>
      <c r="C1913" s="3">
        <v>44144.61990740741</v>
      </c>
      <c r="D1913" s="1" t="s">
        <v>3826</v>
      </c>
      <c r="E1913" s="4" t="str">
        <f ca="1">IFERROR(__xludf.DUMMYFUNCTION("GOOGLETRANSLATE(A1913 , ""tr"" , ""en"")"),"If you are just covering your mouth and download the mask under your nose, you are very little protected. Since we usually breathe from the nose, the virus installed droplets are easily transmitted to you. The amount of virus you received is too much. Exp"&amp;"erience the disease much heavier. https://t.co/fnegunpzhl")</f>
        <v>If you are just covering your mouth and download the mask under your nose, you are very little protected. Since we usually breathe from the nose, the virus installed droplets are easily transmitted to you. The amount of virus you received is too much. Experience the disease much heavier. https://t.co/fnegunpzhl</v>
      </c>
    </row>
    <row r="1914" spans="1:5" ht="15.75" customHeight="1" x14ac:dyDescent="0.25">
      <c r="A1914" s="1" t="s">
        <v>3827</v>
      </c>
      <c r="B1914" s="1">
        <v>8185</v>
      </c>
      <c r="C1914" s="3">
        <v>44144.615405092591</v>
      </c>
      <c r="D1914" s="1" t="s">
        <v>3828</v>
      </c>
      <c r="E1914" s="4" t="str">
        <f ca="1">IFERROR(__xludf.DUMMYFUNCTION("GOOGLETRANSLATE(A1914 , ""tr"" , ""en"")"),"If you are just covering your mouth and download the mask under your nose, you are very little protected. Since we usually breathe from the nose, the virus installed droplets are easily transmitted to you. The amount of virus you received is too much. Exp"&amp;"erience the disease much heavier. https://t.co/szw7qnfrqf")</f>
        <v>If you are just covering your mouth and download the mask under your nose, you are very little protected. Since we usually breathe from the nose, the virus installed droplets are easily transmitted to you. The amount of virus you received is too much. Experience the disease much heavier. https://t.co/szw7qnfrqf</v>
      </c>
    </row>
    <row r="1915" spans="1:5" ht="15.75" customHeight="1" x14ac:dyDescent="0.25">
      <c r="A1915" s="1" t="s">
        <v>3829</v>
      </c>
      <c r="B1915" s="1">
        <v>13190</v>
      </c>
      <c r="C1915" s="3">
        <v>44143.67560185185</v>
      </c>
      <c r="D1915" s="1" t="s">
        <v>3830</v>
      </c>
      <c r="E1915" s="4" t="str">
        <f ca="1">IFERROR(__xludf.DUMMYFUNCTION("GOOGLETRANSLATE(A1915 , ""tr"" , ""en"")"),"We have 2,516 new patients identified today. Our severe patient count reached 2.740. Today, we had more than 2,000 heals that are discharged. Stay away from crowded environments unless mandatory. Notice the hygiene. Use the mask. https://t.co/rvlhe7786o")</f>
        <v>We have 2,516 new patients identified today. Our severe patient count reached 2.740. Today, we had more than 2,000 heals that are discharged. Stay away from crowded environments unless mandatory. Notice the hygiene. Use the mask. https://t.co/rvlhe7786o</v>
      </c>
    </row>
    <row r="1916" spans="1:5" ht="15.75" customHeight="1" x14ac:dyDescent="0.25">
      <c r="A1916" s="1" t="s">
        <v>3831</v>
      </c>
      <c r="B1916" s="1">
        <v>40110</v>
      </c>
      <c r="C1916" s="3">
        <v>44143.54277777778</v>
      </c>
      <c r="D1916" s="1" t="s">
        <v>3832</v>
      </c>
      <c r="E1916" s="4" t="str">
        <f ca="1">IFERROR(__xludf.DUMMYFUNCTION("GOOGLETRANSLATE(A1916 , ""tr"" , ""en"")"),"There are underestimated areas of COVID-19. The patient is changing this idea ""easy"". It is not possible to not change.")</f>
        <v>There are underestimated areas of COVID-19. The patient is changing this idea "easy". It is not possible to not change.</v>
      </c>
    </row>
    <row r="1917" spans="1:5" ht="15.75" customHeight="1" x14ac:dyDescent="0.2">
      <c r="A1917" s="5" t="s">
        <v>3833</v>
      </c>
      <c r="B1917" s="1">
        <v>12262</v>
      </c>
      <c r="C1917" s="3">
        <v>44143.504918981482</v>
      </c>
      <c r="D1917" s="1" t="s">
        <v>3834</v>
      </c>
      <c r="E1917" s="6" t="str">
        <f ca="1">IFERROR(__xludf.DUMMYFUNCTION("GOOGLETRANSLATE(A1917 , ""tr"" , ""en"")"),"https://t.co/ga4yx99hlh")</f>
        <v>https://t.co/ga4yx99hlh</v>
      </c>
    </row>
    <row r="1918" spans="1:5" ht="15.75" customHeight="1" x14ac:dyDescent="0.2">
      <c r="A1918" s="5" t="s">
        <v>3835</v>
      </c>
      <c r="B1918" s="1">
        <v>12032</v>
      </c>
      <c r="C1918" s="3">
        <v>44143.501388888886</v>
      </c>
      <c r="D1918" s="1" t="s">
        <v>3836</v>
      </c>
      <c r="E1918" s="6" t="str">
        <f ca="1">IFERROR(__xludf.DUMMYFUNCTION("GOOGLETRANSLATE(A1918 , ""tr"" , ""en"")"),"https://t.co/er4nsjurul")</f>
        <v>https://t.co/er4nsjurul</v>
      </c>
    </row>
    <row r="1919" spans="1:5" ht="15.75" customHeight="1" x14ac:dyDescent="0.25">
      <c r="A1919" s="1" t="s">
        <v>3837</v>
      </c>
      <c r="B1919" s="1">
        <v>9029</v>
      </c>
      <c r="C1919" s="3">
        <v>44143.417442129627</v>
      </c>
      <c r="D1919" s="1" t="s">
        <v>3838</v>
      </c>
      <c r="E1919" s="4" t="str">
        <f ca="1">IFERROR(__xludf.DUMMYFUNCTION("GOOGLETRANSLATE(A1919 , ""tr"" , ""en"")"),"WEATHER IS COLD. It protects you from the risk of causing both COVID-19 and the seasonal flu, according to the rule of the mask to close the mouth and nose. Do not wear a mask in sight and leave your nose on an open. Koronavirus has won the clarity that i"&amp;"s infected by nose. https://t.co/8dmz3w9uwo")</f>
        <v>WEATHER IS COLD. It protects you from the risk of causing both COVID-19 and the seasonal flu, according to the rule of the mask to close the mouth and nose. Do not wear a mask in sight and leave your nose on an open. Koronavirus has won the clarity that is infected by nose. https://t.co/8dmz3w9uwo</v>
      </c>
    </row>
    <row r="1920" spans="1:5" ht="15.75" customHeight="1" x14ac:dyDescent="0.25">
      <c r="A1920" s="1" t="s">
        <v>3839</v>
      </c>
      <c r="B1920" s="1">
        <v>9585</v>
      </c>
      <c r="C1920" s="3">
        <v>44143.396504629629</v>
      </c>
      <c r="D1920" s="1" t="s">
        <v>3840</v>
      </c>
      <c r="E1920" s="4" t="str">
        <f ca="1">IFERROR(__xludf.DUMMYFUNCTION("GOOGLETRANSLATE(A1920 , ""tr"" , ""en"")"),"WEATHER IS COLD. It protects you from the risk of causing both COVID-19 and the seasonal flu, according to the rule of the mask to close the mouth and nose. Do not wear a mask in sight and leave your nose on an open. Koronavirus has won the clarity that i"&amp;"s infected by nose. https://t.co/xvn3g1I6iy")</f>
        <v>WEATHER IS COLD. It protects you from the risk of causing both COVID-19 and the seasonal flu, according to the rule of the mask to close the mouth and nose. Do not wear a mask in sight and leave your nose on an open. Koronavirus has won the clarity that is infected by nose. https://t.co/xvn3g1I6iy</v>
      </c>
    </row>
    <row r="1921" spans="1:5" ht="15.75" customHeight="1" x14ac:dyDescent="0.25">
      <c r="A1921" s="1" t="s">
        <v>3841</v>
      </c>
      <c r="B1921" s="1">
        <v>15640</v>
      </c>
      <c r="C1921" s="3">
        <v>44143.377152777779</v>
      </c>
      <c r="D1921" s="1" t="s">
        <v>3842</v>
      </c>
      <c r="E1921" s="4" t="str">
        <f ca="1">IFERROR(__xludf.DUMMYFUNCTION("GOOGLETRANSLATE(A1921 , ""tr"" , ""en"")"),"WEATHER IS COLD. It protects you from the risk of causing both COVID-19 and the seasonal flu, according to the rule of the mask to close the mouth and nose. Do not wear a mask in sight and leave your nose on an open. Koronavirus has won the clarity that i"&amp;"s infected by nose. https://t.co/ibmkywnuk5")</f>
        <v>WEATHER IS COLD. It protects you from the risk of causing both COVID-19 and the seasonal flu, according to the rule of the mask to close the mouth and nose. Do not wear a mask in sight and leave your nose on an open. Koronavirus has won the clarity that is infected by nose. https://t.co/ibmkywnuk5</v>
      </c>
    </row>
    <row r="1922" spans="1:5" ht="15.75" customHeight="1" x14ac:dyDescent="0.25">
      <c r="A1922" s="1" t="s">
        <v>3843</v>
      </c>
      <c r="B1922" s="1">
        <v>6692</v>
      </c>
      <c r="C1922" s="3">
        <v>44142.695775462962</v>
      </c>
      <c r="D1922" s="1" t="s">
        <v>3844</v>
      </c>
      <c r="E1922" s="4" t="str">
        <f ca="1">IFERROR(__xludf.DUMMYFUNCTION("GOOGLETRANSLATE(A1922 , ""tr"" , ""en"")"),"Meeting at Istanbul Gaziosmanpaşa Education and Research Hospital: We evaluated our patient burden with administrators, our treatment against epidemic disease, to increase the current capacity. https://t.co/9lo0xVITCG")</f>
        <v>Meeting at Istanbul Gaziosmanpaşa Education and Research Hospital: We evaluated our patient burden with administrators, our treatment against epidemic disease, to increase the current capacity. https://t.co/9lo0xVITCG</v>
      </c>
    </row>
    <row r="1923" spans="1:5" ht="15.75" customHeight="1" x14ac:dyDescent="0.25">
      <c r="A1923" s="1" t="s">
        <v>3845</v>
      </c>
      <c r="B1923" s="1">
        <v>13695</v>
      </c>
      <c r="C1923" s="3">
        <v>44142.669363425928</v>
      </c>
      <c r="D1923" s="1" t="s">
        <v>3846</v>
      </c>
      <c r="E1923" s="4" t="str">
        <f ca="1">IFERROR(__xludf.DUMMYFUNCTION("GOOGLETRANSLATE(A1923 , ""tr"" , ""en"")"),"We have 2,483 new patients identified today. Our patient count is also increasing our severe patients. We always have to comply with the measures to the safe vaccine application. Stay away from crowded environments unless mandatory. Install the mask. Redu"&amp;"ce the load of virus. https://t.co/rvlhe7786o")</f>
        <v>We have 2,483 new patients identified today. Our patient count is also increasing our severe patients. We always have to comply with the measures to the safe vaccine application. Stay away from crowded environments unless mandatory. Install the mask. Reduce the load of virus. https://t.co/rvlhe7786o</v>
      </c>
    </row>
    <row r="1924" spans="1:5" ht="15.75" customHeight="1" x14ac:dyDescent="0.25">
      <c r="A1924" s="1" t="s">
        <v>3847</v>
      </c>
      <c r="B1924" s="1">
        <v>4739</v>
      </c>
      <c r="C1924" s="3">
        <v>44142.650358796294</v>
      </c>
      <c r="D1924" s="1" t="s">
        <v>3848</v>
      </c>
      <c r="E1924" s="4" t="str">
        <f ca="1">IFERROR(__xludf.DUMMYFUNCTION("GOOGLETRANSLATE(A1924 , ""tr"" , ""en"")"),"Meeting at Istanbul Bahcelievler State Hospital: We evaluated the existing conditions of the hospital with our managers. We have addressed the coordination with solutions and environmental districts to increase the current capacity. We have worked for the"&amp;" distribution of the patient load. https://t.co/nlea2hy0pr")</f>
        <v>Meeting at Istanbul Bahcelievler State Hospital: We evaluated the existing conditions of the hospital with our managers. We have addressed the coordination with solutions and environmental districts to increase the current capacity. We have worked for the distribution of the patient load. https://t.co/nlea2hy0pr</v>
      </c>
    </row>
    <row r="1925" spans="1:5" ht="15.75" customHeight="1" x14ac:dyDescent="0.25">
      <c r="A1925" s="1" t="s">
        <v>3849</v>
      </c>
      <c r="B1925" s="1">
        <v>4309</v>
      </c>
      <c r="C1925" s="3">
        <v>44142.629247685189</v>
      </c>
      <c r="D1925" s="1" t="s">
        <v>3850</v>
      </c>
      <c r="E1925" s="4" t="str">
        <f ca="1">IFERROR(__xludf.DUMMYFUNCTION("GOOGLETRANSLATE(A1925 , ""tr"" , ""en"")"),"Meeting at Samatya Istanbul Training and Research Hospital: Our Hospital; From the first moment of the pendemia, one of the centers where the struggle is most intense. With the administrators, we evaluated the solution ways to increase the current capacit"&amp;"y, and we addressed treatment methods. https://t.co/hqscmobywg")</f>
        <v>Meeting at Samatya Istanbul Training and Research Hospital: Our Hospital; From the first moment of the pendemia, one of the centers where the struggle is most intense. With the administrators, we evaluated the solution ways to increase the current capacity, and we addressed treatment methods. https://t.co/hqscmobywg</v>
      </c>
    </row>
    <row r="1926" spans="1:5" ht="15.75" customHeight="1" x14ac:dyDescent="0.2">
      <c r="A1926" s="5" t="s">
        <v>3851</v>
      </c>
      <c r="B1926" s="1">
        <v>11271</v>
      </c>
      <c r="C1926" s="3">
        <v>44142.613935185182</v>
      </c>
      <c r="D1926" s="1" t="s">
        <v>3852</v>
      </c>
      <c r="E1926" s="6" t="str">
        <f ca="1">IFERROR(__xludf.DUMMYFUNCTION("GOOGLETRANSLATE(A1926 , ""tr"" , ""en"")"),"https://t.co/4zp3urnzwg")</f>
        <v>https://t.co/4zp3urnzwg</v>
      </c>
    </row>
    <row r="1927" spans="1:5" ht="15.75" customHeight="1" x14ac:dyDescent="0.25">
      <c r="A1927" s="1" t="s">
        <v>3853</v>
      </c>
      <c r="B1927" s="1">
        <v>8936</v>
      </c>
      <c r="C1927" s="3">
        <v>44142.609756944446</v>
      </c>
      <c r="D1927" s="1" t="s">
        <v>3854</v>
      </c>
      <c r="E1927" s="4" t="str">
        <f ca="1">IFERROR(__xludf.DUMMYFUNCTION("GOOGLETRANSLATE(A1927 , ""tr"" , ""en"")"),"COVID-19 is spreading. Unless you reduce your mobility in daily life, you cannot keep yourself adequately, unless you are away from any crowd that makes it difficult to comply with the distance rule. Reduce the risk. Please protect yourself to not live th"&amp;"e difficulties of the disease. https://t.co/fz4lwakdd2")</f>
        <v>COVID-19 is spreading. Unless you reduce your mobility in daily life, you cannot keep yourself adequately, unless you are away from any crowd that makes it difficult to comply with the distance rule. Reduce the risk. Please protect yourself to not live the difficulties of the disease. https://t.co/fz4lwakdd2</v>
      </c>
    </row>
    <row r="1928" spans="1:5" ht="15.75" customHeight="1" x14ac:dyDescent="0.25">
      <c r="A1928" s="1" t="s">
        <v>3855</v>
      </c>
      <c r="B1928" s="1">
        <v>51330</v>
      </c>
      <c r="C1928" s="3">
        <v>44141.826840277776</v>
      </c>
      <c r="D1928" s="1" t="s">
        <v>3856</v>
      </c>
      <c r="E1928" s="4" t="str">
        <f ca="1">IFERROR(__xludf.DUMMYFUNCTION("GOOGLETRANSLATE(A1928 , ""tr"" , ""en"")"),"This video is a hospital's operating room camera recording during Izmir earthquake. https://t.co/ypwn1nfbjv")</f>
        <v>This video is a hospital's operating room camera recording during Izmir earthquake. https://t.co/ypwn1nfbjv</v>
      </c>
    </row>
    <row r="1929" spans="1:5" ht="15.75" customHeight="1" x14ac:dyDescent="0.25">
      <c r="A1929" s="1" t="s">
        <v>3857</v>
      </c>
      <c r="B1929" s="1">
        <v>15389</v>
      </c>
      <c r="C1929" s="3">
        <v>44141.810879629629</v>
      </c>
      <c r="D1929" s="1" t="s">
        <v>3858</v>
      </c>
      <c r="E1929" s="4" t="str">
        <f ca="1">IFERROR(__xludf.DUMMYFUNCTION("GOOGLETRANSLATE(A1929 , ""tr"" , ""en"")"),"COVID-19 is spreading. Postponce travels possible. Limit your mobility in the day. Remember: The main reason for the increase in case increases is to live as if the life is in the pocket. https://t.co/jvaoy5zqqq")</f>
        <v>COVID-19 is spreading. Postponce travels possible. Limit your mobility in the day. Remember: The main reason for the increase in case increases is to live as if the life is in the pocket. https://t.co/jvaoy5zqqq</v>
      </c>
    </row>
    <row r="1930" spans="1:5" ht="15.75" customHeight="1" x14ac:dyDescent="0.2">
      <c r="A1930" s="5" t="s">
        <v>3859</v>
      </c>
      <c r="B1930" s="1">
        <v>10111</v>
      </c>
      <c r="C1930" s="3">
        <v>44141.795138888891</v>
      </c>
      <c r="D1930" s="1" t="s">
        <v>3860</v>
      </c>
      <c r="E1930" s="6" t="str">
        <f ca="1">IFERROR(__xludf.DUMMYFUNCTION("GOOGLETRANSLATE(A1930 , ""tr"" , ""en"")"),"https://t.co/acx7jwi4qj")</f>
        <v>https://t.co/acx7jwi4qj</v>
      </c>
    </row>
    <row r="1931" spans="1:5" ht="15.75" customHeight="1" x14ac:dyDescent="0.25">
      <c r="A1931" s="1" t="s">
        <v>3861</v>
      </c>
      <c r="B1931" s="1">
        <v>5495</v>
      </c>
      <c r="C1931" s="3">
        <v>44141.778379629628</v>
      </c>
      <c r="D1931" s="1" t="s">
        <v>3862</v>
      </c>
      <c r="E1931" s="4" t="str">
        <f ca="1">IFERROR(__xludf.DUMMYFUNCTION("GOOGLETRANSLATE(A1931 , ""tr"" , ""en"")"),"Istanbul Etginla Fight Meeting: Our General Managers, Provincial Health Manager and Field Coordinators attended our General Managers, Provincial Health Manager. The course of the outbreak was discussed against increasing risk and new patient load. https:/"&amp;"/t.co/e3abll0cuv")</f>
        <v>Istanbul Etginla Fight Meeting: Our General Managers, Provincial Health Manager and Field Coordinators attended our General Managers, Provincial Health Manager. The course of the outbreak was discussed against increasing risk and new patient load. https://t.co/e3abll0cuv</v>
      </c>
    </row>
    <row r="1932" spans="1:5" ht="15.75" customHeight="1" x14ac:dyDescent="0.25">
      <c r="A1932" s="1" t="s">
        <v>3863</v>
      </c>
      <c r="B1932" s="1">
        <v>6752</v>
      </c>
      <c r="C1932" s="3">
        <v>44141.734305555554</v>
      </c>
      <c r="D1932" s="1" t="s">
        <v>3864</v>
      </c>
      <c r="E1932" s="4" t="str">
        <f ca="1">IFERROR(__xludf.DUMMYFUNCTION("GOOGLETRANSLATE(A1932 , ""tr"" , ""en"")"),"Istanbul Beylikdüzü, Esenyurt, Büyükçekmece State Hospitals Visit: These three hospitals have increased by our patient's significant centers of war in Istanbul in Istanbul. At the meetings we have made, we addressed the bed capacities to be made against t"&amp;"he patient load. https://t.co/tm5y13z0lx")</f>
        <v>Istanbul Beylikdüzü, Esenyurt, Büyükçekmece State Hospitals Visit: These three hospitals have increased by our patient's significant centers of war in Istanbul in Istanbul. At the meetings we have made, we addressed the bed capacities to be made against the patient load. https://t.co/tm5y13z0lx</v>
      </c>
    </row>
    <row r="1933" spans="1:5" ht="15.75" customHeight="1" x14ac:dyDescent="0.25">
      <c r="A1933" s="1" t="s">
        <v>3865</v>
      </c>
      <c r="B1933" s="1">
        <v>15747</v>
      </c>
      <c r="C1933" s="3">
        <v>44141.667337962965</v>
      </c>
      <c r="D1933" s="1" t="s">
        <v>3866</v>
      </c>
      <c r="E1933" s="4" t="str">
        <f ca="1">IFERROR(__xludf.DUMMYFUNCTION("GOOGLETRANSLATE(A1933 , ""tr"" , ""en"")"),"We have 2,436 patients identified today. Our severe patient count is increasing. In the health care service, we must recognize our health workers to rest in the health care. This is only possible to comply with the measures. Install the mask. Protect your"&amp;" distance. https://t.co/rvlhe7786o")</f>
        <v>We have 2,436 patients identified today. Our severe patient count is increasing. In the health care service, we must recognize our health workers to rest in the health care. This is only possible to comply with the measures. Install the mask. Protect your distance. https://t.co/rvlhe7786o</v>
      </c>
    </row>
    <row r="1934" spans="1:5" ht="15.75" customHeight="1" x14ac:dyDescent="0.2">
      <c r="A1934" s="5" t="s">
        <v>3867</v>
      </c>
      <c r="B1934" s="1">
        <v>14673</v>
      </c>
      <c r="C1934" s="3">
        <v>44141.497199074074</v>
      </c>
      <c r="D1934" s="1" t="s">
        <v>3868</v>
      </c>
      <c r="E1934" s="6" t="str">
        <f ca="1">IFERROR(__xludf.DUMMYFUNCTION("GOOGLETRANSLATE(A1934 , ""tr"" , ""en"")"),"https://t.co/3p4fcuvlgv")</f>
        <v>https://t.co/3p4fcuvlgv</v>
      </c>
    </row>
    <row r="1935" spans="1:5" ht="15.75" customHeight="1" x14ac:dyDescent="0.2">
      <c r="A1935" s="5" t="s">
        <v>3869</v>
      </c>
      <c r="B1935" s="1">
        <v>21854</v>
      </c>
      <c r="C1935" s="3">
        <v>44141.455925925926</v>
      </c>
      <c r="D1935" s="1" t="s">
        <v>3870</v>
      </c>
      <c r="E1935" s="6" t="str">
        <f ca="1">IFERROR(__xludf.DUMMYFUNCTION("GOOGLETRANSLATE(A1935 , ""tr"" , ""en"")"),"https://t.co/tfsjcl03zp")</f>
        <v>https://t.co/tfsjcl03zp</v>
      </c>
    </row>
    <row r="1936" spans="1:5" ht="15.75" customHeight="1" x14ac:dyDescent="0.25">
      <c r="A1936" s="1" t="s">
        <v>3871</v>
      </c>
      <c r="B1936" s="1">
        <v>16043</v>
      </c>
      <c r="C1936" s="3">
        <v>44140.78702546296</v>
      </c>
      <c r="D1936" s="1" t="s">
        <v>3872</v>
      </c>
      <c r="E1936" s="4" t="str">
        <f ca="1">IFERROR(__xludf.DUMMYFUNCTION("GOOGLETRANSLATE(A1936 , ""tr"" , ""en"")"),"In the Izmir Earthquake, we visited our patients in which the patients are closely followed by the debris. They are better. They will soon meet their health. https://t.co/9ujwthe1SI")</f>
        <v>In the Izmir Earthquake, we visited our patients in which the patients are closely followed by the debris. They are better. They will soon meet their health. https://t.co/9ujwthe1SI</v>
      </c>
    </row>
    <row r="1937" spans="1:5" ht="15.75" customHeight="1" x14ac:dyDescent="0.25">
      <c r="A1937" s="1" t="s">
        <v>3873</v>
      </c>
      <c r="B1937" s="1">
        <v>6084</v>
      </c>
      <c r="C1937" s="3">
        <v>44140.762465277781</v>
      </c>
      <c r="D1937" s="1" t="s">
        <v>3874</v>
      </c>
      <c r="E1937" s="4" t="str">
        <f ca="1">IFERROR(__xludf.DUMMYFUNCTION("GOOGLETRANSLATE(A1937 , ""tr"" , ""en"")"),"Our Minister of Environment and Urbanization, Izmir Governor, Izmir MPs, Izmir Metropolitan Mayor and the participation of the district mayors were a meeting we addressed earthquakes, urbanism and health services in Afad. We are against disaster and outbr"&amp;"eak. https://t.co/xfavhkxhr3")</f>
        <v>Our Minister of Environment and Urbanization, Izmir Governor, Izmir MPs, Izmir Metropolitan Mayor and the participation of the district mayors were a meeting we addressed earthquakes, urbanism and health services in Afad. We are against disaster and outbreak. https://t.co/xfavhkxhr3</v>
      </c>
    </row>
    <row r="1938" spans="1:5" ht="15.75" customHeight="1" x14ac:dyDescent="0.25">
      <c r="A1938" s="1" t="s">
        <v>3875</v>
      </c>
      <c r="B1938" s="1">
        <v>5006</v>
      </c>
      <c r="C1938" s="3">
        <v>44140.740439814814</v>
      </c>
      <c r="D1938" s="1" t="s">
        <v>3876</v>
      </c>
      <c r="E1938" s="4" t="str">
        <f ca="1">IFERROR(__xludf.DUMMYFUNCTION("GOOGLETRANSLATE(A1938 , ""tr"" , ""en"")"),"Izmir Provincial Health Meeting Decisions: Intense measure against COVID-19 in tents. Mask and disinfectant distribution. Close up of earthquakes, teams, closely in terms of symptoms. Even if they are symptomless, testing to contacts. By scans, prevention"&amp;" of the spread of the epidemic. https://t.co/c1lpbaki9r")</f>
        <v>Izmir Provincial Health Meeting Decisions: Intense measure against COVID-19 in tents. Mask and disinfectant distribution. Close up of earthquakes, teams, closely in terms of symptoms. Even if they are symptomless, testing to contacts. By scans, prevention of the spread of the epidemic. https://t.co/c1lpbaki9r</v>
      </c>
    </row>
    <row r="1939" spans="1:5" ht="15.75" customHeight="1" x14ac:dyDescent="0.25">
      <c r="A1939" s="1" t="s">
        <v>3877</v>
      </c>
      <c r="B1939" s="1">
        <v>31659</v>
      </c>
      <c r="C1939" s="3">
        <v>44140.719189814816</v>
      </c>
      <c r="D1939" s="1" t="s">
        <v>3878</v>
      </c>
      <c r="E1939" s="4" t="str">
        <f ca="1">IFERROR(__xludf.DUMMYFUNCTION("GOOGLETRANSLATE(A1939 , ""tr"" , ""en"")"),"My friend of my friend becomes a Süleyman noble discharge. COVID-19 treatment will be completed at home for a while. We are happy to continue with the old energy to their work. I offer our wishes and their family again.")</f>
        <v>My friend of my friend becomes a Süleyman noble discharge. COVID-19 treatment will be completed at home for a while. We are happy to continue with the old energy to their work. I offer our wishes and their family again.</v>
      </c>
    </row>
    <row r="1940" spans="1:5" ht="15.75" customHeight="1" x14ac:dyDescent="0.25">
      <c r="A1940" s="1" t="s">
        <v>3879</v>
      </c>
      <c r="B1940" s="1">
        <v>9234</v>
      </c>
      <c r="C1940" s="3">
        <v>44140.694479166668</v>
      </c>
      <c r="D1940" s="1" t="s">
        <v>3880</v>
      </c>
      <c r="E1940" s="4" t="str">
        <f ca="1">IFERROR(__xludf.DUMMYFUNCTION("GOOGLETRANSLATE(A1940 , ""tr"" , ""en"")"),"In the native vaccine study, the first app on the human began today. The study is carried out at the University of Erciyes. In this process, the vaccine in the phase-1 phase will be applied to 44 people. Phase-1 phase will be finished in the 5-6 weeks of "&amp;"time. (Description on a question) https://t.co/4zpp9ir52u")</f>
        <v>In the native vaccine study, the first app on the human began today. The study is carried out at the University of Erciyes. In this process, the vaccine in the phase-1 phase will be applied to 44 people. Phase-1 phase will be finished in the 5-6 weeks of time. (Description on a question) https://t.co/4zpp9ir52u</v>
      </c>
    </row>
    <row r="1941" spans="1:5" ht="15.75" customHeight="1" x14ac:dyDescent="0.25">
      <c r="A1941" s="1" t="s">
        <v>3881</v>
      </c>
      <c r="B1941" s="1">
        <v>6884</v>
      </c>
      <c r="C1941" s="3">
        <v>44140.681979166664</v>
      </c>
      <c r="D1941" s="1" t="s">
        <v>3882</v>
      </c>
      <c r="E1941" s="4" t="str">
        <f ca="1">IFERROR(__xludf.DUMMYFUNCTION("GOOGLETRANSLATE(A1941 , ""tr"" , ""en"")"),"In the Izmir Earthquake region, the importance of general health services is great, mainly COVID-19. By visiting the Umke polyclinic that continues to serve our people and earthquakes, we reviewed the needs. To psychological support without warming, our s"&amp;"tate is next to the people of Izmir. https://t.co/m10qxssehv")</f>
        <v>In the Izmir Earthquake region, the importance of general health services is great, mainly COVID-19. By visiting the Umke polyclinic that continues to serve our people and earthquakes, we reviewed the needs. To psychological support without warming, our state is next to the people of Izmir. https://t.co/m10qxssehv</v>
      </c>
    </row>
    <row r="1942" spans="1:5" ht="15.75" customHeight="1" x14ac:dyDescent="0.25">
      <c r="A1942" s="1" t="s">
        <v>3883</v>
      </c>
      <c r="B1942" s="1">
        <v>10784</v>
      </c>
      <c r="C1942" s="3">
        <v>44140.667592592596</v>
      </c>
      <c r="D1942" s="1" t="s">
        <v>3884</v>
      </c>
      <c r="E1942" s="4" t="str">
        <f ca="1">IFERROR(__xludf.DUMMYFUNCTION("GOOGLETRANSLATE(A1942 , ""tr"" , ""en"")"),"We have 2,311 new patients identified today. Our heavy patient number is 100 more than yesterday. We have to obstacle this increase. Stay away from contact and mobility unless they are obliged to afford to be caught in the disease. Give importance to hygi"&amp;"ene. Use the mask. https://t.co/rvlhe7786o")</f>
        <v>We have 2,311 new patients identified today. Our heavy patient number is 100 more than yesterday. We have to obstacle this increase. Stay away from contact and mobility unless they are obliged to afford to be caught in the disease. Give importance to hygiene. Use the mask. https://t.co/rvlhe7786o</v>
      </c>
    </row>
    <row r="1943" spans="1:5" ht="15.75" customHeight="1" x14ac:dyDescent="0.25">
      <c r="A1943" s="1" t="s">
        <v>3885</v>
      </c>
      <c r="B1943" s="1">
        <v>7805</v>
      </c>
      <c r="C1943" s="3">
        <v>44140.659143518518</v>
      </c>
      <c r="D1943" s="1" t="s">
        <v>3886</v>
      </c>
      <c r="E1943" s="4" t="str">
        <f ca="1">IFERROR(__xludf.DUMMYFUNCTION("GOOGLETRANSLATE(A1943 , ""tr"" , ""en"")"),"In Izmir, we visited the emergency response team of the volunteers of our Ministry. The young, aged tens of people under the dent, they did the first medical intervention in the moments of recovery. Due to their sacrifices, I thank each of the people of I"&amp;"zmir and in person. https://t.co/pnkncyme2I")</f>
        <v>In Izmir, we visited the emergency response team of the volunteers of our Ministry. The young, aged tens of people under the dent, they did the first medical intervention in the moments of recovery. Due to their sacrifices, I thank each of the people of Izmir and in person. https://t.co/pnkncyme2I</v>
      </c>
    </row>
    <row r="1944" spans="1:5" ht="15.75" customHeight="1" x14ac:dyDescent="0.25">
      <c r="A1944" s="1" t="s">
        <v>3887</v>
      </c>
      <c r="B1944" s="1">
        <v>16004</v>
      </c>
      <c r="C1944" s="3">
        <v>44140.597337962965</v>
      </c>
      <c r="D1944" s="1" t="s">
        <v>3888</v>
      </c>
      <c r="E1944" s="4" t="str">
        <f ca="1">IFERROR(__xludf.DUMMYFUNCTION("GOOGLETRANSLATE(A1944 , ""tr"" , ""en"")"),"Health status We all wonderfully wondered elif, sister essentialism and Ezel, we met with their mother. Their treatments continue. They are good. The health status of 3-year-old is well well. Will be taken to normal service tomorrow. Our young friends hav"&amp;"e good news from Ahmet Uncle with Günay.")</f>
        <v>Health status We all wonderfully wondered elif, sister essentialism and Ezel, we met with their mother. Their treatments continue. They are good. The health status of 3-year-old is well well. Will be taken to normal service tomorrow. Our young friends have good news from Ahmet Uncle with Günay.</v>
      </c>
    </row>
    <row r="1945" spans="1:5" ht="15.75" customHeight="1" x14ac:dyDescent="0.25">
      <c r="A1945" s="1" t="s">
        <v>3889</v>
      </c>
      <c r="B1945" s="1">
        <v>6169</v>
      </c>
      <c r="C1945" s="3">
        <v>44140.437743055554</v>
      </c>
      <c r="D1945" s="1" t="s">
        <v>3890</v>
      </c>
      <c r="E1945" s="4" t="str">
        <f ca="1">IFERROR(__xludf.DUMMYFUNCTION("GOOGLETRANSLATE(A1945 , ""tr"" , ""en"")"),"We are at Izmir. We have visited our patients who are injured in the earthquake and to visit our patients in progress. https://t.co/cprz9pzeli")</f>
        <v>We are at Izmir. We have visited our patients who are injured in the earthquake and to visit our patients in progress. https://t.co/cprz9pzeli</v>
      </c>
    </row>
    <row r="1946" spans="1:5" ht="15.75" customHeight="1" x14ac:dyDescent="0.25">
      <c r="A1946" s="1" t="s">
        <v>3891</v>
      </c>
      <c r="B1946" s="1">
        <v>44356</v>
      </c>
      <c r="C1946" s="3">
        <v>44140.006701388891</v>
      </c>
      <c r="D1946" s="1" t="s">
        <v>3892</v>
      </c>
      <c r="E1946" s="4" t="str">
        <f ca="1">IFERROR(__xludf.DUMMYFUNCTION("GOOGLETRANSLATE(A1946 , ""tr"" , ""en"")"),"Is it hurting any of the place per month? The urgent medicine specialist asking the question was a UMKE volunteering. Extracted from the bottom of the migration and how to ask a 3-year-old boy taken ambulance, how to ask the question?")</f>
        <v>Is it hurting any of the place per month? The urgent medicine specialist asking the question was a UMKE volunteering. Extracted from the bottom of the migration and how to ask a 3-year-old boy taken ambulance, how to ask the question?</v>
      </c>
    </row>
    <row r="1947" spans="1:5" ht="15.75" customHeight="1" x14ac:dyDescent="0.25">
      <c r="A1947" s="1" t="s">
        <v>3893</v>
      </c>
      <c r="B1947" s="1">
        <v>17179</v>
      </c>
      <c r="C1947" s="3">
        <v>44139.88486111111</v>
      </c>
      <c r="D1947" s="1" t="s">
        <v>3894</v>
      </c>
      <c r="E1947" s="4" t="str">
        <f ca="1">IFERROR(__xludf.DUMMYFUNCTION("GOOGLETRANSLATE(A1947 , ""tr"" , ""en"")"),"The National Medical Rescue Team Umke, the emergency response team of the volunteers of our Ministry. Members of more than 1,100,000 health matrades. You've seen them once again in the last quake. A secret heroes of hidden returning through the ruins and "&amp;"returning to their jobs. We owe them gratitude. https://t.co/xol3nokle")</f>
        <v>The National Medical Rescue Team Umke, the emergency response team of the volunteers of our Ministry. Members of more than 1,100,000 health matrades. You've seen them once again in the last quake. A secret heroes of hidden returning through the ruins and returning to their jobs. We owe them gratitude. https://t.co/xol3nokle</v>
      </c>
    </row>
    <row r="1948" spans="1:5" ht="15.75" customHeight="1" x14ac:dyDescent="0.2">
      <c r="A1948" s="5" t="s">
        <v>3895</v>
      </c>
      <c r="B1948" s="1">
        <v>31022</v>
      </c>
      <c r="C1948" s="3">
        <v>44139.760092592594</v>
      </c>
      <c r="D1948" s="1" t="s">
        <v>3896</v>
      </c>
      <c r="E1948" s="6" t="str">
        <f ca="1">IFERROR(__xludf.DUMMYFUNCTION("GOOGLETRANSLATE(A1948 , ""tr"" , ""en"")"),"https://t.co/bw8d2mckk7")</f>
        <v>https://t.co/bw8d2mckk7</v>
      </c>
    </row>
    <row r="1949" spans="1:5" ht="15.75" customHeight="1" x14ac:dyDescent="0.25">
      <c r="A1949" s="1" t="s">
        <v>3897</v>
      </c>
      <c r="B1949" s="1">
        <v>12297</v>
      </c>
      <c r="C1949" s="3">
        <v>44139.722916666666</v>
      </c>
      <c r="D1949" s="1" t="s">
        <v>3898</v>
      </c>
      <c r="E1949" s="4" t="str">
        <f ca="1">IFERROR(__xludf.DUMMYFUNCTION("GOOGLETRANSLATE(A1949 , ""tr"" , ""en"")"),"COVID-19 is spreading all over the world. In Istanbul, there is an increase in the number of caught viruses in Turkey. In the crowd with undiagnosed carriers, you can come together in any environment. One of the main reasons of case increases live as if t"&amp;"he life is on an epidemic. https://t.co/xvzz1oufzp")</f>
        <v>COVID-19 is spreading all over the world. In Istanbul, there is an increase in the number of caught viruses in Turkey. In the crowd with undiagnosed carriers, you can come together in any environment. One of the main reasons of case increases live as if the life is on an epidemic. https://t.co/xvzz1oufzp</v>
      </c>
    </row>
    <row r="1950" spans="1:5" ht="15.75" customHeight="1" x14ac:dyDescent="0.25">
      <c r="A1950" s="1" t="s">
        <v>3899</v>
      </c>
      <c r="B1950" s="1">
        <v>18334</v>
      </c>
      <c r="C1950" s="3">
        <v>44139.669583333336</v>
      </c>
      <c r="D1950" s="1" t="s">
        <v>3900</v>
      </c>
      <c r="E1950" s="4" t="str">
        <f ca="1">IFERROR(__xludf.DUMMYFUNCTION("GOOGLETRANSLATE(A1950 , ""tr"" , ""en"")"),"We have 2,391 patients identified today. Our severe patient count reached 2.464. It is not possible without reducing the theme under control of the epidemic. Our health personnel should not fall tired. Reduce theme to support them. Give importance to hygi"&amp;"ene. Use the mask. https://t.co/rvlhe7786o")</f>
        <v>We have 2,391 patients identified today. Our severe patient count reached 2.464. It is not possible without reducing the theme under control of the epidemic. Our health personnel should not fall tired. Reduce theme to support them. Give importance to hygiene. Use the mask. https://t.co/rvlhe7786o</v>
      </c>
    </row>
    <row r="1951" spans="1:5" ht="15.75" customHeight="1" x14ac:dyDescent="0.25">
      <c r="A1951" s="1" t="s">
        <v>3901</v>
      </c>
      <c r="B1951" s="1">
        <v>14048</v>
      </c>
      <c r="C1951" s="3">
        <v>44138.844583333332</v>
      </c>
      <c r="D1951" s="1" t="s">
        <v>3902</v>
      </c>
      <c r="E1951" s="4" t="str">
        <f ca="1">IFERROR(__xludf.DUMMYFUNCTION("GOOGLETRANSLATE(A1951 , ""tr"" , ""en"")"),"If the COVID-19 test is positive that you have shared the same environment, the COVID-19 test is positively, protect family members even if it is not a symptom. Be careful not to stand close to your elders, use the mask when you are there. Your family phy"&amp;"sician will follow you. The rules are also valid at home. https://t.co/sv7vbilzge")</f>
        <v>If the COVID-19 test is positive that you have shared the same environment, the COVID-19 test is positively, protect family members even if it is not a symptom. Be careful not to stand close to your elders, use the mask when you are there. Your family physician will follow you. The rules are also valid at home. https://t.co/sv7vbilzge</v>
      </c>
    </row>
    <row r="1952" spans="1:5" ht="15.75" customHeight="1" x14ac:dyDescent="0.25">
      <c r="A1952" s="1" t="s">
        <v>3903</v>
      </c>
      <c r="B1952" s="1">
        <v>11074</v>
      </c>
      <c r="C1952" s="3">
        <v>44138.83792824074</v>
      </c>
      <c r="D1952" s="1" t="s">
        <v>3904</v>
      </c>
      <c r="E1952" s="4" t="str">
        <f ca="1">IFERROR(__xludf.DUMMYFUNCTION("GOOGLETRANSLATE(A1952 , ""tr"" , ""en"")"),"Follow yourself in terms of COVID-19 symptoms if the test of someone you are contacted is positively. Even if you do not show the symptom, try to be isolated. Your name in the contact list may be unsaid. Call your family physician if they are not reached "&amp;"within 1 day. https://t.co/0j8PI1YMRQ")</f>
        <v>Follow yourself in terms of COVID-19 symptoms if the test of someone you are contacted is positively. Even if you do not show the symptom, try to be isolated. Your name in the contact list may be unsaid. Call your family physician if they are not reached within 1 day. https://t.co/0j8PI1YMRQ</v>
      </c>
    </row>
    <row r="1953" spans="1:5" ht="15.75" customHeight="1" x14ac:dyDescent="0.25">
      <c r="A1953" s="1" t="s">
        <v>3905</v>
      </c>
      <c r="B1953" s="1">
        <v>31277</v>
      </c>
      <c r="C1953" s="3">
        <v>44138.830914351849</v>
      </c>
      <c r="D1953" s="1" t="s">
        <v>3906</v>
      </c>
      <c r="E1953" s="4" t="str">
        <f ca="1">IFERROR(__xludf.DUMMYFUNCTION("GOOGLETRANSLATE(A1953 , ""tr"" , ""en"")"),"If your COVID-19 test has been positive, give them information if you have contacted 2 days before the beginning of the symptoms. They follow themselves. Don't skip anyone when giving a contact with our filion teams. We reduce the propagation of how caref"&amp;"ul you are. https://t.co/nhtzpmei33")</f>
        <v>If your COVID-19 test has been positive, give them information if you have contacted 2 days before the beginning of the symptoms. They follow themselves. Don't skip anyone when giving a contact with our filion teams. We reduce the propagation of how careful you are. https://t.co/nhtzpmei33</v>
      </c>
    </row>
    <row r="1954" spans="1:5" ht="15.75" customHeight="1" x14ac:dyDescent="0.25">
      <c r="A1954" s="1" t="s">
        <v>3907</v>
      </c>
      <c r="B1954" s="1">
        <v>16395</v>
      </c>
      <c r="C1954" s="3">
        <v>44138.714317129627</v>
      </c>
      <c r="D1954" s="1" t="s">
        <v>3908</v>
      </c>
      <c r="E1954" s="4" t="str">
        <f ca="1">IFERROR(__xludf.DUMMYFUNCTION("GOOGLETRANSLATE(A1954 , ""tr"" , ""en"")"),"We have 2,343 new patients identified today. Our severe patient count continues to increase. To comply with the most important force that can change the course of the epidemic. For measures, we are not given the opportunity to spread the virus. Give stren"&amp;"gth to the challenge. https://t.co/rvlhe7786o")</f>
        <v>We have 2,343 new patients identified today. Our severe patient count continues to increase. To comply with the most important force that can change the course of the epidemic. For measures, we are not given the opportunity to spread the virus. Give strength to the challenge. https://t.co/rvlhe7786o</v>
      </c>
    </row>
    <row r="1955" spans="1:5" ht="15.75" customHeight="1" x14ac:dyDescent="0.25">
      <c r="A1955" s="1" t="s">
        <v>3909</v>
      </c>
      <c r="B1955" s="1">
        <v>0</v>
      </c>
      <c r="C1955" s="3">
        <v>44138.688692129632</v>
      </c>
      <c r="D1955" s="1" t="s">
        <v>3910</v>
      </c>
      <c r="E1955" s="4" t="str">
        <f ca="1">IFERROR(__xludf.DUMMYFUNCTION("GOOGLETRANSLATE(A1955 , ""tr"" , ""en"")"),"RT @rterdogan: Shouting Nation After Cabinet Meeting https://t.co/cbycwt7pok")</f>
        <v>RT @rterdogan: Shouting Nation After Cabinet Meeting https://t.co/cbycwt7pok</v>
      </c>
    </row>
    <row r="1956" spans="1:5" ht="15.75" customHeight="1" x14ac:dyDescent="0.25">
      <c r="A1956" s="1" t="s">
        <v>3911</v>
      </c>
      <c r="B1956" s="1">
        <v>0</v>
      </c>
      <c r="C1956" s="3">
        <v>44138.393055555556</v>
      </c>
      <c r="D1956" s="1" t="s">
        <v>3912</v>
      </c>
      <c r="E1956" s="4" t="str">
        <f ca="1">IFERROR(__xludf.DUMMYFUNCTION("GOOGLETRANSLATE(A1956 , ""tr"" , ""en"")"),"RT @rterdogan: The name of the miracle is in a month ... 91 hours later, with your smiling eyes to all of us with new hopes to allah to God. ...")</f>
        <v>RT @rterdogan: The name of the miracle is in a month ... 91 hours later, with your smiling eyes to all of us with new hopes to allah to God. ...</v>
      </c>
    </row>
    <row r="1957" spans="1:5" ht="15.75" customHeight="1" x14ac:dyDescent="0.25">
      <c r="A1957" s="1" t="s">
        <v>3913</v>
      </c>
      <c r="B1957" s="1">
        <v>190987</v>
      </c>
      <c r="C1957" s="3">
        <v>44138.359768518516</v>
      </c>
      <c r="D1957" s="1" t="s">
        <v>3914</v>
      </c>
      <c r="E1957" s="4" t="str">
        <f ca="1">IFERROR(__xludf.DUMMYFUNCTION("GOOGLETRANSLATE(A1957 , ""tr"" , ""en"")"),"Ayda has no hurting place. Wants meatballs and ayran. https://t.co/nhmv2splnw")</f>
        <v>Ayda has no hurting place. Wants meatballs and ayran. https://t.co/nhmv2splnw</v>
      </c>
    </row>
    <row r="1958" spans="1:5" ht="15.75" customHeight="1" x14ac:dyDescent="0.25">
      <c r="A1958" s="1" t="s">
        <v>3915</v>
      </c>
      <c r="B1958" s="1">
        <v>100480</v>
      </c>
      <c r="C1958" s="3">
        <v>44138.341400462959</v>
      </c>
      <c r="D1958" s="1" t="s">
        <v>3916</v>
      </c>
      <c r="E1958" s="4" t="str">
        <f ca="1">IFERROR(__xludf.DUMMYFUNCTION("GOOGLETRANSLATE(A1958 , ""tr"" , ""en"")"),"Traveler per month. 3 years old. And after 91 hours is again among us! https://t.co/scdcsez6ys")</f>
        <v>Traveler per month. 3 years old. And after 91 hours is again among us! https://t.co/scdcsez6ys</v>
      </c>
    </row>
    <row r="1959" spans="1:5" ht="15.75" customHeight="1" x14ac:dyDescent="0.25">
      <c r="A1959" s="1" t="s">
        <v>3917</v>
      </c>
      <c r="B1959" s="1">
        <v>15539</v>
      </c>
      <c r="C1959" s="3">
        <v>44137.907280092593</v>
      </c>
      <c r="D1959" s="1" t="s">
        <v>3918</v>
      </c>
      <c r="E1959" s="4" t="str">
        <f ca="1">IFERROR(__xludf.DUMMYFUNCTION("GOOGLETRANSLATE(A1959 , ""tr"" , ""en"")"),"According to the results of the search and recovery studies, our life loss increased to 95. The treatment of the patients currently continued, 147. Currently 12 patients in intensive care, the state of 5 is heavy. As of this evening, the number of patient"&amp;"s discharged by completing the treatments are 847.")</f>
        <v>According to the results of the search and recovery studies, our life loss increased to 95. The treatment of the patients currently continued, 147. Currently 12 patients in intensive care, the state of 5 is heavy. As of this evening, the number of patients discharged by completing the treatments are 847.</v>
      </c>
    </row>
    <row r="1960" spans="1:5" ht="15.75" customHeight="1" x14ac:dyDescent="0.25">
      <c r="A1960" s="1" t="s">
        <v>3919</v>
      </c>
      <c r="B1960" s="1">
        <v>12334</v>
      </c>
      <c r="C1960" s="3">
        <v>44137.820983796293</v>
      </c>
      <c r="D1960" s="1" t="s">
        <v>3920</v>
      </c>
      <c r="E1960" s="4" t="str">
        <f ca="1">IFERROR(__xludf.DUMMYFUNCTION("GOOGLETRANSLATE(A1960 , ""tr"" , ""en"")"),"Do not visit your hilarity returning to Istanbul for a while. In the city to spend the winter in more relaxed conditions, the majority of the population of the many years of age are expecting some risks. 40% of cases here. The face to face is objectionabl"&amp;"e. Please learn the needs of your elders over the phone.")</f>
        <v>Do not visit your hilarity returning to Istanbul for a while. In the city to spend the winter in more relaxed conditions, the majority of the population of the many years of age are expecting some risks. 40% of cases here. The face to face is objectionable. Please learn the needs of your elders over the phone.</v>
      </c>
    </row>
    <row r="1961" spans="1:5" ht="15.75" customHeight="1" x14ac:dyDescent="0.25">
      <c r="A1961" s="1" t="s">
        <v>3921</v>
      </c>
      <c r="B1961" s="1">
        <v>43503</v>
      </c>
      <c r="C1961" s="3">
        <v>44137.814456018517</v>
      </c>
      <c r="D1961" s="1" t="s">
        <v>3922</v>
      </c>
      <c r="E1961" s="4" t="str">
        <f ca="1">IFERROR(__xludf.DUMMYFUNCTION("GOOGLETRANSLATE(A1961 , ""tr"" , ""en"")"),"If you are in Istanbul, don't leave. 40% of cases in Turkey in the city where you live. A non-symptom-free carrier may be a non-detected contact. Postponement if your trip is not very necessary.")</f>
        <v>If you are in Istanbul, don't leave. 40% of cases in Turkey in the city where you live. A non-symptom-free carrier may be a non-detected contact. Postponement if your trip is not very necessary.</v>
      </c>
    </row>
    <row r="1962" spans="1:5" ht="15.75" customHeight="1" x14ac:dyDescent="0.25">
      <c r="A1962" s="1" t="s">
        <v>3923</v>
      </c>
      <c r="B1962" s="1">
        <v>19236</v>
      </c>
      <c r="C1962" s="3">
        <v>44137.807430555556</v>
      </c>
      <c r="D1962" s="1" t="s">
        <v>3924</v>
      </c>
      <c r="E1962" s="4" t="str">
        <f ca="1">IFERROR(__xludf.DUMMYFUNCTION("GOOGLETRANSLATE(A1962 , ""tr"" , ""en"")"),"The journey to Istanbul? Watch your health status 7 days without departing. Fever, dry cough, fatigue, sore throat, taste or smell senses, respiratory difficulty, etc. If you have a complaint, postpone the trip. Apply to a healthcare institution.")</f>
        <v>The journey to Istanbul? Watch your health status 7 days without departing. Fever, dry cough, fatigue, sore throat, taste or smell senses, respiratory difficulty, etc. If you have a complaint, postpone the trip. Apply to a healthcare institution.</v>
      </c>
    </row>
    <row r="1963" spans="1:5" ht="15.75" customHeight="1" x14ac:dyDescent="0.25">
      <c r="A1963" s="1" t="s">
        <v>3925</v>
      </c>
      <c r="B1963" s="1">
        <v>6692</v>
      </c>
      <c r="C1963" s="3">
        <v>44137.793773148151</v>
      </c>
      <c r="D1963" s="1" t="s">
        <v>3926</v>
      </c>
      <c r="E1963" s="4" t="str">
        <f ca="1">IFERROR(__xludf.DUMMYFUNCTION("GOOGLETRANSLATE(A1963 , ""tr"" , ""en"")"),"In Istanbul, one of our hospitals focused on the struggle of outbreaks. Dr. By visiting the Feriha Self Emergency Hospital, we reviewed the situation against new case increases. At the point of the point, we are prepared for us, you need to be very carefu"&amp;"l. https://t.co/qppjivbrro")</f>
        <v>In Istanbul, one of our hospitals focused on the struggle of outbreaks. Dr. By visiting the Feriha Self Emergency Hospital, we reviewed the situation against new case increases. At the point of the point, we are prepared for us, you need to be very careful. https://t.co/qppjivbrro</v>
      </c>
    </row>
    <row r="1964" spans="1:5" ht="15.75" customHeight="1" x14ac:dyDescent="0.25">
      <c r="A1964" s="1" t="s">
        <v>3927</v>
      </c>
      <c r="B1964" s="1">
        <v>6245</v>
      </c>
      <c r="C1964" s="3">
        <v>44137.737916666665</v>
      </c>
      <c r="D1964" s="1" t="s">
        <v>3928</v>
      </c>
      <c r="E1964" s="4" t="str">
        <f ca="1">IFERROR(__xludf.DUMMYFUNCTION("GOOGLETRANSLATE(A1964 , ""tr"" , ""en"")"),"Sultangazi Haseki Education and Research Hospital with the Focused Struggle in Istanbul. Dr. By visiting the Murat Dilmener Emergency Hospital, we reviewed the situation again. We need to be very careful together against case increases. https://t.co/v6fql"&amp;"yrcfp")</f>
        <v>Sultangazi Haseki Education and Research Hospital with the Focused Struggle in Istanbul. Dr. By visiting the Murat Dilmener Emergency Hospital, we reviewed the situation again. We need to be very careful together against case increases. https://t.co/v6fqlyrcfp</v>
      </c>
    </row>
    <row r="1965" spans="1:5" ht="15.75" customHeight="1" x14ac:dyDescent="0.25">
      <c r="A1965" s="1" t="s">
        <v>3929</v>
      </c>
      <c r="B1965" s="1">
        <v>21412</v>
      </c>
      <c r="C1965" s="3">
        <v>44137.708703703705</v>
      </c>
      <c r="D1965" s="1" t="s">
        <v>3930</v>
      </c>
      <c r="E1965" s="4" t="str">
        <f ca="1">IFERROR(__xludf.DUMMYFUNCTION("GOOGLETRANSLATE(A1965 , ""tr"" , ""en"")"),"Current conditions in Izmir are very convenient to spread COVID-19. Let's not allow hard days to get harder. The decrease of cases depends on our control. Let's not give new losses due to COVID-19.")</f>
        <v>Current conditions in Izmir are very convenient to spread COVID-19. Let's not allow hard days to get harder. The decrease of cases depends on our control. Let's not give new losses due to COVID-19.</v>
      </c>
    </row>
    <row r="1966" spans="1:5" ht="15.75" customHeight="1" x14ac:dyDescent="0.25">
      <c r="A1966" s="1" t="s">
        <v>3931</v>
      </c>
      <c r="B1966" s="1">
        <v>10527</v>
      </c>
      <c r="C1966" s="3">
        <v>44137.666666666664</v>
      </c>
      <c r="D1966" s="1" t="s">
        <v>3932</v>
      </c>
      <c r="E1966" s="4" t="str">
        <f ca="1">IFERROR(__xludf.DUMMYFUNCTION("GOOGLETRANSLATE(A1966 , ""tr"" , ""en"")"),"We have 2,302 patients identified today. Our severe patient count has reached 2,341, increased by 164 today. We cannot succeed with the sacrifice of health workers only in the fight against outbreak. We should join all together and do not compromise the m"&amp;"easures. https://t.co/rvlhe7786o")</f>
        <v>We have 2,302 patients identified today. Our severe patient count has reached 2,341, increased by 164 today. We cannot succeed with the sacrifice of health workers only in the fight against outbreak. We should join all together and do not compromise the measures. https://t.co/rvlhe7786o</v>
      </c>
    </row>
    <row r="1967" spans="1:5" ht="15.75" customHeight="1" x14ac:dyDescent="0.25">
      <c r="A1967" s="1" t="s">
        <v>3933</v>
      </c>
      <c r="B1967" s="1">
        <v>109196</v>
      </c>
      <c r="C1967" s="3">
        <v>44137.585798611108</v>
      </c>
      <c r="D1967" s="1" t="s">
        <v>3934</v>
      </c>
      <c r="E1967" s="4" t="str">
        <f ca="1">IFERROR(__xludf.DUMMYFUNCTION("GOOGLETRANSLATE(A1967 , ""tr"" , ""en"")"),"After 65 hours, I shared the Saved Elif's health status information for 2 hours ago. Message to those who wonder himself now. https://t.co/6a5y9fsmfc")</f>
        <v>After 65 hours, I shared the Saved Elif's health status information for 2 hours ago. Message to those who wonder himself now. https://t.co/6a5y9fsmfc</v>
      </c>
    </row>
    <row r="1968" spans="1:5" ht="15.75" customHeight="1" x14ac:dyDescent="0.25">
      <c r="A1968" s="1" t="s">
        <v>3935</v>
      </c>
      <c r="B1968" s="1">
        <v>13335</v>
      </c>
      <c r="C1968" s="3">
        <v>44137.554375</v>
      </c>
      <c r="D1968" s="1" t="s">
        <v>3936</v>
      </c>
      <c r="E1968" s="4" t="str">
        <f ca="1">IFERROR(__xludf.DUMMYFUNCTION("GOOGLETRANSLATE(A1968 , ""tr"" , ""en"")"),"Our life loss increased to 91 with newly extracted by debris. 155 people are still under treatment. 10 patients are in intensive care, the state of 3 is heavy. 8 from the hospital removed so far, 8 could not be recovered despite all interventions. The tre"&amp;"atments are completed and the number of people discharged 839.")</f>
        <v>Our life loss increased to 91 with newly extracted by debris. 155 people are still under treatment. 10 patients are in intensive care, the state of 3 is heavy. 8 from the hospital removed so far, 8 could not be recovered despite all interventions. The treatments are completed and the number of people discharged 839.</v>
      </c>
    </row>
    <row r="1969" spans="1:5" ht="15.75" customHeight="1" x14ac:dyDescent="0.25">
      <c r="A1969" s="1" t="s">
        <v>3937</v>
      </c>
      <c r="B1969" s="1">
        <v>12554</v>
      </c>
      <c r="C1969" s="3">
        <v>44137.490868055553</v>
      </c>
      <c r="D1969" s="1" t="s">
        <v>3938</v>
      </c>
      <c r="E1969" s="4" t="str">
        <f ca="1">IFERROR(__xludf.DUMMYFUNCTION("GOOGLETRANSLATE(A1969 , ""tr"" , ""en"")"),"In the October 30 Izmir earthquake, we have 85 life losses so far. The treatment of 220 people is still underway. Our 3 patients are in intensive care. 774 people were discharged by completing treatments.")</f>
        <v>In the October 30 Izmir earthquake, we have 85 life losses so far. The treatment of 220 people is still underway. Our 3 patients are in intensive care. 774 people were discharged by completing treatments.</v>
      </c>
    </row>
    <row r="1970" spans="1:5" ht="15.75" customHeight="1" x14ac:dyDescent="0.25">
      <c r="A1970" s="1" t="s">
        <v>3939</v>
      </c>
      <c r="B1970" s="1">
        <v>24839</v>
      </c>
      <c r="C1970" s="3">
        <v>44137.481030092589</v>
      </c>
      <c r="D1970" s="1" t="s">
        <v>3940</v>
      </c>
      <c r="E1970" s="4" t="str">
        <f ca="1">IFERROR(__xludf.DUMMYFUNCTION("GOOGLETRANSLATE(A1970 , ""tr"" , ""en"")"),"The idil is cute. Recovered after 55 hours. 14 years old. Health status: Awareness clear, vital functions in place, kidney functions are normal. It is being followed in intense care for long-standing and stuck under the debris. Not fractured in the spine "&amp;"in the examination.")</f>
        <v>The idil is cute. Recovered after 55 hours. 14 years old. Health status: Awareness clear, vital functions in place, kidney functions are normal. It is being followed in intense care for long-standing and stuck under the debris. Not fractured in the spine in the examination.</v>
      </c>
    </row>
    <row r="1971" spans="1:5" ht="15.75" customHeight="1" x14ac:dyDescent="0.25">
      <c r="A1971" s="1" t="s">
        <v>3941</v>
      </c>
      <c r="B1971" s="1">
        <v>67748</v>
      </c>
      <c r="C1971" s="3">
        <v>44137.472615740742</v>
      </c>
      <c r="D1971" s="1" t="s">
        <v>3942</v>
      </c>
      <c r="E1971" s="4" t="str">
        <f ca="1">IFERROR(__xludf.DUMMYFUNCTION("GOOGLETRANSLATE(A1971 , ""tr"" , ""en"")"),"Elif perinçek. Recovered after 65 hours. 3 years old. Health status: Awareness is an open, serious muscle crushing or fracture. It is being followed in intense care for long-standing and stuck under the debris. The situation of the two sister is well.")</f>
        <v>Elif perinçek. Recovered after 65 hours. 3 years old. Health status: Awareness is an open, serious muscle crushing or fracture. It is being followed in intense care for long-standing and stuck under the debris. The situation of the two sister is well.</v>
      </c>
    </row>
    <row r="1972" spans="1:5" ht="15.75" customHeight="1" x14ac:dyDescent="0.25">
      <c r="A1972" s="1" t="s">
        <v>3943</v>
      </c>
      <c r="B1972" s="1">
        <v>59193</v>
      </c>
      <c r="C1972" s="3">
        <v>44137.422222222223</v>
      </c>
      <c r="D1972" s="1" t="s">
        <v>3944</v>
      </c>
      <c r="E1972" s="4" t="str">
        <f ca="1">IFERROR(__xludf.DUMMYFUNCTION("GOOGLETRANSLATE(A1972 , ""tr"" , ""en"")"),"After 65 hours!
We thank Elif and our rescue teams. https://t.co/gmxo5pnayf")</f>
        <v>After 65 hours!
We thank Elif and our rescue teams. https://t.co/gmxo5pnayf</v>
      </c>
    </row>
    <row r="1973" spans="1:5" ht="15.75" customHeight="1" x14ac:dyDescent="0.25">
      <c r="A1973" s="1" t="s">
        <v>3945</v>
      </c>
      <c r="B1973" s="1">
        <v>71736</v>
      </c>
      <c r="C1973" s="3">
        <v>44137.2653125</v>
      </c>
      <c r="D1973" s="1" t="s">
        <v>3946</v>
      </c>
      <c r="E1973" s="4" t="str">
        <f ca="1">IFERROR(__xludf.DUMMYFUNCTION("GOOGLETRANSLATE(A1973 , ""tr"" , ""en"")"),"Life has earned one more time.
Following our idyll girl, our 3-year-old elif girl returning to us after 65 hours, said Hi to life again. You have the hope and strength to struggle with life. We are grateful to our teams. https://t.co/Ukl6kqv2wg")</f>
        <v>Life has earned one more time.
Following our idyll girl, our 3-year-old elif girl returning to us after 65 hours, said Hi to life again. You have the hope and strength to struggle with life. We are grateful to our teams. https://t.co/Ukl6kqv2wg</v>
      </c>
    </row>
    <row r="1974" spans="1:5" ht="15.75" customHeight="1" x14ac:dyDescent="0.25">
      <c r="A1974" s="1" t="s">
        <v>3947</v>
      </c>
      <c r="B1974" s="1">
        <v>15114</v>
      </c>
      <c r="C1974" s="3">
        <v>44136.666597222225</v>
      </c>
      <c r="D1974" s="1" t="s">
        <v>3948</v>
      </c>
      <c r="E1974" s="4" t="str">
        <f ca="1">IFERROR(__xludf.DUMMYFUNCTION("GOOGLETRANSLATE(A1974 , ""tr"" , ""en"")"),"We have 2,106 patients identified today. The rise in the number of severe patients continued today. We have to lower the number of severe patients. Our health personnel are working with ordinary sacrifice in each usual state. Follow the measures to suppor"&amp;"t them. https://t.co/rvlhe7786o")</f>
        <v>We have 2,106 patients identified today. The rise in the number of severe patients continued today. We have to lower the number of severe patients. Our health personnel are working with ordinary sacrifice in each usual state. Follow the measures to support them. https://t.co/rvlhe7786o</v>
      </c>
    </row>
    <row r="1975" spans="1:5" ht="15.75" customHeight="1" x14ac:dyDescent="0.25">
      <c r="A1975" s="1" t="s">
        <v>3949</v>
      </c>
      <c r="B1975" s="1">
        <v>12936</v>
      </c>
      <c r="C1975" s="3">
        <v>44136.607245370367</v>
      </c>
      <c r="D1975" s="1" t="s">
        <v>3950</v>
      </c>
      <c r="E1975" s="4" t="str">
        <f ca="1">IFERROR(__xludf.DUMMYFUNCTION("GOOGLETRANSLATE(A1975 , ""tr"" , ""en"")"),"Studies continue in the wreck of 8 building. Our Afad, Umke and other official teams have saved the lives of 104 people so far. People who are not yet to be reached, perhaps the recovery is still possible. We have received information from our friends. Ou"&amp;"r hope is life to favor. https://t.co.co5k9fxskx")</f>
        <v>Studies continue in the wreck of 8 building. Our Afad, Umke and other official teams have saved the lives of 104 people so far. People who are not yet to be reached, perhaps the recovery is still possible. We have received information from our friends. Our hope is life to favor. https://t.co.co5k9fxskx</v>
      </c>
    </row>
    <row r="1976" spans="1:5" ht="15.75" customHeight="1" x14ac:dyDescent="0.25">
      <c r="A1976" s="1" t="s">
        <v>3951</v>
      </c>
      <c r="B1976" s="1">
        <v>6083</v>
      </c>
      <c r="C1976" s="3">
        <v>44136.522685185184</v>
      </c>
      <c r="D1976" s="1" t="s">
        <v>3952</v>
      </c>
      <c r="E1976" s="4" t="str">
        <f ca="1">IFERROR(__xludf.DUMMYFUNCTION("GOOGLETRANSLATE(A1976 , ""tr"" , ""en"")"),"Our lost patients and discharged patients with the recent information: https://t.co/dx4vusscuc")</f>
        <v>Our lost patients and discharged patients with the recent information: https://t.co/dx4vusscuc</v>
      </c>
    </row>
    <row r="1977" spans="1:5" ht="15.75" customHeight="1" x14ac:dyDescent="0.25">
      <c r="A1977" s="1" t="s">
        <v>3953</v>
      </c>
      <c r="B1977" s="1">
        <v>11930</v>
      </c>
      <c r="C1977" s="3">
        <v>44136.487175925926</v>
      </c>
      <c r="D1977" s="1" t="s">
        <v>3954</v>
      </c>
      <c r="E1977" s="4" t="str">
        <f ca="1">IFERROR(__xludf.DUMMYFUNCTION("GOOGLETRANSLATE(A1977 , ""tr"" , ""en"")"),"Last night we've visited our uncle of the Ahmet fence recovered while over 01.00 waters, 34 hours over the earthquake. We were next to the first medical intervention at the scene. The general situation is good. It will be even better in a short period of "&amp;"time. https://t.co/8uvd5gyfk8")</f>
        <v>Last night we've visited our uncle of the Ahmet fence recovered while over 01.00 waters, 34 hours over the earthquake. We were next to the first medical intervention at the scene. The general situation is good. It will be even better in a short period of time. https://t.co/8uvd5gyfk8</v>
      </c>
    </row>
    <row r="1978" spans="1:5" ht="15.75" customHeight="1" x14ac:dyDescent="0.25">
      <c r="A1978" s="1" t="s">
        <v>3955</v>
      </c>
      <c r="B1978" s="1">
        <v>38744</v>
      </c>
      <c r="C1978" s="3">
        <v>44136.480462962965</v>
      </c>
      <c r="D1978" s="1" t="s">
        <v>3956</v>
      </c>
      <c r="E1978" s="4" t="str">
        <f ca="1">IFERROR(__xludf.DUMMYFUNCTION("GOOGLETRANSLATE(A1978 , ""tr"" , ""en"")"),"The COVID-19 test of the Süleyman Sütman is positively came out. We have seen a lot of support along the pandemia. Staying away from the site will rest for a while, although not suitable to the spirit of challenge. Fighting the virus is an easy struggle f"&amp;"or him. The past get precious brother.")</f>
        <v>The COVID-19 test of the Süleyman Sütman is positively came out. We have seen a lot of support along the pandemia. Staying away from the site will rest for a while, although not suitable to the spirit of challenge. Fighting the virus is an easy struggle for him. The past get precious brother.</v>
      </c>
    </row>
    <row r="1979" spans="1:5" ht="15.75" customHeight="1" x14ac:dyDescent="0.25">
      <c r="A1979" s="1" t="s">
        <v>3957</v>
      </c>
      <c r="B1979" s="1">
        <v>6574</v>
      </c>
      <c r="C1979" s="3">
        <v>44136.452175925922</v>
      </c>
      <c r="D1979" s="1" t="s">
        <v>3958</v>
      </c>
      <c r="E1979" s="4" t="str">
        <f ca="1">IFERROR(__xludf.DUMMYFUNCTION("GOOGLETRANSLATE(A1979 , ""tr"" , ""en"")"),"In the earthquake Izmir Buca Seyfi Demirsoy Hospital building was also partially damaged. We immediately evacuated this section. We are standing on the alternative action plans to produce solutions in the same place and maintain our services in the same p"&amp;"lace. Will not be in disruption. https://t.co/uiicjgrmhe")</f>
        <v>In the earthquake Izmir Buca Seyfi Demirsoy Hospital building was also partially damaged. We immediately evacuated this section. We are standing on the alternative action plans to produce solutions in the same place and maintain our services in the same place. Will not be in disruption. https://t.co/uiicjgrmhe</v>
      </c>
    </row>
    <row r="1980" spans="1:5" ht="15.75" customHeight="1" x14ac:dyDescent="0.25">
      <c r="A1980" s="1" t="s">
        <v>3959</v>
      </c>
      <c r="B1980" s="1">
        <v>18344</v>
      </c>
      <c r="C1980" s="3">
        <v>44136.444861111115</v>
      </c>
      <c r="D1980" s="1" t="s">
        <v>3960</v>
      </c>
      <c r="E1980" s="4" t="str">
        <f ca="1">IFERROR(__xludf.DUMMYFUNCTION("GOOGLETRANSLATE(A1980 , ""tr"" , ""en"")"),"We have joined the Funeral of Halil Berk Öztürk. I wish his family again. May Allah mitigate their pain, don't give anyone of our adoption. https://t.co/kgky0fqv9I")</f>
        <v>We have joined the Funeral of Halil Berk Öztürk. I wish his family again. May Allah mitigate their pain, don't give anyone of our adoption. https://t.co/kgky0fqv9I</v>
      </c>
    </row>
    <row r="1981" spans="1:5" ht="15.75" customHeight="1" x14ac:dyDescent="0.25">
      <c r="A1981" s="1" t="s">
        <v>3961</v>
      </c>
      <c r="B1981" s="1">
        <v>5748</v>
      </c>
      <c r="C1981" s="3">
        <v>44136.351759259262</v>
      </c>
      <c r="D1981" s="1" t="s">
        <v>3962</v>
      </c>
      <c r="E1981" s="4" t="str">
        <f ca="1">IFERROR(__xludf.DUMMYFUNCTION("GOOGLETRANSLATE(A1981 , ""tr"" , ""en"")"),"Our CAN Losses in the Earthquake, Continued Patients, Health Services and Rescue Studies About our Health Services and Rescue Studies: Https://t.co/nxwec8a3ec")</f>
        <v>Our CAN Losses in the Earthquake, Continued Patients, Health Services and Rescue Studies About our Health Services and Rescue Studies: Https://t.co/nxwec8a3ec</v>
      </c>
    </row>
    <row r="1982" spans="1:5" ht="15.75" customHeight="1" x14ac:dyDescent="0.25">
      <c r="A1982" s="1" t="s">
        <v>3963</v>
      </c>
      <c r="B1982" s="1">
        <v>33086</v>
      </c>
      <c r="C1982" s="3">
        <v>44136.234317129631</v>
      </c>
      <c r="D1982" s="1" t="s">
        <v>3964</v>
      </c>
      <c r="E1982" s="4" t="str">
        <f ca="1">IFERROR(__xludf.DUMMYFUNCTION("GOOGLETRANSLATE(A1982 , ""tr"" , ""en"")"),"Our reputable politician, Lawbery brother Professor We lost Burhan Lamb with COVID-19 to be treated since October 17. I wish himself to the mercy, the family and our condolences from Allah. The epidemic continues to distinguish us from our relatives, unal"&amp;"loyed people. https://t.co/kughI2ylua")</f>
        <v>Our reputable politician, Lawbery brother Professor We lost Burhan Lamb with COVID-19 to be treated since October 17. I wish himself to the mercy, the family and our condolences from Allah. The epidemic continues to distinguish us from our relatives, unalloyed people. https://t.co/kughI2ylua</v>
      </c>
    </row>
    <row r="1983" spans="1:5" ht="15.75" customHeight="1" x14ac:dyDescent="0.25">
      <c r="A1983" s="1" t="s">
        <v>3965</v>
      </c>
      <c r="B1983" s="1">
        <v>28650</v>
      </c>
      <c r="C1983" s="3">
        <v>44136.027557870373</v>
      </c>
      <c r="D1983" s="1" t="s">
        <v>3966</v>
      </c>
      <c r="E1983" s="4" t="str">
        <f ca="1">IFERROR(__xludf.DUMMYFUNCTION("GOOGLETRANSLATE(A1983 , ""tr"" , ""en"")"),"Life has earned one more time. Tonight at 01.00 waters, full 34 hours from the earthquake, our 70-year-old Ahmet Uncle managed to be right out of the ruins of Umke teams. The past get Ahmet Uncle. Thank you for your promise that makes us happy: ""I have n"&amp;"ever lost hope."" https://t.co/nwnbs0xozc")</f>
        <v>Life has earned one more time. Tonight at 01.00 waters, full 34 hours from the earthquake, our 70-year-old Ahmet Uncle managed to be right out of the ruins of Umke teams. The past get Ahmet Uncle. Thank you for your promise that makes us happy: "I have never lost hope." https://t.co/nwnbs0xozc</v>
      </c>
    </row>
    <row r="1984" spans="1:5" ht="15.75" customHeight="1" x14ac:dyDescent="0.25">
      <c r="A1984" s="1" t="s">
        <v>3967</v>
      </c>
      <c r="B1984" s="1">
        <v>6793</v>
      </c>
      <c r="C1984" s="3">
        <v>44135.971956018519</v>
      </c>
      <c r="D1984" s="1" t="s">
        <v>3968</v>
      </c>
      <c r="E1984" s="4" t="str">
        <f ca="1">IFERROR(__xludf.DUMMYFUNCTION("GOOGLETRANSLATE(A1984 , ""tr"" , ""en"")"),"At the meeting in the 112 emergency command center, we assessed the situation with our working friends who work in the management of disaster process. About 35 hours passed over the earthquake. For all things that can be done right now, we have consultati"&amp;"ons on their action plans. https://t.co/bgf3xb71ur")</f>
        <v>At the meeting in the 112 emergency command center, we assessed the situation with our working friends who work in the management of disaster process. About 35 hours passed over the earthquake. For all things that can be done right now, we have consultations on their action plans. https://t.co/bgf3xb71ur</v>
      </c>
    </row>
    <row r="1985" spans="1:5" ht="15.75" customHeight="1" x14ac:dyDescent="0.25">
      <c r="A1985" s="1" t="s">
        <v>3969</v>
      </c>
      <c r="B1985" s="1">
        <v>13852</v>
      </c>
      <c r="C1985" s="3">
        <v>44135.923738425925</v>
      </c>
      <c r="D1985" s="1" t="s">
        <v>3970</v>
      </c>
      <c r="E1985" s="4" t="str">
        <f ca="1">IFERROR(__xludf.DUMMYFUNCTION("GOOGLETRANSLATE(A1985 , ""tr"" , ""en"")"),"We have visited our recovery teams, communication by communicating by telephone and that we visited the Buse House, which he removed from under the debris and offered our wishes. We have listened to what you feel in those moments, we have received informa"&amp;"tion about the situation. Thank everyone who is concerned about himself. https://t.co/2dmhpt55ln")</f>
        <v>We have visited our recovery teams, communication by communicating by telephone and that we visited the Buse House, which he removed from under the debris and offered our wishes. We have listened to what you feel in those moments, we have received information about the situation. Thank everyone who is concerned about himself. https://t.co/2dmhpt55ln</v>
      </c>
    </row>
    <row r="1986" spans="1:5" ht="15.75" customHeight="1" x14ac:dyDescent="0.25">
      <c r="A1986" s="1" t="s">
        <v>3971</v>
      </c>
      <c r="B1986" s="1">
        <v>27908</v>
      </c>
      <c r="C1986" s="3">
        <v>44135.912800925929</v>
      </c>
      <c r="D1986" s="1" t="s">
        <v>3972</v>
      </c>
      <c r="E1986" s="4" t="str">
        <f ca="1">IFERROR(__xludf.DUMMYFUNCTION("GOOGLETRANSLATE(A1986 , ""tr"" , ""en"")"),"With Edanur from Umke team, we visited the pearl they recover from the underbridge. In recovery moments, the speeches between them had sent us all of us. Pearl's condition is good, the treatment will last for a while. Thank you for your historical wishes."&amp;" https://t.co/y8serpvfuv")</f>
        <v>With Edanur from Umke team, we visited the pearl they recover from the underbridge. In recovery moments, the speeches between them had sent us all of us. Pearl's condition is good, the treatment will last for a while. Thank you for your historical wishes. https://t.co/y8serpvfuv</v>
      </c>
    </row>
    <row r="1987" spans="1:5" ht="15.75" customHeight="1" x14ac:dyDescent="0.25">
      <c r="A1987" s="1" t="s">
        <v>3973</v>
      </c>
      <c r="B1987" s="1">
        <v>14954</v>
      </c>
      <c r="C1987" s="3">
        <v>44135.753032407411</v>
      </c>
      <c r="D1987" s="1" t="s">
        <v>3974</v>
      </c>
      <c r="E1987" s="4" t="str">
        <f ca="1">IFERROR(__xludf.DUMMYFUNCTION("GOOGLETRANSLATE(A1987 , ""tr"" , ""en"")"),"Treatments have visited the investigating earthquake. 218 people are still in our hospitals. 667 people were discharged. Our hospital staff shows an extraordinary performance. I offer all my patients with my wishes again. https://t.co/eon6fpa7rr")</f>
        <v>Treatments have visited the investigating earthquake. 218 people are still in our hospitals. 667 people were discharged. Our hospital staff shows an extraordinary performance. I offer all my patients with my wishes again. https://t.co/eon6fpa7rr</v>
      </c>
    </row>
    <row r="1988" spans="1:5" ht="15.75" customHeight="1" x14ac:dyDescent="0.25">
      <c r="A1988" s="1" t="s">
        <v>3975</v>
      </c>
      <c r="B1988" s="1">
        <v>0</v>
      </c>
      <c r="C1988" s="3">
        <v>44135.734953703701</v>
      </c>
      <c r="D1988" s="1" t="s">
        <v>3976</v>
      </c>
      <c r="E1988" s="4" t="str">
        <f ca="1">IFERROR(__xludf.DUMMYFUNCTION("GOOGLETRANSLATE(A1988 , ""tr"" , ""en"")"),"RT @tcbestepe: President Erdogan makes explanations in Izmir HTTPS://T.CO/WPSM4PZIGC")</f>
        <v>RT @tcbestepe: President Erdogan makes explanations in Izmir HTTPS://T.CO/WPSM4PZIGC</v>
      </c>
    </row>
    <row r="1989" spans="1:5" ht="15.75" customHeight="1" x14ac:dyDescent="0.25">
      <c r="A1989" s="1" t="s">
        <v>3977</v>
      </c>
      <c r="B1989" s="1">
        <v>10764</v>
      </c>
      <c r="C1989" s="3">
        <v>44135.67328703704</v>
      </c>
      <c r="D1989" s="1" t="s">
        <v>3978</v>
      </c>
      <c r="E1989" s="4" t="str">
        <f ca="1">IFERROR(__xludf.DUMMYFUNCTION("GOOGLETRANSLATE(A1989 , ""tr"" , ""en"")"),"112 Emergency Aid Teams and Umke Tims are in Izmir to care for the work of our Tims and to take care of our health services. We will continue to do everything we can to give you good news. https://t.co/ykawonc0pv")</f>
        <v>112 Emergency Aid Teams and Umke Tims are in Izmir to care for the work of our Tims and to take care of our health services. We will continue to do everything we can to give you good news. https://t.co/ykawonc0pv</v>
      </c>
    </row>
    <row r="1990" spans="1:5" ht="15.75" customHeight="1" x14ac:dyDescent="0.25">
      <c r="A1990" s="1" t="s">
        <v>3979</v>
      </c>
      <c r="B1990" s="1">
        <v>11747</v>
      </c>
      <c r="C1990" s="3">
        <v>44135.666863425926</v>
      </c>
      <c r="D1990" s="1" t="s">
        <v>3980</v>
      </c>
      <c r="E1990" s="4" t="str">
        <f ca="1">IFERROR(__xludf.DUMMYFUNCTION("GOOGLETRANSLATE(A1990 , ""tr"" , ""en"")"),"We have 2,213 new patients identified today. Our heavy patient count increased about 5% in one day. This indicates that we need to increase our sensitivity to the fight against outbreak. We have to lower theme to a third. Give strength to the challenge. h"&amp;"ttps://t.co/rvlhe7786o")</f>
        <v>We have 2,213 new patients identified today. Our heavy patient count increased about 5% in one day. This indicates that we need to increase our sensitivity to the fight against outbreak. We have to lower theme to a third. Give strength to the challenge. https://t.co/rvlhe7786o</v>
      </c>
    </row>
    <row r="1991" spans="1:5" ht="15.75" customHeight="1" x14ac:dyDescent="0.25">
      <c r="A1991" s="1" t="s">
        <v>3981</v>
      </c>
      <c r="B1991" s="1">
        <v>18624</v>
      </c>
      <c r="C1991" s="3">
        <v>44135.530810185184</v>
      </c>
      <c r="D1991" s="1" t="s">
        <v>3982</v>
      </c>
      <c r="E1991" s="4" t="str">
        <f ca="1">IFERROR(__xludf.DUMMYFUNCTION("GOOGLETRANSLATE(A1991 , ""tr"" , ""en"")"),"We have 28 loss. The 3 of the heavy 7 people are in intensive care, 243 people are still treated. 642 Treatment of the people is completed. 112 Emergency assistance teams, Umke Tims, ambulances and hospitals, we are at the head in Izmir to reduce our pain"&amp;".")</f>
        <v>We have 28 loss. The 3 of the heavy 7 people are in intensive care, 243 people are still treated. 642 Treatment of the people is completed. 112 Emergency assistance teams, Umke Tims, ambulances and hospitals, we are at the head in Izmir to reduce our pain.</v>
      </c>
    </row>
    <row r="1992" spans="1:5" ht="15.75" customHeight="1" x14ac:dyDescent="0.25">
      <c r="A1992" s="1" t="s">
        <v>3983</v>
      </c>
      <c r="B1992" s="1">
        <v>91359</v>
      </c>
      <c r="C1992" s="3">
        <v>44135.477743055555</v>
      </c>
      <c r="D1992" s="1" t="s">
        <v>3984</v>
      </c>
      <c r="E1992" s="4" t="str">
        <f ca="1">IFERROR(__xludf.DUMMYFUNCTION("GOOGLETRANSLATE(A1992 , ""tr"" , ""en"")"),"Umke Staff Eda: We'll go out in a moment with you, your mother is waiting for us.
""I have hope and will always be!"" https://t.co/v6kebtly5I")</f>
        <v>Umke Staff Eda: We'll go out in a moment with you, your mother is waiting for us.
"I have hope and will always be!" https://t.co/v6kebtly5I</v>
      </c>
    </row>
    <row r="1993" spans="1:5" ht="15.75" customHeight="1" x14ac:dyDescent="0.25">
      <c r="A1993" s="1" t="s">
        <v>3985</v>
      </c>
      <c r="B1993" s="1">
        <v>25190</v>
      </c>
      <c r="C1993" s="3">
        <v>44135.442175925928</v>
      </c>
      <c r="D1993" s="1" t="s">
        <v>3986</v>
      </c>
      <c r="E1993" s="4" t="str">
        <f ca="1">IFERROR(__xludf.DUMMYFUNCTION("GOOGLETRANSLATE(A1993 , ""tr"" , ""en"")"),"We have 26 losses. 25 In intensive care, 381 people are still treated. 4 surgery resulted in more successful. The treatment of 504 people is completed. 112 Emergency Aid Crews, Umke Tims, Ambulances and Hospitals, we are at the head in Izmir to reduce our"&amp;" pain")</f>
        <v>We have 26 losses. 25 In intensive care, 381 people are still treated. 4 surgery resulted in more successful. The treatment of 504 people is completed. 112 Emergency Aid Crews, Umke Tims, Ambulances and Hospitals, we are at the head in Izmir to reduce our pain</v>
      </c>
    </row>
    <row r="1994" spans="1:5" ht="15.75" customHeight="1" x14ac:dyDescent="0.25">
      <c r="A1994" s="1" t="s">
        <v>3987</v>
      </c>
      <c r="B1994" s="1">
        <v>12474</v>
      </c>
      <c r="C1994" s="3">
        <v>44135.253599537034</v>
      </c>
      <c r="D1994" s="1" t="s">
        <v>3988</v>
      </c>
      <c r="E1994" s="4" t="str">
        <f ca="1">IFERROR(__xludf.DUMMYFUNCTION("GOOGLETRANSLATE(A1994 , ""tr"" , ""en"")"),"Look for Alo 184 for your relatives
For your relatives you think may be damaged in the earthquake, call the 184 Sabim Lines of our Ministry. If we are under our treatment, find out their health status and what hospital. https://t.co/vyfy1peura")</f>
        <v>Look for Alo 184 for your relatives
For your relatives you think may be damaged in the earthquake, call the 184 Sabim Lines of our Ministry. If we are under our treatment, find out their health status and what hospital. https://t.co/vyfy1peura</v>
      </c>
    </row>
    <row r="1995" spans="1:5" ht="15.75" customHeight="1" x14ac:dyDescent="0.25">
      <c r="A1995" s="1" t="s">
        <v>3989</v>
      </c>
      <c r="B1995" s="1">
        <v>40243</v>
      </c>
      <c r="C1995" s="3">
        <v>44134.964699074073</v>
      </c>
      <c r="D1995" s="1" t="s">
        <v>3990</v>
      </c>
      <c r="E1995" s="4" t="str">
        <f ca="1">IFERROR(__xludf.DUMMYFUNCTION("GOOGLETRANSLATE(A1995 , ""tr"" , ""en"")"),"We have 21 life loss, 435 people are still treated. 25 In intensive care, 9 surgery continues. 364 The treatment of the people was completed by completing.
112 Emergency assistance teams, Umke Tims, ambulances and hospitals, we are at the head in Izmir to"&amp;" reduce our pain.")</f>
        <v>We have 21 life loss, 435 people are still treated. 25 In intensive care, 9 surgery continues. 364 The treatment of the people was completed by completing.
112 Emergency assistance teams, Umke Tims, ambulances and hospitals, we are at the head in Izmir to reduce our pain.</v>
      </c>
    </row>
    <row r="1996" spans="1:5" ht="15.75" customHeight="1" x14ac:dyDescent="0.25">
      <c r="A1996" s="1" t="s">
        <v>3991</v>
      </c>
      <c r="B1996" s="1">
        <v>19762</v>
      </c>
      <c r="C1996" s="3">
        <v>44134.954224537039</v>
      </c>
      <c r="D1996" s="1" t="s">
        <v>3992</v>
      </c>
      <c r="E1996" s="4" t="str">
        <f ca="1">IFERROR(__xludf.DUMMYFUNCTION("GOOGLETRANSLATE(A1996 , ""tr"" , ""en"")"),"""I have hope and will always be!"" https://t.co/zatfnt3df2")</f>
        <v>"I have hope and will always be!" https://t.co/zatfnt3df2</v>
      </c>
    </row>
    <row r="1997" spans="1:5" ht="15.75" customHeight="1" x14ac:dyDescent="0.25">
      <c r="A1997" s="1" t="s">
        <v>3993</v>
      </c>
      <c r="B1997" s="1">
        <v>30575</v>
      </c>
      <c r="C1997" s="3">
        <v>44134.942488425928</v>
      </c>
      <c r="D1997" s="1" t="s">
        <v>3994</v>
      </c>
      <c r="E1997" s="4" t="str">
        <f ca="1">IFERROR(__xludf.DUMMYFUNCTION("GOOGLETRANSLATE(A1997 , ""tr"" , ""en"")"),"""I have hope and will always be!"" https://t.co/lhslb3pdsi")</f>
        <v>"I have hope and will always be!" https://t.co/lhslb3pdsi</v>
      </c>
    </row>
    <row r="1998" spans="1:5" ht="15.75" customHeight="1" x14ac:dyDescent="0.25">
      <c r="A1998" s="1" t="s">
        <v>3995</v>
      </c>
      <c r="B1998" s="1">
        <v>19222</v>
      </c>
      <c r="C1998" s="3">
        <v>44134.868796296294</v>
      </c>
      <c r="D1998" s="1" t="s">
        <v>3996</v>
      </c>
      <c r="E1998" s="4" t="str">
        <f ca="1">IFERROR(__xludf.DUMMYFUNCTION("GOOGLETRANSLATE(A1998 , ""tr"" , ""en"")"),"112 Emergency and Umke Tims attendance 832 professionals, can rescue and continue their work to give emergency health services to the injured. There is no responsibility that we cannot afford to reduce this pain. We are next to the Izmir people with all o"&amp;"ur support. https://t.co/nexkhsqtfh")</f>
        <v>112 Emergency and Umke Tims attendance 832 professionals, can rescue and continue their work to give emergency health services to the injured. There is no responsibility that we cannot afford to reduce this pain. We are next to the Izmir people with all our support. https://t.co/nexkhsqtfh</v>
      </c>
    </row>
    <row r="1999" spans="1:5" ht="15.75" customHeight="1" x14ac:dyDescent="0.25">
      <c r="A1999" s="1" t="s">
        <v>3997</v>
      </c>
      <c r="B1999" s="1">
        <v>7336</v>
      </c>
      <c r="C1999" s="3">
        <v>44134.849247685182</v>
      </c>
      <c r="D1999" s="1" t="s">
        <v>3998</v>
      </c>
      <c r="E1999" s="4" t="str">
        <f ca="1">IFERROR(__xludf.DUMMYFUNCTION("GOOGLETRANSLATE(A1999 , ""tr"" , ""en"")"),"Our President is SN. Prof. Dr. Recep Tayyip Erdogan's Himayas. Dr. Saint Sancar Science, Service and Incentive Rewards Program. https://t.co/fdcw6uiguj")</f>
        <v>Our President is SN. Prof. Dr. Recep Tayyip Erdogan's Himayas. Dr. Saint Sancar Science, Service and Incentive Rewards Program. https://t.co/fdcw6uiguj</v>
      </c>
    </row>
    <row r="2000" spans="1:5" ht="15.75" customHeight="1" x14ac:dyDescent="0.25">
      <c r="A2000" s="1" t="s">
        <v>3999</v>
      </c>
      <c r="B2000" s="1">
        <v>6771</v>
      </c>
      <c r="C2000" s="3">
        <v>44134.811203703706</v>
      </c>
      <c r="D2000" s="1" t="s">
        <v>4000</v>
      </c>
      <c r="E2000" s="4" t="str">
        <f ca="1">IFERROR(__xludf.DUMMYFUNCTION("GOOGLETRANSLATE(A2000 , ""tr"" , ""en"")"),"Ankara, Bursa and Denizli Provincial Provincial Health Management with the video conference method. We have evaluated the point of the patient burden in the fight against the outbreak, we have evaluated the patient burden in three provinces, filliation st"&amp;"udies and bed capacities. https://t.co/cpiglxlp8q")</f>
        <v>Ankara, Bursa and Denizli Provincial Provincial Health Management with the video conference method. We have evaluated the point of the patient burden in the fight against the outbreak, we have evaluated the patient burden in three provinces, filliation studies and bed capacities. https://t.co/cpiglxlp8q</v>
      </c>
    </row>
    <row r="2001" spans="1:5" ht="15.75" customHeight="1" x14ac:dyDescent="0.25">
      <c r="A2001" s="1" t="s">
        <v>4001</v>
      </c>
      <c r="B2001" s="1">
        <v>4355</v>
      </c>
      <c r="C2001" s="3">
        <v>44134.792951388888</v>
      </c>
      <c r="D2001" s="1" t="s">
        <v>4002</v>
      </c>
      <c r="E2001" s="4" t="str">
        <f ca="1">IFERROR(__xludf.DUMMYFUNCTION("GOOGLETRANSLATE(A2001 , ""tr"" , ""en"")"),"4. The Turkish Council of Health Science Board Meeting is the Secretary General in Amrayev, Hungary State Minister Lorinczi, Azerbaijan Health About YRD. Agayev, WHO European Director Kluge, Kazakhstan, Kyrgyzstan, Uzbekistan Health Ministers Tsoy, Sadird"&amp;"inovich, Sadmanov. https://t.co/a9nubiqh0v")</f>
        <v>4. The Turkish Council of Health Science Board Meeting is the Secretary General in Amrayev, Hungary State Minister Lorinczi, Azerbaijan Health About YRD. Agayev, WHO European Director Kluge, Kazakhstan, Kyrgyzstan, Uzbekistan Health Ministers Tsoy, Sadirdinovich, Sadmanov. https://t.co/a9nubiqh0v</v>
      </c>
    </row>
    <row r="2002" spans="1:5" ht="15.75" customHeight="1" x14ac:dyDescent="0.25">
      <c r="A2002" s="1" t="s">
        <v>4003</v>
      </c>
      <c r="B2002" s="1">
        <v>0</v>
      </c>
      <c r="C2002" s="3">
        <v>44134.788506944446</v>
      </c>
      <c r="D2002" s="1" t="s">
        <v>4004</v>
      </c>
      <c r="E2002" s="4" t="str">
        <f ca="1">IFERROR(__xludf.DUMMYFUNCTION("GOOGLETRANSLATE(A2002 , ""tr"" , ""en"")"),"RT @rterdogan: Professor Dr. Saint Sancar Science, Services and Incentive Rewards Ceremony https://t.co/opzzdcıvqv")</f>
        <v>RT @rterdogan: Professor Dr. Saint Sancar Science, Services and Incentive Rewards Ceremony https://t.co/opzzdcıvqv</v>
      </c>
    </row>
    <row r="2003" spans="1:5" ht="15.75" customHeight="1" x14ac:dyDescent="0.25">
      <c r="A2003" s="1" t="s">
        <v>4005</v>
      </c>
      <c r="B2003" s="1">
        <v>4321</v>
      </c>
      <c r="C2003" s="3">
        <v>44134.673784722225</v>
      </c>
      <c r="D2003" s="1" t="s">
        <v>4006</v>
      </c>
      <c r="E2003" s="4" t="str">
        <f ca="1">IFERROR(__xludf.DUMMYFUNCTION("GOOGLETRANSLATE(A2003 , ""tr"" , ""en"")"),"4. The Turkish Council of Health Science Board Meeting is the opening speech https://t.co/xhlye4p9rn")</f>
        <v>4. The Turkish Council of Health Science Board Meeting is the opening speech https://t.co/xhlye4p9rn</v>
      </c>
    </row>
    <row r="2004" spans="1:5" ht="15.75" customHeight="1" x14ac:dyDescent="0.25">
      <c r="A2004" s="1" t="s">
        <v>4007</v>
      </c>
      <c r="B2004" s="1">
        <v>13339</v>
      </c>
      <c r="C2004" s="3">
        <v>44134.666238425925</v>
      </c>
      <c r="D2004" s="1" t="s">
        <v>4008</v>
      </c>
      <c r="E2004" s="4" t="str">
        <f ca="1">IFERROR(__xludf.DUMMYFUNCTION("GOOGLETRANSLATE(A2004 , ""tr"" , ""en"")"),"We have 2,322 new patients identified today. Our severe patient count approached 2,000. The fight against the epidemic is undergoing both individual and collective measures. We have to reduce mobility to one third if we want to get fewer patients than tod"&amp;"ay. https://t.co/rvlhe7786o")</f>
        <v>We have 2,322 new patients identified today. Our severe patient count approached 2,000. The fight against the epidemic is undergoing both individual and collective measures. We have to reduce mobility to one third if we want to get fewer patients than today. https://t.co/rvlhe7786o</v>
      </c>
    </row>
    <row r="2005" spans="1:5" ht="15.75" customHeight="1" x14ac:dyDescent="0.25">
      <c r="A2005" s="1" t="s">
        <v>4009</v>
      </c>
      <c r="B2005" s="1">
        <v>63711</v>
      </c>
      <c r="C2005" s="3">
        <v>44134.578043981484</v>
      </c>
      <c r="D2005" s="1" t="s">
        <v>4010</v>
      </c>
      <c r="E2005" s="4" t="str">
        <f ca="1">IFERROR(__xludf.DUMMYFUNCTION("GOOGLETRANSLATE(A2005 , ""tr"" , ""en"")"),"Unfortunately our 4 citizens have lost their life in the earthquake in Izmir. Our total 120 citizens were affected by the earthquake. Our 38 ambulance, 35 Umke team and 2 ambulance helicopters in the scene. We are next to the Izmir people with all our sup"&amp;"port. Sorry for your loss.")</f>
        <v>Unfortunately our 4 citizens have lost their life in the earthquake in Izmir. Our total 120 citizens were affected by the earthquake. Our 38 ambulance, 35 Umke team and 2 ambulance helicopters in the scene. We are next to the Izmir people with all our support. Sorry for your loss.</v>
      </c>
    </row>
    <row r="2006" spans="1:5" ht="15.75" customHeight="1" x14ac:dyDescent="0.25">
      <c r="A2006" s="1" t="s">
        <v>4011</v>
      </c>
      <c r="B2006" s="1">
        <v>3127</v>
      </c>
      <c r="C2006" s="3">
        <v>44134.332800925928</v>
      </c>
      <c r="D2006" s="1" t="s">
        <v>4012</v>
      </c>
      <c r="E2006" s="4" t="str">
        <f ca="1">IFERROR(__xludf.DUMMYFUNCTION("GOOGLETRANSLATE(A2006 , ""tr"" , ""en"")"),"DSCE European Regional Director, Turkish Council Secretary General, Azerbaijan, Kazakhstan, Kyrgyzstan, Uzbekistan, Hungary Ministry of Health and High-level participation in the Turkish Council of Health Science Board Meeting opening speech
https://t.co"&amp;"/uf4s8weuvf")</f>
        <v>DSCE European Regional Director, Turkish Council Secretary General, Azerbaijan, Kazakhstan, Kyrgyzstan, Uzbekistan, Hungary Ministry of Health and High-level participation in the Turkish Council of Health Science Board Meeting opening speech
https://t.co/uf4s8weuvf</v>
      </c>
    </row>
    <row r="2007" spans="1:5" ht="15.75" customHeight="1" x14ac:dyDescent="0.25">
      <c r="A2007" s="1" t="s">
        <v>4013</v>
      </c>
      <c r="B2007" s="1">
        <v>19260</v>
      </c>
      <c r="C2007" s="3">
        <v>44134.313645833332</v>
      </c>
      <c r="D2007" s="1" t="s">
        <v>4014</v>
      </c>
      <c r="E2007" s="4" t="str">
        <f ca="1">IFERROR(__xludf.DUMMYFUNCTION("GOOGLETRANSLATE(A2007 , ""tr"" , ""en"")"),"We have lost Mesut Yılmaz from our old prime ministers that we have been treated and closely followed by a time. I wish himself to the mercy, lovers and family of God. https://t.co/ybeszd6ink")</f>
        <v>We have lost Mesut Yılmaz from our old prime ministers that we have been treated and closely followed by a time. I wish himself to the mercy, lovers and family of God. https://t.co/ybeszd6ink</v>
      </c>
    </row>
    <row r="2008" spans="1:5" ht="15.75" customHeight="1" x14ac:dyDescent="0.25">
      <c r="A2008" s="1" t="s">
        <v>4015</v>
      </c>
      <c r="B2008" s="1">
        <v>10890</v>
      </c>
      <c r="C2008" s="3">
        <v>44133.808831018519</v>
      </c>
      <c r="D2008" s="1" t="s">
        <v>4016</v>
      </c>
      <c r="E2008" s="4" t="str">
        <f ca="1">IFERROR(__xludf.DUMMYFUNCTION("GOOGLETRANSLATE(A2008 , ""tr"" , ""en"")"),"IstanbulAs, I would like to: Let's report the contact with positive release contacts. May the seniors have chronic illness to protect themselves. We don't have a problem that will lead to the obstruction of the system right now. But every capacity has a l"&amp;"imit after all. We trust your common sense. https://t.co/ndijdfn9yk")</f>
        <v>IstanbulAs, I would like to: Let's report the contact with positive release contacts. May the seniors have chronic illness to protect themselves. We don't have a problem that will lead to the obstruction of the system right now. But every capacity has a limit after all. We trust your common sense. https://t.co/ndijdfn9yk</v>
      </c>
    </row>
    <row r="2009" spans="1:5" ht="15.75" customHeight="1" x14ac:dyDescent="0.25">
      <c r="A2009" s="1" t="s">
        <v>4017</v>
      </c>
      <c r="B2009" s="1">
        <v>15326</v>
      </c>
      <c r="C2009" s="3">
        <v>44133.78565972222</v>
      </c>
      <c r="D2009" s="1" t="s">
        <v>4018</v>
      </c>
      <c r="E2009" s="4" t="str">
        <f ca="1">IFERROR(__xludf.DUMMYFUNCTION("GOOGLETRANSLATE(A2009 , ""tr"" , ""en"")"),"Dear Istanbuls. Don't get out of the house if you have no obligation. Do the visits and travels you will afford to be caught in the disease. If you are going to enter the crowded media, consider whether to get caught in the disease. Remove your mask when "&amp;"the virus will afford to be transmitted to you. https://t.co/v7vn2po0rs")</f>
        <v>Dear Istanbuls. Don't get out of the house if you have no obligation. Do the visits and travels you will afford to be caught in the disease. If you are going to enter the crowded media, consider whether to get caught in the disease. Remove your mask when the virus will afford to be transmitted to you. https://t.co/v7vn2po0rs</v>
      </c>
    </row>
    <row r="2010" spans="1:5" ht="15.75" customHeight="1" x14ac:dyDescent="0.25">
      <c r="A2010" s="1" t="s">
        <v>4019</v>
      </c>
      <c r="B2010" s="1">
        <v>15057</v>
      </c>
      <c r="C2010" s="3">
        <v>44133.667222222219</v>
      </c>
      <c r="D2010" s="1" t="s">
        <v>4020</v>
      </c>
      <c r="E2010" s="4" t="str">
        <f ca="1">IFERROR(__xludf.DUMMYFUNCTION("GOOGLETRANSLATE(A2010 , ""tr"" , ""en"")"),"We have 2,319 patients identified today. Number of severe patients reached 1.916. The current situation of the epidemic is forcing us to slow our lives. We have to lower theme to a third. We will fight together and beat the virus. Give strength, support. "&amp;"https://t.co/rvlhe7786o")</f>
        <v>We have 2,319 patients identified today. Number of severe patients reached 1.916. The current situation of the epidemic is forcing us to slow our lives. We have to lower theme to a third. We will fight together and beat the virus. Give strength, support. https://t.co/rvlhe7786o</v>
      </c>
    </row>
    <row r="2011" spans="1:5" ht="15.75" customHeight="1" x14ac:dyDescent="0.25">
      <c r="A2011" s="1" t="s">
        <v>4021</v>
      </c>
      <c r="B2011" s="1">
        <v>6390</v>
      </c>
      <c r="C2011" s="3">
        <v>44133.634571759256</v>
      </c>
      <c r="D2011" s="1" t="s">
        <v>4022</v>
      </c>
      <c r="E2011" s="4" t="str">
        <f ca="1">IFERROR(__xludf.DUMMYFUNCTION("GOOGLETRANSLATE(A2011 , ""tr"" , ""en"")"),"The prominent cause of increase in Istanbul is mobility. Should reduce mobility. Mask, distance, you must comply with the cleanliness rule. The solution is to use the method of virus against the virus. The virus is contemptible for 3 people from one perso"&amp;"n. Download in one of the movement and theme 3 as well. https://t.co/tjfcn0xo8e")</f>
        <v>The prominent cause of increase in Istanbul is mobility. Should reduce mobility. Mask, distance, you must comply with the cleanliness rule. The solution is to use the method of virus against the virus. The virus is contemptible for 3 people from one person. Download in one of the movement and theme 3 as well. https://t.co/tjfcn0xo8e</v>
      </c>
    </row>
    <row r="2012" spans="1:5" ht="15.75" customHeight="1" x14ac:dyDescent="0.25">
      <c r="A2012" s="1" t="s">
        <v>4023</v>
      </c>
      <c r="B2012" s="1">
        <v>13963</v>
      </c>
      <c r="C2012" s="3">
        <v>44133.60732638889</v>
      </c>
      <c r="D2012" s="1" t="s">
        <v>4024</v>
      </c>
      <c r="E2012" s="4" t="str">
        <f ca="1">IFERROR(__xludf.DUMMYFUNCTION("GOOGLETRANSLATE(A2012 , ""tr"" , ""en"")"),"4 out of 10 people who positively are in Istanbul. The increase in the last 7 days is 85% over the mean of last month. When the population is considered, this rate is frightening. The situation concerns 83 million. If we do not control the order in Istanb"&amp;"ul, the epidemic will be released. https://t.co/0opmfje8qo")</f>
        <v>4 out of 10 people who positively are in Istanbul. The increase in the last 7 days is 85% over the mean of last month. When the population is considered, this rate is frightening. The situation concerns 83 million. If we do not control the order in Istanbul, the epidemic will be released. https://t.co/0opmfje8qo</v>
      </c>
    </row>
    <row r="2013" spans="1:5" ht="15.75" customHeight="1" x14ac:dyDescent="0.25">
      <c r="A2013" s="1" t="s">
        <v>4025</v>
      </c>
      <c r="B2013" s="1">
        <v>9860</v>
      </c>
      <c r="C2013" s="3">
        <v>44133.543761574074</v>
      </c>
      <c r="D2013" s="1" t="s">
        <v>4026</v>
      </c>
      <c r="E2013" s="4" t="str">
        <f ca="1">IFERROR(__xludf.DUMMYFUNCTION("GOOGLETRANSLATE(A2013 , ""tr"" , ""en"")"),"Happy 97th anniversary of our Republic. We remember our nation, 29 October 1923 and the heroes that prepare these days and the founder of our Republic of the Republic of our Republic, especially in Gazi Mustafa Kemal Atatürk and his friends, respect and g"&amp;"ratefully. We are strong with our republic. https://t.co/jkhpb2fzzh")</f>
        <v>Happy 97th anniversary of our Republic. We remember our nation, 29 October 1923 and the heroes that prepare these days and the founder of our Republic of the Republic of our Republic, especially in Gazi Mustafa Kemal Atatürk and his friends, respect and gratefully. We are strong with our republic. https://t.co/jkhpb2fzzh</v>
      </c>
    </row>
    <row r="2014" spans="1:5" ht="15.75" customHeight="1" x14ac:dyDescent="0.25">
      <c r="A2014" s="1" t="s">
        <v>4027</v>
      </c>
      <c r="B2014" s="1">
        <v>5806</v>
      </c>
      <c r="C2014" s="3">
        <v>44132.707569444443</v>
      </c>
      <c r="D2014" s="1" t="s">
        <v>4028</v>
      </c>
      <c r="E2014" s="4" t="str">
        <f ca="1">IFERROR(__xludf.DUMMYFUNCTION("GOOGLETRANSLATE(A2014 , ""tr"" , ""en"")"),"After our Science Board meeting, the latest developments on the coronavirus and the new measures we receive.
📍 Casturşehir Pine and Sakura City Hospital / Istanbul
https://t.co/b3j3ohq805")</f>
        <v>After our Science Board meeting, the latest developments on the coronavirus and the new measures we receive.
📍 Casturşehir Pine and Sakura City Hospital / Istanbul
https://t.co/b3j3ohq805</v>
      </c>
    </row>
    <row r="2015" spans="1:5" ht="15.75" customHeight="1" x14ac:dyDescent="0.25">
      <c r="A2015" s="1" t="s">
        <v>4029</v>
      </c>
      <c r="B2015" s="1">
        <v>7062</v>
      </c>
      <c r="C2015" s="3">
        <v>44132.698252314818</v>
      </c>
      <c r="D2015" s="1" t="s">
        <v>4030</v>
      </c>
      <c r="E2015" s="4" t="str">
        <f ca="1">IFERROR(__xludf.DUMMYFUNCTION("GOOGLETRANSLATE(A2015 , ""tr"" , ""en"")"),"PCR COVID-19 Test Laboratory visit. Legal Sultan Süleyman Training and Research Hospital Management with the administrators of the patient load in the pendemia, after handling the contributions to the conditions indicating changes, we have been in our lab"&amp;"oratory in our laboratory. https://t.co/2apdp0njie")</f>
        <v>PCR COVID-19 Test Laboratory visit. Legal Sultan Süleyman Training and Research Hospital Management with the administrators of the patient load in the pendemia, after handling the contributions to the conditions indicating changes, we have been in our laboratory in our laboratory. https://t.co/2apdp0njie</v>
      </c>
    </row>
    <row r="2016" spans="1:5" ht="15.75" customHeight="1" x14ac:dyDescent="0.25">
      <c r="A2016" s="1" t="s">
        <v>4031</v>
      </c>
      <c r="B2016" s="1">
        <v>8870</v>
      </c>
      <c r="C2016" s="3">
        <v>44132.672175925924</v>
      </c>
      <c r="D2016" s="1" t="s">
        <v>4032</v>
      </c>
      <c r="E2016" s="4" t="str">
        <f ca="1">IFERROR(__xludf.DUMMYFUNCTION("GOOGLETRANSLATE(A2016 , ""tr"" , ""en"")"),"Vaccination Studies visit. Mehmet Akif Ersoy Idea has met with our scientists in research development and training center. We have received information about scientific studies and experiments. Until the science ends the epidemic, there is no force other "&amp;"than the measures. Let's obey the rules. https://t.co/dc6qgx2ggb")</f>
        <v>Vaccination Studies visit. Mehmet Akif Ersoy Idea has met with our scientists in research development and training center. We have received information about scientific studies and experiments. Until the science ends the epidemic, there is no force other than the measures. Let's obey the rules. https://t.co/dc6qgx2ggb</v>
      </c>
    </row>
    <row r="2017" spans="1:5" ht="15.75" customHeight="1" x14ac:dyDescent="0.25">
      <c r="A2017" s="1" t="s">
        <v>4033</v>
      </c>
      <c r="B2017" s="1">
        <v>5199</v>
      </c>
      <c r="C2017" s="3">
        <v>44132.654733796298</v>
      </c>
      <c r="D2017" s="1" t="s">
        <v>4034</v>
      </c>
      <c r="E2017" s="4" t="str">
        <f ca="1">IFERROR(__xludf.DUMMYFUNCTION("GOOGLETRANSLATE(A2017 , ""tr"" , ""en"")"),"PROF. Dr. Cemil Taşcıoğlu Interview with City Hospital Managers. In the visit we have made, we have received information on the contributions and other issues to be given in terms of the patient burden in the pandemic process of the administrators. We wil"&amp;"l need less to hospitals exactly as well as measures. https://t.co/dcam9zvyax")</f>
        <v>PROF. Dr. Cemil Taşcıoğlu Interview with City Hospital Managers. In the visit we have made, we have received information on the contributions and other issues to be given in terms of the patient burden in the pandemic process of the administrators. We will need less to hospitals exactly as well as measures. https://t.co/dcam9zvyax</v>
      </c>
    </row>
    <row r="2018" spans="1:5" ht="15.75" customHeight="1" x14ac:dyDescent="0.25">
      <c r="A2018" s="1" t="s">
        <v>4035</v>
      </c>
      <c r="B2018" s="1">
        <v>5190</v>
      </c>
      <c r="C2018" s="3">
        <v>44132.633194444446</v>
      </c>
      <c r="D2018" s="1" t="s">
        <v>4036</v>
      </c>
      <c r="E2018" s="4" t="str">
        <f ca="1">IFERROR(__xludf.DUMMYFUNCTION("GOOGLETRANSLATE(A2018 , ""tr"" , ""en"")"),"Interview with Istanbul Sisli Etfal Education and Research Hospital Managers. In our visit, we have received information on the patient burden in the pandemic process, the contributions and other services to be given in terms of changes. If we are uncompr"&amp;"omising, we need less to hospitals. https://t.co/todcwvnxyw")</f>
        <v>Interview with Istanbul Sisli Etfal Education and Research Hospital Managers. In our visit, we have received information on the patient burden in the pandemic process, the contributions and other services to be given in terms of changes. If we are uncompromising, we need less to hospitals. https://t.co/todcwvnxyw</v>
      </c>
    </row>
    <row r="2019" spans="1:5" ht="15.75" customHeight="1" x14ac:dyDescent="0.25">
      <c r="A2019" s="1" t="s">
        <v>4037</v>
      </c>
      <c r="B2019" s="1">
        <v>6756</v>
      </c>
      <c r="C2019" s="3">
        <v>44132.619444444441</v>
      </c>
      <c r="D2019" s="1" t="s">
        <v>4038</v>
      </c>
      <c r="E2019" s="4" t="str">
        <f ca="1">IFERROR(__xludf.DUMMYFUNCTION("GOOGLETRANSLATE(A2019 , ""tr"" , ""en"")"),"Istanbul Filiation Studies The Tracking Board was collected today. In the meeting with our governors, the participation of our governors, the district health managers and other managers, we addressed the needs of contact with contact and increase. 40% of "&amp;"cases is in Istanbul. https://t.co/s10dlpkmv3")</f>
        <v>Istanbul Filiation Studies The Tracking Board was collected today. In the meeting with our governors, the participation of our governors, the district health managers and other managers, we addressed the needs of contact with contact and increase. 40% of cases is in Istanbul. https://t.co/s10dlpkmv3</v>
      </c>
    </row>
    <row r="2020" spans="1:5" ht="15.75" customHeight="1" x14ac:dyDescent="0.25">
      <c r="A2020" s="1" t="s">
        <v>4039</v>
      </c>
      <c r="B2020" s="1">
        <v>17498</v>
      </c>
      <c r="C2020" s="3">
        <v>44132.506215277775</v>
      </c>
      <c r="D2020" s="1" t="s">
        <v>4040</v>
      </c>
      <c r="E2020" s="4" t="str">
        <f ca="1">IFERROR(__xludf.DUMMYFUNCTION("GOOGLETRANSLATE(A2020 , ""tr"" , ""en"")"),"The Coronavirus Scientific Board is collected in Istanbul where the number of cases reached 40% of the country general. This will be the first meeting that the Board started on January 10th to their work outside Ankara.")</f>
        <v>The Coronavirus Scientific Board is collected in Istanbul where the number of cases reached 40% of the country general. This will be the first meeting that the Board started on January 10th to their work outside Ankara.</v>
      </c>
    </row>
    <row r="2021" spans="1:5" ht="15.75" customHeight="1" x14ac:dyDescent="0.25">
      <c r="A2021" s="1" t="s">
        <v>4041</v>
      </c>
      <c r="B2021" s="1">
        <v>9478</v>
      </c>
      <c r="C2021" s="3">
        <v>44131.792233796295</v>
      </c>
      <c r="D2021" s="1" t="s">
        <v>4042</v>
      </c>
      <c r="E2021" s="4" t="str">
        <f ca="1">IFERROR(__xludf.DUMMYFUNCTION("GOOGLETRANSLATE(A2021 , ""tr"" , ""en"")"),"The increase in the number of cases in Istanbul requires great preparation. On the 4th day of our work, we met University Rectors, Deans of Medical Faculties and Hospital Policits. 3 If the rule is complied with, we need lessons to hospitals. Let's be org"&amp;"anized against the epidemic. https://t.co/utpx5gnllg")</f>
        <v>The increase in the number of cases in Istanbul requires great preparation. On the 4th day of our work, we met University Rectors, Deans of Medical Faculties and Hospital Policits. 3 If the rule is complied with, we need lessons to hospitals. Let's be organized against the epidemic. https://t.co/utpx5gnllg</v>
      </c>
    </row>
    <row r="2022" spans="1:5" ht="15.75" customHeight="1" x14ac:dyDescent="0.25">
      <c r="A2022" s="1" t="s">
        <v>4043</v>
      </c>
      <c r="B2022" s="1">
        <v>8610</v>
      </c>
      <c r="C2022" s="3">
        <v>44131.752939814818</v>
      </c>
      <c r="D2022" s="1" t="s">
        <v>4044</v>
      </c>
      <c r="E2022" s="4" t="str">
        <f ca="1">IFERROR(__xludf.DUMMYFUNCTION("GOOGLETRANSLATE(A2022 , ""tr"" , ""en"")"),"The major increase in the number of cases in Istanbul requires to act in every field in the city. From the Social Security Institution, we met the plans of movement, coming together with the entire provincial administration of the Provincial Migration Adm"&amp;"inistration and Dhmi Ataturk Airport Directorate. Let's be organized against the epidemic. https://t.co/rflaxe0tix")</f>
        <v>The major increase in the number of cases in Istanbul requires to act in every field in the city. From the Social Security Institution, we met the plans of movement, coming together with the entire provincial administration of the Provincial Migration Administration and Dhmi Ataturk Airport Directorate. Let's be organized against the epidemic. https://t.co/rflaxe0tix</v>
      </c>
    </row>
    <row r="2023" spans="1:5" ht="15.75" customHeight="1" x14ac:dyDescent="0.25">
      <c r="A2023" s="1" t="s">
        <v>4045</v>
      </c>
      <c r="B2023" s="1">
        <v>15562</v>
      </c>
      <c r="C2023" s="3">
        <v>44131.667349537034</v>
      </c>
      <c r="D2023" s="1" t="s">
        <v>4046</v>
      </c>
      <c r="E2023" s="4" t="str">
        <f ca="1">IFERROR(__xludf.DUMMYFUNCTION("GOOGLETRANSLATE(A2023 , ""tr"" , ""en"")"),"We have 2,209 new patients identified today. Our severe patient number increased to 1,827. We cannot succeed without falling severe patients and active patients. The combat association measures are undergoing exceptions without exception. Let's be organiz"&amp;"ed against the epidemic. https://t.co/rvlhe7786o")</f>
        <v>We have 2,209 new patients identified today. Our severe patient number increased to 1,827. We cannot succeed without falling severe patients and active patients. The combat association measures are undergoing exceptions without exception. Let's be organized against the epidemic. https://t.co/rvlhe7786o</v>
      </c>
    </row>
    <row r="2024" spans="1:5" ht="15.75" customHeight="1" x14ac:dyDescent="0.25">
      <c r="A2024" s="1" t="s">
        <v>4047</v>
      </c>
      <c r="B2024" s="1">
        <v>9199</v>
      </c>
      <c r="C2024" s="3">
        <v>44131.616944444446</v>
      </c>
      <c r="D2024" s="1" t="s">
        <v>4048</v>
      </c>
      <c r="E2024" s="4" t="str">
        <f ca="1">IFERROR(__xludf.DUMMYFUNCTION("GOOGLETRANSLATE(A2024 , ""tr"" , ""en"")"),"The major increase in the number of cases in Istanbul requires a serious preparation. We have addressed our plans to move to the Public Hospitals of Public Hospitals on the 4th day we divided by the Minister of Assistants. 3 If the rule is complied with, "&amp;"we need lessons to hospitals. Let's be organized against the epidemic. https://t.co/bxubcklpfj")</f>
        <v>The major increase in the number of cases in Istanbul requires a serious preparation. We have addressed our plans to move to the Public Hospitals of Public Hospitals on the 4th day we divided by the Minister of Assistants. 3 If the rule is complied with, we need lessons to hospitals. Let's be organized against the epidemic. https://t.co/bxubcklpfj</v>
      </c>
    </row>
    <row r="2025" spans="1:5" ht="15.75" customHeight="1" x14ac:dyDescent="0.25">
      <c r="A2025" s="1" t="s">
        <v>4049</v>
      </c>
      <c r="B2025" s="1">
        <v>7768</v>
      </c>
      <c r="C2025" s="3">
        <v>44131.334317129629</v>
      </c>
      <c r="D2025" s="1" t="s">
        <v>4050</v>
      </c>
      <c r="E2025" s="4" t="str">
        <f ca="1">IFERROR(__xludf.DUMMYFUNCTION("GOOGLETRANSLATE(A2025 , ""tr"" , ""en"")"),"Our number of cases reached 40% of the country in Istanbul, we made our latest meeting in Istanbul with private hospitals and health institutions association and private hospital managers. We are reinforcing our strength. 3 If the rule is complied with, w"&amp;"e need lessons to hospitals. Let's be organized against the epidemic. https://t.co/0l91midk3w")</f>
        <v>Our number of cases reached 40% of the country in Istanbul, we made our latest meeting in Istanbul with private hospitals and health institutions association and private hospital managers. We are reinforcing our strength. 3 If the rule is complied with, we need lessons to hospitals. Let's be organized against the epidemic. https://t.co/0l91midk3w</v>
      </c>
    </row>
    <row r="2026" spans="1:5" ht="15.75" customHeight="1" x14ac:dyDescent="0.25">
      <c r="A2026" s="1" t="s">
        <v>4051</v>
      </c>
      <c r="B2026" s="1">
        <v>26122</v>
      </c>
      <c r="C2026" s="3">
        <v>44130.842905092592</v>
      </c>
      <c r="D2026" s="1" t="s">
        <v>4052</v>
      </c>
      <c r="E2026" s="4" t="str">
        <f ca="1">IFERROR(__xludf.DUMMYFUNCTION("GOOGLETRANSLATE(A2026 , ""tr"" , ""en"")"),"For a while we have continued health old Minister of Health, I am precious colleague. Osman stopped Bey Unfortunately, he left our call. I wish herself infinite mercy, family and lovers of patience. Let our heads be right.")</f>
        <v>For a while we have continued health old Minister of Health, I am precious colleague. Osman stopped Bey Unfortunately, he left our call. I wish herself infinite mercy, family and lovers of patience. Let our heads be right.</v>
      </c>
    </row>
    <row r="2027" spans="1:5" ht="15.75" customHeight="1" x14ac:dyDescent="0.25">
      <c r="A2027" s="1" t="s">
        <v>4053</v>
      </c>
      <c r="B2027" s="1">
        <v>7971</v>
      </c>
      <c r="C2027" s="3">
        <v>44130.755937499998</v>
      </c>
      <c r="D2027" s="1" t="s">
        <v>4054</v>
      </c>
      <c r="E2027" s="4" t="str">
        <f ca="1">IFERROR(__xludf.DUMMYFUNCTION("GOOGLETRANSLATE(A2027 , ""tr"" , ""en"")"),"Istanbul Governor, the Secretary General of the IBB, the Mayor of 39 districts, all partners of the epidemic struggle together. We carried the marketplace from publicly to the agenda to the production of solutions against the crowded propagation. Institut"&amp;"ions and city people should be organized against risk. https://t.co/ruacefoojn")</f>
        <v>Istanbul Governor, the Secretary General of the IBB, the Mayor of 39 districts, all partners of the epidemic struggle together. We carried the marketplace from publicly to the agenda to the production of solutions against the crowded propagation. Institutions and city people should be organized against risk. https://t.co/ruacefoojn</v>
      </c>
    </row>
    <row r="2028" spans="1:5" ht="15.75" customHeight="1" x14ac:dyDescent="0.25">
      <c r="A2028" s="1" t="s">
        <v>4055</v>
      </c>
      <c r="B2028" s="1">
        <v>14446</v>
      </c>
      <c r="C2028" s="3">
        <v>44130.678067129629</v>
      </c>
      <c r="D2028" s="1" t="s">
        <v>4056</v>
      </c>
      <c r="E2028" s="4" t="str">
        <f ca="1">IFERROR(__xludf.DUMMYFUNCTION("GOOGLETRANSLATE(A2028 , ""tr"" , ""en"")"),"There are 2,198 new patients identified today. The number of heavy and active patients continues to increase. We have to struggle together to stop the regional climb of the epidemic. We have a stronger weapon than the measure for today. Let's be organized"&amp;" against the epidemic. https://t.co/rvlhe7786o")</f>
        <v>There are 2,198 new patients identified today. The number of heavy and active patients continues to increase. We have to struggle together to stop the regional climb of the epidemic. We have a stronger weapon than the measure for today. Let's be organized against the epidemic. https://t.co/rvlhe7786o</v>
      </c>
    </row>
    <row r="2029" spans="1:5" ht="15.75" customHeight="1" x14ac:dyDescent="0.25">
      <c r="A2029" s="1" t="s">
        <v>4057</v>
      </c>
      <c r="B2029" s="1">
        <v>5365</v>
      </c>
      <c r="C2029" s="3">
        <v>44130.612210648149</v>
      </c>
      <c r="D2029" s="1" t="s">
        <v>4058</v>
      </c>
      <c r="E2029" s="4" t="str">
        <f ca="1">IFERROR(__xludf.DUMMYFUNCTION("GOOGLETRANSLATE(A2029 , ""tr"" , ""en"")"),"Our Istanbul Governorate, our IBB Secretary General and district mayor of our mayors, our estimate process after the evaluation of the assessment of our press statement:
📍istanbul Governorship
https://t.co/4xfqofqp7y")</f>
        <v>Our Istanbul Governorate, our IBB Secretary General and district mayor of our mayors, our estimate process after the evaluation of the assessment of our press statement:
📍istanbul Governorship
https://t.co/4xfqofqp7y</v>
      </c>
    </row>
    <row r="2030" spans="1:5" ht="15.75" customHeight="1" x14ac:dyDescent="0.25">
      <c r="A2030" s="1" t="s">
        <v>4059</v>
      </c>
      <c r="B2030" s="1">
        <v>9465</v>
      </c>
      <c r="C2030" s="3">
        <v>44129.841145833336</v>
      </c>
      <c r="D2030" s="1" t="s">
        <v>4060</v>
      </c>
      <c r="E2030" s="4" t="str">
        <f ca="1">IFERROR(__xludf.DUMMYFUNCTION("GOOGLETRANSLATE(A2030 , ""tr"" , ""en"")"),"Our fourth meeting in Istanbul reached 40% of the number of cases of the country in Istanbul, our fourth meeting of Marmara University. Dr. We have made with Asaf Ataseven Hospital managers. We are reinforcing our strength. 3 If the rule is complied with,"&amp;" we need lessons to hospitals. Let's be organized against the epidemic. https://t.co/khyfhvcuss")</f>
        <v>Our fourth meeting in Istanbul reached 40% of the number of cases of the country in Istanbul, our fourth meeting of Marmara University. Dr. We have made with Asaf Ataseven Hospital managers. We are reinforcing our strength. 3 If the rule is complied with, we need lessons to hospitals. Let's be organized against the epidemic. https://t.co/khyfhvcuss</v>
      </c>
    </row>
    <row r="2031" spans="1:5" ht="15.75" customHeight="1" x14ac:dyDescent="0.25">
      <c r="A2031" s="1" t="s">
        <v>4061</v>
      </c>
      <c r="B2031" s="1">
        <v>7419</v>
      </c>
      <c r="C2031" s="3">
        <v>44129.761967592596</v>
      </c>
      <c r="D2031" s="1" t="s">
        <v>4062</v>
      </c>
      <c r="E2031" s="4" t="str">
        <f ca="1">IFERROR(__xludf.DUMMYFUNCTION("GOOGLETRANSLATE(A2031 , ""tr"" , ""en"")"),"The number of cases reached 40% of the country, today, Today, our third meeting Eagle Dr. We have done with the managers of the Lütfi Kırdar City Hospital. We are reinforcing our strength against risk. 3 If the rule is complied with, we need lessons to ho"&amp;"spitals. Let's be organized against the epidemic. https://t.co/r9vcoho0ri")</f>
        <v>The number of cases reached 40% of the country, today, Today, our third meeting Eagle Dr. We have done with the managers of the Lütfi Kırdar City Hospital. We are reinforcing our strength against risk. 3 If the rule is complied with, we need lessons to hospitals. Let's be organized against the epidemic. https://t.co/r9vcoho0ri</v>
      </c>
    </row>
    <row r="2032" spans="1:5" ht="15.75" customHeight="1" x14ac:dyDescent="0.25">
      <c r="A2032" s="1" t="s">
        <v>4063</v>
      </c>
      <c r="B2032" s="1">
        <v>8437</v>
      </c>
      <c r="C2032" s="3">
        <v>44129.725462962961</v>
      </c>
      <c r="D2032" s="1" t="s">
        <v>4064</v>
      </c>
      <c r="E2032" s="4" t="str">
        <f ca="1">IFERROR(__xludf.DUMMYFUNCTION("GOOGLETRANSLATE(A2032 , ""tr"" , ""en"")"),"Our second day in Istanbul where the number of cases reached 40% of the country. Eyektepe the second meeting Dr. Süleyman Yalçın was in the city hospital. We are reinforcing our strength against risk. 3 If the rule is complied with, we need lessons to hos"&amp;"pitals. Let's be organized against the epidemic. https://t.co/wcnku2zhwd")</f>
        <v>Our second day in Istanbul where the number of cases reached 40% of the country. Eyektepe the second meeting Dr. Süleyman Yalçın was in the city hospital. We are reinforcing our strength against risk. 3 If the rule is complied with, we need lessons to hospitals. Let's be organized against the epidemic. https://t.co/wcnku2zhwd</v>
      </c>
    </row>
    <row r="2033" spans="1:5" ht="15.75" customHeight="1" x14ac:dyDescent="0.25">
      <c r="A2033" s="1" t="s">
        <v>4065</v>
      </c>
      <c r="B2033" s="1">
        <v>5652</v>
      </c>
      <c r="C2033" s="3">
        <v>44129.69085648148</v>
      </c>
      <c r="D2033" s="1" t="s">
        <v>4066</v>
      </c>
      <c r="E2033" s="4" t="str">
        <f ca="1">IFERROR(__xludf.DUMMYFUNCTION("GOOGLETRANSLATE(A2033 , ""tr"" , ""en"")"),"Yesterday, Istanbul European Side Command Control Center We met 112 emergency employees of Anatolian Side. In the struggle we give against the epidemic, they are undertaking the great task as other services. Status assessment: Let's be more strictly organ"&amp;"ized against the epidemic. https://t.co/tvywyee0x7")</f>
        <v>Yesterday, Istanbul European Side Command Control Center We met 112 emergency employees of Anatolian Side. In the struggle we give against the epidemic, they are undertaking the great task as other services. Status assessment: Let's be more strictly organized against the epidemic. https://t.co/tvywyee0x7</v>
      </c>
    </row>
    <row r="2034" spans="1:5" ht="15.75" customHeight="1" x14ac:dyDescent="0.25">
      <c r="A2034" s="1" t="s">
        <v>4067</v>
      </c>
      <c r="B2034" s="1">
        <v>12559</v>
      </c>
      <c r="C2034" s="3">
        <v>44129.667187500003</v>
      </c>
      <c r="D2034" s="1" t="s">
        <v>4068</v>
      </c>
      <c r="E2034" s="4" t="str">
        <f ca="1">IFERROR(__xludf.DUMMYFUNCTION("GOOGLETRANSLATE(A2034 , ""tr"" , ""en"")"),"There are 2,017 new patients identified today. Our severe patient count and active patient count continues to increase. It's our hand to change this course. It is to respect the struggle to give us the rights of each other and comply with the measures. ht"&amp;"tps://t.co/rvlhe7786o")</f>
        <v>There are 2,017 new patients identified today. Our severe patient count and active patient count continues to increase. It's our hand to change this course. It is to respect the struggle to give us the rights of each other and comply with the measures. https://t.co/rvlhe7786o</v>
      </c>
    </row>
    <row r="2035" spans="1:5" ht="15.75" customHeight="1" x14ac:dyDescent="0.25">
      <c r="A2035" s="1" t="s">
        <v>4069</v>
      </c>
      <c r="B2035" s="1">
        <v>7533</v>
      </c>
      <c r="C2035" s="3">
        <v>44129.659699074073</v>
      </c>
      <c r="D2035" s="1" t="s">
        <v>4070</v>
      </c>
      <c r="E2035" s="4" t="str">
        <f ca="1">IFERROR(__xludf.DUMMYFUNCTION("GOOGLETRANSLATE(A2035 , ""tr"" , ""en"")"),"Our second day in Istanbul where the number of cases reached 40% of the country. We have made a risk assessment at the Umraniye Education Research Hospital, from our important bases in the fight against the output. According to the rules, we need less to "&amp;"hospitals. Let's be organized against the epidemic. https://t.co/jkybov2jpa")</f>
        <v>Our second day in Istanbul where the number of cases reached 40% of the country. We have made a risk assessment at the Umraniye Education Research Hospital, from our important bases in the fight against the output. According to the rules, we need less to hospitals. Let's be organized against the epidemic. https://t.co/jkybov2jpa</v>
      </c>
    </row>
    <row r="2036" spans="1:5" ht="15.75" customHeight="1" x14ac:dyDescent="0.25">
      <c r="A2036" s="1" t="s">
        <v>4071</v>
      </c>
      <c r="B2036" s="1">
        <v>16790</v>
      </c>
      <c r="C2036" s="3">
        <v>44128.884247685186</v>
      </c>
      <c r="D2036" s="1" t="s">
        <v>4072</v>
      </c>
      <c r="E2036" s="4" t="str">
        <f ca="1">IFERROR(__xludf.DUMMYFUNCTION("GOOGLETRANSLATE(A2036 , ""tr"" , ""en"")"),"Have displinant and morale motivation :)
112 love and greetings of each of our emergency employees. https://t.co/29kpwpvlXI")</f>
        <v>Have displinant and morale motivation :)
112 love and greetings of each of our emergency employees. https://t.co/29kpwpvlXI</v>
      </c>
    </row>
    <row r="2037" spans="1:5" ht="15.75" customHeight="1" x14ac:dyDescent="0.25">
      <c r="A2037" s="1" t="s">
        <v>4073</v>
      </c>
      <c r="B2037" s="1">
        <v>8170</v>
      </c>
      <c r="C2037" s="3">
        <v>44128.843773148146</v>
      </c>
      <c r="D2037" s="1" t="s">
        <v>4074</v>
      </c>
      <c r="E2037" s="4" t="str">
        <f ca="1">IFERROR(__xludf.DUMMYFUNCTION("GOOGLETRANSLATE(A2037 , ""tr"" , ""en"")"),"Basaksehir Pine and Sakura City Hospital is one of our most important health bases against our increasing patient load. As a team, we will have 5 working days in Istanbul, we will have a headquarters. On Wednesday, our Science Board meeting will take plac"&amp;"e here. Let's be organized against the epidemic. https://t.co/ohxbgzjyt1")</f>
        <v>Basaksehir Pine and Sakura City Hospital is one of our most important health bases against our increasing patient load. As a team, we will have 5 working days in Istanbul, we will have a headquarters. On Wednesday, our Science Board meeting will take place here. Let's be organized against the epidemic. https://t.co/ohxbgzjyt1</v>
      </c>
    </row>
    <row r="2038" spans="1:5" ht="15.75" customHeight="1" x14ac:dyDescent="0.25">
      <c r="A2038" s="1" t="s">
        <v>4075</v>
      </c>
      <c r="B2038" s="1">
        <v>8420</v>
      </c>
      <c r="C2038" s="3">
        <v>44128.774039351854</v>
      </c>
      <c r="D2038" s="1" t="s">
        <v>4076</v>
      </c>
      <c r="E2038" s="4" t="str">
        <f ca="1">IFERROR(__xludf.DUMMYFUNCTION("GOOGLETRANSLATE(A2038 , ""tr"" , ""en"")"),"Professor Dr. Feriha Esp Emergency Hospital is one of our most important health bases against our increasing patient load in Istanbul. Today, we received information about the status of the hospital and the process from our managers. According to the rule"&amp;"s, we need less to hospitals. Let's be organized against the epidemic. https://t.co/gefrusi1pu")</f>
        <v>Professor Dr. Feriha Esp Emergency Hospital is one of our most important health bases against our increasing patient load in Istanbul. Today, we received information about the status of the hospital and the process from our managers. According to the rules, we need less to hospitals. Let's be organized against the epidemic. https://t.co/gefrusi1pu</v>
      </c>
    </row>
    <row r="2039" spans="1:5" ht="15.75" customHeight="1" x14ac:dyDescent="0.25">
      <c r="A2039" s="1" t="s">
        <v>4077</v>
      </c>
      <c r="B2039" s="1">
        <v>6649</v>
      </c>
      <c r="C2039" s="3">
        <v>44128.710300925923</v>
      </c>
      <c r="D2039" s="1" t="s">
        <v>4078</v>
      </c>
      <c r="E2039" s="4" t="str">
        <f ca="1">IFERROR(__xludf.DUMMYFUNCTION("GOOGLETRANSLATE(A2039 , ""tr"" , ""en"")"),"112 Emergency Call Center, in the struggle we give against the epidemic, just as the critical role in general health services is undertaking. In Istanbul European Side Command Control Center, we meet our friends today and have made a status evaluation. Le"&amp;"t's be organized against the epidemic. https://t.co/gkwxsa96w3")</f>
        <v>112 Emergency Call Center, in the struggle we give against the epidemic, just as the critical role in general health services is undertaking. In Istanbul European Side Command Control Center, we meet our friends today and have made a status evaluation. Let's be organized against the epidemic. https://t.co/gkwxsa96w3</v>
      </c>
    </row>
    <row r="2040" spans="1:5" ht="15.75" customHeight="1" x14ac:dyDescent="0.25">
      <c r="A2040" s="1" t="s">
        <v>4079</v>
      </c>
      <c r="B2040" s="1">
        <v>5145</v>
      </c>
      <c r="C2040" s="3">
        <v>44128.697083333333</v>
      </c>
      <c r="D2040" s="1" t="s">
        <v>4080</v>
      </c>
      <c r="E2040" s="4" t="str">
        <f ca="1">IFERROR(__xludf.DUMMYFUNCTION("GOOGLETRANSLATE(A2040 , ""tr"" , ""en"")"),"Professor Dr. Murat Dilmener Emergency Hospital is one of our most important health bases against our increasing patient load. Today, we have received information about the state of the hospital and the outbreak process from our managers. According to the"&amp;" rules, we need less to hospitals. Let's be organized against the epidemic. https://t.co/wgwy7oesb8")</f>
        <v>Professor Dr. Murat Dilmener Emergency Hospital is one of our most important health bases against our increasing patient load. Today, we have received information about the state of the hospital and the outbreak process from our managers. According to the rules, we need less to hospitals. Let's be organized against the epidemic. https://t.co/wgwy7oesb8</v>
      </c>
    </row>
    <row r="2041" spans="1:5" ht="15.75" customHeight="1" x14ac:dyDescent="0.25">
      <c r="A2041" s="1" t="s">
        <v>4081</v>
      </c>
      <c r="B2041" s="1">
        <v>27154</v>
      </c>
      <c r="C2041" s="3">
        <v>44128.677615740744</v>
      </c>
      <c r="D2041" s="1" t="s">
        <v>4082</v>
      </c>
      <c r="E2041" s="4" t="str">
        <f ca="1">IFERROR(__xludf.DUMMYFUNCTION("GOOGLETRANSLATE(A2041 , ""tr"" , ""en"")"),"We are in Istanbul 5 days. 40% of total cases is in Istanbul. Let's be organized against the epidemic.")</f>
        <v>We are in Istanbul 5 days. 40% of total cases is in Istanbul. Let's be organized against the epidemic.</v>
      </c>
    </row>
    <row r="2042" spans="1:5" ht="15.75" customHeight="1" x14ac:dyDescent="0.25">
      <c r="A2042" s="1" t="s">
        <v>4083</v>
      </c>
      <c r="B2042" s="1">
        <v>8568</v>
      </c>
      <c r="C2042" s="3">
        <v>44128.668310185189</v>
      </c>
      <c r="D2042" s="1" t="s">
        <v>4084</v>
      </c>
      <c r="E2042" s="4" t="str">
        <f ca="1">IFERROR(__xludf.DUMMYFUNCTION("GOOGLETRANSLATE(A2042 , ""tr"" , ""en"")"),"2,091 new patients were determined as a result of 113.427 tests. Our severe patient count continues to increase. The treatment of patients is entrusted to our health workers working with dedication. Our responsibility is to comply with the measures. Let's"&amp;" struggle together. https://t.co/rvlhe7786o")</f>
        <v>2,091 new patients were determined as a result of 113.427 tests. Our severe patient count continues to increase. The treatment of patients is entrusted to our health workers working with dedication. Our responsibility is to comply with the measures. Let's struggle together. https://t.co/rvlhe7786o</v>
      </c>
    </row>
    <row r="2043" spans="1:5" ht="15.75" customHeight="1" x14ac:dyDescent="0.25">
      <c r="A2043" s="1" t="s">
        <v>4085</v>
      </c>
      <c r="B2043" s="1">
        <v>47358</v>
      </c>
      <c r="C2043" s="3">
        <v>44128.602962962963</v>
      </c>
      <c r="D2043" s="1" t="s">
        <v>4086</v>
      </c>
      <c r="E2043" s="4" t="str">
        <f ca="1">IFERROR(__xludf.DUMMYFUNCTION("GOOGLETRANSLATE(A2043 , ""tr"" , ""en"")"),"When the COVID-19 test learns that the test is positively, Istanbul Metropolitan Mayor I have passed my wishes. I say Ekrem imamoglu get past once again here. On this occasion I invite our people to be cautious in Istanbul where the outbreak is spread.")</f>
        <v>When the COVID-19 test learns that the test is positively, Istanbul Metropolitan Mayor I have passed my wishes. I say Ekrem imamoglu get past once again here. On this occasion I invite our people to be cautious in Istanbul where the outbreak is spread.</v>
      </c>
    </row>
    <row r="2044" spans="1:5" ht="15.75" customHeight="1" x14ac:dyDescent="0.25">
      <c r="A2044" s="1" t="s">
        <v>4087</v>
      </c>
      <c r="B2044" s="1">
        <v>7143</v>
      </c>
      <c r="C2044" s="3">
        <v>44127.865347222221</v>
      </c>
      <c r="D2044" s="1" t="s">
        <v>4088</v>
      </c>
      <c r="E2044" s="4" t="str">
        <f ca="1">IFERROR(__xludf.DUMMYFUNCTION("GOOGLETRANSLATE(A2044 , ""tr"" , ""en"")"),"Our health system is in the strength to best treat our patient. The important thing is to attract the set of outbreaks with measures. We don't have more powerful weapons than measures. The struggle is only gained by preventing the dissemination by the pat"&amp;"ient. This is possible to comply with the measures. https://t.co/6c61g8hqy7")</f>
        <v>Our health system is in the strength to best treat our patient. The important thing is to attract the set of outbreaks with measures. We don't have more powerful weapons than measures. The struggle is only gained by preventing the dissemination by the patient. This is possible to comply with the measures. https://t.co/6c61g8hqy7</v>
      </c>
    </row>
    <row r="2045" spans="1:5" ht="15.75" customHeight="1" x14ac:dyDescent="0.25">
      <c r="A2045" s="1" t="s">
        <v>4089</v>
      </c>
      <c r="B2045" s="1">
        <v>6874</v>
      </c>
      <c r="C2045" s="3">
        <v>44127.850219907406</v>
      </c>
      <c r="D2045" s="1" t="s">
        <v>4090</v>
      </c>
      <c r="E2045" s="4" t="str">
        <f ca="1">IFERROR(__xludf.DUMMYFUNCTION("GOOGLETRANSLATE(A2045 , ""tr"" , ""en"")"),"In Bursa, Bilecik, Balikesir, Canakkale and Yalova provinces: In Bursa, the number of cases of cases in Bursa increased by 1 month ago, 2 times in Bilecik. If Balikesir, Yalova and Canakkale have a 50% case increase by 1 month ago. The possibilities in ea"&amp;"ch province are sufficient. https://t.co/stonkuncju")</f>
        <v>In Bursa, Bilecik, Balikesir, Canakkale and Yalova provinces: In Bursa, the number of cases of cases in Bursa increased by 1 month ago, 2 times in Bilecik. If Balikesir, Yalova and Canakkale have a 50% case increase by 1 month ago. The possibilities in each province are sufficient. https://t.co/stonkuncju</v>
      </c>
    </row>
    <row r="2046" spans="1:5" ht="15.75" customHeight="1" x14ac:dyDescent="0.25">
      <c r="A2046" s="1" t="s">
        <v>4091</v>
      </c>
      <c r="B2046" s="1">
        <v>7973</v>
      </c>
      <c r="C2046" s="3">
        <v>44127.815729166665</v>
      </c>
      <c r="D2046" s="1" t="s">
        <v>4092</v>
      </c>
      <c r="E2046" s="4" t="str">
        <f ca="1">IFERROR(__xludf.DUMMYFUNCTION("GOOGLETRANSLATE(A2046 , ""tr"" , ""en"")"),"Symptoms are not seen in most people. This does not reduce the seriousness of the job. The epidemic has taught us: the spread of the virus is that only more people do not have a patient and all life is the belly. The fight against the epidemic is the figh"&amp;"t against all life. https://t.co/ddzyxo5hwv")</f>
        <v>Symptoms are not seen in most people. This does not reduce the seriousness of the job. The epidemic has taught us: the spread of the virus is that only more people do not have a patient and all life is the belly. The fight against the epidemic is the fight against all life. https://t.co/ddzyxo5hwv</v>
      </c>
    </row>
    <row r="2047" spans="1:5" ht="15.75" customHeight="1" x14ac:dyDescent="0.25">
      <c r="A2047" s="1" t="s">
        <v>4093</v>
      </c>
      <c r="B2047" s="1">
        <v>5516</v>
      </c>
      <c r="C2047" s="3">
        <v>44127.798750000002</v>
      </c>
      <c r="D2047" s="1" t="s">
        <v>4094</v>
      </c>
      <c r="E2047" s="4" t="str">
        <f ca="1">IFERROR(__xludf.DUMMYFUNCTION("GOOGLETRANSLATE(A2047 , ""tr"" , ""en"")"),"Anatolia is during the second peak period. On 14 April, we lived the first peak in September 14 on April 14. The first peak in Anatolia was seen on September. We live the latter now. Earnestly taken the consequences of hugging the measures earlier. This n"&amp;"ew exam needs determination. https://t.co/xwi78heoaw")</f>
        <v>Anatolia is during the second peak period. On 14 April, we lived the first peak in September 14 on April 14. The first peak in Anatolia was seen on September. We live the latter now. Earnestly taken the consequences of hugging the measures earlier. This new exam needs determination. https://t.co/xwi78heoaw</v>
      </c>
    </row>
    <row r="2048" spans="1:5" ht="15.75" customHeight="1" x14ac:dyDescent="0.25">
      <c r="A2048" s="1" t="s">
        <v>4095</v>
      </c>
      <c r="B2048" s="1">
        <v>15474</v>
      </c>
      <c r="C2048" s="3">
        <v>44127.74324074074</v>
      </c>
      <c r="D2048" s="1" t="s">
        <v>4096</v>
      </c>
      <c r="E2048" s="4" t="str">
        <f ca="1">IFERROR(__xludf.DUMMYFUNCTION("GOOGLETRANSLATE(A2048 , ""tr"" , ""en"")"),"We have 2,165 new patients identified today. A total of approximately 13 million tests were performed. The increase in severe patients continues to increase. At the point of epidemic, the largest weapon at the point we have in our hand is the mask. Give s"&amp;"trength to the challenge. https://t.co/rvlhe7786o")</f>
        <v>We have 2,165 new patients identified today. A total of approximately 13 million tests were performed. The increase in severe patients continues to increase. At the point of epidemic, the largest weapon at the point we have in our hand is the mask. Give strength to the challenge. https://t.co/rvlhe7786o</v>
      </c>
    </row>
    <row r="2049" spans="1:5" ht="15.75" customHeight="1" x14ac:dyDescent="0.25">
      <c r="A2049" s="1" t="s">
        <v>4097</v>
      </c>
      <c r="B2049" s="1">
        <v>5118</v>
      </c>
      <c r="C2049" s="3">
        <v>44127.709467592591</v>
      </c>
      <c r="D2049" s="1" t="s">
        <v>4098</v>
      </c>
      <c r="E2049" s="4" t="str">
        <f ca="1">IFERROR(__xludf.DUMMYFUNCTION("GOOGLETRANSLATE(A2049 , ""tr"" , ""en"")"),"The latest situation in Bursa, Balikesir, Canakkale, Bilecik and Yalova in the fight against the epidemic and Turkey:
📍bursa
https://t.co/c8xey1i7hx")</f>
        <v>The latest situation in Bursa, Balikesir, Canakkale, Bilecik and Yalova in the fight against the epidemic and Turkey:
📍bursa
https://t.co/c8xey1i7hx</v>
      </c>
    </row>
    <row r="2050" spans="1:5" ht="15.75" customHeight="1" x14ac:dyDescent="0.25">
      <c r="A2050" s="1" t="s">
        <v>4099</v>
      </c>
      <c r="B2050" s="1">
        <v>7628</v>
      </c>
      <c r="C2050" s="3">
        <v>44127.550983796296</v>
      </c>
      <c r="D2050" s="1" t="s">
        <v>4100</v>
      </c>
      <c r="E2050" s="4" t="str">
        <f ca="1">IFERROR(__xludf.DUMMYFUNCTION("GOOGLETRANSLATE(A2050 , ""tr"" , ""en"")"),"Our second stop in the Bursa program became our city hospital. We have visited our children with our young people in progress. In the interviews with our friends with our friends, we have received information on the regularity in the hospital with the pro"&amp;"cess of pandemia in general health services. https://t.co/33fawpldzt")</f>
        <v>Our second stop in the Bursa program became our city hospital. We have visited our children with our young people in progress. In the interviews with our friends with our friends, we have received information on the regularity in the hospital with the process of pandemia in general health services. https://t.co/33fawpldzt</v>
      </c>
    </row>
    <row r="2051" spans="1:5" ht="15.75" customHeight="1" x14ac:dyDescent="0.25">
      <c r="A2051" s="1" t="s">
        <v>4101</v>
      </c>
      <c r="B2051" s="1">
        <v>7917</v>
      </c>
      <c r="C2051" s="3">
        <v>44127.390509259261</v>
      </c>
      <c r="D2051" s="1" t="s">
        <v>4102</v>
      </c>
      <c r="E2051" s="4" t="str">
        <f ca="1">IFERROR(__xludf.DUMMYFUNCTION("GOOGLETRANSLATE(A2051 , ""tr"" , ""en"")"),"We are in Bursa. In one of the most important stages of the whole process, in the study meetings we will do here; In Bursa, Balikesir, Canakkale, Bilecik and Yalova, we will address the needs of our hospitals and health workers. https://t.co/GNBI6TVMML")</f>
        <v>We are in Bursa. In one of the most important stages of the whole process, in the study meetings we will do here; In Bursa, Balikesir, Canakkale, Bilecik and Yalova, we will address the needs of our hospitals and health workers. https://t.co/GNBI6TVMML</v>
      </c>
    </row>
    <row r="2052" spans="1:5" ht="15.75" customHeight="1" x14ac:dyDescent="0.25">
      <c r="A2052" s="1" t="s">
        <v>4103</v>
      </c>
      <c r="B2052" s="1">
        <v>34359</v>
      </c>
      <c r="C2052" s="3">
        <v>44126.810011574074</v>
      </c>
      <c r="D2052" s="1" t="s">
        <v>4104</v>
      </c>
      <c r="E2052" s="4" t="str">
        <f ca="1">IFERROR(__xludf.DUMMYFUNCTION("GOOGLETRANSLATE(A2052 , ""tr"" , ""en"")"),"In Istanbul, we will give the most gang examination to the crowd. Do not enter into crowded media unless you have to be obliged.")</f>
        <v>In Istanbul, we will give the most gang examination to the crowd. Do not enter into crowded media unless you have to be obliged.</v>
      </c>
    </row>
    <row r="2053" spans="1:5" ht="15.75" customHeight="1" x14ac:dyDescent="0.25">
      <c r="A2053" s="1" t="s">
        <v>4105</v>
      </c>
      <c r="B2053" s="1">
        <v>30747</v>
      </c>
      <c r="C2053" s="3">
        <v>44126.783750000002</v>
      </c>
      <c r="D2053" s="1" t="s">
        <v>4106</v>
      </c>
      <c r="E2053" s="4" t="str">
        <f ca="1">IFERROR(__xludf.DUMMYFUNCTION("GOOGLETRANSLATE(A2053 , ""tr"" , ""en"")"),"The number of cases in Istanbul has reached 40% of Turkey to 40% of Turkey, Ankara reached 5 times. We have increased the number of contacts, the number of tests. In the struggle of outbreak, we don't have a stronger weapon than the measures you will fit."&amp;" The importance of the mask has increased. And we will give the most gang examination to the crowd.")</f>
        <v>The number of cases in Istanbul has reached 40% of Turkey to 40% of Turkey, Ankara reached 5 times. We have increased the number of contacts, the number of tests. In the struggle of outbreak, we don't have a stronger weapon than the measures you will fit. The importance of the mask has increased. And we will give the most gang examination to the crowd.</v>
      </c>
    </row>
    <row r="2054" spans="1:5" ht="15.75" customHeight="1" x14ac:dyDescent="0.25">
      <c r="A2054" s="1" t="s">
        <v>4107</v>
      </c>
      <c r="B2054" s="1">
        <v>13255</v>
      </c>
      <c r="C2054" s="3">
        <v>44126.757685185185</v>
      </c>
      <c r="D2054" s="1" t="s">
        <v>4108</v>
      </c>
      <c r="E2054" s="4" t="str">
        <f ca="1">IFERROR(__xludf.DUMMYFUNCTION("GOOGLETRANSLATE(A2054 , ""tr"" , ""en"")"),"Istanbul Governor SN. Ali Yerikaya, Provincial Safety Manager sec. Zafer Aktas, our Minister Helps, provincial health manager, field coordinators and the opinions of the epidemic, were on the table. We have decided the measures to be taken against the ong"&amp;"oing increase. https://t.co/cygh788ome")</f>
        <v>Istanbul Governor SN. Ali Yerikaya, Provincial Safety Manager sec. Zafer Aktas, our Minister Helps, provincial health manager, field coordinators and the opinions of the epidemic, were on the table. We have decided the measures to be taken against the ongoing increase. https://t.co/cygh788ome</v>
      </c>
    </row>
    <row r="2055" spans="1:5" ht="15.75" customHeight="1" x14ac:dyDescent="0.25">
      <c r="A2055" s="1" t="s">
        <v>4109</v>
      </c>
      <c r="B2055" s="1">
        <v>6406</v>
      </c>
      <c r="C2055" s="3">
        <v>44126.719837962963</v>
      </c>
      <c r="D2055" s="1" t="s">
        <v>4110</v>
      </c>
      <c r="E2055" s="4" t="str">
        <f ca="1">IFERROR(__xludf.DUMMYFUNCTION("GOOGLETRANSLATE(A2055 , ""tr"" , ""en"")"),"Our brother of the writer and the MP Brother Brandar Esayan, our President Erdogan and the respected wife Emine Erdoğan's lady joined the last journey. The religious ceremony was held at the Kumkapi Mary's Main Patriarchate Church. I wish their condolence"&amp;"s to their relatives and lovers. https://t.co/r4svft7icI")</f>
        <v>Our brother of the writer and the MP Brother Brandar Esayan, our President Erdogan and the respected wife Emine Erdoğan's lady joined the last journey. The religious ceremony was held at the Kumkapi Mary's Main Patriarchate Church. I wish their condolences to their relatives and lovers. https://t.co/r4svft7icI</v>
      </c>
    </row>
    <row r="2056" spans="1:5" ht="15.75" customHeight="1" x14ac:dyDescent="0.25">
      <c r="A2056" s="1" t="s">
        <v>4111</v>
      </c>
      <c r="B2056" s="1">
        <v>13787</v>
      </c>
      <c r="C2056" s="3">
        <v>44126.669270833336</v>
      </c>
      <c r="D2056" s="1" t="s">
        <v>4112</v>
      </c>
      <c r="E2056" s="4" t="str">
        <f ca="1">IFERROR(__xludf.DUMMYFUNCTION("GOOGLETRANSLATE(A2056 , ""tr"" , ""en"")"),"We have 2,102 new patients identified today. Our severe patient number is 1.599. The most important struggle for our health workers is much easier to reduce the numbers by treating severe patients by treating heavy patients. Support the struggle by comply"&amp;"ing with mask with mask Https://t.co/rvlhe7786o")</f>
        <v>We have 2,102 new patients identified today. Our severe patient number is 1.599. The most important struggle for our health workers is much easier to reduce the numbers by treating severe patients by treating heavy patients. Support the struggle by complying with mask with mask Https://t.co/rvlhe7786o</v>
      </c>
    </row>
    <row r="2057" spans="1:5" ht="15.75" customHeight="1" x14ac:dyDescent="0.25">
      <c r="A2057" s="1" t="s">
        <v>4113</v>
      </c>
      <c r="B2057" s="1">
        <v>13046</v>
      </c>
      <c r="C2057" s="3">
        <v>44125.840185185189</v>
      </c>
      <c r="D2057" s="1" t="s">
        <v>4114</v>
      </c>
      <c r="E2057" s="4" t="str">
        <f ca="1">IFERROR(__xludf.DUMMYFUNCTION("GOOGLETRANSLATE(A2057 , ""tr"" , ""en"")"),"Izmir, Gaziantep, Kahramanmaras, Eskişehir, Denizli, Adiyaman, Aydın Meetings We have evaluated the point of epidemics. Istanbul, especially, this 7 provinces and case increase in the country are seen. The importance of the mask has increased. Let's obey "&amp;"the rules. https://t.co/QWPIVIF6E0")</f>
        <v>Izmir, Gaziantep, Kahramanmaras, Eskişehir, Denizli, Adiyaman, Aydın Meetings We have evaluated the point of epidemics. Istanbul, especially, this 7 provinces and case increase in the country are seen. The importance of the mask has increased. Let's obey the rules. https://t.co/QWPIVIF6E0</v>
      </c>
    </row>
    <row r="2058" spans="1:5" ht="15.75" customHeight="1" x14ac:dyDescent="0.25">
      <c r="A2058" s="1" t="s">
        <v>4115</v>
      </c>
      <c r="B2058" s="1">
        <v>0</v>
      </c>
      <c r="C2058" s="3">
        <v>44125.70884259259</v>
      </c>
      <c r="D2058" s="1" t="s">
        <v>4116</v>
      </c>
      <c r="E2058" s="4" t="str">
        <f ca="1">IFERROR(__xludf.DUMMYFUNCTION("GOOGLETRANSLATE(A2058 , ""tr"" , ""en"")"),"Rt @cmylmz: Mr. Health Minister @drfahrettinkoca gave me the news that makes me happy about the thought I have expressed today. To herself…")</f>
        <v>Rt @cmylmz: Mr. Health Minister @drfahrettinkoca gave me the news that makes me happy about the thought I have expressed today. To herself…</v>
      </c>
    </row>
    <row r="2059" spans="1:5" ht="15.75" customHeight="1" x14ac:dyDescent="0.25">
      <c r="A2059" s="1" t="s">
        <v>4117</v>
      </c>
      <c r="B2059" s="1">
        <v>0</v>
      </c>
      <c r="C2059" s="3">
        <v>44125.708749999998</v>
      </c>
      <c r="D2059" s="1" t="s">
        <v>4118</v>
      </c>
      <c r="E2059" s="4" t="str">
        <f ca="1">IFERROR(__xludf.DUMMYFUNCTION("GOOGLETRANSLATE(A2059 , ""tr"" , ""en"")"),"RT @cmylmz: The responsibility of the pandem is the highest level of health to our Ministry of Health, in all the country, to the health personnel, with friendly ...")</f>
        <v>RT @cmylmz: The responsibility of the pandem is the highest level of health to our Ministry of Health, in all the country, to the health personnel, with friendly ...</v>
      </c>
    </row>
    <row r="2060" spans="1:5" ht="15.75" customHeight="1" x14ac:dyDescent="0.25">
      <c r="A2060" s="1" t="s">
        <v>4119</v>
      </c>
      <c r="B2060" s="1">
        <v>17615</v>
      </c>
      <c r="C2060" s="3">
        <v>44125.704548611109</v>
      </c>
      <c r="D2060" s="1" t="s">
        <v>4120</v>
      </c>
      <c r="E2060" s="4" t="str">
        <f ca="1">IFERROR(__xludf.DUMMYFUNCTION("GOOGLETRANSLATE(A2060 , ""tr"" , ""en"")"),"Today we have more than 2,000 new identified patients. Our total heavy patient number is 1.504. Patients with the most efforts of our health workers are severe patients. Able to reduce their load together by fitting together the measures. Provide support "&amp;"to the struggle. https://t.co/rvlhe7786o")</f>
        <v>Today we have more than 2,000 new identified patients. Our total heavy patient number is 1.504. Patients with the most efforts of our health workers are severe patients. Able to reduce their load together by fitting together the measures. Provide support to the struggle. https://t.co/rvlhe7786o</v>
      </c>
    </row>
    <row r="2061" spans="1:5" ht="15.75" customHeight="1" x14ac:dyDescent="0.25">
      <c r="A2061" s="1" t="s">
        <v>4121</v>
      </c>
      <c r="B2061" s="1">
        <v>33826</v>
      </c>
      <c r="C2061" s="3">
        <v>44124.793587962966</v>
      </c>
      <c r="D2061" s="1" t="s">
        <v>4122</v>
      </c>
      <c r="E2061" s="4" t="str">
        <f ca="1">IFERROR(__xludf.DUMMYFUNCTION("GOOGLETRANSLATE(A2061 , ""tr"" , ""en"")"),"We have to show the effort to improve patients to improve patients.")</f>
        <v>We have to show the effort to improve patients to improve patients.</v>
      </c>
    </row>
    <row r="2062" spans="1:5" ht="15.75" customHeight="1" x14ac:dyDescent="0.25">
      <c r="A2062" s="1" t="s">
        <v>4123</v>
      </c>
      <c r="B2062" s="1">
        <v>13748</v>
      </c>
      <c r="C2062" s="3">
        <v>44124.708518518521</v>
      </c>
      <c r="D2062" s="1" t="s">
        <v>4124</v>
      </c>
      <c r="E2062" s="4" t="str">
        <f ca="1">IFERROR(__xludf.DUMMYFUNCTION("GOOGLETRANSLATE(A2062 , ""tr"" , ""en"")"),"We have 1,894 new patients identified today. Our severe patient count increased to 1.545. We have to enclose the efforts that our health workers have enclosed to improve the patients. Support together to combat the measures. https://t.co/rvlhe7786o")</f>
        <v>We have 1,894 new patients identified today. Our severe patient count increased to 1.545. We have to enclose the efforts that our health workers have enclosed to improve the patients. Support together to combat the measures. https://t.co/rvlhe7786o</v>
      </c>
    </row>
    <row r="2063" spans="1:5" ht="15.75" customHeight="1" x14ac:dyDescent="0.25">
      <c r="A2063" s="1" t="s">
        <v>4125</v>
      </c>
      <c r="B2063" s="1">
        <v>20692</v>
      </c>
      <c r="C2063" s="3">
        <v>44123.812858796293</v>
      </c>
      <c r="D2063" s="1" t="s">
        <v>4126</v>
      </c>
      <c r="E2063" s="4" t="str">
        <f ca="1">IFERROR(__xludf.DUMMYFUNCTION("GOOGLETRANSLATE(A2063 , ""tr"" , ""en"")"),"If it's full, don't ride! In Istanbul, some of the drivers in Istanbul, despite the epidemic, the complaints of the more than their capacities, complaints began to increase. Please do not ride the excess of passengers. Let the passenger capacity helps the"&amp;" safety units that control. https://t.co/xiajvn3z0f")</f>
        <v>If it's full, don't ride! In Istanbul, some of the drivers in Istanbul, despite the epidemic, the complaints of the more than their capacities, complaints began to increase. Please do not ride the excess of passengers. Let the passenger capacity helps the safety units that control. https://t.co/xiajvn3z0f</v>
      </c>
    </row>
    <row r="2064" spans="1:5" ht="15.75" customHeight="1" x14ac:dyDescent="0.25">
      <c r="A2064" s="1" t="s">
        <v>4127</v>
      </c>
      <c r="B2064" s="1">
        <v>16577</v>
      </c>
      <c r="C2064" s="3">
        <v>44123.677731481483</v>
      </c>
      <c r="D2064" s="1" t="s">
        <v>4128</v>
      </c>
      <c r="E2064" s="4" t="str">
        <f ca="1">IFERROR(__xludf.DUMMYFUNCTION("GOOGLETRANSLATE(A2064 , ""tr"" , ""en"")"),"We have 1,958 new patients identified today. It is power to achieve our struggle without reducing the number of severe patients. We can only provide measures with the power association by complying with the measures. Let's glorify our health care employee"&amp;"s' labor. https://t.co/rvlhe7786o")</f>
        <v>We have 1,958 new patients identified today. It is power to achieve our struggle without reducing the number of severe patients. We can only provide measures with the power association by complying with the measures. Let's glorify our health care employees' labor. https://t.co/rvlhe7786o</v>
      </c>
    </row>
    <row r="2065" spans="1:5" ht="15.75" customHeight="1" x14ac:dyDescent="0.25">
      <c r="A2065" s="1" t="s">
        <v>4129</v>
      </c>
      <c r="B2065" s="1">
        <v>11331</v>
      </c>
      <c r="C2065" s="3">
        <v>44123.499456018515</v>
      </c>
      <c r="D2065" s="1" t="s">
        <v>4130</v>
      </c>
      <c r="E2065" s="4" t="str">
        <f ca="1">IFERROR(__xludf.DUMMYFUNCTION("GOOGLETRANSLATE(A2065 , ""tr"" , ""en"")"),"Bosnia and Herzegovina is the great hero of the challenge of independence, we remember that the 20th century is the highest and politicians of Aliya İzzetbegovic in the 17th anniversary of the death and late. The wise king witnessed the one with his work,"&amp;" he gave directions with his struggle. https://t.co/c1lttttyng")</f>
        <v>Bosnia and Herzegovina is the great hero of the challenge of independence, we remember that the 20th century is the highest and politicians of Aliya İzzetbegovic in the 17th anniversary of the death and late. The wise king witnessed the one with his work, he gave directions with his struggle. https://t.co/c1lttttyng</v>
      </c>
    </row>
    <row r="2066" spans="1:5" ht="15.75" customHeight="1" x14ac:dyDescent="0.25">
      <c r="A2066" s="1" t="s">
        <v>4131</v>
      </c>
      <c r="B2066" s="1">
        <v>19734</v>
      </c>
      <c r="C2066" s="3">
        <v>44122.811863425923</v>
      </c>
      <c r="D2066" s="1" t="s">
        <v>4132</v>
      </c>
      <c r="E2066" s="4" t="str">
        <f ca="1">IFERROR(__xludf.DUMMYFUNCTION("GOOGLETRANSLATE(A2066 , ""tr"" , ""en"")"),"This is the patient entering the crowd. Taksim Istiklal Street, this Sunday was the scene of images away from optimism. If there are no small number of people wearing his mask, we could never come to mind in the pandemary period. Let's not enter the crowd"&amp;"ed media unless you have to be obliged. https://t.co/1wcorodzsj")</f>
        <v>This is the patient entering the crowd. Taksim Istiklal Street, this Sunday was the scene of images away from optimism. If there are no small number of people wearing his mask, we could never come to mind in the pandemary period. Let's not enter the crowded media unless you have to be obliged. https://t.co/1wcorodzsj</v>
      </c>
    </row>
    <row r="2067" spans="1:5" ht="15.75" customHeight="1" x14ac:dyDescent="0.25">
      <c r="A2067" s="1" t="s">
        <v>4133</v>
      </c>
      <c r="B2067" s="1">
        <v>19235</v>
      </c>
      <c r="C2067" s="3">
        <v>44122.75203703704</v>
      </c>
      <c r="D2067" s="1" t="s">
        <v>4134</v>
      </c>
      <c r="E2067" s="4" t="str">
        <f ca="1">IFERROR(__xludf.DUMMYFUNCTION("GOOGLETRANSLATE(A2067 , ""tr"" , ""en"")"),"TRNC Prime Minister Ersin Tatar, according to non-formal results, the President was elected. I celebrate itself in advance and wish you success. Turkish Cyprus and get auspicious for all of us.")</f>
        <v>TRNC Prime Minister Ersin Tatar, according to non-formal results, the President was elected. I celebrate itself in advance and wish you success. Turkish Cyprus and get auspicious for all of us.</v>
      </c>
    </row>
    <row r="2068" spans="1:5" ht="15.75" customHeight="1" x14ac:dyDescent="0.25">
      <c r="A2068" s="1" t="s">
        <v>4135</v>
      </c>
      <c r="B2068" s="1">
        <v>9442</v>
      </c>
      <c r="C2068" s="3">
        <v>44122.678472222222</v>
      </c>
      <c r="D2068" s="1" t="s">
        <v>4136</v>
      </c>
      <c r="E2068" s="4" t="str">
        <f ca="1">IFERROR(__xludf.DUMMYFUNCTION("GOOGLETRANSLATE(A2068 , ""tr"" , ""en"")"),"Today we have more than 1,500 healing patients. We have 1,815 patients who are newly detected. The number of severe patients continues its static course. We have to reduce active and severe patient numbers. Let's continue to continue the struggle by compl"&amp;"ying with the measures. https://t.co/rvlhe7786o")</f>
        <v>Today we have more than 1,500 healing patients. We have 1,815 patients who are newly detected. The number of severe patients continues its static course. We have to reduce active and severe patient numbers. Let's continue to continue the struggle by complying with the measures. https://t.co/rvlhe7786o</v>
      </c>
    </row>
    <row r="2069" spans="1:5" ht="15.75" customHeight="1" x14ac:dyDescent="0.25">
      <c r="A2069" s="1" t="s">
        <v>4137</v>
      </c>
      <c r="B2069" s="1">
        <v>16457</v>
      </c>
      <c r="C2069" s="3">
        <v>44122.525381944448</v>
      </c>
      <c r="D2069" s="1" t="s">
        <v>4138</v>
      </c>
      <c r="E2069" s="4" t="str">
        <f ca="1">IFERROR(__xludf.DUMMYFUNCTION("GOOGLETRANSLATE(A2069 , ""tr"" , ""en"")"),"The only nation of each other, the two states we know of Azerbaijan's October 18th October Independence Day. We are next to Azerbaijan defending the territory of Armenia against barbarian attacks. https://t.co/jyxzqgr4me")</f>
        <v>The only nation of each other, the two states we know of Azerbaijan's October 18th October Independence Day. We are next to Azerbaijan defending the territory of Armenia against barbarian attacks. https://t.co/jyxzqgr4me</v>
      </c>
    </row>
    <row r="2070" spans="1:5" ht="15.75" customHeight="1" x14ac:dyDescent="0.25">
      <c r="A2070" s="1" t="s">
        <v>4139</v>
      </c>
      <c r="B2070" s="1">
        <v>9278</v>
      </c>
      <c r="C2070" s="3">
        <v>44122.347268518519</v>
      </c>
      <c r="D2070" s="1" t="s">
        <v>4140</v>
      </c>
      <c r="E2070" s="4" t="str">
        <f ca="1">IFERROR(__xludf.DUMMYFUNCTION("GOOGLETRANSLATE(A2070 , ""tr"" , ""en"")"),"Muhtar Fevzi Bey is 76 years old. Caught COVID-19. 10 days remained in the quarantine. When the complaints continue, 6 days were treated in the hospital. 1 week rested at home. The very simple: the illness decreases if the mask rule is complied with. Know"&amp;" yourself: My mistake was to lower the mask under my nose. https://t.co/1ngnx6lz9l")</f>
        <v>Muhtar Fevzi Bey is 76 years old. Caught COVID-19. 10 days remained in the quarantine. When the complaints continue, 6 days were treated in the hospital. 1 week rested at home. The very simple: the illness decreases if the mask rule is complied with. Know yourself: My mistake was to lower the mask under my nose. https://t.co/1ngnx6lz9l</v>
      </c>
    </row>
    <row r="2071" spans="1:5" ht="15.75" customHeight="1" x14ac:dyDescent="0.25">
      <c r="A2071" s="1" t="s">
        <v>4141</v>
      </c>
      <c r="B2071" s="1">
        <v>5683</v>
      </c>
      <c r="C2071" s="3">
        <v>44121.795057870368</v>
      </c>
      <c r="D2071" s="1" t="s">
        <v>4142</v>
      </c>
      <c r="E2071" s="4" t="str">
        <f ca="1">IFERROR(__xludf.DUMMYFUNCTION("GOOGLETRANSLATE(A2071 , ""tr"" , ""en"")"),"What is he done against those who do not meet the measures? Against those who treats irresponsibly, our Ministry of Interior is continuing to audit and sanctions. In common areas, it takes precautions to comply with mask and distance rules. Contribute to "&amp;"this effort with your kind warnings. https://t.co/t1deag7b3b")</f>
        <v>What is he done against those who do not meet the measures? Against those who treats irresponsibly, our Ministry of Interior is continuing to audit and sanctions. In common areas, it takes precautions to comply with mask and distance rules. Contribute to this effort with your kind warnings. https://t.co/t1deag7b3b</v>
      </c>
    </row>
    <row r="2072" spans="1:5" ht="15.75" customHeight="1" x14ac:dyDescent="0.25">
      <c r="A2072" s="1" t="s">
        <v>4143</v>
      </c>
      <c r="B2072" s="1">
        <v>5722</v>
      </c>
      <c r="C2072" s="3">
        <v>44121.752222222225</v>
      </c>
      <c r="D2072" s="1" t="s">
        <v>4144</v>
      </c>
      <c r="E2072" s="4" t="str">
        <f ca="1">IFERROR(__xludf.DUMMYFUNCTION("GOOGLETRANSLATE(A2072 , ""tr"" , ""en"")"),"Comply with three measures, from our number of daily tests, our daily test count, bed capacity, respirator is more important than the occupancy rate. Because we need them, depending on whether the measures are complied with. https://t.co/aat93o3ymv")</f>
        <v>Comply with three measures, from our number of daily tests, our daily test count, bed capacity, respirator is more important than the occupancy rate. Because we need them, depending on whether the measures are complied with. https://t.co/aat93o3ymv</v>
      </c>
    </row>
    <row r="2073" spans="1:5" ht="15.75" customHeight="1" x14ac:dyDescent="0.25">
      <c r="A2073" s="1" t="s">
        <v>4145</v>
      </c>
      <c r="B2073" s="1">
        <v>7727</v>
      </c>
      <c r="C2073" s="3">
        <v>44121.709907407407</v>
      </c>
      <c r="D2073" s="1" t="s">
        <v>4146</v>
      </c>
      <c r="E2073" s="4" t="str">
        <f ca="1">IFERROR(__xludf.DUMMYFUNCTION("GOOGLETRANSLATE(A2073 , ""tr"" , ""en"")"),"Because the coronavirus is contaminated by respiration, the mask is an indispensable measure. Is even the most important of measures. Our scientists say that together with some terms, the mask is up to 90% of the protectorism. https://t.co/elndh4qsc6")</f>
        <v>Because the coronavirus is contaminated by respiration, the mask is an indispensable measure. Is even the most important of measures. Our scientists say that together with some terms, the mask is up to 90% of the protectorism. https://t.co/elndh4qsc6</v>
      </c>
    </row>
    <row r="2074" spans="1:5" ht="15.75" customHeight="1" x14ac:dyDescent="0.25">
      <c r="A2074" s="1" t="s">
        <v>4147</v>
      </c>
      <c r="B2074" s="1">
        <v>10378</v>
      </c>
      <c r="C2074" s="3">
        <v>44121.667199074072</v>
      </c>
      <c r="D2074" s="1" t="s">
        <v>4148</v>
      </c>
      <c r="E2074" s="4" t="str">
        <f ca="1">IFERROR(__xludf.DUMMYFUNCTION("GOOGLETRANSLATE(A2074 , ""tr"" , ""en"")"),"In the tests today, 1.723 new patients were detected. The disease to reduce the number of severe patients is to prevent the transmission of the disease. The most important weapon for this is to comply with the measures. We will be the winner of the measur"&amp;"es. https://t.co/rvlhe7786o")</f>
        <v>In the tests today, 1.723 new patients were detected. The disease to reduce the number of severe patients is to prevent the transmission of the disease. The most important weapon for this is to comply with the measures. We will be the winner of the measures. https://t.co/rvlhe7786o</v>
      </c>
    </row>
    <row r="2075" spans="1:5" ht="15.75" customHeight="1" x14ac:dyDescent="0.25">
      <c r="A2075" s="1" t="s">
        <v>4149</v>
      </c>
      <c r="B2075" s="1">
        <v>0</v>
      </c>
      <c r="C2075" s="3">
        <v>44121.564027777778</v>
      </c>
      <c r="D2075" s="1" t="s">
        <v>4150</v>
      </c>
      <c r="E2075" s="4" t="str">
        <f ca="1">IFERROR(__xludf.DUMMYFUNCTION("GOOGLETRANSLATE(A2075 , ""tr"" , ""en"")"),"RT @rterdogan: Fatih drilling from our ship to our nation # nillienjideymeni https://t.co/748szshwlt")</f>
        <v>RT @rterdogan: Fatih drilling from our ship to our nation # nillienjideymeni https://t.co/748szshwlt</v>
      </c>
    </row>
    <row r="2076" spans="1:5" ht="15.75" customHeight="1" x14ac:dyDescent="0.25">
      <c r="A2076" s="1" t="s">
        <v>4151</v>
      </c>
      <c r="B2076" s="1">
        <v>3947</v>
      </c>
      <c r="C2076" s="3">
        <v>44121.539340277777</v>
      </c>
      <c r="D2076" s="1" t="s">
        <v>4152</v>
      </c>
      <c r="E2076" s="4" t="str">
        <f ca="1">IFERROR(__xludf.DUMMYFUNCTION("GOOGLETRANSLATE(A2076 , ""tr"" , ""en"")"),"DSO European Director Dr. Hans Kluge explained that death rates in Europe may increase 5 times in Europe compared to April. The number of cases of 6 million reached 7 million in 10 days. Daily andfat is over 1,000. The table in Europe is characterized as "&amp;"the second wave. https://t.co/bf50vctqlg")</f>
        <v>DSO European Director Dr. Hans Kluge explained that death rates in Europe may increase 5 times in Europe compared to April. The number of cases of 6 million reached 7 million in 10 days. Daily andfat is over 1,000. The table in Europe is characterized as the second wave. https://t.co/bf50vctqlg</v>
      </c>
    </row>
    <row r="2077" spans="1:5" ht="15.75" customHeight="1" x14ac:dyDescent="0.25">
      <c r="A2077" s="1" t="s">
        <v>4153</v>
      </c>
      <c r="B2077" s="1">
        <v>4433</v>
      </c>
      <c r="C2077" s="3">
        <v>44121.534421296295</v>
      </c>
      <c r="D2077" s="1" t="s">
        <v>4154</v>
      </c>
      <c r="E2077" s="4" t="str">
        <f ca="1">IFERROR(__xludf.DUMMYFUNCTION("GOOGLETRANSLATE(A2077 , ""tr"" , ""en"")"),"The number of active cases in the world is more than the past months. Determined by diagnosing on October 15 only, 430 thousand. According to the estimates, the total number of people with the properties feature are over 70 million. The epidemic starting "&amp;"from 1 has a lot of spreading channels from 70 million right now. https://t.co/r2FIA9GQV4")</f>
        <v>The number of active cases in the world is more than the past months. Determined by diagnosing on October 15 only, 430 thousand. According to the estimates, the total number of people with the properties feature are over 70 million. The epidemic starting from 1 has a lot of spreading channels from 70 million right now. https://t.co/r2FIA9GQV4</v>
      </c>
    </row>
    <row r="2078" spans="1:5" ht="15.75" customHeight="1" x14ac:dyDescent="0.25">
      <c r="A2078" s="1" t="s">
        <v>4155</v>
      </c>
      <c r="B2078" s="1">
        <v>8135</v>
      </c>
      <c r="C2078" s="3">
        <v>44121.528460648151</v>
      </c>
      <c r="D2078" s="1" t="s">
        <v>4156</v>
      </c>
      <c r="E2078" s="4" t="str">
        <f ca="1">IFERROR(__xludf.DUMMYFUNCTION("GOOGLETRANSLATE(A2078 , ""tr"" , ""en"")"),"Virus has been contemptible for at least 39 million people compared to official figures. At the very first, this number was only 1. Coronavirus has spread to the world from that 1 person. O The number of ""one"" was at least 39 million. Even a single carr"&amp;"ier between us means that the risk continues as long as it is not isolated. https://t.co/qekı13uywv")</f>
        <v>Virus has been contemptible for at least 39 million people compared to official figures. At the very first, this number was only 1. Coronavirus has spread to the world from that 1 person. O The number of "one" was at least 39 million. Even a single carrier between us means that the risk continues as long as it is not isolated. https://t.co/qekı13uywv</v>
      </c>
    </row>
    <row r="2079" spans="1:5" ht="15.75" customHeight="1" x14ac:dyDescent="0.25">
      <c r="A2079" s="1" t="s">
        <v>4157</v>
      </c>
      <c r="B2079" s="1">
        <v>22515</v>
      </c>
      <c r="C2079" s="3">
        <v>44121.431087962963</v>
      </c>
      <c r="D2079" s="1" t="s">
        <v>4158</v>
      </c>
      <c r="E2079" s="4" t="str">
        <f ca="1">IFERROR(__xludf.DUMMYFUNCTION("GOOGLETRANSLATE(A2079 , ""tr"" , ""en"")"),"We curse the army of Armenia and the barbarism, due to the missile attacks, which leads to the people of Azerbaijan, which leads to a large number of children in the Şeçiir and injury. The life of terrorists has always been short.")</f>
        <v>We curse the army of Armenia and the barbarism, due to the missile attacks, which leads to the people of Azerbaijan, which leads to a large number of children in the Şeçiir and injury. The life of terrorists has always been short.</v>
      </c>
    </row>
    <row r="2080" spans="1:5" ht="15.75" customHeight="1" x14ac:dyDescent="0.25">
      <c r="A2080" s="1" t="s">
        <v>4159</v>
      </c>
      <c r="B2080" s="1">
        <v>9698</v>
      </c>
      <c r="C2080" s="3">
        <v>44120.874039351853</v>
      </c>
      <c r="D2080" s="1" t="s">
        <v>4160</v>
      </c>
      <c r="E2080" s="4" t="str">
        <f ca="1">IFERROR(__xludf.DUMMYFUNCTION("GOOGLETRANSLATE(A2080 , ""tr"" , ""en"")"),"QUESTION: Positive cases to exit cross-sectional scans are only to be reported to the World Health Organization?
Answer: First of our citizen, then the World Health Organization will learn! https://t.co/pjgkhgzkp9")</f>
        <v>QUESTION: Positive cases to exit cross-sectional scans are only to be reported to the World Health Organization?
Answer: First of our citizen, then the World Health Organization will learn! https://t.co/pjgkhgzkp9</v>
      </c>
    </row>
    <row r="2081" spans="1:5" ht="15.75" customHeight="1" x14ac:dyDescent="0.25">
      <c r="A2081" s="1" t="s">
        <v>4161</v>
      </c>
      <c r="B2081" s="1">
        <v>8142</v>
      </c>
      <c r="C2081" s="3">
        <v>44120.811226851853</v>
      </c>
      <c r="D2081" s="1" t="s">
        <v>4162</v>
      </c>
      <c r="E2081" s="4" t="str">
        <f ca="1">IFERROR(__xludf.DUMMYFUNCTION("GOOGLETRANSLATE(A2081 , ""tr"" , ""en"")"),"Martyr Health Officer We visited Burak Tatar's family in their homes in Erzurum. After the first task of Burak, the Euphrates Shield and Cerablus operations were voluntary and the olive branch had been marty in operation. In our visit, we offered our pare"&amp;"nts on behalf of all of you. https://t.co/501IMXN36V")</f>
        <v>Martyr Health Officer We visited Burak Tatar's family in their homes in Erzurum. After the first task of Burak, the Euphrates Shield and Cerablus operations were voluntary and the olive branch had been marty in operation. In our visit, we offered our parents on behalf of all of you. https://t.co/501IMXN36V</v>
      </c>
    </row>
    <row r="2082" spans="1:5" ht="15.75" customHeight="1" x14ac:dyDescent="0.25">
      <c r="A2082" s="1" t="s">
        <v>4163</v>
      </c>
      <c r="B2082" s="1">
        <v>14116</v>
      </c>
      <c r="C2082" s="3">
        <v>44120.739282407405</v>
      </c>
      <c r="D2082" s="1" t="s">
        <v>4164</v>
      </c>
      <c r="E2082" s="4" t="str">
        <f ca="1">IFERROR(__xludf.DUMMYFUNCTION("GOOGLETRANSLATE(A2082 , ""tr"" , ""en"")"),"We lost BrandSayan. Was very young. It was very friendly. A writer with two mother tongues as a privilege was a combined month. The cancer disease is eaten today today. We are all sorry. I am condolences to their relatives, readers, Armenian community, po"&amp;"litical friends.")</f>
        <v>We lost BrandSayan. Was very young. It was very friendly. A writer with two mother tongues as a privilege was a combined month. The cancer disease is eaten today today. We are all sorry. I am condolences to their relatives, readers, Armenian community, political friends.</v>
      </c>
    </row>
    <row r="2083" spans="1:5" ht="15.75" customHeight="1" x14ac:dyDescent="0.25">
      <c r="A2083" s="1" t="s">
        <v>4165</v>
      </c>
      <c r="B2083" s="1">
        <v>10083</v>
      </c>
      <c r="C2083" s="3">
        <v>44120.705138888887</v>
      </c>
      <c r="D2083" s="1" t="s">
        <v>4166</v>
      </c>
      <c r="E2083" s="4" t="str">
        <f ca="1">IFERROR(__xludf.DUMMYFUNCTION("GOOGLETRANSLATE(A2083 , ""tr"" , ""en"")"),"We have 1,812 patients identified today. Our severe patient count tends to increase after a long break. The number of cases complies with measures in increasing provinces, and we struggle for if we are compromising measures in decreasing provinces. We hav"&amp;"e to comply with the measures in all of our regions. https://t.co/rvlhe7786o")</f>
        <v>We have 1,812 patients identified today. Our severe patient count tends to increase after a long break. The number of cases complies with measures in increasing provinces, and we struggle for if we are compromising measures in decreasing provinces. We have to comply with the measures in all of our regions. https://t.co/rvlhe7786o</v>
      </c>
    </row>
    <row r="2084" spans="1:5" ht="15.75" customHeight="1" x14ac:dyDescent="0.25">
      <c r="A2084" s="1" t="s">
        <v>4167</v>
      </c>
      <c r="B2084" s="1">
        <v>3402</v>
      </c>
      <c r="C2084" s="3">
        <v>44120.675381944442</v>
      </c>
      <c r="D2084" s="1" t="s">
        <v>4168</v>
      </c>
      <c r="E2084" s="4" t="str">
        <f ca="1">IFERROR(__xludf.DUMMYFUNCTION("GOOGLETRANSLATE(A2084 , ""tr"" , ""en"")"),"Erzurum, Pain, Igdir, Kars, Ardahan, Erzincan, Tunceli and the last situation in Bingöl and Turkey:
📍erzurum
https://t.co/8ofqbgs6km")</f>
        <v>Erzurum, Pain, Igdir, Kars, Ardahan, Erzincan, Tunceli and the last situation in Bingöl and Turkey:
📍erzurum
https://t.co/8ofqbgs6km</v>
      </c>
    </row>
    <row r="2085" spans="1:5" ht="15.75" customHeight="1" x14ac:dyDescent="0.25">
      <c r="A2085" s="1" t="s">
        <v>4169</v>
      </c>
      <c r="B2085" s="1">
        <v>5222</v>
      </c>
      <c r="C2085" s="3">
        <v>44120.663807870369</v>
      </c>
      <c r="D2085" s="1" t="s">
        <v>4170</v>
      </c>
      <c r="E2085" s="4" t="str">
        <f ca="1">IFERROR(__xludf.DUMMYFUNCTION("GOOGLETRANSLATE(A2085 , ""tr"" , ""en"")"),"In Erzurum, we have completed the output meetings for our 8 provinces. ERZURUM, Pain, Iğdir, Kars, Ardahan, Erzincan, Tunceli and Bingöl together with the provincial health managers and field coordinators, we have made the status analysis for each city an"&amp;"d reviewed our strategy. https://t.co/VWCLQELEIA")</f>
        <v>In Erzurum, we have completed the output meetings for our 8 provinces. ERZURUM, Pain, Iğdir, Kars, Ardahan, Erzincan, Tunceli and Bingöl together with the provincial health managers and field coordinators, we have made the status analysis for each city and reviewed our strategy. https://t.co/VWCLQELEIA</v>
      </c>
    </row>
    <row r="2086" spans="1:5" ht="15.75" customHeight="1" x14ac:dyDescent="0.25">
      <c r="A2086" s="1" t="s">
        <v>4171</v>
      </c>
      <c r="B2086" s="1">
        <v>5758</v>
      </c>
      <c r="C2086" s="3">
        <v>44120.528020833335</v>
      </c>
      <c r="D2086" s="1" t="s">
        <v>4172</v>
      </c>
      <c r="E2086" s="4" t="str">
        <f ca="1">IFERROR(__xludf.DUMMYFUNCTION("GOOGLETRANSLATE(A2086 , ""tr"" , ""en"")"),"Before we started our coronavirus provincial assessment meetings, we meet our experiences, general health services and needs to meet our working friends in our ERZURUM city hospital. We have visited our teenagers with our cottages treated in children's se"&amp;"rvice. https://t.co/ywty5j1m9v")</f>
        <v>Before we started our coronavirus provincial assessment meetings, we meet our experiences, general health services and needs to meet our working friends in our ERZURUM city hospital. We have visited our teenagers with our cottages treated in children's service. https://t.co/ywty5j1m9v</v>
      </c>
    </row>
    <row r="2087" spans="1:5" ht="15.75" customHeight="1" x14ac:dyDescent="0.25">
      <c r="A2087" s="1" t="s">
        <v>4173</v>
      </c>
      <c r="B2087" s="1">
        <v>6112</v>
      </c>
      <c r="C2087" s="3">
        <v>44120.372789351852</v>
      </c>
      <c r="D2087" s="1" t="s">
        <v>4174</v>
      </c>
      <c r="E2087" s="4" t="str">
        <f ca="1">IFERROR(__xludf.DUMMYFUNCTION("GOOGLETRANSLATE(A2087 , ""tr"" , ""en"")"),"We are in Erzurum. At the study meetings we will; From our Eastern Anatolian cities, we will address the needs of our hospitals and health employees, which we came against ERZURUM, Pain, Igdir, Kars, Ardahan, Erzincan, Tunceli and Bingöl in the struggle i"&amp;"n Bingöl. https://t.co/e1kcmplxtf")</f>
        <v>We are in Erzurum. At the study meetings we will; From our Eastern Anatolian cities, we will address the needs of our hospitals and health employees, which we came against ERZURUM, Pain, Igdir, Kars, Ardahan, Erzincan, Tunceli and Bingöl in the struggle in Bingöl. https://t.co/e1kcmplxtf</v>
      </c>
    </row>
    <row r="2088" spans="1:5" ht="15.75" customHeight="1" x14ac:dyDescent="0.25">
      <c r="A2088" s="1" t="s">
        <v>4175</v>
      </c>
      <c r="B2088" s="1">
        <v>14690</v>
      </c>
      <c r="C2088" s="3">
        <v>44119.668599537035</v>
      </c>
      <c r="D2088" s="1" t="s">
        <v>4176</v>
      </c>
      <c r="E2088" s="4" t="str">
        <f ca="1">IFERROR(__xludf.DUMMYFUNCTION("GOOGLETRANSLATE(A2088 , ""tr"" , ""en"")"),"More than 12 million tests in total. There are 1,693 new patients identified today. Our severe patient count continues its static course. Fillation, isolation continues without complete. We can reduce the number of patients by complying with the measures."&amp;" Winning we will be. https://t.co/rvlhe7786o")</f>
        <v>More than 12 million tests in total. There are 1,693 new patients identified today. Our severe patient count continues its static course. Fillation, isolation continues without complete. We can reduce the number of patients by complying with the measures. Winning we will be. https://t.co/rvlhe7786o</v>
      </c>
    </row>
    <row r="2089" spans="1:5" ht="15.75" customHeight="1" x14ac:dyDescent="0.25">
      <c r="A2089" s="1" t="s">
        <v>4177</v>
      </c>
      <c r="B2089" s="1">
        <v>14157</v>
      </c>
      <c r="C2089" s="3">
        <v>44119.642268518517</v>
      </c>
      <c r="D2089" s="1" t="s">
        <v>4178</v>
      </c>
      <c r="E2089" s="4" t="str">
        <f ca="1">IFERROR(__xludf.DUMMYFUNCTION("GOOGLETRANSLATE(A2089 , ""tr"" , ""en"")"),"15 October World Hand Washing Day,
October 16 World Hand Washing Day,
17 October World Hand Washing Day,
October 18th World Hand Washing Day,
October 19 ... Let's wash our hands, every day, often, 20 seconds. With hand cleaning, we feel safe and safe agai"&amp;"nst diseases. https://t.co/pjm5pell8l")</f>
        <v>15 October World Hand Washing Day,
October 16 World Hand Washing Day,
17 October World Hand Washing Day,
October 18th World Hand Washing Day,
October 19 ... Let's wash our hands, every day, often, 20 seconds. With hand cleaning, we feel safe and safe against diseases. https://t.co/pjm5pell8l</v>
      </c>
    </row>
    <row r="2090" spans="1:5" ht="15.75" customHeight="1" x14ac:dyDescent="0.25">
      <c r="A2090" s="1" t="s">
        <v>4179</v>
      </c>
      <c r="B2090" s="1">
        <v>6778</v>
      </c>
      <c r="C2090" s="3">
        <v>44119.299212962964</v>
      </c>
      <c r="D2090" s="1" t="s">
        <v>4180</v>
      </c>
      <c r="E2090" s="4" t="str">
        <f ca="1">IFERROR(__xludf.DUMMYFUNCTION("GOOGLETRANSLATE(A2090 , ""tr"" , ""en"")"),"There are researches that prove that coronavirus measures reduce flu and similar infections. Whö, 2 days ago in the flu update report reported that the infection in the southern hemispheric has spent flu season. Especially the mask is a complete obstacle "&amp;"to the flu. https://t.co/oe8vbqega6")</f>
        <v>There are researches that prove that coronavirus measures reduce flu and similar infections. Whö, 2 days ago in the flu update report reported that the infection in the southern hemispheric has spent flu season. Especially the mask is a complete obstacle to the flu. https://t.co/oe8vbqega6</v>
      </c>
    </row>
    <row r="2091" spans="1:5" ht="15.75" customHeight="1" x14ac:dyDescent="0.25">
      <c r="A2091" s="1" t="s">
        <v>4181</v>
      </c>
      <c r="B2091" s="1">
        <v>6951</v>
      </c>
      <c r="C2091" s="3">
        <v>44118.859432870369</v>
      </c>
      <c r="D2091" s="1" t="s">
        <v>4182</v>
      </c>
      <c r="E2091" s="4" t="str">
        <f ca="1">IFERROR(__xludf.DUMMYFUNCTION("GOOGLETRANSLATE(A2091 , ""tr"" , ""en"")"),"In the epidemic period, there is an incorrect thought that everyone should take a flu shot. In the world, there was a 20% increase in the production of influenza vaccine. We would specifically recommend the grip vaccine to the risky people. When the coron"&amp;"avirus is infected, we start the group that will be at risk. https://t.co/agoxchqgm0")</f>
        <v>In the epidemic period, there is an incorrect thought that everyone should take a flu shot. In the world, there was a 20% increase in the production of influenza vaccine. We would specifically recommend the grip vaccine to the risky people. When the coronavirus is infected, we start the group that will be at risk. https://t.co/agoxchqgm0</v>
      </c>
    </row>
    <row r="2092" spans="1:5" ht="15.75" customHeight="1" x14ac:dyDescent="0.25">
      <c r="A2092" s="1" t="s">
        <v>4183</v>
      </c>
      <c r="B2092" s="1">
        <v>5677</v>
      </c>
      <c r="C2092" s="3">
        <v>44118.84778935185</v>
      </c>
      <c r="D2092" s="1" t="s">
        <v>4184</v>
      </c>
      <c r="E2092" s="4" t="str">
        <f ca="1">IFERROR(__xludf.DUMMYFUNCTION("GOOGLETRANSLATE(A2092 , ""tr"" , ""en"")"),"There is a vaccine common study group in which many scientists take office. Turkey's vaccination studies are maintained by the team of 600 people depending on these scientists. Our common study group is currently working on 4 different vaccines. The two a"&amp;"re close to the stage of human experiments. https://t.co/PXAMENKRPI")</f>
        <v>There is a vaccine common study group in which many scientists take office. Turkey's vaccination studies are maintained by the team of 600 people depending on these scientists. Our common study group is currently working on 4 different vaccines. The two are close to the stage of human experiments. https://t.co/PXAMENKRPI</v>
      </c>
    </row>
    <row r="2093" spans="1:5" ht="15.75" customHeight="1" x14ac:dyDescent="0.25">
      <c r="A2093" s="1" t="s">
        <v>4185</v>
      </c>
      <c r="B2093" s="1">
        <v>7306</v>
      </c>
      <c r="C2093" s="3">
        <v>44118.839571759258</v>
      </c>
      <c r="D2093" s="1" t="s">
        <v>4186</v>
      </c>
      <c r="E2093" s="4" t="str">
        <f ca="1">IFERROR(__xludf.DUMMYFUNCTION("GOOGLETRANSLATE(A2093 , ""tr"" , ""en"")"),"Although we are not among the richest countries in Turkey's report, it is emphasized that we are the most generous-treating countries in the fight against epidemic. In the EU progress report, public health and health personnel policy is shown in complianc"&amp;"e with international standards. https://t.co/owcepq5jsx")</f>
        <v>Although we are not among the richest countries in Turkey's report, it is emphasized that we are the most generous-treating countries in the fight against epidemic. In the EU progress report, public health and health personnel policy is shown in compliance with international standards. https://t.co/owcepq5jsx</v>
      </c>
    </row>
    <row r="2094" spans="1:5" ht="15.75" customHeight="1" x14ac:dyDescent="0.25">
      <c r="A2094" s="1" t="s">
        <v>4187</v>
      </c>
      <c r="B2094" s="1">
        <v>5731</v>
      </c>
      <c r="C2094" s="3">
        <v>44118.689085648148</v>
      </c>
      <c r="D2094" s="1" t="s">
        <v>4188</v>
      </c>
      <c r="E2094" s="4" t="str">
        <f ca="1">IFERROR(__xludf.DUMMYFUNCTION("GOOGLETRANSLATE(A2094 , ""tr"" , ""en"")"),"After our Science Board meeting, the latest developments on the coronavirus and the new measures we receive.
📍Public Ministry Bilkent Campus / Ankara
https://t.co/prxblibc2s")</f>
        <v>After our Science Board meeting, the latest developments on the coronavirus and the new measures we receive.
📍Public Ministry Bilkent Campus / Ankara
https://t.co/prxblibc2s</v>
      </c>
    </row>
    <row r="2095" spans="1:5" ht="15.75" customHeight="1" x14ac:dyDescent="0.25">
      <c r="A2095" s="1" t="s">
        <v>4189</v>
      </c>
      <c r="B2095" s="1">
        <v>9786</v>
      </c>
      <c r="C2095" s="3">
        <v>44117.906377314815</v>
      </c>
      <c r="D2095" s="1" t="s">
        <v>4190</v>
      </c>
      <c r="E2095" s="4" t="str">
        <f ca="1">IFERROR(__xludf.DUMMYFUNCTION("GOOGLETRANSLATE(A2095 , ""tr"" , ""en"")"),"We made an important meeting about our tomorrows more lighter. At the first meeting of the domestic vaccine joint group, we met with all our researchers. We will also develop vaccine against the virus. @tusebgovtr @tubitak https://t.co/661kehawab")</f>
        <v>We made an important meeting about our tomorrows more lighter. At the first meeting of the domestic vaccine joint group, we met with all our researchers. We will also develop vaccine against the virus. @tusebgovtr @tubitak https://t.co/661kehawab</v>
      </c>
    </row>
    <row r="2096" spans="1:5" ht="15.75" customHeight="1" x14ac:dyDescent="0.25">
      <c r="A2096" s="1" t="s">
        <v>4191</v>
      </c>
      <c r="B2096" s="1">
        <v>12145</v>
      </c>
      <c r="C2096" s="3">
        <v>44117.670162037037</v>
      </c>
      <c r="D2096" s="1" t="s">
        <v>4192</v>
      </c>
      <c r="E2096" s="4" t="str">
        <f ca="1">IFERROR(__xludf.DUMMYFUNCTION("GOOGLETRANSLATE(A2096 , ""tr"" , ""en"")"),"There are 1,632 new patients identified today. Our severe patient number is 1.416. Our severe patient count is still static. We have to reduce the number of severe patients. We can get in front of the virus by complying with the measures. We will achieve "&amp;"together, trust. https://t.co/rvlhe7786o")</f>
        <v>There are 1,632 new patients identified today. Our severe patient number is 1.416. Our severe patient count is still static. We have to reduce the number of severe patients. We can get in front of the virus by complying with the measures. We will achieve together, trust. https://t.co/rvlhe7786o</v>
      </c>
    </row>
    <row r="2097" spans="1:5" ht="15.75" customHeight="1" x14ac:dyDescent="0.25">
      <c r="A2097" s="1" t="s">
        <v>4193</v>
      </c>
      <c r="B2097" s="1">
        <v>11125</v>
      </c>
      <c r="C2097" s="3">
        <v>44116.667650462965</v>
      </c>
      <c r="D2097" s="1" t="s">
        <v>4194</v>
      </c>
      <c r="E2097" s="4" t="str">
        <f ca="1">IFERROR(__xludf.DUMMYFUNCTION("GOOGLETRANSLATE(A2097 , ""tr"" , ""en"")"),"Today our total number of severe patients is 1.417. Intensive care occupancy rates have a decrease this week. The pneumonia rate in patients also dropped by last week. Measures are consequential together and continuously applied. We will achieve together,"&amp;" trust. https://t.co/rvlhe7786o")</f>
        <v>Today our total number of severe patients is 1.417. Intensive care occupancy rates have a decrease this week. The pneumonia rate in patients also dropped by last week. Measures are consequential together and continuously applied. We will achieve together, trust. https://t.co/rvlhe7786o</v>
      </c>
    </row>
    <row r="2098" spans="1:5" ht="15.75" customHeight="1" x14ac:dyDescent="0.25">
      <c r="A2098" s="1" t="s">
        <v>4195</v>
      </c>
      <c r="B2098" s="1">
        <v>10785</v>
      </c>
      <c r="C2098" s="3">
        <v>44116.63994212963</v>
      </c>
      <c r="D2098" s="1" t="s">
        <v>4196</v>
      </c>
      <c r="E2098" s="4" t="str">
        <f ca="1">IFERROR(__xludf.DUMMYFUNCTION("GOOGLETRANSLATE(A2098 , ""tr"" , ""en"")"),"In the second phase of our Ministry of National Education to face-to-face education, primary school 2, 3 and 4th grades, village schools, 8th and 12th grades, with high school preparatory class students, our students have started face-to-face training tod"&amp;"ay. Everything will take turns in order. https://t.co/D7SUAQWAIW")</f>
        <v>In the second phase of our Ministry of National Education to face-to-face education, primary school 2, 3 and 4th grades, village schools, 8th and 12th grades, with high school preparatory class students, our students have started face-to-face training today. Everything will take turns in order. https://t.co/D7SUAQWAIW</v>
      </c>
    </row>
    <row r="2099" spans="1:5" ht="15.75" customHeight="1" x14ac:dyDescent="0.25">
      <c r="A2099" s="1" t="s">
        <v>4197</v>
      </c>
      <c r="B2099" s="1">
        <v>11860</v>
      </c>
      <c r="C2099" s="3">
        <v>44116.573298611111</v>
      </c>
      <c r="D2099" s="1" t="s">
        <v>4198</v>
      </c>
      <c r="E2099" s="4" t="str">
        <f ca="1">IFERROR(__xludf.DUMMYFUNCTION("GOOGLETRANSLATE(A2099 , ""tr"" , ""en"")"),"The Mayor Mehmet Abdi was the Mayor Mehmet Abdi Cloud, for a while in Gaziantep University, Hahinbey Research and Application Hospital were under treatment in the intensive care unit. We've lost our precious friend unfortunately. I wish himself to the mer"&amp;"cy, relatives and friends from Allah.")</f>
        <v>The Mayor Mehmet Abdi was the Mayor Mehmet Abdi Cloud, for a while in Gaziantep University, Hahinbey Research and Application Hospital were under treatment in the intensive care unit. We've lost our precious friend unfortunately. I wish himself to the mercy, relatives and friends from Allah.</v>
      </c>
    </row>
    <row r="2100" spans="1:5" ht="15.75" customHeight="1" x14ac:dyDescent="0.25">
      <c r="A2100" s="1" t="s">
        <v>4199</v>
      </c>
      <c r="B2100" s="1">
        <v>13385</v>
      </c>
      <c r="C2100" s="3">
        <v>44115.66679398148</v>
      </c>
      <c r="D2100" s="1" t="s">
        <v>4200</v>
      </c>
      <c r="E2100" s="4" t="str">
        <f ca="1">IFERROR(__xludf.DUMMYFUNCTION("GOOGLETRANSLATE(A2100 , ""tr"" , ""en"")"),"Today 1,502 new patients were detected. Total Heavy Duty Patients Today is 1.411. For the patients to find the healing itself, we want to be able to support our sleepless health workers, if we want to support our sleepless health workers. We will achieve "&amp;"together, trust. https://t.co/rvlhe7786o")</f>
        <v>Today 1,502 new patients were detected. Total Heavy Duty Patients Today is 1.411. For the patients to find the healing itself, we want to be able to support our sleepless health workers, if we want to support our sleepless health workers. We will achieve together, trust. https://t.co/rvlhe7786o</v>
      </c>
    </row>
    <row r="2101" spans="1:5" ht="15.75" customHeight="1" x14ac:dyDescent="0.25">
      <c r="A2101" s="1" t="s">
        <v>4201</v>
      </c>
      <c r="B2101" s="1">
        <v>9643</v>
      </c>
      <c r="C2101" s="3">
        <v>44115.500671296293</v>
      </c>
      <c r="D2101" s="1" t="s">
        <v>4202</v>
      </c>
      <c r="E2101" s="4" t="str">
        <f ca="1">IFERROR(__xludf.DUMMYFUNCTION("GOOGLETRANSLATE(A2101 , ""tr"" , ""en"")"),"Istanbul Provincial Health Old Directors, Deputy Undersecretary of the Ministry of Retired. Mehmet Bakar has passed away in the Bakırköy Training Research Hospital. Wearing our brother of the medical community and his love to our brother, I wish their con"&amp;"dolences from Allah.")</f>
        <v>Istanbul Provincial Health Old Directors, Deputy Undersecretary of the Ministry of Retired. Mehmet Bakar has passed away in the Bakırköy Training Research Hospital. Wearing our brother of the medical community and his love to our brother, I wish their condolences from Allah.</v>
      </c>
    </row>
    <row r="2102" spans="1:5" ht="15.75" customHeight="1" x14ac:dyDescent="0.25">
      <c r="A2102" s="1" t="s">
        <v>4203</v>
      </c>
      <c r="B2102" s="1">
        <v>4537</v>
      </c>
      <c r="C2102" s="3">
        <v>44114.692175925928</v>
      </c>
      <c r="D2102" s="1" t="s">
        <v>4204</v>
      </c>
      <c r="E2102" s="4" t="str">
        <f ca="1">IFERROR(__xludf.DUMMYFUNCTION("GOOGLETRANSLATE(A2102 , ""tr"" , ""en"")"),"Istanbul Evaluation and Fighting Meeting. Our two-staring assistants, provincial health manager and the participation of our field coordinators with the participation of the release of the release, and we addressed the status of our hospitals and filion s"&amp;"tudies. We are insistent in measures. https://t.co/hb6sha82dc")</f>
        <v>Istanbul Evaluation and Fighting Meeting. Our two-staring assistants, provincial health manager and the participation of our field coordinators with the participation of the release of the release, and we addressed the status of our hospitals and filion studies. We are insistent in measures. https://t.co/hb6sha82dc</v>
      </c>
    </row>
    <row r="2103" spans="1:5" ht="15.75" customHeight="1" x14ac:dyDescent="0.25">
      <c r="A2103" s="1" t="s">
        <v>4205</v>
      </c>
      <c r="B2103" s="1">
        <v>8412</v>
      </c>
      <c r="C2103" s="3">
        <v>44114.683472222219</v>
      </c>
      <c r="D2103" s="1" t="s">
        <v>4206</v>
      </c>
      <c r="E2103" s="4" t="str">
        <f ca="1">IFERROR(__xludf.DUMMYFUNCTION("GOOGLETRANSLATE(A2103 , ""tr"" , ""en"")"),"The decline in our severe patient count is stabilizing. We have to keep the number of severe patients under control. Today 1,649 new patients were detected. We have to comply with the measures to facilitate our health workers. We will achieve together, tr"&amp;"ust. https://t.co/rvlhe7786o")</f>
        <v>The decline in our severe patient count is stabilizing. We have to keep the number of severe patients under control. Today 1,649 new patients were detected. We have to comply with the measures to facilitate our health workers. We will achieve together, trust. https://t.co/rvlhe7786o</v>
      </c>
    </row>
    <row r="2104" spans="1:5" ht="15.75" customHeight="1" x14ac:dyDescent="0.25">
      <c r="A2104" s="1" t="s">
        <v>4207</v>
      </c>
      <c r="B2104" s="1">
        <v>4989</v>
      </c>
      <c r="C2104" s="3">
        <v>44114.675381944442</v>
      </c>
      <c r="D2104" s="1" t="s">
        <v>4208</v>
      </c>
      <c r="E2104" s="4" t="str">
        <f ca="1">IFERROR(__xludf.DUMMYFUNCTION("GOOGLETRANSLATE(A2104 , ""tr"" , ""en"")"),"Our second stop in Istanbul reviews: Professor Dr. Cemil Tasçıoğlu City Hospital. We have received information about the efficiency of our friends and information about the general health services, we have visited the patients. Sabri has been a short conv"&amp;"ersation with the sabri uncle. https://t.co/0balyik49n")</f>
        <v>Our second stop in Istanbul reviews: Professor Dr. Cemil Tasçıoğlu City Hospital. We have received information about the efficiency of our friends and information about the general health services, we have visited the patients. Sabri has been a short conversation with the sabri uncle. https://t.co/0balyik49n</v>
      </c>
    </row>
    <row r="2105" spans="1:5" ht="15.75" customHeight="1" x14ac:dyDescent="0.25">
      <c r="A2105" s="1" t="s">
        <v>4209</v>
      </c>
      <c r="B2105" s="1">
        <v>8602</v>
      </c>
      <c r="C2105" s="3">
        <v>44114.666134259256</v>
      </c>
      <c r="D2105" s="1" t="s">
        <v>4210</v>
      </c>
      <c r="E2105" s="4" t="str">
        <f ca="1">IFERROR(__xludf.DUMMYFUNCTION("GOOGLETRANSLATE(A2105 , ""tr"" , ""en"")"),"Istanbul will soon have a new hospital. Our building in Seyrantepe is greatly ready. The closed area of ​​the building we are in 172,825 square meters. 163 Our hospital, which will serve with polyclinics, has been planned to 84-dense care beds with 620 be"&amp;"ds. Operating Room Number 24. HTTPS://T.CO/RZCYWGFCNM")</f>
        <v>Istanbul will soon have a new hospital. Our building in Seyrantepe is greatly ready. The closed area of ​​the building we are in 172,825 square meters. 163 Our hospital, which will serve with polyclinics, has been planned to 84-dense care beds with 620 beds. Operating Room Number 24. HTTPS://T.CO/RZCYWGFCNM</v>
      </c>
    </row>
    <row r="2106" spans="1:5" ht="15.75" customHeight="1" x14ac:dyDescent="0.25">
      <c r="A2106" s="1" t="s">
        <v>4211</v>
      </c>
      <c r="B2106" s="1">
        <v>5193</v>
      </c>
      <c r="C2106" s="3">
        <v>44114.431747685187</v>
      </c>
      <c r="D2106" s="1" t="s">
        <v>4212</v>
      </c>
      <c r="E2106" s="4" t="str">
        <f ca="1">IFERROR(__xludf.DUMMYFUNCTION("GOOGLETRANSLATE(A2106 , ""tr"" , ""en"")"),"To whom it is determined by the Guide to which the Science Board will be tested. Accordingly, we are testing to people with symptoms as Turkey. We report the results of these tests that are obvious to the World Health Organization with the same opening. T"&amp;"he criteria and conclusion are confidence in the WHO. https://t.co/oyzadx91kq")</f>
        <v>To whom it is determined by the Guide to which the Science Board will be tested. Accordingly, we are testing to people with symptoms as Turkey. We report the results of these tests that are obvious to the World Health Organization with the same opening. The criteria and conclusion are confidence in the WHO. https://t.co/oyzadx91kq</v>
      </c>
    </row>
    <row r="2107" spans="1:5" ht="15.75" customHeight="1" x14ac:dyDescent="0.25">
      <c r="A2107" s="1" t="s">
        <v>4213</v>
      </c>
      <c r="B2107" s="1">
        <v>7731</v>
      </c>
      <c r="C2107" s="3">
        <v>44114.421400462961</v>
      </c>
      <c r="D2107" s="1" t="s">
        <v>4214</v>
      </c>
      <c r="E2107" s="4" t="str">
        <f ca="1">IFERROR(__xludf.DUMMYFUNCTION("GOOGLETRANSLATE(A2107 , ""tr"" , ""en"")"),"Within the last 3 weeks, the epidemic has declined in Turkey. If 4 weeks ago, the number of cases in Ankara doubled Istanbul. The number of cases in Ankara is in the case of Istanbul. Even if this development is not symptom, we provide the test by isolati"&amp;"ng everyone who is positive. https://t.co/lwmcg3poom")</f>
        <v>Within the last 3 weeks, the epidemic has declined in Turkey. If 4 weeks ago, the number of cases in Ankara doubled Istanbul. The number of cases in Ankara is in the case of Istanbul. Even if this development is not symptom, we provide the test by isolating everyone who is positive. https://t.co/lwmcg3poom</v>
      </c>
    </row>
    <row r="2108" spans="1:5" ht="15.75" customHeight="1" x14ac:dyDescent="0.25">
      <c r="A2108" s="1" t="s">
        <v>4215</v>
      </c>
      <c r="B2108" s="1">
        <v>5255</v>
      </c>
      <c r="C2108" s="3">
        <v>44114.410856481481</v>
      </c>
      <c r="D2108" s="1" t="s">
        <v>4216</v>
      </c>
      <c r="E2108" s="4" t="str">
        <f ca="1">IFERROR(__xludf.DUMMYFUNCTION("GOOGLETRANSLATE(A2108 , ""tr"" , ""en"")"),"The European Progress Report Two days ago was published. In the report, Turkey is also mentioned from the success of the coronavirus. This is a consequence of our health care employee, 83 million will be proud of our health system. It is wrong to make an "&amp;"effort to shade the place where you are proud. https://t.co/grv8irod2x")</f>
        <v>The European Progress Report Two days ago was published. In the report, Turkey is also mentioned from the success of the coronavirus. This is a consequence of our health care employee, 83 million will be proud of our health system. It is wrong to make an effort to shade the place where you are proud. https://t.co/grv8irod2x</v>
      </c>
    </row>
    <row r="2109" spans="1:5" ht="15.75" customHeight="1" x14ac:dyDescent="0.25">
      <c r="A2109" s="1" t="s">
        <v>4217</v>
      </c>
      <c r="B2109" s="1">
        <v>4545</v>
      </c>
      <c r="C2109" s="3">
        <v>44114.402881944443</v>
      </c>
      <c r="D2109" s="1" t="s">
        <v>4218</v>
      </c>
      <c r="E2109" s="4" t="str">
        <f ca="1">IFERROR(__xludf.DUMMYFUNCTION("GOOGLETRANSLATE(A2109 , ""tr"" , ""en"")"),"In Mersin, the claim where cases were incorrect before 22 March. The history of the first case in Mersin is March 22. Politics, politicians will not find the healing if they get up to reach their goals over health and illness. We will continue to be 83 mi"&amp;"llion, struggle with draw and determination. https://t.co/ft2yegiim9")</f>
        <v>In Mersin, the claim where cases were incorrect before 22 March. The history of the first case in Mersin is March 22. Politics, politicians will not find the healing if they get up to reach their goals over health and illness. We will continue to be 83 million, struggle with draw and determination. https://t.co/ft2yegiim9</v>
      </c>
    </row>
    <row r="2110" spans="1:5" ht="15.75" customHeight="1" x14ac:dyDescent="0.25">
      <c r="A2110" s="1" t="s">
        <v>4219</v>
      </c>
      <c r="B2110" s="1">
        <v>4871</v>
      </c>
      <c r="C2110" s="3">
        <v>44114.349606481483</v>
      </c>
      <c r="D2110" s="1" t="s">
        <v>4220</v>
      </c>
      <c r="E2110" s="4" t="str">
        <f ca="1">IFERROR(__xludf.DUMMYFUNCTION("GOOGLETRANSLATE(A2110 , ""tr"" , ""en"")"),"The coronavirus is not struggling as systematically as us. This is not only the Ministry of Health in the Republic of Turkey, standing behind the word; On the back of this promise, the World Health Organization that says the last word about the epidemic. "&amp;"Turkey shows the examples of the world. https://t.co/vjfdtcroqr")</f>
        <v>The coronavirus is not struggling as systematically as us. This is not only the Ministry of Health in the Republic of Turkey, standing behind the word; On the back of this promise, the World Health Organization that says the last word about the epidemic. Turkey shows the examples of the world. https://t.co/vjfdtcroqr</v>
      </c>
    </row>
    <row r="2111" spans="1:5" ht="15.75" customHeight="1" x14ac:dyDescent="0.25">
      <c r="A2111" s="1" t="s">
        <v>4221</v>
      </c>
      <c r="B2111" s="1">
        <v>4335</v>
      </c>
      <c r="C2111" s="3">
        <v>44114.30541666667</v>
      </c>
      <c r="D2111" s="1" t="s">
        <v>4222</v>
      </c>
      <c r="E2111" s="4" t="str">
        <f ca="1">IFERROR(__xludf.DUMMYFUNCTION("GOOGLETRANSLATE(A2111 , ""tr"" , ""en"")"),"We have 11.800 FILILATION teams. 35,400 stewards in total. This number is even more than the number of physicians he appointed in the epidemic of some countries. If our teams can be contacted in the countries they are recognized from the TV screens, the n"&amp;"umber of coronavirus positives took extracts the number of times. https://t.co/zqxnlckf7p")</f>
        <v>We have 11.800 FILILATION teams. 35,400 stewards in total. This number is even more than the number of physicians he appointed in the epidemic of some countries. If our teams can be contacted in the countries they are recognized from the TV screens, the number of coronavirus positives took extracts the number of times. https://t.co/zqxnlckf7p</v>
      </c>
    </row>
    <row r="2112" spans="1:5" ht="15.75" customHeight="1" x14ac:dyDescent="0.25">
      <c r="A2112" s="1" t="s">
        <v>4223</v>
      </c>
      <c r="B2112" s="1">
        <v>5644</v>
      </c>
      <c r="C2112" s="3">
        <v>44114.299293981479</v>
      </c>
      <c r="D2112" s="1" t="s">
        <v>4224</v>
      </c>
      <c r="E2112" s="4" t="str">
        <f ca="1">IFERROR(__xludf.DUMMYFUNCTION("GOOGLETRANSLATE(A2112 , ""tr"" , ""en"")"),"While there are many other diseases that lead to deaths, COVID-19 is so important? Criticians are wrong. Although hypertension is common, it does not require the curfew. Cancer does not lead to the vacation of schools. Epanda, all social life exposes the "&amp;"disease. https://t.co/brc1vaoygg")</f>
        <v>While there are many other diseases that lead to deaths, COVID-19 is so important? Criticians are wrong. Although hypertension is common, it does not require the curfew. Cancer does not lead to the vacation of schools. Epanda, all social life exposes the disease. https://t.co/brc1vaoygg</v>
      </c>
    </row>
    <row r="2113" spans="1:5" ht="15.75" customHeight="1" x14ac:dyDescent="0.25">
      <c r="A2113" s="1" t="s">
        <v>4225</v>
      </c>
      <c r="B2113" s="1">
        <v>7898</v>
      </c>
      <c r="C2113" s="3">
        <v>44113.926793981482</v>
      </c>
      <c r="D2113" s="1" t="s">
        <v>4226</v>
      </c>
      <c r="E2113" s="4" t="str">
        <f ca="1">IFERROR(__xludf.DUMMYFUNCTION("GOOGLETRANSLATE(A2113 , ""tr"" , ""en"")"),"Adana, Mersin, Gaziantep, Kahramanmaras, Hatay, Osmaniye, Kilis Provincial Health managers and meetings with our headings. In the epidemic, we addressed their final status, filion studies, needs and health investments. Support to our fight against epidemi"&amp;"c by complying with measures. https://t.co/tsv81nınnh")</f>
        <v>Adana, Mersin, Gaziantep, Kahramanmaras, Hatay, Osmaniye, Kilis Provincial Health managers and meetings with our headings. In the epidemic, we addressed their final status, filion studies, needs and health investments. Support to our fight against epidemic by complying with measures. https://t.co/tsv81nınnh</v>
      </c>
    </row>
    <row r="2114" spans="1:5" ht="15.75" customHeight="1" x14ac:dyDescent="0.25">
      <c r="A2114" s="1" t="s">
        <v>4227</v>
      </c>
      <c r="B2114" s="1">
        <v>10767</v>
      </c>
      <c r="C2114" s="3">
        <v>44113.69158564815</v>
      </c>
      <c r="D2114" s="1" t="s">
        <v>4228</v>
      </c>
      <c r="E2114" s="4" t="str">
        <f ca="1">IFERROR(__xludf.DUMMYFUNCTION("GOOGLETRANSLATE(A2114 , ""tr"" , ""en"")"),"We have new 1,629 patients today. Our total number of severe patients is 1.398. We struggle to lower our severe patient count. In order to detect the situation of our patients from progress, the intense filion study is carried out. Support these labor by "&amp;"abiding measures. https://t.co/rvlhe7786o")</f>
        <v>We have new 1,629 patients today. Our total number of severe patients is 1.398. We struggle to lower our severe patient count. In order to detect the situation of our patients from progress, the intense filion study is carried out. Support these labor by abiding measures. https://t.co/rvlhe7786o</v>
      </c>
    </row>
    <row r="2115" spans="1:5" ht="15.75" customHeight="1" x14ac:dyDescent="0.25">
      <c r="A2115" s="1" t="s">
        <v>4229</v>
      </c>
      <c r="B2115" s="1">
        <v>4177</v>
      </c>
      <c r="C2115" s="3">
        <v>44113.647905092592</v>
      </c>
      <c r="D2115" s="1" t="s">
        <v>4230</v>
      </c>
      <c r="E2115" s="4" t="str">
        <f ca="1">IFERROR(__xludf.DUMMYFUNCTION("GOOGLETRANSLATE(A2115 , ""tr"" , ""en"")"),"In the fight against the output of Adana, Mersin, Gaziantep, Kahramanmaras, Hatay, the latest situation in Osmaniye and Kilis and Turkey:
📍adana
https://t.co/81yg1myu92")</f>
        <v>In the fight against the output of Adana, Mersin, Gaziantep, Kahramanmaras, Hatay, the latest situation in Osmaniye and Kilis and Turkey:
📍adana
https://t.co/81yg1myu92</v>
      </c>
    </row>
    <row r="2116" spans="1:5" ht="15.75" customHeight="1" x14ac:dyDescent="0.25">
      <c r="A2116" s="1" t="s">
        <v>4231</v>
      </c>
      <c r="B2116" s="1">
        <v>6352</v>
      </c>
      <c r="C2116" s="3">
        <v>44113.514930555553</v>
      </c>
      <c r="D2116" s="1" t="s">
        <v>4232</v>
      </c>
      <c r="E2116" s="4" t="str">
        <f ca="1">IFERROR(__xludf.DUMMYFUNCTION("GOOGLETRANSLATE(A2116 , ""tr"" , ""en"")"),"In our Adana program, we first visit our patients who treated our patients treated in our hospital and have received information about their situations. Health worker evaluated pandemia and general health problems with our friends. Our city hospital serve"&amp;"s in the name of our people. https://t.co/6IHXG9J2i5")</f>
        <v>In our Adana program, we first visit our patients who treated our patients treated in our hospital and have received information about their situations. Health worker evaluated pandemia and general health problems with our friends. Our city hospital serves in the name of our people. https://t.co/6IHXG9J2i5</v>
      </c>
    </row>
    <row r="2117" spans="1:5" ht="15.75" customHeight="1" x14ac:dyDescent="0.25">
      <c r="A2117" s="1" t="s">
        <v>4233</v>
      </c>
      <c r="B2117" s="1">
        <v>6900</v>
      </c>
      <c r="C2117" s="3">
        <v>44113.380659722221</v>
      </c>
      <c r="D2117" s="1" t="s">
        <v>4234</v>
      </c>
      <c r="E2117" s="4" t="str">
        <f ca="1">IFERROR(__xludf.DUMMYFUNCTION("GOOGLETRANSLATE(A2117 , ""tr"" , ""en"")"),"We are in Adana. We will make our regional assessment meetings with the participation of our health managers and field coordinators of Mersin, Gaziantep, Kahramanmaras, Hatay, Osmaniye and Kilis Provinces. We will succeed with fighting together. https://t"&amp;".co/olikxogeev")</f>
        <v>We are in Adana. We will make our regional assessment meetings with the participation of our health managers and field coordinators of Mersin, Gaziantep, Kahramanmaras, Hatay, Osmaniye and Kilis Provinces. We will succeed with fighting together. https://t.co/olikxogeev</v>
      </c>
    </row>
    <row r="2118" spans="1:5" ht="15.75" customHeight="1" x14ac:dyDescent="0.25">
      <c r="A2118" s="1" t="s">
        <v>4235</v>
      </c>
      <c r="B2118" s="1">
        <v>8365</v>
      </c>
      <c r="C2118" s="3">
        <v>44112.949328703704</v>
      </c>
      <c r="D2118" s="1" t="s">
        <v>4236</v>
      </c>
      <c r="E2118" s="4" t="str">
        <f ca="1">IFERROR(__xludf.DUMMYFUNCTION("GOOGLETRANSLATE(A2118 , ""tr"" , ""en"")"),"We performed individual video conference calls with Ankara, Denizli, Adiyaman, Bursa, Malatya and Erzurum Provincial Health Directors. In this 6, we addressed the endpoint against the epidemic, the endpoint of the epidemic. https://t.co/4xurrmyrxv")</f>
        <v>We performed individual video conference calls with Ankara, Denizli, Adiyaman, Bursa, Malatya and Erzurum Provincial Health Directors. In this 6, we addressed the endpoint against the epidemic, the endpoint of the epidemic. https://t.co/4xurrmyrxv</v>
      </c>
    </row>
    <row r="2119" spans="1:5" ht="15.75" customHeight="1" x14ac:dyDescent="0.25">
      <c r="A2119" s="1" t="s">
        <v>4237</v>
      </c>
      <c r="B2119" s="1">
        <v>5595</v>
      </c>
      <c r="C2119" s="3">
        <v>44112.860509259262</v>
      </c>
      <c r="D2119" s="1" t="s">
        <v>4238</v>
      </c>
      <c r="E2119" s="4" t="str">
        <f ca="1">IFERROR(__xludf.DUMMYFUNCTION("GOOGLETRANSLATE(A2119 , ""tr"" , ""en"")"),"The 9th Health Summit started with contact pandemia and sustainable health. In the opening speech, we emphasized the indispensability of the selfless human power that the COVID-19 pendemia reveals the importance of sustainability in health services. I tha"&amp;"nk the participants. https://t.co/vqoqyzh092")</f>
        <v>The 9th Health Summit started with contact pandemia and sustainable health. In the opening speech, we emphasized the indispensability of the selfless human power that the COVID-19 pendemia reveals the importance of sustainability in health services. I thank the participants. https://t.co/vqoqyzh092</v>
      </c>
    </row>
    <row r="2120" spans="1:5" ht="15.75" customHeight="1" x14ac:dyDescent="0.25">
      <c r="A2120" s="1" t="s">
        <v>4239</v>
      </c>
      <c r="B2120" s="1">
        <v>11931</v>
      </c>
      <c r="C2120" s="3">
        <v>44112.710405092592</v>
      </c>
      <c r="D2120" s="1" t="s">
        <v>4240</v>
      </c>
      <c r="E2120" s="4" t="str">
        <f ca="1">IFERROR(__xludf.DUMMYFUNCTION("GOOGLETRANSLATE(A2120 , ""tr"" , ""en"")"),"Today 1,615 patients were detected. The heavy patient continues to decline in our number. Fillion and isolation to keep the outbreak under control. Adopt to measures will not be required. We can keep the outbreak under control together. Power this struggl"&amp;"e. https://t.co/rvlhe7786o")</f>
        <v>Today 1,615 patients were detected. The heavy patient continues to decline in our number. Fillion and isolation to keep the outbreak under control. Adopt to measures will not be required. We can keep the outbreak under control together. Power this struggle. https://t.co/rvlhe7786o</v>
      </c>
    </row>
    <row r="2121" spans="1:5" ht="15.75" customHeight="1" x14ac:dyDescent="0.25">
      <c r="A2121" s="1" t="s">
        <v>4241</v>
      </c>
      <c r="B2121" s="1">
        <v>8939</v>
      </c>
      <c r="C2121" s="3">
        <v>44111.950416666667</v>
      </c>
      <c r="D2121" s="1" t="s">
        <v>4242</v>
      </c>
      <c r="E2121" s="4" t="str">
        <f ca="1">IFERROR(__xludf.DUMMYFUNCTION("GOOGLETRANSLATE(A2121 , ""tr"" , ""en"")"),"Our science assembly is collected, assessed the current status. The second time of the point, immune and incidence (frequency of incidence of vision) reached in the development of the native vaccine and our policy of scan tests were discussed. Detailed de"&amp;"scription is below. https://t.co/DVOXR1MSIH")</f>
        <v>Our science assembly is collected, assessed the current status. The second time of the point, immune and incidence (frequency of incidence of vision) reached in the development of the native vaccine and our policy of scan tests were discussed. Detailed description is below. https://t.co/DVOXR1MSIH</v>
      </c>
    </row>
    <row r="2122" spans="1:5" ht="15.75" customHeight="1" x14ac:dyDescent="0.25">
      <c r="A2122" s="1" t="s">
        <v>4243</v>
      </c>
      <c r="B2122" s="1">
        <v>15442</v>
      </c>
      <c r="C2122" s="3">
        <v>44111.68341435185</v>
      </c>
      <c r="D2122" s="1" t="s">
        <v>4244</v>
      </c>
      <c r="E2122" s="4" t="str">
        <f ca="1">IFERROR(__xludf.DUMMYFUNCTION("GOOGLETRANSLATE(A2122 , ""tr"" , ""en"")"),"There are 1.581 patients identified today. The decline trend of the number of severe patients has begun. It is possible to lower the number of severe patients with early treatment of patients. Our health workers are working with an oversimental effort. Le"&amp;"t's support them together in the struggle. https://t.co/rvlhe7786o")</f>
        <v>There are 1.581 patients identified today. The decline trend of the number of severe patients has begun. It is possible to lower the number of severe patients with early treatment of patients. Our health workers are working with an oversimental effort. Let's support them together in the struggle. https://t.co/rvlhe7786o</v>
      </c>
    </row>
    <row r="2123" spans="1:5" ht="15.75" customHeight="1" x14ac:dyDescent="0.25">
      <c r="A2123" s="1" t="s">
        <v>4245</v>
      </c>
      <c r="B2123" s="1">
        <v>13195</v>
      </c>
      <c r="C2123" s="3">
        <v>44110.688750000001</v>
      </c>
      <c r="D2123" s="1" t="s">
        <v>4246</v>
      </c>
      <c r="E2123" s="4" t="str">
        <f ca="1">IFERROR(__xludf.DUMMYFUNCTION("GOOGLETRANSLATE(A2123 , ""tr"" , ""en"")"),"The number of severe patients is controllable. There are 1,511 new patients identified today. We will win in measures. The unity and the power of the struggle to the struggle with the virus. Support this power. https://t.co/rvlhe7786o")</f>
        <v>The number of severe patients is controllable. There are 1,511 new patients identified today. We will win in measures. The unity and the power of the struggle to the struggle with the virus. Support this power. https://t.co/rvlhe7786o</v>
      </c>
    </row>
    <row r="2124" spans="1:5" ht="15.75" customHeight="1" x14ac:dyDescent="0.25">
      <c r="A2124" s="1" t="s">
        <v>4247</v>
      </c>
      <c r="B2124" s="1">
        <v>12933</v>
      </c>
      <c r="C2124" s="3">
        <v>44110.457962962966</v>
      </c>
      <c r="D2124" s="1" t="s">
        <v>4248</v>
      </c>
      <c r="E2124" s="4" t="str">
        <f ca="1">IFERROR(__xludf.DUMMYFUNCTION("GOOGLETRANSLATE(A2124 , ""tr"" , ""en"")"),"Our Minister of Interior, I thank the pandemide close to my friend Süleyman Soylu. In the leadership of our President, we believe that our cabinet members will reach the conclusion of all the management units of our state and the spirit of National Draw. "&amp;"This will be the draw that the history will write. https://t.co/h3pjkiI")</f>
        <v>Our Minister of Interior, I thank the pandemide close to my friend Süleyman Soylu. In the leadership of our President, we believe that our cabinet members will reach the conclusion of all the management units of our state and the spirit of National Draw. This will be the draw that the history will write. https://t.co/h3pjkiI</v>
      </c>
    </row>
    <row r="2125" spans="1:5" ht="15.75" customHeight="1" x14ac:dyDescent="0.25">
      <c r="A2125" s="1" t="s">
        <v>4249</v>
      </c>
      <c r="B2125" s="1">
        <v>3991</v>
      </c>
      <c r="C2125" s="3">
        <v>44110.295208333337</v>
      </c>
      <c r="D2125" s="1" t="s">
        <v>4250</v>
      </c>
      <c r="E2125" s="4" t="str">
        <f ca="1">IFERROR(__xludf.DUMMYFUNCTION("GOOGLETRANSLATE(A2125 , ""tr"" , ""en"")"),"DSÖ Turkey Turkey COVID-19 report: death rates are quite under the world average. Turkey turned the young population advantage. In the editor, the European Regional Director of the European Region. We support Hans Kluge WHO COVID-19 to reach the report of"&amp;" Turkey: https://t.co/mukag3ntgm")</f>
        <v>DSÖ Turkey Turkey COVID-19 report: death rates are quite under the world average. Turkey turned the young population advantage. In the editor, the European Regional Director of the European Region. We support Hans Kluge WHO COVID-19 to reach the report of Turkey: https://t.co/mukag3ntgm</v>
      </c>
    </row>
    <row r="2126" spans="1:5" ht="15.75" customHeight="1" x14ac:dyDescent="0.25">
      <c r="A2126" s="1" t="s">
        <v>4251</v>
      </c>
      <c r="B2126" s="1">
        <v>15416</v>
      </c>
      <c r="C2126" s="3">
        <v>44110.294317129628</v>
      </c>
      <c r="D2126" s="1" t="s">
        <v>4252</v>
      </c>
      <c r="E2126" s="4" t="str">
        <f ca="1">IFERROR(__xludf.DUMMYFUNCTION("GOOGLETRANSLATE(A2126 , ""tr"" , ""en"")"),"Whö, Turkey's COVID-19 'on the struggle of Turkey, published a report that carries the first property in the European region. In the report, the achievement achieved as a result of the measures and multi-sectoral approach as determined. According to the r"&amp;"eport, Turkey, the applications with many countries.")</f>
        <v>Whö, Turkey's COVID-19 'on the struggle of Turkey, published a report that carries the first property in the European region. In the report, the achievement achieved as a result of the measures and multi-sectoral approach as determined. According to the report, Turkey, the applications with many countries.</v>
      </c>
    </row>
    <row r="2127" spans="1:5" ht="15.75" customHeight="1" x14ac:dyDescent="0.25">
      <c r="A2127" s="1" t="s">
        <v>4253</v>
      </c>
      <c r="B2127" s="1">
        <v>9860</v>
      </c>
      <c r="C2127" s="3">
        <v>44109.95716435185</v>
      </c>
      <c r="D2127" s="1" t="s">
        <v>4254</v>
      </c>
      <c r="E2127" s="4" t="str">
        <f ca="1">IFERROR(__xludf.DUMMYFUNCTION("GOOGLETRANSLATE(A2127 , ""tr"" , ""en"")"),"18. Period of Malatya Deputy MEHMET Bülent Bülent Lost his life. I wish himself from Allah to the mercy, their condolences. The sample efforts in the direction of the Nation was a visionary politician on Turkey's management needs. Rest in peace.")</f>
        <v>18. Period of Malatya Deputy MEHMET Bülent Bülent Lost his life. I wish himself from Allah to the mercy, their condolences. The sample efforts in the direction of the Nation was a visionary politician on Turkey's management needs. Rest in peace.</v>
      </c>
    </row>
    <row r="2128" spans="1:5" ht="15.75" customHeight="1" x14ac:dyDescent="0.25">
      <c r="A2128" s="1" t="s">
        <v>4255</v>
      </c>
      <c r="B2128" s="1">
        <v>15109</v>
      </c>
      <c r="C2128" s="3">
        <v>44109.702592592592</v>
      </c>
      <c r="D2128" s="1" t="s">
        <v>4256</v>
      </c>
      <c r="E2128" s="4" t="str">
        <f ca="1">IFERROR(__xludf.DUMMYFUNCTION("GOOGLETRANSLATE(A2128 , ""tr"" , ""en"")"),"Our severe patients tend to decrease. We have 1,603 patients with new identified. We have to lower our active patient count. If we continue to be unioned in the measure we can achieve it. Add strength to our strength by complying with measures. https://t."&amp;"co/rvlhe7786o")</f>
        <v>Our severe patients tend to decrease. We have 1,603 patients with new identified. We have to lower our active patient count. If we continue to be unioned in the measure we can achieve it. Add strength to our strength by complying with measures. https://t.co/rvlhe7786o</v>
      </c>
    </row>
    <row r="2129" spans="1:5" ht="15.75" customHeight="1" x14ac:dyDescent="0.25">
      <c r="A2129" s="1" t="s">
        <v>4257</v>
      </c>
      <c r="B2129" s="1">
        <v>0</v>
      </c>
      <c r="C2129" s="3">
        <v>44109.683831018519</v>
      </c>
      <c r="D2129" s="1" t="s">
        <v>4258</v>
      </c>
      <c r="E2129" s="4" t="str">
        <f ca="1">IFERROR(__xludf.DUMMYFUNCTION("GOOGLETRANSLATE(A2129 , ""tr"" , ""en"")"),"RT @rterdogan: Shouting Nation After Cabinet Meeting https://t.co/dwe9nxeljx")</f>
        <v>RT @rterdogan: Shouting Nation After Cabinet Meeting https://t.co/dwe9nxeljx</v>
      </c>
    </row>
    <row r="2130" spans="1:5" ht="15.75" customHeight="1" x14ac:dyDescent="0.25">
      <c r="A2130" s="1" t="s">
        <v>4259</v>
      </c>
      <c r="B2130" s="1">
        <v>14013</v>
      </c>
      <c r="C2130" s="3">
        <v>44108.849988425929</v>
      </c>
      <c r="D2130" s="1" t="s">
        <v>4260</v>
      </c>
      <c r="E2130" s="4" t="str">
        <f ca="1">IFERROR(__xludf.DUMMYFUNCTION("GOOGLETRANSLATE(A2130 , ""tr"" , ""en"")"),"Timüççin Esen is the second time in the campaign that our ministry is carried out in order to combat the coronavirus. Esen, warnings are re-agenda from the summary of the process: mask, distance, cleanliness. If we wish, we can master the social life with"&amp;" the measures. https://t.co/1sfeeqmhkp")</f>
        <v>Timüççin Esen is the second time in the campaign that our ministry is carried out in order to combat the coronavirus. Esen, warnings are re-agenda from the summary of the process: mask, distance, cleanliness. If we wish, we can master the social life with the measures. https://t.co/1sfeeqmhkp</v>
      </c>
    </row>
    <row r="2131" spans="1:5" ht="15.75" customHeight="1" x14ac:dyDescent="0.25">
      <c r="A2131" s="1" t="s">
        <v>4261</v>
      </c>
      <c r="B2131" s="1">
        <v>11990</v>
      </c>
      <c r="C2131" s="3">
        <v>44108.836041666669</v>
      </c>
      <c r="D2131" s="1" t="s">
        <v>4262</v>
      </c>
      <c r="E2131" s="4" t="str">
        <f ca="1">IFERROR(__xludf.DUMMYFUNCTION("GOOGLETRANSLATE(A2131 , ""tr"" , ""en"")"),"Taner does not die, our Ministry is the second time in the campaign in which the coronavirus is carried out with the purposes of fighting. It does not die, re-agenda from the sum statement of the process: mask, distance, cleanliness. If we wish, we can ma"&amp;"ster the social life with the measures. https://t.co/qk1j4MIKXG")</f>
        <v>Taner does not die, our Ministry is the second time in the campaign in which the coronavirus is carried out with the purposes of fighting. It does not die, re-agenda from the sum statement of the process: mask, distance, cleanliness. If we wish, we can master the social life with the measures. https://t.co/qk1j4MIKXG</v>
      </c>
    </row>
    <row r="2132" spans="1:5" ht="15.75" customHeight="1" x14ac:dyDescent="0.25">
      <c r="A2132" s="1" t="s">
        <v>4263</v>
      </c>
      <c r="B2132" s="1">
        <v>8027</v>
      </c>
      <c r="C2132" s="3">
        <v>44108.779710648145</v>
      </c>
      <c r="D2132" s="1" t="s">
        <v>4264</v>
      </c>
      <c r="E2132" s="4" t="str">
        <f ca="1">IFERROR(__xludf.DUMMYFUNCTION("GOOGLETRANSLATE(A2132 , ""tr"" , ""en"")"),"Director of the International Region of the WHO Dr. Hans Kluge published yesterday, ""Mr. Minister husband; The WHO European region always supports your leadership and COVID-19 and always supports the Turkish people. "" Thank you on behalf of my country f"&amp;"or his shaped message. https://t.co/ne0elamk9r")</f>
        <v>Director of the International Region of the WHO Dr. Hans Kluge published yesterday, "Mr. Minister husband; The WHO European region always supports your leadership and COVID-19 and always supports the Turkish people. " Thank you on behalf of my country for his shaped message. https://t.co/ne0elamk9r</v>
      </c>
    </row>
    <row r="2133" spans="1:5" ht="15.75" customHeight="1" x14ac:dyDescent="0.25">
      <c r="A2133" s="1" t="s">
        <v>4265</v>
      </c>
      <c r="B2133" s="1">
        <v>12909</v>
      </c>
      <c r="C2133" s="3">
        <v>44108.680405092593</v>
      </c>
      <c r="D2133" s="1" t="s">
        <v>4266</v>
      </c>
      <c r="E2133" s="4" t="str">
        <f ca="1">IFERROR(__xludf.DUMMYFUNCTION("GOOGLETRANSLATE(A2133 , ""tr"" , ""en"")"),"As a result of 104.402 tests today, 1.429 new patients were identified. Our heavy patient number is 1.475. We should not be trapped and should not leave the measure. We should not give a virusage opportunity to comply with the measures. If we are unity we"&amp;" would be the winner. https://t.co/rvlhe7786o")</f>
        <v>As a result of 104.402 tests today, 1.429 new patients were identified. Our heavy patient number is 1.475. We should not be trapped and should not leave the measure. We should not give a virusage opportunity to comply with the measures. If we are unity we would be the winner. https://t.co/rvlhe7786o</v>
      </c>
    </row>
    <row r="2134" spans="1:5" ht="15.75" customHeight="1" x14ac:dyDescent="0.25">
      <c r="A2134" s="1" t="s">
        <v>4267</v>
      </c>
      <c r="B2134" s="1">
        <v>17347</v>
      </c>
      <c r="C2134" s="3">
        <v>44108.625231481485</v>
      </c>
      <c r="D2134" s="1" t="s">
        <v>4268</v>
      </c>
      <c r="E2134" s="4" t="str">
        <f ca="1">IFERROR(__xludf.DUMMYFUNCTION("GOOGLETRANSLATE(A2134 , ""tr"" , ""en"")"),"The creatures we share the world have the place and right of all beings in the tree of the tree. Let the animal protection day be love and consciousness day on the integrity of life.")</f>
        <v>The creatures we share the world have the place and right of all beings in the tree of the tree. Let the animal protection day be love and consciousness day on the integrity of life.</v>
      </c>
    </row>
    <row r="2135" spans="1:5" ht="15.75" customHeight="1" x14ac:dyDescent="0.25">
      <c r="A2135" s="1" t="s">
        <v>4269</v>
      </c>
      <c r="B2135" s="1">
        <v>8251</v>
      </c>
      <c r="C2135" s="3">
        <v>44108.6171412037</v>
      </c>
      <c r="D2135" s="1" t="s">
        <v>4270</v>
      </c>
      <c r="E2135" s="4" t="str">
        <f ca="1">IFERROR(__xludf.DUMMYFUNCTION("GOOGLETRANSLATE(A2135 , ""tr"" , ""en"")"),"I wish yesterday to the eternal life, the old Public Works and the Ministers of the Settlement, the founder of the AK Party to our brother of Earge. Rest in peace. May his family, relatives and case friends right.")</f>
        <v>I wish yesterday to the eternal life, the old Public Works and the Ministers of the Settlement, the founder of the AK Party to our brother of Earge. Rest in peace. May his family, relatives and case friends right.</v>
      </c>
    </row>
    <row r="2136" spans="1:5" ht="15.75" customHeight="1" x14ac:dyDescent="0.25">
      <c r="A2136" s="1" t="s">
        <v>4271</v>
      </c>
      <c r="B2136" s="1">
        <v>13495</v>
      </c>
      <c r="C2136" s="3">
        <v>44107.842893518522</v>
      </c>
      <c r="D2136" s="1" t="s">
        <v>4272</v>
      </c>
      <c r="E2136" s="4" t="str">
        <f ca="1">IFERROR(__xludf.DUMMYFUNCTION("GOOGLETRANSLATE(A2136 , ""tr"" , ""en"")"),"TÜSEB's Crimean-Congo-bleed fire vaccine supported by @tusebgovtr The human experiment phase-1 phase was successfully completed. Candidates of rabies, data and water blossom vaccine came to the human experiment stage. We are committed to developing our na"&amp;"tional vaccines and providing our nation's service.")</f>
        <v>TÜSEB's Crimean-Congo-bleed fire vaccine supported by @tusebgovtr The human experiment phase-1 phase was successfully completed. Candidates of rabies, data and water blossom vaccine came to the human experiment stage. We are committed to developing our national vaccines and providing our nation's service.</v>
      </c>
    </row>
    <row r="2137" spans="1:5" ht="15.75" customHeight="1" x14ac:dyDescent="0.25">
      <c r="A2137" s="1" t="s">
        <v>4273</v>
      </c>
      <c r="B2137" s="1">
        <v>17701</v>
      </c>
      <c r="C2137" s="3">
        <v>44107.838831018518</v>
      </c>
      <c r="D2137" s="1" t="s">
        <v>4274</v>
      </c>
      <c r="E2137" s="4" t="str">
        <f ca="1">IFERROR(__xludf.DUMMYFUNCTION("GOOGLETRANSLATE(A2137 , ""tr"" , ""en"")"),"In our country, 13 separate COVID-19 vaccines are continuing their studies. 5 of these approached the phase of human experiments. All of the vaccine candidates from the clinical phase are supported by our Health Institutes of Turkey (TÜSEB) @tusebgovtr. T"&amp;"urkey's strength in science.")</f>
        <v>In our country, 13 separate COVID-19 vaccines are continuing their studies. 5 of these approached the phase of human experiments. All of the vaccine candidates from the clinical phase are supported by our Health Institutes of Turkey (TÜSEB) @tusebgovtr. Turkey's strength in science.</v>
      </c>
    </row>
    <row r="2138" spans="1:5" ht="15.75" customHeight="1" x14ac:dyDescent="0.25">
      <c r="A2138" s="1" t="s">
        <v>4275</v>
      </c>
      <c r="B2138" s="1">
        <v>91223</v>
      </c>
      <c r="C2138" s="3">
        <v>44107.835995370369</v>
      </c>
      <c r="D2138" s="1" t="s">
        <v>4276</v>
      </c>
      <c r="E2138" s="4" t="str">
        <f ca="1">IFERROR(__xludf.DUMMYFUNCTION("GOOGLETRANSLATE(A2138 , ""tr"" , ""en"")"),"In the challenge study of our national vaccine, 10 transgenic animals were vaccinated, 9 animals were not vaccinated. Were exposed to the virus and no virus in vaccinated animals. 4 of those who are not vaccinated were found to have lost their life and th"&amp;"e virs in the lungs. We are closer to the national vaccine.")</f>
        <v>In the challenge study of our national vaccine, 10 transgenic animals were vaccinated, 9 animals were not vaccinated. Were exposed to the virus and no virus in vaccinated animals. 4 of those who are not vaccinated were found to have lost their life and the virs in the lungs. We are closer to the national vaccine.</v>
      </c>
    </row>
    <row r="2139" spans="1:5" ht="15.75" customHeight="1" x14ac:dyDescent="0.25">
      <c r="A2139" s="1" t="s">
        <v>4277</v>
      </c>
      <c r="B2139" s="1">
        <v>37706</v>
      </c>
      <c r="C2139" s="3">
        <v>44107.826412037037</v>
      </c>
      <c r="D2139" s="1" t="s">
        <v>4278</v>
      </c>
      <c r="E2139" s="4" t="str">
        <f ca="1">IFERROR(__xludf.DUMMYFUNCTION("GOOGLETRANSLATE(A2139 , ""tr"" , ""en"")"),"It was a very important development today about the native and national COVID-19 vaccination. Our supported vaccine candidate by TÜSEB has come to the human experiments phase by completing the operation of challenging (Challenge) in transgenic animal. We "&amp;"have gave our Mr. President. So close to the conclusion. https://t.co/xxvqIfj3nz")</f>
        <v>It was a very important development today about the native and national COVID-19 vaccination. Our supported vaccine candidate by TÜSEB has come to the human experiments phase by completing the operation of challenging (Challenge) in transgenic animal. We have gave our Mr. President. So close to the conclusion. https://t.co/xxvqIfj3nz</v>
      </c>
    </row>
    <row r="2140" spans="1:5" ht="15.75" customHeight="1" x14ac:dyDescent="0.25">
      <c r="A2140" s="1" t="s">
        <v>4279</v>
      </c>
      <c r="B2140" s="1">
        <v>12835</v>
      </c>
      <c r="C2140" s="3">
        <v>44107.668854166666</v>
      </c>
      <c r="D2140" s="1" t="s">
        <v>4280</v>
      </c>
      <c r="E2140" s="4" t="str">
        <f ca="1">IFERROR(__xludf.DUMMYFUNCTION("GOOGLETRANSLATE(A2140 , ""tr"" , ""en"")"),"We have 1,502 new patients identified today. We have a loss of 59. Our severe patient count is controllable. We have to reduce the number of new patients. The way to this is to comply with the measures. If we are unity it will eventually be the virus that"&amp;" was eaten. https://t.co/rvlhe7786o")</f>
        <v>We have 1,502 new patients identified today. We have a loss of 59. Our severe patient count is controllable. We have to reduce the number of new patients. The way to this is to comply with the measures. If we are unity it will eventually be the virus that was eaten. https://t.co/rvlhe7786o</v>
      </c>
    </row>
    <row r="2141" spans="1:5" ht="15.75" customHeight="1" x14ac:dyDescent="0.25">
      <c r="A2141" s="1" t="s">
        <v>4281</v>
      </c>
      <c r="B2141" s="1">
        <v>10867</v>
      </c>
      <c r="C2141" s="3">
        <v>44106.952337962961</v>
      </c>
      <c r="D2141" s="1" t="s">
        <v>4282</v>
      </c>
      <c r="E2141" s="4" t="str">
        <f ca="1">IFERROR(__xludf.DUMMYFUNCTION("GOOGLETRANSLATE(A2141 , ""tr"" , ""en"")"),"The WHO has appreciated our strategy to prevent the spread of the virus with the press statement published to make Covid-19 data reporting in the European region. Turkey is ready to share the experience in this regard. Thanks to the European Regional Dire"&amp;"ctor @ Hans_Kluge. https://t.co/ykdwrdkaxa")</f>
        <v>The WHO has appreciated our strategy to prevent the spread of the virus with the press statement published to make Covid-19 data reporting in the European region. Turkey is ready to share the experience in this regard. Thanks to the European Regional Director @ Hans_Kluge. https://t.co/ykdwrdkaxa</v>
      </c>
    </row>
    <row r="2142" spans="1:5" ht="15.75" customHeight="1" x14ac:dyDescent="0.25">
      <c r="A2142" s="1" t="s">
        <v>4283</v>
      </c>
      <c r="B2142" s="1">
        <v>9719</v>
      </c>
      <c r="C2142" s="3">
        <v>44106.805196759262</v>
      </c>
      <c r="D2142" s="1" t="s">
        <v>4284</v>
      </c>
      <c r="E2142" s="4" t="str">
        <f ca="1">IFERROR(__xludf.DUMMYFUNCTION("GOOGLETRANSLATE(A2142 , ""tr"" , ""en"")"),"The opening of our President is SN. I wish Recep Tayyip Erdogan to be auspicious today Konya city hospital today. Our hospital; To the 1,250 bed, 380 polyclin, 49 operating rooms, 73 views. The city hospital of our cities is a fictitious fact. https://t.c"&amp;"o/bpcznnvsed")</f>
        <v>The opening of our President is SN. I wish Recep Tayyip Erdogan to be auspicious today Konya city hospital today. Our hospital; To the 1,250 bed, 380 polyclin, 49 operating rooms, 73 views. The city hospital of our cities is a fictitious fact. https://t.co/bpcznnvsed</v>
      </c>
    </row>
    <row r="2143" spans="1:5" ht="15.75" customHeight="1" x14ac:dyDescent="0.25">
      <c r="A2143" s="1" t="s">
        <v>4285</v>
      </c>
      <c r="B2143" s="1">
        <v>0</v>
      </c>
      <c r="C2143" s="3">
        <v>44106.732638888891</v>
      </c>
      <c r="D2143" s="1" t="s">
        <v>4286</v>
      </c>
      <c r="E2143" s="4" t="str">
        <f ca="1">IFERROR(__xludf.DUMMYFUNCTION("GOOGLETRANSLATE(A2143 , ""tr"" , ""en"")"),"RT @rterdogan: Today we wish the official opening of the Konya city hospital to our country, our nation, to our city to our city, to our city ...")</f>
        <v>RT @rterdogan: Today we wish the official opening of the Konya city hospital to our country, our nation, to our city to our city, to our city ...</v>
      </c>
    </row>
    <row r="2144" spans="1:5" ht="15.75" customHeight="1" x14ac:dyDescent="0.25">
      <c r="A2144" s="1" t="s">
        <v>4287</v>
      </c>
      <c r="B2144" s="1">
        <v>19267</v>
      </c>
      <c r="C2144" s="3">
        <v>44106.705150462964</v>
      </c>
      <c r="D2144" s="1" t="s">
        <v>4288</v>
      </c>
      <c r="E2144" s="4" t="str">
        <f ca="1">IFERROR(__xludf.DUMMYFUNCTION("GOOGLETRANSLATE(A2144 , ""tr"" , ""en"")"),"In the number of severe patients and pneumonia continues. Today our total number of severe patients is 1.455. Our number of patients recovering today is more than our new patient count. We have provided this decline in combination with measures. The force"&amp;" is born from the unity. Let's be unity. https://t.co/rvlhe7786o")</f>
        <v>In the number of severe patients and pneumonia continues. Today our total number of severe patients is 1.455. Our number of patients recovering today is more than our new patient count. We have provided this decline in combination with measures. The force is born from the unity. Let's be unity. https://t.co/rvlhe7786o</v>
      </c>
    </row>
    <row r="2145" spans="1:5" ht="15.75" customHeight="1" x14ac:dyDescent="0.25">
      <c r="A2145" s="1" t="s">
        <v>4289</v>
      </c>
      <c r="B2145" s="1">
        <v>6861</v>
      </c>
      <c r="C2145" s="3">
        <v>44106.513912037037</v>
      </c>
      <c r="D2145" s="1" t="s">
        <v>4290</v>
      </c>
      <c r="E2145" s="4" t="str">
        <f ca="1">IFERROR(__xludf.DUMMYFUNCTION("GOOGLETRANSLATE(A2145 , ""tr"" , ""en"")"),"We are making the opening of our city hospital in Konya. Let our country and nation be auspicious. https://t.co/cskosczbyw")</f>
        <v>We are making the opening of our city hospital in Konya. Let our country and nation be auspicious. https://t.co/cskosczbyw</v>
      </c>
    </row>
    <row r="2146" spans="1:5" ht="15.75" customHeight="1" x14ac:dyDescent="0.25">
      <c r="A2146" s="1" t="s">
        <v>4291</v>
      </c>
      <c r="B2146" s="1">
        <v>10725</v>
      </c>
      <c r="C2146" s="3">
        <v>44106.497893518521</v>
      </c>
      <c r="D2146" s="1" t="s">
        <v>4292</v>
      </c>
      <c r="E2146" s="4" t="str">
        <f ca="1">IFERROR(__xludf.DUMMYFUNCTION("GOOGLETRANSLATE(A2146 , ""tr"" , ""en"")"),"We also add to Konya City Hospital today to our health investments. Hospital: 1250 bed capacity, advanced medical equipment and qualified human resources and COVID-19 struggle and general health services will provide uninterrupted service to the region. M"&amp;"ay our nation be auspicious. https://t.co/Ivbj9j824m")</f>
        <v>We also add to Konya City Hospital today to our health investments. Hospital: 1250 bed capacity, advanced medical equipment and qualified human resources and COVID-19 struggle and general health services will provide uninterrupted service to the region. May our nation be auspicious. https://t.co/Ivbj9j824m</v>
      </c>
    </row>
    <row r="2147" spans="1:5" ht="15.75" customHeight="1" x14ac:dyDescent="0.25">
      <c r="A2147" s="1" t="s">
        <v>4293</v>
      </c>
      <c r="B2147" s="1">
        <v>14739</v>
      </c>
      <c r="C2147" s="3">
        <v>44105.772974537038</v>
      </c>
      <c r="D2147" s="1" t="s">
        <v>4294</v>
      </c>
      <c r="E2147" s="4" t="str">
        <f ca="1">IFERROR(__xludf.DUMMYFUNCTION("GOOGLETRANSLATE(A2147 , ""tr"" , ""en"")"),"Dear President Our Private Pencil Manager, Ambassador Hasan Born Brain Brain We lost very valuable Murat Dogan. I wish herself from Allah to the mercy, the worried family and Hasan born born. Rest in peace.")</f>
        <v>Dear President Our Private Pencil Manager, Ambassador Hasan Born Brain Brain We lost very valuable Murat Dogan. I wish herself from Allah to the mercy, the worried family and Hasan born born. Rest in peace.</v>
      </c>
    </row>
    <row r="2148" spans="1:5" ht="15.75" customHeight="1" x14ac:dyDescent="0.25">
      <c r="A2148" s="1" t="s">
        <v>4295</v>
      </c>
      <c r="B2148" s="1">
        <v>18587</v>
      </c>
      <c r="C2148" s="3">
        <v>44105.73940972222</v>
      </c>
      <c r="D2148" s="1" t="s">
        <v>4296</v>
      </c>
      <c r="E2148" s="4" t="str">
        <f ca="1">IFERROR(__xludf.DUMMYFUNCTION("GOOGLETRANSLATE(A2148 , ""tr"" , ""en"")"),"We have 1,407 new patients identified today. The severe patients continue to decline in our number. The number of healing patients is close to the number of new patients. Measures are the most powerful weapon we have. Let's be the winner of this struggle "&amp;"by fitting the measures together. https://t.co/rvlhe7786o")</f>
        <v>We have 1,407 new patients identified today. The severe patients continue to decline in our number. The number of healing patients is close to the number of new patients. Measures are the most powerful weapon we have. Let's be the winner of this struggle by fitting the measures together. https://t.co/rvlhe7786o</v>
      </c>
    </row>
    <row r="2149" spans="1:5" ht="15.75" customHeight="1" x14ac:dyDescent="0.25">
      <c r="A2149" s="1" t="s">
        <v>4297</v>
      </c>
      <c r="B2149" s="1">
        <v>32811</v>
      </c>
      <c r="C2149" s="3">
        <v>44105.503645833334</v>
      </c>
      <c r="D2149" s="1" t="s">
        <v>4298</v>
      </c>
      <c r="E2149" s="4" t="str">
        <f ca="1">IFERROR(__xludf.DUMMYFUNCTION("GOOGLETRANSLATE(A2149 , ""tr"" , ""en"")"),"Let's know that in the process of fighting out of the epidemic, our state maintains its national interests as well as the health of their people. Because epidemic affects all the areas of life. Some people who do not have their lirazen are not different f"&amp;"rom the lens to a point of the photo and seeking the stain.")</f>
        <v>Let's know that in the process of fighting out of the epidemic, our state maintains its national interests as well as the health of their people. Because epidemic affects all the areas of life. Some people who do not have their lirazen are not different from the lens to a point of the photo and seeking the stain.</v>
      </c>
    </row>
    <row r="2150" spans="1:5" ht="15.75" customHeight="1" x14ac:dyDescent="0.25">
      <c r="A2150" s="1" t="s">
        <v>4299</v>
      </c>
      <c r="B2150" s="1">
        <v>7956</v>
      </c>
      <c r="C2150" s="3">
        <v>44105.395914351851</v>
      </c>
      <c r="D2150" s="1" t="s">
        <v>4300</v>
      </c>
      <c r="E2150" s="4" t="str">
        <f ca="1">IFERROR(__xludf.DUMMYFUNCTION("GOOGLETRANSLATE(A2150 , ""tr"" , ""en"")"),"We have seen the results of regional interventions made in the last 3 weeks. We have achieved success in our many provinces we mentioned from the high increase. The most remarkable place was Ankara. The number of patients in Ankara has reduced halfway. It"&amp;" is also possible to understand that from the decrease in the density in our hospitals. https://t.co/txuj9znuou")</f>
        <v>We have seen the results of regional interventions made in the last 3 weeks. We have achieved success in our many provinces we mentioned from the high increase. The most remarkable place was Ankara. The number of patients in Ankara has reduced halfway. It is also possible to understand that from the decrease in the density in our hospitals. https://t.co/txuj9znuou</v>
      </c>
    </row>
    <row r="2151" spans="1:5" ht="15.75" customHeight="1" x14ac:dyDescent="0.25">
      <c r="A2151" s="1" t="s">
        <v>4301</v>
      </c>
      <c r="B2151" s="1">
        <v>13780</v>
      </c>
      <c r="C2151" s="3">
        <v>44105.368344907409</v>
      </c>
      <c r="D2151" s="1" t="s">
        <v>4302</v>
      </c>
      <c r="E2151" s="4" t="str">
        <f ca="1">IFERROR(__xludf.DUMMYFUNCTION("GOOGLETRANSLATE(A2151 , ""tr"" , ""en"")"),"Not every case is sick. In terms of epidemic, we cannot view as a priority problem in the epidemic positive positives, which are isolated and the test after average 1 week after average. The important is that the increasing patient is the power of our num"&amp;"ber and the power of the health system. https://t.co/agtdyyw0gc")</f>
        <v>Not every case is sick. In terms of epidemic, we cannot view as a priority problem in the epidemic positive positives, which are isolated and the test after average 1 week after average. The important is that the increasing patient is the power of our number and the power of the health system. https://t.co/agtdyyw0gc</v>
      </c>
    </row>
    <row r="2152" spans="1:5" ht="15.75" customHeight="1" x14ac:dyDescent="0.25">
      <c r="A2152" s="1" t="s">
        <v>4303</v>
      </c>
      <c r="B2152" s="1">
        <v>8516</v>
      </c>
      <c r="C2152" s="3">
        <v>44104.699560185189</v>
      </c>
      <c r="D2152" s="1" t="s">
        <v>4304</v>
      </c>
      <c r="E2152" s="4" t="str">
        <f ca="1">IFERROR(__xludf.DUMMYFUNCTION("GOOGLETRANSLATE(A2152 , ""tr"" , ""en"")"),"After our Science Board meeting, the latest developments on the coronavirus and the new measures we receive.
📍Public Ministry Bilkent Campus / Ankara
https://t.co/3l1aqcq4bx")</f>
        <v>After our Science Board meeting, the latest developments on the coronavirus and the new measures we receive.
📍Public Ministry Bilkent Campus / Ankara
https://t.co/3l1aqcq4bx</v>
      </c>
    </row>
    <row r="2153" spans="1:5" ht="15.75" customHeight="1" x14ac:dyDescent="0.25">
      <c r="A2153" s="1" t="s">
        <v>4305</v>
      </c>
      <c r="B2153" s="1">
        <v>16558</v>
      </c>
      <c r="C2153" s="3">
        <v>44104.483819444446</v>
      </c>
      <c r="D2153" s="1" t="s">
        <v>4306</v>
      </c>
      <c r="E2153" s="4" t="str">
        <f ca="1">IFERROR(__xludf.DUMMYFUNCTION("GOOGLETRANSLATE(A2153 , ""tr"" , ""en"")"),"Why should the isolation rule be followed? Virus carriers that do not have a sign-in-home-treating virus carriers should see themselves in terms of contemptibility of the treatment of COVID-19 patients in the hospital. No one outside has protective specia"&amp;"l clothes as in the hospital.")</f>
        <v>Why should the isolation rule be followed? Virus carriers that do not have a sign-in-home-treating virus carriers should see themselves in terms of contemptibility of the treatment of COVID-19 patients in the hospital. No one outside has protective special clothes as in the hospital.</v>
      </c>
    </row>
    <row r="2154" spans="1:5" ht="15.75" customHeight="1" x14ac:dyDescent="0.25">
      <c r="A2154" s="1" t="s">
        <v>4307</v>
      </c>
      <c r="B2154" s="1">
        <v>16299</v>
      </c>
      <c r="C2154" s="3">
        <v>44103.683842592596</v>
      </c>
      <c r="D2154" s="1" t="s">
        <v>4308</v>
      </c>
      <c r="E2154" s="4" t="str">
        <f ca="1">IFERROR(__xludf.DUMMYFUNCTION("GOOGLETRANSLATE(A2154 , ""tr"" , ""en"")"),"Our severe patient count is still static. We have 1,427 new patients identified today. Struggling with virus gives a result when done together. Conform to measures together with the power to the struggle. Support the challenge for the continuation of succ"&amp;"ess and continuity. https://t.co/rvlhe7786o")</f>
        <v>Our severe patient count is still static. We have 1,427 new patients identified today. Struggling with virus gives a result when done together. Conform to measures together with the power to the struggle. Support the challenge for the continuation of success and continuity. https://t.co/rvlhe7786o</v>
      </c>
    </row>
    <row r="2155" spans="1:5" ht="15.75" customHeight="1" x14ac:dyDescent="0.25">
      <c r="A2155" s="1" t="s">
        <v>4309</v>
      </c>
      <c r="B2155" s="1">
        <v>6639</v>
      </c>
      <c r="C2155" s="3">
        <v>44103.543738425928</v>
      </c>
      <c r="D2155" s="1" t="s">
        <v>4310</v>
      </c>
      <c r="E2155" s="4" t="str">
        <f ca="1">IFERROR(__xludf.DUMMYFUNCTION("GOOGLETRANSLATE(A2155 , ""tr"" , ""en"")"),"Do you have risks inside? The current coronavirus positive case warning is in hes for every place where you enter and exit. If you are not using, download the app immediately.
ANDROID: https://t.co/fyrvgtdccck
IOS: https://t.co/du40y5sf9f")</f>
        <v>Do you have risks inside? The current coronavirus positive case warning is in hes for every place where you enter and exit. If you are not using, download the app immediately.
ANDROID: https://t.co/fyrvgtdccck
IOS: https://t.co/du40y5sf9f</v>
      </c>
    </row>
    <row r="2156" spans="1:5" ht="15.75" customHeight="1" x14ac:dyDescent="0.25">
      <c r="A2156" s="1" t="s">
        <v>4311</v>
      </c>
      <c r="B2156" s="1">
        <v>78155</v>
      </c>
      <c r="C2156" s="3">
        <v>44103.45894675926</v>
      </c>
      <c r="D2156" s="1" t="s">
        <v>4312</v>
      </c>
      <c r="E2156" s="4" t="str">
        <f ca="1">IFERROR(__xludf.DUMMYFUNCTION("GOOGLETRANSLATE(A2156 , ""tr"" , ""en"")"),"Is isolated on the inside impudent wandering inside.")</f>
        <v>Is isolated on the inside impudent wandering inside.</v>
      </c>
    </row>
    <row r="2157" spans="1:5" ht="15.75" customHeight="1" x14ac:dyDescent="0.25">
      <c r="A2157" s="1" t="s">
        <v>4313</v>
      </c>
      <c r="B2157" s="1">
        <v>23441</v>
      </c>
      <c r="C2157" s="3">
        <v>44102.793240740742</v>
      </c>
      <c r="D2157" s="1" t="s">
        <v>4314</v>
      </c>
      <c r="E2157" s="4" t="str">
        <f ca="1">IFERROR(__xludf.DUMMYFUNCTION("GOOGLETRANSLATE(A2157 , ""tr"" , ""en"")"),"In Batman, a doctor who served on the filion team was attacked. The attacker was arrested at the next day of the event, yesterday. We condemn violent events of our health workers in the day and night with hate. We are next to our employees with the power "&amp;"of our state.")</f>
        <v>In Batman, a doctor who served on the filion team was attacked. The attacker was arrested at the next day of the event, yesterday. We condemn violent events of our health workers in the day and night with hate. We are next to our employees with the power of our state.</v>
      </c>
    </row>
    <row r="2158" spans="1:5" ht="15.75" customHeight="1" x14ac:dyDescent="0.25">
      <c r="A2158" s="1" t="s">
        <v>4315</v>
      </c>
      <c r="B2158" s="1">
        <v>14166</v>
      </c>
      <c r="C2158" s="3">
        <v>44102.743090277778</v>
      </c>
      <c r="D2158" s="1" t="s">
        <v>4316</v>
      </c>
      <c r="E2158" s="4" t="str">
        <f ca="1">IFERROR(__xludf.DUMMYFUNCTION("GOOGLETRANSLATE(A2158 , ""tr"" , ""en"")"),"Azerbaijan Health Minister Oktay We have a phone call with Şiraliyev. We mentioned the condemnation and sadness by Armenia's inhuman attack. We are next to the people of Azerbaijan. We are ready to help with all kinds of health needs. https://t.co/cnyhh4l"&amp;"9ql")</f>
        <v>Azerbaijan Health Minister Oktay We have a phone call with Şiraliyev. We mentioned the condemnation and sadness by Armenia's inhuman attack. We are next to the people of Azerbaijan. We are ready to help with all kinds of health needs. https://t.co/cnyhh4l9ql</v>
      </c>
    </row>
    <row r="2159" spans="1:5" ht="15.75" customHeight="1" x14ac:dyDescent="0.25">
      <c r="A2159" s="1" t="s">
        <v>4317</v>
      </c>
      <c r="B2159" s="1">
        <v>8764</v>
      </c>
      <c r="C2159" s="3">
        <v>44102.722685185188</v>
      </c>
      <c r="D2159" s="1" t="s">
        <v>4318</v>
      </c>
      <c r="E2159" s="4" t="str">
        <f ca="1">IFERROR(__xludf.DUMMYFUNCTION("GOOGLETRANSLATE(A2159 , ""tr"" , ""en"")"),"TRT WORLD, this Wednesday, with the documentary to publish, Turkey's COVID-19 offers the successful challenge to the world's attention. The shots took 2 months in our role in the fight against the epidemic. In the documentary, the world of important names"&amp;" are also included. We thank TRT. https://t.co/9rsyxıtdei")</f>
        <v>TRT WORLD, this Wednesday, with the documentary to publish, Turkey's COVID-19 offers the successful challenge to the world's attention. The shots took 2 months in our role in the fight against the epidemic. In the documentary, the world of important names are also included. We thank TRT. https://t.co/9rsyxıtdei</v>
      </c>
    </row>
    <row r="2160" spans="1:5" ht="15.75" customHeight="1" x14ac:dyDescent="0.25">
      <c r="A2160" s="1" t="s">
        <v>4319</v>
      </c>
      <c r="B2160" s="1">
        <v>65288</v>
      </c>
      <c r="C2160" s="3">
        <v>44102.698912037034</v>
      </c>
      <c r="D2160" s="1" t="s">
        <v>4320</v>
      </c>
      <c r="E2160" s="4" t="str">
        <f ca="1">IFERROR(__xludf.DUMMYFUNCTION("GOOGLETRANSLATE(A2160 , ""tr"" , ""en"")"),"The virus was captured and the patients had rely on most chances. Follow the measures.")</f>
        <v>The virus was captured and the patients had rely on most chances. Follow the measures.</v>
      </c>
    </row>
    <row r="2161" spans="1:5" ht="15.75" customHeight="1" x14ac:dyDescent="0.25">
      <c r="A2161" s="1" t="s">
        <v>4321</v>
      </c>
      <c r="B2161" s="1">
        <v>20074</v>
      </c>
      <c r="C2161" s="3">
        <v>44102.683229166665</v>
      </c>
      <c r="D2161" s="1" t="s">
        <v>4322</v>
      </c>
      <c r="E2161" s="4" t="str">
        <f ca="1">IFERROR(__xludf.DUMMYFUNCTION("GOOGLETRANSLATE(A2161 , ""tr"" , ""en"")"),"Today after a long break, our daily recovery patient is more than our new patients. There are 1,412 new patients identified today. Since the measures give it a sequence. Let's struggle together until the virus is eaten, let's fit in the measures. https://"&amp;"t.co/rvlhe7786o")</f>
        <v>Today after a long break, our daily recovery patient is more than our new patients. There are 1,412 new patients identified today. Since the measures give it a sequence. Let's struggle together until the virus is eaten, let's fit in the measures. https://t.co/rvlhe7786o</v>
      </c>
    </row>
    <row r="2162" spans="1:5" ht="15.75" customHeight="1" x14ac:dyDescent="0.25">
      <c r="A2162" s="1" t="s">
        <v>4323</v>
      </c>
      <c r="B2162" s="1">
        <v>52216</v>
      </c>
      <c r="C2162" s="3">
        <v>44101.874513888892</v>
      </c>
      <c r="D2162" s="1" t="s">
        <v>4324</v>
      </c>
      <c r="E2162" s="4" t="str">
        <f ca="1">IFERROR(__xludf.DUMMYFUNCTION("GOOGLETRANSLATE(A2162 , ""tr"" , ""en"")"),"Armenia was found in an attack on Azerbaijan. Intense bomber was a large number of injured and lost from civilians. We condemn the assumption of the state with the dignity and human values. We are at the side of Azerbaycan who has taken action for the leg"&amp;"itimate response.")</f>
        <v>Armenia was found in an attack on Azerbaijan. Intense bomber was a large number of injured and lost from civilians. We condemn the assumption of the state with the dignity and human values. We are at the side of Azerbaycan who has taken action for the legitimate response.</v>
      </c>
    </row>
    <row r="2163" spans="1:5" ht="15.75" customHeight="1" x14ac:dyDescent="0.25">
      <c r="A2163" s="1" t="s">
        <v>4325</v>
      </c>
      <c r="B2163" s="1">
        <v>11913</v>
      </c>
      <c r="C2163" s="3">
        <v>44101.760439814818</v>
      </c>
      <c r="D2163" s="1" t="s">
        <v>4326</v>
      </c>
      <c r="E2163" s="4" t="str">
        <f ca="1">IFERROR(__xludf.DUMMYFUNCTION("GOOGLETRANSLATE(A2163 , ""tr"" , ""en"")"),"Mild complaints and their treatment are at home or without symptoms, but some of the people who need to adhere to the isolation rule, we are taking knowledge that they do not comply with this rule. The person who poses the test should see himself as the p"&amp;"atient in the hospital in terms of inflexibility. https://t.co/AIGTS1ihro")</f>
        <v>Mild complaints and their treatment are at home or without symptoms, but some of the people who need to adhere to the isolation rule, we are taking knowledge that they do not comply with this rule. The person who poses the test should see himself as the patient in the hospital in terms of inflexibility. https://t.co/AIGTS1ihro</v>
      </c>
    </row>
    <row r="2164" spans="1:5" ht="15.75" customHeight="1" x14ac:dyDescent="0.25">
      <c r="A2164" s="1" t="s">
        <v>4327</v>
      </c>
      <c r="B2164" s="1">
        <v>41049</v>
      </c>
      <c r="C2164" s="3">
        <v>44101.690752314818</v>
      </c>
      <c r="D2164" s="1" t="s">
        <v>4328</v>
      </c>
      <c r="E2164" s="4" t="str">
        <f ca="1">IFERROR(__xludf.DUMMYFUNCTION("GOOGLETRANSLATE(A2164 , ""tr"" , ""en"")"),"We are us that gives the opportunity to spread the virus. How much warning of the challenge of the challenge is the more stretched.")</f>
        <v>We are us that gives the opportunity to spread the virus. How much warning of the challenge of the challenge is the more stretched.</v>
      </c>
    </row>
    <row r="2165" spans="1:5" ht="15.75" customHeight="1" x14ac:dyDescent="0.25">
      <c r="A2165" s="1" t="s">
        <v>4329</v>
      </c>
      <c r="B2165" s="1">
        <v>13884</v>
      </c>
      <c r="C2165" s="3">
        <v>44101.667222222219</v>
      </c>
      <c r="D2165" s="1" t="s">
        <v>4330</v>
      </c>
      <c r="E2165" s="4" t="str">
        <f ca="1">IFERROR(__xludf.DUMMYFUNCTION("GOOGLETRANSLATE(A2165 , ""tr"" , ""en"")"),"After a long break, our heavy patient has decreased. We have 1.583 heavy patients today. The pneumonial rate continues to fall. The number of new patients tends to decrease. It's an undisputable fact that the measures give. Let's defeat the virus by follo"&amp;"wing the measures. https://t.co/rvlhe7786o")</f>
        <v>After a long break, our heavy patient has decreased. We have 1.583 heavy patients today. The pneumonial rate continues to fall. The number of new patients tends to decrease. It's an undisputable fact that the measures give. Let's defeat the virus by following the measures. https://t.co/rvlhe7786o</v>
      </c>
    </row>
    <row r="2166" spans="1:5" ht="15.75" customHeight="1" x14ac:dyDescent="0.25">
      <c r="A2166" s="1" t="s">
        <v>4331</v>
      </c>
      <c r="B2166" s="1">
        <v>6550</v>
      </c>
      <c r="C2166" s="3">
        <v>44101.597824074073</v>
      </c>
      <c r="D2166" s="1" t="s">
        <v>4332</v>
      </c>
      <c r="E2166" s="4" t="str">
        <f ca="1">IFERROR(__xludf.DUMMYFUNCTION("GOOGLETRANSLATE(A2166 , ""tr"" , ""en"")"),"If you make concessions from the rules, it is inevitable to increase our patient count and meet new losses. Even if the filliation teams reach contacts in each case and ensure that positive persons are determined, we cannot get the desired result unless y"&amp;"ou are stable in this battle. Be determined in the measure. https://t.co/9cdsk5jolk")</f>
        <v>If you make concessions from the rules, it is inevitable to increase our patient count and meet new losses. Even if the filliation teams reach contacts in each case and ensure that positive persons are determined, we cannot get the desired result unless you are stable in this battle. Be determined in the measure. https://t.co/9cdsk5jolk</v>
      </c>
    </row>
    <row r="2167" spans="1:5" ht="15.75" customHeight="1" x14ac:dyDescent="0.25">
      <c r="A2167" s="1" t="s">
        <v>4333</v>
      </c>
      <c r="B2167" s="1">
        <v>10212</v>
      </c>
      <c r="C2167" s="3">
        <v>44101.583668981482</v>
      </c>
      <c r="D2167" s="1" t="s">
        <v>4334</v>
      </c>
      <c r="E2167" s="4" t="str">
        <f ca="1">IFERROR(__xludf.DUMMYFUNCTION("GOOGLETRANSLATE(A2167 , ""tr"" , ""en"")"),"We live the longest nights of our lives. We had our friends who were eaten in the virus when he was trying to keep their patients alive. Many friends returned to the struggle that improves. Our policlinics are open 24 hours. We are always available to the"&amp;" task for you. But the best solution is the measure. https://t.co/rhtsxlml2t")</f>
        <v>We live the longest nights of our lives. We had our friends who were eaten in the virus when he was trying to keep their patients alive. Many friends returned to the struggle that improves. Our policlinics are open 24 hours. We are always available to the task for you. But the best solution is the measure. https://t.co/rhtsxlml2t</v>
      </c>
    </row>
    <row r="2168" spans="1:5" ht="15.75" customHeight="1" x14ac:dyDescent="0.25">
      <c r="A2168" s="1" t="s">
        <v>4335</v>
      </c>
      <c r="B2168" s="1">
        <v>16689</v>
      </c>
      <c r="C2168" s="3">
        <v>44101.417592592596</v>
      </c>
      <c r="D2168" s="1" t="s">
        <v>4336</v>
      </c>
      <c r="E2168" s="4" t="str">
        <f ca="1">IFERROR(__xludf.DUMMYFUNCTION("GOOGLETRANSLATE(A2168 , ""tr"" , ""en"")"),"Dr. The Gülbahar Hırkük tells the story of a 40-year-old patient: the patient woke up in the respirator, he wanted paper. On paper, ""I love my wife so much, tell him"". We lost itself after 2 days. We did not give the paper to the wife, this place is an "&amp;"isolated part. We can't get anything out of the outside. https://t.co/imp9ckxjpx")</f>
        <v>Dr. The Gülbahar Hırkük tells the story of a 40-year-old patient: the patient woke up in the respirator, he wanted paper. On paper, "I love my wife so much, tell him". We lost itself after 2 days. We did not give the paper to the wife, this place is an isolated part. We can't get anything out of the outside. https://t.co/imp9ckxjpx</v>
      </c>
    </row>
    <row r="2169" spans="1:5" ht="15.75" customHeight="1" x14ac:dyDescent="0.25">
      <c r="A2169" s="1" t="s">
        <v>4337</v>
      </c>
      <c r="B2169" s="1">
        <v>23373</v>
      </c>
      <c r="C2169" s="3">
        <v>44101.33320601852</v>
      </c>
      <c r="D2169" s="1" t="s">
        <v>4338</v>
      </c>
      <c r="E2169" s="4" t="str">
        <f ca="1">IFERROR(__xludf.DUMMYFUNCTION("GOOGLETRANSLATE(A2169 , ""tr"" , ""en"")"),"What are we doing, what do we want? In the last week we raised our operation scale. Further influence in contact scan. We have increased our test numbers. We start the treatment early. We are implementing local measures. Our only request from you is that "&amp;"you protect yourself from the virus with the mask and distance rule.")</f>
        <v>What are we doing, what do we want? In the last week we raised our operation scale. Further influence in contact scan. We have increased our test numbers. We start the treatment early. We are implementing local measures. Our only request from you is that you protect yourself from the virus with the mask and distance rule.</v>
      </c>
    </row>
    <row r="2170" spans="1:5" ht="15.75" customHeight="1" x14ac:dyDescent="0.25">
      <c r="A2170" s="1" t="s">
        <v>4339</v>
      </c>
      <c r="B2170" s="1">
        <v>14523</v>
      </c>
      <c r="C2170" s="3">
        <v>44100.814722222225</v>
      </c>
      <c r="D2170" s="1" t="s">
        <v>4340</v>
      </c>
      <c r="E2170" s="4" t="str">
        <f ca="1">IFERROR(__xludf.DUMMYFUNCTION("GOOGLETRANSLATE(A2170 , ""tr"" , ""en"")"),"Violence to health worker is not only the subject of the victim and the subject of the law. Is the common problem of society. The friendly working environment is a qualified service assurance. The law and moral should make a cooperation. Moreover: The hea"&amp;"lth worker is under the war, even in the war. We must be one against violence.")</f>
        <v>Violence to health worker is not only the subject of the victim and the subject of the law. Is the common problem of society. The friendly working environment is a qualified service assurance. The law and moral should make a cooperation. Moreover: The health worker is under the war, even in the war. We must be one against violence.</v>
      </c>
    </row>
    <row r="2171" spans="1:5" ht="15.75" customHeight="1" x14ac:dyDescent="0.25">
      <c r="A2171" s="1" t="s">
        <v>4341</v>
      </c>
      <c r="B2171" s="1">
        <v>62359</v>
      </c>
      <c r="C2171" s="3">
        <v>44100.801990740743</v>
      </c>
      <c r="D2171" s="1" t="s">
        <v>4342</v>
      </c>
      <c r="E2171" s="4" t="str">
        <f ca="1">IFERROR(__xludf.DUMMYFUNCTION("GOOGLETRANSLATE(A2171 , ""tr"" , ""en"")"),"In the Faculty of Medicine, our patient caregiver in the Faculty of Medicine was imposed by the person he stimulated the mask towards the correctness and was taken to eye surgery. The aggressor was arrested in the Caglayan Courthouse, ""Deliberately injur"&amp;"ed"" was arrested to prison. We must be one against violence.")</f>
        <v>In the Faculty of Medicine, our patient caregiver in the Faculty of Medicine was imposed by the person he stimulated the mask towards the correctness and was taken to eye surgery. The aggressor was arrested in the Caglayan Courthouse, "Deliberately injured" was arrested to prison. We must be one against violence.</v>
      </c>
    </row>
    <row r="2172" spans="1:5" ht="15.75" customHeight="1" x14ac:dyDescent="0.25">
      <c r="A2172" s="1" t="s">
        <v>4343</v>
      </c>
      <c r="B2172" s="1">
        <v>6604</v>
      </c>
      <c r="C2172" s="3">
        <v>44100.772835648146</v>
      </c>
      <c r="D2172" s="1" t="s">
        <v>4344</v>
      </c>
      <c r="E2172" s="4" t="str">
        <f ca="1">IFERROR(__xludf.DUMMYFUNCTION("GOOGLETRANSLATE(A2172 , ""tr"" , ""en"")"),"We have established in the outbreak process in Istanbul. Dr. Feriha Self, Professor Dr. We visited Murat Dilmener Emergency Hospitals. We have reviewed the last situation in the fight with our colleagues. For better management of the situation under contr"&amp;"ol, let the measures apply uncompromisingly. https://t.co/lcnkoxjfhz")</f>
        <v>We have established in the outbreak process in Istanbul. Dr. Feriha Self, Professor Dr. We visited Murat Dilmener Emergency Hospitals. We have reviewed the last situation in the fight with our colleagues. For better management of the situation under control, let the measures apply uncompromisingly. https://t.co/lcnkoxjfhz</v>
      </c>
    </row>
    <row r="2173" spans="1:5" ht="15.75" customHeight="1" x14ac:dyDescent="0.25">
      <c r="A2173" s="1" t="s">
        <v>4345</v>
      </c>
      <c r="B2173" s="1">
        <v>16875</v>
      </c>
      <c r="C2173" s="3">
        <v>44100.692314814813</v>
      </c>
      <c r="D2173" s="1" t="s">
        <v>4346</v>
      </c>
      <c r="E2173" s="4" t="str">
        <f ca="1">IFERROR(__xludf.DUMMYFUNCTION("GOOGLETRANSLATE(A2173 , ""tr"" , ""en"")"),"We have 1,511 new patients identified today. The decline in the number of patients invites us to hold on to the measures more tightly. In our severe patients, the rate of increase in increase tends to decrease. Together with combat measures are possible b"&amp;"y fitting together. https://t.co/rvlhe7786o")</f>
        <v>We have 1,511 new patients identified today. The decline in the number of patients invites us to hold on to the measures more tightly. In our severe patients, the rate of increase in increase tends to decrease. Together with combat measures are possible by fitting together. https://t.co/rvlhe7786o</v>
      </c>
    </row>
    <row r="2174" spans="1:5" ht="15.75" customHeight="1" x14ac:dyDescent="0.25">
      <c r="A2174" s="1" t="s">
        <v>4347</v>
      </c>
      <c r="B2174" s="1">
        <v>70604</v>
      </c>
      <c r="C2174" s="3">
        <v>44099.77983796296</v>
      </c>
      <c r="D2174" s="1" t="s">
        <v>4348</v>
      </c>
      <c r="E2174" s="4" t="str">
        <f ca="1">IFERROR(__xludf.DUMMYFUNCTION("GOOGLETRANSLATE(A2174 , ""tr"" , ""en"")"),"Pandemide you have been medicine. World Pharmacists have a happy birthday.")</f>
        <v>Pandemide you have been medicine. World Pharmacists have a happy birthday.</v>
      </c>
    </row>
    <row r="2175" spans="1:5" ht="15.75" customHeight="1" x14ac:dyDescent="0.25">
      <c r="A2175" s="1" t="s">
        <v>4349</v>
      </c>
      <c r="B2175" s="1">
        <v>7519</v>
      </c>
      <c r="C2175" s="3">
        <v>44099.724861111114</v>
      </c>
      <c r="D2175" s="1" t="s">
        <v>4350</v>
      </c>
      <c r="E2175" s="4" t="str">
        <f ca="1">IFERROR(__xludf.DUMMYFUNCTION("GOOGLETRANSLATE(A2175 , ""tr"" , ""en"")"),"Samsun, Ordu, Corum, Amasya, Tokat, Sinop Provincial Health Directors, Hospital Specialists and Site Coordinators with provincial meetings and meetings. In the epidemic, we addressed its final status, filiation studies, needs, planned health investments. "&amp;"Our efforts find their worth. https://t.co/gfvwryuzms")</f>
        <v>Samsun, Ordu, Corum, Amasya, Tokat, Sinop Provincial Health Directors, Hospital Specialists and Site Coordinators with provincial meetings and meetings. In the epidemic, we addressed its final status, filiation studies, needs, planned health investments. Our efforts find their worth. https://t.co/gfvwryuzms</v>
      </c>
    </row>
    <row r="2176" spans="1:5" ht="15.75" customHeight="1" x14ac:dyDescent="0.25">
      <c r="A2176" s="1" t="s">
        <v>4351</v>
      </c>
      <c r="B2176" s="1">
        <v>13839</v>
      </c>
      <c r="C2176" s="3">
        <v>44099.712939814817</v>
      </c>
      <c r="D2176" s="1" t="s">
        <v>4352</v>
      </c>
      <c r="E2176" s="4" t="str">
        <f ca="1">IFERROR(__xludf.DUMMYFUNCTION("GOOGLETRANSLATE(A2176 , ""tr"" , ""en"")"),"We have 1,665 new patients identified today. We started to see the result of our regional work. In the coming days, I believe that the new patient numbers will indicate that we control the outbreak. Let's fight together with the virus. https://t.co/rvlhe7"&amp;"786o")</f>
        <v>We have 1,665 new patients identified today. We started to see the result of our regional work. In the coming days, I believe that the new patient numbers will indicate that we control the outbreak. Let's fight together with the virus. https://t.co/rvlhe7786o</v>
      </c>
    </row>
    <row r="2177" spans="1:5" ht="15.75" customHeight="1" x14ac:dyDescent="0.25">
      <c r="A2177" s="1" t="s">
        <v>4353</v>
      </c>
      <c r="B2177" s="1">
        <v>5712</v>
      </c>
      <c r="C2177" s="3">
        <v>44099.688935185186</v>
      </c>
      <c r="D2177" s="1" t="s">
        <v>4354</v>
      </c>
      <c r="E2177" s="4" t="str">
        <f ca="1">IFERROR(__xludf.DUMMYFUNCTION("GOOGLETRANSLATE(A2177 , ""tr"" , ""en"")"),"The final situation in Samsun, Ordu, Corum, Slap, Amasya and Sinop in the fight against the epidemics of Turkey and Turkey:
📍sunsun
https://t.co/2flmojfMGI")</f>
        <v>The final situation in Samsun, Ordu, Corum, Slap, Amasya and Sinop in the fight against the epidemics of Turkey and Turkey:
📍sunsun
https://t.co/2flmojfMGI</v>
      </c>
    </row>
    <row r="2178" spans="1:5" ht="15.75" customHeight="1" x14ac:dyDescent="0.25">
      <c r="A2178" s="1" t="s">
        <v>4355</v>
      </c>
      <c r="B2178" s="1">
        <v>9789</v>
      </c>
      <c r="C2178" s="3">
        <v>44099.523275462961</v>
      </c>
      <c r="D2178" s="1" t="s">
        <v>4356</v>
      </c>
      <c r="E2178" s="4" t="str">
        <f ca="1">IFERROR(__xludf.DUMMYFUNCTION("GOOGLETRANSLATE(A2178 , ""tr"" , ""en"")"),"SATI KÖKSAL, A study of our young nurses in Samsun, the nurse sister of our young nurses in Samsun. It has been a health problem these days. We have visited itself before the operation he spends. Will heal and return to the beginning of your job. We need "&amp;"your experience. https://t.co/2na2su5hdj")</f>
        <v>SATI KÖKSAL, A study of our young nurses in Samsun, the nurse sister of our young nurses in Samsun. It has been a health problem these days. We have visited itself before the operation he spends. Will heal and return to the beginning of your job. We need your experience. https://t.co/2na2su5hdj</v>
      </c>
    </row>
    <row r="2179" spans="1:5" ht="15.75" customHeight="1" x14ac:dyDescent="0.25">
      <c r="A2179" s="1" t="s">
        <v>4357</v>
      </c>
      <c r="B2179" s="1">
        <v>7858</v>
      </c>
      <c r="C2179" s="3">
        <v>44099.489861111113</v>
      </c>
      <c r="D2179" s="1" t="s">
        <v>4358</v>
      </c>
      <c r="E2179" s="4" t="str">
        <f ca="1">IFERROR(__xludf.DUMMYFUNCTION("GOOGLETRANSLATE(A2179 , ""tr"" , ""en"")"),"We visited our patients who treat our Samsun training and research hospital in the Hematology Department, our study friends. Our hospital successfully continues the fight against the outbreak with general health services. https://t.co/gvqrhpmd2f")</f>
        <v>We visited our patients who treat our Samsun training and research hospital in the Hematology Department, our study friends. Our hospital successfully continues the fight against the outbreak with general health services. https://t.co/gvqrhpmd2f</v>
      </c>
    </row>
    <row r="2180" spans="1:5" ht="15.75" customHeight="1" x14ac:dyDescent="0.25">
      <c r="A2180" s="1" t="s">
        <v>4359</v>
      </c>
      <c r="B2180" s="1">
        <v>7168</v>
      </c>
      <c r="C2180" s="3">
        <v>44099.394745370373</v>
      </c>
      <c r="D2180" s="1" t="s">
        <v>4360</v>
      </c>
      <c r="E2180" s="4" t="str">
        <f ca="1">IFERROR(__xludf.DUMMYFUNCTION("GOOGLETRANSLATE(A2180 , ""tr"" , ""en"")"),"We are in the Samsun. We will make our regional assessment meetings with the participation of the health managers and field coordinators of our Ordu, Corum, Tokat, Amasya, Sinop and Samsun provinces. We will succeed with fighting together. https://t.co/cg"&amp;"wauzgw8z")</f>
        <v>We are in the Samsun. We will make our regional assessment meetings with the participation of the health managers and field coordinators of our Ordu, Corum, Tokat, Amasya, Sinop and Samsun provinces. We will succeed with fighting together. https://t.co/cgwauzgw8z</v>
      </c>
    </row>
    <row r="2181" spans="1:5" ht="15.75" customHeight="1" x14ac:dyDescent="0.25">
      <c r="A2181" s="1" t="s">
        <v>4361</v>
      </c>
      <c r="B2181" s="1">
        <v>51309</v>
      </c>
      <c r="C2181" s="3">
        <v>44098.934166666666</v>
      </c>
      <c r="D2181" s="1" t="s">
        <v>4362</v>
      </c>
      <c r="E2181" s="4" t="str">
        <f ca="1">IFERROR(__xludf.DUMMYFUNCTION("GOOGLETRANSLATE(A2181 , ""tr"" , ""en"")"),"We all spill teri. Health workers are pouring into the tab from this teri hill in the epidemic. https://t.co/2bpazofpuu")</f>
        <v>We all spill teri. Health workers are pouring into the tab from this teri hill in the epidemic. https://t.co/2bpazofpuu</v>
      </c>
    </row>
    <row r="2182" spans="1:5" ht="15.75" customHeight="1" x14ac:dyDescent="0.25">
      <c r="A2182" s="1" t="s">
        <v>4363</v>
      </c>
      <c r="B2182" s="1">
        <v>9038</v>
      </c>
      <c r="C2182" s="3">
        <v>44098.851944444446</v>
      </c>
      <c r="D2182" s="1" t="s">
        <v>4364</v>
      </c>
      <c r="E2182" s="4" t="str">
        <f ca="1">IFERROR(__xludf.DUMMYFUNCTION("GOOGLETRANSLATE(A2182 , ""tr"" , ""en"")"),"11 We had a separate meeting with our city's health managers. In Ankara, Konya, Kayseri, Adana, Malatya, Van, Elazig, Adıyaman, Pain, Yozgat and Erzurum, we evaluated the current course of the epidemic, patient and carrier detection, treatments and additi"&amp;"onal measures to be taken. https://t.co/oarjmgjyqz")</f>
        <v>11 We had a separate meeting with our city's health managers. In Ankara, Konya, Kayseri, Adana, Malatya, Van, Elazig, Adıyaman, Pain, Yozgat and Erzurum, we evaluated the current course of the epidemic, patient and carrier detection, treatments and additional measures to be taken. https://t.co/oarjmgjyqz</v>
      </c>
    </row>
    <row r="2183" spans="1:5" ht="15.75" customHeight="1" x14ac:dyDescent="0.25">
      <c r="A2183" s="1" t="s">
        <v>4365</v>
      </c>
      <c r="B2183" s="1">
        <v>20568</v>
      </c>
      <c r="C2183" s="3">
        <v>44098.679814814815</v>
      </c>
      <c r="D2183" s="1" t="s">
        <v>4366</v>
      </c>
      <c r="E2183" s="4" t="str">
        <f ca="1">IFERROR(__xludf.DUMMYFUNCTION("GOOGLETRANSLATE(A2183 , ""tr"" , ""en"")"),"Our severe patient count reached 1.573. The pneumonia rate (6.6%) in patients continue to fall. Our new patient number identified today is 1.721. Our healthcareists are extremely selfless. Let's be next to our health workers by complying with the measures"&amp;". https://t.co/rvlhe7786o")</f>
        <v>Our severe patient count reached 1.573. The pneumonia rate (6.6%) in patients continue to fall. Our new patient number identified today is 1.721. Our healthcareists are extremely selfless. Let's be next to our health workers by complying with the measures. https://t.co/rvlhe7786o</v>
      </c>
    </row>
    <row r="2184" spans="1:5" ht="15.75" customHeight="1" x14ac:dyDescent="0.25">
      <c r="A2184" s="1" t="s">
        <v>4367</v>
      </c>
      <c r="B2184" s="1">
        <v>18990</v>
      </c>
      <c r="C2184" s="3">
        <v>44097.668900462966</v>
      </c>
      <c r="D2184" s="1" t="s">
        <v>4368</v>
      </c>
      <c r="E2184" s="4" t="str">
        <f ca="1">IFERROR(__xludf.DUMMYFUNCTION("GOOGLETRANSLATE(A2184 , ""tr"" , ""en"")"),"Our severe patient count increased to 1.561 today. Our active patient count continues to increase. We have 1,767 new patients identified today. Let us apply measures together for our health system sustainable and health workers can be served. https://t.co"&amp;"/rvlhe7786o")</f>
        <v>Our severe patient count increased to 1.561 today. Our active patient count continues to increase. We have 1,767 new patients identified today. Let us apply measures together for our health system sustainable and health workers can be served. https://t.co/rvlhe7786o</v>
      </c>
    </row>
    <row r="2185" spans="1:5" ht="15.75" customHeight="1" x14ac:dyDescent="0.25">
      <c r="A2185" s="1" t="s">
        <v>4369</v>
      </c>
      <c r="B2185" s="1">
        <v>15297</v>
      </c>
      <c r="C2185" s="3">
        <v>44096.917928240742</v>
      </c>
      <c r="D2185" s="1" t="s">
        <v>4370</v>
      </c>
      <c r="E2185" s="4" t="str">
        <f ca="1">IFERROR(__xludf.DUMMYFUNCTION("GOOGLETRANSLATE(A2185 , ""tr"" , ""en"")"),"In our visit to our Keçiören EA hospital, we evaluated the event that acts all the sensitives on the violence for our health care employees and evaluated with the witness and camera records. Message Net: Sacrifice, in our soul. Safety is our red line. htt"&amp;"ps://t.co/tbg93fhle3")</f>
        <v>In our visit to our Keçiören EA hospital, we evaluated the event that acts all the sensitives on the violence for our health care employees and evaluated with the witness and camera records. Message Net: Sacrifice, in our soul. Safety is our red line. https://t.co/tbg93fhle3</v>
      </c>
    </row>
    <row r="2186" spans="1:5" ht="15.75" customHeight="1" x14ac:dyDescent="0.25">
      <c r="A2186" s="1" t="s">
        <v>4371</v>
      </c>
      <c r="B2186" s="1">
        <v>21964</v>
      </c>
      <c r="C2186" s="3">
        <v>44096.784305555557</v>
      </c>
      <c r="D2186" s="1" t="s">
        <v>4372</v>
      </c>
      <c r="E2186" s="4" t="str">
        <f ca="1">IFERROR(__xludf.DUMMYFUNCTION("GOOGLETRANSLATE(A2186 , ""tr"" , ""en"")"),"I have visited my friends at Keçiören EAh emergency service. The camera records examined by our safety powers has revealed the solemnity of our friends the declaration of our friends. Our Prosecutor's Prosecutor's Prosecutor has initiated. We are sad as a"&amp;" healthcare community and committed in the follow-up of the subject. https://t.co/gpcasffzba")</f>
        <v>I have visited my friends at Keçiören EAh emergency service. The camera records examined by our safety powers has revealed the solemnity of our friends the declaration of our friends. Our Prosecutor's Prosecutor's Prosecutor has initiated. We are sad as a healthcare community and committed in the follow-up of the subject. https://t.co/gpcasffzba</v>
      </c>
    </row>
    <row r="2187" spans="1:5" ht="15.75" customHeight="1" x14ac:dyDescent="0.25">
      <c r="A2187" s="1" t="s">
        <v>4373</v>
      </c>
      <c r="B2187" s="1">
        <v>17626</v>
      </c>
      <c r="C2187" s="3">
        <v>44096.673483796294</v>
      </c>
      <c r="D2187" s="1" t="s">
        <v>4374</v>
      </c>
      <c r="E2187" s="4" t="str">
        <f ca="1">IFERROR(__xludf.DUMMYFUNCTION("GOOGLETRANSLATE(A2187 , ""tr"" , ""en"")"),"Our severe patient count has reached 1.522. Decline in pneumonia continues. We have 1,692 new patients today. By moving in accordance with the measures, let's support our health workers who work for us at night. We will achieve together. https://t.co/rvlh"&amp;"e7786o")</f>
        <v>Our severe patient count has reached 1.522. Decline in pneumonia continues. We have 1,692 new patients today. By moving in accordance with the measures, let's support our health workers who work for us at night. We will achieve together. https://t.co/rvlhe7786o</v>
      </c>
    </row>
    <row r="2188" spans="1:5" ht="15.75" customHeight="1" x14ac:dyDescent="0.2">
      <c r="A2188" s="5" t="s">
        <v>4375</v>
      </c>
      <c r="B2188" s="1">
        <v>17904</v>
      </c>
      <c r="C2188" s="3">
        <v>44096.36440972222</v>
      </c>
      <c r="D2188" s="1" t="s">
        <v>4376</v>
      </c>
      <c r="E2188" s="6" t="str">
        <f ca="1">IFERROR(__xludf.DUMMYFUNCTION("GOOGLETRANSLATE(A2188 , ""tr"" , ""en"")"),"https://t.co/3tt1w2fncx")</f>
        <v>https://t.co/3tt1w2fncx</v>
      </c>
    </row>
    <row r="2189" spans="1:5" ht="15.75" customHeight="1" x14ac:dyDescent="0.2">
      <c r="A2189" s="5" t="s">
        <v>4377</v>
      </c>
      <c r="B2189" s="1">
        <v>7618</v>
      </c>
      <c r="C2189" s="3">
        <v>44096.364363425928</v>
      </c>
      <c r="D2189" s="1" t="s">
        <v>4378</v>
      </c>
      <c r="E2189" s="6" t="str">
        <f ca="1">IFERROR(__xludf.DUMMYFUNCTION("GOOGLETRANSLATE(A2189 , ""tr"" , ""en"")"),"https://t.co/opth4noyee")</f>
        <v>https://t.co/opth4noyee</v>
      </c>
    </row>
    <row r="2190" spans="1:5" ht="15.75" customHeight="1" x14ac:dyDescent="0.2">
      <c r="A2190" s="5" t="s">
        <v>4379</v>
      </c>
      <c r="B2190" s="1">
        <v>9031</v>
      </c>
      <c r="C2190" s="3">
        <v>44096.364305555559</v>
      </c>
      <c r="D2190" s="1" t="s">
        <v>4380</v>
      </c>
      <c r="E2190" s="6" t="str">
        <f ca="1">IFERROR(__xludf.DUMMYFUNCTION("GOOGLETRANSLATE(A2190 , ""tr"" , ""en"")"),"https://t.co/3xvmjzccqj")</f>
        <v>https://t.co/3xvmjzccqj</v>
      </c>
    </row>
    <row r="2191" spans="1:5" ht="15.75" customHeight="1" x14ac:dyDescent="0.25">
      <c r="A2191" s="1" t="s">
        <v>4381</v>
      </c>
      <c r="B2191" s="1">
        <v>69116</v>
      </c>
      <c r="C2191" s="3">
        <v>44096.038263888891</v>
      </c>
      <c r="D2191" s="1" t="s">
        <v>4382</v>
      </c>
      <c r="E2191" s="4" t="str">
        <f ca="1">IFERROR(__xludf.DUMMYFUNCTION("GOOGLETRANSLATE(A2191 , ""tr"" , ""en"")"),"""Respect to Health Worker is a quality of humanity.""
(This is from our press statement to be published this morning.)")</f>
        <v>"Respect to Health Worker is a quality of humanity."
(This is from our press statement to be published this morning.)</v>
      </c>
    </row>
    <row r="2192" spans="1:5" ht="15.75" customHeight="1" x14ac:dyDescent="0.25">
      <c r="A2192" s="1" t="s">
        <v>4383</v>
      </c>
      <c r="B2192" s="1">
        <v>42835</v>
      </c>
      <c r="C2192" s="3">
        <v>44095.970763888887</v>
      </c>
      <c r="D2192" s="1" t="s">
        <v>4384</v>
      </c>
      <c r="E2192" s="4" t="str">
        <f ca="1">IFERROR(__xludf.DUMMYFUNCTION("GOOGLETRANSLATE(A2192 , ""tr"" , ""en"")"),"In the Kecioren EAh emergency department, a large number of people tried to see their relatives who are injured with firearms, despite interventions, forcing the rules. Our friends kept the door off, against the possibility of violence. Should not even ha"&amp;"ve the possibility of violence. The state will not give the passage! https://t.co/m3pbnz03ds")</f>
        <v>In the Kecioren EAh emergency department, a large number of people tried to see their relatives who are injured with firearms, despite interventions, forcing the rules. Our friends kept the door off, against the possibility of violence. Should not even have the possibility of violence. The state will not give the passage! https://t.co/m3pbnz03ds</v>
      </c>
    </row>
    <row r="2193" spans="1:5" ht="15.75" customHeight="1" x14ac:dyDescent="0.25">
      <c r="A2193" s="1" t="s">
        <v>4385</v>
      </c>
      <c r="B2193" s="1">
        <v>21136</v>
      </c>
      <c r="C2193" s="3">
        <v>44095.701388888891</v>
      </c>
      <c r="D2193" s="1" t="s">
        <v>4386</v>
      </c>
      <c r="E2193" s="4" t="str">
        <f ca="1">IFERROR(__xludf.DUMMYFUNCTION("GOOGLETRANSLATE(A2193 , ""tr"" , ""en"")"),"Today 1,743 new patients were detected. We have a 68 loss of life. Our severe patient count approached 1,500. We have to reduce their burden in order to continue their selfless work of our health workers. This can only take place by complying with measure"&amp;"s. https://t.co/rvlhe7786o")</f>
        <v>Today 1,743 new patients were detected. We have a 68 loss of life. Our severe patient count approached 1,500. We have to reduce their burden in order to continue their selfless work of our health workers. This can only take place by complying with measures. https://t.co/rvlhe7786o</v>
      </c>
    </row>
    <row r="2194" spans="1:5" ht="15.75" customHeight="1" x14ac:dyDescent="0.25">
      <c r="A2194" s="1" t="s">
        <v>4387</v>
      </c>
      <c r="B2194" s="1">
        <v>71788</v>
      </c>
      <c r="C2194" s="3">
        <v>44094.727256944447</v>
      </c>
      <c r="D2194" s="1" t="s">
        <v>4388</v>
      </c>
      <c r="E2194" s="4" t="str">
        <f ca="1">IFERROR(__xludf.DUMMYFUNCTION("GOOGLETRANSLATE(A2194 , ""tr"" , ""en"")"),"A nurse is our friend ""the flowers in our smile faded."" said. If you want selfless health personnel, take measures. May our patient load is reduced.")</f>
        <v>A nurse is our friend "the flowers in our smile faded." said. If you want selfless health personnel, take measures. May our patient load is reduced.</v>
      </c>
    </row>
    <row r="2195" spans="1:5" ht="15.75" customHeight="1" x14ac:dyDescent="0.25">
      <c r="A2195" s="1" t="s">
        <v>4389</v>
      </c>
      <c r="B2195" s="1">
        <v>15387</v>
      </c>
      <c r="C2195" s="3">
        <v>44094.666979166665</v>
      </c>
      <c r="D2195" s="1" t="s">
        <v>4390</v>
      </c>
      <c r="E2195" s="4" t="str">
        <f ca="1">IFERROR(__xludf.DUMMYFUNCTION("GOOGLETRANSLATE(A2195 , ""tr"" , ""en"")"),"Today, the severe patient count reached 1.456. While the increase speed is slow, we cannot be peaceful without decreasing this number. The most important force to beat the fighting virus together. Our health workers are the power union in our VEFA indicat"&amp;"or. https://t.co/rvlhe7786o")</f>
        <v>Today, the severe patient count reached 1.456. While the increase speed is slow, we cannot be peaceful without decreasing this number. The most important force to beat the fighting virus together. Our health workers are the power union in our VEFA indicator. https://t.co/rvlhe7786o</v>
      </c>
    </row>
    <row r="2196" spans="1:5" ht="15.75" customHeight="1" x14ac:dyDescent="0.25">
      <c r="A2196" s="1" t="s">
        <v>4391</v>
      </c>
      <c r="B2196" s="1">
        <v>26824</v>
      </c>
      <c r="C2196" s="3">
        <v>44094.551701388889</v>
      </c>
      <c r="D2196" s="1" t="s">
        <v>4392</v>
      </c>
      <c r="E2196" s="4" t="str">
        <f ca="1">IFERROR(__xludf.DUMMYFUNCTION("GOOGLETRANSLATE(A2196 , ""tr"" , ""en"")"),"Pessimism has not been in place of measures to date. Propose mask, distance and cleaning to the virus's power of virus.")</f>
        <v>Pessimism has not been in place of measures to date. Propose mask, distance and cleaning to the virus's power of virus.</v>
      </c>
    </row>
    <row r="2197" spans="1:5" ht="15.75" customHeight="1" x14ac:dyDescent="0.25">
      <c r="A2197" s="1" t="s">
        <v>4393</v>
      </c>
      <c r="B2197" s="1">
        <v>17151</v>
      </c>
      <c r="C2197" s="3">
        <v>44094.393125000002</v>
      </c>
      <c r="D2197" s="1" t="s">
        <v>4394</v>
      </c>
      <c r="E2197" s="4" t="str">
        <f ca="1">IFERROR(__xludf.DUMMYFUNCTION("GOOGLETRANSLATE(A2197 , ""tr"" , ""en"")"),"The cause of the flu influenza virus is transmitted in the same way as the coronavirus. Close up, the risk increases in the indoor environment. If we apply the three measures taken against the coronavirse, we also reduce flu cases. Please let's be more ca"&amp;"reful. Let's not have to fight with two viruses at the same time. https://t.co/fj5xi9cfkk")</f>
        <v>The cause of the flu influenza virus is transmitted in the same way as the coronavirus. Close up, the risk increases in the indoor environment. If we apply the three measures taken against the coronavirse, we also reduce flu cases. Please let's be more careful. Let's not have to fight with two viruses at the same time. https://t.co/fj5xi9cfkk</v>
      </c>
    </row>
    <row r="2198" spans="1:5" ht="15.75" customHeight="1" x14ac:dyDescent="0.25">
      <c r="A2198" s="1" t="s">
        <v>4395</v>
      </c>
      <c r="B2198" s="1">
        <v>32067</v>
      </c>
      <c r="C2198" s="3">
        <v>44093.925787037035</v>
      </c>
      <c r="D2198" s="1" t="s">
        <v>4396</v>
      </c>
      <c r="E2198" s="4" t="str">
        <f ca="1">IFERROR(__xludf.DUMMYFUNCTION("GOOGLETRANSLATE(A2198 , ""tr"" , ""en"")"),"SN. Slow,
Thank you. Covid positive and suspects are registered to the HEPP application; The information is open to the integration of the demanding institutions. The system is conducive to the risk of risk on in-city public transport. The State Teamlet s"&amp;"hould not be sacrificed to visibility. The struggle is possible together. https://t.co/kh4sogwidk")</f>
        <v>SN. Slow,
Thank you. Covid positive and suspects are registered to the HEPP application; The information is open to the integration of the demanding institutions. The system is conducive to the risk of risk on in-city public transport. The State Teamlet should not be sacrificed to visibility. The struggle is possible together. https://t.co/kh4sogwidk</v>
      </c>
    </row>
    <row r="2199" spans="1:5" ht="15.75" customHeight="1" x14ac:dyDescent="0.25">
      <c r="A2199" s="1" t="s">
        <v>4397</v>
      </c>
      <c r="B2199" s="1">
        <v>12338</v>
      </c>
      <c r="C2199" s="3">
        <v>44093.750694444447</v>
      </c>
      <c r="D2199" s="1" t="s">
        <v>4398</v>
      </c>
      <c r="E2199" s="4" t="str">
        <f ca="1">IFERROR(__xludf.DUMMYFUNCTION("GOOGLETRANSLATE(A2199 , ""tr"" , ""en"")"),"In the Spanish flu outbreak, the measure to be taken against the H1N1 virus in the same way as coronavirus was the same: mask, distance, cleanliness. These were not well known, widely not applied. The virus has been contammon on 500 million people. There "&amp;"was a loss of 50 to 100 million. Let's take measure lesson from that epidemic. https://t.co/9aii4sqwda")</f>
        <v>In the Spanish flu outbreak, the measure to be taken against the H1N1 virus in the same way as coronavirus was the same: mask, distance, cleanliness. These were not well known, widely not applied. The virus has been contammon on 500 million people. There was a loss of 50 to 100 million. Let's take measure lesson from that epidemic. https://t.co/9aii4sqwda</v>
      </c>
    </row>
    <row r="2200" spans="1:5" ht="15.75" customHeight="1" x14ac:dyDescent="0.25">
      <c r="A2200" s="1" t="s">
        <v>4399</v>
      </c>
      <c r="B2200" s="1">
        <v>36829</v>
      </c>
      <c r="C2200" s="3">
        <v>44093.739953703705</v>
      </c>
      <c r="D2200" s="1" t="s">
        <v>4400</v>
      </c>
      <c r="E2200" s="4" t="str">
        <f ca="1">IFERROR(__xludf.DUMMYFUNCTION("GOOGLETRANSLATE(A2200 , ""tr"" , ""en"")"),"100 years ago the world has experienced an epidemic. The Spanish flu has been a loss of 50-100 million in the outbreak. The H1N1 virus, which leads to the disease, was contaminated in the same way as today's coronavirus. Why do you think the loss of life "&amp;"was even more than in the World War I? A question worth thinking on it.")</f>
        <v>100 years ago the world has experienced an epidemic. The Spanish flu has been a loss of 50-100 million in the outbreak. The H1N1 virus, which leads to the disease, was contaminated in the same way as today's coronavirus. Why do you think the loss of life was even more than in the World War I? A question worth thinking on it.</v>
      </c>
    </row>
    <row r="2201" spans="1:5" ht="15.75" customHeight="1" x14ac:dyDescent="0.25">
      <c r="A2201" s="1" t="s">
        <v>4401</v>
      </c>
      <c r="B2201" s="1">
        <v>14685</v>
      </c>
      <c r="C2201" s="3">
        <v>44093.674050925925</v>
      </c>
      <c r="D2201" s="1" t="s">
        <v>4402</v>
      </c>
      <c r="E2201" s="4" t="str">
        <f ca="1">IFERROR(__xludf.DUMMYFUNCTION("GOOGLETRANSLATE(A2201 , ""tr"" , ""en"")"),"Today, the severe patient count reached 1.432. The greatest struggle of our health workers is intended to improve our severe patients. We have a heavy patient to reduce our number. These warnings should adequate us to obey the measures. Let's struggle tog"&amp;"ether. https://t.co/rvlhe7786o")</f>
        <v>Today, the severe patient count reached 1.432. The greatest struggle of our health workers is intended to improve our severe patients. We have a heavy patient to reduce our number. These warnings should adequate us to obey the measures. Let's struggle together. https://t.co/rvlhe7786o</v>
      </c>
    </row>
    <row r="2202" spans="1:5" ht="15.75" customHeight="1" x14ac:dyDescent="0.25">
      <c r="A2202" s="1" t="s">
        <v>4403</v>
      </c>
      <c r="B2202" s="1">
        <v>10734</v>
      </c>
      <c r="C2202" s="3">
        <v>44092.743287037039</v>
      </c>
      <c r="D2202" s="1" t="s">
        <v>4404</v>
      </c>
      <c r="E2202" s="4" t="str">
        <f ca="1">IFERROR(__xludf.DUMMYFUNCTION("GOOGLETRANSLATE(A2202 , ""tr"" , ""en"")"),"Izmir, Manisa, Aydın, Muğla, Usak, Denizli Provincial Provincial Health Directors, Hospital Specialists and Meetings with our site coordinators. In the epidemic, we addressed its final status, filion studies, completed and planned health investments. Prov"&amp;"ide support to our effort. https://t.co/lyc6iyuev")</f>
        <v>Izmir, Manisa, Aydın, Muğla, Usak, Denizli Provincial Provincial Health Directors, Hospital Specialists and Meetings with our site coordinators. In the epidemic, we addressed its final status, filion studies, completed and planned health investments. Provide support to our effort. https://t.co/lyc6iyuev</v>
      </c>
    </row>
    <row r="2203" spans="1:5" ht="15.75" customHeight="1" x14ac:dyDescent="0.25">
      <c r="A2203" s="1" t="s">
        <v>4405</v>
      </c>
      <c r="B2203" s="1">
        <v>15951</v>
      </c>
      <c r="C2203" s="3">
        <v>44092.686793981484</v>
      </c>
      <c r="D2203" s="1" t="s">
        <v>4406</v>
      </c>
      <c r="E2203" s="4" t="str">
        <f ca="1">IFERROR(__xludf.DUMMYFUNCTION("GOOGLETRANSLATE(A2203 , ""tr"" , ""en"")"),"The number of people caught in total disease was about 300,000. We have 62 life loss today. Fighting illness is possible with the combat association of measure. Let's struggle together. Our responsibility to reduce the load on the shoulders of our health "&amp;"workers. https://t.co/rvlhe7786o")</f>
        <v>The number of people caught in total disease was about 300,000. We have 62 life loss today. Fighting illness is possible with the combat association of measure. Let's struggle together. Our responsibility to reduce the load on the shoulders of our health workers. https://t.co/rvlhe7786o</v>
      </c>
    </row>
    <row r="2204" spans="1:5" ht="15.75" customHeight="1" x14ac:dyDescent="0.25">
      <c r="A2204" s="1" t="s">
        <v>4407</v>
      </c>
      <c r="B2204" s="1">
        <v>4789</v>
      </c>
      <c r="C2204" s="3">
        <v>44092.657222222224</v>
      </c>
      <c r="D2204" s="1" t="s">
        <v>4408</v>
      </c>
      <c r="E2204" s="4" t="str">
        <f ca="1">IFERROR(__xludf.DUMMYFUNCTION("GOOGLETRANSLATE(A2204 , ""tr"" , ""en"")"),"Latest situation in Izmir, Manisa, Aydin, Mugla, Uşak and Denizli in the fighting output:
📍ism is
https://t.co/1oh9shcr08")</f>
        <v>Latest situation in Izmir, Manisa, Aydin, Mugla, Uşak and Denizli in the fighting output:
📍ism is
https://t.co/1oh9shcr08</v>
      </c>
    </row>
    <row r="2205" spans="1:5" ht="15.75" customHeight="1" x14ac:dyDescent="0.25">
      <c r="A2205" s="1" t="s">
        <v>4409</v>
      </c>
      <c r="B2205" s="1">
        <v>6762</v>
      </c>
      <c r="C2205" s="3">
        <v>44092.641516203701</v>
      </c>
      <c r="D2205" s="1" t="s">
        <v>4410</v>
      </c>
      <c r="E2205" s="4" t="str">
        <f ca="1">IFERROR(__xludf.DUMMYFUNCTION("GOOGLETRANSLATE(A2205 , ""tr"" , ""en"")"),"İzmir's precious residents. We're together in the morning today. With my friends, Izmir and surrounding provinces have evaluated the latest situation in the outbreak of the provinces, new goals. The virus is stretched as the measure is spread. https://t.c"&amp;"o/p6vnjmnneh")</f>
        <v>İzmir's precious residents. We're together in the morning today. With my friends, Izmir and surrounding provinces have evaluated the latest situation in the outbreak of the provinces, new goals. The virus is stretched as the measure is spread. https://t.co/p6vnjmnneh</v>
      </c>
    </row>
    <row r="2206" spans="1:5" ht="15.75" customHeight="1" x14ac:dyDescent="0.25">
      <c r="A2206" s="1" t="s">
        <v>4411</v>
      </c>
      <c r="B2206" s="1">
        <v>13612</v>
      </c>
      <c r="C2206" s="3">
        <v>44092.568159722221</v>
      </c>
      <c r="D2206" s="1" t="s">
        <v>4412</v>
      </c>
      <c r="E2206" s="4" t="str">
        <f ca="1">IFERROR(__xludf.DUMMYFUNCTION("GOOGLETRANSLATE(A2206 , ""tr"" , ""en"")"),"83 million, we are proud of our failing teams. To say the virus, they are trailing as detectives. Their achievements are subject to world television. Which one of us would we like our door to steal our door? None of us. So let's fit the mask and distance "&amp;"rule. Let's stay away from contact. https://t.co/g9f3afbho5")</f>
        <v>83 million, we are proud of our failing teams. To say the virus, they are trailing as detectives. Their achievements are subject to world television. Which one of us would we like our door to steal our door? None of us. So let's fit the mask and distance rule. Let's stay away from contact. https://t.co/g9f3afbho5</v>
      </c>
    </row>
    <row r="2207" spans="1:5" ht="15.75" customHeight="1" x14ac:dyDescent="0.25">
      <c r="A2207" s="1" t="s">
        <v>4413</v>
      </c>
      <c r="B2207" s="1">
        <v>7032</v>
      </c>
      <c r="C2207" s="3">
        <v>44092.528078703705</v>
      </c>
      <c r="D2207" s="1" t="s">
        <v>4414</v>
      </c>
      <c r="E2207" s="4" t="str">
        <f ca="1">IFERROR(__xludf.DUMMYFUNCTION("GOOGLETRANSLATE(A2207 , ""tr"" , ""en"")"),"Previously, we have gone to Diyarbakır and Van, including the Environment Provinces, including 9 provinces. We are at Izmir today. First, we have visited our friends friends with patients who treated in the Cardiology Department of Kernip Çelebi Universit"&amp;"y Education Research Hospital. https://t.co/ap0l5jglp8")</f>
        <v>Previously, we have gone to Diyarbakır and Van, including the Environment Provinces, including 9 provinces. We are at Izmir today. First, we have visited our friends friends with patients who treated in the Cardiology Department of Kernip Çelebi University Education Research Hospital. https://t.co/ap0l5jglp8</v>
      </c>
    </row>
    <row r="2208" spans="1:5" ht="15.75" customHeight="1" x14ac:dyDescent="0.25">
      <c r="A2208" s="1" t="s">
        <v>4415</v>
      </c>
      <c r="B2208" s="1">
        <v>30013</v>
      </c>
      <c r="C2208" s="3">
        <v>44092.347326388888</v>
      </c>
      <c r="D2208" s="1" t="s">
        <v>4416</v>
      </c>
      <c r="E2208" s="4" t="str">
        <f ca="1">IFERROR(__xludf.DUMMYFUNCTION("GOOGLETRANSLATE(A2208 , ""tr"" , ""en"")"),"For the most fathers in us: If the test is positively, even the most fathers in us is too much. If nothing happens, at least 1 week is isolated from life. You think about the topic that says you wouldn't be anything. The measure has a benefit of 83 millio"&amp;"n and 1 million hundred thousand health workers.")</f>
        <v>For the most fathers in us: If the test is positively, even the most fathers in us is too much. If nothing happens, at least 1 week is isolated from life. You think about the topic that says you wouldn't be anything. The measure has a benefit of 83 million and 1 million hundred thousand health workers.</v>
      </c>
    </row>
    <row r="2209" spans="1:5" ht="15.75" customHeight="1" x14ac:dyDescent="0.25">
      <c r="A2209" s="1" t="s">
        <v>4417</v>
      </c>
      <c r="B2209" s="1">
        <v>7254</v>
      </c>
      <c r="C2209" s="3">
        <v>44092.336863425924</v>
      </c>
      <c r="D2209" s="1" t="s">
        <v>4418</v>
      </c>
      <c r="E2209" s="4" t="str">
        <f ca="1">IFERROR(__xludf.DUMMYFUNCTION("GOOGLETRANSLATE(A2209 , ""tr"" , ""en"")"),"Our citizen of our citizen to the health institution has been positive and we need to be isolated at home instead of sleeping in the hospital, we are extremely caring for the deposit to the house. There are provinces this is achieved. This is the target i"&amp;"n the provinces without success at the desired level. https://t.co/zarv9n8u89")</f>
        <v>Our citizen of our citizen to the health institution has been positive and we need to be isolated at home instead of sleeping in the hospital, we are extremely caring for the deposit to the house. There are provinces this is achieved. This is the target in the provinces without success at the desired level. https://t.co/zarv9n8u89</v>
      </c>
    </row>
    <row r="2210" spans="1:5" ht="15.75" customHeight="1" x14ac:dyDescent="0.25">
      <c r="A2210" s="1" t="s">
        <v>4419</v>
      </c>
      <c r="B2210" s="1">
        <v>4575</v>
      </c>
      <c r="C2210" s="3">
        <v>44091.91</v>
      </c>
      <c r="D2210" s="1" t="s">
        <v>4420</v>
      </c>
      <c r="E2210" s="4" t="str">
        <f ca="1">IFERROR(__xludf.DUMMYFUNCTION("GOOGLETRANSLATE(A2210 , ""tr"" , ""en"")"),"The DSÖ 70. The European Regional Committee Meeting General Assembly was held today. Director @hans_klige Turkey part of the agenda part of Syrian refugees stood around the health assistance. We suggested that 2021 was the year of health workers in the co"&amp;"nversation that we represent our country. https://t.co/1k1fxgw6a2")</f>
        <v>The DSÖ 70. The European Regional Committee Meeting General Assembly was held today. Director @hans_klige Turkey part of the agenda part of Syrian refugees stood around the health assistance. We suggested that 2021 was the year of health workers in the conversation that we represent our country. https://t.co/1k1fxgw6a2</v>
      </c>
    </row>
    <row r="2211" spans="1:5" ht="15.75" customHeight="1" x14ac:dyDescent="0.25">
      <c r="A2211" s="1" t="s">
        <v>4421</v>
      </c>
      <c r="B2211" s="1">
        <v>10512</v>
      </c>
      <c r="C2211" s="3">
        <v>44091.861550925925</v>
      </c>
      <c r="D2211" s="1" t="s">
        <v>4422</v>
      </c>
      <c r="E2211" s="4" t="str">
        <f ca="1">IFERROR(__xludf.DUMMYFUNCTION("GOOGLETRANSLATE(A2211 , ""tr"" , ""en"")"),"From experienced politicians of our country, we had a chance to chat with our Saadet Party Leader Basic Karamollaoğlu older brother. We talked about our last situation, health infrastructure and services in the coronavirus outbreak. The information I gave"&amp;" is supervised the heart. I am thankful for his visit. https://t.co/cw1xkxf603")</f>
        <v>From experienced politicians of our country, we had a chance to chat with our Saadet Party Leader Basic Karamollaoğlu older brother. We talked about our last situation, health infrastructure and services in the coronavirus outbreak. The information I gave is supervised the heart. I am thankful for his visit. https://t.co/cw1xkxf603</v>
      </c>
    </row>
    <row r="2212" spans="1:5" ht="15.75" customHeight="1" x14ac:dyDescent="0.25">
      <c r="A2212" s="1" t="s">
        <v>4423</v>
      </c>
      <c r="B2212" s="1">
        <v>9344</v>
      </c>
      <c r="C2212" s="3">
        <v>44091.855104166665</v>
      </c>
      <c r="D2212" s="1" t="s">
        <v>4424</v>
      </c>
      <c r="E2212" s="4" t="str">
        <f ca="1">IFERROR(__xludf.DUMMYFUNCTION("GOOGLETRANSLATE(A2212 , ""tr"" , ""en"")"),"ADNAN MENDERES, after 27 May the trial in the Court of Straight in the Court, ""I'm not undertaking for anything."" he said. We remember him with a deep sadness of two friends who are executed with himself. We will not forget about democracy and our natio"&amp;"n. https://t.co/iexlxzsbv4")</f>
        <v>ADNAN MENDERES, after 27 May the trial in the Court of Straight in the Court, "I'm not undertaking for anything." he said. We remember him with a deep sadness of two friends who are executed with himself. We will not forget about democracy and our nation. https://t.co/iexlxzsbv4</v>
      </c>
    </row>
    <row r="2213" spans="1:5" ht="15.75" customHeight="1" x14ac:dyDescent="0.25">
      <c r="A2213" s="1" t="s">
        <v>4425</v>
      </c>
      <c r="B2213" s="1">
        <v>5745</v>
      </c>
      <c r="C2213" s="3">
        <v>44091.843969907408</v>
      </c>
      <c r="D2213" s="1" t="s">
        <v>4426</v>
      </c>
      <c r="E2213" s="4" t="str">
        <f ca="1">IFERROR(__xludf.DUMMYFUNCTION("GOOGLETRANSLATE(A2213 , ""tr"" , ""en"")"),"We have established a strong diagnosis and warning system. We reach the contacts that are contacted with the filion, patients or carriers. We install each positive result in hes mobile app. This is a system that shows the epidemic with all dimensions. In "&amp;"the daily table, the main importance headings are highlighted. https://t.co/babnn5hzs8")</f>
        <v>We have established a strong diagnosis and warning system. We reach the contacts that are contacted with the filion, patients or carriers. We install each positive result in hes mobile app. This is a system that shows the epidemic with all dimensions. In the daily table, the main importance headings are highlighted. https://t.co/babnn5hzs8</v>
      </c>
    </row>
    <row r="2214" spans="1:5" ht="15.75" customHeight="1" x14ac:dyDescent="0.25">
      <c r="A2214" s="1" t="s">
        <v>4427</v>
      </c>
      <c r="B2214" s="1">
        <v>6695</v>
      </c>
      <c r="C2214" s="3">
        <v>44091.798414351855</v>
      </c>
      <c r="D2214" s="1" t="s">
        <v>4428</v>
      </c>
      <c r="E2214" s="4" t="str">
        <f ca="1">IFERROR(__xludf.DUMMYFUNCTION("GOOGLETRANSLATE(A2214 , ""tr"" , ""en"")"),"In the coming period, the number of people who do not have symptoms, only the number of carriers, unless they are listed on anyone else, has no significance. The important is the patients to be treated in the hospital environment and the number of them. W"&amp;"e talked about this at the Science Board. https://t.co/kusFIQBYMF")</f>
        <v>In the coming period, the number of people who do not have symptoms, only the number of carriers, unless they are listed on anyone else, has no significance. The important is the patients to be treated in the hospital environment and the number of them. We talked about this at the Science Board. https://t.co/kusFIQBYMF</v>
      </c>
    </row>
    <row r="2215" spans="1:5" ht="15.75" customHeight="1" x14ac:dyDescent="0.25">
      <c r="A2215" s="1" t="s">
        <v>4429</v>
      </c>
      <c r="B2215" s="1">
        <v>6936</v>
      </c>
      <c r="C2215" s="3">
        <v>44091.779247685183</v>
      </c>
      <c r="D2215" s="1" t="s">
        <v>4430</v>
      </c>
      <c r="E2215" s="4" t="str">
        <f ca="1">IFERROR(__xludf.DUMMYFUNCTION("GOOGLETRANSLATE(A2215 , ""tr"" , ""en"")"),"In any part of the world, contact scan and fast diagnosis, the drug does not start at the early time. In no part of the world, the pneumonia is not seen in this way. Our case load does not jerk the system due to this decline. If the pneumonia rate did not"&amp;" fall up to 75-80%, the system could not remove the load. https://t.co/bdm985qwks")</f>
        <v>In any part of the world, contact scan and fast diagnosis, the drug does not start at the early time. In no part of the world, the pneumonia is not seen in this way. Our case load does not jerk the system due to this decline. If the pneumonia rate did not fall up to 75-80%, the system could not remove the load. https://t.co/bdm985qwks</v>
      </c>
    </row>
    <row r="2216" spans="1:5" ht="15.75" customHeight="1" x14ac:dyDescent="0.25">
      <c r="A2216" s="1" t="s">
        <v>4431</v>
      </c>
      <c r="B2216" s="1">
        <v>29825</v>
      </c>
      <c r="C2216" s="3">
        <v>44091.772118055553</v>
      </c>
      <c r="D2216" s="1" t="s">
        <v>4432</v>
      </c>
      <c r="E2216" s="4" t="str">
        <f ca="1">IFERROR(__xludf.DUMMYFUNCTION("GOOGLETRANSLATE(A2216 , ""tr"" , ""en"")"),"We leave the test to the person who positively out of the vehicle. We make the scan of contacts within 15 hours. Looking for the isolated carrier, we bring it to hospital with 112 emergies if symptom is advanced. This system is applied in all provinces. T"&amp;"here is no such application in the world. https://t.co/JLNIGOKOBI")</f>
        <v>We leave the test to the person who positively out of the vehicle. We make the scan of contacts within 15 hours. Looking for the isolated carrier, we bring it to hospital with 112 emergies if symptom is advanced. This system is applied in all provinces. There is no such application in the world. https://t.co/JLNIGOKOBI</v>
      </c>
    </row>
    <row r="2217" spans="1:5" ht="15.75" customHeight="1" x14ac:dyDescent="0.25">
      <c r="A2217" s="1" t="s">
        <v>4433</v>
      </c>
      <c r="B2217" s="1">
        <v>13818</v>
      </c>
      <c r="C2217" s="3">
        <v>44091.694097222222</v>
      </c>
      <c r="D2217" s="1" t="s">
        <v>4434</v>
      </c>
      <c r="E2217" s="4" t="str">
        <f ca="1">IFERROR(__xludf.DUMMYFUNCTION("GOOGLETRANSLATE(A2217 , ""tr"" , ""en"")"),"Tested in total 9 million tests. We have 1,648 new patients today. We have to stop increases in our losses and severe patients. We will be successful in accordance with the measures. Add the power to the power of our health amendment by complying with the"&amp;" measures. https://t.co/rvlhe7786o")</f>
        <v>Tested in total 9 million tests. We have 1,648 new patients today. We have to stop increases in our losses and severe patients. We will be successful in accordance with the measures. Add the power to the power of our health amendment by complying with the measures. https://t.co/rvlhe7786o</v>
      </c>
    </row>
    <row r="2218" spans="1:5" ht="15.75" customHeight="1" x14ac:dyDescent="0.25">
      <c r="A2218" s="1" t="s">
        <v>4435</v>
      </c>
      <c r="B2218" s="1">
        <v>8489</v>
      </c>
      <c r="C2218" s="3">
        <v>44091.641550925924</v>
      </c>
      <c r="D2218" s="1" t="s">
        <v>4436</v>
      </c>
      <c r="E2218" s="4" t="str">
        <f ca="1">IFERROR(__xludf.DUMMYFUNCTION("GOOGLETRANSLATE(A2218 , ""tr"" , ""en"")"),"While the number is expressed with them, the Science Board has not considered the mask for the whole country. When the suspect, contacted or positive persons increased, it decides that everyone should think of itself as positive and to wear masks. The app"&amp;"lication was correct. There is no appealing this all over the world at the moment. https://t.co/mupheeh3gf")</f>
        <v>While the number is expressed with them, the Science Board has not considered the mask for the whole country. When the suspect, contacted or positive persons increased, it decides that everyone should think of itself as positive and to wear masks. The application was correct. There is no appealing this all over the world at the moment. https://t.co/mupheeh3gf</v>
      </c>
    </row>
    <row r="2219" spans="1:5" ht="15.75" customHeight="1" x14ac:dyDescent="0.25">
      <c r="A2219" s="1" t="s">
        <v>4437</v>
      </c>
      <c r="B2219" s="1">
        <v>51062</v>
      </c>
      <c r="C2219" s="3">
        <v>44091.374074074076</v>
      </c>
      <c r="D2219" s="1" t="s">
        <v>4438</v>
      </c>
      <c r="E2219" s="4" t="str">
        <f ca="1">IFERROR(__xludf.DUMMYFUNCTION("GOOGLETRANSLATE(A2219 , ""tr"" , ""en"")"),"Is measure strong threatening?
Wake up to the rules know the answer.")</f>
        <v>Is measure strong threatening?
Wake up to the rules know the answer.</v>
      </c>
    </row>
    <row r="2220" spans="1:5" ht="15.75" customHeight="1" x14ac:dyDescent="0.25">
      <c r="A2220" s="1" t="s">
        <v>4439</v>
      </c>
      <c r="B2220" s="1">
        <v>12869</v>
      </c>
      <c r="C2220" s="3">
        <v>44090.930150462962</v>
      </c>
      <c r="D2220" s="1" t="s">
        <v>4440</v>
      </c>
      <c r="E2220" s="4" t="str">
        <f ca="1">IFERROR(__xludf.DUMMYFUNCTION("GOOGLETRANSLATE(A2220 , ""tr"" , ""en"")"),"The science world believes that the results will be taken to the end of the year. There are 9 vaccines in phase 3 stages. The United Kingdom, Germany, China has passed to the front application. Turkey launched the procurement process. China Sinovac vaccin"&amp;"e was started today at Hacettepe University, 3 volunteer health workers. https://t.co/hof35iwj67")</f>
        <v>The science world believes that the results will be taken to the end of the year. There are 9 vaccines in phase 3 stages. The United Kingdom, Germany, China has passed to the front application. Turkey launched the procurement process. China Sinovac vaccine was started today at Hacettepe University, 3 volunteer health workers. https://t.co/hof35iwj67</v>
      </c>
    </row>
    <row r="2221" spans="1:5" ht="15.75" customHeight="1" x14ac:dyDescent="0.25">
      <c r="A2221" s="1" t="s">
        <v>4441</v>
      </c>
      <c r="B2221" s="1">
        <v>17347</v>
      </c>
      <c r="C2221" s="3">
        <v>44090.850972222222</v>
      </c>
      <c r="D2221" s="1" t="s">
        <v>4442</v>
      </c>
      <c r="E2221" s="4" t="str">
        <f ca="1">IFERROR(__xludf.DUMMYFUNCTION("GOOGLETRANSLATE(A2221 , ""tr"" , ""en"")"),"Compared to the first period, the load of our health workers increased four five times. Know that their front is people who are colliding to the chest for you. The only support you can give them in this challenge is your protection of yourself. Add streng"&amp;"th to our hospitals, not being caught in the disease. https://t.co/3tdencuw91")</f>
        <v>Compared to the first period, the load of our health workers increased four five times. Know that their front is people who are colliding to the chest for you. The only support you can give them in this challenge is your protection of yourself. Add strength to our hospitals, not being caught in the disease. https://t.co/3tdencuw91</v>
      </c>
    </row>
    <row r="2222" spans="1:5" ht="15.75" customHeight="1" x14ac:dyDescent="0.25">
      <c r="A2222" s="1" t="s">
        <v>4443</v>
      </c>
      <c r="B2222" s="1">
        <v>10030</v>
      </c>
      <c r="C2222" s="3">
        <v>44090.709085648145</v>
      </c>
      <c r="D2222" s="1" t="s">
        <v>4444</v>
      </c>
      <c r="E2222" s="4" t="str">
        <f ca="1">IFERROR(__xludf.DUMMYFUNCTION("GOOGLETRANSLATE(A2222 , ""tr"" , ""en"")"),"After our Science Board meeting, the latest developments on the coronavirus and the new measures we receive.
📍Public Ministry Bilkent Campus / Ankara
https://t.co/lpn3ymwsci")</f>
        <v>After our Science Board meeting, the latest developments on the coronavirus and the new measures we receive.
📍Public Ministry Bilkent Campus / Ankara
https://t.co/lpn3ymwsci</v>
      </c>
    </row>
    <row r="2223" spans="1:5" ht="15.75" customHeight="1" x14ac:dyDescent="0.25">
      <c r="A2223" s="1" t="s">
        <v>4445</v>
      </c>
      <c r="B2223" s="1">
        <v>46241</v>
      </c>
      <c r="C2223" s="3">
        <v>44089.711284722223</v>
      </c>
      <c r="D2223" s="1" t="s">
        <v>4446</v>
      </c>
      <c r="E2223" s="4" t="str">
        <f ca="1">IFERROR(__xludf.DUMMYFUNCTION("GOOGLETRANSLATE(A2223 , ""tr"" , ""en"")"),"It is difficult to remain in need of our healthy days not to comply with the rules. The sensitivity in the measure requires unity and draw in the struggle.")</f>
        <v>It is difficult to remain in need of our healthy days not to comply with the rules. The sensitivity in the measure requires unity and draw in the struggle.</v>
      </c>
    </row>
    <row r="2224" spans="1:5" ht="15.75" customHeight="1" x14ac:dyDescent="0.25">
      <c r="A2224" s="1" t="s">
        <v>4447</v>
      </c>
      <c r="B2224" s="1">
        <v>20498</v>
      </c>
      <c r="C2224" s="3">
        <v>44089.670046296298</v>
      </c>
      <c r="D2224" s="1" t="s">
        <v>4448</v>
      </c>
      <c r="E2224" s="4" t="str">
        <f ca="1">IFERROR(__xludf.DUMMYFUNCTION("GOOGLETRANSLATE(A2224 , ""tr"" , ""en"")"),"Our active patient count also continues to increase our severe patients. Our losses continue to burn. The number of our recovery can only pass the number of our losses only. We can beat the virus if we do the power association in the challenge. https://t."&amp;"co/rvlhe7786o")</f>
        <v>Our active patient count also continues to increase our severe patients. Our losses continue to burn. The number of our recovery can only pass the number of our losses only. We can beat the virus if we do the power association in the challenge. https://t.co/rvlhe7786o</v>
      </c>
    </row>
    <row r="2225" spans="1:5" ht="15.75" customHeight="1" x14ac:dyDescent="0.25">
      <c r="A2225" s="1" t="s">
        <v>4449</v>
      </c>
      <c r="B2225" s="1">
        <v>13116</v>
      </c>
      <c r="C2225" s="3">
        <v>44088.966145833336</v>
      </c>
      <c r="D2225" s="1" t="s">
        <v>4450</v>
      </c>
      <c r="E2225" s="4" t="str">
        <f ca="1">IFERROR(__xludf.DUMMYFUNCTION("GOOGLETRANSLATE(A2225 , ""tr"" , ""en"")"),"We met with Ankara, Izmir, Kayseri, Cankiri and Adiyaman's health managers individually. We addressed the causes of case increases, intensive care capacities and filiation rates. We have evaluated additional measures. Success is hidden in fighting togethe"&amp;"r. https://t.co/qf6uvrpn9t")</f>
        <v>We met with Ankara, Izmir, Kayseri, Cankiri and Adiyaman's health managers individually. We addressed the causes of case increases, intensive care capacities and filiation rates. We have evaluated additional measures. Success is hidden in fighting together. https://t.co/qf6uvrpn9t</v>
      </c>
    </row>
    <row r="2226" spans="1:5" ht="15.75" customHeight="1" x14ac:dyDescent="0.25">
      <c r="A2226" s="1" t="s">
        <v>4451</v>
      </c>
      <c r="B2226" s="1">
        <v>18814</v>
      </c>
      <c r="C2226" s="3">
        <v>44088.768483796295</v>
      </c>
      <c r="D2226" s="1" t="s">
        <v>4452</v>
      </c>
      <c r="E2226" s="4" t="str">
        <f ca="1">IFERROR(__xludf.DUMMYFUNCTION("GOOGLETRANSLATE(A2226 , ""tr"" , ""en"")"),"I would like to thank the Dear State Bahceli's support to our struggle with the epidemic, tenderness and health they show to our Order. This struggle can only achieve success. We will be able to make it together. https://t.co/yy7x1ea7fe")</f>
        <v>I would like to thank the Dear State Bahceli's support to our struggle with the epidemic, tenderness and health they show to our Order. This struggle can only achieve success. We will be able to make it together. https://t.co/yy7x1ea7fe</v>
      </c>
    </row>
    <row r="2227" spans="1:5" ht="15.75" customHeight="1" x14ac:dyDescent="0.25">
      <c r="A2227" s="1" t="s">
        <v>4453</v>
      </c>
      <c r="B2227" s="1">
        <v>14447</v>
      </c>
      <c r="C2227" s="3">
        <v>44088.758946759262</v>
      </c>
      <c r="D2227" s="1" t="s">
        <v>4454</v>
      </c>
      <c r="E2227" s="4" t="str">
        <f ca="1">IFERROR(__xludf.DUMMYFUNCTION("GOOGLETRANSLATE(A2227 , ""tr"" , ""en"")"),"Doctor Mehmet Ulusoy. Was born in Malatya. After graduating from Istanbul Faculty of Medicine, he served as a microbiologist as many years. It was a health worker in love with his profession and very loving sports. COVID-19 pluck him from us. We are grate"&amp;"ful for the challenge of Https://t.co/rvbq8f1c6z")</f>
        <v>Doctor Mehmet Ulusoy. Was born in Malatya. After graduating from Istanbul Faculty of Medicine, he served as a microbiologist as many years. It was a health worker in love with his profession and very loving sports. COVID-19 pluck him from us. We are grateful for the challenge of Https://t.co/rvbq8f1c6z</v>
      </c>
    </row>
    <row r="2228" spans="1:5" ht="15.75" customHeight="1" x14ac:dyDescent="0.25">
      <c r="A2228" s="1" t="s">
        <v>4455</v>
      </c>
      <c r="B2228" s="1">
        <v>28542</v>
      </c>
      <c r="C2228" s="3">
        <v>44088.692256944443</v>
      </c>
      <c r="D2228" s="1" t="s">
        <v>4456</v>
      </c>
      <c r="E2228" s="4" t="str">
        <f ca="1">IFERROR(__xludf.DUMMYFUNCTION("GOOGLETRANSLATE(A2228 , ""tr"" , ""en"")"),"There is no deceleration determined at the speed of the disease. We have 1,716 new patients caught in the disease today. The number of our losses is more than 60. We cannot struggle one by one but we can win together. Let's obey the measures together. htt"&amp;"ps://t.co/rvlhe7786o")</f>
        <v>There is no deceleration determined at the speed of the disease. We have 1,716 new patients caught in the disease today. The number of our losses is more than 60. We cannot struggle one by one but we can win together. Let's obey the measures together. https://t.co/rvlhe7786o</v>
      </c>
    </row>
    <row r="2229" spans="1:5" ht="15.75" customHeight="1" x14ac:dyDescent="0.25">
      <c r="A2229" s="1" t="s">
        <v>4457</v>
      </c>
      <c r="B2229" s="1">
        <v>18584</v>
      </c>
      <c r="C2229" s="3">
        <v>44088.5387962963</v>
      </c>
      <c r="D2229" s="1" t="s">
        <v>4458</v>
      </c>
      <c r="E2229" s="4" t="str">
        <f ca="1">IFERROR(__xludf.DUMMYFUNCTION("GOOGLETRANSLATE(A2229 , ""tr"" , ""en"")"),"As a result of the terrorists of terrorists in Syria, our 1 Redwood personnel were martyred, our 2 staff were injured. The first intervention of the injured was made to the Kilis State Hospital. I wish our meagie mercy from Allah, to our wounded emergency"&amp;" healing.")</f>
        <v>As a result of the terrorists of terrorists in Syria, our 1 Redwood personnel were martyred, our 2 staff were injured. The first intervention of the injured was made to the Kilis State Hospital. I wish our meagie mercy from Allah, to our wounded emergency healing.</v>
      </c>
    </row>
    <row r="2230" spans="1:5" ht="15.75" customHeight="1" x14ac:dyDescent="0.25">
      <c r="A2230" s="1" t="s">
        <v>4459</v>
      </c>
      <c r="B2230" s="1">
        <v>16992</v>
      </c>
      <c r="C2230" s="3">
        <v>44087.821527777778</v>
      </c>
      <c r="D2230" s="1" t="s">
        <v>4460</v>
      </c>
      <c r="E2230" s="4" t="str">
        <f ca="1">IFERROR(__xludf.DUMMYFUNCTION("GOOGLETRANSLATE(A2230 , ""tr"" , ""en"")"),"The number of severe patients requires us to fight against the virus against the virus. Our health workers are persistent to behave cautiously. Complying with the rules is also a responsibility. Individual irresponsibility shade to social victory. Let's n"&amp;"ot get away from our goal. https://t.co/chqbgt1vvv")</f>
        <v>The number of severe patients requires us to fight against the virus against the virus. Our health workers are persistent to behave cautiously. Complying with the rules is also a responsibility. Individual irresponsibility shade to social victory. Let's not get away from our goal. https://t.co/chqbgt1vvv</v>
      </c>
    </row>
    <row r="2231" spans="1:5" ht="15.75" customHeight="1" x14ac:dyDescent="0.25">
      <c r="A2231" s="1" t="s">
        <v>4461</v>
      </c>
      <c r="B2231" s="1">
        <v>25939</v>
      </c>
      <c r="C2231" s="3">
        <v>44087.690729166665</v>
      </c>
      <c r="D2231" s="1" t="s">
        <v>4462</v>
      </c>
      <c r="E2231" s="4" t="str">
        <f ca="1">IFERROR(__xludf.DUMMYFUNCTION("GOOGLETRANSLATE(A2231 , ""tr"" , ""en"")"),"57 Loss of life, 1.527 new patients. The virus is separating our loved ones from us. The union and the unity to say stop on this trend is struggling in the draw. Let's be union in the measure, let's not give an opportunity. https://t.co/rvlhe7786o")</f>
        <v>57 Loss of life, 1.527 new patients. The virus is separating our loved ones from us. The union and the unity to say stop on this trend is struggling in the draw. Let's be union in the measure, let's not give an opportunity. https://t.co/rvlhe7786o</v>
      </c>
    </row>
    <row r="2232" spans="1:5" ht="15.75" customHeight="1" x14ac:dyDescent="0.25">
      <c r="A2232" s="1" t="s">
        <v>4463</v>
      </c>
      <c r="B2232" s="1">
        <v>11399</v>
      </c>
      <c r="C2232" s="3">
        <v>44086.883020833331</v>
      </c>
      <c r="D2232" s="1" t="s">
        <v>4464</v>
      </c>
      <c r="E2232" s="4" t="str">
        <f ca="1">IFERROR(__xludf.DUMMYFUNCTION("GOOGLETRANSLATE(A2232 , ""tr"" , ""en"")"),"125,246 people trying to travel with public transportation vehicles are prevented because it is risky with a hes code. This number is the total blocked people since the date we start using a hes code. The combat association is the power that will save us "&amp;"all of the virus. https://t.co/5uoeh6ptcn")</f>
        <v>125,246 people trying to travel with public transportation vehicles are prevented because it is risky with a hes code. This number is the total blocked people since the date we start using a hes code. The combat association is the power that will save us all of the virus. https://t.co/5uoeh6ptcn</v>
      </c>
    </row>
    <row r="2233" spans="1:5" ht="15.75" customHeight="1" x14ac:dyDescent="0.25">
      <c r="A2233" s="1" t="s">
        <v>4465</v>
      </c>
      <c r="B2233" s="1">
        <v>17679</v>
      </c>
      <c r="C2233" s="3">
        <v>44086.831770833334</v>
      </c>
      <c r="D2233" s="1" t="s">
        <v>4466</v>
      </c>
      <c r="E2233" s="4" t="str">
        <f ca="1">IFERROR(__xludf.DUMMYFUNCTION("GOOGLETRANSLATE(A2233 , ""tr"" , ""en"")"),"The duty of all of us to fight out of outbreak. Let's struggle out of the outbreak not with each other. https://t.co/f5yepz6uqw")</f>
        <v>The duty of all of us to fight out of outbreak. Let's struggle out of the outbreak not with each other. https://t.co/f5yepz6uqw</v>
      </c>
    </row>
    <row r="2234" spans="1:5" ht="15.75" customHeight="1" x14ac:dyDescent="0.25">
      <c r="A2234" s="1" t="s">
        <v>4467</v>
      </c>
      <c r="B2234" s="1">
        <v>11269</v>
      </c>
      <c r="C2234" s="3">
        <v>44086.753472222219</v>
      </c>
      <c r="D2234" s="1" t="s">
        <v>4468</v>
      </c>
      <c r="E2234" s="4" t="str">
        <f ca="1">IFERROR(__xludf.DUMMYFUNCTION("GOOGLETRANSLATE(A2234 , ""tr"" , ""en"")"),"In this sensitive period, we have to be more sensitive than ever in this sensitive period. Let's be unity to be the winner of the struggle. https://t.co/3v1pxmis1q")</f>
        <v>In this sensitive period, we have to be more sensitive than ever in this sensitive period. Let's be unity to be the winner of the struggle. https://t.co/3v1pxmis1q</v>
      </c>
    </row>
    <row r="2235" spans="1:5" ht="15.75" customHeight="1" x14ac:dyDescent="0.25">
      <c r="A2235" s="1" t="s">
        <v>4469</v>
      </c>
      <c r="B2235" s="1">
        <v>18495</v>
      </c>
      <c r="C2235" s="3">
        <v>44086.686689814815</v>
      </c>
      <c r="D2235" s="1" t="s">
        <v>4470</v>
      </c>
      <c r="E2235" s="4" t="str">
        <f ca="1">IFERROR(__xludf.DUMMYFUNCTION("GOOGLETRANSLATE(A2235 , ""tr"" , ""en"")"),"With about 100 thousand new tests made today, 1,509 new patients were detected. The increase in severe patients continues to increase. The power to beat the virus is fighting together. https://t.co/rvlhe7786o")</f>
        <v>With about 100 thousand new tests made today, 1,509 new patients were detected. The increase in severe patients continues to increase. The power to beat the virus is fighting together. https://t.co/rvlhe7786o</v>
      </c>
    </row>
    <row r="2236" spans="1:5" ht="15.75" customHeight="1" x14ac:dyDescent="0.2">
      <c r="A2236" s="5" t="s">
        <v>4471</v>
      </c>
      <c r="B2236" s="1">
        <v>18780</v>
      </c>
      <c r="C2236" s="3">
        <v>44086.578599537039</v>
      </c>
      <c r="D2236" s="1" t="s">
        <v>4472</v>
      </c>
      <c r="E2236" s="6" t="str">
        <f ca="1">IFERROR(__xludf.DUMMYFUNCTION("GOOGLETRANSLATE(A2236 , ""tr"" , ""en"")"),"https://t.co/yzi25gedyp")</f>
        <v>https://t.co/yzi25gedyp</v>
      </c>
    </row>
    <row r="2237" spans="1:5" ht="15.75" customHeight="1" x14ac:dyDescent="0.25">
      <c r="A2237" s="1" t="s">
        <v>4473</v>
      </c>
      <c r="B2237" s="1">
        <v>12990</v>
      </c>
      <c r="C2237" s="3">
        <v>44086.412881944445</v>
      </c>
      <c r="D2237" s="1" t="s">
        <v>4474</v>
      </c>
      <c r="E2237" s="4" t="str">
        <f ca="1">IFERROR(__xludf.DUMMYFUNCTION("GOOGLETRANSLATE(A2237 , ""tr"" , ""en"")"),"We have received our democracy and freedom classes with very painful experiences. The traces are still unable to erase ""12 September pulses"" is only one of them. I'm curse of all kinds of ideology, movement and attempt that counts the will of the nation"&amp;" and nation.")</f>
        <v>We have received our democracy and freedom classes with very painful experiences. The traces are still unable to erase "12 September pulses" is only one of them. I'm curse of all kinds of ideology, movement and attempt that counts the will of the nation and nation.</v>
      </c>
    </row>
    <row r="2238" spans="1:5" ht="15.75" customHeight="1" x14ac:dyDescent="0.25">
      <c r="A2238" s="1" t="s">
        <v>4475</v>
      </c>
      <c r="B2238" s="1">
        <v>6198</v>
      </c>
      <c r="C2238" s="3">
        <v>44086.294293981482</v>
      </c>
      <c r="D2238" s="1" t="s">
        <v>4476</v>
      </c>
      <c r="E2238" s="4" t="str">
        <f ca="1">IFERROR(__xludf.DUMMYFUNCTION("GOOGLETRANSLATE(A2238 , ""tr"" , ""en"")"),"76% of severe patients in April were in our hospitals in Istanbul. However, in the last 1 month, the number of severe patients increased by 42% in Istanbul. We can destroy the risk in Istanbul together. Our struggle is to fit together with the measures.")</f>
        <v>76% of severe patients in April were in our hospitals in Istanbul. However, in the last 1 month, the number of severe patients increased by 42% in Istanbul. We can destroy the risk in Istanbul together. Our struggle is to fit together with the measures.</v>
      </c>
    </row>
    <row r="2239" spans="1:5" ht="15.75" customHeight="1" x14ac:dyDescent="0.25">
      <c r="A2239" s="1" t="s">
        <v>4477</v>
      </c>
      <c r="B2239" s="1">
        <v>14943</v>
      </c>
      <c r="C2239" s="3">
        <v>44086.293935185182</v>
      </c>
      <c r="D2239" s="1" t="s">
        <v>4478</v>
      </c>
      <c r="E2239" s="4" t="str">
        <f ca="1">IFERROR(__xludf.DUMMYFUNCTION("GOOGLETRANSLATE(A2239 , ""tr"" , ""en"")"),"65% of patients in April and 54% were in Istanbul. The number of patients with the measures we received, 72% decreased by 78%. The number of patients in September 11 is about twice the number of patients last month. Today we have increased our number of f"&amp;"ails team to 34%. Let's fit with the measures.")</f>
        <v>65% of patients in April and 54% were in Istanbul. The number of patients with the measures we received, 72% decreased by 78%. The number of patients in September 11 is about twice the number of patients last month. Today we have increased our number of fails team to 34%. Let's fit with the measures.</v>
      </c>
    </row>
    <row r="2240" spans="1:5" ht="15.75" customHeight="1" x14ac:dyDescent="0.25">
      <c r="A2240" s="1" t="s">
        <v>4479</v>
      </c>
      <c r="B2240" s="1">
        <v>170504</v>
      </c>
      <c r="C2240" s="3">
        <v>44085.911261574074</v>
      </c>
      <c r="D2240" s="1" t="s">
        <v>4480</v>
      </c>
      <c r="E2240" s="4" t="str">
        <f ca="1">IFERROR(__xludf.DUMMYFUNCTION("GOOGLETRANSLATE(A2240 , ""tr"" , ""en"")"),"They have the rules that know better than us. https://t.co/atvcv5mfiu")</f>
        <v>They have the rules that know better than us. https://t.co/atvcv5mfiu</v>
      </c>
    </row>
    <row r="2241" spans="1:5" ht="15.75" customHeight="1" x14ac:dyDescent="0.25">
      <c r="A2241" s="1" t="s">
        <v>4481</v>
      </c>
      <c r="B2241" s="1">
        <v>7154</v>
      </c>
      <c r="C2241" s="3">
        <v>44085.718888888892</v>
      </c>
      <c r="D2241" s="1" t="s">
        <v>4482</v>
      </c>
      <c r="E2241" s="4" t="str">
        <f ca="1">IFERROR(__xludf.DUMMYFUNCTION("GOOGLETRANSLATE(A2241 , ""tr"" , ""en"")"),"Başakşehir Pine and Sakura City of the City of Hospital, with the participation of the provincial health manager and the participation of the public; We have a detailed meeting we addressed the course of epidemic in Istanbul. The fight against the virus i"&amp;"s a social struggle. Let's fight together against the common enemy. https://t.co/ysdkrıor7v")</f>
        <v>Başakşehir Pine and Sakura City of the City of Hospital, with the participation of the provincial health manager and the participation of the public; We have a detailed meeting we addressed the course of epidemic in Istanbul. The fight against the virus is a social struggle. Let's fight together against the common enemy. https://t.co/ysdkrıor7v</v>
      </c>
    </row>
    <row r="2242" spans="1:5" ht="15.75" customHeight="1" x14ac:dyDescent="0.25">
      <c r="A2242" s="1" t="s">
        <v>4483</v>
      </c>
      <c r="B2242" s="1">
        <v>15126</v>
      </c>
      <c r="C2242" s="3">
        <v>44085.709351851852</v>
      </c>
      <c r="D2242" s="1" t="s">
        <v>4484</v>
      </c>
      <c r="E2242" s="4" t="str">
        <f ca="1">IFERROR(__xludf.DUMMYFUNCTION("GOOGLETRANSLATE(A2242 , ""tr"" , ""en"")"),"In Van, I wish for 3 homelands who were martyr in the conflict with terrorists. One soldier was treated at the Van Centenary University Hospital, closely following his status, I wish immediate healing. May the head of our nation be right. https://t.co/rpa"&amp;"jaub8b9")</f>
        <v>In Van, I wish for 3 homelands who were martyr in the conflict with terrorists. One soldier was treated at the Van Centenary University Hospital, closely following his status, I wish immediate healing. May the head of our nation be right. https://t.co/rpajaub8b9</v>
      </c>
    </row>
    <row r="2243" spans="1:5" ht="15.75" customHeight="1" x14ac:dyDescent="0.25">
      <c r="A2243" s="1" t="s">
        <v>4485</v>
      </c>
      <c r="B2243" s="1">
        <v>21364</v>
      </c>
      <c r="C2243" s="3">
        <v>44085.668888888889</v>
      </c>
      <c r="D2243" s="1" t="s">
        <v>4486</v>
      </c>
      <c r="E2243" s="4" t="str">
        <f ca="1">IFERROR(__xludf.DUMMYFUNCTION("GOOGLETRANSLATE(A2243 , ""tr"" , ""en"")"),"Today 56 can leave their loved ones behind and left us. We have to protect our loved ones to protect each other. However, we can achieve this with the fighting together. The effective struggle with the virus is only possible with the measure. https://t.co"&amp;"/rvlhe7786o")</f>
        <v>Today 56 can leave their loved ones behind and left us. We have to protect our loved ones to protect each other. However, we can achieve this with the fighting together. The effective struggle with the virus is only possible with the measure. https://t.co/rvlhe7786o</v>
      </c>
    </row>
    <row r="2244" spans="1:5" ht="15.75" customHeight="1" x14ac:dyDescent="0.25">
      <c r="A2244" s="1" t="s">
        <v>4487</v>
      </c>
      <c r="B2244" s="1">
        <v>68549</v>
      </c>
      <c r="C2244" s="3">
        <v>44084.861759259256</v>
      </c>
      <c r="D2244" s="1" t="s">
        <v>4488</v>
      </c>
      <c r="E2244" s="4" t="str">
        <f ca="1">IFERROR(__xludf.DUMMYFUNCTION("GOOGLETRANSLATE(A2244 , ""tr"" , ""en"")"),"The Faculty of Medicine, the last-year student is defeated to COVID-19, despite the age of the merve, the struggle and the young age. Would join us as a health worker like her mother. Our pain is great for each life we ​​lost. Our children, the youngsters"&amp;" and the bigger ones; Please let's comply with the measures. https://t.co/4lrz08sugj")</f>
        <v>The Faculty of Medicine, the last-year student is defeated to COVID-19, despite the age of the merve, the struggle and the young age. Would join us as a health worker like her mother. Our pain is great for each life we ​​lost. Our children, the youngsters and the bigger ones; Please let's comply with the measures. https://t.co/4lrz08sugj</v>
      </c>
    </row>
    <row r="2245" spans="1:5" ht="15.75" customHeight="1" x14ac:dyDescent="0.25">
      <c r="A2245" s="1" t="s">
        <v>4489</v>
      </c>
      <c r="B2245" s="1">
        <v>9740</v>
      </c>
      <c r="C2245" s="3">
        <v>44084.845925925925</v>
      </c>
      <c r="D2245" s="1" t="s">
        <v>4490</v>
      </c>
      <c r="E2245" s="4" t="str">
        <f ca="1">IFERROR(__xludf.DUMMYFUNCTION("GOOGLETRANSLATE(A2245 , ""tr"" , ""en"")"),"We met our staff at 112 Emergency Call Center in Van. Beginning with 24 Hours Uninterrupted Life, I offer my gratitude to all our employees who run to each call. https://t.co/nfbd1tp6f4")</f>
        <v>We met our staff at 112 Emergency Call Center in Van. Beginning with 24 Hours Uninterrupted Life, I offer my gratitude to all our employees who run to each call. https://t.co/nfbd1tp6f4</v>
      </c>
    </row>
    <row r="2246" spans="1:5" ht="15.75" customHeight="1" x14ac:dyDescent="0.25">
      <c r="A2246" s="1" t="s">
        <v>4491</v>
      </c>
      <c r="B2246" s="1">
        <v>19586</v>
      </c>
      <c r="C2246" s="3">
        <v>44084.71533564815</v>
      </c>
      <c r="D2246" s="1" t="s">
        <v>4492</v>
      </c>
      <c r="E2246" s="4" t="str">
        <f ca="1">IFERROR(__xludf.DUMMYFUNCTION("GOOGLETRANSLATE(A2246 , ""tr"" , ""en"")"),"The mean age of the age of active patients 42. The mean age of intensive care patients are the mean age of 65. Let the virus insist on complying with the measures to ensure that the virus does not separate our loved ones from us. Strong struggle with meas"&amp;"ure together. https://t.co/rvlhe7oIYM")</f>
        <v>The mean age of the age of active patients 42. The mean age of intensive care patients are the mean age of 65. Let the virus insist on complying with the measures to ensure that the virus does not separate our loved ones from us. Strong struggle with measure together. https://t.co/rvlhe7oIYM</v>
      </c>
    </row>
    <row r="2247" spans="1:5" ht="15.75" customHeight="1" x14ac:dyDescent="0.25">
      <c r="A2247" s="1" t="s">
        <v>4493</v>
      </c>
      <c r="B2247" s="1">
        <v>5508</v>
      </c>
      <c r="C2247" s="3">
        <v>44084.678726851853</v>
      </c>
      <c r="D2247" s="1" t="s">
        <v>4494</v>
      </c>
      <c r="E2247" s="4" t="str">
        <f ca="1">IFERROR(__xludf.DUMMYFUNCTION("GOOGLETRANSLATE(A2247 , ""tr"" , ""en"")"),"Our press statement following our evaluation meetings with our Van, Mus, Hakkari and Bitlis provinces;
📍Van
https://t.co/w3rqm0mq6I")</f>
        <v>Our press statement following our evaluation meetings with our Van, Mus, Hakkari and Bitlis provinces;
📍Van
https://t.co/w3rqm0mq6I</v>
      </c>
    </row>
    <row r="2248" spans="1:5" ht="15.75" customHeight="1" x14ac:dyDescent="0.25">
      <c r="A2248" s="1" t="s">
        <v>4495</v>
      </c>
      <c r="B2248" s="1">
        <v>8852</v>
      </c>
      <c r="C2248" s="3">
        <v>44084.633414351854</v>
      </c>
      <c r="D2248" s="1" t="s">
        <v>4496</v>
      </c>
      <c r="E2248" s="4" t="str">
        <f ca="1">IFERROR(__xludf.DUMMYFUNCTION("GOOGLETRANSLATE(A2248 , ""tr"" , ""en"")"),"In separate meetings with the health managers of our Van, Mus, Hakkari and Bitlis provinces; We have addressed the COVID-19 and our investments in these provinces. Our greatest strength to deal with the output is challenging together. https://t.co/p22cjuI"&amp;"ixf")</f>
        <v>In separate meetings with the health managers of our Van, Mus, Hakkari and Bitlis provinces; We have addressed the COVID-19 and our investments in these provinces. Our greatest strength to deal with the output is challenging together. https://t.co/p22cjuIixf</v>
      </c>
    </row>
    <row r="2249" spans="1:5" ht="15.75" customHeight="1" x14ac:dyDescent="0.25">
      <c r="A2249" s="1" t="s">
        <v>4497</v>
      </c>
      <c r="B2249" s="1">
        <v>5182</v>
      </c>
      <c r="C2249" s="3">
        <v>44084.527141203704</v>
      </c>
      <c r="D2249" s="1" t="s">
        <v>4498</v>
      </c>
      <c r="E2249" s="4" t="str">
        <f ca="1">IFERROR(__xludf.DUMMYFUNCTION("GOOGLETRANSLATE(A2249 , ""tr"" , ""en"")"),"We performed the opening of the DSÖ Istanbul Office with the European Region Director @hans_kluge. This office will be a guide for the district countries, including both the preparation and response to all the crises in the field of health in the field of"&amp;" health, including COVID-19. https://t.co/6onx0csxfm")</f>
        <v>We performed the opening of the DSÖ Istanbul Office with the European Region Director @hans_kluge. This office will be a guide for the district countries, including both the preparation and response to all the crises in the field of health in the field of health, including COVID-19. https://t.co/6onx0csxfm</v>
      </c>
    </row>
    <row r="2250" spans="1:5" ht="15.75" customHeight="1" x14ac:dyDescent="0.25">
      <c r="A2250" s="1" t="s">
        <v>4499</v>
      </c>
      <c r="B2250" s="1">
        <v>13344</v>
      </c>
      <c r="C2250" s="3">
        <v>44084.475370370368</v>
      </c>
      <c r="D2250" s="1" t="s">
        <v>4500</v>
      </c>
      <c r="E2250" s="4" t="str">
        <f ca="1">IFERROR(__xludf.DUMMYFUNCTION("GOOGLETRANSLATE(A2250 , ""tr"" , ""en"")"),"Our spoiled daughter is 16 years old and his treatment continues successfully. We have received promise to continue high school education from himself. The place is now ready in Biscellor's Vocational High School Pension. We should be very sensitive to ou"&amp;"r children's health and education. https://t.co/zqqmdlgm7n")</f>
        <v>Our spoiled daughter is 16 years old and his treatment continues successfully. We have received promise to continue high school education from himself. The place is now ready in Biscellor's Vocational High School Pension. We should be very sensitive to our children's health and education. https://t.co/zqqmdlgm7n</v>
      </c>
    </row>
    <row r="2251" spans="1:5" ht="15.75" customHeight="1" x14ac:dyDescent="0.25">
      <c r="A2251" s="1" t="s">
        <v>4501</v>
      </c>
      <c r="B2251" s="1">
        <v>8539</v>
      </c>
      <c r="C2251" s="3">
        <v>44084.447060185186</v>
      </c>
      <c r="D2251" s="1" t="s">
        <v>4502</v>
      </c>
      <c r="E2251" s="4" t="str">
        <f ca="1">IFERROR(__xludf.DUMMYFUNCTION("GOOGLETRANSLATE(A2251 , ""tr"" , ""en"")"),"In our Van Region training and research hospital, we visited our study friends and our children. We take care that the Pandemian process does not disrupt general health services. Our efforts will only make sense with your efforts. https://t.co/Ibpfmr89bn")</f>
        <v>In our Van Region training and research hospital, we visited our study friends and our children. We take care that the Pandemian process does not disrupt general health services. Our efforts will only make sense with your efforts. https://t.co/Ibpfmr89bn</v>
      </c>
    </row>
    <row r="2252" spans="1:5" ht="15.75" customHeight="1" x14ac:dyDescent="0.25">
      <c r="A2252" s="1" t="s">
        <v>4503</v>
      </c>
      <c r="B2252" s="1">
        <v>7800</v>
      </c>
      <c r="C2252" s="3">
        <v>44084.397523148145</v>
      </c>
      <c r="D2252" s="1" t="s">
        <v>4504</v>
      </c>
      <c r="E2252" s="4" t="str">
        <f ca="1">IFERROR(__xludf.DUMMYFUNCTION("GOOGLETRANSLATE(A2252 , ""tr"" , ""en"")"),"We are in our city today to evaluate our health investments, especially the pandemic process. https://t.co/vrdktjI3IC")</f>
        <v>We are in our city today to evaluate our health investments, especially the pandemic process. https://t.co/vrdktjI3IC</v>
      </c>
    </row>
    <row r="2253" spans="1:5" ht="15.75" customHeight="1" x14ac:dyDescent="0.25">
      <c r="A2253" s="1" t="s">
        <v>4505</v>
      </c>
      <c r="B2253" s="1">
        <v>16357</v>
      </c>
      <c r="C2253" s="3">
        <v>44084.346678240741</v>
      </c>
      <c r="D2253" s="1" t="s">
        <v>4506</v>
      </c>
      <c r="E2253" s="4" t="str">
        <f ca="1">IFERROR(__xludf.DUMMYFUNCTION("GOOGLETRANSLATE(A2253 , ""tr"" , ""en"")"),"We are in Van. We will review our completed and ongoing health investments in our region and evaluate our pandem fight in place. We are continuing in every corner of our country in our fight against the virus. https://t.co/ymhx2fw2yj")</f>
        <v>We are in Van. We will review our completed and ongoing health investments in our region and evaluate our pandem fight in place. We are continuing in every corner of our country in our fight against the virus. https://t.co/ymhx2fw2yj</v>
      </c>
    </row>
    <row r="2254" spans="1:5" ht="15.75" customHeight="1" x14ac:dyDescent="0.25">
      <c r="A2254" s="1" t="s">
        <v>4507</v>
      </c>
      <c r="B2254" s="1">
        <v>78845</v>
      </c>
      <c r="C2254" s="3">
        <v>44083.699652777781</v>
      </c>
      <c r="D2254" s="1" t="s">
        <v>4508</v>
      </c>
      <c r="E2254" s="4" t="str">
        <f ca="1">IFERROR(__xludf.DUMMYFUNCTION("GOOGLETRANSLATE(A2254 , ""tr"" , ""en"")"),"We don't see the two people chatting in the photo are just. We see the two responsible people who love his family, friend and country, who care about their health. Thank you to anyone showing this responsibility and tenderness. https://t.co/ntfyz3ejdd")</f>
        <v>We don't see the two people chatting in the photo are just. We see the two responsible people who love his family, friend and country, who care about their health. Thank you to anyone showing this responsibility and tenderness. https://t.co/ntfyz3ejdd</v>
      </c>
    </row>
    <row r="2255" spans="1:5" ht="15.75" customHeight="1" x14ac:dyDescent="0.25">
      <c r="A2255" s="1" t="s">
        <v>4509</v>
      </c>
      <c r="B2255" s="1">
        <v>19581</v>
      </c>
      <c r="C2255" s="3">
        <v>44083.667060185187</v>
      </c>
      <c r="D2255" s="1" t="s">
        <v>4510</v>
      </c>
      <c r="E2255" s="4" t="str">
        <f ca="1">IFERROR(__xludf.DUMMYFUNCTION("GOOGLETRANSLATE(A2255 , ""tr"" , ""en"")"),"Over 8 million tests in total. Today, we have a new diagnosed patients with 1.673 as a result of more than 110,000 tests. We will be stronger against the virus if we all support the measures. Support this power, let's keep our loved ones. https://t.co/rvl"&amp;"he7786o")</f>
        <v>Over 8 million tests in total. Today, we have a new diagnosed patients with 1.673 as a result of more than 110,000 tests. We will be stronger against the virus if we all support the measures. Support this power, let's keep our loved ones. https://t.co/rvlhe7786o</v>
      </c>
    </row>
    <row r="2256" spans="1:5" ht="15.75" customHeight="1" x14ac:dyDescent="0.2">
      <c r="A2256" s="5" t="s">
        <v>4511</v>
      </c>
      <c r="B2256" s="1">
        <v>22744</v>
      </c>
      <c r="C2256" s="3">
        <v>44083.400543981479</v>
      </c>
      <c r="D2256" s="1" t="s">
        <v>4512</v>
      </c>
      <c r="E2256" s="6" t="str">
        <f ca="1">IFERROR(__xludf.DUMMYFUNCTION("GOOGLETRANSLATE(A2256 , ""tr"" , ""en"")"),"https://t.co/kc9fhecgyf")</f>
        <v>https://t.co/kc9fhecgyf</v>
      </c>
    </row>
    <row r="2257" spans="1:5" ht="15.75" customHeight="1" x14ac:dyDescent="0.25">
      <c r="A2257" s="1" t="s">
        <v>4513</v>
      </c>
      <c r="B2257" s="1">
        <v>10194</v>
      </c>
      <c r="C2257" s="3">
        <v>44082.901099537034</v>
      </c>
      <c r="D2257" s="1" t="s">
        <v>4514</v>
      </c>
      <c r="E2257" s="4" t="str">
        <f ca="1">IFERROR(__xludf.DUMMYFUNCTION("GOOGLETRANSLATE(A2257 , ""tr"" , ""en"")"),"11 We have made a video conference call separately with the health managers of our provinces. The status of our provinces, the performance of the filion teams, have talked to the additional measures to be taken in our provinces with the use of early drug "&amp;"use and follow-up. We have two strengths: Measure, Treatment. Let's use our strength. https://t.co/x3tlsıohm0")</f>
        <v>11 We have made a video conference call separately with the health managers of our provinces. The status of our provinces, the performance of the filion teams, have talked to the additional measures to be taken in our provinces with the use of early drug use and follow-up. We have two strengths: Measure, Treatment. Let's use our strength. https://t.co/x3tlsıohm0</v>
      </c>
    </row>
    <row r="2258" spans="1:5" ht="15.75" customHeight="1" x14ac:dyDescent="0.25">
      <c r="A2258" s="1" t="s">
        <v>4515</v>
      </c>
      <c r="B2258" s="1">
        <v>17311</v>
      </c>
      <c r="C2258" s="3">
        <v>44082.809259259258</v>
      </c>
      <c r="D2258" s="1" t="s">
        <v>4516</v>
      </c>
      <c r="E2258" s="4" t="str">
        <f ca="1">IFERROR(__xludf.DUMMYFUNCTION("GOOGLETRANSLATE(A2258 , ""tr"" , ""en"")"),"Regular exercise and physical movement is the key to healthy life.
Our physiotherapists are active, independent movement and the assurance of a higher quality life. Health Members of our Order is a Happy World Physiotherapists Day of our physiotherapists."&amp;" https://t.co/dm8p0a10lc")</f>
        <v>Regular exercise and physical movement is the key to healthy life.
Our physiotherapists are active, independent movement and the assurance of a higher quality life. Health Members of our Order is a Happy World Physiotherapists Day of our physiotherapists. https://t.co/dm8p0a10lc</v>
      </c>
    </row>
    <row r="2259" spans="1:5" ht="15.75" customHeight="1" x14ac:dyDescent="0.25">
      <c r="A2259" s="1" t="s">
        <v>4517</v>
      </c>
      <c r="B2259" s="1">
        <v>29609</v>
      </c>
      <c r="C2259" s="3">
        <v>44082.681307870371</v>
      </c>
      <c r="D2259" s="1" t="s">
        <v>4518</v>
      </c>
      <c r="E2259" s="4" t="str">
        <f ca="1">IFERROR(__xludf.DUMMYFUNCTION("GOOGLETRANSLATE(A2259 , ""tr"" , ""en"")"),"Today more than 110,000 tests were performed and 1,761 new patients were detected. Our severe patient count continues to increase. Our losses are burning. It is to comply with measures to stop this situation. Power is in measure together. https://t.co/rvl"&amp;"he7786o")</f>
        <v>Today more than 110,000 tests were performed and 1,761 new patients were detected. Our severe patient count continues to increase. Our losses are burning. It is to comply with measures to stop this situation. Power is in measure together. https://t.co/rvlhe7786o</v>
      </c>
    </row>
    <row r="2260" spans="1:5" ht="15.75" customHeight="1" x14ac:dyDescent="0.25">
      <c r="A2260" s="1" t="s">
        <v>4519</v>
      </c>
      <c r="B2260" s="1">
        <v>29672</v>
      </c>
      <c r="C2260" s="3">
        <v>44081.731712962966</v>
      </c>
      <c r="D2260" s="1" t="s">
        <v>4520</v>
      </c>
      <c r="E2260" s="4" t="str">
        <f ca="1">IFERROR(__xludf.DUMMYFUNCTION("GOOGLETRANSLATE(A2260 , ""tr"" , ""en"")"),"The most patiently seen daily is Ankara. Turkey has not been increasing the pneumatic rate in the last week in Turkey. The number of severe patients still continues to rise. Together to measures will be the virus that ended up at the end. https://t.co/rvl"&amp;"he7786o")</f>
        <v>The most patiently seen daily is Ankara. Turkey has not been increasing the pneumatic rate in the last week in Turkey. The number of severe patients still continues to rise. Together to measures will be the virus that ended up at the end. https://t.co/rvlhe7786o</v>
      </c>
    </row>
    <row r="2261" spans="1:5" ht="15.75" customHeight="1" x14ac:dyDescent="0.25">
      <c r="A2261" s="1" t="s">
        <v>4521</v>
      </c>
      <c r="B2261" s="1">
        <v>40114</v>
      </c>
      <c r="C2261" s="3">
        <v>44080.776863425926</v>
      </c>
      <c r="D2261" s="1" t="s">
        <v>4522</v>
      </c>
      <c r="E2261" s="4" t="str">
        <f ca="1">IFERROR(__xludf.DUMMYFUNCTION("GOOGLETRANSLATE(A2261 , ""tr"" , ""en"")"),"40.1 in the last one month in the last month is 40.1 in 20-40 years of age. 11% of the pneumonia developing patients are again from this age group. Our teenagers should be an example of the measures to protect themselves and the largest. Our strength agai"&amp;"nst the virus together measure.")</f>
        <v>40.1 in the last one month in the last month is 40.1 in 20-40 years of age. 11% of the pneumonia developing patients are again from this age group. Our teenagers should be an example of the measures to protect themselves and the largest. Our strength against the virus together measure.</v>
      </c>
    </row>
    <row r="2262" spans="1:5" ht="15.75" customHeight="1" x14ac:dyDescent="0.25">
      <c r="A2262" s="1" t="s">
        <v>4523</v>
      </c>
      <c r="B2262" s="1">
        <v>26554</v>
      </c>
      <c r="C2262" s="3">
        <v>44080.669849537036</v>
      </c>
      <c r="D2262" s="1" t="s">
        <v>4524</v>
      </c>
      <c r="E2262" s="4" t="str">
        <f ca="1">IFERROR(__xludf.DUMMYFUNCTION("GOOGLETRANSLATE(A2262 , ""tr"" , ""en"")"),"Last week Number of daily patients is most increasing provinces; Van, Karaman, Erzincan, Cankiri and Kayseri. Our provinces that are the most severe patients; Istanbul, Ankara, Konya, Erzurum and Yozgat. We can be successful by complying with the measures"&amp;". Let's be cautious together. https://t.co/rvlhe7786o")</f>
        <v>Last week Number of daily patients is most increasing provinces; Van, Karaman, Erzincan, Cankiri and Kayseri. Our provinces that are the most severe patients; Istanbul, Ankara, Konya, Erzurum and Yozgat. We can be successful by complying with the measures. Let's be cautious together. https://t.co/rvlhe7786o</v>
      </c>
    </row>
    <row r="2263" spans="1:5" ht="15.75" customHeight="1" x14ac:dyDescent="0.25">
      <c r="A2263" s="1" t="s">
        <v>4525</v>
      </c>
      <c r="B2263" s="1">
        <v>51574</v>
      </c>
      <c r="C2263" s="3">
        <v>44080.398969907408</v>
      </c>
      <c r="D2263" s="1" t="s">
        <v>4526</v>
      </c>
      <c r="E2263" s="4" t="str">
        <f ca="1">IFERROR(__xludf.DUMMYFUNCTION("GOOGLETRANSLATE(A2263 , ""tr"" , ""en"")"),"The additional payment period made to our health workers is extended for 3 months due to the pandem. The provision of the struggle provided with life is, of course, I know.")</f>
        <v>The additional payment period made to our health workers is extended for 3 months due to the pandem. The provision of the struggle provided with life is, of course, I know.</v>
      </c>
    </row>
    <row r="2264" spans="1:5" ht="15.75" customHeight="1" x14ac:dyDescent="0.25">
      <c r="A2264" s="1" t="s">
        <v>4527</v>
      </c>
      <c r="B2264" s="1">
        <v>68964</v>
      </c>
      <c r="C2264" s="3">
        <v>44079.776712962965</v>
      </c>
      <c r="D2264" s="1" t="s">
        <v>4528</v>
      </c>
      <c r="E2264" s="4" t="str">
        <f ca="1">IFERROR(__xludf.DUMMYFUNCTION("GOOGLETRANSLATE(A2264 , ""tr"" , ""en"")"),"My young friends to take the KPSS exam! Your excitement is not to lead the measure to dispose of; Your dreams are not shadowed. I wish you all the best of luck.")</f>
        <v>My young friends to take the KPSS exam! Your excitement is not to lead the measure to dispose of; Your dreams are not shadowed. I wish you all the best of luck.</v>
      </c>
    </row>
    <row r="2265" spans="1:5" ht="15.75" customHeight="1" x14ac:dyDescent="0.25">
      <c r="A2265" s="1" t="s">
        <v>4529</v>
      </c>
      <c r="B2265" s="1">
        <v>0</v>
      </c>
      <c r="C2265" s="3">
        <v>44079.761689814812</v>
      </c>
      <c r="D2265" s="1" t="s">
        <v>4530</v>
      </c>
      <c r="E2265" s="4" t="str">
        <f ca="1">IFERROR(__xludf.DUMMYFUNCTION("GOOGLETRANSLATE(A2265 , ""tr"" , ""en"")"),"RT @rterdogan: We have been served todayTEPE Dr. Süleyman Yalçın City of our hospital to our country, the nation, to our city to our city, auspicious ...")</f>
        <v>RT @rterdogan: We have been served todayTEPE Dr. Süleyman Yalçın City of our hospital to our country, the nation, to our city to our city, auspicious ...</v>
      </c>
    </row>
    <row r="2266" spans="1:5" ht="15.75" customHeight="1" x14ac:dyDescent="0.25">
      <c r="A2266" s="1" t="s">
        <v>4531</v>
      </c>
      <c r="B2266" s="1">
        <v>21370</v>
      </c>
      <c r="C2266" s="3">
        <v>44079.681747685187</v>
      </c>
      <c r="D2266" s="1" t="s">
        <v>4532</v>
      </c>
      <c r="E2266" s="4" t="str">
        <f ca="1">IFERROR(__xludf.DUMMYFUNCTION("GOOGLETRANSLATE(A2266 , ""tr"" , ""en"")"),"We have to comply with the measures to protect our loved ones. This necessity is an assignment that we must comply with no one for every one of us. However we can beat the virus by struggling together. Our strength conforms to the measures together. https"&amp;"://t.co/rvlhe7786o")</f>
        <v>We have to comply with the measures to protect our loved ones. This necessity is an assignment that we must comply with no one for every one of us. However we can beat the virus by struggling together. Our strength conforms to the measures together. https://t.co/rvlhe7786o</v>
      </c>
    </row>
    <row r="2267" spans="1:5" ht="15.75" customHeight="1" x14ac:dyDescent="0.25">
      <c r="A2267" s="1" t="s">
        <v>4533</v>
      </c>
      <c r="B2267" s="1">
        <v>8319</v>
      </c>
      <c r="C2267" s="3">
        <v>44079.55096064815</v>
      </c>
      <c r="D2267" s="1" t="s">
        <v>4534</v>
      </c>
      <c r="E2267" s="4" t="str">
        <f ca="1">IFERROR(__xludf.DUMMYFUNCTION("GOOGLETRANSLATE(A2267 , ""tr"" , ""en"")"),"Göztepe Professor Dr. Süleyman Yalçın We opened our city hospital to our nation's service. https://t.co/rmxowzm3ng")</f>
        <v>Göztepe Professor Dr. Süleyman Yalçın We opened our city hospital to our nation's service. https://t.co/rmxowzm3ng</v>
      </c>
    </row>
    <row r="2268" spans="1:5" ht="15.75" customHeight="1" x14ac:dyDescent="0.25">
      <c r="A2268" s="1" t="s">
        <v>4535</v>
      </c>
      <c r="B2268" s="1">
        <v>13358</v>
      </c>
      <c r="C2268" s="3">
        <v>44079.541539351849</v>
      </c>
      <c r="D2268" s="1" t="s">
        <v>4536</v>
      </c>
      <c r="E2268" s="4" t="str">
        <f ca="1">IFERROR(__xludf.DUMMYFUNCTION("GOOGLETRANSLATE(A2268 , ""tr"" , ""en"")"),"We continue to strengthen our health system. PROF. Dr. Süleyman Yalçın City Hospital SN. Opened to service with the participation of our president. Our hospital has high capacity and technology. Turkey will continue to make the difference in the world wit"&amp;"h the health system. https://t.co/n3jkncxyif")</f>
        <v>We continue to strengthen our health system. PROF. Dr. Süleyman Yalçın City Hospital SN. Opened to service with the participation of our president. Our hospital has high capacity and technology. Turkey will continue to make the difference in the world with the health system. https://t.co/n3jkncxyif</v>
      </c>
    </row>
    <row r="2269" spans="1:5" ht="15.75" customHeight="1" x14ac:dyDescent="0.25">
      <c r="A2269" s="1" t="s">
        <v>4537</v>
      </c>
      <c r="B2269" s="1">
        <v>54138</v>
      </c>
      <c r="C2269" s="3">
        <v>44079.289756944447</v>
      </c>
      <c r="D2269" s="1" t="s">
        <v>4538</v>
      </c>
      <c r="E2269" s="4" t="str">
        <f ca="1">IFERROR(__xludf.DUMMYFUNCTION("GOOGLETRANSLATE(A2269 , ""tr"" , ""en"")"),"The salaries of family health workers will not be interrupted with family physicians who are unable to be affected by the epidemic. In addition, COVID-19 patients will be given additional payment for 3 months. Get auspicious to our health workers who are "&amp;"unrequited of their labor.")</f>
        <v>The salaries of family health workers will not be interrupted with family physicians who are unable to be affected by the epidemic. In addition, COVID-19 patients will be given additional payment for 3 months. Get auspicious to our health workers who are unrequited of their labor.</v>
      </c>
    </row>
    <row r="2270" spans="1:5" ht="15.75" customHeight="1" x14ac:dyDescent="0.25">
      <c r="A2270" s="1" t="s">
        <v>4539</v>
      </c>
      <c r="B2270" s="1">
        <v>23706</v>
      </c>
      <c r="C2270" s="3">
        <v>44078.873067129629</v>
      </c>
      <c r="D2270" s="1" t="s">
        <v>4540</v>
      </c>
      <c r="E2270" s="4" t="str">
        <f ca="1">IFERROR(__xludf.DUMMYFUNCTION("GOOGLETRANSLATE(A2270 , ""tr"" , ""en"")"),"With the high technological equipment and service capacity, we will be one of the most important health centers of Istanbul, Tektepe City Hospital Troll to 15.00 tomorrow. Our strong health infrastructure is our greatest security. Believe in this power. h"&amp;"ttps://t.co/jhsyvyg3tc")</f>
        <v>With the high technological equipment and service capacity, we will be one of the most important health centers of Istanbul, Tektepe City Hospital Troll to 15.00 tomorrow. Our strong health infrastructure is our greatest security. Believe in this power. https://t.co/jhsyvyg3tc</v>
      </c>
    </row>
    <row r="2271" spans="1:5" ht="15.75" customHeight="1" x14ac:dyDescent="0.25">
      <c r="A2271" s="1" t="s">
        <v>4541</v>
      </c>
      <c r="B2271" s="1">
        <v>25440</v>
      </c>
      <c r="C2271" s="3">
        <v>44078.682233796295</v>
      </c>
      <c r="D2271" s="1" t="s">
        <v>4542</v>
      </c>
      <c r="E2271" s="4" t="str">
        <f ca="1">IFERROR(__xludf.DUMMYFUNCTION("GOOGLETRANSLATE(A2271 , ""tr"" , ""en"")"),"There were 117.113 new tests in 200 laboratories today. The increase in severe patients continues to increase. Our recovering patient count is still less than our new patients. The period is the period of power to struggle and measure. Let's be unity. htt"&amp;"ps://t.co/rvlhe7786o")</f>
        <v>There were 117.113 new tests in 200 laboratories today. The increase in severe patients continues to increase. Our recovering patient count is still less than our new patients. The period is the period of power to struggle and measure. Let's be unity. https://t.co/rvlhe7786o</v>
      </c>
    </row>
    <row r="2272" spans="1:5" ht="15.75" customHeight="1" x14ac:dyDescent="0.25">
      <c r="A2272" s="1" t="s">
        <v>4543</v>
      </c>
      <c r="B2272" s="1">
        <v>6455</v>
      </c>
      <c r="C2272" s="3">
        <v>44078.659282407411</v>
      </c>
      <c r="D2272" s="1" t="s">
        <v>4544</v>
      </c>
      <c r="E2272" s="4" t="str">
        <f ca="1">IFERROR(__xludf.DUMMYFUNCTION("GOOGLETRANSLATE(A2272 , ""tr"" , ""en"")"),"Mardin, Şanlıurfa, Batman, Siirt, Şanıt and Diyarbakır have realized COVID-19 outbreak assessment meetings.
📍diyarbakır
https://t.co/hiksjgtu2u")</f>
        <v>Mardin, Şanlıurfa, Batman, Siirt, Şanıt and Diyarbakır have realized COVID-19 outbreak assessment meetings.
📍diyarbakır
https://t.co/hiksjgtu2u</v>
      </c>
    </row>
    <row r="2273" spans="1:5" ht="15.75" customHeight="1" x14ac:dyDescent="0.25">
      <c r="A2273" s="1" t="s">
        <v>4545</v>
      </c>
      <c r="B2273" s="1">
        <v>12004</v>
      </c>
      <c r="C2273" s="3">
        <v>44078.621168981481</v>
      </c>
      <c r="D2273" s="1" t="s">
        <v>4546</v>
      </c>
      <c r="E2273" s="4" t="str">
        <f ca="1">IFERROR(__xludf.DUMMYFUNCTION("GOOGLETRANSLATE(A2273 , ""tr"" , ""en"")"),"Mardin, Şanlıurfa, Batman, Siirt and the health managers of our Sirnak provinces and other senior health managers, we evaluated the course and planned health investments in these provinces. The period is the period of power in the struggle and measure. Le"&amp;"t's be unity. https://t.co/IMXllHrnly")</f>
        <v>Mardin, Şanlıurfa, Batman, Siirt and the health managers of our Sirnak provinces and other senior health managers, we evaluated the course and planned health investments in these provinces. The period is the period of power in the struggle and measure. Let's be unity. https://t.co/IMXllHrnly</v>
      </c>
    </row>
    <row r="2274" spans="1:5" ht="15.75" customHeight="1" x14ac:dyDescent="0.25">
      <c r="A2274" s="1" t="s">
        <v>4547</v>
      </c>
      <c r="B2274" s="1">
        <v>10466</v>
      </c>
      <c r="C2274" s="3">
        <v>44078.382789351854</v>
      </c>
      <c r="D2274" s="1" t="s">
        <v>4548</v>
      </c>
      <c r="E2274" s="4" t="str">
        <f ca="1">IFERROR(__xludf.DUMMYFUNCTION("GOOGLETRANSLATE(A2274 , ""tr"" , ""en"")"),"Diyarbakır Governor, our Provincial Health Manager, Field Coordinators, the participation of our hospital heads and the participation of our relevant chairiers, we realized our Diyarbakır provincial evaluation meeting. https://t.co/k8kk4ysvly")</f>
        <v>Diyarbakır Governor, our Provincial Health Manager, Field Coordinators, the participation of our hospital heads and the participation of our relevant chairiers, we realized our Diyarbakır provincial evaluation meeting. https://t.co/k8kk4ysvly</v>
      </c>
    </row>
    <row r="2275" spans="1:5" ht="15.75" customHeight="1" x14ac:dyDescent="0.25">
      <c r="A2275" s="1" t="s">
        <v>4549</v>
      </c>
      <c r="B2275" s="1">
        <v>16807</v>
      </c>
      <c r="C2275" s="3">
        <v>44078.348252314812</v>
      </c>
      <c r="D2275" s="1" t="s">
        <v>4550</v>
      </c>
      <c r="E2275" s="4" t="str">
        <f ca="1">IFERROR(__xludf.DUMMYFUNCTION("GOOGLETRANSLATE(A2275 , ""tr"" , ""en"")"),"We are in Diyarbakır to make evaluations on the course of the COVID-19 epidemic in the region. https://t.co/8p8o6jfdbg")</f>
        <v>We are in Diyarbakır to make evaluations on the course of the COVID-19 epidemic in the region. https://t.co/8p8o6jfdbg</v>
      </c>
    </row>
    <row r="2276" spans="1:5" ht="15.75" customHeight="1" x14ac:dyDescent="0.25">
      <c r="A2276" s="1" t="s">
        <v>4551</v>
      </c>
      <c r="B2276" s="1">
        <v>11043</v>
      </c>
      <c r="C2276" s="3">
        <v>44077.753252314818</v>
      </c>
      <c r="D2276" s="1" t="s">
        <v>4552</v>
      </c>
      <c r="E2276" s="4" t="str">
        <f ca="1">IFERROR(__xludf.DUMMYFUNCTION("GOOGLETRANSLATE(A2276 , ""tr"" , ""en"")"),"Head of Cassation with the beginning of the new judgment year. Mehmet Akar, Court Prosecutor SN. Bekir Hawk and Chairman of the Council of State sec. I presented my good wishes by visiting Clever Yiğit. https://t.co/4kxe4gz6it")</f>
        <v>Head of Cassation with the beginning of the new judgment year. Mehmet Akar, Court Prosecutor SN. Bekir Hawk and Chairman of the Council of State sec. I presented my good wishes by visiting Clever Yiğit. https://t.co/4kxe4gz6it</v>
      </c>
    </row>
    <row r="2277" spans="1:5" ht="15.75" customHeight="1" x14ac:dyDescent="0.25">
      <c r="A2277" s="1" t="s">
        <v>4553</v>
      </c>
      <c r="B2277" s="1">
        <v>27203</v>
      </c>
      <c r="C2277" s="3">
        <v>44077.675335648149</v>
      </c>
      <c r="D2277" s="1" t="s">
        <v>4554</v>
      </c>
      <c r="E2277" s="4" t="str">
        <f ca="1">IFERROR(__xludf.DUMMYFUNCTION("GOOGLETRANSLATE(A2277 , ""tr"" , ""en"")"),"Pneumonia rates in our five most patients; Ankara: 4.7%, Istanbul: 4.61%, Konya: 8.78%, Kayseri: 6.49%, Diyarbakır: 8.37%. The power is in a measure. https://t.co/rvlhe7786o")</f>
        <v>Pneumonia rates in our five most patients; Ankara: 4.7%, Istanbul: 4.61%, Konya: 8.78%, Kayseri: 6.49%, Diyarbakır: 8.37%. The power is in a measure. https://t.co/rvlhe7786o</v>
      </c>
    </row>
    <row r="2278" spans="1:5" ht="15.75" customHeight="1" x14ac:dyDescent="0.25">
      <c r="A2278" s="1" t="s">
        <v>4555</v>
      </c>
      <c r="B2278" s="1">
        <v>11809</v>
      </c>
      <c r="C2278" s="3">
        <v>44077.612511574072</v>
      </c>
      <c r="D2278" s="1" t="s">
        <v>4556</v>
      </c>
      <c r="E2278" s="4" t="str">
        <f ca="1">IFERROR(__xludf.DUMMYFUNCTION("GOOGLETRANSLATE(A2278 , ""tr"" , ""en"")"),"Our Health Employees do not remain at risking their lives in order to make their likes to loved the patients caught in coronavirus; They deprive themselves from their children, their families, loves and social circles. https://t.co/foesabl7fi")</f>
        <v>Our Health Employees do not remain at risking their lives in order to make their likes to loved the patients caught in coronavirus; They deprive themselves from their children, their families, loves and social circles. https://t.co/foesabl7fi</v>
      </c>
    </row>
    <row r="2279" spans="1:5" ht="15.75" customHeight="1" x14ac:dyDescent="0.25">
      <c r="A2279" s="1" t="s">
        <v>4557</v>
      </c>
      <c r="B2279" s="1">
        <v>44858</v>
      </c>
      <c r="C2279" s="3">
        <v>44077.531284722223</v>
      </c>
      <c r="D2279" s="1" t="s">
        <v>4558</v>
      </c>
      <c r="E2279" s="4" t="str">
        <f ca="1">IFERROR(__xludf.DUMMYFUNCTION("GOOGLETRANSLATE(A2279 , ""tr"" , ""en"")"),"Binali Yıldırım Bey and Precious Wife Semiha Hanim's COVID-19 tests were positive in our audit in Ankara city hospital. Currently, the situations were good and we have led themselves from our hospital for treatments at home. Our strength is enough to take"&amp;" measures and to protect our loved ones. https://t.co/LGZF1TGXFI")</f>
        <v>Binali Yıldırım Bey and Precious Wife Semiha Hanim's COVID-19 tests were positive in our audit in Ankara city hospital. Currently, the situations were good and we have led themselves from our hospital for treatments at home. Our strength is enough to take measures and to protect our loved ones. https://t.co/LGZF1TGXFI</v>
      </c>
    </row>
    <row r="2280" spans="1:5" ht="15.75" customHeight="1" x14ac:dyDescent="0.25">
      <c r="A2280" s="1" t="s">
        <v>4559</v>
      </c>
      <c r="B2280" s="1">
        <v>18066</v>
      </c>
      <c r="C2280" s="3">
        <v>44077.417233796295</v>
      </c>
      <c r="D2280" s="1" t="s">
        <v>4560</v>
      </c>
      <c r="E2280" s="4" t="str">
        <f ca="1">IFERROR(__xludf.DUMMYFUNCTION("GOOGLETRANSLATE(A2280 , ""tr"" , ""en"")"),"Our engagements and wedding, with the happiest moments of our lives, no cause of the condemnation. I believe in your understanding. https://t.co/awaoqmr0rr")</f>
        <v>Our engagements and wedding, with the happiest moments of our lives, no cause of the condemnation. I believe in your understanding. https://t.co/awaoqmr0rr</v>
      </c>
    </row>
    <row r="2281" spans="1:5" ht="15.75" customHeight="1" x14ac:dyDescent="0.25">
      <c r="A2281" s="1" t="s">
        <v>4561</v>
      </c>
      <c r="B2281" s="1">
        <v>9400</v>
      </c>
      <c r="C2281" s="3">
        <v>44077.385208333333</v>
      </c>
      <c r="D2281" s="1" t="s">
        <v>4562</v>
      </c>
      <c r="E2281" s="4" t="str">
        <f ca="1">IFERROR(__xludf.DUMMYFUNCTION("GOOGLETRANSLATE(A2281 , ""tr"" , ""en"")"),"Our HEPP Code and Filiation Practices are the most effective ways we use to follow and spread the ways that the virus is infected. Success will come with all of us with dedication and joint work. https://t.co/djjizmdoyc")</f>
        <v>Our HEPP Code and Filiation Practices are the most effective ways we use to follow and spread the ways that the virus is infected. Success will come with all of us with dedication and joint work. https://t.co/djjizmdoyc</v>
      </c>
    </row>
    <row r="2282" spans="1:5" ht="15.75" customHeight="1" x14ac:dyDescent="0.25">
      <c r="A2282" s="1" t="s">
        <v>4563</v>
      </c>
      <c r="B2282" s="1">
        <v>23310</v>
      </c>
      <c r="C2282" s="3">
        <v>44076.916724537034</v>
      </c>
      <c r="D2282" s="1" t="s">
        <v>4564</v>
      </c>
      <c r="E2282" s="4" t="str">
        <f ca="1">IFERROR(__xludf.DUMMYFUNCTION("GOOGLETRANSLATE(A2282 , ""tr"" , ""en"")"),"Each health personnel stand with their arms on the bridge between your life. Let us show the necessary respect, thank you to know a debt ... https://t.co/rocvgpx0aa")</f>
        <v>Each health personnel stand with their arms on the bridge between your life. Let us show the necessary respect, thank you to know a debt ... https://t.co/rocvgpx0aa</v>
      </c>
    </row>
    <row r="2283" spans="1:5" ht="15.75" customHeight="1" x14ac:dyDescent="0.25">
      <c r="A2283" s="1" t="s">
        <v>4565</v>
      </c>
      <c r="B2283" s="1">
        <v>29818</v>
      </c>
      <c r="C2283" s="3">
        <v>44076.723101851851</v>
      </c>
      <c r="D2283" s="1" t="s">
        <v>4566</v>
      </c>
      <c r="E2283" s="4" t="str">
        <f ca="1">IFERROR(__xludf.DUMMYFUNCTION("GOOGLETRANSLATE(A2283 , ""tr"" , ""en"")"),"Today our active case count increased 649. Our heavy patient count is over 1,000. We have to reduce our life losses and protect our loved ones. This is possible with the measure. The power is in a measure. https://t.co/rvlhe7786o")</f>
        <v>Today our active case count increased 649. Our heavy patient count is over 1,000. We have to reduce our life losses and protect our loved ones. This is possible with the measure. The power is in a measure. https://t.co/rvlhe7786o</v>
      </c>
    </row>
    <row r="2284" spans="1:5" ht="15.75" customHeight="1" x14ac:dyDescent="0.25">
      <c r="A2284" s="1" t="s">
        <v>4567</v>
      </c>
      <c r="B2284" s="1">
        <v>13282</v>
      </c>
      <c r="C2284" s="3">
        <v>44076.719872685186</v>
      </c>
      <c r="D2284" s="1" t="s">
        <v>4568</v>
      </c>
      <c r="E2284" s="4" t="str">
        <f ca="1">IFERROR(__xludf.DUMMYFUNCTION("GOOGLETRANSLATE(A2284 , ""tr"" , ""en"")"),"In terms of the proposal of our Community Sciences Board, you will be able to follow the daily and weekly more detailed information from HTTPS://t.co/rvlhe7786o. I will continue to share important developments with you.")</f>
        <v>In terms of the proposal of our Community Sciences Board, you will be able to follow the daily and weekly more detailed information from HTTPS://t.co/rvlhe7786o. I will continue to share important developments with you.</v>
      </c>
    </row>
    <row r="2285" spans="1:5" ht="15.75" customHeight="1" x14ac:dyDescent="0.25">
      <c r="A2285" s="1" t="s">
        <v>4569</v>
      </c>
      <c r="B2285" s="1">
        <v>9753</v>
      </c>
      <c r="C2285" s="3">
        <v>44076.71234953704</v>
      </c>
      <c r="D2285" s="1" t="s">
        <v>4570</v>
      </c>
      <c r="E2285" s="4" t="str">
        <f ca="1">IFERROR(__xludf.DUMMYFUNCTION("GOOGLETRANSLATE(A2285 , ""tr"" , ""en"")"),"After our Science Board meeting, the latest developments on the coronavirus and the new measures we receive.
📍Public Ministry Bilkent Campus / Ankara
https://t.co/txraeri7k0")</f>
        <v>After our Science Board meeting, the latest developments on the coronavirus and the new measures we receive.
📍Public Ministry Bilkent Campus / Ankara
https://t.co/txraeri7k0</v>
      </c>
    </row>
    <row r="2286" spans="1:5" ht="15.75" customHeight="1" x14ac:dyDescent="0.25">
      <c r="A2286" s="1" t="s">
        <v>4571</v>
      </c>
      <c r="B2286" s="1">
        <v>43286</v>
      </c>
      <c r="C2286" s="3">
        <v>44075.667037037034</v>
      </c>
      <c r="D2286" s="1" t="s">
        <v>4572</v>
      </c>
      <c r="E2286" s="4" t="str">
        <f ca="1">IFERROR(__xludf.DUMMYFUNCTION("GOOGLETRANSLATE(A2286 , ""tr"" , ""en"")"),"It is fully compliant with the measures that will also end the number of our losses and severe patients. Our active patient count continues to increase. We will be the winner of the measures. The power is in a measure. https://t.co/rvlhe7786o https://t.co"&amp;"/cvwuhe6pae")</f>
        <v>It is fully compliant with the measures that will also end the number of our losses and severe patients. Our active patient count continues to increase. We will be the winner of the measures. The power is in a measure. https://t.co/rvlhe7786o https://t.co/cvwuhe6pae</v>
      </c>
    </row>
    <row r="2287" spans="1:5" ht="15.75" customHeight="1" x14ac:dyDescent="0.25">
      <c r="A2287" s="1" t="s">
        <v>4573</v>
      </c>
      <c r="B2287" s="1">
        <v>19106</v>
      </c>
      <c r="C2287" s="3">
        <v>44075.631886574076</v>
      </c>
      <c r="D2287" s="1" t="s">
        <v>4574</v>
      </c>
      <c r="E2287" s="4" t="str">
        <f ca="1">IFERROR(__xludf.DUMMYFUNCTION("GOOGLETRANSLATE(A2287 , ""tr"" , ""en"")"),"""Sometimes that breath doesn't come back."" Alpaslan Ear on the experience of fighting the disease. HTTPS://T.CO/FK9NHG4SQI")</f>
        <v>"Sometimes that breath doesn't come back." Alpaslan Ear on the experience of fighting the disease. HTTPS://T.CO/FK9NHG4SQI</v>
      </c>
    </row>
    <row r="2288" spans="1:5" ht="15.75" customHeight="1" x14ac:dyDescent="0.25">
      <c r="A2288" s="1" t="s">
        <v>4575</v>
      </c>
      <c r="B2288" s="1">
        <v>40478</v>
      </c>
      <c r="C2288" s="3">
        <v>44074.666770833333</v>
      </c>
      <c r="D2288" s="1" t="s">
        <v>4576</v>
      </c>
      <c r="E2288" s="4" t="str">
        <f ca="1">IFERROR(__xludf.DUMMYFUNCTION("GOOGLETRANSLATE(A2288 , ""tr"" , ""en"")"),"We have reached the highest number of daily tests today. More than 110,000 tests were performed. 1,587 new patients were detected. The sadness of our life losses cannot express numbers as well. Our strength is enough to take measures and to protect our lo"&amp;"ved ones. The power is in a measure. https://t.co/rvlhe7786o https://t.co/lqyvq5h2sb")</f>
        <v>We have reached the highest number of daily tests today. More than 110,000 tests were performed. 1,587 new patients were detected. The sadness of our life losses cannot express numbers as well. Our strength is enough to take measures and to protect our loved ones. The power is in a measure. https://t.co/rvlhe7786o https://t.co/lqyvq5h2sb</v>
      </c>
    </row>
    <row r="2289" spans="1:5" ht="15.75" customHeight="1" x14ac:dyDescent="0.25">
      <c r="A2289" s="1" t="s">
        <v>4577</v>
      </c>
      <c r="B2289" s="1">
        <v>162088</v>
      </c>
      <c r="C2289" s="3">
        <v>44074.561168981483</v>
      </c>
      <c r="D2289" s="1" t="s">
        <v>4578</v>
      </c>
      <c r="E2289" s="4" t="str">
        <f ca="1">IFERROR(__xludf.DUMMYFUNCTION("GOOGLETRANSLATE(A2289 , ""tr"" , ""en"")"),"Büşra I've met with our daughter on the phone. May everyone know that our health workers and all women are next to the end of the rights. Our Union is our union, sharing and solidarity symbol. Endless thanks to everyone who lives this tradition.")</f>
        <v>Büşra I've met with our daughter on the phone. May everyone know that our health workers and all women are next to the end of the rights. Our Union is our union, sharing and solidarity symbol. Endless thanks to everyone who lives this tradition.</v>
      </c>
    </row>
    <row r="2290" spans="1:5" ht="15.75" customHeight="1" x14ac:dyDescent="0.25">
      <c r="A2290" s="1" t="s">
        <v>4579</v>
      </c>
      <c r="B2290" s="1">
        <v>41592</v>
      </c>
      <c r="C2290" s="3">
        <v>44073.671111111114</v>
      </c>
      <c r="D2290" s="1" t="s">
        <v>4580</v>
      </c>
      <c r="E2290" s="4" t="str">
        <f ca="1">IFERROR(__xludf.DUMMYFUNCTION("GOOGLETRANSLATE(A2290 , ""tr"" , ""en"")"),"Was less test demand for yesterday. However, although we have 1,482 new patients. Our severe patient count is increasing. This is also increasing the number of languages ​​we lost. We can achieve if we always carry out the challenge. The power is in a mea"&amp;"sure. https://t.co/rvlhe7786o https://t.co/pyx1uvptdg")</f>
        <v>Was less test demand for yesterday. However, although we have 1,482 new patients. Our severe patient count is increasing. This is also increasing the number of languages ​​we lost. We can achieve if we always carry out the challenge. The power is in a measure. https://t.co/rvlhe7786o https://t.co/pyx1uvptdg</v>
      </c>
    </row>
    <row r="2291" spans="1:5" ht="15.75" customHeight="1" x14ac:dyDescent="0.25">
      <c r="A2291" s="1" t="s">
        <v>4581</v>
      </c>
      <c r="B2291" s="1">
        <v>14842</v>
      </c>
      <c r="C2291" s="3">
        <v>44073.479467592595</v>
      </c>
      <c r="D2291" s="1" t="s">
        <v>4582</v>
      </c>
      <c r="E2291" s="4" t="str">
        <f ca="1">IFERROR(__xludf.DUMMYFUNCTION("GOOGLETRANSLATE(A2291 , ""tr"" , ""en"")"),"At # 30Ağustos Victory Day, we were in the spiritual peace of Gazi Mustafa Kemal Ataturk. We are grateful to all our martyrs and veterans that put out in homeland defendant. https://t.co/qsmdae2xdu")</f>
        <v>At # 30Ağustos Victory Day, we were in the spiritual peace of Gazi Mustafa Kemal Ataturk. We are grateful to all our martyrs and veterans that put out in homeland defendant. https://t.co/qsmdae2xdu</v>
      </c>
    </row>
    <row r="2292" spans="1:5" ht="15.75" customHeight="1" x14ac:dyDescent="0.25">
      <c r="A2292" s="1" t="s">
        <v>4583</v>
      </c>
      <c r="B2292" s="1">
        <v>22382</v>
      </c>
      <c r="C2292" s="3">
        <v>44073.420231481483</v>
      </c>
      <c r="D2292" s="1" t="s">
        <v>4584</v>
      </c>
      <c r="E2292" s="4" t="str">
        <f ca="1">IFERROR(__xludf.DUMMYFUNCTION("GOOGLETRANSLATE(A2292 , ""tr"" , ""en"")"),"30 August; Not only is the victory of a success earned with a gun. A nation, the most supreme human values ​​are the symbol of the history scene of the history scene under the leadership of the major control Gazi Mustafa Kemal Atatürk. I remember all of o"&amp;"ur veterans and martyrs. https://t.co/y74kdsxwin")</f>
        <v>30 August; Not only is the victory of a success earned with a gun. A nation, the most supreme human values ​​are the symbol of the history scene of the history scene under the leadership of the major control Gazi Mustafa Kemal Atatürk. I remember all of our veterans and martyrs. https://t.co/y74kdsxwin</v>
      </c>
    </row>
    <row r="2293" spans="1:5" ht="15.75" customHeight="1" x14ac:dyDescent="0.25">
      <c r="A2293" s="1" t="s">
        <v>4585</v>
      </c>
      <c r="B2293" s="1">
        <v>36362</v>
      </c>
      <c r="C2293" s="3">
        <v>44072.694687499999</v>
      </c>
      <c r="D2293" s="1" t="s">
        <v>4586</v>
      </c>
      <c r="E2293" s="4" t="str">
        <f ca="1">IFERROR(__xludf.DUMMYFUNCTION("GOOGLETRANSLATE(A2293 , ""tr"" , ""en"")"),"We tested a total of 7 million tests. 546 people added to the active patient count today. The patient number of ushell is over 6,000 in total. The increase in severe patients continues to increase. We cannot be loose in compliance with the measures. The p"&amp;"ower is in a measure. https://t.co/rvlhe7786o https://t.co/sabolentlv")</f>
        <v>We tested a total of 7 million tests. 546 people added to the active patient count today. The patient number of ushell is over 6,000 in total. The increase in severe patients continues to increase. We cannot be loose in compliance with the measures. The power is in a measure. https://t.co/rvlhe7786o https://t.co/sabolentlv</v>
      </c>
    </row>
    <row r="2294" spans="1:5" ht="15.75" customHeight="1" x14ac:dyDescent="0.25">
      <c r="A2294" s="1" t="s">
        <v>4587</v>
      </c>
      <c r="B2294" s="1">
        <v>14975</v>
      </c>
      <c r="C2294" s="3">
        <v>44071.844976851855</v>
      </c>
      <c r="D2294" s="1" t="s">
        <v>4588</v>
      </c>
      <c r="E2294" s="4" t="str">
        <f ca="1">IFERROR(__xludf.DUMMYFUNCTION("GOOGLETRANSLATE(A2294 , ""tr"" , ""en"")"),"In the provincial evaluation meetings; Rize, Van, Army, Kütahya, Eskisehir, Pain Governors, Provincial Health Directors, we met at 6 separate video conferences. The current situation addressed the causes of case increases. We instructed to be initiated ra"&amp;"pidly to filion and treatments. https://t.co/Aklfgkrolo")</f>
        <v>In the provincial evaluation meetings; Rize, Van, Army, Kütahya, Eskisehir, Pain Governors, Provincial Health Directors, we met at 6 separate video conferences. The current situation addressed the causes of case increases. We instructed to be initiated rapidly to filion and treatments. https://t.co/Aklfgkrolo</v>
      </c>
    </row>
    <row r="2295" spans="1:5" ht="15.75" customHeight="1" x14ac:dyDescent="0.25">
      <c r="A2295" s="1" t="s">
        <v>4589</v>
      </c>
      <c r="B2295" s="1">
        <v>16985</v>
      </c>
      <c r="C2295" s="3">
        <v>44071.773032407407</v>
      </c>
      <c r="D2295" s="1" t="s">
        <v>4590</v>
      </c>
      <c r="E2295" s="4" t="str">
        <f ca="1">IFERROR(__xludf.DUMMYFUNCTION("GOOGLETRANSLATE(A2295 , ""tr"" , ""en"")"),"COVID-19, a health worker who is eaten in our friend: ""I experienced both body health and psychologically. said. We are not only responsible for our own life in the fight against virus. https://t.co/vsuvyqwlwh")</f>
        <v>COVID-19, a health worker who is eaten in our friend: "I experienced both body health and psychologically. said. We are not only responsible for our own life in the fight against virus. https://t.co/vsuvyqwlwh</v>
      </c>
    </row>
    <row r="2296" spans="1:5" ht="15.75" customHeight="1" x14ac:dyDescent="0.25">
      <c r="A2296" s="1" t="s">
        <v>4591</v>
      </c>
      <c r="B2296" s="1">
        <v>43419</v>
      </c>
      <c r="C2296" s="3">
        <v>44071.674224537041</v>
      </c>
      <c r="D2296" s="1" t="s">
        <v>4592</v>
      </c>
      <c r="E2296" s="4" t="str">
        <f ca="1">IFERROR(__xludf.DUMMYFUNCTION("GOOGLETRANSLATE(A2296 , ""tr"" , ""en"")"),"We have more than 1,517 patients today. The number of recovery is over 1,000. Our active patient count also continues to increase our severe patients. We lost more than 36 more today. The number of patients also complies with the measures that will reduce"&amp;" life losses. https://t.co/rvlhe7786o https://t.co/4eexrlrueu")</f>
        <v>We have more than 1,517 patients today. The number of recovery is over 1,000. Our active patient count also continues to increase our severe patients. We lost more than 36 more today. The number of patients also complies with the measures that will reduce life losses. https://t.co/rvlhe7786o https://t.co/4eexrlrueu</v>
      </c>
    </row>
    <row r="2297" spans="1:5" ht="15.75" customHeight="1" x14ac:dyDescent="0.25">
      <c r="A2297" s="1" t="s">
        <v>4593</v>
      </c>
      <c r="B2297" s="1">
        <v>39128</v>
      </c>
      <c r="C2297" s="3">
        <v>44071.467916666668</v>
      </c>
      <c r="D2297" s="1" t="s">
        <v>4594</v>
      </c>
      <c r="E2297" s="4" t="str">
        <f ca="1">IFERROR(__xludf.DUMMYFUNCTION("GOOGLETRANSLATE(A2297 , ""tr"" , ""en"")"),"Do not step out of the house.
Our patients who should be positively out of the test result and do not go out at home for 14 days. Note that the virus can cause severe disease processes and even deaths by infecting others. https://t.co/emd2ytzwra")</f>
        <v>Do not step out of the house.
Our patients who should be positively out of the test result and do not go out at home for 14 days. Note that the virus can cause severe disease processes and even deaths by infecting others. https://t.co/emd2ytzwra</v>
      </c>
    </row>
    <row r="2298" spans="1:5" ht="15.75" customHeight="1" x14ac:dyDescent="0.25">
      <c r="A2298" s="1" t="s">
        <v>4595</v>
      </c>
      <c r="B2298" s="1">
        <v>14125</v>
      </c>
      <c r="C2298" s="3">
        <v>44070.86546296296</v>
      </c>
      <c r="D2298" s="1" t="s">
        <v>4596</v>
      </c>
      <c r="E2298" s="4" t="str">
        <f ca="1">IFERROR(__xludf.DUMMYFUNCTION("GOOGLETRANSLATE(A2298 , ""tr"" , ""en"")"),"Today, we had a meeting with 18 provinces. We met with health managers individually in the conference. New developments related to the epidemic have addressed the causes of the case increase and the measures to be taken in the provinces. We have shared ne"&amp;"w approaches in diagnosis and treatment. https://t.co/at889b8UVI")</f>
        <v>Today, we had a meeting with 18 provinces. We met with health managers individually in the conference. New developments related to the epidemic have addressed the causes of the case increase and the measures to be taken in the provinces. We have shared new approaches in diagnosis and treatment. https://t.co/at889b8UVI</v>
      </c>
    </row>
    <row r="2299" spans="1:5" ht="15.75" customHeight="1" x14ac:dyDescent="0.25">
      <c r="A2299" s="1" t="s">
        <v>4597</v>
      </c>
      <c r="B2299" s="1">
        <v>37935</v>
      </c>
      <c r="C2299" s="3">
        <v>44070.672071759262</v>
      </c>
      <c r="D2299" s="1" t="s">
        <v>4598</v>
      </c>
      <c r="E2299" s="4" t="str">
        <f ca="1">IFERROR(__xludf.DUMMYFUNCTION("GOOGLETRANSLATE(A2299 , ""tr"" , ""en"")"),"Our recent number of patients recently improved less than our new patients. The way to keep the active patient count at the controlled limit, reduce the new number of patients. For today, the most applicable way to reduce the number of active patients is "&amp;"the measure. Will eventually be the virus that was eaten. https://t.co/rvlhe7786o https://t.co/4qoqduppzm")</f>
        <v>Our recent number of patients recently improved less than our new patients. The way to keep the active patient count at the controlled limit, reduce the new number of patients. For today, the most applicable way to reduce the number of active patients is the measure. Will eventually be the virus that was eaten. https://t.co/rvlhe7786o https://t.co/4qoqduppzm</v>
      </c>
    </row>
    <row r="2300" spans="1:5" ht="15.75" customHeight="1" x14ac:dyDescent="0.25">
      <c r="A2300" s="1" t="s">
        <v>4599</v>
      </c>
      <c r="B2300" s="1">
        <v>19842</v>
      </c>
      <c r="C2300" s="3">
        <v>44070.603877314818</v>
      </c>
      <c r="D2300" s="1" t="s">
        <v>4600</v>
      </c>
      <c r="E2300" s="4" t="str">
        <f ca="1">IFERROR(__xludf.DUMMYFUNCTION("GOOGLETRANSLATE(A2300 , ""tr"" , ""en"")"),"COVID-19 are the most important factor, measures that determine the test results. We will beat the virus by applying the rules of the mask, distance and hygiene. https://t.co/zgmncfwvsc")</f>
        <v>COVID-19 are the most important factor, measures that determine the test results. We will beat the virus by applying the rules of the mask, distance and hygiene. https://t.co/zgmncfwvsc</v>
      </c>
    </row>
    <row r="2301" spans="1:5" ht="15.75" customHeight="1" x14ac:dyDescent="0.25">
      <c r="A2301" s="1" t="s">
        <v>4601</v>
      </c>
      <c r="B2301" s="1">
        <v>23671</v>
      </c>
      <c r="C2301" s="3">
        <v>44070.41847222222</v>
      </c>
      <c r="D2301" s="1" t="s">
        <v>4602</v>
      </c>
      <c r="E2301" s="4" t="str">
        <f ca="1">IFERROR(__xludf.DUMMYFUNCTION("GOOGLETRANSLATE(A2301 , ""tr"" , ""en"")"),"In Tokat, a doctor friend who eats COVID-19, tells the disease process with the following statements: ""Your bones are hurting as if your bones are going to explode."" Let's not give the opportunity to find the human health in all conditions. The rules ar"&amp;"e our most powerful shield. https://t.co/cw39ycwzt5")</f>
        <v>In Tokat, a doctor friend who eats COVID-19, tells the disease process with the following statements: "Your bones are hurting as if your bones are going to explode." Let's not give the opportunity to find the human health in all conditions. The rules are our most powerful shield. https://t.co/cw39ycwzt5</v>
      </c>
    </row>
    <row r="2302" spans="1:5" ht="15.75" customHeight="1" x14ac:dyDescent="0.25">
      <c r="A2302" s="1" t="s">
        <v>4603</v>
      </c>
      <c r="B2302" s="1">
        <v>13349</v>
      </c>
      <c r="C2302" s="3">
        <v>44069.960393518515</v>
      </c>
      <c r="D2302" s="1" t="s">
        <v>4604</v>
      </c>
      <c r="E2302" s="4" t="str">
        <f ca="1">IFERROR(__xludf.DUMMYFUNCTION("GOOGLETRANSLATE(A2302 , ""tr"" , ""en"")"),"August 26 Provincial Evaluation Meetings. 6 We have made a separate meeting with the health managers of our provinces. New measures have addressed the needs on the field. Fast movement in the patient and contact detection, we instructed the treatment to s"&amp;"tart rapidly. https://t.co/kuj6caev4o")</f>
        <v>August 26 Provincial Evaluation Meetings. 6 We have made a separate meeting with the health managers of our provinces. New measures have addressed the needs on the field. Fast movement in the patient and contact detection, we instructed the treatment to start rapidly. https://t.co/kuj6caev4o</v>
      </c>
    </row>
    <row r="2303" spans="1:5" ht="15.75" customHeight="1" x14ac:dyDescent="0.25">
      <c r="A2303" s="1" t="s">
        <v>4605</v>
      </c>
      <c r="B2303" s="1">
        <v>16395</v>
      </c>
      <c r="C2303" s="3">
        <v>44069.692048611112</v>
      </c>
      <c r="D2303" s="1" t="s">
        <v>4606</v>
      </c>
      <c r="E2303" s="4" t="str">
        <f ca="1">IFERROR(__xludf.DUMMYFUNCTION("GOOGLETRANSLATE(A2303 , ""tr"" , ""en"")"),"Youth! You will not only build your own career with the knowledge, culture and training you will win at the university, you will also make directions to the fate of all humanity. Our young people who don't get the result they expect on this exam! Don't be"&amp;" grabbed at despair, trust yourself and your very much. You are us tomorrow https://t.co/fjIvzmexzk")</f>
        <v>Youth! You will not only build your own career with the knowledge, culture and training you will win at the university, you will also make directions to the fate of all humanity. Our young people who don't get the result they expect on this exam! Don't be grabbed at despair, trust yourself and your very much. You are us tomorrow https://t.co/fjIvzmexzk</v>
      </c>
    </row>
    <row r="2304" spans="1:5" ht="15.75" customHeight="1" x14ac:dyDescent="0.25">
      <c r="A2304" s="1" t="s">
        <v>4607</v>
      </c>
      <c r="B2304" s="1">
        <v>44763</v>
      </c>
      <c r="C2304" s="3">
        <v>44069.671909722223</v>
      </c>
      <c r="D2304" s="1" t="s">
        <v>4608</v>
      </c>
      <c r="E2304" s="4" t="str">
        <f ca="1">IFERROR(__xludf.DUMMYFUNCTION("GOOGLETRANSLATE(A2304 , ""tr"" , ""en"")"),"We had over 100 thousand tests today. We have 1,313 new patients as a result of these tests. We had to take special measures in some of our provinces. We can be successful in accordance with the measures. Will eventually be the virus that was eaten. https"&amp;"://t.co/rvlhe7786o https://t.co/o08g5t0swz")</f>
        <v>We had over 100 thousand tests today. We have 1,313 new patients as a result of these tests. We had to take special measures in some of our provinces. We can be successful in accordance with the measures. Will eventually be the virus that was eaten. https://t.co/rvlhe7786o https://t.co/o08g5t0swz</v>
      </c>
    </row>
    <row r="2305" spans="1:5" ht="15.75" customHeight="1" x14ac:dyDescent="0.25">
      <c r="A2305" s="1" t="s">
        <v>4609</v>
      </c>
      <c r="B2305" s="1">
        <v>40649</v>
      </c>
      <c r="C2305" s="3">
        <v>44068.724363425928</v>
      </c>
      <c r="D2305" s="1" t="s">
        <v>4610</v>
      </c>
      <c r="E2305" s="4" t="str">
        <f ca="1">IFERROR(__xludf.DUMMYFUNCTION("GOOGLETRANSLATE(A2305 , ""tr"" , ""en"")"),"We decorated each corner of these lands entrusted with Malazgirt victory with separate beauty. What is happy to know the asset of these lands we live in ... https://t.co/g0qw172dpo")</f>
        <v>We decorated each corner of these lands entrusted with Malazgirt victory with separate beauty. What is happy to know the asset of these lands we live in ... https://t.co/g0qw172dpo</v>
      </c>
    </row>
    <row r="2306" spans="1:5" ht="15.75" customHeight="1" x14ac:dyDescent="0.25">
      <c r="A2306" s="1" t="s">
        <v>4611</v>
      </c>
      <c r="B2306" s="1">
        <v>39031</v>
      </c>
      <c r="C2306" s="3">
        <v>44068.692627314813</v>
      </c>
      <c r="D2306" s="1" t="s">
        <v>4612</v>
      </c>
      <c r="E2306" s="4" t="str">
        <f ca="1">IFERROR(__xludf.DUMMYFUNCTION("GOOGLETRANSLATE(A2306 , ""tr"" , ""en"")"),"Today we have passed 6.5 million tests in total. We have more than 1,500 patients identified. To lower the new number of patients the most important goal of our challenge. This goal is to compliance with the measures to contribute. Will eventually be the "&amp;"virus that was eaten. https://t.co/rvlhe7786o https://t.co/8g59tkqgxn")</f>
        <v>Today we have passed 6.5 million tests in total. We have more than 1,500 patients identified. To lower the new number of patients the most important goal of our challenge. This goal is to compliance with the measures to contribute. Will eventually be the virus that was eaten. https://t.co/rvlhe7786o https://t.co/8g59tkqgxn</v>
      </c>
    </row>
    <row r="2307" spans="1:5" ht="15.75" customHeight="1" x14ac:dyDescent="0.25">
      <c r="A2307" s="1" t="s">
        <v>4613</v>
      </c>
      <c r="B2307" s="1">
        <v>72128</v>
      </c>
      <c r="C2307" s="3">
        <v>44068.57</v>
      </c>
      <c r="D2307" s="1" t="s">
        <v>4614</v>
      </c>
      <c r="E2307" s="4" t="str">
        <f ca="1">IFERROR(__xludf.DUMMYFUNCTION("GOOGLETRANSLATE(A2307 , ""tr"" , ""en"")"),"In the year of the Malazgirt victory, which made Anatolia for the Turks, we are in the year of Ecılın in Ahlat. https://t.co/1owfzlwerv")</f>
        <v>In the year of the Malazgirt victory, which made Anatolia for the Turks, we are in the year of Ecılın in Ahlat. https://t.co/1owfzlwerv</v>
      </c>
    </row>
    <row r="2308" spans="1:5" ht="15.75" customHeight="1" x14ac:dyDescent="0.25">
      <c r="A2308" s="1" t="s">
        <v>4615</v>
      </c>
      <c r="B2308" s="1">
        <v>0</v>
      </c>
      <c r="C2308" s="3">
        <v>44067.862650462965</v>
      </c>
      <c r="D2308" s="1" t="s">
        <v>4616</v>
      </c>
      <c r="E2308" s="4" t="str">
        <f ca="1">IFERROR(__xludf.DUMMYFUNCTION("GOOGLETRANSLATE(A2308 , ""tr"" , ""en"")"),"RT @Fahrettinaltun: For us #broving is great and strong in Turkey. Happy 15th of July from Malazgirt to the Happy National Walk of the Epes ...")</f>
        <v>RT @Fahrettinaltun: For us #broving is great and strong in Turkey. Happy 15th of July from Malazgirt to the Happy National Walk of the Epes ...</v>
      </c>
    </row>
    <row r="2309" spans="1:5" ht="15.75" customHeight="1" x14ac:dyDescent="0.25">
      <c r="A2309" s="1" t="s">
        <v>4617</v>
      </c>
      <c r="B2309" s="1">
        <v>0</v>
      </c>
      <c r="C2309" s="3">
        <v>44067.707569444443</v>
      </c>
      <c r="D2309" s="1" t="s">
        <v>4618</v>
      </c>
      <c r="E2309" s="4" t="str">
        <f ca="1">IFERROR(__xludf.DUMMYFUNCTION("GOOGLETRANSLATE(A2309 , ""tr"" , ""en"")"),"RT @rterdogan: Shouting Nation after Cabinet Meeting https://t.co/luurnln2nw")</f>
        <v>RT @rterdogan: Shouting Nation after Cabinet Meeting https://t.co/luurnln2nw</v>
      </c>
    </row>
    <row r="2310" spans="1:5" ht="15.75" customHeight="1" x14ac:dyDescent="0.25">
      <c r="A2310" s="1" t="s">
        <v>4619</v>
      </c>
      <c r="B2310" s="1">
        <v>40969</v>
      </c>
      <c r="C2310" s="3">
        <v>44067.68917824074</v>
      </c>
      <c r="D2310" s="1" t="s">
        <v>4620</v>
      </c>
      <c r="E2310" s="4" t="str">
        <f ca="1">IFERROR(__xludf.DUMMYFUNCTION("GOOGLETRANSLATE(A2310 , ""tr"" , ""en"")"),"Approximately 96 thousand tests today was 1.443 new patients were detected. Our severe patient count is around 800. Our health workers are trying to improve our patients with the power. The patient is the measures to reduce our number. Will eventually be "&amp;"the virus that was eaten. https://t.co/rvlhe7786o https://t.co/rz06ocxikx")</f>
        <v>Approximately 96 thousand tests today was 1.443 new patients were detected. Our severe patient count is around 800. Our health workers are trying to improve our patients with the power. The patient is the measures to reduce our number. Will eventually be the virus that was eaten. https://t.co/rvlhe7786o https://t.co/rz06ocxikx</v>
      </c>
    </row>
    <row r="2311" spans="1:5" ht="15.75" customHeight="1" x14ac:dyDescent="0.25">
      <c r="A2311" s="1" t="s">
        <v>4621</v>
      </c>
      <c r="B2311" s="1">
        <v>31952</v>
      </c>
      <c r="C2311" s="3">
        <v>44066.755937499998</v>
      </c>
      <c r="D2311" s="1" t="s">
        <v>4622</v>
      </c>
      <c r="E2311" s="4" t="str">
        <f ca="1">IFERROR(__xludf.DUMMYFUNCTION("GOOGLETRANSLATE(A2311 , ""tr"" , ""en"")"),"Due to the flood disaster in Giresun, I wish our sisters who lost their life from Allah to our wounded hurts. 112 Emergency and Umke teams, our helicopter ambulance is at the scene. Our state is next to all the facilities and our nation.")</f>
        <v>Due to the flood disaster in Giresun, I wish our sisters who lost their life from Allah to our wounded hurts. 112 Emergency and Umke teams, our helicopter ambulance is at the scene. Our state is next to all the facilities and our nation.</v>
      </c>
    </row>
    <row r="2312" spans="1:5" ht="15.75" customHeight="1" x14ac:dyDescent="0.25">
      <c r="A2312" s="1" t="s">
        <v>4623</v>
      </c>
      <c r="B2312" s="1">
        <v>30370</v>
      </c>
      <c r="C2312" s="3">
        <v>44066.739004629628</v>
      </c>
      <c r="D2312" s="1" t="s">
        <v>4624</v>
      </c>
      <c r="E2312" s="4" t="str">
        <f ca="1">IFERROR(__xludf.DUMMYFUNCTION("GOOGLETRANSLATE(A2312 , ""tr"" , ""en"")"),"More than 80,000 new tests were performed today. 1.217 The new patients were detected. In our severe patients, the increase in https://t.co/czcaqnosmhömononi The rate is at the control limit. Our strength is up to our measures. Will eventually be the viru"&amp;"s that was eaten. https://t.co/rvlhe7786o https://t.co/cdt13mwmmq")</f>
        <v>More than 80,000 new tests were performed today. 1.217 The new patients were detected. In our severe patients, the increase in https://t.co/czcaqnosmhömononi The rate is at the control limit. Our strength is up to our measures. Will eventually be the virus that was eaten. https://t.co/rvlhe7786o https://t.co/cdt13mwmmq</v>
      </c>
    </row>
    <row r="2313" spans="1:5" ht="15.75" customHeight="1" x14ac:dyDescent="0.25">
      <c r="A2313" s="1" t="s">
        <v>4625</v>
      </c>
      <c r="B2313" s="1">
        <v>45634</v>
      </c>
      <c r="C2313" s="3">
        <v>44065.829942129632</v>
      </c>
      <c r="D2313" s="1" t="s">
        <v>4626</v>
      </c>
      <c r="E2313" s="4" t="str">
        <f ca="1">IFERROR(__xludf.DUMMYFUNCTION("GOOGLETRANSLATE(A2313 , ""tr"" , ""en"")"),"Our X-ray technician was in the horizon Saka, when the fire went out. Understood to be COVID-19. The wife, our nurse is a positive out of our friend Tülay's test. They fought with disease as a patient. And they return to their duties. You have numerous he"&amp;"alth workers who do the same thing. https://t.co/laye3If9uz")</f>
        <v>Our X-ray technician was in the horizon Saka, when the fire went out. Understood to be COVID-19. The wife, our nurse is a positive out of our friend Tülay's test. They fought with disease as a patient. And they return to their duties. You have numerous health workers who do the same thing. https://t.co/laye3If9uz</v>
      </c>
    </row>
    <row r="2314" spans="1:5" ht="15.75" customHeight="1" x14ac:dyDescent="0.25">
      <c r="A2314" s="1" t="s">
        <v>4627</v>
      </c>
      <c r="B2314" s="1">
        <v>34156</v>
      </c>
      <c r="C2314" s="3">
        <v>44065.71638888889</v>
      </c>
      <c r="D2314" s="1" t="s">
        <v>4628</v>
      </c>
      <c r="E2314" s="4" t="str">
        <f ca="1">IFERROR(__xludf.DUMMYFUNCTION("GOOGLETRANSLATE(A2314 , ""tr"" , ""en"")"),"The number of patients diagnosed with, for a long time, more than heals. Failure to observe the rules; The disease is caught in disease, disease, cause one's heavy disease, causing the intensity in health services. Let's take measures. Will be the virus t"&amp;"hat was eaten. https://t.co/rvlhe7786o https://t.co/hfqinfnv3f")</f>
        <v>The number of patients diagnosed with, for a long time, more than heals. Failure to observe the rules; The disease is caught in disease, disease, cause one's heavy disease, causing the intensity in health services. Let's take measures. Will be the virus that was eaten. https://t.co/rvlhe7786o https://t.co/hfqinfnv3f</v>
      </c>
    </row>
    <row r="2315" spans="1:5" ht="15.75" customHeight="1" x14ac:dyDescent="0.25">
      <c r="A2315" s="1" t="s">
        <v>4629</v>
      </c>
      <c r="B2315" s="1">
        <v>15820</v>
      </c>
      <c r="C2315" s="3">
        <v>44065.648993055554</v>
      </c>
      <c r="D2315" s="1" t="s">
        <v>4630</v>
      </c>
      <c r="E2315" s="4" t="str">
        <f ca="1">IFERROR(__xludf.DUMMYFUNCTION("GOOGLETRANSLATE(A2315 , ""tr"" , ""en"")"),"Today, the death year anniversary of the Poet Turgut Family. We respect him with respect for our clearness, power that gives strength to our language. The master poet, which brings rooted changes to the poetry with a group of friends, he defended the mast"&amp;"ery of the mastery. To try and always stay in the fight. https://t.co/3uvtyh8gv7")</f>
        <v>Today, the death year anniversary of the Poet Turgut Family. We respect him with respect for our clearness, power that gives strength to our language. The master poet, which brings rooted changes to the poetry with a group of friends, he defended the mastery of the mastery. To try and always stay in the fight. https://t.co/3uvtyh8gv7</v>
      </c>
    </row>
    <row r="2316" spans="1:5" ht="15.75" customHeight="1" x14ac:dyDescent="0.25">
      <c r="A2316" s="1" t="s">
        <v>4631</v>
      </c>
      <c r="B2316" s="1">
        <v>39518</v>
      </c>
      <c r="C2316" s="3">
        <v>44065.441562499997</v>
      </c>
      <c r="D2316" s="1" t="s">
        <v>4632</v>
      </c>
      <c r="E2316" s="4" t="str">
        <f ca="1">IFERROR(__xludf.DUMMYFUNCTION("GOOGLETRANSLATE(A2316 , ""tr"" , ""en"")"),"""I think that my mother's virus is grabbed from the wedding. Because where he went to the wedding, they have been quarantined with many homes. No one is taking into account. He is currently going to the wedding to the funeral and condolence. But did this"&amp;" heart burn, nothing else is changed. ""
I. Grass https://t.co/dercgy4wst")</f>
        <v>"I think that my mother's virus is grabbed from the wedding. Because where he went to the wedding, they have been quarantined with many homes. No one is taking into account. He is currently going to the wedding to the funeral and condolence. But did this heart burn, nothing else is changed. "
I. Grass https://t.co/dercgy4wst</v>
      </c>
    </row>
    <row r="2317" spans="1:5" ht="15.75" customHeight="1" x14ac:dyDescent="0.25">
      <c r="A2317" s="1" t="s">
        <v>4633</v>
      </c>
      <c r="B2317" s="1">
        <v>18007</v>
      </c>
      <c r="C2317" s="3">
        <v>44064.793981481482</v>
      </c>
      <c r="D2317" s="1" t="s">
        <v>4634</v>
      </c>
      <c r="E2317" s="4" t="str">
        <f ca="1">IFERROR(__xludf.DUMMYFUNCTION("GOOGLETRANSLATE(A2317 , ""tr"" , ""en"")"),"Virus is not a live with strategy to spread and disease. Mask, distance, not complying with cleaning rules; We are the virus that we fosters each other. Let's live our daily lives controlled against the opportunities of the virus to spread. Let's seek sol"&amp;"utions to risks. Will be coronavirus eaten. https://t.co/I9hfijvn8x")</f>
        <v>Virus is not a live with strategy to spread and disease. Mask, distance, not complying with cleaning rules; We are the virus that we fosters each other. Let's live our daily lives controlled against the opportunities of the virus to spread. Let's seek solutions to risks. Will be coronavirus eaten. https://t.co/I9hfijvn8x</v>
      </c>
    </row>
    <row r="2318" spans="1:5" ht="15.75" customHeight="1" x14ac:dyDescent="0.25">
      <c r="A2318" s="1" t="s">
        <v>4635</v>
      </c>
      <c r="B2318" s="1">
        <v>31730</v>
      </c>
      <c r="C2318" s="3">
        <v>44064.726527777777</v>
      </c>
      <c r="D2318" s="1" t="s">
        <v>4636</v>
      </c>
      <c r="E2318" s="4" t="str">
        <f ca="1">IFERROR(__xludf.DUMMYFUNCTION("GOOGLETRANSLATE(A2318 , ""tr"" , ""en"")"),"Our new patient count is low by yesterday. Our recovering patient count is less than new patients. The rise in the number of severe patients continues. Patient has no struggle to have been achieved by treating. The great struggle is given in a measure. Le"&amp;"t's take measures. Will be coronavirus eaten. https://t.co/rvlhe7786o https://t.co/xwmboazavb")</f>
        <v>Our new patient count is low by yesterday. Our recovering patient count is less than new patients. The rise in the number of severe patients continues. Patient has no struggle to have been achieved by treating. The great struggle is given in a measure. Let's take measures. Will be coronavirus eaten. https://t.co/rvlhe7786o https://t.co/xwmboazavb</v>
      </c>
    </row>
    <row r="2319" spans="1:5" ht="15.75" customHeight="1" x14ac:dyDescent="0.25">
      <c r="A2319" s="1" t="s">
        <v>4637</v>
      </c>
      <c r="B2319" s="1">
        <v>18198</v>
      </c>
      <c r="C2319" s="3">
        <v>44064.696886574071</v>
      </c>
      <c r="D2319" s="1" t="s">
        <v>4638</v>
      </c>
      <c r="E2319" s="4" t="str">
        <f ca="1">IFERROR(__xludf.DUMMYFUNCTION("GOOGLETRANSLATE(A2319 , ""tr"" , ""en"")"),"The event you will read the summary is the story of a person with symptoms, as a result of the not observance of the rules, the number of 32 cases and quarantine. Let's be the agenda with good news. Every closeness does not end with happy ending. https://"&amp;"t.co/tvoidddoug")</f>
        <v>The event you will read the summary is the story of a person with symptoms, as a result of the not observance of the rules, the number of 32 cases and quarantine. Let's be the agenda with good news. Every closeness does not end with happy ending. https://t.co/tvoidddoug</v>
      </c>
    </row>
    <row r="2320" spans="1:5" ht="15.75" customHeight="1" x14ac:dyDescent="0.25">
      <c r="A2320" s="1" t="s">
        <v>4639</v>
      </c>
      <c r="B2320" s="1">
        <v>58269</v>
      </c>
      <c r="C2320" s="3">
        <v>44064.589606481481</v>
      </c>
      <c r="D2320" s="1" t="s">
        <v>4640</v>
      </c>
      <c r="E2320" s="4" t="str">
        <f ca="1">IFERROR(__xludf.DUMMYFUNCTION("GOOGLETRANSLATE(A2320 , ""tr"" , ""en"")"),"Our President gave the gospel of 320 billion cubic meters of natural gas in the Shouting Speech to the Nation. We celebrate the roster with the labor of the turning point in the national project. This development will be the motivation to the epidemic of "&amp;"our people with excitement. We will make it in every area.")</f>
        <v>Our President gave the gospel of 320 billion cubic meters of natural gas in the Shouting Speech to the Nation. We celebrate the roster with the labor of the turning point in the national project. This development will be the motivation to the epidemic of our people with excitement. We will make it in every area.</v>
      </c>
    </row>
    <row r="2321" spans="1:5" ht="15.75" customHeight="1" x14ac:dyDescent="0.25">
      <c r="A2321" s="1" t="s">
        <v>4641</v>
      </c>
      <c r="B2321" s="1">
        <v>0</v>
      </c>
      <c r="C2321" s="3">
        <v>44064.504837962966</v>
      </c>
      <c r="D2321" s="1" t="s">
        <v>4642</v>
      </c>
      <c r="E2321" s="4" t="str">
        <f ca="1">IFERROR(__xludf.DUMMYFUNCTION("GOOGLETRANSLATE(A2321 , ""tr"" , ""en"")"),"RT @rterdogan: NATIONS Shouting #Wireless Https://t.co/hfnvppwo9c")</f>
        <v>RT @rterdogan: NATIONS Shouting #Wireless Https://t.co/hfnvppwo9c</v>
      </c>
    </row>
    <row r="2322" spans="1:5" ht="15.75" customHeight="1" x14ac:dyDescent="0.25">
      <c r="A2322" s="1" t="s">
        <v>4643</v>
      </c>
      <c r="B2322" s="1">
        <v>16409</v>
      </c>
      <c r="C2322" s="3">
        <v>44064.458969907406</v>
      </c>
      <c r="D2322" s="1" t="s">
        <v>4644</v>
      </c>
      <c r="E2322" s="4" t="str">
        <f ca="1">IFERROR(__xludf.DUMMYFUNCTION("GOOGLETRANSLATE(A2322 , ""tr"" , ""en"")"),"We had a new test of 92.301 yesterday. The total number of tests we do since the beginning of the process 6.061.390. Millions of people know that it is not easy to give the sample of the sample of the blade. It's not like you're out of your tongue and say"&amp;" a. But if the test result is positive, the main difficulty begins with life isolated. https://t.co/flqum3r5n1")</f>
        <v>We had a new test of 92.301 yesterday. The total number of tests we do since the beginning of the process 6.061.390. Millions of people know that it is not easy to give the sample of the sample of the blade. It's not like you're out of your tongue and say a. But if the test result is positive, the main difficulty begins with life isolated. https://t.co/flqum3r5n1</v>
      </c>
    </row>
    <row r="2323" spans="1:5" ht="15.75" customHeight="1" x14ac:dyDescent="0.25">
      <c r="A2323" s="1" t="s">
        <v>4645</v>
      </c>
      <c r="B2323" s="1">
        <v>25265</v>
      </c>
      <c r="C2323" s="3">
        <v>44064.407511574071</v>
      </c>
      <c r="D2323" s="1" t="s">
        <v>4646</v>
      </c>
      <c r="E2323" s="4" t="str">
        <f ca="1">IFERROR(__xludf.DUMMYFUNCTION("GOOGLETRANSLATE(A2323 , ""tr"" , ""en"")"),"How to struggle with outbreaks? Patient has no epidemic struggle treated by treating. Diagnosis, patient isolation, accelerating treatment physician task; is the gun against the epidemic. The epidemic continues until the last patient is recovered. The gre"&amp;"at struggle is given the actual measure. Take measures.")</f>
        <v>How to struggle with outbreaks? Patient has no epidemic struggle treated by treating. Diagnosis, patient isolation, accelerating treatment physician task; is the gun against the epidemic. The epidemic continues until the last patient is recovered. The great struggle is given the actual measure. Take measures.</v>
      </c>
    </row>
    <row r="2324" spans="1:5" ht="15.75" customHeight="1" x14ac:dyDescent="0.25">
      <c r="A2324" s="1" t="s">
        <v>4647</v>
      </c>
      <c r="B2324" s="1">
        <v>14975</v>
      </c>
      <c r="C2324" s="3">
        <v>44064.254212962966</v>
      </c>
      <c r="D2324" s="1" t="s">
        <v>4648</v>
      </c>
      <c r="E2324" s="4" t="str">
        <f ca="1">IFERROR(__xludf.DUMMYFUNCTION("GOOGLETRANSLATE(A2324 , ""tr"" , ""en"")"),"The most important indicator is the number of severe patients in terms of the outcome of the epidemic. Heavy patients come to the stage to give up everything, for one of the breaths that we are not even aware of. This is that most patients are shaking eno"&amp;"ugh to forget the fact that COVID-19 lives slightly. https://t.co/jt5fxz07ms")</f>
        <v>The most important indicator is the number of severe patients in terms of the outcome of the epidemic. Heavy patients come to the stage to give up everything, for one of the breaths that we are not even aware of. This is that most patients are shaking enough to forget the fact that COVID-19 lives slightly. https://t.co/jt5fxz07ms</v>
      </c>
    </row>
    <row r="2325" spans="1:5" ht="15.75" customHeight="1" x14ac:dyDescent="0.25">
      <c r="A2325" s="1" t="s">
        <v>4649</v>
      </c>
      <c r="B2325" s="1">
        <v>16578</v>
      </c>
      <c r="C2325" s="3">
        <v>44063.852789351855</v>
      </c>
      <c r="D2325" s="1" t="s">
        <v>4650</v>
      </c>
      <c r="E2325" s="4" t="str">
        <f ca="1">IFERROR(__xludf.DUMMYFUNCTION("GOOGLETRANSLATE(A2325 , ""tr"" , ""en"")"),"We have meeting this evening with the health manager of 81 provinces. In the 4-hour meeting, the measures to be taken in the provinces where the case increase is intensive; We addressed new approaches in diagnosis and treatment. Fast movement in the patie"&amp;"nt and contact detection, we instructed the treatment to start rapidly. https://t.co/q2qwse3bkm")</f>
        <v>We have meeting this evening with the health manager of 81 provinces. In the 4-hour meeting, the measures to be taken in the provinces where the case increase is intensive; We addressed new approaches in diagnosis and treatment. Fast movement in the patient and contact detection, we instructed the treatment to start rapidly. https://t.co/q2qwse3bkm</v>
      </c>
    </row>
    <row r="2326" spans="1:5" ht="15.75" customHeight="1" x14ac:dyDescent="0.25">
      <c r="A2326" s="1" t="s">
        <v>4651</v>
      </c>
      <c r="B2326" s="1">
        <v>42336</v>
      </c>
      <c r="C2326" s="3">
        <v>44063.731400462966</v>
      </c>
      <c r="D2326" s="1" t="s">
        <v>4652</v>
      </c>
      <c r="E2326" s="4" t="str">
        <f ca="1">IFERROR(__xludf.DUMMYFUNCTION("GOOGLETRANSLATE(A2326 , ""tr"" , ""en"")"),"Our new case number of 1,245 in the last 1 week has passed 1.400. Again, the daily test number of 41 thousand on August 3 is over 92 thousand. The number of the Filiation Team has reached 9.344. Our rate reaching contacts is 98.9%. Let's drop the cases al"&amp;"l together. https://t.co/rvlhe7786o https://t.co/apzsh4I7f1")</f>
        <v>Our new case number of 1,245 in the last 1 week has passed 1.400. Again, the daily test number of 41 thousand on August 3 is over 92 thousand. The number of the Filiation Team has reached 9.344. Our rate reaching contacts is 98.9%. Let's drop the cases all together. https://t.co/rvlhe7786o https://t.co/apzsh4I7f1</v>
      </c>
    </row>
    <row r="2327" spans="1:5" ht="15.75" customHeight="1" x14ac:dyDescent="0.25">
      <c r="A2327" s="1" t="s">
        <v>4653</v>
      </c>
      <c r="B2327" s="1">
        <v>18850</v>
      </c>
      <c r="C2327" s="3">
        <v>44063.695555555554</v>
      </c>
      <c r="D2327" s="1" t="s">
        <v>4654</v>
      </c>
      <c r="E2327" s="4" t="str">
        <f ca="1">IFERROR(__xludf.DUMMYFUNCTION("GOOGLETRANSLATE(A2327 , ""tr"" , ""en"")"),"On July 1, 7.507, we have increased our number of Filiation Team to 9.344, we have established 1.837 new filios teams. We appointed a physician in our every team. The rate of reaching people in contact with the contact is 98.9% in the last 45 days. Filiat"&amp;"ion is our success lasting. Will be the virus that was eaten. https://t.co/ugo8jcehoz")</f>
        <v>On July 1, 7.507, we have increased our number of Filiation Team to 9.344, we have established 1.837 new filios teams. We appointed a physician in our every team. The rate of reaching people in contact with the contact is 98.9% in the last 45 days. Filiation is our success lasting. Will be the virus that was eaten. https://t.co/ugo8jcehoz</v>
      </c>
    </row>
    <row r="2328" spans="1:5" ht="15.75" customHeight="1" x14ac:dyDescent="0.25">
      <c r="A2328" s="1" t="s">
        <v>4655</v>
      </c>
      <c r="B2328" s="1">
        <v>17284</v>
      </c>
      <c r="C2328" s="3">
        <v>44062.868831018517</v>
      </c>
      <c r="D2328" s="1" t="s">
        <v>4656</v>
      </c>
      <c r="E2328" s="4" t="str">
        <f ca="1">IFERROR(__xludf.DUMMYFUNCTION("GOOGLETRANSLATE(A2328 , ""tr"" , ""en"")"),"While we get services from health workers, our confidence is to be full of respect. The load they fall under is not an easy load to be carried. Many of them are struggling for their patients. You can't see that in another occupation. Unique sacrifice cont"&amp;"inues for our people. https://t.co/5ızbcobgh")</f>
        <v>While we get services from health workers, our confidence is to be full of respect. The load they fall under is not an easy load to be carried. Many of them are struggling for their patients. You can't see that in another occupation. Unique sacrifice continues for our people. https://t.co/5ızbcobgh</v>
      </c>
    </row>
    <row r="2329" spans="1:5" ht="15.75" customHeight="1" x14ac:dyDescent="0.25">
      <c r="A2329" s="1" t="s">
        <v>4657</v>
      </c>
      <c r="B2329" s="1">
        <v>17447</v>
      </c>
      <c r="C2329" s="3">
        <v>44062.847754629627</v>
      </c>
      <c r="D2329" s="1" t="s">
        <v>4658</v>
      </c>
      <c r="E2329" s="4" t="str">
        <f ca="1">IFERROR(__xludf.DUMMYFUNCTION("GOOGLETRANSLATE(A2329 , ""tr"" , ""en"")"),"COVID-19 with patients; In the polyclinic, the service, in intensive care (etc.) and the family physicians with all health workers will receive an additional payment in the 3-month time period from 1 August. For other physicians and health workers, it is "&amp;"also scheduled to pay based on the January. https://t.co/6vvr3moyt1")</f>
        <v>COVID-19 with patients; In the polyclinic, the service, in intensive care (etc.) and the family physicians with all health workers will receive an additional payment in the 3-month time period from 1 August. For other physicians and health workers, it is also scheduled to pay based on the January. https://t.co/6vvr3moyt1</v>
      </c>
    </row>
    <row r="2330" spans="1:5" ht="15.75" customHeight="1" x14ac:dyDescent="0.25">
      <c r="A2330" s="1" t="s">
        <v>4659</v>
      </c>
      <c r="B2330" s="1">
        <v>31745</v>
      </c>
      <c r="C2330" s="3">
        <v>44062.731249999997</v>
      </c>
      <c r="D2330" s="1" t="s">
        <v>4660</v>
      </c>
      <c r="E2330" s="4" t="str">
        <f ca="1">IFERROR(__xludf.DUMMYFUNCTION("GOOGLETRANSLATE(A2330 , ""tr"" , ""en"")"),"Our case count appeared over 1,300. In comparison to yesterday, our positive diagnosis is 40 more than. Control of the increase is all dependent on us together. Be uncompromised on mask, distance and cleanliness. Note that this table is determined by the "&amp;"omissions and measures.
https://t.co/rvlhe7786o https://t.co/kgeqryem79")</f>
        <v>Our case count appeared over 1,300. In comparison to yesterday, our positive diagnosis is 40 more than. Control of the increase is all dependent on us together. Be uncompromised on mask, distance and cleanliness. Note that this table is determined by the omissions and measures.
https://t.co/rvlhe7786o https://t.co/kgeqryem79</v>
      </c>
    </row>
    <row r="2331" spans="1:5" ht="15.75" customHeight="1" x14ac:dyDescent="0.25">
      <c r="A2331" s="1" t="s">
        <v>4661</v>
      </c>
      <c r="B2331" s="1">
        <v>6895</v>
      </c>
      <c r="C2331" s="3">
        <v>44062.72079861111</v>
      </c>
      <c r="D2331" s="1" t="s">
        <v>4662</v>
      </c>
      <c r="E2331" s="4" t="str">
        <f ca="1">IFERROR(__xludf.DUMMYFUNCTION("GOOGLETRANSLATE(A2331 , ""tr"" , ""en"")"),"After our Science Board meeting, the latest developments on the coronavirus and the new measures we receive.
📍Public Ministry Bilkent Campus / Ankara
https://t.co/tvdp1lh9a0")</f>
        <v>After our Science Board meeting, the latest developments on the coronavirus and the new measures we receive.
📍Public Ministry Bilkent Campus / Ankara
https://t.co/tvdp1lh9a0</v>
      </c>
    </row>
    <row r="2332" spans="1:5" ht="15.75" customHeight="1" x14ac:dyDescent="0.25">
      <c r="A2332" s="1" t="s">
        <v>4663</v>
      </c>
      <c r="B2332" s="1">
        <v>11139</v>
      </c>
      <c r="C2332" s="3">
        <v>44062.680023148147</v>
      </c>
      <c r="D2332" s="1" t="s">
        <v>4664</v>
      </c>
      <c r="E2332" s="4" t="str">
        <f ca="1">IFERROR(__xludf.DUMMYFUNCTION("GOOGLETRANSLATE(A2332 , ""tr"" , ""en"")"),"The coronavirus receives its power from the environments we do not comply with the struggle rules of the epidemic. According to the rules of the mask, distance and cleanliness, the number of cases is easily controlled; We can beat the illness tomorrow. Le"&amp;"t's trust the science, let's obey the rules. There is no end-out epidemic in history. https://t.co/ygv0scwqov")</f>
        <v>The coronavirus receives its power from the environments we do not comply with the struggle rules of the epidemic. According to the rules of the mask, distance and cleanliness, the number of cases is easily controlled; We can beat the illness tomorrow. Let's trust the science, let's obey the rules. There is no end-out epidemic in history. https://t.co/ygv0scwqov</v>
      </c>
    </row>
    <row r="2333" spans="1:5" ht="15.75" customHeight="1" x14ac:dyDescent="0.25">
      <c r="A2333" s="1" t="s">
        <v>4665</v>
      </c>
      <c r="B2333" s="1">
        <v>7689</v>
      </c>
      <c r="C2333" s="3">
        <v>44062.679699074077</v>
      </c>
      <c r="D2333" s="1" t="s">
        <v>4666</v>
      </c>
      <c r="E2333" s="4" t="str">
        <f ca="1">IFERROR(__xludf.DUMMYFUNCTION("GOOGLETRANSLATE(A2333 , ""tr"" , ""en"")"),"The coronavirus receives its power from the environments we do not comply with the struggle rules of the epidemic. According to the rules of the mask, distance and cleanliness, the number of cases is easily controlled; We can beat the illness tomorrow. Le"&amp;"t's trust the science, let's obey the rules. There is no end-out epidemic in history. https://t.co/vrzmb8hhfc")</f>
        <v>The coronavirus receives its power from the environments we do not comply with the struggle rules of the epidemic. According to the rules of the mask, distance and cleanliness, the number of cases is easily controlled; We can beat the illness tomorrow. Let's trust the science, let's obey the rules. There is no end-out epidemic in history. https://t.co/vrzmb8hhfc</v>
      </c>
    </row>
    <row r="2334" spans="1:5" ht="15.75" customHeight="1" x14ac:dyDescent="0.25">
      <c r="A2334" s="1" t="s">
        <v>4667</v>
      </c>
      <c r="B2334" s="1">
        <v>8337</v>
      </c>
      <c r="C2334" s="3">
        <v>44062.673807870371</v>
      </c>
      <c r="D2334" s="1" t="s">
        <v>4668</v>
      </c>
      <c r="E2334" s="4" t="str">
        <f ca="1">IFERROR(__xludf.DUMMYFUNCTION("GOOGLETRANSLATE(A2334 , ""tr"" , ""en"")"),"The coronavirus receives its power from the environments we do not comply with the struggle rules of the epidemic. According to the rules of the mask, distance and cleanliness, the number of cases is easily controlled; We can beat the illness tomorrow. Le"&amp;"t's trust the science, let's obey the rules. There is no end-out epidemic in history. https://t.co/1ntf5znbkg")</f>
        <v>The coronavirus receives its power from the environments we do not comply with the struggle rules of the epidemic. According to the rules of the mask, distance and cleanliness, the number of cases is easily controlled; We can beat the illness tomorrow. Let's trust the science, let's obey the rules. There is no end-out epidemic in history. https://t.co/1ntf5znbkg</v>
      </c>
    </row>
    <row r="2335" spans="1:5" ht="15.75" customHeight="1" x14ac:dyDescent="0.25">
      <c r="A2335" s="1" t="s">
        <v>4669</v>
      </c>
      <c r="B2335" s="1">
        <v>10902</v>
      </c>
      <c r="C2335" s="3">
        <v>44062.673344907409</v>
      </c>
      <c r="D2335" s="1" t="s">
        <v>4670</v>
      </c>
      <c r="E2335" s="4" t="str">
        <f ca="1">IFERROR(__xludf.DUMMYFUNCTION("GOOGLETRANSLATE(A2335 , ""tr"" , ""en"")"),"The coronavirus receives its power from the environments we do not comply with the struggle rules of the epidemic. According to the rules of the mask, distance and cleanliness, the number of cases is easily controlled; We can beat the illness tomorrow. Le"&amp;"t's trust the science, let's obey the rules. There is no end-out epidemic in history. https://t.co/4qjywywr9g")</f>
        <v>The coronavirus receives its power from the environments we do not comply with the struggle rules of the epidemic. According to the rules of the mask, distance and cleanliness, the number of cases is easily controlled; We can beat the illness tomorrow. Let's trust the science, let's obey the rules. There is no end-out epidemic in history. https://t.co/4qjywywr9g</v>
      </c>
    </row>
    <row r="2336" spans="1:5" ht="15.75" customHeight="1" x14ac:dyDescent="0.25">
      <c r="A2336" s="1" t="s">
        <v>4671</v>
      </c>
      <c r="B2336" s="1">
        <v>51947</v>
      </c>
      <c r="C2336" s="3">
        <v>44062.105694444443</v>
      </c>
      <c r="D2336" s="1" t="s">
        <v>4672</v>
      </c>
      <c r="E2336" s="4" t="str">
        <f ca="1">IFERROR(__xludf.DUMMYFUNCTION("GOOGLETRANSLATE(A2336 , ""tr"" , ""en"")"),"The Mayor of the Covid-19, the COVID-19 has seen COVID-19 treatment in Konya Selçuk University Faculty of Medicine. Young but the disease is from living heavy. I wish himself from Allah to the mercy, their condolences. Let's reduce the bitter news by comp"&amp;"lying with the rules.")</f>
        <v>The Mayor of the Covid-19, the COVID-19 has seen COVID-19 treatment in Konya Selçuk University Faculty of Medicine. Young but the disease is from living heavy. I wish himself from Allah to the mercy, their condolences. Let's reduce the bitter news by complying with the rules.</v>
      </c>
    </row>
    <row r="2337" spans="1:5" ht="15.75" customHeight="1" x14ac:dyDescent="0.25">
      <c r="A2337" s="1" t="s">
        <v>4673</v>
      </c>
      <c r="B2337" s="1">
        <v>14001</v>
      </c>
      <c r="C2337" s="3">
        <v>44061.804965277777</v>
      </c>
      <c r="D2337" s="1" t="s">
        <v>4674</v>
      </c>
      <c r="E2337" s="4" t="str">
        <f ca="1">IFERROR(__xludf.DUMMYFUNCTION("GOOGLETRANSLATE(A2337 , ""tr"" , ""en"")"),"The zero point of the epidemic is forgotten Wuhan. The whole world has to struggle as if the secretion is the center. There are countries with heavy defeat in battle. We are among the best ones. Believe in the power of science and measures, let's fight in"&amp;" solidarity with our health amendment. Will be the virus that was eaten. https://t.co/vfbzcwor57")</f>
        <v>The zero point of the epidemic is forgotten Wuhan. The whole world has to struggle as if the secretion is the center. There are countries with heavy defeat in battle. We are among the best ones. Believe in the power of science and measures, let's fight in solidarity with our health amendment. Will be the virus that was eaten. https://t.co/vfbzcwor57</v>
      </c>
    </row>
    <row r="2338" spans="1:5" ht="15.75" customHeight="1" x14ac:dyDescent="0.25">
      <c r="A2338" s="1" t="s">
        <v>4675</v>
      </c>
      <c r="B2338" s="1">
        <v>11543</v>
      </c>
      <c r="C2338" s="3">
        <v>44061.80133101852</v>
      </c>
      <c r="D2338" s="1" t="s">
        <v>4676</v>
      </c>
      <c r="E2338" s="4" t="str">
        <f ca="1">IFERROR(__xludf.DUMMYFUNCTION("GOOGLETRANSLATE(A2338 , ""tr"" , ""en"")"),"The zero point of the epidemic is forgotten Wuhan. The whole world has to struggle as if the secretion is the center. There are countries with heavy defeat in battle. We are among the best ones. Believe in the power of science and measures, let's fight in"&amp;" solidarity with our health amendment. Will be the virus that was eaten. https://t.co/mzzj5cdlz4")</f>
        <v>The zero point of the epidemic is forgotten Wuhan. The whole world has to struggle as if the secretion is the center. There are countries with heavy defeat in battle. We are among the best ones. Believe in the power of science and measures, let's fight in solidarity with our health amendment. Will be the virus that was eaten. https://t.co/mzzj5cdlz4</v>
      </c>
    </row>
    <row r="2339" spans="1:5" ht="15.75" customHeight="1" x14ac:dyDescent="0.25">
      <c r="A2339" s="1" t="s">
        <v>4677</v>
      </c>
      <c r="B2339" s="1">
        <v>22472</v>
      </c>
      <c r="C2339" s="3">
        <v>44061.797500000001</v>
      </c>
      <c r="D2339" s="1" t="s">
        <v>4678</v>
      </c>
      <c r="E2339" s="4" t="str">
        <f ca="1">IFERROR(__xludf.DUMMYFUNCTION("GOOGLETRANSLATE(A2339 , ""tr"" , ""en"")"),"The zero point of the epidemic is forgotten Wuhan. The whole world has to struggle as if the secretion is the center. There are countries with heavy defeat in battle. We are among the best ones. Believe in the power of science and measures, let's fight in"&amp;" solidarity with our health amendment. Will be the virus that was eaten. https://t.co/67wfcfnjj4")</f>
        <v>The zero point of the epidemic is forgotten Wuhan. The whole world has to struggle as if the secretion is the center. There are countries with heavy defeat in battle. We are among the best ones. Believe in the power of science and measures, let's fight in solidarity with our health amendment. Will be the virus that was eaten. https://t.co/67wfcfnjj4</v>
      </c>
    </row>
    <row r="2340" spans="1:5" ht="15.75" customHeight="1" x14ac:dyDescent="0.25">
      <c r="A2340" s="1" t="s">
        <v>4679</v>
      </c>
      <c r="B2340" s="1">
        <v>37444</v>
      </c>
      <c r="C2340" s="3">
        <v>44061.693356481483</v>
      </c>
      <c r="D2340" s="1" t="s">
        <v>4680</v>
      </c>
      <c r="E2340" s="4" t="str">
        <f ca="1">IFERROR(__xludf.DUMMYFUNCTION("GOOGLETRANSLATE(A2340 , ""tr"" , ""en"")"),"In this table, the coronavirus test results described every day show the an average of 10 days ago. According to the results, the average 10 days ago, the virus has been contammon more than 1,263 people in environments. If we are committed, we may not rec"&amp;"ognize this power to the virus. https://t.co/rvlhe7786o https://t.co/mtyxxozahi")</f>
        <v>In this table, the coronavirus test results described every day show the an average of 10 days ago. According to the results, the average 10 days ago, the virus has been contammon more than 1,263 people in environments. If we are committed, we may not recognize this power to the virus. https://t.co/rvlhe7786o https://t.co/mtyxxozahi</v>
      </c>
    </row>
    <row r="2341" spans="1:5" ht="15.75" customHeight="1" x14ac:dyDescent="0.25">
      <c r="A2341" s="1" t="s">
        <v>4681</v>
      </c>
      <c r="B2341" s="1">
        <v>22245</v>
      </c>
      <c r="C2341" s="3">
        <v>44061.293425925927</v>
      </c>
      <c r="D2341" s="1" t="s">
        <v>4682</v>
      </c>
      <c r="E2341" s="4" t="str">
        <f ca="1">IFERROR(__xludf.DUMMYFUNCTION("GOOGLETRANSLATE(A2341 , ""tr"" , ""en"")"),"Children, teenagers; He is doing their best to the epidemic for their schools and its elders. If the guidelines are not observed they know how life is the contrary. Let's be prepared for September 21 to start face-to-face training: Let's not recognize the"&amp;" chance to spread the virus. Do you have to see the children so much? https://t.co/uajx2rp9qa")</f>
        <v>Children, teenagers; He is doing their best to the epidemic for their schools and its elders. If the guidelines are not observed they know how life is the contrary. Let's be prepared for September 21 to start face-to-face training: Let's not recognize the chance to spread the virus. Do you have to see the children so much? https://t.co/uajx2rp9qa</v>
      </c>
    </row>
    <row r="2342" spans="1:5" ht="15.75" customHeight="1" x14ac:dyDescent="0.25">
      <c r="A2342" s="1" t="s">
        <v>4683</v>
      </c>
      <c r="B2342" s="1">
        <v>31550</v>
      </c>
      <c r="C2342" s="3">
        <v>44060.747453703705</v>
      </c>
      <c r="D2342" s="1" t="s">
        <v>4684</v>
      </c>
      <c r="E2342" s="4" t="str">
        <f ca="1">IFERROR(__xludf.DUMMYFUNCTION("GOOGLETRANSLATE(A2342 , ""tr"" , ""en"")"),"Since March 11, our total number of patients diagnosed have passed 250 thousand. Isolated active patients with potential to spread disease 12.575. The majority of new patients can be recovered easily. However, the propagation is increasing the number of h"&amp;"eavy patients with difficult treatment. https://t.co/rvlhe7786o https://t.co/n7IPSJUJTK")</f>
        <v>Since March 11, our total number of patients diagnosed have passed 250 thousand. Isolated active patients with potential to spread disease 12.575. The majority of new patients can be recovered easily. However, the propagation is increasing the number of heavy patients with difficult treatment. https://t.co/rvlhe7786o https://t.co/n7IPSJUJTK</v>
      </c>
    </row>
    <row r="2343" spans="1:5" ht="15.75" customHeight="1" x14ac:dyDescent="0.25">
      <c r="A2343" s="1" t="s">
        <v>4685</v>
      </c>
      <c r="B2343" s="1">
        <v>39864</v>
      </c>
      <c r="C2343" s="3">
        <v>44060.669212962966</v>
      </c>
      <c r="D2343" s="1" t="s">
        <v>4686</v>
      </c>
      <c r="E2343" s="4" t="str">
        <f ca="1">IFERROR(__xludf.DUMMYFUNCTION("GOOGLETRANSLATE(A2343 , ""tr"" , ""en"")"),"""You declare the United Nations and declare the curfew in the world."" A flyers see the epidemic struggle in this mindset. Other flys; The illness, death says not inhabitant. Measures make both of the outbreaks and the fighting is possible.")</f>
        <v>"You declare the United Nations and declare the curfew in the world." A flyers see the epidemic struggle in this mindset. Other flys; The illness, death says not inhabitant. Measures make both of the outbreaks and the fighting is possible.</v>
      </c>
    </row>
    <row r="2344" spans="1:5" ht="15.75" customHeight="1" x14ac:dyDescent="0.25">
      <c r="A2344" s="1" t="s">
        <v>4687</v>
      </c>
      <c r="B2344" s="1">
        <v>22330</v>
      </c>
      <c r="C2344" s="3">
        <v>44060.418414351851</v>
      </c>
      <c r="D2344" s="1" t="s">
        <v>4688</v>
      </c>
      <c r="E2344" s="4" t="str">
        <f ca="1">IFERROR(__xludf.DUMMYFUNCTION("GOOGLETRANSLATE(A2344 , ""tr"" , ""en"")"),"A healthy adult breathes average 12 times per minute. Without even aware of. If the COVID-19 is the patient caused by pneumonia in the lung, even if they are spending all its energy to breathe. The patient is given to the oxygen to survive it with intubat"&amp;"ion that is a difficult method. https://t.co/IMU3x5ZQSV")</f>
        <v>A healthy adult breathes average 12 times per minute. Without even aware of. If the COVID-19 is the patient caused by pneumonia in the lung, even if they are spending all its energy to breathe. The patient is given to the oxygen to survive it with intubation that is a difficult method. https://t.co/IMU3x5ZQSV</v>
      </c>
    </row>
    <row r="2345" spans="1:5" ht="15.75" customHeight="1" x14ac:dyDescent="0.25">
      <c r="A2345" s="1" t="s">
        <v>4689</v>
      </c>
      <c r="B2345" s="1">
        <v>45519</v>
      </c>
      <c r="C2345" s="3">
        <v>44060.313460648147</v>
      </c>
      <c r="D2345" s="1" t="s">
        <v>4690</v>
      </c>
      <c r="E2345" s="4" t="str">
        <f ca="1">IFERROR(__xludf.DUMMYFUNCTION("GOOGLETRANSLATE(A2345 , ""tr"" , ""en"")"),"Where is our mask? https://t.co/rcmxqwdiud")</f>
        <v>Where is our mask? https://t.co/rcmxqwdiud</v>
      </c>
    </row>
    <row r="2346" spans="1:5" ht="15.75" customHeight="1" x14ac:dyDescent="0.25">
      <c r="A2346" s="1" t="s">
        <v>4691</v>
      </c>
      <c r="B2346" s="1">
        <v>24491</v>
      </c>
      <c r="C2346" s="3">
        <v>44060.23060185185</v>
      </c>
      <c r="D2346" s="1" t="s">
        <v>4692</v>
      </c>
      <c r="E2346" s="4" t="str">
        <f ca="1">IFERROR(__xludf.DUMMYFUNCTION("GOOGLETRANSLATE(A2346 , ""tr"" , ""en"")"),"Children and teens; their school is doing their best to success toward their big and outbreak. If the rules are not observed, however the greatest witness of life is right now they are. Let's reunify 83 million, let's move on from where we stayed in the w"&amp;"ar. Let's reduce the big little risk. Do we have? https://t.co/dguu0udozq")</f>
        <v>Children and teens; their school is doing their best to success toward their big and outbreak. If the rules are not observed, however the greatest witness of life is right now they are. Let's reunify 83 million, let's move on from where we stayed in the war. Let's reduce the big little risk. Do we have? https://t.co/dguu0udozq</v>
      </c>
    </row>
    <row r="2347" spans="1:5" ht="15.75" customHeight="1" x14ac:dyDescent="0.25">
      <c r="A2347" s="1" t="s">
        <v>4693</v>
      </c>
      <c r="B2347" s="1">
        <v>59024</v>
      </c>
      <c r="C2347" s="3">
        <v>44059.810844907406</v>
      </c>
      <c r="D2347" s="1" t="s">
        <v>4694</v>
      </c>
      <c r="E2347" s="4" t="str">
        <f ca="1">IFERROR(__xludf.DUMMYFUNCTION("GOOGLETRANSLATE(A2347 , ""tr"" , ""en"")"),"When it is stimulated because he did not wear his mask, ""You won't be in the human if you don't trust yourself."" There is already saying. Their themselves will be reviewed today tomorrow, under treatment, isolation or disease of the disease. When there "&amp;"is a reciprocal rule, what you need! https://t.co/wmtrvc63zk")</f>
        <v>When it is stimulated because he did not wear his mask, "You won't be in the human if you don't trust yourself." There is already saying. Their themselves will be reviewed today tomorrow, under treatment, isolation or disease of the disease. When there is a reciprocal rule, what you need! https://t.co/wmtrvc63zk</v>
      </c>
    </row>
    <row r="2348" spans="1:5" ht="15.75" customHeight="1" x14ac:dyDescent="0.25">
      <c r="A2348" s="1" t="s">
        <v>4695</v>
      </c>
      <c r="B2348" s="1">
        <v>33487</v>
      </c>
      <c r="C2348" s="3">
        <v>44059.729398148149</v>
      </c>
      <c r="D2348" s="1" t="s">
        <v>4696</v>
      </c>
      <c r="E2348" s="4" t="str">
        <f ca="1">IFERROR(__xludf.DUMMYFUNCTION("GOOGLETRANSLATE(A2348 , ""tr"" , ""en"")"),"Our new diagnostic count is less than the last one. 12,366 people are currently active patient: ie, has the potential to spread the virus. These and contacts are in isolation. Attention, if we keep ourselves from the outside risk, we succeed in faster. ht"&amp;"tps://t.co/rvlhe7786o https://t.co/whfnawtymy")</f>
        <v>Our new diagnostic count is less than the last one. 12,366 people are currently active patient: ie, has the potential to spread the virus. These and contacts are in isolation. Attention, if we keep ourselves from the outside risk, we succeed in faster. https://t.co/rvlhe7786o https://t.co/whfnawtymy</v>
      </c>
    </row>
    <row r="2349" spans="1:5" ht="15.75" customHeight="1" x14ac:dyDescent="0.25">
      <c r="A2349" s="1" t="s">
        <v>4697</v>
      </c>
      <c r="B2349" s="1">
        <v>68837</v>
      </c>
      <c r="C2349" s="3">
        <v>44059.545671296299</v>
      </c>
      <c r="D2349" s="1" t="s">
        <v>4698</v>
      </c>
      <c r="E2349" s="4" t="str">
        <f ca="1">IFERROR(__xludf.DUMMYFUNCTION("GOOGLETRANSLATE(A2349 , ""tr"" , ""en"")"),"Rule. Hope. Devotion. Lets. Let's return to the fight normal.")</f>
        <v>Rule. Hope. Devotion. Lets. Let's return to the fight normal.</v>
      </c>
    </row>
    <row r="2350" spans="1:5" ht="15.75" customHeight="1" x14ac:dyDescent="0.25">
      <c r="A2350" s="1" t="s">
        <v>4699</v>
      </c>
      <c r="B2350" s="1">
        <v>17564</v>
      </c>
      <c r="C2350" s="3">
        <v>44059.532361111109</v>
      </c>
      <c r="D2350" s="1" t="s">
        <v>4700</v>
      </c>
      <c r="E2350" s="4" t="str">
        <f ca="1">IFERROR(__xludf.DUMMYFUNCTION("GOOGLETRANSLATE(A2350 , ""tr"" , ""en"")"),"Children and teens; their school is doing their best to success toward their big and outbreak. If the rules are not observed, however the greatest witness of life is right now they are. Let's reunify 83 million, let's move on from where we stayed in the w"&amp;"ar. Let's reduce the big little risk. Do we have? https://t.co/wy55bwl6pk")</f>
        <v>Children and teens; their school is doing their best to success toward their big and outbreak. If the rules are not observed, however the greatest witness of life is right now they are. Let's reunify 83 million, let's move on from where we stayed in the war. Let's reduce the big little risk. Do we have? https://t.co/wy55bwl6pk</v>
      </c>
    </row>
    <row r="2351" spans="1:5" ht="15.75" customHeight="1" x14ac:dyDescent="0.25">
      <c r="A2351" s="1" t="s">
        <v>4701</v>
      </c>
      <c r="B2351" s="1">
        <v>59462</v>
      </c>
      <c r="C2351" s="3">
        <v>44059.251574074071</v>
      </c>
      <c r="D2351" s="1" t="s">
        <v>4702</v>
      </c>
      <c r="E2351" s="4" t="str">
        <f ca="1">IFERROR(__xludf.DUMMYFUNCTION("GOOGLETRANSLATE(A2351 , ""tr"" , ""en"")"),"Yesterday, we explained the highest number of cases of the last 45 days. We were expecting this result. Each of us, in the power unity, remember that we have received when we fight as a member of the outbreak of the social army. The virus-dependent virus "&amp;"against the measures cannot dissivate us. Are we together again in this battle?")</f>
        <v>Yesterday, we explained the highest number of cases of the last 45 days. We were expecting this result. Each of us, in the power unity, remember that we have received when we fight as a member of the outbreak of the social army. The virus-dependent virus against the measures cannot dissivate us. Are we together again in this battle?</v>
      </c>
    </row>
    <row r="2352" spans="1:5" ht="15.75" customHeight="1" x14ac:dyDescent="0.25">
      <c r="A2352" s="1" t="s">
        <v>4703</v>
      </c>
      <c r="B2352" s="1">
        <v>29025</v>
      </c>
      <c r="C2352" s="3">
        <v>44058.833993055552</v>
      </c>
      <c r="D2352" s="1" t="s">
        <v>4704</v>
      </c>
      <c r="E2352" s="4" t="str">
        <f ca="1">IFERROR(__xludf.DUMMYFUNCTION("GOOGLETRANSLATE(A2352 , ""tr"" , ""en"")"),"""Coronavirus I beat after 1 month of treatment. The spirit is very frustrating. The most powerful feeling I felt was loneliness. The man needs a hug as soon as he feels powerless. Should nobody forget Covid is a disease that has been done. You have to st"&amp;"ruggle in a room. "" https://t.co/pugxygyigz")</f>
        <v>"Coronavirus I beat after 1 month of treatment. The spirit is very frustrating. The most powerful feeling I felt was loneliness. The man needs a hug as soon as he feels powerless. Should nobody forget Covid is a disease that has been done. You have to struggle in a room. " https://t.co/pugxygyigz</v>
      </c>
    </row>
    <row r="2353" spans="1:5" ht="15.75" customHeight="1" x14ac:dyDescent="0.25">
      <c r="A2353" s="1" t="s">
        <v>4705</v>
      </c>
      <c r="B2353" s="1">
        <v>21014</v>
      </c>
      <c r="C2353" s="3">
        <v>44058.760358796295</v>
      </c>
      <c r="D2353" s="1" t="s">
        <v>4706</v>
      </c>
      <c r="E2353" s="4" t="str">
        <f ca="1">IFERROR(__xludf.DUMMYFUNCTION("GOOGLETRANSLATE(A2353 , ""tr"" , ""en"")"),"The intubation is a term of most of us learned from the case table; The process applied to severe patients who treats COVID-19. It is not easy for the patient but not the tube placed in the breathing path can't get enough oxygen to keep it alive. It is ve"&amp;"ry difficult not to breathe. Intubation is agitated. https://t.co/hatdvloh8x")</f>
        <v>The intubation is a term of most of us learned from the case table; The process applied to severe patients who treats COVID-19. It is not easy for the patient but not the tube placed in the breathing path can't get enough oxygen to keep it alive. It is very difficult not to breathe. Intubation is agitated. https://t.co/hatdvloh8x</v>
      </c>
    </row>
    <row r="2354" spans="1:5" ht="15.75" customHeight="1" x14ac:dyDescent="0.25">
      <c r="A2354" s="1" t="s">
        <v>4707</v>
      </c>
      <c r="B2354" s="1">
        <v>29492</v>
      </c>
      <c r="C2354" s="3">
        <v>44058.738287037035</v>
      </c>
      <c r="D2354" s="1" t="s">
        <v>4708</v>
      </c>
      <c r="E2354" s="4" t="str">
        <f ca="1">IFERROR(__xludf.DUMMYFUNCTION("GOOGLETRANSLATE(A2354 , ""tr"" , ""en"")"),"We have reached the highest positive diagnosis of the last 45 days. The number of severe patients with our critical indicator is usually in the risk group and are increasing with those who are caught in the disease. Let's reduce the number of new patients"&amp;", the number of severe patients, life losses together. https://t.co/rvlhe7786o https://t.co/g4r2aretju")</f>
        <v>We have reached the highest positive diagnosis of the last 45 days. The number of severe patients with our critical indicator is usually in the risk group and are increasing with those who are caught in the disease. Let's reduce the number of new patients, the number of severe patients, life losses together. https://t.co/rvlhe7786o https://t.co/g4r2aretju</v>
      </c>
    </row>
    <row r="2355" spans="1:5" ht="15.75" customHeight="1" x14ac:dyDescent="0.25">
      <c r="A2355" s="1" t="s">
        <v>4709</v>
      </c>
      <c r="B2355" s="1">
        <v>69814</v>
      </c>
      <c r="C2355" s="3">
        <v>44058.720312500001</v>
      </c>
      <c r="D2355" s="1" t="s">
        <v>4710</v>
      </c>
      <c r="E2355" s="4" t="str">
        <f ca="1">IFERROR(__xludf.DUMMYFUNCTION("GOOGLETRANSLATE(A2355 , ""tr"" , ""en"")"),"The virus is not spreading while standing and standing. With those who says nothing to me, it is spreading with the support of those who don't hurt anyone else. Some of us are seriously ill. And many of us are losing their closest life.")</f>
        <v>The virus is not spreading while standing and standing. With those who says nothing to me, it is spreading with the support of those who don't hurt anyone else. Some of us are seriously ill. And many of us are losing their closest life.</v>
      </c>
    </row>
    <row r="2356" spans="1:5" ht="15.75" customHeight="1" x14ac:dyDescent="0.25">
      <c r="A2356" s="1" t="s">
        <v>4711</v>
      </c>
      <c r="B2356" s="1">
        <v>72427</v>
      </c>
      <c r="C2356" s="3">
        <v>44058.544074074074</v>
      </c>
      <c r="D2356" s="1" t="s">
        <v>4712</v>
      </c>
      <c r="E2356" s="4" t="str">
        <f ca="1">IFERROR(__xludf.DUMMYFUNCTION("GOOGLETRANSLATE(A2356 , ""tr"" , ""en"")"),"The world is tired. Not only you. Don't give up on a hug in life. One day, necessarily will be the last day of the epidemic. This epidemic will end up with all the outbreaks experienced by humanity. Experience your social life controlled. Fighting COVID-1"&amp;"9, let life be an indispensable part of our struggle.")</f>
        <v>The world is tired. Not only you. Don't give up on a hug in life. One day, necessarily will be the last day of the epidemic. This epidemic will end up with all the outbreaks experienced by humanity. Experience your social life controlled. Fighting COVID-19, let life be an indispensable part of our struggle.</v>
      </c>
    </row>
    <row r="2357" spans="1:5" ht="15.75" customHeight="1" x14ac:dyDescent="0.25">
      <c r="A2357" s="1" t="s">
        <v>4713</v>
      </c>
      <c r="B2357" s="1">
        <v>20065</v>
      </c>
      <c r="C2357" s="3">
        <v>44058.419444444444</v>
      </c>
      <c r="D2357" s="1" t="s">
        <v>4714</v>
      </c>
      <c r="E2357" s="4" t="str">
        <f ca="1">IFERROR(__xludf.DUMMYFUNCTION("GOOGLETRANSLATE(A2357 , ""tr"" , ""en"")"),"The middle of the August. Weekend. If we have a little resting from the hot, let's accept the beginning: where the coronavirus is not in the old days. Be the distance with everyone you don't live in the same house. The mask is not very condition if there "&amp;"is no stranger in the vicinity. Crowded vacation? Is risky since March. https://t.co/hp9erjjtmr")</f>
        <v>The middle of the August. Weekend. If we have a little resting from the hot, let's accept the beginning: where the coronavirus is not in the old days. Be the distance with everyone you don't live in the same house. The mask is not very condition if there is no stranger in the vicinity. Crowded vacation? Is risky since March. https://t.co/hp9erjjtmr</v>
      </c>
    </row>
    <row r="2358" spans="1:5" ht="15.75" customHeight="1" x14ac:dyDescent="0.2">
      <c r="A2358" s="5" t="s">
        <v>4715</v>
      </c>
      <c r="B2358" s="1">
        <v>20810</v>
      </c>
      <c r="C2358" s="3">
        <v>44058.375636574077</v>
      </c>
      <c r="D2358" s="1" t="s">
        <v>4716</v>
      </c>
      <c r="E2358" s="6" t="str">
        <f ca="1">IFERROR(__xludf.DUMMYFUNCTION("GOOGLETRANSLATE(A2358 , ""tr"" , ""en"")"),"https://t.co/lisztqqikv")</f>
        <v>https://t.co/lisztqqikv</v>
      </c>
    </row>
    <row r="2359" spans="1:5" ht="15.75" customHeight="1" x14ac:dyDescent="0.2">
      <c r="A2359" s="5" t="s">
        <v>4717</v>
      </c>
      <c r="B2359" s="1">
        <v>21801</v>
      </c>
      <c r="C2359" s="3">
        <v>44058.334143518521</v>
      </c>
      <c r="D2359" s="1" t="s">
        <v>4718</v>
      </c>
      <c r="E2359" s="6" t="str">
        <f ca="1">IFERROR(__xludf.DUMMYFUNCTION("GOOGLETRANSLATE(A2359 , ""tr"" , ""en"")"),"https://t.co/Ikcnlntgyz")</f>
        <v>https://t.co/Ikcnlntgyz</v>
      </c>
    </row>
    <row r="2360" spans="1:5" ht="15.75" customHeight="1" x14ac:dyDescent="0.25">
      <c r="A2360" s="1" t="s">
        <v>4719</v>
      </c>
      <c r="B2360" s="1">
        <v>39228</v>
      </c>
      <c r="C2360" s="3">
        <v>44058.246886574074</v>
      </c>
      <c r="D2360" s="1" t="s">
        <v>4720</v>
      </c>
      <c r="E2360" s="4" t="str">
        <f ca="1">IFERROR(__xludf.DUMMYFUNCTION("GOOGLETRANSLATE(A2360 , ""tr"" , ""en"")"),"Number of new patients yesterday: 1.226
Number of severe patients: 656
The virus of severe patients usually pass through the illness of the disease or without lacking. You don't know what severe patients live, without living. Although warm, insert your ma"&amp;"sk, try to obey the distance rule if you are forced.")</f>
        <v>Number of new patients yesterday: 1.226
Number of severe patients: 656
The virus of severe patients usually pass through the illness of the disease or without lacking. You don't know what severe patients live, without living. Although warm, insert your mask, try to obey the distance rule if you are forced.</v>
      </c>
    </row>
    <row r="2361" spans="1:5" ht="15.75" customHeight="1" x14ac:dyDescent="0.25">
      <c r="A2361" s="1" t="s">
        <v>4721</v>
      </c>
      <c r="B2361" s="1">
        <v>48733</v>
      </c>
      <c r="C2361" s="3">
        <v>44057.8674537037</v>
      </c>
      <c r="D2361" s="1" t="s">
        <v>4722</v>
      </c>
      <c r="E2361" s="4" t="str">
        <f ca="1">IFERROR(__xludf.DUMMYFUNCTION("GOOGLETRANSLATE(A2361 , ""tr"" , ""en"")"),"Let's think about all the possible ones these days. https://t.co/4voc0ca0pw")</f>
        <v>Let's think about all the possible ones these days. https://t.co/4voc0ca0pw</v>
      </c>
    </row>
    <row r="2362" spans="1:5" ht="15.75" customHeight="1" x14ac:dyDescent="0.25">
      <c r="A2362" s="1" t="s">
        <v>4723</v>
      </c>
      <c r="B2362" s="1">
        <v>9534</v>
      </c>
      <c r="C2362" s="3">
        <v>44057.822222222225</v>
      </c>
      <c r="D2362" s="1" t="s">
        <v>4724</v>
      </c>
      <c r="E2362" s="4" t="str">
        <f ca="1">IFERROR(__xludf.DUMMYFUNCTION("GOOGLETRANSLATE(A2362 , ""tr"" , ""en"")"),"August 14 Provincial Evaluation Meetings. 15 We have a meeting individually with the health managers of our provinces. We have addressed the case increases, new measures in the field. The subject that doesn't change in the interviews, what do you think? T"&amp;"he patients are caught in the illness for simple reasons. https://t.co/mdnz0ushoc")</f>
        <v>August 14 Provincial Evaluation Meetings. 15 We have a meeting individually with the health managers of our provinces. We have addressed the case increases, new measures in the field. The subject that doesn't change in the interviews, what do you think? The patients are caught in the illness for simple reasons. https://t.co/mdnz0ushoc</v>
      </c>
    </row>
    <row r="2363" spans="1:5" ht="15.75" customHeight="1" x14ac:dyDescent="0.25">
      <c r="A2363" s="1" t="s">
        <v>4725</v>
      </c>
      <c r="B2363" s="1">
        <v>59466</v>
      </c>
      <c r="C2363" s="3">
        <v>44057.784583333334</v>
      </c>
      <c r="D2363" s="1" t="s">
        <v>4726</v>
      </c>
      <c r="E2363" s="4" t="str">
        <f ca="1">IFERROR(__xludf.DUMMYFUNCTION("GOOGLETRANSLATE(A2363 , ""tr"" , ""en"")"),"The nurse serving in Corum has lost Fatma Fatma, four children in the fire where five people have lost in the 4-year-old daughter Elif and his 8 year old son Yusuf. We can't find the words that will relieve this pain. We feel the pain in our heart as heal"&amp;"th workers.")</f>
        <v>The nurse serving in Corum has lost Fatma Fatma, four children in the fire where five people have lost in the 4-year-old daughter Elif and his 8 year old son Yusuf. We can't find the words that will relieve this pain. We feel the pain in our heart as health workers.</v>
      </c>
    </row>
    <row r="2364" spans="1:5" ht="15.75" customHeight="1" x14ac:dyDescent="0.2">
      <c r="A2364" s="5" t="s">
        <v>4727</v>
      </c>
      <c r="B2364" s="1">
        <v>18538</v>
      </c>
      <c r="C2364" s="3">
        <v>44057.750543981485</v>
      </c>
      <c r="D2364" s="1" t="s">
        <v>4728</v>
      </c>
      <c r="E2364" s="6" t="str">
        <f ca="1">IFERROR(__xludf.DUMMYFUNCTION("GOOGLETRANSLATE(A2364 , ""tr"" , ""en"")"),"https://t.co/aeeyxpiya1")</f>
        <v>https://t.co/aeeyxpiya1</v>
      </c>
    </row>
    <row r="2365" spans="1:5" ht="15.75" customHeight="1" x14ac:dyDescent="0.25">
      <c r="A2365" s="1" t="s">
        <v>4729</v>
      </c>
      <c r="B2365" s="1">
        <v>27190</v>
      </c>
      <c r="C2365" s="3">
        <v>44057.718449074076</v>
      </c>
      <c r="D2365" s="1" t="s">
        <v>4730</v>
      </c>
      <c r="E2365" s="4" t="str">
        <f ca="1">IFERROR(__xludf.DUMMYFUNCTION("GOOGLETRANSLATE(A2365 , ""tr"" , ""en"")"),"We have reached the highest number of tests. Our severe patient number increased to 656. The data is in the risk group due to the age or disease and shows that the number of caught in COVID-19 is increased. Take risks on the outside and do not carry it ho"&amp;"me. 1 patient means a sick family. https://t.co/rvlhe7786o https://t.co/kgun3jt4jn")</f>
        <v>We have reached the highest number of tests. Our severe patient number increased to 656. The data is in the risk group due to the age or disease and shows that the number of caught in COVID-19 is increased. Take risks on the outside and do not carry it home. 1 patient means a sick family. https://t.co/rvlhe7786o https://t.co/kgun3jt4jn</v>
      </c>
    </row>
    <row r="2366" spans="1:5" ht="15.75" customHeight="1" x14ac:dyDescent="0.25">
      <c r="A2366" s="1" t="s">
        <v>4731</v>
      </c>
      <c r="B2366" s="1">
        <v>33192</v>
      </c>
      <c r="C2366" s="3">
        <v>44057.657268518517</v>
      </c>
      <c r="D2366" s="1" t="s">
        <v>4732</v>
      </c>
      <c r="E2366" s="4" t="str">
        <f ca="1">IFERROR(__xludf.DUMMYFUNCTION("GOOGLETRANSLATE(A2366 , ""tr"" , ""en"")"),"It is difficult to struggle with the virus, instead of taking measures at the beginning, after being caught in the illness. At the moment, we have 647 heavy patients who closely knows how difficult it is.")</f>
        <v>It is difficult to struggle with the virus, instead of taking measures at the beginning, after being caught in the illness. At the moment, we have 647 heavy patients who closely knows how difficult it is.</v>
      </c>
    </row>
    <row r="2367" spans="1:5" ht="15.75" customHeight="1" x14ac:dyDescent="0.25">
      <c r="A2367" s="1" t="s">
        <v>4733</v>
      </c>
      <c r="B2367" s="1">
        <v>51340</v>
      </c>
      <c r="C2367" s="3">
        <v>44057.634525462963</v>
      </c>
      <c r="D2367" s="1" t="s">
        <v>4734</v>
      </c>
      <c r="E2367" s="4" t="str">
        <f ca="1">IFERROR(__xludf.DUMMYFUNCTION("GOOGLETRANSLATE(A2367 , ""tr"" , ""en"")"),"We are not difficult to protect ourselidism. It is easy because the rules are certain. What is hard? Let's think together. My answer is half an hour later.")</f>
        <v>We are not difficult to protect ourselidism. It is easy because the rules are certain. What is hard? Let's think together. My answer is half an hour later.</v>
      </c>
    </row>
    <row r="2368" spans="1:5" ht="15.75" customHeight="1" x14ac:dyDescent="0.25">
      <c r="A2368" s="1" t="s">
        <v>4735</v>
      </c>
      <c r="B2368" s="1">
        <v>19688</v>
      </c>
      <c r="C2368" s="3">
        <v>44057.480023148149</v>
      </c>
      <c r="D2368" s="1" t="s">
        <v>4736</v>
      </c>
      <c r="E2368" s="4" t="str">
        <f ca="1">IFERROR(__xludf.DUMMYFUNCTION("GOOGLETRANSLATE(A2368 , ""tr"" , ""en"")"),"Our children make sacrifices from our youth lives. Do not leave this unrequited. Follow the letters to the measures. In September 21, when the school is moved to face to face in school, the cases are reduced. Let's offer more secure conditions. We are as "&amp;"sensitive as parents, our son .. https://t.co/gdzp1nu42y")</f>
        <v>Our children make sacrifices from our youth lives. Do not leave this unrequited. Follow the letters to the measures. In September 21, when the school is moved to face to face in school, the cases are reduced. Let's offer more secure conditions. We are as sensitive as parents, our son .. https://t.co/gdzp1nu42y</v>
      </c>
    </row>
    <row r="2369" spans="1:5" ht="15.75" customHeight="1" x14ac:dyDescent="0.25">
      <c r="A2369" s="1" t="s">
        <v>4737</v>
      </c>
      <c r="B2369" s="1">
        <v>10598</v>
      </c>
      <c r="C2369" s="3">
        <v>44057.479895833334</v>
      </c>
      <c r="D2369" s="1" t="s">
        <v>4738</v>
      </c>
      <c r="E2369" s="4" t="str">
        <f ca="1">IFERROR(__xludf.DUMMYFUNCTION("GOOGLETRANSLATE(A2369 , ""tr"" , ""en"")"),"Our children make sacrifices from our youth lives. Do not leave this unrequited. Follow the letters to the measures. In September 21, when the school is moved to face to face in school, the cases are reduced. Let's offer more secure conditions. We're pare"&amp;"nts, as sensitive to our son .. https://t.co/1fg40s1i1u")</f>
        <v>Our children make sacrifices from our youth lives. Do not leave this unrequited. Follow the letters to the measures. In September 21, when the school is moved to face to face in school, the cases are reduced. Let's offer more secure conditions. We're parents, as sensitive to our son .. https://t.co/1fg40s1i1u</v>
      </c>
    </row>
    <row r="2370" spans="1:5" ht="15.75" customHeight="1" x14ac:dyDescent="0.25">
      <c r="A2370" s="1" t="s">
        <v>4739</v>
      </c>
      <c r="B2370" s="1">
        <v>15990</v>
      </c>
      <c r="C2370" s="3">
        <v>44057.314849537041</v>
      </c>
      <c r="D2370" s="1" t="s">
        <v>4740</v>
      </c>
      <c r="E2370" s="4" t="str">
        <f ca="1">IFERROR(__xludf.DUMMYFUNCTION("GOOGLETRANSLATE(A2370 , ""tr"" , ""en"")"),"Our children make sacrifices from our youth lives. Do not leave this unrequited. Follow the letters to the measures. In September 21, when the school is moved to face to face in school, the cases are reduced. Let's offer more secure conditions. We are as "&amp;"sensitive as our parents, our son .. https://t.co/5tndoptlzf")</f>
        <v>Our children make sacrifices from our youth lives. Do not leave this unrequited. Follow the letters to the measures. In September 21, when the school is moved to face to face in school, the cases are reduced. Let's offer more secure conditions. We are as sensitive as our parents, our son .. https://t.co/5tndoptlzf</v>
      </c>
    </row>
    <row r="2371" spans="1:5" ht="15.75" customHeight="1" x14ac:dyDescent="0.25">
      <c r="A2371" s="1" t="s">
        <v>4741</v>
      </c>
      <c r="B2371" s="1">
        <v>20880</v>
      </c>
      <c r="C2371" s="3">
        <v>44057.314733796295</v>
      </c>
      <c r="D2371" s="1" t="s">
        <v>4742</v>
      </c>
      <c r="E2371" s="4" t="str">
        <f ca="1">IFERROR(__xludf.DUMMYFUNCTION("GOOGLETRANSLATE(A2371 , ""tr"" , ""en"")"),"Our children make sacrifices from our youth lives. Do not leave this unrequited. Follow the letters to the measures. In September 21, when the school is moved to face to face in school, the cases are reduced. Let's offer more secure conditions. We are as "&amp;"sensitive as parents, our son .. https://t.co/ohkkmdhyva")</f>
        <v>Our children make sacrifices from our youth lives. Do not leave this unrequited. Follow the letters to the measures. In September 21, when the school is moved to face to face in school, the cases are reduced. Let's offer more secure conditions. We are as sensitive as parents, our son .. https://t.co/ohkkmdhyva</v>
      </c>
    </row>
    <row r="2372" spans="1:5" ht="15.75" customHeight="1" x14ac:dyDescent="0.25">
      <c r="A2372" s="1" t="s">
        <v>4743</v>
      </c>
      <c r="B2372" s="1">
        <v>95992</v>
      </c>
      <c r="C2372" s="3">
        <v>44056.761099537034</v>
      </c>
      <c r="D2372" s="1" t="s">
        <v>4744</v>
      </c>
      <c r="E2372" s="4" t="str">
        <f ca="1">IFERROR(__xludf.DUMMYFUNCTION("GOOGLETRANSLATE(A2372 , ""tr"" , ""en"")"),"The COVID-19 test has a positive friend who is going to visit the visit. Though he had not gone, the number of new patients will be 1.243 instead of 1.243. To 1 person itself infected. It is not very difficult to fight COVID-19. Enough that let's obey the"&amp;" rules.")</f>
        <v>The COVID-19 test has a positive friend who is going to visit the visit. Though he had not gone, the number of new patients will be 1.243 instead of 1.243. To 1 person itself infected. It is not very difficult to fight COVID-19. Enough that let's obey the rules.</v>
      </c>
    </row>
    <row r="2373" spans="1:5" ht="15.75" customHeight="1" x14ac:dyDescent="0.25">
      <c r="A2373" s="1" t="s">
        <v>4745</v>
      </c>
      <c r="B2373" s="1">
        <v>39748</v>
      </c>
      <c r="C2373" s="3">
        <v>44056.708796296298</v>
      </c>
      <c r="D2373" s="1" t="s">
        <v>4746</v>
      </c>
      <c r="E2373" s="4" t="str">
        <f ca="1">IFERROR(__xludf.DUMMYFUNCTION("GOOGLETRANSLATE(A2373 , ""tr"" , ""en"")"),"The patient has started to gain continuity in our number. There are 15 rises if the heavy patient is in our number. 5.807 Our Filliation Team is contacted scan. Number of contact scanning between August 6-13 349.003. To our health ormit, support the rules"&amp;". https://t.co/rvlhe7786o https://t.co/iipeuuaguk")</f>
        <v>The patient has started to gain continuity in our number. There are 15 rises if the heavy patient is in our number. 5.807 Our Filliation Team is contacted scan. Number of contact scanning between August 6-13 349.003. To our health ormit, support the rules. https://t.co/rvlhe7786o https://t.co/iipeuuaguk</v>
      </c>
    </row>
    <row r="2374" spans="1:5" ht="15.75" customHeight="1" x14ac:dyDescent="0.25">
      <c r="A2374" s="1" t="s">
        <v>4747</v>
      </c>
      <c r="B2374" s="1">
        <v>0</v>
      </c>
      <c r="C2374" s="3">
        <v>44056.666701388887</v>
      </c>
      <c r="D2374" s="1" t="s">
        <v>4748</v>
      </c>
      <c r="E2374" s="4" t="str">
        <f ca="1">IFERROR(__xludf.DUMMYFUNCTION("GOOGLETRANSLATE(A2374 , ""tr"" , ""en"")"),"RT @rterdogan: AK Party 19. Organization Year Current # Aksevda19")</f>
        <v>RT @rterdogan: AK Party 19. Organization Year Current # Aksevda19</v>
      </c>
    </row>
    <row r="2375" spans="1:5" ht="15.75" customHeight="1" x14ac:dyDescent="0.2">
      <c r="A2375" s="5" t="s">
        <v>4749</v>
      </c>
      <c r="B2375" s="1">
        <v>47652</v>
      </c>
      <c r="C2375" s="3">
        <v>44056.5862037037</v>
      </c>
      <c r="D2375" s="1" t="s">
        <v>4750</v>
      </c>
      <c r="E2375" s="6" t="str">
        <f ca="1">IFERROR(__xludf.DUMMYFUNCTION("GOOGLETRANSLATE(A2375 , ""tr"" , ""en"")"),"https://t.co/pa26hqmvmt")</f>
        <v>https://t.co/pa26hqmvmt</v>
      </c>
    </row>
    <row r="2376" spans="1:5" ht="15.75" customHeight="1" x14ac:dyDescent="0.25">
      <c r="A2376" s="1" t="s">
        <v>4751</v>
      </c>
      <c r="B2376" s="1">
        <v>67812</v>
      </c>
      <c r="C2376" s="3">
        <v>44056.335486111115</v>
      </c>
      <c r="D2376" s="1" t="s">
        <v>4752</v>
      </c>
      <c r="E2376" s="4" t="str">
        <f ca="1">IFERROR(__xludf.DUMMYFUNCTION("GOOGLETRANSLATE(A2376 , ""tr"" , ""en"")"),"Dear children and teens. Schools will first be opened with distance education first. Face-to-face training is on September 21. The cause of coronavirus. This virus is able to get you too. It impairs his health when you pass on your grew. Follow the rules."&amp;" Alert those who do not comply with my school. https://t.co/l2yphyz8po")</f>
        <v>Dear children and teens. Schools will first be opened with distance education first. Face-to-face training is on September 21. The cause of coronavirus. This virus is able to get you too. It impairs his health when you pass on your grew. Follow the rules. Alert those who do not comply with my school. https://t.co/l2yphyz8po</v>
      </c>
    </row>
    <row r="2377" spans="1:5" ht="15.75" customHeight="1" x14ac:dyDescent="0.25">
      <c r="A2377" s="1" t="s">
        <v>4753</v>
      </c>
      <c r="B2377" s="1">
        <v>16657</v>
      </c>
      <c r="C2377" s="3">
        <v>44055.857546296298</v>
      </c>
      <c r="D2377" s="1" t="s">
        <v>4754</v>
      </c>
      <c r="E2377" s="4" t="str">
        <f ca="1">IFERROR(__xludf.DUMMYFUNCTION("GOOGLETRANSLATE(A2377 , ""tr"" , ""en"")"),"COVID-19 epidemic all over the world, affects life in every area. Health, the most dramatic side of the epidemic. We are tired. But if we give up, we should know that what we are scared can come to our head. As in all outbreaks in history, humanity will g"&amp;"ain this war. Let's be among the winners. https://t.co/zyu5cmcouq")</f>
        <v>COVID-19 epidemic all over the world, affects life in every area. Health, the most dramatic side of the epidemic. We are tired. But if we give up, we should know that what we are scared can come to our head. As in all outbreaks in history, humanity will gain this war. Let's be among the winners. https://t.co/zyu5cmcouq</v>
      </c>
    </row>
    <row r="2378" spans="1:5" ht="15.75" customHeight="1" x14ac:dyDescent="0.2">
      <c r="A2378" s="5" t="s">
        <v>4755</v>
      </c>
      <c r="B2378" s="1">
        <v>21676</v>
      </c>
      <c r="C2378" s="3">
        <v>44055.824895833335</v>
      </c>
      <c r="D2378" s="1" t="s">
        <v>4756</v>
      </c>
      <c r="E2378" s="6" t="str">
        <f ca="1">IFERROR(__xludf.DUMMYFUNCTION("GOOGLETRANSLATE(A2378 , ""tr"" , ""en"")"),"https://t.co/txbwfz8vol")</f>
        <v>https://t.co/txbwfz8vol</v>
      </c>
    </row>
    <row r="2379" spans="1:5" ht="15.75" customHeight="1" x14ac:dyDescent="0.25">
      <c r="A2379" s="1" t="s">
        <v>4757</v>
      </c>
      <c r="B2379" s="1">
        <v>36333</v>
      </c>
      <c r="C2379" s="3">
        <v>44055.784398148149</v>
      </c>
      <c r="D2379" s="1" t="s">
        <v>4758</v>
      </c>
      <c r="E2379" s="4" t="str">
        <f ca="1">IFERROR(__xludf.DUMMYFUNCTION("GOOGLETRANSLATE(A2379 , ""tr"" , ""en"")"),"From March 2, we reached the maximum number of tests in the last 24 hours. There are 15 rises in our severe patients number. The propagation of the disease is fast in constant environments, for example in the family. A patient means a family caught in the"&amp;" disease. Let each of us take measures for all of us. https://t.co/rvlhe7786o https://t.co/53ppsmqygk")</f>
        <v>From March 2, we reached the maximum number of tests in the last 24 hours. There are 15 rises in our severe patients number. The propagation of the disease is fast in constant environments, for example in the family. A patient means a family caught in the disease. Let each of us take measures for all of us. https://t.co/rvlhe7786o https://t.co/53ppsmqygk</v>
      </c>
    </row>
    <row r="2380" spans="1:5" ht="15.75" customHeight="1" x14ac:dyDescent="0.2">
      <c r="A2380" s="5" t="s">
        <v>4759</v>
      </c>
      <c r="B2380" s="1">
        <v>41411</v>
      </c>
      <c r="C2380" s="3">
        <v>44055.694837962961</v>
      </c>
      <c r="D2380" s="1" t="s">
        <v>4760</v>
      </c>
      <c r="E2380" s="6" t="str">
        <f ca="1">IFERROR(__xludf.DUMMYFUNCTION("GOOGLETRANSLATE(A2380 , ""tr"" , ""en"")"),"https://t.co/jzimdpn5os")</f>
        <v>https://t.co/jzimdpn5os</v>
      </c>
    </row>
    <row r="2381" spans="1:5" ht="15.75" customHeight="1" x14ac:dyDescent="0.2">
      <c r="A2381" s="5" t="s">
        <v>4761</v>
      </c>
      <c r="B2381" s="1">
        <v>16967</v>
      </c>
      <c r="C2381" s="3">
        <v>44055.584930555553</v>
      </c>
      <c r="D2381" s="1" t="s">
        <v>4762</v>
      </c>
      <c r="E2381" s="6" t="str">
        <f ca="1">IFERROR(__xludf.DUMMYFUNCTION("GOOGLETRANSLATE(A2381 , ""tr"" , ""en"")"),"https://t.co/wdccxu71bc")</f>
        <v>https://t.co/wdccxu71bc</v>
      </c>
    </row>
    <row r="2382" spans="1:5" ht="15.75" customHeight="1" x14ac:dyDescent="0.2">
      <c r="A2382" s="5" t="s">
        <v>4763</v>
      </c>
      <c r="B2382" s="1">
        <v>32021</v>
      </c>
      <c r="C2382" s="3">
        <v>44055.336759259262</v>
      </c>
      <c r="D2382" s="1" t="s">
        <v>4764</v>
      </c>
      <c r="E2382" s="6" t="str">
        <f ca="1">IFERROR(__xludf.DUMMYFUNCTION("GOOGLETRANSLATE(A2382 , ""tr"" , ""en"")"),"https://t.co/aab2kpshkg")</f>
        <v>https://t.co/aab2kpshkg</v>
      </c>
    </row>
    <row r="2383" spans="1:5" ht="15.75" customHeight="1" x14ac:dyDescent="0.25">
      <c r="A2383" s="1" t="s">
        <v>4765</v>
      </c>
      <c r="B2383" s="1">
        <v>56446</v>
      </c>
      <c r="C2383" s="3">
        <v>44054.756805555553</v>
      </c>
      <c r="D2383" s="1" t="s">
        <v>4766</v>
      </c>
      <c r="E2383" s="4" t="str">
        <f ca="1">IFERROR(__xludf.DUMMYFUNCTION("GOOGLETRANSLATE(A2383 , ""tr"" , ""en"")"),"A study at Pain Dogubayazit State Hospital is attacked yesterday. The attack was on the warning of the social distance near the patient with the suspicion of COVID-19. Health workers are ready for all kinds of sacrifice. But it is not. https://t.co/zjl2gs"&amp;"t4o7")</f>
        <v>A study at Pain Dogubayazit State Hospital is attacked yesterday. The attack was on the warning of the social distance near the patient with the suspicion of COVID-19. Health workers are ready for all kinds of sacrifice. But it is not. https://t.co/zjl2gst4o7</v>
      </c>
    </row>
    <row r="2384" spans="1:5" ht="15.75" customHeight="1" x14ac:dyDescent="0.25">
      <c r="A2384" s="1" t="s">
        <v>4767</v>
      </c>
      <c r="B2384" s="1">
        <v>33367</v>
      </c>
      <c r="C2384" s="3">
        <v>44054.717534722222</v>
      </c>
      <c r="D2384" s="1" t="s">
        <v>4768</v>
      </c>
      <c r="E2384" s="4" t="str">
        <f ca="1">IFERROR(__xludf.DUMMYFUNCTION("GOOGLETRANSLATE(A2384 , ""tr"" , ""en"")"),"There are 32% reduction in hospitalization in the last 3 days. However, the number of severe patients with one of the most important indicators of the process continues to increase. Our first 5 provinces seen in the last 3 days: Istanbul, Ankara, Konya, D"&amp;"iyarbakir, Şanlıurfa. https://t.co/rvlhe7786o https://t.co/lnIahorczz")</f>
        <v>There are 32% reduction in hospitalization in the last 3 days. However, the number of severe patients with one of the most important indicators of the process continues to increase. Our first 5 provinces seen in the last 3 days: Istanbul, Ankara, Konya, Diyarbakir, Şanlıurfa. https://t.co/rvlhe7786o https://t.co/lnIahorczz</v>
      </c>
    </row>
    <row r="2385" spans="1:5" ht="15.75" customHeight="1" x14ac:dyDescent="0.2">
      <c r="A2385" s="5" t="s">
        <v>4769</v>
      </c>
      <c r="B2385" s="1">
        <v>16433</v>
      </c>
      <c r="C2385" s="3">
        <v>44054.585798611108</v>
      </c>
      <c r="D2385" s="1" t="s">
        <v>4770</v>
      </c>
      <c r="E2385" s="6" t="str">
        <f ca="1">IFERROR(__xludf.DUMMYFUNCTION("GOOGLETRANSLATE(A2385 , ""tr"" , ""en"")"),"https://t.co/v29bshbmtr")</f>
        <v>https://t.co/v29bshbmtr</v>
      </c>
    </row>
    <row r="2386" spans="1:5" ht="15.75" customHeight="1" x14ac:dyDescent="0.2">
      <c r="A2386" s="5" t="s">
        <v>4771</v>
      </c>
      <c r="B2386" s="1">
        <v>27358</v>
      </c>
      <c r="C2386" s="3">
        <v>44054.458298611113</v>
      </c>
      <c r="D2386" s="1" t="s">
        <v>4772</v>
      </c>
      <c r="E2386" s="6" t="str">
        <f ca="1">IFERROR(__xludf.DUMMYFUNCTION("GOOGLETRANSLATE(A2386 , ""tr"" , ""en"")"),"https://t.co/ryjk9o2ksd")</f>
        <v>https://t.co/ryjk9o2ksd</v>
      </c>
    </row>
    <row r="2387" spans="1:5" ht="15.75" customHeight="1" x14ac:dyDescent="0.2">
      <c r="A2387" s="5" t="s">
        <v>4773</v>
      </c>
      <c r="B2387" s="1">
        <v>38809</v>
      </c>
      <c r="C2387" s="3">
        <v>44054.271168981482</v>
      </c>
      <c r="D2387" s="1" t="s">
        <v>4774</v>
      </c>
      <c r="E2387" s="6" t="str">
        <f ca="1">IFERROR(__xludf.DUMMYFUNCTION("GOOGLETRANSLATE(A2387 , ""tr"" , ""en"")"),"https://t.co/dbydrujaac")</f>
        <v>https://t.co/dbydrujaac</v>
      </c>
    </row>
    <row r="2388" spans="1:5" ht="15.75" customHeight="1" x14ac:dyDescent="0.2">
      <c r="A2388" s="5" t="s">
        <v>4775</v>
      </c>
      <c r="B2388" s="1">
        <v>26595</v>
      </c>
      <c r="C2388" s="3">
        <v>44053.906851851854</v>
      </c>
      <c r="D2388" s="1" t="s">
        <v>4776</v>
      </c>
      <c r="E2388" s="6" t="str">
        <f ca="1">IFERROR(__xludf.DUMMYFUNCTION("GOOGLETRANSLATE(A2388 , ""tr"" , ""en"")"),"https://t.co/IDhckyohwq")</f>
        <v>https://t.co/IDhckyohwq</v>
      </c>
    </row>
    <row r="2389" spans="1:5" ht="15.75" customHeight="1" x14ac:dyDescent="0.2">
      <c r="A2389" s="5" t="s">
        <v>4777</v>
      </c>
      <c r="B2389" s="1">
        <v>29698</v>
      </c>
      <c r="C2389" s="3">
        <v>44053.861076388886</v>
      </c>
      <c r="D2389" s="1" t="s">
        <v>4778</v>
      </c>
      <c r="E2389" s="6" t="str">
        <f ca="1">IFERROR(__xludf.DUMMYFUNCTION("GOOGLETRANSLATE(A2389 , ""tr"" , ""en"")"),"https://t.co/pfl3th4s4l")</f>
        <v>https://t.co/pfl3th4s4l</v>
      </c>
    </row>
    <row r="2390" spans="1:5" ht="15.75" customHeight="1" x14ac:dyDescent="0.2">
      <c r="A2390" s="5" t="s">
        <v>4779</v>
      </c>
      <c r="B2390" s="1">
        <v>12894</v>
      </c>
      <c r="C2390" s="3">
        <v>44053.859375</v>
      </c>
      <c r="D2390" s="1" t="s">
        <v>4780</v>
      </c>
      <c r="E2390" s="6" t="str">
        <f ca="1">IFERROR(__xludf.DUMMYFUNCTION("GOOGLETRANSLATE(A2390 , ""tr"" , ""en"")"),"https://t.co/fv08okp27b")</f>
        <v>https://t.co/fv08okp27b</v>
      </c>
    </row>
    <row r="2391" spans="1:5" ht="15.75" customHeight="1" x14ac:dyDescent="0.2">
      <c r="A2391" s="5" t="s">
        <v>4781</v>
      </c>
      <c r="B2391" s="1">
        <v>37671</v>
      </c>
      <c r="C2391" s="3">
        <v>44053.781921296293</v>
      </c>
      <c r="D2391" s="1" t="s">
        <v>4782</v>
      </c>
      <c r="E2391" s="6" t="str">
        <f ca="1">IFERROR(__xludf.DUMMYFUNCTION("GOOGLETRANSLATE(A2391 , ""tr"" , ""en"")"),"https://t.co/hycffznahx")</f>
        <v>https://t.co/hycffznahx</v>
      </c>
    </row>
    <row r="2392" spans="1:5" ht="15.75" customHeight="1" x14ac:dyDescent="0.2">
      <c r="A2392" s="5" t="s">
        <v>4783</v>
      </c>
      <c r="B2392" s="1">
        <v>15216</v>
      </c>
      <c r="C2392" s="3">
        <v>44053.772118055553</v>
      </c>
      <c r="D2392" s="1" t="s">
        <v>4784</v>
      </c>
      <c r="E2392" s="6" t="str">
        <f ca="1">IFERROR(__xludf.DUMMYFUNCTION("GOOGLETRANSLATE(A2392 , ""tr"" , ""en"")"),"https://t.co/btv4zsruoq")</f>
        <v>https://t.co/btv4zsruoq</v>
      </c>
    </row>
    <row r="2393" spans="1:5" ht="15.75" customHeight="1" x14ac:dyDescent="0.25">
      <c r="A2393" s="1" t="s">
        <v>4785</v>
      </c>
      <c r="B2393" s="1">
        <v>32309</v>
      </c>
      <c r="C2393" s="3">
        <v>44053.747384259259</v>
      </c>
      <c r="D2393" s="1" t="s">
        <v>4786</v>
      </c>
      <c r="E2393" s="4" t="str">
        <f ca="1">IFERROR(__xludf.DUMMYFUNCTION("GOOGLETRANSLATE(A2393 , ""tr"" , ""en"")"),"The test count is close to the level where it is the highest throughout the epidemic. The ratio of active patients aged 60 years and older in the total patient is in the range of the country in 20-25%. Gumushane and Usak has the highest rate in this respe"&amp;"ct with 35%. https://t.co/rvlhe7786o https://t.co/z1bua9ttaw")</f>
        <v>The test count is close to the level where it is the highest throughout the epidemic. The ratio of active patients aged 60 years and older in the total patient is in the range of the country in 20-25%. Gumushane and Usak has the highest rate in this respect with 35%. https://t.co/rvlhe7786o https://t.co/z1bua9ttaw</v>
      </c>
    </row>
    <row r="2394" spans="1:5" ht="15.75" customHeight="1" x14ac:dyDescent="0.2">
      <c r="A2394" s="5" t="s">
        <v>4787</v>
      </c>
      <c r="B2394" s="1">
        <v>29579</v>
      </c>
      <c r="C2394" s="3">
        <v>44053.343101851853</v>
      </c>
      <c r="D2394" s="1" t="s">
        <v>4788</v>
      </c>
      <c r="E2394" s="6" t="str">
        <f ca="1">IFERROR(__xludf.DUMMYFUNCTION("GOOGLETRANSLATE(A2394 , ""tr"" , ""en"")"),"https://t.co/yqvwecq6pe")</f>
        <v>https://t.co/yqvwecq6pe</v>
      </c>
    </row>
    <row r="2395" spans="1:5" ht="15.75" customHeight="1" x14ac:dyDescent="0.25">
      <c r="A2395" s="1" t="s">
        <v>4789</v>
      </c>
      <c r="B2395" s="1">
        <v>13388</v>
      </c>
      <c r="C2395" s="3">
        <v>44052.900034722225</v>
      </c>
      <c r="D2395" s="1" t="s">
        <v>4790</v>
      </c>
      <c r="E2395" s="4" t="str">
        <f ca="1">IFERROR(__xludf.DUMMYFUNCTION("GOOGLETRANSLATE(A2395 , ""tr"" , ""en"")"),"We opened the opening of Kocaeli University health facilities and research centers. https://t.co/vyyflq2vr0")</f>
        <v>We opened the opening of Kocaeli University health facilities and research centers. https://t.co/vyyflq2vr0</v>
      </c>
    </row>
    <row r="2396" spans="1:5" ht="15.75" customHeight="1" x14ac:dyDescent="0.25">
      <c r="A2396" s="1" t="s">
        <v>4791</v>
      </c>
      <c r="B2396" s="1">
        <v>33560</v>
      </c>
      <c r="C2396" s="3">
        <v>44052.744606481479</v>
      </c>
      <c r="D2396" s="1" t="s">
        <v>4792</v>
      </c>
      <c r="E2396" s="4" t="str">
        <f ca="1">IFERROR(__xludf.DUMMYFUNCTION("GOOGLETRANSLATE(A2396 , ""tr"" , ""en"")"),"Our test count is slightly below yesterday's level where it is highlight throughout the epidemic. In Gaziantep, in the last week, average case numbers fell 10% in the last week. We have no intubated patients in our 25 provinces. https://t.co/rvlhe7786o ht"&amp;"tps://t.co/of37jg0cvh")</f>
        <v>Our test count is slightly below yesterday's level where it is highlight throughout the epidemic. In Gaziantep, in the last week, average case numbers fell 10% in the last week. We have no intubated patients in our 25 provinces. https://t.co/rvlhe7786o https://t.co/of37jg0cvh</v>
      </c>
    </row>
    <row r="2397" spans="1:5" ht="15.75" customHeight="1" x14ac:dyDescent="0.25">
      <c r="A2397" s="1" t="s">
        <v>4793</v>
      </c>
      <c r="B2397" s="1">
        <v>41159</v>
      </c>
      <c r="C2397" s="3">
        <v>44052.666689814818</v>
      </c>
      <c r="D2397" s="1" t="s">
        <v>4794</v>
      </c>
      <c r="E2397" s="4" t="str">
        <f ca="1">IFERROR(__xludf.DUMMYFUNCTION("GOOGLETRANSLATE(A2397 , ""tr"" , ""en"")"),"The rates of contacted people into positive cases compared to May 1.3 times increased in Turkey. Examples of an increase in provinces: Şanlıurfa 1.7, Ankara 1.6, Diyarbakır 1,4, Gaziantep 1.3 times. The result you need to remove these data; Mask is the di"&amp;"stance, cleaning alert.")</f>
        <v>The rates of contacted people into positive cases compared to May 1.3 times increased in Turkey. Examples of an increase in provinces: Şanlıurfa 1.7, Ankara 1.6, Diyarbakır 1,4, Gaziantep 1.3 times. The result you need to remove these data; Mask is the distance, cleaning alert.</v>
      </c>
    </row>
    <row r="2398" spans="1:5" ht="15.75" customHeight="1" x14ac:dyDescent="0.25">
      <c r="A2398" s="1" t="s">
        <v>4795</v>
      </c>
      <c r="B2398" s="1">
        <v>8214</v>
      </c>
      <c r="C2398" s="3">
        <v>44052.563437500001</v>
      </c>
      <c r="D2398" s="1" t="s">
        <v>4796</v>
      </c>
      <c r="E2398" s="4" t="str">
        <f ca="1">IFERROR(__xludf.DUMMYFUNCTION("GOOGLETRANSLATE(A2398 , ""tr"" , ""en"")"),"Turkey Reached The Highest Daily Test Numbers with 63.842 TESTS YESTERDAY During The Pandemic. The Number of New Cases are Below 1200. Pneumonia Rate Dropped within the patients. Number of hospitalized and discharged patients are very close to Each Other."&amp;" https://t.co/siag8asfub")</f>
        <v>Turkey Reached The Highest Daily Test Numbers with 63.842 TESTS YESTERDAY During The Pandemic. The Number of New Cases are Below 1200. Pneumonia Rate Dropped within the patients. Number of hospitalized and discharged patients are very close to Each Other. https://t.co/siag8asfub</v>
      </c>
    </row>
    <row r="2399" spans="1:5" ht="15.75" customHeight="1" x14ac:dyDescent="0.25">
      <c r="A2399" s="1" t="s">
        <v>4797</v>
      </c>
      <c r="B2399" s="1">
        <v>34649</v>
      </c>
      <c r="C2399" s="3">
        <v>44052.531122685185</v>
      </c>
      <c r="D2399" s="1" t="s">
        <v>4798</v>
      </c>
      <c r="E2399" s="4" t="str">
        <f ca="1">IFERROR(__xludf.DUMMYFUNCTION("GOOGLETRANSLATE(A2399 , ""tr"" , ""en"")"),"Covid-19 is the viral infection. In the lungs, the fierce inflammation we call pneumonia. The inflammation prevents enough oxygen transportation to the blood and the dumping of carbon dioxide. It is very difficult to breathe with this reason. Covid-19 is "&amp;"a difficult disease. Take measures against risk. https://t.co/Unx2JNoIsy")</f>
        <v>Covid-19 is the viral infection. In the lungs, the fierce inflammation we call pneumonia. The inflammation prevents enough oxygen transportation to the blood and the dumping of carbon dioxide. It is very difficult to breathe with this reason. Covid-19 is a difficult disease. Take measures against risk. https://t.co/Unx2JNoIsy</v>
      </c>
    </row>
    <row r="2400" spans="1:5" ht="15.75" customHeight="1" x14ac:dyDescent="0.25">
      <c r="A2400" s="1" t="s">
        <v>4799</v>
      </c>
      <c r="B2400" s="1">
        <v>71533</v>
      </c>
      <c r="C2400" s="3">
        <v>44052.471180555556</v>
      </c>
      <c r="D2400" s="1" t="s">
        <v>4800</v>
      </c>
      <c r="E2400" s="4" t="str">
        <f ca="1">IFERROR(__xludf.DUMMYFUNCTION("GOOGLETRANSLATE(A2400 , ""tr"" , ""en"")"),"Give you a measure message from your profile today. Prepare a message that reminds the mask, distance, cleaning rules against the epidemic and share with your followers. Get as effective as you can for those who know and do not fit.")</f>
        <v>Give you a measure message from your profile today. Prepare a message that reminds the mask, distance, cleaning rules against the epidemic and share with your followers. Get as effective as you can for those who know and do not fit.</v>
      </c>
    </row>
    <row r="2401" spans="1:5" ht="15.75" customHeight="1" x14ac:dyDescent="0.25">
      <c r="A2401" s="1" t="s">
        <v>4801</v>
      </c>
      <c r="B2401" s="1">
        <v>39713</v>
      </c>
      <c r="C2401" s="3">
        <v>44051.755613425928</v>
      </c>
      <c r="D2401" s="1" t="s">
        <v>4802</v>
      </c>
      <c r="E2401" s="4" t="str">
        <f ca="1">IFERROR(__xludf.DUMMYFUNCTION("GOOGLETRANSLATE(A2401 , ""tr"" , ""en"")"),"Pneumonia has fallen in all in Turkey. We stepped in 64 thousand in the number of daily tests. The highest number was approximately 58. In our hospital occupancy rates, there is no change due to the fact that patients with newly lying and discharge are in"&amp;" close numbers. Good result depends on strict measure. https://t.co/rvlhe7786o https://t.co/jvzwpIzgjy")</f>
        <v>Pneumonia has fallen in all in Turkey. We stepped in 64 thousand in the number of daily tests. The highest number was approximately 58. In our hospital occupancy rates, there is no change due to the fact that patients with newly lying and discharge are in close numbers. Good result depends on strict measure. https://t.co/rvlhe7786o https://t.co/jvzwpIzgjy</v>
      </c>
    </row>
    <row r="2402" spans="1:5" ht="15.75" customHeight="1" x14ac:dyDescent="0.25">
      <c r="A2402" s="1" t="s">
        <v>4803</v>
      </c>
      <c r="B2402" s="1">
        <v>118535</v>
      </c>
      <c r="C2402" s="3">
        <v>44051.645856481482</v>
      </c>
      <c r="D2402" s="1" t="s">
        <v>4804</v>
      </c>
      <c r="E2402" s="4" t="str">
        <f ca="1">IFERROR(__xludf.DUMMYFUNCTION("GOOGLETRANSLATE(A2402 , ""tr"" , ""en"")"),"Immediately undo the concise of the measure.")</f>
        <v>Immediately undo the concise of the measure.</v>
      </c>
    </row>
    <row r="2403" spans="1:5" ht="15.75" customHeight="1" x14ac:dyDescent="0.2">
      <c r="A2403" s="5" t="s">
        <v>4805</v>
      </c>
      <c r="B2403" s="1">
        <v>67493</v>
      </c>
      <c r="C2403" s="3">
        <v>44051.524062500001</v>
      </c>
      <c r="D2403" s="1" t="s">
        <v>4806</v>
      </c>
      <c r="E2403" s="6" t="str">
        <f ca="1">IFERROR(__xludf.DUMMYFUNCTION("GOOGLETRANSLATE(A2403 , ""tr"" , ""en"")"),"https://t.co/eyw0cxhqs1")</f>
        <v>https://t.co/eyw0cxhqs1</v>
      </c>
    </row>
    <row r="2404" spans="1:5" ht="15.75" customHeight="1" x14ac:dyDescent="0.2">
      <c r="A2404" s="5" t="s">
        <v>4807</v>
      </c>
      <c r="B2404" s="1">
        <v>24367</v>
      </c>
      <c r="C2404" s="3">
        <v>44051.475405092591</v>
      </c>
      <c r="D2404" s="1" t="s">
        <v>4808</v>
      </c>
      <c r="E2404" s="6" t="str">
        <f ca="1">IFERROR(__xludf.DUMMYFUNCTION("GOOGLETRANSLATE(A2404 , ""tr"" , ""en"")"),"https://t.co/ehmowgk6nj")</f>
        <v>https://t.co/ehmowgk6nj</v>
      </c>
    </row>
    <row r="2405" spans="1:5" ht="15.75" customHeight="1" x14ac:dyDescent="0.25">
      <c r="A2405" s="1" t="s">
        <v>4809</v>
      </c>
      <c r="B2405" s="1">
        <v>67789</v>
      </c>
      <c r="C2405" s="3">
        <v>44051.334097222221</v>
      </c>
      <c r="D2405" s="1" t="s">
        <v>4810</v>
      </c>
      <c r="E2405" s="4" t="str">
        <f ca="1">IFERROR(__xludf.DUMMYFUNCTION("GOOGLETRANSLATE(A2405 , ""tr"" , ""en"")"),"Be the Precision. The rule is sick at the first opportunity.")</f>
        <v>Be the Precision. The rule is sick at the first opportunity.</v>
      </c>
    </row>
    <row r="2406" spans="1:5" ht="15.75" customHeight="1" x14ac:dyDescent="0.25">
      <c r="A2406" s="1" t="s">
        <v>4811</v>
      </c>
      <c r="B2406" s="1">
        <v>85636</v>
      </c>
      <c r="C2406" s="3">
        <v>44051.271064814813</v>
      </c>
      <c r="D2406" s="1" t="s">
        <v>4812</v>
      </c>
      <c r="E2406" s="4" t="str">
        <f ca="1">IFERROR(__xludf.DUMMYFUNCTION("GOOGLETRANSLATE(A2406 , ""tr"" , ""en"")"),"Mask, distance, cleanliness. Is there no ruled won battle?")</f>
        <v>Mask, distance, cleanliness. Is there no ruled won battle?</v>
      </c>
    </row>
    <row r="2407" spans="1:5" ht="15.75" customHeight="1" x14ac:dyDescent="0.25">
      <c r="A2407" s="1" t="s">
        <v>4813</v>
      </c>
      <c r="B2407" s="1">
        <v>56782</v>
      </c>
      <c r="C2407" s="3">
        <v>44051.229675925926</v>
      </c>
      <c r="D2407" s="1" t="s">
        <v>4814</v>
      </c>
      <c r="E2407" s="4" t="str">
        <f ca="1">IFERROR(__xludf.DUMMYFUNCTION("GOOGLETRANSLATE(A2407 , ""tr"" , ""en"")"),"Including the virus fighting today's life struggle.")</f>
        <v>Including the virus fighting today's life struggle.</v>
      </c>
    </row>
    <row r="2408" spans="1:5" ht="15.75" customHeight="1" x14ac:dyDescent="0.25">
      <c r="A2408" s="1" t="s">
        <v>4815</v>
      </c>
      <c r="B2408" s="1">
        <v>39122</v>
      </c>
      <c r="C2408" s="3">
        <v>44050.828020833331</v>
      </c>
      <c r="D2408" s="1" t="s">
        <v>4816</v>
      </c>
      <c r="E2408" s="4" t="str">
        <f ca="1">IFERROR(__xludf.DUMMYFUNCTION("GOOGLETRANSLATE(A2408 , ""tr"" , ""en"")"),"Precious nurses. My friends from 38 health branches. While the Sky News channel mentioned our success in the epidemic struggle, ""With our physicians, let's be proud of our health system."" Due to the shaped phrase, is the true campaign you have started t"&amp;"he campaign about me today? https://t.co/hfdatomrzb")</f>
        <v>Precious nurses. My friends from 38 health branches. While the Sky News channel mentioned our success in the epidemic struggle, "With our physicians, let's be proud of our health system." Due to the shaped phrase, is the true campaign you have started the campaign about me today? https://t.co/hfdatomrzb</v>
      </c>
    </row>
    <row r="2409" spans="1:5" ht="15.75" customHeight="1" x14ac:dyDescent="0.25">
      <c r="A2409" s="1" t="s">
        <v>4817</v>
      </c>
      <c r="B2409" s="1">
        <v>8022</v>
      </c>
      <c r="C2409" s="3">
        <v>44050.808472222219</v>
      </c>
      <c r="D2409" s="1" t="s">
        <v>4818</v>
      </c>
      <c r="E2409" s="4" t="str">
        <f ca="1">IFERROR(__xludf.DUMMYFUNCTION("GOOGLETRANSLATE(A2409 , ""tr"" , ""en"")"),"The Republic of Kazakhstan Deputy Prime Minister SN. Native Tugzhanov, Health Minister SN. Visited our Ministry with Alexy Tsoy. In our country thanked for the help of Kazakhstan, we were addressed against COVID-19, cooperation in the field of health. htt"&amp;"ps://t.co/kxiz3p9jsx")</f>
        <v>The Republic of Kazakhstan Deputy Prime Minister SN. Native Tugzhanov, Health Minister SN. Visited our Ministry with Alexy Tsoy. In our country thanked for the help of Kazakhstan, we were addressed against COVID-19, cooperation in the field of health. https://t.co/kxiz3p9jsx</v>
      </c>
    </row>
    <row r="2410" spans="1:5" ht="15.75" customHeight="1" x14ac:dyDescent="0.25">
      <c r="A2410" s="1" t="s">
        <v>4819</v>
      </c>
      <c r="B2410" s="1">
        <v>10602</v>
      </c>
      <c r="C2410" s="3">
        <v>44050.800358796296</v>
      </c>
      <c r="D2410" s="1" t="s">
        <v>4820</v>
      </c>
      <c r="E2410" s="4" t="str">
        <f ca="1">IFERROR(__xludf.DUMMYFUNCTION("GOOGLETRANSLATE(A2410 , ""tr"" , ""en"")"),"We have made provincial evaluation meetings with Samsun, Sakarya, Sivas and Kocaeli governors. We have evaluated the necessary case increases, needs and necessary measures. In the meetings, the President of the Provincial HIFZISSHA President of the Provin"&amp;"cial Health Directorates of the Provincial Health Directorates were provided. https://t.co/fbuI7fjmyi")</f>
        <v>We have made provincial evaluation meetings with Samsun, Sakarya, Sivas and Kocaeli governors. We have evaluated the necessary case increases, needs and necessary measures. In the meetings, the President of the Provincial HIFZISSHA President of the Provincial Health Directorates of the Provincial Health Directorates were provided. https://t.co/fbuI7fjmyi</v>
      </c>
    </row>
    <row r="2411" spans="1:5" ht="15.75" customHeight="1" x14ac:dyDescent="0.2">
      <c r="A2411" s="5" t="s">
        <v>4821</v>
      </c>
      <c r="B2411" s="1">
        <v>23610</v>
      </c>
      <c r="C2411" s="3">
        <v>44050.769537037035</v>
      </c>
      <c r="D2411" s="1" t="s">
        <v>4822</v>
      </c>
      <c r="E2411" s="6" t="str">
        <f ca="1">IFERROR(__xludf.DUMMYFUNCTION("GOOGLETRANSLATE(A2411 , ""tr"" , ""en"")"),"https://t.co/grnd12yzty")</f>
        <v>https://t.co/grnd12yzty</v>
      </c>
    </row>
    <row r="2412" spans="1:5" ht="15.75" customHeight="1" x14ac:dyDescent="0.25">
      <c r="A2412" s="1" t="s">
        <v>4823</v>
      </c>
      <c r="B2412" s="1">
        <v>33222</v>
      </c>
      <c r="C2412" s="3">
        <v>44050.72859953704</v>
      </c>
      <c r="D2412" s="1" t="s">
        <v>4824</v>
      </c>
      <c r="E2412" s="4" t="str">
        <f ca="1">IFERROR(__xludf.DUMMYFUNCTION("GOOGLETRANSLATE(A2412 , ""tr"" , ""en"")"),"The increase in the new patients continues to increase. Our recovering patient count is less than the number of new patients, as it is yesterday. If the test count is increasing. We must be a configuration in the measure until they accomplish the number o"&amp;"f cases. Good news, strict measure. https://t.co/rvlhe7786o https://t.co/xw2cpkhfus")</f>
        <v>The increase in the new patients continues to increase. Our recovering patient count is less than the number of new patients, as it is yesterday. If the test count is increasing. We must be a configuration in the measure until they accomplish the number of cases. Good news, strict measure. https://t.co/rvlhe7786o https://t.co/xw2cpkhfus</v>
      </c>
    </row>
    <row r="2413" spans="1:5" ht="15.75" customHeight="1" x14ac:dyDescent="0.25">
      <c r="A2413" s="1" t="s">
        <v>4825</v>
      </c>
      <c r="B2413" s="1">
        <v>6126</v>
      </c>
      <c r="C2413" s="3">
        <v>44050.61681712963</v>
      </c>
      <c r="D2413" s="1" t="s">
        <v>4826</v>
      </c>
      <c r="E2413" s="4" t="str">
        <f ca="1">IFERROR(__xludf.DUMMYFUNCTION("GOOGLETRANSLATE(A2413 , ""tr"" , ""en"")"),"Thank You Mr Director-General @DrTedros for your Message. I Urge All Countries to Wear A Mask, Practice Social Distancing and Follow Hygiene Rules. My Dear Friend @hans_kluge, I Know you are with us #wearamask https://t.co/b3309dpfg2")</f>
        <v>Thank You Mr Director-General @DrTedros for your Message. I Urge All Countries to Wear A Mask, Practice Social Distancing and Follow Hygiene Rules. My Dear Friend @hans_kluge, I Know you are with us #wearamask https://t.co/b3309dpfg2</v>
      </c>
    </row>
    <row r="2414" spans="1:5" ht="15.75" customHeight="1" x14ac:dyDescent="0.25">
      <c r="A2414" s="1" t="s">
        <v>4827</v>
      </c>
      <c r="B2414" s="1">
        <v>33530</v>
      </c>
      <c r="C2414" s="3">
        <v>44050.612523148149</v>
      </c>
      <c r="D2414" s="1" t="s">
        <v>4828</v>
      </c>
      <c r="E2414" s="4" t="str">
        <f ca="1">IFERROR(__xludf.DUMMYFUNCTION("GOOGLETRANSLATE(A2414 , ""tr"" , ""en"")"),"Reactions, rarely contains bidding. In the new conditions of the world, he should respect those under severe responsibility. Fighting in the hopping of the hard days is my friend # Beratalbayrakınan")</f>
        <v>Reactions, rarely contains bidding. In the new conditions of the world, he should respect those under severe responsibility. Fighting in the hopping of the hard days is my friend # Beratalbayrakınan</v>
      </c>
    </row>
    <row r="2415" spans="1:5" ht="15.75" customHeight="1" x14ac:dyDescent="0.25">
      <c r="A2415" s="1" t="s">
        <v>4829</v>
      </c>
      <c r="B2415" s="1">
        <v>111177</v>
      </c>
      <c r="C2415" s="3">
        <v>44050.375069444446</v>
      </c>
      <c r="D2415" s="1" t="s">
        <v>4830</v>
      </c>
      <c r="E2415" s="4" t="str">
        <f ca="1">IFERROR(__xludf.DUMMYFUNCTION("GOOGLETRANSLATE(A2415 , ""tr"" , ""en"")"),"Today, he can see the real face of Covid-19 tomorrow, not wearing the mask.")</f>
        <v>Today, he can see the real face of Covid-19 tomorrow, not wearing the mask.</v>
      </c>
    </row>
    <row r="2416" spans="1:5" ht="15.75" customHeight="1" x14ac:dyDescent="0.25">
      <c r="A2416" s="1" t="s">
        <v>4831</v>
      </c>
      <c r="B2416" s="1">
        <v>92341</v>
      </c>
      <c r="C2416" s="3">
        <v>44050.333356481482</v>
      </c>
      <c r="D2416" s="1" t="s">
        <v>4832</v>
      </c>
      <c r="E2416" s="4" t="str">
        <f ca="1">IFERROR(__xludf.DUMMYFUNCTION("GOOGLETRANSLATE(A2416 , ""tr"" , ""en"")"),"In this speed, the close distance is not friendly. What is the lung of water, if only they could tell!")</f>
        <v>In this speed, the close distance is not friendly. What is the lung of water, if only they could tell!</v>
      </c>
    </row>
    <row r="2417" spans="1:5" ht="15.75" customHeight="1" x14ac:dyDescent="0.25">
      <c r="A2417" s="1" t="s">
        <v>4833</v>
      </c>
      <c r="B2417" s="1">
        <v>45208</v>
      </c>
      <c r="C2417" s="3">
        <v>44050.29451388889</v>
      </c>
      <c r="D2417" s="1" t="s">
        <v>4834</v>
      </c>
      <c r="E2417" s="4" t="str">
        <f ca="1">IFERROR(__xludf.DUMMYFUNCTION("GOOGLETRANSLATE(A2417 , ""tr"" , ""en"")"),"Will we leave the administration of our lives, or we will check out the epidemic with measures? We can succeed. We want a configuration in the measure.")</f>
        <v>Will we leave the administration of our lives, or we will check out the epidemic with measures? We can succeed. We want a configuration in the measure.</v>
      </c>
    </row>
    <row r="2418" spans="1:5" ht="15.75" customHeight="1" x14ac:dyDescent="0.25">
      <c r="A2418" s="1" t="s">
        <v>4835</v>
      </c>
      <c r="B2418" s="1">
        <v>34408</v>
      </c>
      <c r="C2418" s="3">
        <v>44049.802152777775</v>
      </c>
      <c r="D2418" s="1" t="s">
        <v>4836</v>
      </c>
      <c r="E2418" s="4" t="str">
        <f ca="1">IFERROR(__xludf.DUMMYFUNCTION("GOOGLETRANSLATE(A2418 , ""tr"" , ""en"")"),"Sky News from England's leading TV channels, Turkey's epidemic struggle, he carried the agenda with his private news. In the news; It is emphasized that our Fillio teams are working as a detective in the follow-up of the disease, early and intense interve"&amp;"ntion brings success in the treatment. https://t.co/Iwq4cbrqhp")</f>
        <v>Sky News from England's leading TV channels, Turkey's epidemic struggle, he carried the agenda with his private news. In the news; It is emphasized that our Fillio teams are working as a detective in the follow-up of the disease, early and intense intervention brings success in the treatment. https://t.co/Iwq4cbrqhp</v>
      </c>
    </row>
    <row r="2419" spans="1:5" ht="15.75" customHeight="1" x14ac:dyDescent="0.25">
      <c r="A2419" s="1" t="s">
        <v>4837</v>
      </c>
      <c r="B2419" s="1">
        <v>52454</v>
      </c>
      <c r="C2419" s="3">
        <v>44049.801493055558</v>
      </c>
      <c r="D2419" s="1" t="s">
        <v>4838</v>
      </c>
      <c r="E2419" s="4" t="str">
        <f ca="1">IFERROR(__xludf.DUMMYFUNCTION("GOOGLETRANSLATE(A2419 , ""tr"" , ""en"")"),"Throughout the epidemic, when some of our achievements as the country, some of them, to these achievements ""Turkish Propaganda against Türkçi Turkish!"" said. A little bit of British British will watch the Propaganda of Turkey. With our physicians, let's"&amp;" be proud of our health system.")</f>
        <v>Throughout the epidemic, when some of our achievements as the country, some of them, to these achievements "Turkish Propaganda against Türkçi Turkish!" said. A little bit of British British will watch the Propaganda of Turkey. With our physicians, let's be proud of our health system.</v>
      </c>
    </row>
    <row r="2420" spans="1:5" ht="15.75" customHeight="1" x14ac:dyDescent="0.25">
      <c r="A2420" s="1" t="s">
        <v>4839</v>
      </c>
      <c r="B2420" s="1">
        <v>33221</v>
      </c>
      <c r="C2420" s="3">
        <v>44049.727465277778</v>
      </c>
      <c r="D2420" s="1" t="s">
        <v>4840</v>
      </c>
      <c r="E2420" s="4" t="str">
        <f ca="1">IFERROR(__xludf.DUMMYFUNCTION("GOOGLETRANSLATE(A2420 , ""tr"" , ""en"")"),"Our new patient, death and severe patient numbers, pneumonized patient ratio; less than yesterdays with some differences. However, none of these data provides guarantee about the results of tomorrow or a week. Only tight measures can be based on good news"&amp;". https://t.co/rvlhe7786o https://t.co/kjjsapbtij")</f>
        <v>Our new patient, death and severe patient numbers, pneumonized patient ratio; less than yesterdays with some differences. However, none of these data provides guarantee about the results of tomorrow or a week. Only tight measures can be based on good news. https://t.co/rvlhe7786o https://t.co/kjjsapbtij</v>
      </c>
    </row>
    <row r="2421" spans="1:5" ht="15.75" customHeight="1" x14ac:dyDescent="0.25">
      <c r="A2421" s="1" t="s">
        <v>4841</v>
      </c>
      <c r="B2421" s="1">
        <v>18352</v>
      </c>
      <c r="C2421" s="3">
        <v>44049.687997685185</v>
      </c>
      <c r="D2421" s="1" t="s">
        <v>4842</v>
      </c>
      <c r="E2421" s="4" t="str">
        <f ca="1">IFERROR(__xludf.DUMMYFUNCTION("GOOGLETRANSLATE(A2421 , ""tr"" , ""en"")"),"Contrary To False Allegations, Note A Single City is Overflowing with Patients or A Hospital Full To Capacity Due to COVID-19 in TURKEY. Please Give Credence Only to Official Statements by The Ministry of Health.")</f>
        <v>Contrary To False Allegations, Note A Single City is Overflowing with Patients or A Hospital Full To Capacity Due to COVID-19 in TURKEY. Please Give Credence Only to Official Statements by The Ministry of Health.</v>
      </c>
    </row>
    <row r="2422" spans="1:5" ht="15.75" customHeight="1" x14ac:dyDescent="0.25">
      <c r="A2422" s="1" t="s">
        <v>4843</v>
      </c>
      <c r="B2422" s="1">
        <v>13476</v>
      </c>
      <c r="C2422" s="3">
        <v>44049.686076388891</v>
      </c>
      <c r="D2422" s="1" t="s">
        <v>4844</v>
      </c>
      <c r="E2422" s="4" t="str">
        <f ca="1">IFERROR(__xludf.DUMMYFUNCTION("GOOGLETRANSLATE(A2422 , ""tr"" , ""en"")"),"Konya Province: Ward Bed Occancancy Rate is 48%, ICU Occancancy is 76% and Mechanical Ventilator Use is 42%. Allegations of 100% Occappancy / Use are 100% ill-intentioned. Pay No Attention to Those Who Underrate The Disease and Those Who Portray Hospitals"&amp;" As Desperate.")</f>
        <v>Konya Province: Ward Bed Occancancy Rate is 48%, ICU Occancancy is 76% and Mechanical Ventilator Use is 42%. Allegations of 100% Occappancy / Use are 100% ill-intentioned. Pay No Attention to Those Who Underrate The Disease and Those Who Portray Hospitals As Desperate.</v>
      </c>
    </row>
    <row r="2423" spans="1:5" ht="15.75" customHeight="1" x14ac:dyDescent="0.25">
      <c r="A2423" s="1" t="s">
        <v>4845</v>
      </c>
      <c r="B2423" s="1">
        <v>64953</v>
      </c>
      <c r="C2423" s="3">
        <v>44049.643321759257</v>
      </c>
      <c r="D2423" s="1" t="s">
        <v>4846</v>
      </c>
      <c r="E2423" s="4" t="str">
        <f ca="1">IFERROR(__xludf.DUMMYFUNCTION("GOOGLETRANSLATE(A2423 , ""tr"" , ""en"")"),"There are no mountains among us. Set the distance. The illness is separated only from uncomplied by the rules.")</f>
        <v>There are no mountains among us. Set the distance. The illness is separated only from uncomplied by the rules.</v>
      </c>
    </row>
    <row r="2424" spans="1:5" ht="15.75" customHeight="1" x14ac:dyDescent="0.25">
      <c r="A2424" s="1" t="s">
        <v>4847</v>
      </c>
      <c r="B2424" s="1">
        <v>54133</v>
      </c>
      <c r="C2424" s="3">
        <v>44049.567349537036</v>
      </c>
      <c r="D2424" s="1" t="s">
        <v>4848</v>
      </c>
      <c r="E2424" s="4" t="str">
        <f ca="1">IFERROR(__xludf.DUMMYFUNCTION("GOOGLETRANSLATE(A2424 , ""tr"" , ""en"")"),"Should be 64 years of age and six two times. One large, for themselves.")</f>
        <v>Should be 64 years of age and six two times. One large, for themselves.</v>
      </c>
    </row>
    <row r="2425" spans="1:5" ht="15.75" customHeight="1" x14ac:dyDescent="0.2">
      <c r="A2425" s="5" t="s">
        <v>4849</v>
      </c>
      <c r="B2425" s="1">
        <v>22775</v>
      </c>
      <c r="C2425" s="3">
        <v>44049.465092592596</v>
      </c>
      <c r="D2425" s="1" t="s">
        <v>4850</v>
      </c>
      <c r="E2425" s="6" t="str">
        <f ca="1">IFERROR(__xludf.DUMMYFUNCTION("GOOGLETRANSLATE(A2425 , ""tr"" , ""en"")"),"https://t.co/ts3cmrwyun")</f>
        <v>https://t.co/ts3cmrwyun</v>
      </c>
    </row>
    <row r="2426" spans="1:5" ht="15.75" customHeight="1" x14ac:dyDescent="0.25">
      <c r="A2426" s="1" t="s">
        <v>4851</v>
      </c>
      <c r="B2426" s="1">
        <v>51337</v>
      </c>
      <c r="C2426" s="3">
        <v>44049.41951388889</v>
      </c>
      <c r="D2426" s="1" t="s">
        <v>4852</v>
      </c>
      <c r="E2426" s="4" t="str">
        <f ca="1">IFERROR(__xludf.DUMMYFUNCTION("GOOGLETRANSLATE(A2426 , ""tr"" , ""en"")"),"I invite to behave in charge: Mask, distance, cleaning rule, teenage old, peasant urban everyone should meet. I invite to take responsibility: Despite the course of the outpatient, the risk of COVID-19 is overrated, the purpose should give up on non-healt"&amp;"h suggestions.")</f>
        <v>I invite to behave in charge: Mask, distance, cleaning rule, teenage old, peasant urban everyone should meet. I invite to take responsibility: Despite the course of the outpatient, the risk of COVID-19 is overrated, the purpose should give up on non-health suggestions.</v>
      </c>
    </row>
    <row r="2427" spans="1:5" ht="15.75" customHeight="1" x14ac:dyDescent="0.25">
      <c r="A2427" s="1" t="s">
        <v>4853</v>
      </c>
      <c r="B2427" s="1">
        <v>6516</v>
      </c>
      <c r="C2427" s="3">
        <v>44049.311203703706</v>
      </c>
      <c r="D2427" s="1" t="s">
        <v>4854</v>
      </c>
      <c r="E2427" s="4" t="str">
        <f ca="1">IFERROR(__xludf.DUMMYFUNCTION("GOOGLETRANSLATE(A2427 , ""tr"" , ""en"")"),"In the meetings, we evaluated the case situation and measures, and we have planned against the epidemic. We have provided coordination in the works of our provincial health directorates with the president of the provincial HIFZISSIHHA boards. We appreciat"&amp;"e our interior minister, governors, health personnel.")</f>
        <v>In the meetings, we evaluated the case situation and measures, and we have planned against the epidemic. We have provided coordination in the works of our provincial health directorates with the president of the provincial HIFZISSIHHA boards. We appreciate our interior minister, governors, health personnel.</v>
      </c>
    </row>
    <row r="2428" spans="1:5" ht="15.75" customHeight="1" x14ac:dyDescent="0.25">
      <c r="A2428" s="1" t="s">
        <v>4855</v>
      </c>
      <c r="B2428" s="1">
        <v>12264</v>
      </c>
      <c r="C2428" s="3">
        <v>44049.310717592591</v>
      </c>
      <c r="D2428" s="1" t="s">
        <v>4856</v>
      </c>
      <c r="E2428" s="4" t="str">
        <f ca="1">IFERROR(__xludf.DUMMYFUNCTION("GOOGLETRANSLATE(A2428 , ""tr"" , ""en"")"),"In the provincial evaluation meetings, Istanbul, Ankara, Izmir, Adana, Konya, Gaziantep, Kayseri, Malatya, Diyarbakır, Bursa, Erzurum, Sanliurfa, Mardin, Batman Governors, Provincial Health Directors, Batman, Provincial Health Directors, 14 separate video"&amp;"conference in 14 separate videoconference in 14 separate videoconference at 14 separate videoconference we came. https://t.co/m64dxsijzk")</f>
        <v>In the provincial evaluation meetings, Istanbul, Ankara, Izmir, Adana, Konya, Gaziantep, Kayseri, Malatya, Diyarbakır, Bursa, Erzurum, Sanliurfa, Mardin, Batman Governors, Provincial Health Directors, Batman, Provincial Health Directors, 14 separate videoconference in 14 separate videoconference in 14 separate videoconference at 14 separate videoconference we came. https://t.co/m64dxsijzk</v>
      </c>
    </row>
    <row r="2429" spans="1:5" ht="15.75" customHeight="1" x14ac:dyDescent="0.25">
      <c r="A2429" s="1" t="s">
        <v>4857</v>
      </c>
      <c r="B2429" s="1">
        <v>66210</v>
      </c>
      <c r="C2429" s="3">
        <v>44049.298090277778</v>
      </c>
      <c r="D2429" s="1" t="s">
        <v>4858</v>
      </c>
      <c r="E2429" s="4" t="str">
        <f ca="1">IFERROR(__xludf.DUMMYFUNCTION("GOOGLETRANSLATE(A2429 , ""tr"" , ""en"")"),"COVID-19 is due to our hospital full of hospitals, even the capacity is not completely full of hospital. The claims are unfounded. May the owners of these unsung claims take measures as hospitals are filled. Perhaps this way to the society of allegations.")</f>
        <v>COVID-19 is due to our hospital full of hospitals, even the capacity is not completely full of hospital. The claims are unfounded. May the owners of these unsung claims take measures as hospitals are filled. Perhaps this way to the society of allegations.</v>
      </c>
    </row>
    <row r="2430" spans="1:5" ht="15.75" customHeight="1" x14ac:dyDescent="0.25">
      <c r="A2430" s="1" t="s">
        <v>4859</v>
      </c>
      <c r="B2430" s="1">
        <v>50715</v>
      </c>
      <c r="C2430" s="3">
        <v>44048.753622685188</v>
      </c>
      <c r="D2430" s="1" t="s">
        <v>4860</v>
      </c>
      <c r="E2430" s="4" t="str">
        <f ca="1">IFERROR(__xludf.DUMMYFUNCTION("GOOGLETRANSLATE(A2430 , ""tr"" , ""en"")"),"Konya: Our service bed occupancy rate is 48%, our intensive care occupancy rate is 76%, our ventilator occupancy rate is 42%. Hundred percent occupancy claims carry a percentage intention to face. Do not consider the allegations of desperate showing hospi"&amp;"tals with disease insignificant.")</f>
        <v>Konya: Our service bed occupancy rate is 48%, our intensive care occupancy rate is 76%, our ventilator occupancy rate is 42%. Hundred percent occupancy claims carry a percentage intention to face. Do not consider the allegations of desperate showing hospitals with disease insignificant.</v>
      </c>
    </row>
    <row r="2431" spans="1:5" ht="15.75" customHeight="1" x14ac:dyDescent="0.25">
      <c r="A2431" s="1" t="s">
        <v>4861</v>
      </c>
      <c r="B2431" s="1">
        <v>76733</v>
      </c>
      <c r="C2431" s="3">
        <v>44048.733402777776</v>
      </c>
      <c r="D2431" s="1" t="s">
        <v>4862</v>
      </c>
      <c r="E2431" s="4" t="str">
        <f ca="1">IFERROR(__xludf.DUMMYFUNCTION("GOOGLETRANSLATE(A2431 , ""tr"" , ""en"")"),"CLOSE against COVID-19: Put the distance between you!")</f>
        <v>CLOSE against COVID-19: Put the distance between you!</v>
      </c>
    </row>
    <row r="2432" spans="1:5" ht="15.75" customHeight="1" x14ac:dyDescent="0.25">
      <c r="A2432" s="1" t="s">
        <v>4863</v>
      </c>
      <c r="B2432" s="1">
        <v>41313</v>
      </c>
      <c r="C2432" s="3">
        <v>44048.71675925926</v>
      </c>
      <c r="D2432" s="1" t="s">
        <v>4864</v>
      </c>
      <c r="E2432" s="4" t="str">
        <f ca="1">IFERROR(__xludf.DUMMYFUNCTION("GOOGLETRANSLATE(A2432 , ""tr"" , ""en"")"),"Our new number of patients is 88 compared to the previous day yesterday, today increased by 95 for today. Our test count in the last 24 hours is about 54,000. The total number of tests has passed 5 million. We must prevent the risk on holiday and holiday "&amp;"to lead to new results. We need an union in the measure. https://t.co/rvlhe7786o https://t.co/7k9fxbuvuc")</f>
        <v>Our new number of patients is 88 compared to the previous day yesterday, today increased by 95 for today. Our test count in the last 24 hours is about 54,000. The total number of tests has passed 5 million. We must prevent the risk on holiday and holiday to lead to new results. We need an union in the measure. https://t.co/rvlhe7786o https://t.co/7k9fxbuvuc</v>
      </c>
    </row>
    <row r="2433" spans="1:5" ht="15.75" customHeight="1" x14ac:dyDescent="0.25">
      <c r="A2433" s="1" t="s">
        <v>4865</v>
      </c>
      <c r="B2433" s="1">
        <v>30250</v>
      </c>
      <c r="C2433" s="3">
        <v>44048.70888888889</v>
      </c>
      <c r="D2433" s="1" t="s">
        <v>4866</v>
      </c>
      <c r="E2433" s="4" t="str">
        <f ca="1">IFERROR(__xludf.DUMMYFUNCTION("GOOGLETRANSLATE(A2433 , ""tr"" , ""en"")"),"Lebanonic Minister of Health Due to Bang in Beirut We made a phone call with Hamad Hasan. In Afad coordination, we would send medical and humanitarian aid to Lebanon, for the treatment of the injured, we would move our specialist physician team to move to"&amp;" Lebanon today.")</f>
        <v>Lebanonic Minister of Health Due to Bang in Beirut We made a phone call with Hamad Hasan. In Afad coordination, we would send medical and humanitarian aid to Lebanon, for the treatment of the injured, we would move our specialist physician team to move to Lebanon today.</v>
      </c>
    </row>
    <row r="2434" spans="1:5" ht="15.75" customHeight="1" x14ac:dyDescent="0.25">
      <c r="A2434" s="1" t="s">
        <v>4867</v>
      </c>
      <c r="B2434" s="1">
        <v>129831</v>
      </c>
      <c r="C2434" s="3">
        <v>44048.57435185185</v>
      </c>
      <c r="D2434" s="1" t="s">
        <v>4868</v>
      </c>
      <c r="E2434" s="4" t="str">
        <f ca="1">IFERROR(__xludf.DUMMYFUNCTION("GOOGLETRANSLATE(A2434 , ""tr"" , ""en"")"),"On holidays and in the feast, the ones in the nest with everyone are withdrawn 1.5 m.")</f>
        <v>On holidays and in the feast, the ones in the nest with everyone are withdrawn 1.5 m.</v>
      </c>
    </row>
    <row r="2435" spans="1:5" ht="15.75" customHeight="1" x14ac:dyDescent="0.25">
      <c r="A2435" s="1" t="s">
        <v>4869</v>
      </c>
      <c r="B2435" s="1">
        <v>17713</v>
      </c>
      <c r="C2435" s="3">
        <v>44048.567233796297</v>
      </c>
      <c r="D2435" s="1" t="s">
        <v>4870</v>
      </c>
      <c r="E2435" s="4" t="str">
        <f ca="1">IFERROR(__xludf.DUMMYFUNCTION("GOOGLETRANSLATE(A2435 , ""tr"" , ""en"")"),"Our Konya city hospital started acceptance. COVID-19 will take care of the treatment of diseases, to reduce the burden of other hospitals in Konya in terms of bed and patient density, will be completely started at the end of the month in all branches in a"&amp;"ll branches in the first stage of the hospital 838 beds. https://t.co/qkhhdplwh4")</f>
        <v>Our Konya city hospital started acceptance. COVID-19 will take care of the treatment of diseases, to reduce the burden of other hospitals in Konya in terms of bed and patient density, will be completely started at the end of the month in all branches in all branches in the first stage of the hospital 838 beds. https://t.co/qkhhdplwh4</v>
      </c>
    </row>
    <row r="2436" spans="1:5" ht="15.75" customHeight="1" x14ac:dyDescent="0.25">
      <c r="A2436" s="1" t="s">
        <v>4871</v>
      </c>
      <c r="B2436" s="1">
        <v>59820</v>
      </c>
      <c r="C2436" s="3">
        <v>44048.505671296298</v>
      </c>
      <c r="D2436" s="1" t="s">
        <v>4872</v>
      </c>
      <c r="E2436" s="4" t="str">
        <f ca="1">IFERROR(__xludf.DUMMYFUNCTION("GOOGLETRANSLATE(A2436 , ""tr"" , ""en"")"),"Do not leave the challenge of COVID-19 to the disease caught. Take measures.")</f>
        <v>Do not leave the challenge of COVID-19 to the disease caught. Take measures.</v>
      </c>
    </row>
    <row r="2437" spans="1:5" ht="15.75" customHeight="1" x14ac:dyDescent="0.2">
      <c r="A2437" s="5" t="s">
        <v>4873</v>
      </c>
      <c r="B2437" s="1">
        <v>39678</v>
      </c>
      <c r="C2437" s="3">
        <v>44048.215405092589</v>
      </c>
      <c r="D2437" s="1" t="s">
        <v>4874</v>
      </c>
      <c r="E2437" s="6" t="str">
        <f ca="1">IFERROR(__xludf.DUMMYFUNCTION("GOOGLETRANSLATE(A2437 , ""tr"" , ""en"")"),"https://t.co/bnj6lcrsnz")</f>
        <v>https://t.co/bnj6lcrsnz</v>
      </c>
    </row>
    <row r="2438" spans="1:5" ht="15.75" customHeight="1" x14ac:dyDescent="0.25">
      <c r="A2438" s="1" t="s">
        <v>4875</v>
      </c>
      <c r="B2438" s="1">
        <v>76859</v>
      </c>
      <c r="C2438" s="3">
        <v>44048.208425925928</v>
      </c>
      <c r="D2438" s="1" t="s">
        <v>4876</v>
      </c>
      <c r="E2438" s="4" t="str">
        <f ca="1">IFERROR(__xludf.DUMMYFUNCTION("GOOGLETRANSLATE(A2438 , ""tr"" , ""en"")"),"Set the risk distance on each step.")</f>
        <v>Set the risk distance on each step.</v>
      </c>
    </row>
    <row r="2439" spans="1:5" ht="15.75" customHeight="1" x14ac:dyDescent="0.25">
      <c r="A2439" s="1" t="s">
        <v>4877</v>
      </c>
      <c r="B2439" s="1">
        <v>133526</v>
      </c>
      <c r="C2439" s="3">
        <v>44047.785763888889</v>
      </c>
      <c r="D2439" s="1" t="s">
        <v>4878</v>
      </c>
      <c r="E2439" s="4" t="str">
        <f ca="1">IFERROR(__xludf.DUMMYFUNCTION("GOOGLETRANSLATE(A2439 , ""tr"" , ""en"")"),"If we escape the coke we live together. Take measures.")</f>
        <v>If we escape the coke we live together. Take measures.</v>
      </c>
    </row>
    <row r="2440" spans="1:5" ht="15.75" customHeight="1" x14ac:dyDescent="0.25">
      <c r="A2440" s="1" t="s">
        <v>4879</v>
      </c>
      <c r="B2440" s="1">
        <v>58625</v>
      </c>
      <c r="C2440" s="3">
        <v>44047.723923611113</v>
      </c>
      <c r="D2440" s="1" t="s">
        <v>4880</v>
      </c>
      <c r="E2440" s="4" t="str">
        <f ca="1">IFERROR(__xludf.DUMMYFUNCTION("GOOGLETRANSLATE(A2440 , ""tr"" , ""en"")"),"The rise in the number of new patients is serious. The difference between two days, the first time is so prominent for the first time. We must prevent the contact media on holiday and holiday to lead to severe results. We all are responsible for each othe"&amp;"r. We need an union in the measure. https://t.co/rvlhe7786o https://t.co/dvarrl90gd")</f>
        <v>The rise in the number of new patients is serious. The difference between two days, the first time is so prominent for the first time. We must prevent the contact media on holiday and holiday to lead to severe results. We all are responsible for each other. We need an union in the measure. https://t.co/rvlhe7786o https://t.co/dvarrl90gd</v>
      </c>
    </row>
    <row r="2441" spans="1:5" ht="15.75" customHeight="1" x14ac:dyDescent="0.25">
      <c r="A2441" s="1" t="s">
        <v>4881</v>
      </c>
      <c r="B2441" s="1">
        <v>53244</v>
      </c>
      <c r="C2441" s="3">
        <v>44046.685902777775</v>
      </c>
      <c r="D2441" s="1" t="s">
        <v>4882</v>
      </c>
      <c r="E2441" s="4" t="str">
        <f ca="1">IFERROR(__xludf.DUMMYFUNCTION("GOOGLETRANSLATE(A2441 , ""tr"" , ""en"")"),"In the holidays, holiday locations, the epidemic factor is not sufficiently considered. Previously, we are concerned that the case increases are limited to some provinces to spread the country over the next days. We need a power union in the measure. http"&amp;"s://t.co/rvlhe7786o https://t.co/81cff287an")</f>
        <v>In the holidays, holiday locations, the epidemic factor is not sufficiently considered. Previously, we are concerned that the case increases are limited to some provinces to spread the country over the next days. We need a power union in the measure. https://t.co/rvlhe7786o https://t.co/81cff287an</v>
      </c>
    </row>
    <row r="2442" spans="1:5" ht="15.75" customHeight="1" x14ac:dyDescent="0.25">
      <c r="A2442" s="1" t="s">
        <v>4883</v>
      </c>
      <c r="B2442" s="1">
        <v>35408</v>
      </c>
      <c r="C2442" s="3">
        <v>44045.686851851853</v>
      </c>
      <c r="D2442" s="1" t="s">
        <v>4884</v>
      </c>
      <c r="E2442" s="4" t="str">
        <f ca="1">IFERROR(__xludf.DUMMYFUNCTION("GOOGLETRANSLATE(A2442 , ""tr"" , ""en"")"),"In the last 3 days, the pneumatic rate in the provinces of our new patient numbers remained the same. Our severe patient numbers across the country seem to be under control. The lack of measures on the sacrifice and holiday is anxiety in terms of the resu"&amp;"lts of the coming days. https://t.co/rvlhe7oIYM https://t.co/koshdnavdl")</f>
        <v>In the last 3 days, the pneumatic rate in the provinces of our new patient numbers remained the same. Our severe patient numbers across the country seem to be under control. The lack of measures on the sacrifice and holiday is anxiety in terms of the results of the coming days. https://t.co/rvlhe7oIYM https://t.co/koshdnavdl</v>
      </c>
    </row>
    <row r="2443" spans="1:5" ht="15.75" customHeight="1" x14ac:dyDescent="0.2">
      <c r="A2443" s="5" t="s">
        <v>4885</v>
      </c>
      <c r="B2443" s="1">
        <v>39568</v>
      </c>
      <c r="C2443" s="3">
        <v>44045.585752314815</v>
      </c>
      <c r="D2443" s="1" t="s">
        <v>4886</v>
      </c>
      <c r="E2443" s="6" t="str">
        <f ca="1">IFERROR(__xludf.DUMMYFUNCTION("GOOGLETRANSLATE(A2443 , ""tr"" , ""en"")"),"https://t.co/pql3wyplbm")</f>
        <v>https://t.co/pql3wyplbm</v>
      </c>
    </row>
    <row r="2444" spans="1:5" ht="15.75" customHeight="1" x14ac:dyDescent="0.2">
      <c r="A2444" s="5" t="s">
        <v>4887</v>
      </c>
      <c r="B2444" s="1">
        <v>39575</v>
      </c>
      <c r="C2444" s="3">
        <v>44045.563078703701</v>
      </c>
      <c r="D2444" s="1" t="s">
        <v>4888</v>
      </c>
      <c r="E2444" s="6" t="str">
        <f ca="1">IFERROR(__xludf.DUMMYFUNCTION("GOOGLETRANSLATE(A2444 , ""tr"" , ""en"")"),"https://t.co/qyyvwnvmmk")</f>
        <v>https://t.co/qyyvwnvmmk</v>
      </c>
    </row>
    <row r="2445" spans="1:5" ht="15.75" customHeight="1" x14ac:dyDescent="0.2">
      <c r="A2445" s="5" t="s">
        <v>4889</v>
      </c>
      <c r="B2445" s="1">
        <v>26406</v>
      </c>
      <c r="C2445" s="3">
        <v>44045.562939814816</v>
      </c>
      <c r="D2445" s="1" t="s">
        <v>4890</v>
      </c>
      <c r="E2445" s="6" t="str">
        <f ca="1">IFERROR(__xludf.DUMMYFUNCTION("GOOGLETRANSLATE(A2445 , ""tr"" , ""en"")"),"https://t.co/j1nfegedaw")</f>
        <v>https://t.co/j1nfegedaw</v>
      </c>
    </row>
    <row r="2446" spans="1:5" ht="15.75" customHeight="1" x14ac:dyDescent="0.2">
      <c r="A2446" s="5" t="s">
        <v>4891</v>
      </c>
      <c r="B2446" s="1">
        <v>74408</v>
      </c>
      <c r="C2446" s="3">
        <v>44045.562858796293</v>
      </c>
      <c r="D2446" s="1" t="s">
        <v>4892</v>
      </c>
      <c r="E2446" s="6" t="str">
        <f ca="1">IFERROR(__xludf.DUMMYFUNCTION("GOOGLETRANSLATE(A2446 , ""tr"" , ""en"")"),"https://t.co/5aiaawtzpc")</f>
        <v>https://t.co/5aiaawtzpc</v>
      </c>
    </row>
    <row r="2447" spans="1:5" ht="15.75" customHeight="1" x14ac:dyDescent="0.25">
      <c r="A2447" s="1" t="s">
        <v>4893</v>
      </c>
      <c r="B2447" s="1">
        <v>128666</v>
      </c>
      <c r="C2447" s="3">
        <v>44045.432349537034</v>
      </c>
      <c r="D2447" s="1" t="s">
        <v>4894</v>
      </c>
      <c r="E2447" s="4" t="str">
        <f ca="1">IFERROR(__xludf.DUMMYFUNCTION("GOOGLETRANSLATE(A2447 , ""tr"" , ""en"")"),"The first wave landed on the beaches. Let's be careful on vacation.")</f>
        <v>The first wave landed on the beaches. Let's be careful on vacation.</v>
      </c>
    </row>
    <row r="2448" spans="1:5" ht="15.75" customHeight="1" x14ac:dyDescent="0.25">
      <c r="A2448" s="1" t="s">
        <v>4895</v>
      </c>
      <c r="B2448" s="1">
        <v>12554</v>
      </c>
      <c r="C2448" s="3">
        <v>44044.778437499997</v>
      </c>
      <c r="D2448" s="1" t="s">
        <v>4896</v>
      </c>
      <c r="E2448" s="4" t="str">
        <f ca="1">IFERROR(__xludf.DUMMYFUNCTION("GOOGLETRANSLATE(A2448 , ""tr"" , ""en"")"),"On the second day of the holiday, we met all our cities in video conference with provincial health managers. New developments related to epidemics have addressed the course of COVID-19. We had realized our previous video conferencing on July 29th with our"&amp;" provincial health managers. https://t.co/mth1lyz758")</f>
        <v>On the second day of the holiday, we met all our cities in video conference with provincial health managers. New developments related to epidemics have addressed the course of COVID-19. We had realized our previous video conferencing on July 29th with our provincial health managers. https://t.co/mth1lyz758</v>
      </c>
    </row>
    <row r="2449" spans="1:5" ht="15.75" customHeight="1" x14ac:dyDescent="0.25">
      <c r="A2449" s="1" t="s">
        <v>4897</v>
      </c>
      <c r="B2449" s="1">
        <v>12425</v>
      </c>
      <c r="C2449" s="3">
        <v>44044.758726851855</v>
      </c>
      <c r="D2449" s="1" t="s">
        <v>4898</v>
      </c>
      <c r="E2449" s="4" t="str">
        <f ca="1">IFERROR(__xludf.DUMMYFUNCTION("GOOGLETRANSLATE(A2449 , ""tr"" , ""en"")"),"We visited our patients and health personnel in Basaksehir Pine and Sakura city hospital and holiday. With a first feature of being a first in Turkey with 1.2 Tesla Open MRI device with claustrophobia or we are serving our patients who could not be shoote"&amp;"d due to obesity. https://t.co/53pe5shw44")</f>
        <v>We visited our patients and health personnel in Basaksehir Pine and Sakura city hospital and holiday. With a first feature of being a first in Turkey with 1.2 Tesla Open MRI device with claustrophobia or we are serving our patients who could not be shooted due to obesity. https://t.co/53pe5shw44</v>
      </c>
    </row>
    <row r="2450" spans="1:5" ht="15.75" customHeight="1" x14ac:dyDescent="0.25">
      <c r="A2450" s="1" t="s">
        <v>4899</v>
      </c>
      <c r="B2450" s="1">
        <v>42601</v>
      </c>
      <c r="C2450" s="3">
        <v>44044.740578703706</v>
      </c>
      <c r="D2450" s="1" t="s">
        <v>4900</v>
      </c>
      <c r="E2450" s="4" t="str">
        <f ca="1">IFERROR(__xludf.DUMMYFUNCTION("GOOGLETRANSLATE(A2450 , ""tr"" , ""en"")"),"Measure is needed: Daily new patient number is at the limit of 1,000. We had a 33 days of effort to get below this number. Provinces that the new patient numbers tend to increase: Ankara, Mardin, Diyarbakir, Gaziantep, Konya. In our 36 provinces, we have "&amp;"not been a new severe patient for 3 days. https://t.co/ffg1cu6zps")</f>
        <v>Measure is needed: Daily new patient number is at the limit of 1,000. We had a 33 days of effort to get below this number. Provinces that the new patient numbers tend to increase: Ankara, Mardin, Diyarbakir, Gaziantep, Konya. In our 36 provinces, we have not been a new severe patient for 3 days. https://t.co/ffg1cu6zps</v>
      </c>
    </row>
    <row r="2451" spans="1:5" ht="15.75" customHeight="1" x14ac:dyDescent="0.2">
      <c r="A2451" s="5" t="s">
        <v>4901</v>
      </c>
      <c r="B2451" s="1">
        <v>39061</v>
      </c>
      <c r="C2451" s="3">
        <v>44044.652581018519</v>
      </c>
      <c r="D2451" s="1" t="s">
        <v>4902</v>
      </c>
      <c r="E2451" s="6" t="str">
        <f ca="1">IFERROR(__xludf.DUMMYFUNCTION("GOOGLETRANSLATE(A2451 , ""tr"" , ""en"")"),"https://t.co/rhjyfstdd8")</f>
        <v>https://t.co/rhjyfstdd8</v>
      </c>
    </row>
    <row r="2452" spans="1:5" ht="15.75" customHeight="1" x14ac:dyDescent="0.25">
      <c r="A2452" s="1" t="s">
        <v>4903</v>
      </c>
      <c r="B2452" s="1">
        <v>31526</v>
      </c>
      <c r="C2452" s="3">
        <v>44043.730162037034</v>
      </c>
      <c r="D2452" s="1" t="s">
        <v>4904</v>
      </c>
      <c r="E2452" s="4" t="str">
        <f ca="1">IFERROR(__xludf.DUMMYFUNCTION("GOOGLETRANSLATE(A2452 , ""tr"" , ""en"")"),"The number of severe patients in the last three days is the most increasing cities: Istanbul, Ankara, Konya, Gaziantep, Diyarbakır. In the 27 cities, we did not have new severe patients in the last three days. In our pneumonia patient, the decline in our "&amp;"patient rate has a growth trend in our new diagnosed patients. https://t.co/rvlhe7oIYM https://t.co/80vizxattf")</f>
        <v>The number of severe patients in the last three days is the most increasing cities: Istanbul, Ankara, Konya, Gaziantep, Diyarbakır. In the 27 cities, we did not have new severe patients in the last three days. In our pneumonia patient, the decline in our patient rate has a growth trend in our new diagnosed patients. https://t.co/rvlhe7oIYM https://t.co/80vizxattf</v>
      </c>
    </row>
    <row r="2453" spans="1:5" ht="15.75" customHeight="1" x14ac:dyDescent="0.25">
      <c r="A2453" s="1" t="s">
        <v>4905</v>
      </c>
      <c r="B2453" s="1">
        <v>136716</v>
      </c>
      <c r="C2453" s="3">
        <v>44043.467824074076</v>
      </c>
      <c r="D2453" s="1" t="s">
        <v>4906</v>
      </c>
      <c r="E2453" s="4" t="str">
        <f ca="1">IFERROR(__xludf.DUMMYFUNCTION("GOOGLETRANSLATE(A2453 , ""tr"" , ""en"")"),"Let's not kiss the hand, let's kiss the hand. Big little, let's do our best.")</f>
        <v>Let's not kiss the hand, let's kiss the hand. Big little, let's do our best.</v>
      </c>
    </row>
    <row r="2454" spans="1:5" ht="15.75" customHeight="1" x14ac:dyDescent="0.2">
      <c r="A2454" s="5" t="s">
        <v>4907</v>
      </c>
      <c r="B2454" s="1">
        <v>75773</v>
      </c>
      <c r="C2454" s="3">
        <v>44043.394872685189</v>
      </c>
      <c r="D2454" s="1" t="s">
        <v>4908</v>
      </c>
      <c r="E2454" s="6" t="str">
        <f ca="1">IFERROR(__xludf.DUMMYFUNCTION("GOOGLETRANSLATE(A2454 , ""tr"" , ""en"")"),"https://t.co/b36iearzzu")</f>
        <v>https://t.co/b36iearzzu</v>
      </c>
    </row>
    <row r="2455" spans="1:5" ht="15.75" customHeight="1" x14ac:dyDescent="0.25">
      <c r="A2455" s="1" t="s">
        <v>4909</v>
      </c>
      <c r="B2455" s="1">
        <v>34945</v>
      </c>
      <c r="C2455" s="3">
        <v>44043.249432870369</v>
      </c>
      <c r="D2455" s="1" t="s">
        <v>4910</v>
      </c>
      <c r="E2455" s="4" t="str">
        <f ca="1">IFERROR(__xludf.DUMMYFUNCTION("GOOGLETRANSLATE(A2455 , ""tr"" , ""en"")"),"Let our country and human to human beings be able to strengthen our sister feelings and our sacrifice of the sacrifice. Let's take the measures to be taken against the epidemic to be peaceful and healthy in the coming days. May our days watching the holid"&amp;"ay well.")</f>
        <v>Let our country and human to human beings be able to strengthen our sister feelings and our sacrifice of the sacrifice. Let's take the measures to be taken against the epidemic to be peaceful and healthy in the coming days. May our days watching the holiday well.</v>
      </c>
    </row>
    <row r="2456" spans="1:5" ht="15.75" customHeight="1" x14ac:dyDescent="0.25">
      <c r="A2456" s="1" t="s">
        <v>4911</v>
      </c>
      <c r="B2456" s="1">
        <v>9703</v>
      </c>
      <c r="C2456" s="3">
        <v>44042.752847222226</v>
      </c>
      <c r="D2456" s="1" t="s">
        <v>4912</v>
      </c>
      <c r="E2456" s="4" t="str">
        <f ca="1">IFERROR(__xludf.DUMMYFUNCTION("GOOGLETRANSLATE(A2456 , ""tr"" , ""en"")"),"Prof. We are currently serving as Pandemia Hospital. Dr. Prof. Dr. Murat Dilmener with Emergency Hospital Prof. Dr. We visited Feriha self-emergency hospital. We have received information about our patients. I respect our two teachers with this occasion. "&amp;"https://t.co/hk0ssssruu6")</f>
        <v>Prof. We are currently serving as Pandemia Hospital. Dr. Prof. Dr. Murat Dilmener with Emergency Hospital Prof. Dr. We visited Feriha self-emergency hospital. We have received information about our patients. I respect our two teachers with this occasion. https://t.co/hk0ssssruu6</v>
      </c>
    </row>
    <row r="2457" spans="1:5" ht="15.75" customHeight="1" x14ac:dyDescent="0.25">
      <c r="A2457" s="1" t="s">
        <v>4913</v>
      </c>
      <c r="B2457" s="1">
        <v>28795</v>
      </c>
      <c r="C2457" s="3">
        <v>44042.730266203704</v>
      </c>
      <c r="D2457" s="1" t="s">
        <v>4914</v>
      </c>
      <c r="E2457" s="4" t="str">
        <f ca="1">IFERROR(__xludf.DUMMYFUNCTION("GOOGLETRANSLATE(A2457 , ""tr"" , ""en"")"),"Our severe patients with 542 yesterday has increased to 561. In over the last 24 hours, more than 43,000 tests were more disasteful in 967 people. Our new patient descending towards 900 a period is increasing. Our new patient count with our recovering pat"&amp;"ients is close to each other. https://t.co/rvlhe7786o https://t.co/5k9wixin6z")</f>
        <v>Our severe patients with 542 yesterday has increased to 561. In over the last 24 hours, more than 43,000 tests were more disasteful in 967 people. Our new patient descending towards 900 a period is increasing. Our new patient count with our recovering patients is close to each other. https://t.co/rvlhe7786o https://t.co/5k9wixin6z</v>
      </c>
    </row>
    <row r="2458" spans="1:5" ht="15.75" customHeight="1" x14ac:dyDescent="0.25">
      <c r="A2458" s="1" t="s">
        <v>4915</v>
      </c>
      <c r="B2458" s="1">
        <v>9249</v>
      </c>
      <c r="C2458" s="3">
        <v>44042.539641203701</v>
      </c>
      <c r="D2458" s="1" t="s">
        <v>4916</v>
      </c>
      <c r="E2458" s="4" t="str">
        <f ca="1">IFERROR(__xludf.DUMMYFUNCTION("GOOGLETRANSLATE(A2458 , ""tr"" , ""en"")"),"We have made a video conference call with 81 provinces to evaluate the preparations of victim feast. We addressed the completion of planning and needs. We reminded that the provincial HIFZISSIHHA boards are authorized to receive radical measures if necess"&amp;"ary. https://t.co/lcm7ugw3n3")</f>
        <v>We have made a video conference call with 81 provinces to evaluate the preparations of victim feast. We addressed the completion of planning and needs. We reminded that the provincial HIFZISSIHHA boards are authorized to receive radical measures if necessary. https://t.co/lcm7ugw3n3</v>
      </c>
    </row>
    <row r="2459" spans="1:5" ht="15.75" customHeight="1" x14ac:dyDescent="0.25">
      <c r="A2459" s="1" t="s">
        <v>4917</v>
      </c>
      <c r="B2459" s="1">
        <v>10460</v>
      </c>
      <c r="C2459" s="3">
        <v>44042.405856481484</v>
      </c>
      <c r="D2459" s="1" t="s">
        <v>4918</v>
      </c>
      <c r="E2459" s="4" t="str">
        <f ca="1">IFERROR(__xludf.DUMMYFUNCTION("GOOGLETRANSLATE(A2459 , ""tr"" , ""en"")"),"Let's not forget the importance of this holiday. Let's compromise the mask, distance, cleaning rule. Let's be able to return to the old holidays. I'm already celebrating your holiday. Our reminders will continue in the feast. After the holiday we are look"&amp;"ing forward to good news from you. https://t.co/eep2xwhlcg")</f>
        <v>Let's not forget the importance of this holiday. Let's compromise the mask, distance, cleaning rule. Let's be able to return to the old holidays. I'm already celebrating your holiday. Our reminders will continue in the feast. After the holiday we are looking forward to good news from you. https://t.co/eep2xwhlcg</v>
      </c>
    </row>
    <row r="2460" spans="1:5" ht="15.75" customHeight="1" x14ac:dyDescent="0.25">
      <c r="A2460" s="1" t="s">
        <v>4919</v>
      </c>
      <c r="B2460" s="1">
        <v>7478</v>
      </c>
      <c r="C2460" s="3">
        <v>44042.39135416667</v>
      </c>
      <c r="D2460" s="1" t="s">
        <v>4920</v>
      </c>
      <c r="E2460" s="4" t="str">
        <f ca="1">IFERROR(__xludf.DUMMYFUNCTION("GOOGLETRANSLATE(A2460 , ""tr"" , ""en"")"),"The field research is finished with the TURK. In accidental tests, the COVID-19 positivity rate is 26 in 10,000. So 26 people in 10 thousand people are positively walking around us. No signs. He has been applicant to the complaint of the disease. The immu"&amp;"ne rate is 8 per thousand. https://t.co/bnk6prdvh8")</f>
        <v>The field research is finished with the TURK. In accidental tests, the COVID-19 positivity rate is 26 in 10,000. So 26 people in 10 thousand people are positively walking around us. No signs. He has been applicant to the complaint of the disease. The immune rate is 8 per thousand. https://t.co/bnk6prdvh8</v>
      </c>
    </row>
    <row r="2461" spans="1:5" ht="15.75" customHeight="1" x14ac:dyDescent="0.25">
      <c r="A2461" s="1" t="s">
        <v>4921</v>
      </c>
      <c r="B2461" s="1">
        <v>6667</v>
      </c>
      <c r="C2461" s="3">
        <v>44041.889803240738</v>
      </c>
      <c r="D2461" s="1" t="s">
        <v>4922</v>
      </c>
      <c r="E2461" s="4" t="str">
        <f ca="1">IFERROR(__xludf.DUMMYFUNCTION("GOOGLETRANSLATE(A2461 , ""tr"" , ""en"")"),"Our laboratory in Public Health is an international reference laboratory. The ECDC EVC Lab network is one of 70 laboratories in Europe. The ECDC EVC Lab Network is a member of the laboratories. According to the audit conducted on June 15, the correct resu"&amp;"lt rate of the kits is 91.66%. https://t.co/twuhaufuqx")</f>
        <v>Our laboratory in Public Health is an international reference laboratory. The ECDC EVC Lab network is one of 70 laboratories in Europe. The ECDC EVC Lab Network is a member of the laboratories. According to the audit conducted on June 15, the correct result rate of the kits is 91.66%. https://t.co/twuhaufuqx</v>
      </c>
    </row>
    <row r="2462" spans="1:5" ht="15.75" customHeight="1" x14ac:dyDescent="0.25">
      <c r="A2462" s="1" t="s">
        <v>4923</v>
      </c>
      <c r="B2462" s="1">
        <v>15343</v>
      </c>
      <c r="C2462" s="3">
        <v>44041.864340277774</v>
      </c>
      <c r="D2462" s="1" t="s">
        <v>4924</v>
      </c>
      <c r="E2462" s="4" t="str">
        <f ca="1">IFERROR(__xludf.DUMMYFUNCTION("GOOGLETRANSLATE(A2462 , ""tr"" , ""en"")"),"I underline: on the first days, the kit we received from China to $ 8.75, the kits were not taken at the price above 9.8 pounds. 9.8 pounds and is ready to take the ministry if they give below. The global firms are known to be done through Turkey extensio"&amp;"ns of Turkey. https://t.co/lvxazr3vho")</f>
        <v>I underline: on the first days, the kit we received from China to $ 8.75, the kits were not taken at the price above 9.8 pounds. 9.8 pounds and is ready to take the ministry if they give below. The global firms are known to be done through Turkey extensions of Turkey. https://t.co/lvxazr3vho</v>
      </c>
    </row>
    <row r="2463" spans="1:5" ht="15.75" customHeight="1" x14ac:dyDescent="0.25">
      <c r="A2463" s="1" t="s">
        <v>4925</v>
      </c>
      <c r="B2463" s="1">
        <v>10234</v>
      </c>
      <c r="C2463" s="3">
        <v>44041.83693287037</v>
      </c>
      <c r="D2463" s="1" t="s">
        <v>4926</v>
      </c>
      <c r="E2463" s="4" t="str">
        <f ca="1">IFERROR(__xludf.DUMMYFUNCTION("GOOGLETRANSLATE(A2463 , ""tr"" , ""en"")"),"We are collecting the 3 groups that we need to comply with the feast of the victim. The measures in the first group, the sacrificial intake and sacrifice, the second group in the feast and Friday prayer, third groups are related to how the feast is spent."&amp;" All in the 5-minute video listed in substances. https://t.co/ydnt0kcep7")</f>
        <v>We are collecting the 3 groups that we need to comply with the feast of the victim. The measures in the first group, the sacrificial intake and sacrifice, the second group in the feast and Friday prayer, third groups are related to how the feast is spent. All in the 5-minute video listed in substances. https://t.co/ydnt0kcep7</v>
      </c>
    </row>
    <row r="2464" spans="1:5" ht="15.75" customHeight="1" x14ac:dyDescent="0.25">
      <c r="A2464" s="1" t="s">
        <v>4927</v>
      </c>
      <c r="B2464" s="1">
        <v>9415</v>
      </c>
      <c r="C2464" s="3">
        <v>44041.82984953704</v>
      </c>
      <c r="D2464" s="1" t="s">
        <v>4928</v>
      </c>
      <c r="E2464" s="4" t="str">
        <f ca="1">IFERROR(__xludf.DUMMYFUNCTION("GOOGLETRANSLATE(A2464 , ""tr"" , ""en"")"),"Ramadan Feast, the measures were kept very tight and the crunch was passed. There are things that have changed since the rest of the restrictions. We learned the relationship between the measures and the relationship from daily life. In the current condit"&amp;"ions of this holiday, we know the way to live closely to your soul. https://t.co/jp8bxb2eIy")</f>
        <v>Ramadan Feast, the measures were kept very tight and the crunch was passed. There are things that have changed since the rest of the restrictions. We learned the relationship between the measures and the relationship from daily life. In the current conditions of this holiday, we know the way to live closely to your soul. https://t.co/jp8bxb2eIy</v>
      </c>
    </row>
    <row r="2465" spans="1:5" ht="15.75" customHeight="1" x14ac:dyDescent="0.25">
      <c r="A2465" s="1" t="s">
        <v>4929</v>
      </c>
      <c r="B2465" s="1">
        <v>31686</v>
      </c>
      <c r="C2465" s="3">
        <v>44041.682187500002</v>
      </c>
      <c r="D2465" s="1" t="s">
        <v>4930</v>
      </c>
      <c r="E2465" s="4" t="str">
        <f ca="1">IFERROR(__xludf.DUMMYFUNCTION("GOOGLETRANSLATE(A2465 , ""tr"" , ""en"")"),"In the daily daily coronavirus table, after that, the number of severe patients will be given in accordance with the international standard throughout the epidemic. In addition to the number of new and total patients, the pneumonian rate will be displayed"&amp;" to provide detailed information on the cruise. https://t.co/rvlhe7786o https://t.co/mmex47amnj")</f>
        <v>In the daily daily coronavirus table, after that, the number of severe patients will be given in accordance with the international standard throughout the epidemic. In addition to the number of new and total patients, the pneumonian rate will be displayed to provide detailed information on the cruise. https://t.co/rvlhe7786o https://t.co/mmex47amnj</v>
      </c>
    </row>
    <row r="2466" spans="1:5" ht="15.75" customHeight="1" x14ac:dyDescent="0.25">
      <c r="A2466" s="1" t="s">
        <v>4931</v>
      </c>
      <c r="B2466" s="1">
        <v>7081</v>
      </c>
      <c r="C2466" s="3">
        <v>44041.588009259256</v>
      </c>
      <c r="D2466" s="1" t="s">
        <v>4932</v>
      </c>
      <c r="E2466" s="4" t="str">
        <f ca="1">IFERROR(__xludf.DUMMYFUNCTION("GOOGLETRANSLATE(A2466 , ""tr"" , ""en"")"),"After our Science Board meeting, the latest developments on the coronavirus and the new measures we receive.
📍Public Ministry Bilkent Campus / Ankara
https://t.co/zun00vmgt6")</f>
        <v>After our Science Board meeting, the latest developments on the coronavirus and the new measures we receive.
📍Public Ministry Bilkent Campus / Ankara
https://t.co/zun00vmgt6</v>
      </c>
    </row>
    <row r="2467" spans="1:5" ht="15.75" customHeight="1" x14ac:dyDescent="0.25">
      <c r="A2467" s="1" t="s">
        <v>4933</v>
      </c>
      <c r="B2467" s="1">
        <v>16644</v>
      </c>
      <c r="C2467" s="3">
        <v>44040.747615740744</v>
      </c>
      <c r="D2467" s="1" t="s">
        <v>4934</v>
      </c>
      <c r="E2467" s="4" t="str">
        <f ca="1">IFERROR(__xludf.DUMMYFUNCTION("GOOGLETRANSLATE(A2467 , ""tr"" , ""en"")"),"Our Minister of Interior is sec. In the comprehensive discussion of Süleyman noble today, we evaluate the current situation in the world and the course in the world and our country. The inter-ministries coordination has reviewed the necessary practices in"&amp;" the sacrifice. https://t.co/vaxeqdavpd")</f>
        <v>Our Minister of Interior is sec. In the comprehensive discussion of Süleyman noble today, we evaluate the current situation in the world and the course in the world and our country. The inter-ministries coordination has reviewed the necessary practices in the sacrifice. https://t.co/vaxeqdavpd</v>
      </c>
    </row>
    <row r="2468" spans="1:5" ht="15.75" customHeight="1" x14ac:dyDescent="0.25">
      <c r="A2468" s="1" t="s">
        <v>4935</v>
      </c>
      <c r="B2468" s="1">
        <v>32408</v>
      </c>
      <c r="C2468" s="3">
        <v>44040.733587962961</v>
      </c>
      <c r="D2468" s="1" t="s">
        <v>4936</v>
      </c>
      <c r="E2468" s="4" t="str">
        <f ca="1">IFERROR(__xludf.DUMMYFUNCTION("GOOGLETRANSLATE(A2468 , ""tr"" , ""en"")"),"Our test count, resulting in contact scan, has 47,500 in two days. In our new case, there are 64 increments compared to yesterday. Our number of passfat in the last 24 hours has occurred as 15 days after 15 days. In our new recovering patients, there is a"&amp;"n increase in yesterday. https://t.co/rvlhe7786o https://t.co/1kxywvejsq")</f>
        <v>Our test count, resulting in contact scan, has 47,500 in two days. In our new case, there are 64 increments compared to yesterday. Our number of passfat in the last 24 hours has occurred as 15 days after 15 days. In our new recovering patients, there is an increase in yesterday. https://t.co/rvlhe7786o https://t.co/1kxywvejsq</v>
      </c>
    </row>
    <row r="2469" spans="1:5" ht="15.75" customHeight="1" x14ac:dyDescent="0.25">
      <c r="A2469" s="1" t="s">
        <v>4937</v>
      </c>
      <c r="B2469" s="1">
        <v>29059</v>
      </c>
      <c r="C2469" s="3">
        <v>44039.789490740739</v>
      </c>
      <c r="D2469" s="1" t="s">
        <v>4938</v>
      </c>
      <c r="E2469" s="4" t="str">
        <f ca="1">IFERROR(__xludf.DUMMYFUNCTION("GOOGLETRANSLATE(A2469 , ""tr"" , ""en"")"),"In the mut-Karaman road, it is the martyr of our 2 soldiers, 6 of the civilians lost in the case of 6 civilians, the treatment of our 27 injuries in the accident, total 27 injuries continues in Mersin University, Mersin City Hospital, Silifke State Hospit"&amp;"al and Mut State Hospital. May the head of our nation be right.")</f>
        <v>In the mut-Karaman road, it is the martyr of our 2 soldiers, 6 of the civilians lost in the case of 6 civilians, the treatment of our 27 injuries in the accident, total 27 injuries continues in Mersin University, Mersin City Hospital, Silifke State Hospital and Mut State Hospital. May the head of our nation be right.</v>
      </c>
    </row>
    <row r="2470" spans="1:5" ht="15.75" customHeight="1" x14ac:dyDescent="0.25">
      <c r="A2470" s="1" t="s">
        <v>4939</v>
      </c>
      <c r="B2470" s="1">
        <v>30570</v>
      </c>
      <c r="C2470" s="3">
        <v>44039.720462962963</v>
      </c>
      <c r="D2470" s="1" t="s">
        <v>4940</v>
      </c>
      <c r="E2470" s="4" t="str">
        <f ca="1">IFERROR(__xludf.DUMMYFUNCTION("GOOGLETRANSLATE(A2470 , ""tr"" , ""en"")"),"The number of tests is above 45,000. The last 3 days of the intensive care number proportionally most increasing provinces: Istanbul, Ankara, Konya, Gaziantep, Diyarbakir. At least increasing provinces: Sivas, Isparta, Mugla, Balikesir, Bayburt. In our 21"&amp;" provinces, we have not had intense care patients in the last 3 days. https://t.co/rvlhe7786o https://t.co/Iirusd1uqh")</f>
        <v>The number of tests is above 45,000. The last 3 days of the intensive care number proportionally most increasing provinces: Istanbul, Ankara, Konya, Gaziantep, Diyarbakir. At least increasing provinces: Sivas, Isparta, Mugla, Balikesir, Bayburt. In our 21 provinces, we have not had intense care patients in the last 3 days. https://t.co/rvlhe7786o https://t.co/Iirusd1uqh</v>
      </c>
    </row>
    <row r="2471" spans="1:5" ht="15.75" customHeight="1" x14ac:dyDescent="0.25">
      <c r="A2471" s="1" t="s">
        <v>4941</v>
      </c>
      <c r="B2471" s="1">
        <v>34661</v>
      </c>
      <c r="C2471" s="3">
        <v>44038.727534722224</v>
      </c>
      <c r="D2471" s="1" t="s">
        <v>4942</v>
      </c>
      <c r="E2471" s="4" t="str">
        <f ca="1">IFERROR(__xludf.DUMMYFUNCTION("GOOGLETRANSLATE(A2471 , ""tr"" , ""en"")"),"Our new case count is in the average in the final days. The difference between our recovering patient count is close to our number of new cases. Intensive care, intubation and the number of patients in the risky group is approximately the same level of th"&amp;"e vain numbers are taking place close to each other. https://t.co/rvlhe7786o https://t.co/qngql6r82s")</f>
        <v>Our new case count is in the average in the final days. The difference between our recovering patient count is close to our number of new cases. Intensive care, intubation and the number of patients in the risky group is approximately the same level of the vain numbers are taking place close to each other. https://t.co/rvlhe7786o https://t.co/qngql6r82s</v>
      </c>
    </row>
    <row r="2472" spans="1:5" ht="15.75" customHeight="1" x14ac:dyDescent="0.25">
      <c r="A2472" s="1" t="s">
        <v>4943</v>
      </c>
      <c r="B2472" s="1">
        <v>12461</v>
      </c>
      <c r="C2472" s="3">
        <v>44037.722951388889</v>
      </c>
      <c r="D2472" s="1" t="s">
        <v>4944</v>
      </c>
      <c r="E2472" s="4" t="str">
        <f ca="1">IFERROR(__xludf.DUMMYFUNCTION("GOOGLETRANSLATE(A2472 , ""tr"" , ""en"")"),"We have examined the latest preparations in our hospital, which is renewed, the capacity is enlarged in Göztepe training and research. The structure is durable with earthquake insulators, the first stage of our hospital with high-tech hospital, 758 bed, w"&amp;"ill be served soon with 27 operating rooms. https://t.co/n7lmdcxleg")</f>
        <v>We have examined the latest preparations in our hospital, which is renewed, the capacity is enlarged in Göztepe training and research. The structure is durable with earthquake insulators, the first stage of our hospital with high-tech hospital, 758 bed, will be served soon with 27 operating rooms. https://t.co/n7lmdcxleg</v>
      </c>
    </row>
    <row r="2473" spans="1:5" ht="15.75" customHeight="1" x14ac:dyDescent="0.25">
      <c r="A2473" s="1" t="s">
        <v>4945</v>
      </c>
      <c r="B2473" s="1">
        <v>37304</v>
      </c>
      <c r="C2473" s="3">
        <v>44037.710682870369</v>
      </c>
      <c r="D2473" s="1" t="s">
        <v>4946</v>
      </c>
      <c r="E2473" s="4" t="str">
        <f ca="1">IFERROR(__xludf.DUMMYFUNCTION("GOOGLETRANSLATE(A2473 , ""tr"" , ""en"")"),"The rate of patients with pneumonia in the last 1 week is the most diminished provinces: Artvin, Mus, Denizli, Düzce, Erzurum. Our most increasing provinces: Isparta, Kocaeli, Mardin, Karaman. Whateverever you are the reason, the negligence of others shou"&amp;"ld not be accepted to the abandonment of measures. https://t.co/rvlhe7786o https://t.co/tc4p7wa4nr")</f>
        <v>The rate of patients with pneumonia in the last 1 week is the most diminished provinces: Artvin, Mus, Denizli, Düzce, Erzurum. Our most increasing provinces: Isparta, Kocaeli, Mardin, Karaman. Whateverever you are the reason, the negligence of others should not be accepted to the abandonment of measures. https://t.co/rvlhe7786o https://t.co/tc4p7wa4nr</v>
      </c>
    </row>
    <row r="2474" spans="1:5" ht="15.75" customHeight="1" x14ac:dyDescent="0.25">
      <c r="A2474" s="1" t="s">
        <v>4947</v>
      </c>
      <c r="B2474" s="1">
        <v>9551</v>
      </c>
      <c r="C2474" s="3">
        <v>44037.704942129632</v>
      </c>
      <c r="D2474" s="1" t="s">
        <v>4948</v>
      </c>
      <c r="E2474" s="4" t="str">
        <f ca="1">IFERROR(__xludf.DUMMYFUNCTION("GOOGLETRANSLATE(A2474 , ""tr"" , ""en"")"),"Haydarpaşa sample training and research hospital dr. Siamese Ersek Breast Heart and Vascular Surgery Education and Research Hospital have made our meeting on renewal projects. We have made evaluations on the health complex where two hospitals will be comb"&amp;"ined. https://t.co/yx7ov5BWQI")</f>
        <v>Haydarpaşa sample training and research hospital dr. Siamese Ersek Breast Heart and Vascular Surgery Education and Research Hospital have made our meeting on renewal projects. We have made evaluations on the health complex where two hospitals will be combined. https://t.co/yx7ov5BWQI</v>
      </c>
    </row>
    <row r="2475" spans="1:5" ht="15.75" customHeight="1" x14ac:dyDescent="0.25">
      <c r="A2475" s="1" t="s">
        <v>4949</v>
      </c>
      <c r="B2475" s="1">
        <v>32918</v>
      </c>
      <c r="C2475" s="3">
        <v>44036.668807870374</v>
      </c>
      <c r="D2475" s="1" t="s">
        <v>4950</v>
      </c>
      <c r="E2475" s="4" t="str">
        <f ca="1">IFERROR(__xludf.DUMMYFUNCTION("GOOGLETRANSLATE(A2475 , ""tr"" , ""en"")"),"Our total test count approached 4.5 million. With our recovering patient count, the difference between our new case count decreased by yesterday. Intensive care and intubate patients; Early diagnosis, age, decline and rise depending on chronic disease and"&amp;" similar situations. https://t.co/rvlhe7786o https://t.co/ersgzl9xey")</f>
        <v>Our total test count approached 4.5 million. With our recovering patient count, the difference between our new case count decreased by yesterday. Intensive care and intubate patients; Early diagnosis, age, decline and rise depending on chronic disease and similar situations. https://t.co/rvlhe7786o https://t.co/ersgzl9xey</v>
      </c>
    </row>
    <row r="2476" spans="1:5" ht="15.75" customHeight="1" x14ac:dyDescent="0.25">
      <c r="A2476" s="1" t="s">
        <v>4951</v>
      </c>
      <c r="B2476" s="1">
        <v>203998</v>
      </c>
      <c r="C2476" s="3">
        <v>44036.344502314816</v>
      </c>
      <c r="D2476" s="1" t="s">
        <v>4952</v>
      </c>
      <c r="E2476" s="4" t="str">
        <f ca="1">IFERROR(__xludf.DUMMYFUNCTION("GOOGLETRANSLATE(A2476 , ""tr"" , ""en"")"),"Measure before, then the one. Have a good Friday.")</f>
        <v>Measure before, then the one. Have a good Friday.</v>
      </c>
    </row>
    <row r="2477" spans="1:5" ht="15.75" customHeight="1" x14ac:dyDescent="0.25">
      <c r="A2477" s="1" t="s">
        <v>4953</v>
      </c>
      <c r="B2477" s="1">
        <v>22422</v>
      </c>
      <c r="C2477" s="3">
        <v>44036.326701388891</v>
      </c>
      <c r="D2477" s="1" t="s">
        <v>4954</v>
      </c>
      <c r="E2477" s="4" t="str">
        <f ca="1">IFERROR(__xludf.DUMMYFUNCTION("GOOGLETRANSLATE(A2477 , ""tr"" , ""en"")"),"In the scan study in Istanbul where 46% of the cases was detected, it was positive in 2.9 of each of the 1,000 tested in the scan study, which was randomly tested. This ratio is 13.8% higher than Turkey. Let's be careful about the good of all of us. Life "&amp;"is not to be defeated at risk.")</f>
        <v>In the scan study in Istanbul where 46% of the cases was detected, it was positive in 2.9 of each of the 1,000 tested in the scan study, which was randomly tested. This ratio is 13.8% higher than Turkey. Let's be careful about the good of all of us. Life is not to be defeated at risk.</v>
      </c>
    </row>
    <row r="2478" spans="1:5" ht="15.75" customHeight="1" x14ac:dyDescent="0.25">
      <c r="A2478" s="1" t="s">
        <v>4955</v>
      </c>
      <c r="B2478" s="1">
        <v>35573</v>
      </c>
      <c r="C2478" s="3">
        <v>44036.321018518516</v>
      </c>
      <c r="D2478" s="1" t="s">
        <v>4956</v>
      </c>
      <c r="E2478" s="4" t="str">
        <f ca="1">IFERROR(__xludf.DUMMYFUNCTION("GOOGLETRANSLATE(A2478 , ""tr"" , ""en"")"),"The total number of cases throughout the epidemic is 223.315. 46% of cases were detected in Istanbul. 50.2% of COVID-19 welded passages has been in Istanbul again. Let's be careful about the good of all of us. Life is not to be defeated at risk.")</f>
        <v>The total number of cases throughout the epidemic is 223.315. 46% of cases were detected in Istanbul. 50.2% of COVID-19 welded passages has been in Istanbul again. Let's be careful about the good of all of us. Life is not to be defeated at risk.</v>
      </c>
    </row>
    <row r="2479" spans="1:5" ht="15.75" customHeight="1" x14ac:dyDescent="0.25">
      <c r="A2479" s="1" t="s">
        <v>4957</v>
      </c>
      <c r="B2479" s="1">
        <v>25987</v>
      </c>
      <c r="C2479" s="3">
        <v>44036.311539351853</v>
      </c>
      <c r="D2479" s="1" t="s">
        <v>4958</v>
      </c>
      <c r="E2479" s="4" t="str">
        <f ca="1">IFERROR(__xludf.DUMMYFUNCTION("GOOGLETRANSLATE(A2479 , ""tr"" , ""en"")"),"In Turkey, in Turkey, the COVID-19 Scan Study with approximately 150,000 people in COVID-19 scanning, 2,5 of every 1,000 tested in the COVID-19 scan was positive in 2.5 of every 1,000. Let's be careful about the good of all of us. Life is not to be defeat"&amp;"ed at risk.")</f>
        <v>In Turkey, in Turkey, the COVID-19 Scan Study with approximately 150,000 people in COVID-19 scanning, 2,5 of every 1,000 tested in the COVID-19 scan was positive in 2.5 of every 1,000. Let's be careful about the good of all of us. Life is not to be defeated at risk.</v>
      </c>
    </row>
    <row r="2480" spans="1:5" ht="15.75" customHeight="1" x14ac:dyDescent="0.25">
      <c r="A2480" s="1" t="s">
        <v>4959</v>
      </c>
      <c r="B2480" s="1">
        <v>42641</v>
      </c>
      <c r="C2480" s="3">
        <v>44035.856041666666</v>
      </c>
      <c r="D2480" s="1" t="s">
        <v>4960</v>
      </c>
      <c r="E2480" s="4" t="str">
        <f ca="1">IFERROR(__xludf.DUMMYFUNCTION("GOOGLETRANSLATE(A2480 , ""tr"" , ""en"")"),"In the Friday Prayer to be made in Ayasofia, we hope that our people will not leave the measures with the excitement of living the historical moment. The information reached so far shows that the largest crowd throughout the epidemic will occur during the"&amp;" opening of the Hagia Sophia. Let's take an example of cautious Friday. https://t.co/ntujmv07mt")</f>
        <v>In the Friday Prayer to be made in Ayasofia, we hope that our people will not leave the measures with the excitement of living the historical moment. The information reached so far shows that the largest crowd throughout the epidemic will occur during the opening of the Hagia Sophia. Let's take an example of cautious Friday. https://t.co/ntujmv07mt</v>
      </c>
    </row>
    <row r="2481" spans="1:5" ht="15.75" customHeight="1" x14ac:dyDescent="0.25">
      <c r="A2481" s="1" t="s">
        <v>4961</v>
      </c>
      <c r="B2481" s="1">
        <v>38083</v>
      </c>
      <c r="C2481" s="3">
        <v>44035.708483796298</v>
      </c>
      <c r="D2481" s="1" t="s">
        <v>4962</v>
      </c>
      <c r="E2481" s="4" t="str">
        <f ca="1">IFERROR(__xludf.DUMMYFUNCTION("GOOGLETRANSLATE(A2481 , ""tr"" , ""en"")"),"238 more than the number of cases of recovery. COVID-19, the number of people at 1.043 patients lost by COVID-19. https://t.co/rvlhe7786o https://t.co/6ho4gsuu2u")</f>
        <v>238 more than the number of cases of recovery. COVID-19, the number of people at 1.043 patients lost by COVID-19. https://t.co/rvlhe7786o https://t.co/6ho4gsuu2u</v>
      </c>
    </row>
    <row r="2482" spans="1:5" ht="15.75" customHeight="1" x14ac:dyDescent="0.25">
      <c r="A2482" s="1" t="s">
        <v>4963</v>
      </c>
      <c r="B2482" s="1">
        <v>50676</v>
      </c>
      <c r="C2482" s="3">
        <v>44034.706400462965</v>
      </c>
      <c r="D2482" s="1" t="s">
        <v>4964</v>
      </c>
      <c r="E2482" s="4" t="str">
        <f ca="1">IFERROR(__xludf.DUMMYFUNCTION("GOOGLETRANSLATE(A2482 , ""tr"" , ""en"")"),"The first time in the days is the first time, the number of patients healing is 300 than the number of cases. Number of new cases, 44 days after 900 border. Many cities have become widespread; Life is entering a promising order. We expect to take care of "&amp;"the provinces with weight in case numbers. https://t.co/rvlhe7786o https://t.co/315ldycsuk")</f>
        <v>The first time in the days is the first time, the number of patients healing is 300 than the number of cases. Number of new cases, 44 days after 900 border. Many cities have become widespread; Life is entering a promising order. We expect to take care of the provinces with weight in case numbers. https://t.co/rvlhe7786o https://t.co/315ldycsuk</v>
      </c>
    </row>
    <row r="2483" spans="1:5" ht="15.75" customHeight="1" x14ac:dyDescent="0.25">
      <c r="A2483" s="1" t="s">
        <v>4965</v>
      </c>
      <c r="B2483" s="1">
        <v>14647</v>
      </c>
      <c r="C2483" s="3">
        <v>44034.66511574074</v>
      </c>
      <c r="D2483" s="1" t="s">
        <v>4966</v>
      </c>
      <c r="E2483" s="4" t="str">
        <f ca="1">IFERROR(__xludf.DUMMYFUNCTION("GOOGLETRANSLATE(A2483 , ""tr"" , ""en"")"),"HTTPS://T.CO/08HSBXL9UV Link to the daily case table message on a regular basis. Detailed graph showing the course of the outbreak; Our page containing daily and weekly status reports were visited 270 million times. We always wait for the correct informat"&amp;"ion: https://t.co/rvlhe7786o")</f>
        <v>HTTPS://T.CO/08HSBXL9UV Link to the daily case table message on a regular basis. Detailed graph showing the course of the outbreak; Our page containing daily and weekly status reports were visited 270 million times. We always wait for the correct information: https://t.co/rvlhe7786o</v>
      </c>
    </row>
    <row r="2484" spans="1:5" ht="15.75" customHeight="1" x14ac:dyDescent="0.25">
      <c r="A2484" s="1" t="s">
        <v>4967</v>
      </c>
      <c r="B2484" s="1">
        <v>42416</v>
      </c>
      <c r="C2484" s="3">
        <v>44033.742858796293</v>
      </c>
      <c r="D2484" s="1" t="s">
        <v>4968</v>
      </c>
      <c r="E2484" s="4" t="str">
        <f ca="1">IFERROR(__xludf.DUMMYFUNCTION("GOOGLETRANSLATE(A2484 , ""tr"" , ""en"")"),"In our last three days, pneumonated case numbers decreased in our 161 provinces, 21 in our 21 provinces have no intense care patients. Detailed graphics, daily and weekly COVID-19 status reports and other important information in which the disease is show"&amp;"n in our country of view of our country: https://t.co/rvlhe7786o https://t.co/q4yg4zcxn8")</f>
        <v>In our last three days, pneumonated case numbers decreased in our 161 provinces, 21 in our 21 provinces have no intense care patients. Detailed graphics, daily and weekly COVID-19 status reports and other important information in which the disease is shown in our country of view of our country: https://t.co/rvlhe7786o https://t.co/q4yg4zcxn8</v>
      </c>
    </row>
    <row r="2485" spans="1:5" ht="15.75" customHeight="1" x14ac:dyDescent="0.25">
      <c r="A2485" s="1" t="s">
        <v>4969</v>
      </c>
      <c r="B2485" s="1">
        <v>0</v>
      </c>
      <c r="C2485" s="3">
        <v>44033.520937499998</v>
      </c>
      <c r="D2485" s="1" t="s">
        <v>4970</v>
      </c>
      <c r="E2485" s="4" t="str">
        <f ca="1">IFERROR(__xludf.DUMMYFUNCTION("GOOGLETRANSLATE(A2485 , ""tr"" , ""en"")"),"RT @rterdogan: Presidential government system 🇹🇷 | Health 🩺
# REFORMICRAATGE IF IT HTTPS://T.CO/DBIAWZMJBZ")</f>
        <v>RT @rterdogan: Presidential government system 🇹🇷 | Health 🩺
# REFORMICRAATGE IF IT HTTPS://T.CO/DBIAWZMJBZ</v>
      </c>
    </row>
    <row r="2486" spans="1:5" ht="15.75" customHeight="1" x14ac:dyDescent="0.25">
      <c r="A2486" s="1" t="s">
        <v>4971</v>
      </c>
      <c r="B2486" s="1">
        <v>0</v>
      </c>
      <c r="C2486" s="3">
        <v>44033.478263888886</v>
      </c>
      <c r="D2486" s="1" t="s">
        <v>4972</v>
      </c>
      <c r="E2486" s="4" t="str">
        <f ca="1">IFERROR(__xludf.DUMMYFUNCTION("GOOGLETRANSLATE(A2486 , ""tr"" , ""en"")"),"RT @rterdogan: Presidential government cabinet two years assessment meeting https://t.co/9ohwkwroe0")</f>
        <v>RT @rterdogan: Presidential government cabinet two years assessment meeting https://t.co/9ohwkwroe0</v>
      </c>
    </row>
    <row r="2487" spans="1:5" ht="15.75" customHeight="1" x14ac:dyDescent="0.25">
      <c r="A2487" s="1" t="s">
        <v>4973</v>
      </c>
      <c r="B2487" s="1">
        <v>33425</v>
      </c>
      <c r="C2487" s="3">
        <v>44033.374837962961</v>
      </c>
      <c r="D2487" s="1" t="s">
        <v>4974</v>
      </c>
      <c r="E2487" s="4" t="str">
        <f ca="1">IFERROR(__xludf.DUMMYFUNCTION("GOOGLETRANSLATE(A2487 , ""tr"" , ""en"")"),"Let's not leave the fight against COVID-19 to the disease. About this, let's not insist on the wrong place. According to the world's current experience, epidemic; Social class, social status, rich poor, corner writer, newspaper read, amir, officers, folk,"&amp;" the owner does not separate.")</f>
        <v>Let's not leave the fight against COVID-19 to the disease. About this, let's not insist on the wrong place. According to the world's current experience, epidemic; Social class, social status, rich poor, corner writer, newspaper read, amir, officers, folk, the owner does not separate.</v>
      </c>
    </row>
    <row r="2488" spans="1:5" ht="15.75" customHeight="1" x14ac:dyDescent="0.25">
      <c r="A2488" s="1" t="s">
        <v>4975</v>
      </c>
      <c r="B2488" s="1">
        <v>35659</v>
      </c>
      <c r="C2488" s="3">
        <v>44032.891469907408</v>
      </c>
      <c r="D2488" s="1" t="s">
        <v>4976</v>
      </c>
      <c r="E2488" s="4" t="str">
        <f ca="1">IFERROR(__xludf.DUMMYFUNCTION("GOOGLETRANSLATE(A2488 , ""tr"" , ""en"")"),"In the 46th anniversary of the Cyprus Peace Operation, we remember our veterans by gratitude and gratefully.")</f>
        <v>In the 46th anniversary of the Cyprus Peace Operation, we remember our veterans by gratitude and gratefully.</v>
      </c>
    </row>
    <row r="2489" spans="1:5" ht="15.75" customHeight="1" x14ac:dyDescent="0.25">
      <c r="A2489" s="1" t="s">
        <v>4977</v>
      </c>
      <c r="B2489" s="1">
        <v>71180</v>
      </c>
      <c r="C2489" s="3">
        <v>44032.765474537038</v>
      </c>
      <c r="D2489" s="1" t="s">
        <v>4978</v>
      </c>
      <c r="E2489" s="4" t="str">
        <f ca="1">IFERROR(__xludf.DUMMYFUNCTION("GOOGLETRANSLATE(A2489 , ""tr"" , ""en"")"),"In Diyarbakır from the provinces where cases are most commonly seen in Diyarbakır, 70 people were learned that 70 people suffer from arm coke and maskless halay. In Trabzon, 35 people participating in a Henna Night, including the bridal, was quarantined; "&amp;"The wedding is delayed. You are watching the weddings, intensive care.")</f>
        <v>In Diyarbakır from the provinces where cases are most commonly seen in Diyarbakır, 70 people were learned that 70 people suffer from arm coke and maskless halay. In Trabzon, 35 people participating in a Henna Night, including the bridal, was quarantined; The wedding is delayed. You are watching the weddings, intensive care.</v>
      </c>
    </row>
    <row r="2490" spans="1:5" ht="15.75" customHeight="1" x14ac:dyDescent="0.25">
      <c r="A2490" s="1" t="s">
        <v>4979</v>
      </c>
      <c r="B2490" s="1">
        <v>39750</v>
      </c>
      <c r="C2490" s="3">
        <v>44032.722986111112</v>
      </c>
      <c r="D2490" s="1" t="s">
        <v>4980</v>
      </c>
      <c r="E2490" s="4" t="str">
        <f ca="1">IFERROR(__xludf.DUMMYFUNCTION("GOOGLETRANSLATE(A2490 , ""tr"" , ""en"")"),"The average daily case for the last three days is the highest five provinces: Istanbul, Ankara, Gaziantep, Şanlıurfa, Bursa. Our lowest 5 provinces: Artvin, Bilecik, Tunceli, Edirne, Bayburt. If there are Tunceli, Nevsehir, Kastamonu, Artvin and Aksaray, "&amp;"we do not have pneumonated patients right now. https://t.co/rvlhe7786o https://t.co/4jfzkl9l8x")</f>
        <v>The average daily case for the last three days is the highest five provinces: Istanbul, Ankara, Gaziantep, Şanlıurfa, Bursa. Our lowest 5 provinces: Artvin, Bilecik, Tunceli, Edirne, Bayburt. If there are Tunceli, Nevsehir, Kastamonu, Artvin and Aksaray, we do not have pneumonated patients right now. https://t.co/rvlhe7786o https://t.co/4jfzkl9l8x</v>
      </c>
    </row>
    <row r="2491" spans="1:5" ht="15.75" customHeight="1" x14ac:dyDescent="0.25">
      <c r="A2491" s="1" t="s">
        <v>4981</v>
      </c>
      <c r="B2491" s="1">
        <v>58352</v>
      </c>
      <c r="C2491" s="3">
        <v>44031.853506944448</v>
      </c>
      <c r="D2491" s="1" t="s">
        <v>4982</v>
      </c>
      <c r="E2491" s="4" t="str">
        <f ca="1">IFERROR(__xludf.DUMMYFUNCTION("GOOGLETRANSLATE(A2491 , ""tr"" , ""en"")"),"We celebrate the Basaksehirspor who guarantees the Championship in the Super League and the Championship in Super League. We expect the two clubs to be in style that celebrates the community health of the celebrations. In COVID-19 terms, the fan should al"&amp;"so change.")</f>
        <v>We celebrate the Basaksehirspor who guarantees the Championship in the Super League and the Championship in Super League. We expect the two clubs to be in style that celebrates the community health of the celebrations. In COVID-19 terms, the fan should also change.</v>
      </c>
    </row>
    <row r="2492" spans="1:5" ht="15.75" customHeight="1" x14ac:dyDescent="0.25">
      <c r="A2492" s="1" t="s">
        <v>4983</v>
      </c>
      <c r="B2492" s="1">
        <v>34141</v>
      </c>
      <c r="C2492" s="3">
        <v>44031.791145833333</v>
      </c>
      <c r="D2492" s="1" t="s">
        <v>4984</v>
      </c>
      <c r="E2492" s="4" t="str">
        <f ca="1">IFERROR(__xludf.DUMMYFUNCTION("GOOGLETRANSLATE(A2492 , ""tr"" , ""en"")"),"Başaksehirspor- Kayserispor played in Istanbul, Trabzonspor- Konyaspor games played in Trabzon, we are inviting to comply with the epidemic measures at the end of the match. In COVID-19, the mask, distance and community health was added to the rules of ge"&amp;"ntlusion. Enjoy watching.")</f>
        <v>Başaksehirspor- Kayserispor played in Istanbul, Trabzonspor- Konyaspor games played in Trabzon, we are inviting to comply with the epidemic measures at the end of the match. In COVID-19, the mask, distance and community health was added to the rules of gentlusion. Enjoy watching.</v>
      </c>
    </row>
    <row r="2493" spans="1:5" ht="15.75" customHeight="1" x14ac:dyDescent="0.25">
      <c r="A2493" s="1" t="s">
        <v>4985</v>
      </c>
      <c r="B2493" s="1">
        <v>44481</v>
      </c>
      <c r="C2493" s="3">
        <v>44031.712824074071</v>
      </c>
      <c r="D2493" s="1" t="s">
        <v>4986</v>
      </c>
      <c r="E2493" s="4" t="str">
        <f ca="1">IFERROR(__xludf.DUMMYFUNCTION("GOOGLETRANSLATE(A2493 , ""tr"" , ""en"")"),"Every day we are close to 1000 patients healing, our new cases are close to 1000. If we can stop new cases the active case number will be quickly reduced. Our goal; Increase in the number of recovery, decrease in new cases. Good news, depending on the mea"&amp;"sures we will get. https://t.co/rvlhe7786o https://t.co/vpruguegzswc")</f>
        <v>Every day we are close to 1000 patients healing, our new cases are close to 1000. If we can stop new cases the active case number will be quickly reduced. Our goal; Increase in the number of recovery, decrease in new cases. Good news, depending on the measures we will get. https://t.co/rvlhe7786o https://t.co/vpruguegzswc</v>
      </c>
    </row>
    <row r="2494" spans="1:5" ht="15.75" customHeight="1" x14ac:dyDescent="0.25">
      <c r="A2494" s="1" t="s">
        <v>4987</v>
      </c>
      <c r="B2494" s="1">
        <v>52162</v>
      </c>
      <c r="C2494" s="3">
        <v>44030.753657407404</v>
      </c>
      <c r="D2494" s="1" t="s">
        <v>4988</v>
      </c>
      <c r="E2494" s="4" t="str">
        <f ca="1">IFERROR(__xludf.DUMMYFUNCTION("GOOGLETRANSLATE(A2494 , ""tr"" , ""en"")"),"Erzurumspor- Koronavirus encounter began. I invite the gentleman to be gentlemanly from the crowded scene. May the case in the city is under control. https://t.co/fnzaxkxkmr")</f>
        <v>Erzurumspor- Koronavirus encounter began. I invite the gentleman to be gentlemanly from the crowded scene. May the case in the city is under control. https://t.co/fnzaxkxkmr</v>
      </c>
    </row>
    <row r="2495" spans="1:5" ht="15.75" customHeight="1" x14ac:dyDescent="0.25">
      <c r="A2495" s="1" t="s">
        <v>4989</v>
      </c>
      <c r="B2495" s="1">
        <v>0</v>
      </c>
      <c r="C2495" s="3">
        <v>44030.749756944446</v>
      </c>
      <c r="D2495" s="1" t="s">
        <v>4990</v>
      </c>
      <c r="E2495" s="4" t="str">
        <f ca="1">IFERROR(__xludf.DUMMYFUNCTION("GOOGLETRANSLATE(A2495 , ""tr"" , ""en"")"),"RT @rterdogan: Today, Togg Engineering, Design and Production Center starts to convert our 60 years of dream to reality.")</f>
        <v>RT @rterdogan: Today, Togg Engineering, Design and Production Center starts to convert our 60 years of dream to reality.</v>
      </c>
    </row>
    <row r="2496" spans="1:5" ht="15.75" customHeight="1" x14ac:dyDescent="0.25">
      <c r="A2496" s="1" t="s">
        <v>4991</v>
      </c>
      <c r="B2496" s="1">
        <v>36913</v>
      </c>
      <c r="C2496" s="3">
        <v>44030.714143518519</v>
      </c>
      <c r="D2496" s="1" t="s">
        <v>4992</v>
      </c>
      <c r="E2496" s="4" t="str">
        <f ca="1">IFERROR(__xludf.DUMMYFUNCTION("GOOGLETRANSLATE(A2496 , ""tr"" , ""en"")"),"Compared to the most recent day on top of 1,000, our new case count has decreased 90 today. Our most cases seen in the last 3 days: Istanbul, Ankara, Gaziantep, Konya, Diyarbakir. Our five lies seen in the least case: Artvin, Tunceli, Bayburt, Kırklareli,"&amp;" Bartin. https://t.co/rvlhe7786o https://t.co/reifcmnckw")</f>
        <v>Compared to the most recent day on top of 1,000, our new case count has decreased 90 today. Our most cases seen in the last 3 days: Istanbul, Ankara, Gaziantep, Konya, Diyarbakir. Our five lies seen in the least case: Artvin, Tunceli, Bayburt, Kırklareli, Bartin. https://t.co/rvlhe7786o https://t.co/reifcmnckw</v>
      </c>
    </row>
    <row r="2497" spans="1:5" ht="15.75" customHeight="1" x14ac:dyDescent="0.25">
      <c r="A2497" s="1" t="s">
        <v>4993</v>
      </c>
      <c r="B2497" s="1">
        <v>55860</v>
      </c>
      <c r="C2497" s="3">
        <v>44030.694444444445</v>
      </c>
      <c r="D2497" s="1" t="s">
        <v>4994</v>
      </c>
      <c r="E2497" s="4" t="str">
        <f ca="1">IFERROR(__xludf.DUMMYFUNCTION("GOOGLETRANSLATE(A2497 , ""tr"" , ""en"")"),"We celebrate the Erzurumspor that comes out of the Super Lig. We believe that the Erzurumspor community will celebrate this success by taking into account the outbreak conditions. COVID-19 Case numbers in the city are under control. Let's not drop shadow "&amp;"into this success with imprudent celebrations.")</f>
        <v>We celebrate the Erzurumspor that comes out of the Super Lig. We believe that the Erzurumspor community will celebrate this success by taking into account the outbreak conditions. COVID-19 Case numbers in the city are under control. Let's not drop shadow into this success with imprudent celebrations.</v>
      </c>
    </row>
    <row r="2498" spans="1:5" ht="15.75" customHeight="1" x14ac:dyDescent="0.25">
      <c r="A2498" s="1" t="s">
        <v>4995</v>
      </c>
      <c r="B2498" s="1">
        <v>125419</v>
      </c>
      <c r="C2498" s="3">
        <v>44029.818229166667</v>
      </c>
      <c r="D2498" s="1" t="s">
        <v>4996</v>
      </c>
      <c r="E2498" s="4" t="str">
        <f ca="1">IFERROR(__xludf.DUMMYFUNCTION("GOOGLETRANSLATE(A2498 , ""tr"" , ""en"")"),"In the SURVIVOR 2020 final program, COVID-19 has led to the reactions. The reactions are right. The wedding location, marketplace, filled place warnings are included in the purpose of showing media much more. The famous people with fans who do not comply "&amp;"with the measures should be a little isolated. https://t.co/ebtzlcslsq")</f>
        <v>In the SURVIVOR 2020 final program, COVID-19 has led to the reactions. The reactions are right. The wedding location, marketplace, filled place warnings are included in the purpose of showing media much more. The famous people with fans who do not comply with the measures should be a little isolated. https://t.co/ebtzlcslsq</v>
      </c>
    </row>
    <row r="2499" spans="1:5" ht="15.75" customHeight="1" x14ac:dyDescent="0.25">
      <c r="A2499" s="1" t="s">
        <v>4997</v>
      </c>
      <c r="B2499" s="1">
        <v>40808</v>
      </c>
      <c r="C2499" s="3">
        <v>44029.73096064815</v>
      </c>
      <c r="D2499" s="1" t="s">
        <v>4998</v>
      </c>
      <c r="E2499" s="4" t="str">
        <f ca="1">IFERROR(__xludf.DUMMYFUNCTION("GOOGLETRANSLATE(A2499 , ""tr"" , ""en"")"),"Intensive maintenance and intubate patients, there is an increase of continuing treatments. Within the last 35 days, our lowest passage number was on 13 June, 14. The contact scan is trying to further reduce the number of passages with the chance of early"&amp;" diagnosis and treatment. https://t.co/rvlhe7786o https://t.co/9vqibmlh4v")</f>
        <v>Intensive maintenance and intubate patients, there is an increase of continuing treatments. Within the last 35 days, our lowest passage number was on 13 June, 14. The contact scan is trying to further reduce the number of passages with the chance of early diagnosis and treatment. https://t.co/rvlhe7786o https://t.co/9vqibmlh4v</v>
      </c>
    </row>
    <row r="2500" spans="1:5" ht="15.75" customHeight="1" x14ac:dyDescent="0.25">
      <c r="A2500" s="1" t="s">
        <v>4999</v>
      </c>
      <c r="B2500" s="1">
        <v>30159</v>
      </c>
      <c r="C2500" s="3">
        <v>44029.548541666663</v>
      </c>
      <c r="D2500" s="1" t="s">
        <v>5000</v>
      </c>
      <c r="E2500" s="4" t="str">
        <f ca="1">IFERROR(__xludf.DUMMYFUNCTION("GOOGLETRANSLATE(A2500 , ""tr"" , ""en"")"),"Droplet event on the pool and beaches: Coronavirus is contaminated with droplets. The number of risky drops, the pool and beaches as well as in other environments, the human intensity increases. Measures are valid in all parts of the third person. If the "&amp;"rules are observed, the quality of the holiday increases.")</f>
        <v>Droplet event on the pool and beaches: Coronavirus is contaminated with droplets. The number of risky drops, the pool and beaches as well as in other environments, the human intensity increases. Measures are valid in all parts of the third person. If the rules are observed, the quality of the holiday increases.</v>
      </c>
    </row>
    <row r="2501" spans="1:5" ht="15.75" customHeight="1" x14ac:dyDescent="0.25">
      <c r="A2501" s="1" t="s">
        <v>5001</v>
      </c>
      <c r="B2501" s="1">
        <v>14517</v>
      </c>
      <c r="C2501" s="3">
        <v>44029.527685185189</v>
      </c>
      <c r="D2501" s="1" t="s">
        <v>5002</v>
      </c>
      <c r="E2501" s="4" t="str">
        <f ca="1">IFERROR(__xludf.DUMMYFUNCTION("GOOGLETRANSLATE(A2501 , ""tr"" , ""en"")"),"In the van, the discovery aircraft accident is the Komiser Assistant Samet, and the Police Officer Mustafa Keskin was the last journey. I wish the other five other sawn in the same accident. https://t.co/l8r1kvbwxe")</f>
        <v>In the van, the discovery aircraft accident is the Komiser Assistant Samet, and the Police Officer Mustafa Keskin was the last journey. I wish the other five other sawn in the same accident. https://t.co/l8r1kvbwxe</v>
      </c>
    </row>
    <row r="2502" spans="1:5" ht="15.75" customHeight="1" x14ac:dyDescent="0.25">
      <c r="A2502" s="1" t="s">
        <v>5003</v>
      </c>
      <c r="B2502" s="1">
        <v>85542</v>
      </c>
      <c r="C2502" s="3">
        <v>44029.50408564815</v>
      </c>
      <c r="D2502" s="1" t="s">
        <v>5004</v>
      </c>
      <c r="E2502" s="4" t="str">
        <f ca="1">IFERROR(__xludf.DUMMYFUNCTION("GOOGLETRANSLATE(A2502 , ""tr"" , ""en"")"),"Holiday Plans Slogan: Away from the crowd like sand!")</f>
        <v>Holiday Plans Slogan: Away from the crowd like sand!</v>
      </c>
    </row>
    <row r="2503" spans="1:5" ht="15.75" customHeight="1" x14ac:dyDescent="0.25">
      <c r="A2503" s="1" t="s">
        <v>5005</v>
      </c>
      <c r="B2503" s="1">
        <v>27957</v>
      </c>
      <c r="C2503" s="3">
        <v>44029.377187500002</v>
      </c>
      <c r="D2503" s="1" t="s">
        <v>5006</v>
      </c>
      <c r="E2503" s="4" t="str">
        <f ca="1">IFERROR(__xludf.DUMMYFUNCTION("GOOGLETRANSLATE(A2503 , ""tr"" , ""en"")"),"Risk Analysts Search: What time the bus is less crowded? Who is at least the hairdresser in Is it risky to send little expensive gift or go to the wedding? By rearranging their work hours, is he only invested in health? We must be a risk analyst against C"&amp;"OVID-19.")</f>
        <v>Risk Analysts Search: What time the bus is less crowded? Who is at least the hairdresser in Is it risky to send little expensive gift or go to the wedding? By rearranging their work hours, is he only invested in health? We must be a risk analyst against COVID-19.</v>
      </c>
    </row>
    <row r="2504" spans="1:5" ht="15.75" customHeight="1" x14ac:dyDescent="0.25">
      <c r="A2504" s="1" t="s">
        <v>5007</v>
      </c>
      <c r="B2504" s="1">
        <v>51881</v>
      </c>
      <c r="C2504" s="3">
        <v>44029.325381944444</v>
      </c>
      <c r="D2504" s="1" t="s">
        <v>5008</v>
      </c>
      <c r="E2504" s="4" t="str">
        <f ca="1">IFERROR(__xludf.DUMMYFUNCTION("GOOGLETRANSLATE(A2504 , ""tr"" , ""en"")"),"I talked to our 3 patients in intensive care. Their treatments give good results. Insists on abide by measures. Let's have a successful day by keeping each other. Good work.")</f>
        <v>I talked to our 3 patients in intensive care. Their treatments give good results. Insists on abide by measures. Let's have a successful day by keeping each other. Good work.</v>
      </c>
    </row>
    <row r="2505" spans="1:5" ht="15.75" customHeight="1" x14ac:dyDescent="0.25">
      <c r="A2505" s="1" t="s">
        <v>5009</v>
      </c>
      <c r="B2505" s="1">
        <v>48553</v>
      </c>
      <c r="C2505" s="3">
        <v>44028.713935185187</v>
      </c>
      <c r="D2505" s="1" t="s">
        <v>5010</v>
      </c>
      <c r="E2505" s="4" t="str">
        <f ca="1">IFERROR(__xludf.DUMMYFUNCTION("GOOGLETRANSLATE(A2505 , ""tr"" , ""en"")"),"More tests, more cases detect. The relationship between the number of tests is not one to one. The day we reached the number of 1,592 cases on June 15, our test count was 42,000. The number of tests varies according to the need. Is the measure that determ"&amp;"ines the result. https://t.co/rvlhe7786o https://t.co/vp6rvd6rmk")</f>
        <v>More tests, more cases detect. The relationship between the number of tests is not one to one. The day we reached the number of 1,592 cases on June 15, our test count was 42,000. The number of tests varies according to the need. Is the measure that determines the result. https://t.co/rvlhe7786o https://t.co/vp6rvd6rmk</v>
      </c>
    </row>
    <row r="2506" spans="1:5" ht="15.75" customHeight="1" x14ac:dyDescent="0.25">
      <c r="A2506" s="1" t="s">
        <v>5011</v>
      </c>
      <c r="B2506" s="1">
        <v>318556</v>
      </c>
      <c r="C2506" s="3">
        <v>44028.574537037035</v>
      </c>
      <c r="D2506" s="1" t="s">
        <v>5012</v>
      </c>
      <c r="E2506" s="4" t="str">
        <f ca="1">IFERROR(__xludf.DUMMYFUNCTION("GOOGLETRANSLATE(A2506 , ""tr"" , ""en"")"),"Let's get distracted immediately when we get ready.")</f>
        <v>Let's get distracted immediately when we get ready.</v>
      </c>
    </row>
    <row r="2507" spans="1:5" ht="15.75" customHeight="1" x14ac:dyDescent="0.25">
      <c r="A2507" s="1" t="s">
        <v>5013</v>
      </c>
      <c r="B2507" s="1">
        <v>30010</v>
      </c>
      <c r="C2507" s="3">
        <v>44028.534236111111</v>
      </c>
      <c r="D2507" s="1" t="s">
        <v>5014</v>
      </c>
      <c r="E2507" s="4" t="str">
        <f ca="1">IFERROR(__xludf.DUMMYFUNCTION("GOOGLETRANSLATE(A2507 , ""tr"" , ""en"")"),"We are the theory of us at work. This theory is wrong as ""scientific"". We are not us at work. We are together as people with countless people contact. Let's keep the distance mutually. Let's not lower the mask unless you stay alone.")</f>
        <v>We are the theory of us at work. This theory is wrong as "scientific". We are not us at work. We are together as people with countless people contact. Let's keep the distance mutually. Let's not lower the mask unless you stay alone.</v>
      </c>
    </row>
    <row r="2508" spans="1:5" ht="15.75" customHeight="1" x14ac:dyDescent="0.25">
      <c r="A2508" s="1" t="s">
        <v>5015</v>
      </c>
      <c r="B2508" s="1">
        <v>25953</v>
      </c>
      <c r="C2508" s="3">
        <v>44028.493831018517</v>
      </c>
      <c r="D2508" s="1" t="s">
        <v>5016</v>
      </c>
      <c r="E2508" s="4" t="str">
        <f ca="1">IFERROR(__xludf.DUMMYFUNCTION("GOOGLETRANSLATE(A2508 , ""tr"" , ""en"")"),"A reconnaissance plane connected to our safety dropped by hit by the mountain of artos during the van-Hakkari task flight. 7 We have the martyrdom. 112 emergency ambulances were unfortunately assigned to the incident instead of the scene. I wish our condo"&amp;"lences to our nation.")</f>
        <v>A reconnaissance plane connected to our safety dropped by hit by the mountain of artos during the van-Hakkari task flight. 7 We have the martyrdom. 112 emergency ambulances were unfortunately assigned to the incident instead of the scene. I wish our condolences to our nation.</v>
      </c>
    </row>
    <row r="2509" spans="1:5" ht="15.75" customHeight="1" x14ac:dyDescent="0.25">
      <c r="A2509" s="1" t="s">
        <v>5017</v>
      </c>
      <c r="B2509" s="1">
        <v>37482</v>
      </c>
      <c r="C2509" s="3">
        <v>44027.863703703704</v>
      </c>
      <c r="D2509" s="1" t="s">
        <v>5018</v>
      </c>
      <c r="E2509" s="4" t="str">
        <f ca="1">IFERROR(__xludf.DUMMYFUNCTION("GOOGLETRANSLATE(A2509 , ""tr"" , ""en"")"),"The sections of the soap structure, water and oil are easy-soluble parts, coronavirus two-layer lipids in the coronavirus. The oil membrane resolved virus is ineffective. Let's wash our hands more often as we can be a virus on the surfaces we touch. Clean"&amp;"liness is a strong measure against COVID-19. https://t.co/37v4tm5hlb")</f>
        <v>The sections of the soap structure, water and oil are easy-soluble parts, coronavirus two-layer lipids in the coronavirus. The oil membrane resolved virus is ineffective. Let's wash our hands more often as we can be a virus on the surfaces we touch. Cleanliness is a strong measure against COVID-19. https://t.co/37v4tm5hlb</v>
      </c>
    </row>
    <row r="2510" spans="1:5" ht="15.75" customHeight="1" x14ac:dyDescent="0.25">
      <c r="A2510" s="1" t="s">
        <v>5019</v>
      </c>
      <c r="B2510" s="1">
        <v>40533</v>
      </c>
      <c r="C2510" s="3">
        <v>44027.767002314817</v>
      </c>
      <c r="D2510" s="1" t="s">
        <v>5020</v>
      </c>
      <c r="E2510" s="4" t="str">
        <f ca="1">IFERROR(__xludf.DUMMYFUNCTION("GOOGLETRANSLATE(A2510 , ""tr"" , ""en"")"),"The 15th of July Martyrs were held in the murkers, we met Hiranur in the memorial program. Hiranur, our Martyr sister Emrah Fast-and-a-half-year-old daughter. The sweetiest of the world. He knows his father from their photos. May Allah don't have any othe"&amp;"r bitter families. https://t.co/jhj2ctmxye")</f>
        <v>The 15th of July Martyrs were held in the murkers, we met Hiranur in the memorial program. Hiranur, our Martyr sister Emrah Fast-and-a-half-year-old daughter. The sweetiest of the world. He knows his father from their photos. May Allah don't have any other bitter families. https://t.co/jhj2ctmxye</v>
      </c>
    </row>
    <row r="2511" spans="1:5" ht="15.75" customHeight="1" x14ac:dyDescent="0.25">
      <c r="A2511" s="1" t="s">
        <v>5021</v>
      </c>
      <c r="B2511" s="1">
        <v>57538</v>
      </c>
      <c r="C2511" s="3">
        <v>44027.739814814813</v>
      </c>
      <c r="D2511" s="1" t="s">
        <v>5022</v>
      </c>
      <c r="E2511" s="4" t="str">
        <f ca="1">IFERROR(__xludf.DUMMYFUNCTION("GOOGLETRANSLATE(A2511 , ""tr"" , ""en"")"),"Our second day below 1,000. Our newly recovering patient count is more than the number of new cases. Malatya, Trabzon, Kilis, Yalova, Bayburt and 3 days in Ardahan have never been found in pneumonia. New case data shows that our severity is increased in r"&amp;"ecent days. https://t.co/rvlhe7786o https://t.co/mvjfyowwhf")</f>
        <v>Our second day below 1,000. Our newly recovering patient count is more than the number of new cases. Malatya, Trabzon, Kilis, Yalova, Bayburt and 3 days in Ardahan have never been found in pneumonia. New case data shows that our severity is increased in recent days. https://t.co/rvlhe7786o https://t.co/mvjfyowwhf</v>
      </c>
    </row>
    <row r="2512" spans="1:5" ht="15.75" customHeight="1" x14ac:dyDescent="0.25">
      <c r="A2512" s="1" t="s">
        <v>5023</v>
      </c>
      <c r="B2512" s="1">
        <v>81382</v>
      </c>
      <c r="C2512" s="3">
        <v>44027.548009259262</v>
      </c>
      <c r="D2512" s="1" t="s">
        <v>5024</v>
      </c>
      <c r="E2512" s="4" t="str">
        <f ca="1">IFERROR(__xludf.DUMMYFUNCTION("GOOGLETRANSLATE(A2512 , ""tr"" , ""en"")"),"I need to get out, I have work. What hours do we do not equate ourselves to the crowd? Make an account book, weaken the risk.")</f>
        <v>I need to get out, I have work. What hours do we do not equate ourselves to the crowd? Make an account book, weaken the risk.</v>
      </c>
    </row>
    <row r="2513" spans="1:5" ht="15.75" customHeight="1" x14ac:dyDescent="0.25">
      <c r="A2513" s="1" t="s">
        <v>5025</v>
      </c>
      <c r="B2513" s="1">
        <v>58891</v>
      </c>
      <c r="C2513" s="3">
        <v>44026.996018518519</v>
      </c>
      <c r="D2513" s="1" t="s">
        <v>5026</v>
      </c>
      <c r="E2513" s="4" t="str">
        <f ca="1">IFERROR(__xludf.DUMMYFUNCTION("GOOGLETRANSLATE(A2513 , ""tr"" , ""en"")"),"A glory like July 15 could have gained a public holding the flag in his hand even in the hospital it went injured. We remember our martyrs with mercy, we offer our gratitude to our veterans. Under our flag, we are always one and strong with faith in democ"&amp;"racy. https://t.co/j7oqvfsu7x")</f>
        <v>A glory like July 15 could have gained a public holding the flag in his hand even in the hospital it went injured. We remember our martyrs with mercy, we offer our gratitude to our veterans. Under our flag, we are always one and strong with faith in democracy. https://t.co/j7oqvfsu7x</v>
      </c>
    </row>
    <row r="2514" spans="1:5" ht="15.75" customHeight="1" x14ac:dyDescent="0.25">
      <c r="A2514" s="1" t="s">
        <v>5027</v>
      </c>
      <c r="B2514" s="1">
        <v>121169</v>
      </c>
      <c r="C2514" s="3">
        <v>44026.790034722224</v>
      </c>
      <c r="D2514" s="1" t="s">
        <v>5028</v>
      </c>
      <c r="E2514" s="4" t="str">
        <f ca="1">IFERROR(__xludf.DUMMYFUNCTION("GOOGLETRANSLATE(A2514 , ""tr"" , ""en"")"),"You don't get into environments like the main father's day.")</f>
        <v>You don't get into environments like the main father's day.</v>
      </c>
    </row>
    <row r="2515" spans="1:5" ht="15.75" customHeight="1" x14ac:dyDescent="0.25">
      <c r="A2515" s="1" t="s">
        <v>5029</v>
      </c>
      <c r="B2515" s="1">
        <v>15517</v>
      </c>
      <c r="C2515" s="3">
        <v>44026.766226851854</v>
      </c>
      <c r="D2515" s="1" t="s">
        <v>5030</v>
      </c>
      <c r="E2515" s="4" t="str">
        <f ca="1">IFERROR(__xludf.DUMMYFUNCTION("GOOGLETRANSLATE(A2515 , ""tr"" , ""en"")"),"Kazakhstan, Uzbekistan, Azerbaijan Health Minister, we have addressed the recent situation against the outbreak of the outbreak in our phone calls. He thanked Turkey to medical assistance to 4 countries including Kyrgyzstan. Our Science Board will also su"&amp;"pport themselves. https://t.co/st29ksuyj2")</f>
        <v>Kazakhstan, Uzbekistan, Azerbaijan Health Minister, we have addressed the recent situation against the outbreak of the outbreak in our phone calls. He thanked Turkey to medical assistance to 4 countries including Kyrgyzstan. Our Science Board will also support themselves. https://t.co/st29ksuyj2</v>
      </c>
    </row>
    <row r="2516" spans="1:5" ht="15.75" customHeight="1" x14ac:dyDescent="0.25">
      <c r="A2516" s="1" t="s">
        <v>5031</v>
      </c>
      <c r="B2516" s="1">
        <v>69891</v>
      </c>
      <c r="C2516" s="3">
        <v>44026.724548611113</v>
      </c>
      <c r="D2516" s="1" t="s">
        <v>5032</v>
      </c>
      <c r="E2516" s="4" t="str">
        <f ca="1">IFERROR(__xludf.DUMMYFUNCTION("GOOGLETRANSLATE(A2516 , ""tr"" , ""en"")"),"We are below 1,000 again. For the first time after 33 days. The number of new cases 987 on June 11, the next day was 1.195. We don't know tomorrow right now. Now we know that we will see the result of the measures we will receive after 7 days. Let's not c"&amp;"all the present again. https://t.co/rvlhe7786o https://t.co/smequzarl")</f>
        <v>We are below 1,000 again. For the first time after 33 days. The number of new cases 987 on June 11, the next day was 1.195. We don't know tomorrow right now. Now we know that we will see the result of the measures we will receive after 7 days. Let's not call the present again. https://t.co/rvlhe7786o https://t.co/smequzarl</v>
      </c>
    </row>
    <row r="2517" spans="1:5" ht="15.75" customHeight="1" x14ac:dyDescent="0.25">
      <c r="A2517" s="1" t="s">
        <v>5033</v>
      </c>
      <c r="B2517" s="1">
        <v>51052</v>
      </c>
      <c r="C2517" s="3">
        <v>44026.662280092591</v>
      </c>
      <c r="D2517" s="1" t="s">
        <v>5034</v>
      </c>
      <c r="E2517" s="4" t="str">
        <f ca="1">IFERROR(__xludf.DUMMYFUNCTION("GOOGLETRANSLATE(A2517 , ""tr"" , ""en"")"),"Let's be careful on the way home. We reset the struggle of the fight we have in the public transport. Let's prefer the commuters that match the rules. Let us replace our mask with a new one if possible. Good evening.")</f>
        <v>Let's be careful on the way home. We reset the struggle of the fight we have in the public transport. Let's prefer the commuters that match the rules. Let us replace our mask with a new one if possible. Good evening.</v>
      </c>
    </row>
    <row r="2518" spans="1:5" ht="15.75" customHeight="1" x14ac:dyDescent="0.25">
      <c r="A2518" s="1" t="s">
        <v>5035</v>
      </c>
      <c r="B2518" s="1">
        <v>29959</v>
      </c>
      <c r="C2518" s="3">
        <v>44026.472500000003</v>
      </c>
      <c r="D2518" s="1" t="s">
        <v>5036</v>
      </c>
      <c r="E2518" s="4" t="str">
        <f ca="1">IFERROR(__xludf.DUMMYFUNCTION("GOOGLETRANSLATE(A2518 , ""tr"" , ""en"")"),"Our romancer has farewell to the life of the Justice Ağaoglu. The thin rose of our mind faded. Writing, it was coming from the water as it drinks water. Wrote up to 91 years of age. Was a writer that suggested us to keep literature on hand. This says: ""T"&amp;"he people of a country can only be explained through literature."" https://t.co/i2kt7e6lxa")</f>
        <v>Our romancer has farewell to the life of the Justice Ağaoglu. The thin rose of our mind faded. Writing, it was coming from the water as it drinks water. Wrote up to 91 years of age. Was a writer that suggested us to keep literature on hand. This says: "The people of a country can only be explained through literature." https://t.co/i2kt7e6lxa</v>
      </c>
    </row>
    <row r="2519" spans="1:5" ht="15.75" customHeight="1" x14ac:dyDescent="0.25">
      <c r="A2519" s="1" t="s">
        <v>5037</v>
      </c>
      <c r="B2519" s="1">
        <v>26935</v>
      </c>
      <c r="C2519" s="3">
        <v>44026.376273148147</v>
      </c>
      <c r="D2519" s="1" t="s">
        <v>5038</v>
      </c>
      <c r="E2519" s="4" t="str">
        <f ca="1">IFERROR(__xludf.DUMMYFUNCTION("GOOGLETRANSLATE(A2519 , ""tr"" , ""en"")"),"""When it comes to summer, the virus has lost its impact."" This rumor spreading from ear is wrong. Receives the risk of respec. The globality of the epidemic proves that the effect of the virus is not seasonal. Cases are similar in different seasons. Los"&amp;"ing the effect of the virus depends on the measures at the moment. https://t.co/uivpalfhfc")</f>
        <v>"When it comes to summer, the virus has lost its impact." This rumor spreading from ear is wrong. Receives the risk of respec. The globality of the epidemic proves that the effect of the virus is not seasonal. Cases are similar in different seasons. Losing the effect of the virus depends on the measures at the moment. https://t.co/uivpalfhfc</v>
      </c>
    </row>
    <row r="2520" spans="1:5" ht="15.75" customHeight="1" x14ac:dyDescent="0.25">
      <c r="A2520" s="1" t="s">
        <v>5039</v>
      </c>
      <c r="B2520" s="1">
        <v>36174</v>
      </c>
      <c r="C2520" s="3">
        <v>44026.198344907411</v>
      </c>
      <c r="D2520" s="1" t="s">
        <v>5040</v>
      </c>
      <c r="E2520" s="4" t="str">
        <f ca="1">IFERROR(__xludf.DUMMYFUNCTION("GOOGLETRANSLATE(A2520 , ""tr"" , ""en"")"),"A quiz every day against Covid-19. Let's do the right one: Let's obey the rules. Although this is not always easy, let's try to fit. I would like to thank you for today's effort, I wish you a happy day.")</f>
        <v>A quiz every day against Covid-19. Let's do the right one: Let's obey the rules. Although this is not always easy, let's try to fit. I would like to thank you for today's effort, I wish you a happy day.</v>
      </c>
    </row>
    <row r="2521" spans="1:5" ht="15.75" customHeight="1" x14ac:dyDescent="0.25">
      <c r="A2521" s="1" t="s">
        <v>5041</v>
      </c>
      <c r="B2521" s="1">
        <v>140556</v>
      </c>
      <c r="C2521" s="3">
        <v>44025.771168981482</v>
      </c>
      <c r="D2521" s="1" t="s">
        <v>5042</v>
      </c>
      <c r="E2521" s="4" t="str">
        <f ca="1">IFERROR(__xludf.DUMMYFUNCTION("GOOGLETRANSLATE(A2521 , ""tr"" , ""en"")"),"!!!!!!!!!!!!!!!!!!!!!!!!!!!!!!!!!!!!!!!!!!!!!!!!!!!! ! Let's drop the needle to the ground where you do not fall on the needle. Lower case numbers; to lower density, dependent on less contact. [Needle Warning]")</f>
        <v>!!!!!!!!!!!!!!!!!!!!!!!!!!!!!!!!!!!!!!!!!!!!!!!!!!!! ! Let's drop the needle to the ground where you do not fall on the needle. Lower case numbers; to lower density, dependent on less contact. [Needle Warning]</v>
      </c>
    </row>
    <row r="2522" spans="1:5" ht="15.75" customHeight="1" x14ac:dyDescent="0.25">
      <c r="A2522" s="1" t="s">
        <v>5043</v>
      </c>
      <c r="B2522" s="1">
        <v>43302</v>
      </c>
      <c r="C2522" s="3">
        <v>44025.709652777776</v>
      </c>
      <c r="D2522" s="1" t="s">
        <v>5044</v>
      </c>
      <c r="E2522" s="4" t="str">
        <f ca="1">IFERROR(__xludf.DUMMYFUNCTION("GOOGLETRANSLATE(A2522 , ""tr"" , ""en"")"),"Our most cases seen: Istanbul, Ankara, Gaziantep, Sanliurfa, Diyarbakir. There are also increases in the intensive care numbers of 5 provinces. According to the average 1-week earlier data, we are committed to fall below 1,000 in the number of cases. A qu"&amp;"iz every day against COVID-19. https://t.co/rvlhe7786o https://t.co/wgsskqcununa")</f>
        <v>Our most cases seen: Istanbul, Ankara, Gaziantep, Sanliurfa, Diyarbakir. There are also increases in the intensive care numbers of 5 provinces. According to the average 1-week earlier data, we are committed to fall below 1,000 in the number of cases. A quiz every day against COVID-19. https://t.co/rvlhe7786o https://t.co/wgsskqcununa</v>
      </c>
    </row>
    <row r="2523" spans="1:5" ht="15.75" customHeight="1" x14ac:dyDescent="0.25">
      <c r="A2523" s="1" t="s">
        <v>5045</v>
      </c>
      <c r="B2523" s="1">
        <v>24376</v>
      </c>
      <c r="C2523" s="3">
        <v>44025.626793981479</v>
      </c>
      <c r="D2523" s="1" t="s">
        <v>5046</v>
      </c>
      <c r="E2523" s="4" t="str">
        <f ca="1">IFERROR(__xludf.DUMMYFUNCTION("GOOGLETRANSLATE(A2523 , ""tr"" , ""en"")"),"HATAYSPOR was in the super league match on the tribunes of the match rule without the audience; If it is in the open air, the epidemic is forgotten in the face of the giant screens. We have to look at the coming matches! COVID-19 is infected by breathing,"&amp;" in close contact. These crowds beat us heavy against the epidemic. https://t.co/58nvxdo32h")</f>
        <v>HATAYSPOR was in the super league match on the tribunes of the match rule without the audience; If it is in the open air, the epidemic is forgotten in the face of the giant screens. We have to look at the coming matches! COVID-19 is infected by breathing, in close contact. These crowds beat us heavy against the epidemic. https://t.co/58nvxdo32h</v>
      </c>
    </row>
    <row r="2524" spans="1:5" ht="15.75" customHeight="1" x14ac:dyDescent="0.25">
      <c r="A2524" s="1" t="s">
        <v>5047</v>
      </c>
      <c r="B2524" s="1">
        <v>18282</v>
      </c>
      <c r="C2524" s="3">
        <v>44025.208819444444</v>
      </c>
      <c r="D2524" s="1" t="s">
        <v>5048</v>
      </c>
      <c r="E2524" s="4" t="str">
        <f ca="1">IFERROR(__xludf.DUMMYFUNCTION("GOOGLETRANSLATE(A2524 , ""tr"" , ""en"")"),"Opportunities that the virus caught today are reflected in the table after average of 1 week. Many situations that appear inevitable lead to us to compromise the measures; Let's try to reduce these. Let's never take risks to otherwise possible. Let's redu"&amp;"ce the new case numbers with the measures we have applied today. https://t.co/OYIZD6Y8KM")</f>
        <v>Opportunities that the virus caught today are reflected in the table after average of 1 week. Many situations that appear inevitable lead to us to compromise the measures; Let's try to reduce these. Let's never take risks to otherwise possible. Let's reduce the new case numbers with the measures we have applied today. https://t.co/OYIZD6Y8KM</v>
      </c>
    </row>
    <row r="2525" spans="1:5" ht="15.75" customHeight="1" x14ac:dyDescent="0.25">
      <c r="A2525" s="1" t="s">
        <v>5049</v>
      </c>
      <c r="B2525" s="1">
        <v>28770</v>
      </c>
      <c r="C2525" s="3">
        <v>44024.870949074073</v>
      </c>
      <c r="D2525" s="1" t="s">
        <v>5050</v>
      </c>
      <c r="E2525" s="4" t="str">
        <f ca="1">IFERROR(__xludf.DUMMYFUNCTION("GOOGLETRANSLATE(A2525 , ""tr"" , ""en"")"),"I celebrate HATAYSPOR and fans that will fight in the Super League next season. As of the moment, I believe that the Hatayspor community will continue to be the tight-party of our struggle. This victory has to be undamaged, celebration sample.")</f>
        <v>I celebrate HATAYSPOR and fans that will fight in the Super League next season. As of the moment, I believe that the Hatayspor community will continue to be the tight-party of our struggle. This victory has to be undamaged, celebration sample.</v>
      </c>
    </row>
    <row r="2526" spans="1:5" ht="15.75" customHeight="1" x14ac:dyDescent="0.25">
      <c r="A2526" s="1" t="s">
        <v>5051</v>
      </c>
      <c r="B2526" s="1">
        <v>142315</v>
      </c>
      <c r="C2526" s="3">
        <v>44024.798518518517</v>
      </c>
      <c r="D2526" s="1" t="s">
        <v>5052</v>
      </c>
      <c r="E2526" s="4" t="str">
        <f ca="1">IFERROR(__xludf.DUMMYFUNCTION("GOOGLETRANSLATE(A2526 , ""tr"" , ""en"")"),"Crazy crowd, dried crowd, crowded head. Let's stay away from all kinds of crowds.")</f>
        <v>Crazy crowd, dried crowd, crowded head. Let's stay away from all kinds of crowds.</v>
      </c>
    </row>
    <row r="2527" spans="1:5" ht="15.75" customHeight="1" x14ac:dyDescent="0.25">
      <c r="A2527" s="1" t="s">
        <v>5053</v>
      </c>
      <c r="B2527" s="1">
        <v>13511</v>
      </c>
      <c r="C2527" s="3">
        <v>44024.740729166668</v>
      </c>
      <c r="D2527" s="1" t="s">
        <v>5054</v>
      </c>
      <c r="E2527" s="4" t="str">
        <f ca="1">IFERROR(__xludf.DUMMYFUNCTION("GOOGLETRANSLATE(A2527 , ""tr"" , ""en"")"),"Opportunities that the virus caught today are reflected in the table after average of 1 week. Many situations that appear inevitable lead to us to compromise the measures; Let's try to reduce these. Let's never take risks to otherwise possible. Let's redu"&amp;"ce the new case numbers with the measures we have applied today. https://t.co/wmwculeosf")</f>
        <v>Opportunities that the virus caught today are reflected in the table after average of 1 week. Many situations that appear inevitable lead to us to compromise the measures; Let's try to reduce these. Let's never take risks to otherwise possible. Let's reduce the new case numbers with the measures we have applied today. https://t.co/wmwculeosf</v>
      </c>
    </row>
    <row r="2528" spans="1:5" ht="15.75" customHeight="1" x14ac:dyDescent="0.25">
      <c r="A2528" s="1" t="s">
        <v>5055</v>
      </c>
      <c r="B2528" s="1">
        <v>11225</v>
      </c>
      <c r="C2528" s="3">
        <v>44024.731828703705</v>
      </c>
      <c r="D2528" s="1" t="s">
        <v>5056</v>
      </c>
      <c r="E2528" s="4" t="str">
        <f ca="1">IFERROR(__xludf.DUMMYFUNCTION("GOOGLETRANSLATE(A2528 , ""tr"" , ""en"")"),"Opportunities that the virus caught today are reflected in the table after average of 1 week. Many situations that appear inevitable lead to us to compromise the measures; Let's try to reduce these. Let's never take risks to otherwise possible. Let's redu"&amp;"ce the new case numbers with the measures we have applied today. https://t.co/qgexIfi8m5")</f>
        <v>Opportunities that the virus caught today are reflected in the table after average of 1 week. Many situations that appear inevitable lead to us to compromise the measures; Let's try to reduce these. Let's never take risks to otherwise possible. Let's reduce the new case numbers with the measures we have applied today. https://t.co/qgexIfi8m5</v>
      </c>
    </row>
    <row r="2529" spans="1:5" ht="15.75" customHeight="1" x14ac:dyDescent="0.25">
      <c r="A2529" s="1" t="s">
        <v>5057</v>
      </c>
      <c r="B2529" s="1">
        <v>35851</v>
      </c>
      <c r="C2529" s="3">
        <v>44024.699340277781</v>
      </c>
      <c r="D2529" s="1" t="s">
        <v>5058</v>
      </c>
      <c r="E2529" s="4" t="str">
        <f ca="1">IFERROR(__xludf.DUMMYFUNCTION("GOOGLETRANSLATE(A2529 , ""tr"" , ""en"")"),"In the last 3 days, average intubators are the highest number of 5 il: Istanbul, Ankara, Konya, Diyarbakır, Bursa. Mean intensive care Number of patients with the highest 5 province: İstanbul, Şanlıurfa, Ankara, Gaziantep and Konya. Let's get more to the "&amp;"measures for the results we expected. https://t.co/rvlhe7786o https://t.co/5pfpjkacej")</f>
        <v>In the last 3 days, average intubators are the highest number of 5 il: Istanbul, Ankara, Konya, Diyarbakır, Bursa. Mean intensive care Number of patients with the highest 5 province: İstanbul, Şanlıurfa, Ankara, Gaziantep and Konya. Let's get more to the measures for the results we expected. https://t.co/rvlhe7786o https://t.co/5pfpjkacej</v>
      </c>
    </row>
    <row r="2530" spans="1:5" ht="15.75" customHeight="1" x14ac:dyDescent="0.25">
      <c r="A2530" s="1" t="s">
        <v>5059</v>
      </c>
      <c r="B2530" s="1">
        <v>7785</v>
      </c>
      <c r="C2530" s="3">
        <v>44024.565717592595</v>
      </c>
      <c r="D2530" s="1" t="s">
        <v>5060</v>
      </c>
      <c r="E2530" s="4" t="str">
        <f ca="1">IFERROR(__xludf.DUMMYFUNCTION("GOOGLETRANSLATE(A2530 , ""tr"" , ""en"")"),"To politicians carrying us the service demands of our people; to bureaucrats and managers; To all of our guests due to their consultations on the pandemic; I would appreciate the visits to Meriç Gear on the earthquake, which we met on the day of Elazig ea"&amp;"rthquipment. https://t.co/9rrerayIre")</f>
        <v>To politicians carrying us the service demands of our people; to bureaucrats and managers; To all of our guests due to their consultations on the pandemic; I would appreciate the visits to Meriç Gear on the earthquake, which we met on the day of Elazig earthquipment. https://t.co/9rrerayIre</v>
      </c>
    </row>
    <row r="2531" spans="1:5" ht="15.75" customHeight="1" x14ac:dyDescent="0.25">
      <c r="A2531" s="1" t="s">
        <v>5061</v>
      </c>
      <c r="B2531" s="1">
        <v>23033</v>
      </c>
      <c r="C2531" s="3">
        <v>44024.506678240738</v>
      </c>
      <c r="D2531" s="1" t="s">
        <v>5062</v>
      </c>
      <c r="E2531" s="4" t="str">
        <f ca="1">IFERROR(__xludf.DUMMYFUNCTION("GOOGLETRANSLATE(A2531 , ""tr"" , ""en"")"),"The Minister of Interior Süleyman Sünypedi Text Lusty Gentleman has passed away cancer disease and heart failure. Rest in peace. I wish his family patience, my friend Süleyman Sülyman and the precious partner.")</f>
        <v>The Minister of Interior Süleyman Sünypedi Text Lusty Gentleman has passed away cancer disease and heart failure. Rest in peace. I wish his family patience, my friend Süleyman Sülyman and the precious partner.</v>
      </c>
    </row>
    <row r="2532" spans="1:5" ht="15.75" customHeight="1" x14ac:dyDescent="0.25">
      <c r="A2532" s="1" t="s">
        <v>5063</v>
      </c>
      <c r="B2532" s="1">
        <v>25053</v>
      </c>
      <c r="C2532" s="3">
        <v>44024.403819444444</v>
      </c>
      <c r="D2532" s="1" t="s">
        <v>5064</v>
      </c>
      <c r="E2532" s="4" t="str">
        <f ca="1">IFERROR(__xludf.DUMMYFUNCTION("GOOGLETRANSLATE(A2532 , ""tr"" , ""en"")"),"In this frame, we are 5 in the foreground against the epidemic. Three friends have made concessions in the coronavirue. However, the virus can also pass with someone, as well as walking side by side. Let's see you more equipped in our next match. https://"&amp;"t.co/lruvfvjah2")</f>
        <v>In this frame, we are 5 in the foreground against the epidemic. Three friends have made concessions in the coronavirue. However, the virus can also pass with someone, as well as walking side by side. Let's see you more equipped in our next match. https://t.co/lruvfvjah2</v>
      </c>
    </row>
    <row r="2533" spans="1:5" ht="15.75" customHeight="1" x14ac:dyDescent="0.25">
      <c r="A2533" s="1" t="s">
        <v>5065</v>
      </c>
      <c r="B2533" s="1">
        <v>25031</v>
      </c>
      <c r="C2533" s="3">
        <v>44023.73951388889</v>
      </c>
      <c r="D2533" s="1" t="s">
        <v>5066</v>
      </c>
      <c r="E2533" s="4" t="str">
        <f ca="1">IFERROR(__xludf.DUMMYFUNCTION("GOOGLETRANSLATE(A2533 , ""tr"" , ""en"")"),"In July 11, 1995, at least 8,372 civilians, women and children were slaughtered after Srebrenitsa's Serbs seized in Bosnia. There was also a daily doll among the victims. In the 25th year of genocide, we remember the srebrenitsa martyrs. https://t.co/xhgg"&amp;"c133bh")</f>
        <v>In July 11, 1995, at least 8,372 civilians, women and children were slaughtered after Srebrenitsa's Serbs seized in Bosnia. There was also a daily doll among the victims. In the 25th year of genocide, we remember the srebrenitsa martyrs. https://t.co/xhggc133bh</v>
      </c>
    </row>
    <row r="2534" spans="1:5" ht="15.75" customHeight="1" x14ac:dyDescent="0.25">
      <c r="A2534" s="1" t="s">
        <v>5067</v>
      </c>
      <c r="B2534" s="1">
        <v>44740</v>
      </c>
      <c r="C2534" s="3">
        <v>44023.687337962961</v>
      </c>
      <c r="D2534" s="1" t="s">
        <v>5068</v>
      </c>
      <c r="E2534" s="4" t="str">
        <f ca="1">IFERROR(__xludf.DUMMYFUNCTION("GOOGLETRANSLATE(A2534 , ""tr"" , ""en"")"),"Our maximum decreases in the number of cases in the last three days: Kars, Canakkale, Bartin, Artvin, Ardahan, Kutahya and Yalova. The rate of rotation of cases across Turkey is reduced to the rotation of pneumonia. The increase and decreases in the numbe"&amp;"r of cases depend on the mask and the distance of the distance. https://t.co/rvlhe7786o https://t.co/7ztf9ebfks")</f>
        <v>Our maximum decreases in the number of cases in the last three days: Kars, Canakkale, Bartin, Artvin, Ardahan, Kutahya and Yalova. The rate of rotation of cases across Turkey is reduced to the rotation of pneumonia. The increase and decreases in the number of cases depend on the mask and the distance of the distance. https://t.co/rvlhe7786o https://t.co/7ztf9ebfks</v>
      </c>
    </row>
    <row r="2535" spans="1:5" ht="15.75" customHeight="1" x14ac:dyDescent="0.2">
      <c r="A2535" s="5" t="s">
        <v>5069</v>
      </c>
      <c r="B2535" s="1">
        <v>16322</v>
      </c>
      <c r="C2535" s="3">
        <v>44023.397083333337</v>
      </c>
      <c r="D2535" s="1" t="s">
        <v>5070</v>
      </c>
      <c r="E2535" s="6" t="str">
        <f ca="1">IFERROR(__xludf.DUMMYFUNCTION("GOOGLETRANSLATE(A2535 , ""tr"" , ""en"")"),"https://t.co/mnrIw62u6z")</f>
        <v>https://t.co/mnrIw62u6z</v>
      </c>
    </row>
    <row r="2536" spans="1:5" ht="15.75" customHeight="1" x14ac:dyDescent="0.25">
      <c r="A2536" s="1" t="s">
        <v>5071</v>
      </c>
      <c r="B2536" s="1">
        <v>37685</v>
      </c>
      <c r="C2536" s="3">
        <v>44023.360451388886</v>
      </c>
      <c r="D2536" s="1" t="s">
        <v>5072</v>
      </c>
      <c r="E2536" s="4" t="str">
        <f ca="1">IFERROR(__xludf.DUMMYFUNCTION("GOOGLETRANSLATE(A2536 , ""tr"" , ""en"")"),"Contribute to the recovery in the daily coronavirus case table: Reduce the new case with the mask and distance rule.")</f>
        <v>Contribute to the recovery in the daily coronavirus case table: Reduce the new case with the mask and distance rule.</v>
      </c>
    </row>
    <row r="2537" spans="1:5" ht="15.75" customHeight="1" x14ac:dyDescent="0.25">
      <c r="A2537" s="1" t="s">
        <v>5073</v>
      </c>
      <c r="B2537" s="1">
        <v>59383</v>
      </c>
      <c r="C2537" s="3">
        <v>44023.320011574076</v>
      </c>
      <c r="D2537" s="1" t="s">
        <v>5074</v>
      </c>
      <c r="E2537" s="4" t="str">
        <f ca="1">IFERROR(__xludf.DUMMYFUNCTION("GOOGLETRANSLATE(A2537 , ""tr"" , ""en"")"),"According to the latest data, at least 1,000 people are expected to be captured in COVID-19. Learn to be cautious from the previous days.")</f>
        <v>According to the latest data, at least 1,000 people are expected to be captured in COVID-19. Learn to be cautious from the previous days.</v>
      </c>
    </row>
    <row r="2538" spans="1:5" ht="15.75" customHeight="1" x14ac:dyDescent="0.2">
      <c r="A2538" s="5" t="s">
        <v>5075</v>
      </c>
      <c r="B2538" s="1">
        <v>14221</v>
      </c>
      <c r="C2538" s="3">
        <v>44022.933842592596</v>
      </c>
      <c r="D2538" s="1" t="s">
        <v>5076</v>
      </c>
      <c r="E2538" s="6" t="str">
        <f ca="1">IFERROR(__xludf.DUMMYFUNCTION("GOOGLETRANSLATE(A2538 , ""tr"" , ""en"")"),"https://t.co/gjmipmvaei")</f>
        <v>https://t.co/gjmipmvaei</v>
      </c>
    </row>
    <row r="2539" spans="1:5" ht="15.75" customHeight="1" x14ac:dyDescent="0.25">
      <c r="A2539" s="1" t="s">
        <v>5077</v>
      </c>
      <c r="B2539" s="1">
        <v>62164</v>
      </c>
      <c r="C2539" s="3">
        <v>44022.913807870369</v>
      </c>
      <c r="D2539" s="1" t="s">
        <v>5078</v>
      </c>
      <c r="E2539" s="4" t="str">
        <f ca="1">IFERROR(__xludf.DUMMYFUNCTION("GOOGLETRANSLATE(A2539 , ""tr"" , ""en"")"),"Against women, developed discourses against relatively features and ways of life is spiritual repair. I will be able to get the name of the psychiatry emergency assistance that I will not be able to claim the name due to my position and patient rights.")</f>
        <v>Against women, developed discourses against relatively features and ways of life is spiritual repair. I will be able to get the name of the psychiatry emergency assistance that I will not be able to claim the name due to my position and patient rights.</v>
      </c>
    </row>
    <row r="2540" spans="1:5" ht="15.75" customHeight="1" x14ac:dyDescent="0.25">
      <c r="A2540" s="1" t="s">
        <v>5079</v>
      </c>
      <c r="B2540" s="1">
        <v>9570</v>
      </c>
      <c r="C2540" s="3">
        <v>44022.860543981478</v>
      </c>
      <c r="D2540" s="1" t="s">
        <v>5080</v>
      </c>
      <c r="E2540" s="4" t="str">
        <f ca="1">IFERROR(__xludf.DUMMYFUNCTION("GOOGLETRANSLATE(A2540 , ""tr"" , ""en"")"),"45th anniversary of the death of Nurettin Topçu. Who is the artillery? The founder of a scholar of thought. The first Turkish Turk giving Philosophy in Sorbonne. The thesis was printed as a book in Paris in 1934. He made a philosophy teaching in Turkey. W"&amp;"rote books. The teaching continued after his death. https://t.co/w29v8mh3mr")</f>
        <v>45th anniversary of the death of Nurettin Topçu. Who is the artillery? The founder of a scholar of thought. The first Turkish Turk giving Philosophy in Sorbonne. The thesis was printed as a book in Paris in 1934. He made a philosophy teaching in Turkey. Wrote books. The teaching continued after his death. https://t.co/w29v8mh3mr</v>
      </c>
    </row>
    <row r="2541" spans="1:5" ht="15.75" customHeight="1" x14ac:dyDescent="0.25">
      <c r="A2541" s="1" t="s">
        <v>5081</v>
      </c>
      <c r="B2541" s="1">
        <v>73523</v>
      </c>
      <c r="C2541" s="3">
        <v>44022.77134259259</v>
      </c>
      <c r="D2541" s="1" t="s">
        <v>5082</v>
      </c>
      <c r="E2541" s="4" t="str">
        <f ca="1">IFERROR(__xludf.DUMMYFUNCTION("GOOGLETRANSLATE(A2541 , ""tr"" , ""en"")"),"Hagia Sophia has rebounded the soul of 1453. He is an icon in which the conquest prior to the prior to the centuries and the conquests completed. With the rebuilding the name of Hagia Sophia, which means divine wisdom, he is re-regaining the status of the"&amp;" mosque. https://t.co/mbgyc0tcss")</f>
        <v>Hagia Sophia has rebounded the soul of 1453. He is an icon in which the conquest prior to the prior to the centuries and the conquests completed. With the rebuilding the name of Hagia Sophia, which means divine wisdom, he is re-regaining the status of the mosque. https://t.co/mbgyc0tcss</v>
      </c>
    </row>
    <row r="2542" spans="1:5" ht="15.75" customHeight="1" x14ac:dyDescent="0.25">
      <c r="A2542" s="1" t="s">
        <v>5083</v>
      </c>
      <c r="B2542" s="1">
        <v>40825</v>
      </c>
      <c r="C2542" s="3">
        <v>44022.707916666666</v>
      </c>
      <c r="D2542" s="1" t="s">
        <v>5084</v>
      </c>
      <c r="E2542" s="4" t="str">
        <f ca="1">IFERROR(__xludf.DUMMYFUNCTION("GOOGLETRANSLATE(A2542 , ""tr"" , ""en"")"),"The decline starting in June 25 in the number of patients who were introduced to newly diagnosed. So close to below 1,000. But let's not forget that these decreases are slow, rise. Increases and decreases depend on the increase or decrease in the mask and"&amp;" distance rule. https://t.co/rvlhe7786o https://t.co/vvrrummx7b")</f>
        <v>The decline starting in June 25 in the number of patients who were introduced to newly diagnosed. So close to below 1,000. But let's not forget that these decreases are slow, rise. Increases and decreases depend on the increase or decrease in the mask and distance rule. https://t.co/rvlhe7786o https://t.co/vvrrummx7b</v>
      </c>
    </row>
    <row r="2543" spans="1:5" ht="15.75" customHeight="1" x14ac:dyDescent="0.25">
      <c r="A2543" s="1" t="s">
        <v>5085</v>
      </c>
      <c r="B2543" s="1">
        <v>0</v>
      </c>
      <c r="C2543" s="3">
        <v>44022.585879629631</v>
      </c>
      <c r="D2543" s="1" t="s">
        <v>5086</v>
      </c>
      <c r="E2543" s="4" t="str">
        <f ca="1">IFERROR(__xludf.DUMMYFUNCTION("GOOGLETRANSLATE(A2543 , ""tr"" , ""en"")"),"Rt @rterdogan: get auspicious. https://t.co/mzp6nzn9jc")</f>
        <v>Rt @rterdogan: get auspicious. https://t.co/mzp6nzn9jc</v>
      </c>
    </row>
    <row r="2544" spans="1:5" ht="15.75" customHeight="1" x14ac:dyDescent="0.25">
      <c r="A2544" s="1" t="s">
        <v>5087</v>
      </c>
      <c r="B2544" s="1">
        <v>8860</v>
      </c>
      <c r="C2544" s="3">
        <v>44021.922488425924</v>
      </c>
      <c r="D2544" s="1" t="s">
        <v>5088</v>
      </c>
      <c r="E2544" s="4" t="str">
        <f ca="1">IFERROR(__xludf.DUMMYFUNCTION("GOOGLETRANSLATE(A2544 , ""tr"" , ""en"")"),"Preparation for humanitarian and health emergencies, the financial agreement on the opening of the WHO office to operate in Istanbul, Yesterday, DSO European Regional Director Dr. We signed with Hans Kluge. I am also in the belief that this Agreement will"&amp;" be a milestone. https://t.co/hhx2eruzsz")</f>
        <v>Preparation for humanitarian and health emergencies, the financial agreement on the opening of the WHO office to operate in Istanbul, Yesterday, DSO European Regional Director Dr. We signed with Hans Kluge. I am also in the belief that this Agreement will be a milestone. https://t.co/hhx2eruzsz</v>
      </c>
    </row>
    <row r="2545" spans="1:5" ht="15.75" customHeight="1" x14ac:dyDescent="0.25">
      <c r="A2545" s="1" t="s">
        <v>5089</v>
      </c>
      <c r="B2545" s="1">
        <v>49328</v>
      </c>
      <c r="C2545" s="3">
        <v>44021.875775462962</v>
      </c>
      <c r="D2545" s="1" t="s">
        <v>5090</v>
      </c>
      <c r="E2545" s="4" t="str">
        <f ca="1">IFERROR(__xludf.DUMMYFUNCTION("GOOGLETRANSLATE(A2545 , ""tr"" , ""en"")"),"We want to say. We have received a letter after sharing the excess passengers. The relevant transport cooperative reports the public to the public and the error is limited. We want all the full-filled cooperatives and stops in Istanbul: they will not take"&amp;" excess passengers.")</f>
        <v>We want to say. We have received a letter after sharing the excess passengers. The relevant transport cooperative reports the public to the public and the error is limited. We want all the full-filled cooperatives and stops in Istanbul: they will not take excess passengers.</v>
      </c>
    </row>
    <row r="2546" spans="1:5" ht="15.75" customHeight="1" x14ac:dyDescent="0.25">
      <c r="A2546" s="1" t="s">
        <v>5091</v>
      </c>
      <c r="B2546" s="1">
        <v>9652</v>
      </c>
      <c r="C2546" s="3">
        <v>44021.742152777777</v>
      </c>
      <c r="D2546" s="1" t="s">
        <v>5092</v>
      </c>
      <c r="E2546" s="4" t="str">
        <f ca="1">IFERROR(__xludf.DUMMYFUNCTION("GOOGLETRANSLATE(A2546 , ""tr"" , ""en"")"),"World Health Organization Europe Regional Director Dr. With Hans Kluge, we participated in a meeting and joint press conference in which our Science Board members are attended. In the interview, we shared information on the epidemic. This was his first ab"&amp;"road visit to him along his pandem. https://t.co/owaz0wmvqm")</f>
        <v>World Health Organization Europe Regional Director Dr. With Hans Kluge, we participated in a meeting and joint press conference in which our Science Board members are attended. In the interview, we shared information on the epidemic. This was his first abroad visit to him along his pandem. https://t.co/owaz0wmvqm</v>
      </c>
    </row>
    <row r="2547" spans="1:5" ht="15.75" customHeight="1" x14ac:dyDescent="0.25">
      <c r="A2547" s="1" t="s">
        <v>5093</v>
      </c>
      <c r="B2547" s="1">
        <v>39711</v>
      </c>
      <c r="C2547" s="3">
        <v>44021.711342592593</v>
      </c>
      <c r="D2547" s="1" t="s">
        <v>5094</v>
      </c>
      <c r="E2547" s="4" t="str">
        <f ca="1">IFERROR(__xludf.DUMMYFUNCTION("GOOGLETRANSLATE(A2547 , ""tr"" , ""en"")"),"Intensive care The increase in the patient has slowed down the increase in our number. The intubate patients decreased by 7. Our healing patient count is more than twice the new diagnosis. Depending on the increase in compliance with the mask and distance"&amp;" rule, minor decreases continue in the number of cases. https://t.co/rvlhe7786o https://t.co/bk5uzrcag8")</f>
        <v>Intensive care The increase in the patient has slowed down the increase in our number. The intubate patients decreased by 7. Our healing patient count is more than twice the new diagnosis. Depending on the increase in compliance with the mask and distance rule, minor decreases continue in the number of cases. https://t.co/rvlhe7786o https://t.co/bk5uzrcag8</v>
      </c>
    </row>
    <row r="2548" spans="1:5" ht="15.75" customHeight="1" x14ac:dyDescent="0.25">
      <c r="A2548" s="1" t="s">
        <v>5095</v>
      </c>
      <c r="B2548" s="1">
        <v>5821</v>
      </c>
      <c r="C2548" s="3">
        <v>44021.603530092594</v>
      </c>
      <c r="D2548" s="1" t="s">
        <v>5096</v>
      </c>
      <c r="E2548" s="4" t="str">
        <f ca="1">IFERROR(__xludf.DUMMYFUNCTION("GOOGLETRANSLATE(A2548 , ""tr"" , ""en"")"),"Dear European Regional Director of the World Health Organization. After the visit to the Hans Kluge's visit to our Common Press. https://t.co/Iphi0bswwf")</f>
        <v>Dear European Regional Director of the World Health Organization. After the visit to the Hans Kluge's visit to our Common Press. https://t.co/Iphi0bswwf</v>
      </c>
    </row>
    <row r="2549" spans="1:5" ht="15.75" customHeight="1" x14ac:dyDescent="0.25">
      <c r="A2549" s="1" t="s">
        <v>5097</v>
      </c>
      <c r="B2549" s="1">
        <v>25272</v>
      </c>
      <c r="C2549" s="3">
        <v>44021.566724537035</v>
      </c>
      <c r="D2549" s="1" t="s">
        <v>5098</v>
      </c>
      <c r="E2549" s="4" t="str">
        <f ca="1">IFERROR(__xludf.DUMMYFUNCTION("GOOGLETRANSLATE(A2549 , ""tr"" , ""en"")"),"My hand had an event during the transport of the fireworks factory in Sakarya. Our 3 soldiers in the outburst was martyr. We started the treatment of our injured. Our situation is a serious injury to the surgery. I wish our martyrs mercy from Allah, urgen"&amp;"t healing to our wounded.")</f>
        <v>My hand had an event during the transport of the fireworks factory in Sakarya. Our 3 soldiers in the outburst was martyr. We started the treatment of our injured. Our situation is a serious injury to the surgery. I wish our martyrs mercy from Allah, urgent healing to our wounded.</v>
      </c>
    </row>
    <row r="2550" spans="1:5" ht="15.75" customHeight="1" x14ac:dyDescent="0.2">
      <c r="A2550" s="5" t="s">
        <v>5099</v>
      </c>
      <c r="B2550" s="1">
        <v>21907</v>
      </c>
      <c r="C2550" s="3">
        <v>44021.522928240738</v>
      </c>
      <c r="D2550" s="1" t="s">
        <v>5100</v>
      </c>
      <c r="E2550" s="6" t="str">
        <f ca="1">IFERROR(__xludf.DUMMYFUNCTION("GOOGLETRANSLATE(A2550 , ""tr"" , ""en"")"),"https://t.co/frf00sjzbz")</f>
        <v>https://t.co/frf00sjzbz</v>
      </c>
    </row>
    <row r="2551" spans="1:5" ht="15.75" customHeight="1" x14ac:dyDescent="0.25">
      <c r="A2551" s="1" t="s">
        <v>5101</v>
      </c>
      <c r="B2551" s="1">
        <v>19326</v>
      </c>
      <c r="C2551" s="3">
        <v>44020.911898148152</v>
      </c>
      <c r="D2551" s="1" t="s">
        <v>5102</v>
      </c>
      <c r="E2551" s="4" t="str">
        <f ca="1">IFERROR(__xludf.DUMMYFUNCTION("GOOGLETRANSLATE(A2551 , ""tr"" , ""en"")"),"The countries where the disease is climb at the moment are pessimistic for autumn. It is inevitable to take this into our account. We have a fatigue on us these days. Let's throw fatigue from above. Can show the strength of struggle but optimists. Let's b"&amp;"e a period of 83 million again against the epidemic. https://t.co/0p5jw4")</f>
        <v>The countries where the disease is climb at the moment are pessimistic for autumn. It is inevitable to take this into our account. We have a fatigue on us these days. Let's throw fatigue from above. Can show the strength of struggle but optimists. Let's be a period of 83 million again against the epidemic. https://t.co/0p5jw4</v>
      </c>
    </row>
    <row r="2552" spans="1:5" ht="15.75" customHeight="1" x14ac:dyDescent="0.25">
      <c r="A2552" s="1" t="s">
        <v>5103</v>
      </c>
      <c r="B2552" s="1">
        <v>11210</v>
      </c>
      <c r="C2552" s="3">
        <v>44020.905092592591</v>
      </c>
      <c r="D2552" s="1" t="s">
        <v>5104</v>
      </c>
      <c r="E2552" s="4" t="str">
        <f ca="1">IFERROR(__xludf.DUMMYFUNCTION("GOOGLETRANSLATE(A2552 , ""tr"" , ""en"")"),"Yesterday was the number of new cases 1053. According to the statistics, a part of them will go to intense care. Some will be connected to the respirator. In your opinion, these patients caught COVID-19, because they do not comply with the rules? We are a"&amp;"ble to prevent the contamination of the disease with mutual measure. https://t.co/l39ruieiimr")</f>
        <v>Yesterday was the number of new cases 1053. According to the statistics, a part of them will go to intense care. Some will be connected to the respirator. In your opinion, these patients caught COVID-19, because they do not comply with the rules? We are able to prevent the contamination of the disease with mutual measure. https://t.co/l39ruieiimr</v>
      </c>
    </row>
    <row r="2553" spans="1:5" ht="15.75" customHeight="1" x14ac:dyDescent="0.25">
      <c r="A2553" s="1" t="s">
        <v>5105</v>
      </c>
      <c r="B2553" s="1">
        <v>7302</v>
      </c>
      <c r="C2553" s="3">
        <v>44020.899131944447</v>
      </c>
      <c r="D2553" s="1" t="s">
        <v>5106</v>
      </c>
      <c r="E2553" s="4" t="str">
        <f ca="1">IFERROR(__xludf.DUMMYFUNCTION("GOOGLETRANSLATE(A2553 , ""tr"" , ""en"")"),"Our Ministry is against new risks, first Department of Interior; The Ministry of Family, Labor and Social Services, Ministry of National Education, Ministry of National Defense, Ministry of National Defense, Ministry of Youth and Sports, is within coopera"&amp;"tion with our Ministry of Youth. The goal is to ensure compliance with measures. https://t.co/rzfvnp45uf")</f>
        <v>Our Ministry is against new risks, first Department of Interior; The Ministry of Family, Labor and Social Services, Ministry of National Education, Ministry of National Defense, Ministry of National Defense, Ministry of Youth and Sports, is within cooperation with our Ministry of Youth. The goal is to ensure compliance with measures. https://t.co/rzfvnp45uf</v>
      </c>
    </row>
    <row r="2554" spans="1:5" ht="15.75" customHeight="1" x14ac:dyDescent="0.25">
      <c r="A2554" s="1" t="s">
        <v>5107</v>
      </c>
      <c r="B2554" s="1">
        <v>10624</v>
      </c>
      <c r="C2554" s="3">
        <v>44020.878171296295</v>
      </c>
      <c r="D2554" s="1" t="s">
        <v>5108</v>
      </c>
      <c r="E2554" s="4" t="str">
        <f ca="1">IFERROR(__xludf.DUMMYFUNCTION("GOOGLETRANSLATE(A2554 , ""tr"" , ""en"")"),"If the world shows success against the spread of COVID-19, we know that the success of this success, the mask and distance rule. The countries where cases climb and their epidemic are the countries where the measures are abandoned or already inadequate. h"&amp;"ttps://t.co/wr3sm4dv24")</f>
        <v>If the world shows success against the spread of COVID-19, we know that the success of this success, the mask and distance rule. The countries where cases climb and their epidemic are the countries where the measures are abandoned or already inadequate. https://t.co/wr3sm4dv24</v>
      </c>
    </row>
    <row r="2555" spans="1:5" ht="15.75" customHeight="1" x14ac:dyDescent="0.25">
      <c r="A2555" s="1" t="s">
        <v>5109</v>
      </c>
      <c r="B2555" s="1">
        <v>31920</v>
      </c>
      <c r="C2555" s="3">
        <v>44020.706006944441</v>
      </c>
      <c r="D2555" s="1" t="s">
        <v>5110</v>
      </c>
      <c r="E2555" s="4" t="str">
        <f ca="1">IFERROR(__xludf.DUMMYFUNCTION("GOOGLETRANSLATE(A2555 , ""tr"" , ""en"")"),"In some large cities, the highest weekly case numbers were seen in the 5th week of the epidemic. With measures followed that the decreases. 13 The highest number of cases in our province within the last 1 month or is reached in the last 1 month. New cases"&amp;" are concentrated in certain provinces. https://t.co/rvlhe7786o https://t.co/kfxdbmpiqy")</f>
        <v>In some large cities, the highest weekly case numbers were seen in the 5th week of the epidemic. With measures followed that the decreases. 13 The highest number of cases in our province within the last 1 month or is reached in the last 1 month. New cases are concentrated in certain provinces. https://t.co/rvlhe7786o https://t.co/kfxdbmpiqy</v>
      </c>
    </row>
    <row r="2556" spans="1:5" ht="15.75" customHeight="1" x14ac:dyDescent="0.25">
      <c r="A2556" s="1" t="s">
        <v>5111</v>
      </c>
      <c r="B2556" s="1">
        <v>6610</v>
      </c>
      <c r="C2556" s="3">
        <v>44020.699895833335</v>
      </c>
      <c r="D2556" s="1" t="s">
        <v>5112</v>
      </c>
      <c r="E2556" s="4" t="str">
        <f ca="1">IFERROR(__xludf.DUMMYFUNCTION("GOOGLETRANSLATE(A2556 , ""tr"" , ""en"")"),"After our Science Board meeting, the latest developments on the coronavirus and the new measures we receive.
📍Public Ministry Bilkent Campus / Ankara
https://t.co/s7xsqxdtcj")</f>
        <v>After our Science Board meeting, the latest developments on the coronavirus and the new measures we receive.
📍Public Ministry Bilkent Campus / Ankara
https://t.co/s7xsqxdtcj</v>
      </c>
    </row>
    <row r="2557" spans="1:5" ht="15.75" customHeight="1" x14ac:dyDescent="0.2">
      <c r="A2557" s="5" t="s">
        <v>5113</v>
      </c>
      <c r="B2557" s="1">
        <v>17937</v>
      </c>
      <c r="C2557" s="3">
        <v>44020.67769675926</v>
      </c>
      <c r="D2557" s="1" t="s">
        <v>5114</v>
      </c>
      <c r="E2557" s="6" t="str">
        <f ca="1">IFERROR(__xludf.DUMMYFUNCTION("GOOGLETRANSLATE(A2557 , ""tr"" , ""en"")"),"https://t.co/fxbqugicnw")</f>
        <v>https://t.co/fxbqugicnw</v>
      </c>
    </row>
    <row r="2558" spans="1:5" ht="15.75" customHeight="1" x14ac:dyDescent="0.2">
      <c r="A2558" s="5" t="s">
        <v>5115</v>
      </c>
      <c r="B2558" s="1">
        <v>19647</v>
      </c>
      <c r="C2558" s="3">
        <v>44020.676006944443</v>
      </c>
      <c r="D2558" s="1" t="s">
        <v>5116</v>
      </c>
      <c r="E2558" s="6" t="str">
        <f ca="1">IFERROR(__xludf.DUMMYFUNCTION("GOOGLETRANSLATE(A2558 , ""tr"" , ""en"")"),"https://t.co/QS6U7KVIOL")</f>
        <v>https://t.co/QS6U7KVIOL</v>
      </c>
    </row>
    <row r="2559" spans="1:5" ht="15.75" customHeight="1" x14ac:dyDescent="0.25">
      <c r="A2559" s="1" t="s">
        <v>5117</v>
      </c>
      <c r="B2559" s="1">
        <v>28280</v>
      </c>
      <c r="C2559" s="3">
        <v>44019.858055555553</v>
      </c>
      <c r="D2559" s="1" t="s">
        <v>5118</v>
      </c>
      <c r="E2559" s="4" t="str">
        <f ca="1">IFERROR(__xludf.DUMMYFUNCTION("GOOGLETRANSLATE(A2559 , ""tr"" , ""en"")"),"The closed areas where the distance cannot be maintained are the areas where the virus finds the opportunity. Even if you wear muntazizing your mask, you are at risk in public transport. Do not ride; If you have ridden, alert the extra passenger area driv"&amp;"es on the name of our struggle. https://t.co/mwrcfbgr0o")</f>
        <v>The closed areas where the distance cannot be maintained are the areas where the virus finds the opportunity. Even if you wear muntazizing your mask, you are at risk in public transport. Do not ride; If you have ridden, alert the extra passenger area drives on the name of our struggle. https://t.co/mwrcfbgr0o</v>
      </c>
    </row>
    <row r="2560" spans="1:5" ht="15.75" customHeight="1" x14ac:dyDescent="0.25">
      <c r="A2560" s="1" t="s">
        <v>5119</v>
      </c>
      <c r="B2560" s="1">
        <v>18185</v>
      </c>
      <c r="C2560" s="3">
        <v>44019.720405092594</v>
      </c>
      <c r="D2560" s="1" t="s">
        <v>5120</v>
      </c>
      <c r="E2560" s="4" t="str">
        <f ca="1">IFERROR(__xludf.DUMMYFUNCTION("GOOGLETRANSLATE(A2560 , ""tr"" , ""en"")"),"Dear Mustafa Şentop, the President of the Great National Assembly in the vote on the General Assembly of the TBMM. The result of our nation is to be auspicious for all studies to be held on behalf of our National Assembly and National Will on the name of "&amp;"National Will, I celebrate itself.")</f>
        <v>Dear Mustafa Şentop, the President of the Great National Assembly in the vote on the General Assembly of the TBMM. The result of our nation is to be auspicious for all studies to be held on behalf of our National Assembly and National Will on the name of National Will, I celebrate itself.</v>
      </c>
    </row>
    <row r="2561" spans="1:5" ht="15.75" customHeight="1" x14ac:dyDescent="0.25">
      <c r="A2561" s="1" t="s">
        <v>5121</v>
      </c>
      <c r="B2561" s="1">
        <v>54515</v>
      </c>
      <c r="C2561" s="3">
        <v>44019.675879629627</v>
      </c>
      <c r="D2561" s="1" t="s">
        <v>5122</v>
      </c>
      <c r="E2561" s="4" t="str">
        <f ca="1">IFERROR(__xludf.DUMMYFUNCTION("GOOGLETRANSLATE(A2561 , ""tr"" , ""en"")"),"Our intensive care occupancy rates have been between 59% to 61% for 1 month. We are depositing new patients as the patient we are discharged. The situation is similar to intubation. There are average 7% fewer new cases in the 5 provinces, which are fitted"&amp;" with case increases. How many are we in the epidemic? https://t.co/rvlhe7786o https://t.co/cbwd5j7fw0")</f>
        <v>Our intensive care occupancy rates have been between 59% to 61% for 1 month. We are depositing new patients as the patient we are discharged. The situation is similar to intubation. There are average 7% fewer new cases in the 5 provinces, which are fitted with case increases. How many are we in the epidemic? https://t.co/rvlhe7786o https://t.co/cbwd5j7fw0</v>
      </c>
    </row>
    <row r="2562" spans="1:5" ht="15.75" customHeight="1" x14ac:dyDescent="0.25">
      <c r="A2562" s="1" t="s">
        <v>5123</v>
      </c>
      <c r="B2562" s="1">
        <v>77073</v>
      </c>
      <c r="C2562" s="3">
        <v>44019.553668981483</v>
      </c>
      <c r="D2562" s="1" t="s">
        <v>5124</v>
      </c>
      <c r="E2562" s="4" t="str">
        <f ca="1">IFERROR(__xludf.DUMMYFUNCTION("GOOGLETRANSLATE(A2562 , ""tr"" , ""en"")"),"""Istanbul Civil Traffic Teams of Civil Traffic Teams, which are not able to close their door from the excess of passenger surplus, 42 people appeared during the supervision of Istanbul civil traffic teams."" How many are we in the epidemic?")</f>
        <v>"Istanbul Civil Traffic Teams of Civil Traffic Teams, which are not able to close their door from the excess of passenger surplus, 42 people appeared during the supervision of Istanbul civil traffic teams." How many are we in the epidemic?</v>
      </c>
    </row>
    <row r="2563" spans="1:5" ht="15.75" customHeight="1" x14ac:dyDescent="0.25">
      <c r="A2563" s="1" t="s">
        <v>5125</v>
      </c>
      <c r="B2563" s="1">
        <v>42990</v>
      </c>
      <c r="C2563" s="3">
        <v>44019.417719907404</v>
      </c>
      <c r="D2563" s="1" t="s">
        <v>5126</v>
      </c>
      <c r="E2563" s="4" t="str">
        <f ca="1">IFERROR(__xludf.DUMMYFUNCTION("GOOGLETRANSLATE(A2563 , ""tr"" , ""en"")"),"In the fight against the output, we had 1,086 new patients and 16 life loss yesterday. We will learn the number of those who will be caught in the illness in the tests of the average week. How many are we in the epidemic?")</f>
        <v>In the fight against the output, we had 1,086 new patients and 16 life loss yesterday. We will learn the number of those who will be caught in the illness in the tests of the average week. How many are we in the epidemic?</v>
      </c>
    </row>
    <row r="2564" spans="1:5" ht="15.75" customHeight="1" x14ac:dyDescent="0.25">
      <c r="A2564" s="1" t="s">
        <v>5127</v>
      </c>
      <c r="B2564" s="1">
        <v>74913</v>
      </c>
      <c r="C2564" s="3">
        <v>44018.725069444445</v>
      </c>
      <c r="D2564" s="1" t="s">
        <v>5128</v>
      </c>
      <c r="E2564" s="4" t="str">
        <f ca="1">IFERROR(__xludf.DUMMYFUNCTION("GOOGLETRANSLATE(A2564 , ""tr"" , ""en"")"),"The case is reduced in our numbers. We must be careful: the reductions are slow, the increase is rapidly realized. The reason for our daily new cases exceeding 1,000 is that the rules are not observed. Today has led to preventable causes to 16 life loss. "&amp;"How many are we in the epidemic? https://t.co/rvlhe7786o https://t.co/regi7jppvg")</f>
        <v>The case is reduced in our numbers. We must be careful: the reductions are slow, the increase is rapidly realized. The reason for our daily new cases exceeding 1,000 is that the rules are not observed. Today has led to preventable causes to 16 life loss. How many are we in the epidemic? https://t.co/rvlhe7786o https://t.co/regi7jppvg</v>
      </c>
    </row>
    <row r="2565" spans="1:5" ht="15.75" customHeight="1" x14ac:dyDescent="0.25">
      <c r="A2565" s="1" t="s">
        <v>5129</v>
      </c>
      <c r="B2565" s="1">
        <v>137223</v>
      </c>
      <c r="C2565" s="3">
        <v>44018.28162037037</v>
      </c>
      <c r="D2565" s="1" t="s">
        <v>5130</v>
      </c>
      <c r="E2565" s="4" t="str">
        <f ca="1">IFERROR(__xludf.DUMMYFUNCTION("GOOGLETRANSLATE(A2565 , ""tr"" , ""en"")"),"Anyone that our message reaches today is the mask out of today, does it strive to comply with the distance rule? How many are we in the epidemic?")</f>
        <v>Anyone that our message reaches today is the mask out of today, does it strive to comply with the distance rule? How many are we in the epidemic?</v>
      </c>
    </row>
    <row r="2566" spans="1:5" ht="15.75" customHeight="1" x14ac:dyDescent="0.25">
      <c r="A2566" s="1" t="s">
        <v>5131</v>
      </c>
      <c r="B2566" s="1">
        <v>53055</v>
      </c>
      <c r="C2566" s="3">
        <v>44018.18787037037</v>
      </c>
      <c r="D2566" s="1" t="s">
        <v>5132</v>
      </c>
      <c r="E2566" s="4" t="str">
        <f ca="1">IFERROR(__xludf.DUMMYFUNCTION("GOOGLETRANSLATE(A2566 , ""tr"" , ""en"")"),"If we live the present as if there is no lack of epidemic, tomorrow, in spite of preventable causes; We accept one of our good days, even nineteen life loss, thousand hundred and twenty seven intensive care patients. Outbreaks are immeasurable. Wishing yo"&amp;"u a cautious day.")</f>
        <v>If we live the present as if there is no lack of epidemic, tomorrow, in spite of preventable causes; We accept one of our good days, even nineteen life loss, thousand hundred and twenty seven intensive care patients. Outbreaks are immeasurable. Wishing you a cautious day.</v>
      </c>
    </row>
    <row r="2567" spans="1:5" ht="15.75" customHeight="1" x14ac:dyDescent="0.25">
      <c r="A2567" s="1" t="s">
        <v>5133</v>
      </c>
      <c r="B2567" s="1">
        <v>15860</v>
      </c>
      <c r="C2567" s="3">
        <v>44017.778356481482</v>
      </c>
      <c r="D2567" s="1" t="s">
        <v>5134</v>
      </c>
      <c r="E2567" s="4" t="str">
        <f ca="1">IFERROR(__xludf.DUMMYFUNCTION("GOOGLETRANSLATE(A2567 , ""tr"" , ""en"")"),"Erdem Bayazıt had included the following touching sentence at the entrance of the book he collects all their poems: ""It is read in two hours that I wrote by consuming a life."" He was always ""to you, me, homeland, my country,"" he said. In the year of t"&amp;"he Vefat, we remember our master poet. https://t.co/6eqomgog8i")</f>
        <v>Erdem Bayazıt had included the following touching sentence at the entrance of the book he collects all their poems: "It is read in two hours that I wrote by consuming a life." He was always "to you, me, homeland, my country," he said. In the year of the Vefat, we remember our master poet. https://t.co/6eqomgog8i</v>
      </c>
    </row>
    <row r="2568" spans="1:5" ht="15.75" customHeight="1" x14ac:dyDescent="0.25">
      <c r="A2568" s="1" t="s">
        <v>5135</v>
      </c>
      <c r="B2568" s="1">
        <v>30881</v>
      </c>
      <c r="C2568" s="3">
        <v>44017.758877314816</v>
      </c>
      <c r="D2568" s="1" t="s">
        <v>5136</v>
      </c>
      <c r="E2568" s="4" t="str">
        <f ca="1">IFERROR(__xludf.DUMMYFUNCTION("GOOGLETRANSLATE(A2568 , ""tr"" , ""en"")"),"The example arrived from the Çankırı. ""We also take halay, both mask and distance with halay bars. Thanks for the tenderness of Çankırı Ilgaz Kuyupınar village and residents, you were at you. New normally everything is our hand. "" Hakan Erdogan https://"&amp;"t.co/r4skv3lrea")</f>
        <v>The example arrived from the Çankırı. "We also take halay, both mask and distance with halay bars. Thanks for the tenderness of Çankırı Ilgaz Kuyupınar village and residents, you were at you. New normally everything is our hand. " Hakan Erdogan https://t.co/r4skv3lrea</v>
      </c>
    </row>
    <row r="2569" spans="1:5" ht="15.75" customHeight="1" x14ac:dyDescent="0.25">
      <c r="A2569" s="1" t="s">
        <v>5137</v>
      </c>
      <c r="B2569" s="1">
        <v>66610</v>
      </c>
      <c r="C2569" s="3">
        <v>44017.694641203707</v>
      </c>
      <c r="D2569" s="1" t="s">
        <v>5138</v>
      </c>
      <c r="E2569" s="4" t="str">
        <f ca="1">IFERROR(__xludf.DUMMYFUNCTION("GOOGLETRANSLATE(A2569 , ""tr"" , ""en"")"),"If you apply the social distance rule to the floor more than the floor, you will rest on the floor on the floor.")</f>
        <v>If you apply the social distance rule to the floor more than the floor, you will rest on the floor on the floor.</v>
      </c>
    </row>
    <row r="2570" spans="1:5" ht="15.75" customHeight="1" x14ac:dyDescent="0.25">
      <c r="A2570" s="1" t="s">
        <v>5139</v>
      </c>
      <c r="B2570" s="1">
        <v>35121</v>
      </c>
      <c r="C2570" s="3">
        <v>44017.684861111113</v>
      </c>
      <c r="D2570" s="1" t="s">
        <v>5140</v>
      </c>
      <c r="E2570" s="4" t="str">
        <f ca="1">IFERROR(__xludf.DUMMYFUNCTION("GOOGLETRANSLATE(A2570 , ""tr"" , ""en"")"),"In the last 3 days, the average number of cases increases the most, İstanbul, Ankara, Gaziantep, Mardin, Konya, Bursa, Diyarbakır. Intensive care patient count, following new cases, tend to increase. While there is a measure, it is not the table to say """&amp;"the number of passes today"". https://t.co/rvlhe7786o https://t.co/ur9tokrl3q")</f>
        <v>In the last 3 days, the average number of cases increases the most, İstanbul, Ankara, Gaziantep, Mardin, Konya, Bursa, Diyarbakır. Intensive care patient count, following new cases, tend to increase. While there is a measure, it is not the table to say "the number of passes today". https://t.co/rvlhe7786o https://t.co/ur9tokrl3q</v>
      </c>
    </row>
    <row r="2571" spans="1:5" ht="15.75" customHeight="1" x14ac:dyDescent="0.25">
      <c r="A2571" s="1" t="s">
        <v>5141</v>
      </c>
      <c r="B2571" s="1">
        <v>16263</v>
      </c>
      <c r="C2571" s="3">
        <v>44017.623437499999</v>
      </c>
      <c r="D2571" s="1" t="s">
        <v>5142</v>
      </c>
      <c r="E2571" s="4" t="str">
        <f ca="1">IFERROR(__xludf.DUMMYFUNCTION("GOOGLETRANSLATE(A2571 , ""tr"" , ""en"")"),"The identities of 6 people who lost their life in the explosion in the ditch were determined. Lost 1 person could not be reached yet. 121 in the injured 126 were discharged. The treatment of 5 people continues to be 1 in Intensive care in Sakarya and the "&amp;"other in Istanbul Kartal City Hospital Burn Center.")</f>
        <v>The identities of 6 people who lost their life in the explosion in the ditch were determined. Lost 1 person could not be reached yet. 121 in the injured 126 were discharged. The treatment of 5 people continues to be 1 in Intensive care in Sakarya and the other in Istanbul Kartal City Hospital Burn Center.</v>
      </c>
    </row>
    <row r="2572" spans="1:5" ht="15.75" customHeight="1" x14ac:dyDescent="0.25">
      <c r="A2572" s="1" t="s">
        <v>5143</v>
      </c>
      <c r="B2572" s="1">
        <v>8953</v>
      </c>
      <c r="C2572" s="3">
        <v>44017.502534722225</v>
      </c>
      <c r="D2572" s="1" t="s">
        <v>5144</v>
      </c>
      <c r="E2572" s="4" t="str">
        <f ca="1">IFERROR(__xludf.DUMMYFUNCTION("GOOGLETRANSLATE(A2572 , ""tr"" , ""en"")"),"I would like to thank our hosts to all our guests to our Mayors, Party Provincial Presidents, Bureaucrats and Advocations on Party, Pandemia. https://t.co/skde2lxyki")</f>
        <v>I would like to thank our hosts to all our guests to our Mayors, Party Provincial Presidents, Bureaucrats and Advocations on Party, Pandemia. https://t.co/skde2lxyki</v>
      </c>
    </row>
    <row r="2573" spans="1:5" ht="15.75" customHeight="1" x14ac:dyDescent="0.25">
      <c r="A2573" s="1" t="s">
        <v>5145</v>
      </c>
      <c r="B2573" s="1">
        <v>45034</v>
      </c>
      <c r="C2573" s="3">
        <v>44016.76902777778</v>
      </c>
      <c r="D2573" s="1" t="s">
        <v>5146</v>
      </c>
      <c r="E2573" s="4" t="str">
        <f ca="1">IFERROR(__xludf.DUMMYFUNCTION("GOOGLETRANSLATE(A2573 , ""tr"" , ""en"")"),"""In Bursa in Bursa in Bursa, which explained that the Ministry of Koronavirus cases increased by coronavirus cases, did not follow the social distance rule. The majority of the participants are not masked. "" NEWSPAPERS")</f>
        <v>"In Bursa in Bursa in Bursa, which explained that the Ministry of Koronavirus cases increased by coronavirus cases, did not follow the social distance rule. The majority of the participants are not masked. " NEWSPAPERS</v>
      </c>
    </row>
    <row r="2574" spans="1:5" ht="15.75" customHeight="1" x14ac:dyDescent="0.25">
      <c r="A2574" s="1" t="s">
        <v>5147</v>
      </c>
      <c r="B2574" s="1">
        <v>34416</v>
      </c>
      <c r="C2574" s="3">
        <v>44016.764652777776</v>
      </c>
      <c r="D2574" s="1" t="s">
        <v>5148</v>
      </c>
      <c r="E2574" s="4" t="str">
        <f ca="1">IFERROR(__xludf.DUMMYFUNCTION("GOOGLETRANSLATE(A2574 , ""tr"" , ""en"")"),"From the weddings, the social distance rule is not complied with, the mask is not used, the news that the fun takes place in anxiety proximity. Leave the square with the bride. They have fun without having to wear a mask. If you break the rules, they are "&amp;"sorry in our wedding. https://t.co/Iiga68rsyx")</f>
        <v>From the weddings, the social distance rule is not complied with, the mask is not used, the news that the fun takes place in anxiety proximity. Leave the square with the bride. They have fun without having to wear a mask. If you break the rules, they are sorry in our wedding. https://t.co/Iiga68rsyx</v>
      </c>
    </row>
    <row r="2575" spans="1:5" ht="15.75" customHeight="1" x14ac:dyDescent="0.25">
      <c r="A2575" s="1" t="s">
        <v>5149</v>
      </c>
      <c r="B2575" s="1">
        <v>30222</v>
      </c>
      <c r="C2575" s="3">
        <v>44016.745000000003</v>
      </c>
      <c r="D2575" s="1" t="s">
        <v>5150</v>
      </c>
      <c r="E2575" s="4" t="str">
        <f ca="1">IFERROR(__xludf.DUMMYFUNCTION("GOOGLETRANSLATE(A2575 , ""tr"" , ""en"")"),"Our total number of patients recovering approached 180 thousand. The patients in the healing process is about 20 thousand. Intensive care is an increase in the previous days of the patients. The course of the decrease of cases is slow. The number of recov"&amp;"ery today is 60 more than new cases. https://t.co/rvlhe7786o https://t.co/vzrdkuokmo")</f>
        <v>Our total number of patients recovering approached 180 thousand. The patients in the healing process is about 20 thousand. Intensive care is an increase in the previous days of the patients. The course of the decrease of cases is slow. The number of recovery today is 60 more than new cases. https://t.co/rvlhe7786o https://t.co/vzrdkuokmo</v>
      </c>
    </row>
    <row r="2576" spans="1:5" ht="15.75" customHeight="1" x14ac:dyDescent="0.25">
      <c r="A2576" s="1" t="s">
        <v>5151</v>
      </c>
      <c r="B2576" s="1">
        <v>12340</v>
      </c>
      <c r="C2576" s="3">
        <v>44016.586215277777</v>
      </c>
      <c r="D2576" s="1" t="s">
        <v>5152</v>
      </c>
      <c r="E2576" s="4" t="str">
        <f ca="1">IFERROR(__xludf.DUMMYFUNCTION("GOOGLETRANSLATE(A2576 , ""tr"" , ""en"")"),"Kartal Dr. After the opening ceremony of the Lütfi Kırdar City Hospital, we visited our patients treated here. We have received information about the situation of our patient brought to the 4-year-old abdulkadir and yesterday's explosion, we have received"&amp;" information about our patient with the helicopter ambulance. https://t.co/m69rkmu4at")</f>
        <v>Kartal Dr. After the opening ceremony of the Lütfi Kırdar City Hospital, we visited our patients treated here. We have received information about the situation of our patient brought to the 4-year-old abdulkadir and yesterday's explosion, we have received information about our patient with the helicopter ambulance. https://t.co/m69rkmu4at</v>
      </c>
    </row>
    <row r="2577" spans="1:5" ht="15.75" customHeight="1" x14ac:dyDescent="0.25">
      <c r="A2577" s="1" t="s">
        <v>5153</v>
      </c>
      <c r="B2577" s="1">
        <v>7659</v>
      </c>
      <c r="C2577" s="3">
        <v>44016.578368055554</v>
      </c>
      <c r="D2577" s="1" t="s">
        <v>5154</v>
      </c>
      <c r="E2577" s="4" t="str">
        <f ca="1">IFERROR(__xludf.DUMMYFUNCTION("GOOGLETRANSLATE(A2577 , ""tr"" , ""en"")"),"We have been serving the new building of Dr. Lütfi Kırdar City Hospital also reminds us of our history with his name. Dr. Kırdar's life from Kirkuk to Istanbul Medical Faculty, the Balkan battle, followed by the study, followed by the first world war and "&amp;"after the first world war. https://t.co/vqejblkd3p")</f>
        <v>We have been serving the new building of Dr. Lütfi Kırdar City Hospital also reminds us of our history with his name. Dr. Kırdar's life from Kirkuk to Istanbul Medical Faculty, the Balkan battle, followed by the study, followed by the first world war and after the first world war. https://t.co/vqejblkd3p</v>
      </c>
    </row>
    <row r="2578" spans="1:5" ht="15.75" customHeight="1" x14ac:dyDescent="0.25">
      <c r="A2578" s="1" t="s">
        <v>5155</v>
      </c>
      <c r="B2578" s="1">
        <v>8996</v>
      </c>
      <c r="C2578" s="3">
        <v>44016.568923611114</v>
      </c>
      <c r="D2578" s="1" t="s">
        <v>5156</v>
      </c>
      <c r="E2578" s="4" t="str">
        <f ca="1">IFERROR(__xludf.DUMMYFUNCTION("GOOGLETRANSLATE(A2578 , ""tr"" , ""en"")"),"Today, we were in the official opening ceremony and we have served our city Hospital ID winning hospital as urgently pandemia hospital in the process. 166 of our health personnel here are caught in COVID-19 when serving patients. Our tesell is that there "&amp;"is no loss of life in this institution. https://t.co/rn2bofcwuo")</f>
        <v>Today, we were in the official opening ceremony and we have served our city Hospital ID winning hospital as urgently pandemia hospital in the process. 166 of our health personnel here are caught in COVID-19 when serving patients. Our tesell is that there is no loss of life in this institution. https://t.co/rn2bofcwuo</v>
      </c>
    </row>
    <row r="2579" spans="1:5" ht="15.75" customHeight="1" x14ac:dyDescent="0.25">
      <c r="A2579" s="1" t="s">
        <v>5157</v>
      </c>
      <c r="B2579" s="1">
        <v>0</v>
      </c>
      <c r="C2579" s="3">
        <v>44016.524131944447</v>
      </c>
      <c r="D2579" s="1" t="s">
        <v>5158</v>
      </c>
      <c r="E2579" s="4" t="str">
        <f ca="1">IFERROR(__xludf.DUMMYFUNCTION("GOOGLETRANSLATE(A2579 , ""tr"" , ""en"")"),"RT @rterdogan: Eagle Dr. Lütfi Kırdar City Hospital Opening Ceremony https://t.co/o8bzs5gxs0")</f>
        <v>RT @rterdogan: Eagle Dr. Lütfi Kırdar City Hospital Opening Ceremony https://t.co/o8bzs5gxs0</v>
      </c>
    </row>
    <row r="2580" spans="1:5" ht="15.75" customHeight="1" x14ac:dyDescent="0.25">
      <c r="A2580" s="1" t="s">
        <v>5159</v>
      </c>
      <c r="B2580" s="1">
        <v>7091</v>
      </c>
      <c r="C2580" s="3">
        <v>44016.504861111112</v>
      </c>
      <c r="D2580" s="1" t="s">
        <v>5160</v>
      </c>
      <c r="E2580" s="4" t="str">
        <f ca="1">IFERROR(__xludf.DUMMYFUNCTION("GOOGLETRANSLATE(A2580 , ""tr"" , ""en"")"),"Kartal Dr. Lütfi Kırdar City Hospital We open our nation's service. https://t.co/09pvlwgbm8")</f>
        <v>Kartal Dr. Lütfi Kırdar City Hospital We open our nation's service. https://t.co/09pvlwgbm8</v>
      </c>
    </row>
    <row r="2581" spans="1:5" ht="15.75" customHeight="1" x14ac:dyDescent="0.25">
      <c r="A2581" s="1" t="s">
        <v>5161</v>
      </c>
      <c r="B2581" s="1">
        <v>19534</v>
      </c>
      <c r="C2581" s="3">
        <v>44016.477696759262</v>
      </c>
      <c r="D2581" s="1" t="s">
        <v>5162</v>
      </c>
      <c r="E2581" s="4" t="str">
        <f ca="1">IFERROR(__xludf.DUMMYFUNCTION("GOOGLETRANSLATE(A2581 , ""tr"" , ""en"")"),"Istanbul Eagle completed preparations. The official opening of the Lutfi Kyrar City Hospital was deferred by COVID-19. Total bed capacity is 1.105. Standing patient polyclinic treatment capacity 3.5 million. Dr. May the Lütfi Kırdar Hospital be aware of t"&amp;"heir new possibilities. https://t.co/tfqmcox7tu")</f>
        <v>Istanbul Eagle completed preparations. The official opening of the Lutfi Kyrar City Hospital was deferred by COVID-19. Total bed capacity is 1.105. Standing patient polyclinic treatment capacity 3.5 million. Dr. May the Lütfi Kırdar Hospital be aware of their new possibilities. https://t.co/tfqmcox7tu</v>
      </c>
    </row>
    <row r="2582" spans="1:5" ht="15.75" customHeight="1" x14ac:dyDescent="0.25">
      <c r="A2582" s="1" t="s">
        <v>5163</v>
      </c>
      <c r="B2582" s="1">
        <v>22282</v>
      </c>
      <c r="C2582" s="3">
        <v>44015.821458333332</v>
      </c>
      <c r="D2582" s="1" t="s">
        <v>5164</v>
      </c>
      <c r="E2582" s="4" t="str">
        <f ca="1">IFERROR(__xludf.DUMMYFUNCTION("GOOGLETRANSLATE(A2582 , ""tr"" , ""en"")"),"We have visited our patients who are injured in the explosion in the blast in the Sakarya ditch and on our patients in the ditch in our hospital. 92 of 114 people removed from the hospital was discharged, the treatment of 22 is driving. I wish our lives 4"&amp;" citizenship to all of Allah, I wish our injured. https://t.co/gqbewa299s")</f>
        <v>We have visited our patients who are injured in the explosion in the blast in the Sakarya ditch and on our patients in the ditch in our hospital. 92 of 114 people removed from the hospital was discharged, the treatment of 22 is driving. I wish our lives 4 citizenship to all of Allah, I wish our injured. https://t.co/gqbewa299s</v>
      </c>
    </row>
    <row r="2583" spans="1:5" ht="15.75" customHeight="1" x14ac:dyDescent="0.25">
      <c r="A2583" s="1" t="s">
        <v>5165</v>
      </c>
      <c r="B2583" s="1">
        <v>36994</v>
      </c>
      <c r="C2583" s="3">
        <v>44015.704293981478</v>
      </c>
      <c r="D2583" s="1" t="s">
        <v>5166</v>
      </c>
      <c r="E2583" s="4" t="str">
        <f ca="1">IFERROR(__xludf.DUMMYFUNCTION("GOOGLETRANSLATE(A2583 , ""tr"" , ""en"")"),"The number of new cases with 1.492 on June 24, landed 1.172. Spread of the virus is fast; It takes time to decrease cases. The mean age of the people who are treated in the hospital in the last 1 week 46.7. 11.13% of the diagnosed in the last 1 week over "&amp;"65 years old. More than 70% of the passers from this age group. https://t.co/0wogpjzywz")</f>
        <v>The number of new cases with 1.492 on June 24, landed 1.172. Spread of the virus is fast; It takes time to decrease cases. The mean age of the people who are treated in the hospital in the last 1 week 46.7. 11.13% of the diagnosed in the last 1 week over 65 years old. More than 70% of the passers from this age group. https://t.co/0wogpjzywz</v>
      </c>
    </row>
    <row r="2584" spans="1:5" ht="15.75" customHeight="1" x14ac:dyDescent="0.25">
      <c r="A2584" s="1" t="s">
        <v>5167</v>
      </c>
      <c r="B2584" s="1">
        <v>12774</v>
      </c>
      <c r="C2584" s="3">
        <v>44015.665451388886</v>
      </c>
      <c r="D2584" s="1" t="s">
        <v>5168</v>
      </c>
      <c r="E2584" s="4" t="str">
        <f ca="1">IFERROR(__xludf.DUMMYFUNCTION("GOOGLETRANSLATE(A2584 , ""tr"" , ""en"")"),"In the emergency center, with my friends who have been served together, we were investigated around the firework factory where the burst is experienced. The fire is under controlled. The explosion led to a damage that affects the environment. https://t.co"&amp;"/ieeIkjvzee")</f>
        <v>In the emergency center, with my friends who have been served together, we were investigated around the firework factory where the burst is experienced. The fire is under controlled. The explosion led to a damage that affects the environment. https://t.co/ieeIkjvzee</v>
      </c>
    </row>
    <row r="2585" spans="1:5" ht="15.75" customHeight="1" x14ac:dyDescent="0.25">
      <c r="A2585" s="1" t="s">
        <v>5169</v>
      </c>
      <c r="B2585" s="1">
        <v>27374</v>
      </c>
      <c r="C2585" s="3">
        <v>44015.624756944446</v>
      </c>
      <c r="D2585" s="1" t="s">
        <v>5170</v>
      </c>
      <c r="E2585" s="4" t="str">
        <f ca="1">IFERROR(__xludf.DUMMYFUNCTION("GOOGLETRANSLATE(A2585 , ""tr"" , ""en"")"),"In the Sakarya Hitdek, we should be cautious against the venomous gases in the airborne areas in the aircraft factory. We recommend that they do not export, doors and windows closed until at least 12 hours are full.")</f>
        <v>In the Sakarya Hitdek, we should be cautious against the venomous gases in the airborne areas in the aircraft factory. We recommend that they do not export, doors and windows closed until at least 12 hours are full.</v>
      </c>
    </row>
    <row r="2586" spans="1:5" ht="15.75" customHeight="1" x14ac:dyDescent="0.25">
      <c r="A2586" s="1" t="s">
        <v>5171</v>
      </c>
      <c r="B2586" s="1">
        <v>21139</v>
      </c>
      <c r="C2586" s="3">
        <v>44015.59171296296</v>
      </c>
      <c r="D2586" s="1" t="s">
        <v>5172</v>
      </c>
      <c r="E2586" s="4" t="str">
        <f ca="1">IFERROR(__xludf.DUMMYFUNCTION("GOOGLETRANSLATE(A2586 , ""tr"" , ""en"")"),"We have shipped one of our patients injured in the fireworks factory, for burn treatment, Helicopter Ambulance, Sakarya Education and Research Hospital to Istanbul Eagle Education and Research Hospital. We will follow the treatment closely.")</f>
        <v>We have shipped one of our patients injured in the fireworks factory, for burn treatment, Helicopter Ambulance, Sakarya Education and Research Hospital to Istanbul Eagle Education and Research Hospital. We will follow the treatment closely.</v>
      </c>
    </row>
    <row r="2587" spans="1:5" ht="15.75" customHeight="1" x14ac:dyDescent="0.25">
      <c r="A2587" s="1" t="s">
        <v>5173</v>
      </c>
      <c r="B2587" s="1">
        <v>11552</v>
      </c>
      <c r="C2587" s="3">
        <v>44015.585902777777</v>
      </c>
      <c r="D2587" s="1" t="s">
        <v>5174</v>
      </c>
      <c r="E2587" s="4" t="str">
        <f ca="1">IFERROR(__xludf.DUMMYFUNCTION("GOOGLETRANSLATE(A2587 , ""tr"" , ""en"")"),"In the ditch, after the explosion in the fireworks factory, we established an emergency center to manage the process with the Minister of Interior Süleyman Süleyman Noble and Family, Work and Social Services. Under the explosion control. Our loss is unfor"&amp;"tunately to 4. https://t.co/ae3cuttkxt")</f>
        <v>In the ditch, after the explosion in the fireworks factory, we established an emergency center to manage the process with the Minister of Interior Süleyman Süleyman Noble and Family, Work and Social Services. Under the explosion control. Our loss is unfortunately to 4. https://t.co/ae3cuttkxt</v>
      </c>
    </row>
    <row r="2588" spans="1:5" ht="15.75" customHeight="1" x14ac:dyDescent="0.25">
      <c r="A2588" s="1" t="s">
        <v>5175</v>
      </c>
      <c r="B2588" s="1">
        <v>8504</v>
      </c>
      <c r="C2588" s="3">
        <v>44015.529675925929</v>
      </c>
      <c r="D2588" s="1" t="s">
        <v>5176</v>
      </c>
      <c r="E2588" s="4" t="str">
        <f ca="1">IFERROR(__xludf.DUMMYFUNCTION("GOOGLETRANSLATE(A2588 , ""tr"" , ""en"")"),"In the Fireworks factory in the Sakarya ditch, we are examined in the region where the burst is experienced.
https://t.co/3fireqbuwu")</f>
        <v>In the Fireworks factory in the Sakarya ditch, we are examined in the region where the burst is experienced.
https://t.co/3fireqbuwu</v>
      </c>
    </row>
    <row r="2589" spans="1:5" ht="15.75" customHeight="1" x14ac:dyDescent="0.25">
      <c r="A2589" s="1" t="s">
        <v>5177</v>
      </c>
      <c r="B2589" s="1">
        <v>61258</v>
      </c>
      <c r="C2589" s="3">
        <v>44015.460335648146</v>
      </c>
      <c r="D2589" s="1" t="s">
        <v>5178</v>
      </c>
      <c r="E2589" s="4" t="str">
        <f ca="1">IFERROR(__xludf.DUMMYFUNCTION("GOOGLETRANSLATE(A2589 , ""tr"" , ""en"")"),"The Sakarya Hitdek was a burst at the fireworks factory far away from the city. SN. We will be at the scene at a bit to follow the process closely with our President instructions. 85 Ambulance, 2 Helicopter Ambulance, 11 Umke team on the scene. We have 2 "&amp;"loss, we have 73 injuries.")</f>
        <v>The Sakarya Hitdek was a burst at the fireworks factory far away from the city. SN. We will be at the scene at a bit to follow the process closely with our President instructions. 85 Ambulance, 2 Helicopter Ambulance, 11 Umke team on the scene. We have 2 loss, we have 73 injuries.</v>
      </c>
    </row>
    <row r="2590" spans="1:5" ht="15.75" customHeight="1" x14ac:dyDescent="0.25">
      <c r="A2590" s="1" t="s">
        <v>5179</v>
      </c>
      <c r="B2590" s="1">
        <v>21641</v>
      </c>
      <c r="C2590" s="3">
        <v>44014.896145833336</v>
      </c>
      <c r="D2590" s="1" t="s">
        <v>5180</v>
      </c>
      <c r="E2590" s="4" t="str">
        <f ca="1">IFERROR(__xludf.DUMMYFUNCTION("GOOGLETRANSLATE(A2590 , ""tr"" , ""en"")"),"Cleanliness is one of the three measures to get against COVID-19. On the surfaces we touch, let's wash our hands than the soap and ordinarily because the viruses can be found to be infected ability. Soap disables coronaviruses. https://t.co/m8kle1hk6z")</f>
        <v>Cleanliness is one of the three measures to get against COVID-19. On the surfaces we touch, let's wash our hands than the soap and ordinarily because the viruses can be found to be infected ability. Soap disables coronaviruses. https://t.co/m8kle1hk6z</v>
      </c>
    </row>
    <row r="2591" spans="1:5" ht="15.75" customHeight="1" x14ac:dyDescent="0.25">
      <c r="A2591" s="1" t="s">
        <v>5181</v>
      </c>
      <c r="B2591" s="1">
        <v>38371</v>
      </c>
      <c r="C2591" s="3">
        <v>44014.750625000001</v>
      </c>
      <c r="D2591" s="1" t="s">
        <v>5182</v>
      </c>
      <c r="E2591" s="4" t="str">
        <f ca="1">IFERROR(__xludf.DUMMYFUNCTION("GOOGLETRANSLATE(A2591 , ""tr"" , ""en"")"),"Dilek Akçabelen: Dilek nurse. 1990, Istanbul born. Health services were myo graduated. M. Akif Ersoy worked at Hospital Hospital and Vascular Diseases Hospital. COVID-19 remained in intense care for a long time. He didn't have a chance to take your newbor"&amp;"n baby on his lap. Https://t.co/c2eh6Ijgbh for the challenge")</f>
        <v>Dilek Akçabelen: Dilek nurse. 1990, Istanbul born. Health services were myo graduated. M. Akif Ersoy worked at Hospital Hospital and Vascular Diseases Hospital. COVID-19 remained in intense care for a long time. He didn't have a chance to take your newborn baby on his lap. Https://t.co/c2eh6Ijgbh for the challenge</v>
      </c>
    </row>
    <row r="2592" spans="1:5" ht="15.75" customHeight="1" x14ac:dyDescent="0.25">
      <c r="A2592" s="1" t="s">
        <v>5183</v>
      </c>
      <c r="B2592" s="1">
        <v>59052</v>
      </c>
      <c r="C2592" s="3">
        <v>44014.693356481483</v>
      </c>
      <c r="D2592" s="1" t="s">
        <v>5184</v>
      </c>
      <c r="E2592" s="4" t="str">
        <f ca="1">IFERROR(__xludf.DUMMYFUNCTION("GOOGLETRANSLATE(A2592 , ""tr"" , ""en"")"),"There are no new cases in Burdur and Gumushane for 2 days. Most cases, 5 il: Istanbul, Ankara, Gaziantep, Konya, Bursa. Images reflecting risk for community health are increasing: today, media, passengers have included vehicles where social distance is re"&amp;"set. https://t.co/rvlhe7786o https://t.co/I3vrzudmtv")</f>
        <v>There are no new cases in Burdur and Gumushane for 2 days. Most cases, 5 il: Istanbul, Ankara, Gaziantep, Konya, Bursa. Images reflecting risk for community health are increasing: today, media, passengers have included vehicles where social distance is reset. https://t.co/rvlhe7786o https://t.co/I3vrzudmtv</v>
      </c>
    </row>
    <row r="2593" spans="1:5" ht="15.75" customHeight="1" x14ac:dyDescent="0.25">
      <c r="A2593" s="1" t="s">
        <v>5185</v>
      </c>
      <c r="B2593" s="1">
        <v>16726</v>
      </c>
      <c r="C2593" s="3">
        <v>44014.325115740743</v>
      </c>
      <c r="D2593" s="1" t="s">
        <v>5186</v>
      </c>
      <c r="E2593" s="4" t="str">
        <f ca="1">IFERROR(__xludf.DUMMYFUNCTION("GOOGLETRANSLATE(A2593 , ""tr"" , ""en"")"),"In the carriage rate research, 132,000 people have resulted in the test of 132,000 people. Carrier rate with existing data is 0.24%; In parallel with this test, protection was 0.81% in antibody scanning with ELISA method. Are not common immunity. The stud"&amp;"y will be completed next week. https://t.co/oj7nqgh3md")</f>
        <v>In the carriage rate research, 132,000 people have resulted in the test of 132,000 people. Carrier rate with existing data is 0.24%; In parallel with this test, protection was 0.81% in antibody scanning with ELISA method. Are not common immunity. The study will be completed next week. https://t.co/oj7nqgh3md</v>
      </c>
    </row>
    <row r="2594" spans="1:5" ht="15.75" customHeight="1" x14ac:dyDescent="0.25">
      <c r="A2594" s="1" t="s">
        <v>5187</v>
      </c>
      <c r="B2594" s="1">
        <v>15511</v>
      </c>
      <c r="C2594" s="3">
        <v>44013.877337962964</v>
      </c>
      <c r="D2594" s="1" t="s">
        <v>5188</v>
      </c>
      <c r="E2594" s="4" t="str">
        <f ca="1">IFERROR(__xludf.DUMMYFUNCTION("GOOGLETRANSLATE(A2594 , ""tr"" , ""en"")"),"The idea that the spread of the virus is reduced is misleading. The thought that the virus is weakening the power of the patient is also lacking scientific basis. The fact that many of them are caught in the disease and cause the disease to infect the dis"&amp;"ease. https://t.co/s0zmlcuwbs")</f>
        <v>The idea that the spread of the virus is reduced is misleading. The thought that the virus is weakening the power of the patient is also lacking scientific basis. The fact that many of them are caught in the disease and cause the disease to infect the disease. https://t.co/s0zmlcuwbs</v>
      </c>
    </row>
    <row r="2595" spans="1:5" ht="15.75" customHeight="1" x14ac:dyDescent="0.25">
      <c r="A2595" s="1" t="s">
        <v>5189</v>
      </c>
      <c r="B2595" s="1">
        <v>12924</v>
      </c>
      <c r="C2595" s="3">
        <v>44013.867442129631</v>
      </c>
      <c r="D2595" s="1" t="s">
        <v>5190</v>
      </c>
      <c r="E2595" s="4" t="str">
        <f ca="1">IFERROR(__xludf.DUMMYFUNCTION("GOOGLETRANSLATE(A2595 , ""tr"" , ""en"")"),"We managed to protect our huge in the house. However they are at risk today. During the epidemic, the rate of 60 years of age and at least one inferiority was 72%. Now this rate and intensive care age are rising. We should be protected by following the me"&amp;"asures. https://t.co/dhxsxxydg3")</f>
        <v>We managed to protect our huge in the house. However they are at risk today. During the epidemic, the rate of 60 years of age and at least one inferiority was 72%. Now this rate and intensive care age are rising. We should be protected by following the measures. https://t.co/dhxsxxydg3</v>
      </c>
    </row>
    <row r="2596" spans="1:5" ht="15.75" customHeight="1" x14ac:dyDescent="0.25">
      <c r="A2596" s="1" t="s">
        <v>5191</v>
      </c>
      <c r="B2596" s="1">
        <v>12523</v>
      </c>
      <c r="C2596" s="3">
        <v>44013.855520833335</v>
      </c>
      <c r="D2596" s="1" t="s">
        <v>5192</v>
      </c>
      <c r="E2596" s="4" t="str">
        <f ca="1">IFERROR(__xludf.DUMMYFUNCTION("GOOGLETRANSLATE(A2596 , ""tr"" , ""en"")"),"Success in treatment is the death rate that falls up to 2.57%; Our huge protection of our biggests are chronic diseases and the ability to compliance with the measures is some of the reasons of appreciation of the world in the fight against COVID-19. We m"&amp;"ust continue this success that is exemplary to the world. https://t.co/qlmwb5bl9s")</f>
        <v>Success in treatment is the death rate that falls up to 2.57%; Our huge protection of our biggests are chronic diseases and the ability to compliance with the measures is some of the reasons of appreciation of the world in the fight against COVID-19. We must continue this success that is exemplary to the world. https://t.co/qlmwb5bl9s</v>
      </c>
    </row>
    <row r="2597" spans="1:5" ht="15.75" customHeight="1" x14ac:dyDescent="0.25">
      <c r="A2597" s="1" t="s">
        <v>5193</v>
      </c>
      <c r="B2597" s="1">
        <v>59299</v>
      </c>
      <c r="C2597" s="3">
        <v>44013.815983796296</v>
      </c>
      <c r="D2597" s="1" t="s">
        <v>5194</v>
      </c>
      <c r="E2597" s="4" t="str">
        <f ca="1">IFERROR(__xludf.DUMMYFUNCTION("GOOGLETRANSLATE(A2597 , ""tr"" , ""en"")"),"In Giresun's Bulkarak district, the seven-year-old ikra nur was given to the land in a creek yesterday. He shares the pain of his family, we wish patience. Each child is the same in proximity to all of us in death.")</f>
        <v>In Giresun's Bulkarak district, the seven-year-old ikra nur was given to the land in a creek yesterday. He shares the pain of his family, we wish patience. Each child is the same in proximity to all of us in death.</v>
      </c>
    </row>
    <row r="2598" spans="1:5" ht="15.75" customHeight="1" x14ac:dyDescent="0.25">
      <c r="A2598" s="1" t="s">
        <v>5195</v>
      </c>
      <c r="B2598" s="1">
        <v>0</v>
      </c>
      <c r="C2598" s="3">
        <v>44013.807210648149</v>
      </c>
      <c r="D2598" s="1" t="s">
        <v>5196</v>
      </c>
      <c r="E2598" s="4" t="str">
        <f ca="1">IFERROR(__xludf.DUMMYFUNCTION("GOOGLETRANSLATE(A2598 , ""tr"" , ""en"")"),"RT @rterdogan: They watch the series and translate the film, we will serve and continue to write history.
Rte")</f>
        <v>RT @rterdogan: They watch the series and translate the film, we will serve and continue to write history.
Rte</v>
      </c>
    </row>
    <row r="2599" spans="1:5" ht="15.75" customHeight="1" x14ac:dyDescent="0.25">
      <c r="A2599" s="1" t="s">
        <v>5197</v>
      </c>
      <c r="B2599" s="1">
        <v>54193</v>
      </c>
      <c r="C2599" s="3">
        <v>44013.708749999998</v>
      </c>
      <c r="D2599" s="1" t="s">
        <v>5198</v>
      </c>
      <c r="E2599" s="4" t="str">
        <f ca="1">IFERROR(__xludf.DUMMYFUNCTION("GOOGLETRANSLATE(A2599 , ""tr"" , ""en"")"),"Our total test count approached 3.5 million. Our total case number has passed 200,000. Sample 5 providing measures in the implementation of new cases in the number of cases: Tekirdag, Balikesir, Samsun, Kırşehir, Duzce. We can achieve in all provinces. ht"&amp;"tps://t.co/rvlhe7786o https://t.co/lsdrej3fcx")</f>
        <v>Our total test count approached 3.5 million. Our total case number has passed 200,000. Sample 5 providing measures in the implementation of new cases in the number of cases: Tekirdag, Balikesir, Samsun, Kırşehir, Duzce. We can achieve in all provinces. https://t.co/rvlhe7786o https://t.co/lsdrej3fcx</v>
      </c>
    </row>
    <row r="2600" spans="1:5" ht="15.75" customHeight="1" x14ac:dyDescent="0.25">
      <c r="A2600" s="1" t="s">
        <v>5199</v>
      </c>
      <c r="B2600" s="1">
        <v>7586</v>
      </c>
      <c r="C2600" s="3">
        <v>44013.699513888889</v>
      </c>
      <c r="D2600" s="1" t="s">
        <v>5200</v>
      </c>
      <c r="E2600" s="4" t="str">
        <f ca="1">IFERROR(__xludf.DUMMYFUNCTION("GOOGLETRANSLATE(A2600 , ""tr"" , ""en"")"),"After our Science Board meeting, the latest developments on the coronavirus and the new measures we receive.
📍Public Ministry Bilkent Campus / Ankara
https://t.co/be4i6jolz6")</f>
        <v>After our Science Board meeting, the latest developments on the coronavirus and the new measures we receive.
📍Public Ministry Bilkent Campus / Ankara
https://t.co/be4i6jolz6</v>
      </c>
    </row>
    <row r="2601" spans="1:5" ht="15.75" customHeight="1" x14ac:dyDescent="0.25">
      <c r="A2601" s="1" t="s">
        <v>5201</v>
      </c>
      <c r="B2601" s="1">
        <v>69763</v>
      </c>
      <c r="C2601" s="3">
        <v>44012.769201388888</v>
      </c>
      <c r="D2601" s="1" t="s">
        <v>5202</v>
      </c>
      <c r="E2601" s="4" t="str">
        <f ca="1">IFERROR(__xludf.DUMMYFUNCTION("GOOGLETRANSLATE(A2601 , ""tr"" , ""en"")"),"I celebrate the pair of Esra and Berat Albayrak with the newborn son. Every born child is a hope for a better world, a new beginning. Emoticons used for Hamza Salih's parents need to belong to people who have not been hearable. May Allah Breed.")</f>
        <v>I celebrate the pair of Esra and Berat Albayrak with the newborn son. Every born child is a hope for a better world, a new beginning. Emoticons used for Hamza Salih's parents need to belong to people who have not been hearable. May Allah Breed.</v>
      </c>
    </row>
    <row r="2602" spans="1:5" ht="15.75" customHeight="1" x14ac:dyDescent="0.25">
      <c r="A2602" s="1" t="s">
        <v>5203</v>
      </c>
      <c r="B2602" s="1">
        <v>42258</v>
      </c>
      <c r="C2602" s="3">
        <v>44012.673657407409</v>
      </c>
      <c r="D2602" s="1" t="s">
        <v>5204</v>
      </c>
      <c r="E2602" s="4" t="str">
        <f ca="1">IFERROR(__xludf.DUMMYFUNCTION("GOOGLETRANSLATE(A2602 , ""tr"" , ""en"")"),"In addition to yesterday, there are 7 reductions in our number of patients in our number of intensive care. Our daily test numbers are close. Our new case count is close to yesterday with 81 few, new healing patients. We are not careful enough in measures"&amp;" in reducing the number of cases. https://t.co/rvlhe7786o https://t.co/bf9nshpw0h")</f>
        <v>In addition to yesterday, there are 7 reductions in our number of patients in our number of intensive care. Our daily test numbers are close. Our new case count is close to yesterday with 81 few, new healing patients. We are not careful enough in measures in reducing the number of cases. https://t.co/rvlhe7786o https://t.co/bf9nshpw0h</v>
      </c>
    </row>
    <row r="2603" spans="1:5" ht="15.75" customHeight="1" x14ac:dyDescent="0.25">
      <c r="A2603" s="1" t="s">
        <v>5205</v>
      </c>
      <c r="B2603" s="1">
        <v>49760</v>
      </c>
      <c r="C2603" s="3">
        <v>44012.524768518517</v>
      </c>
      <c r="D2603" s="1" t="s">
        <v>5206</v>
      </c>
      <c r="E2603" s="4" t="str">
        <f ca="1">IFERROR(__xludf.DUMMYFUNCTION("GOOGLETRANSLATE(A2603 , ""tr"" , ""en"")"),"COVID-19 Measures are increasingly exposed to the news of the soldiers who are observed. Those who do the mansings in this way don't make friends to their friends, friendship. What friend wants his friend as a positive diagnosis of his father's task?")</f>
        <v>COVID-19 Measures are increasingly exposed to the news of the soldiers who are observed. Those who do the mansings in this way don't make friends to their friends, friendship. What friend wants his friend as a positive diagnosis of his father's task?</v>
      </c>
    </row>
    <row r="2604" spans="1:5" ht="15.75" customHeight="1" x14ac:dyDescent="0.25">
      <c r="A2604" s="1" t="s">
        <v>5207</v>
      </c>
      <c r="B2604" s="1">
        <v>45859</v>
      </c>
      <c r="C2604" s="3">
        <v>44011.710706018515</v>
      </c>
      <c r="D2604" s="1" t="s">
        <v>5208</v>
      </c>
      <c r="E2604" s="4" t="str">
        <f ca="1">IFERROR(__xludf.DUMMYFUNCTION("GOOGLETRANSLATE(A2604 , ""tr"" , ""en"")"),"Our case count 18 is 18, 160 more than recovering today. The number of patients who are newly discharged with the cures are in balance. The increase in intensive care is at the usual level. We are not careful enough in measures in reducing the number of c"&amp;"ases. https://t.co/rvlhe7786o https://t.co/lı94eaav3h")</f>
        <v>Our case count 18 is 18, 160 more than recovering today. The number of patients who are newly discharged with the cures are in balance. The increase in intensive care is at the usual level. We are not careful enough in measures in reducing the number of cases. https://t.co/rvlhe7786o https://t.co/lı94eaav3h</v>
      </c>
    </row>
    <row r="2605" spans="1:5" ht="15.75" customHeight="1" x14ac:dyDescent="0.25">
      <c r="A2605" s="1" t="s">
        <v>5209</v>
      </c>
      <c r="B2605" s="1">
        <v>78507</v>
      </c>
      <c r="C2605" s="3">
        <v>44011.475752314815</v>
      </c>
      <c r="D2605" s="1" t="s">
        <v>5210</v>
      </c>
      <c r="E2605" s="4" t="str">
        <f ca="1">IFERROR(__xludf.DUMMYFUNCTION("GOOGLETRANSLATE(A2605 , ""tr"" , ""en"")"),"How many net are you today from coronavirus measures? Let's keep holding work tight.")</f>
        <v>How many net are you today from coronavirus measures? Let's keep holding work tight.</v>
      </c>
    </row>
    <row r="2606" spans="1:5" ht="15.75" customHeight="1" x14ac:dyDescent="0.25">
      <c r="A2606" s="1" t="s">
        <v>5211</v>
      </c>
      <c r="B2606" s="1">
        <v>13949</v>
      </c>
      <c r="C2606" s="3">
        <v>44010.888599537036</v>
      </c>
      <c r="D2606" s="1" t="s">
        <v>5212</v>
      </c>
      <c r="E2606" s="4" t="str">
        <f ca="1">IFERROR(__xludf.DUMMYFUNCTION("GOOGLETRANSLATE(A2606 , ""tr"" , ""en"")"),"To the people who are in the multi-faceted struggle against the pandemia to the minister of friends; I would like to appreciate our visits to our guests, valuable bureaucrats and managers to our people's service demands and our guests to our guests. https"&amp;"://t.co/fabow3nmst")</f>
        <v>To the people who are in the multi-faceted struggle against the pandemia to the minister of friends; I would like to appreciate our visits to our guests, valuable bureaucrats and managers to our people's service demands and our guests to our guests. https://t.co/fabow3nmst</v>
      </c>
    </row>
    <row r="2607" spans="1:5" ht="15.75" customHeight="1" x14ac:dyDescent="0.25">
      <c r="A2607" s="1" t="s">
        <v>5213</v>
      </c>
      <c r="B2607" s="1">
        <v>51600</v>
      </c>
      <c r="C2607" s="3">
        <v>44010.776875000003</v>
      </c>
      <c r="D2607" s="1" t="s">
        <v>5214</v>
      </c>
      <c r="E2607" s="4" t="str">
        <f ca="1">IFERROR(__xludf.DUMMYFUNCTION("GOOGLETRANSLATE(A2607 , ""tr"" , ""en"")"),"In the number of people who are newly diagnosed with yesterday, 16, there are 40 decreases compared to the previous day. Our total case count recovered today is 571 people from the last year. Fast enough to reduce the number of cases, we are not fully cau"&amp;"tious in the fight. Summer, it shouldn't be causing resistance. https://t.co/rvlhe7786o https://t.co/zulrdmcbsn")</f>
        <v>In the number of people who are newly diagnosed with yesterday, 16, there are 40 decreases compared to the previous day. Our total case count recovered today is 571 people from the last year. Fast enough to reduce the number of cases, we are not fully cautious in the fight. Summer, it shouldn't be causing resistance. https://t.co/rvlhe7786o https://t.co/zulrdmcbsn</v>
      </c>
    </row>
    <row r="2608" spans="1:5" ht="15.75" customHeight="1" x14ac:dyDescent="0.25">
      <c r="A2608" s="1" t="s">
        <v>5215</v>
      </c>
      <c r="B2608" s="1">
        <v>45466</v>
      </c>
      <c r="C2608" s="3">
        <v>44010.201249999998</v>
      </c>
      <c r="D2608" s="1" t="s">
        <v>5216</v>
      </c>
      <c r="E2608" s="4" t="str">
        <f ca="1">IFERROR(__xludf.DUMMYFUNCTION("GOOGLETRANSLATE(A2608 , ""tr"" , ""en"")"),"The strength of high focus. Focus is the mastery of focusing attention to the same subject for a period of time. Out of topic stimulus leads to the difficulty of focusing. Let's get them away from our mind. Our adrenalin, our rising element to the questio"&amp;"n of the question, you collect our attention. May the most difficult questions come easy.")</f>
        <v>The strength of high focus. Focus is the mastery of focusing attention to the same subject for a period of time. Out of topic stimulus leads to the difficulty of focusing. Let's get them away from our mind. Our adrenalin, our rising element to the question of the question, you collect our attention. May the most difficult questions come easy.</v>
      </c>
    </row>
    <row r="2609" spans="1:5" ht="15.75" customHeight="1" x14ac:dyDescent="0.25">
      <c r="A2609" s="1" t="s">
        <v>5217</v>
      </c>
      <c r="B2609" s="1">
        <v>56855</v>
      </c>
      <c r="C2609" s="3">
        <v>44009.716562499998</v>
      </c>
      <c r="D2609" s="1" t="s">
        <v>5218</v>
      </c>
      <c r="E2609" s="4" t="str">
        <f ca="1">IFERROR(__xludf.DUMMYFUNCTION("GOOGLETRANSLATE(A2609 , ""tr"" , ""en"")"),"The recoverants are more than 612 from the diagnosis. Yesterday's number was 96. 5.68% of the diagnosis of diagnosis in the last 14 days are 17 years of age and underneath. 63% of the 25-45 age groups. Our diagnostic number of today is 24 fewer than the y"&amp;"esterday. If the reduction is continuous, we can get below 1,000 in 2 weeks in this speed even at this speed. https://t.co/rvlhe7786o https://t.co/zwgfruq0lh")</f>
        <v>The recoverants are more than 612 from the diagnosis. Yesterday's number was 96. 5.68% of the diagnosis of diagnosis in the last 14 days are 17 years of age and underneath. 63% of the 25-45 age groups. Our diagnostic number of today is 24 fewer than the yesterday. If the reduction is continuous, we can get below 1,000 in 2 weeks in this speed even at this speed. https://t.co/rvlhe7786o https://t.co/zwgfruq0lh</v>
      </c>
    </row>
    <row r="2610" spans="1:5" ht="15.75" customHeight="1" x14ac:dyDescent="0.25">
      <c r="A2610" s="1" t="s">
        <v>5219</v>
      </c>
      <c r="B2610" s="1">
        <v>144776</v>
      </c>
      <c r="C2610" s="3">
        <v>44009.257337962961</v>
      </c>
      <c r="D2610" s="1" t="s">
        <v>5220</v>
      </c>
      <c r="E2610" s="4" t="str">
        <f ca="1">IFERROR(__xludf.DUMMYFUNCTION("GOOGLETRANSLATE(A2610 , ""tr"" , ""en"")"),"Life is an exam. This is his 165 minutes. May the most difficult questions come easy.")</f>
        <v>Life is an exam. This is his 165 minutes. May the most difficult questions come easy.</v>
      </c>
    </row>
    <row r="2611" spans="1:5" ht="15.75" customHeight="1" x14ac:dyDescent="0.25">
      <c r="A2611" s="1" t="s">
        <v>5221</v>
      </c>
      <c r="B2611" s="1">
        <v>14124</v>
      </c>
      <c r="C2611" s="3">
        <v>44008.917199074072</v>
      </c>
      <c r="D2611" s="1" t="s">
        <v>5222</v>
      </c>
      <c r="E2611" s="4" t="str">
        <f ca="1">IFERROR(__xludf.DUMMYFUNCTION("GOOGLETRANSLATE(A2611 , ""tr"" , ""en"")"),"Alaeddin Özdenören, we loved the first book of the first book with the first poetry. ""I can be a natural person tomorrow."" he was the place of place when he wrote. Links for Kerem, who died at a young age. Lived like a secret subject. We lost our master"&amp;" poet on June 26, 2003 with cancer. https://t.co/lupdan1myt")</f>
        <v>Alaeddin Özdenören, we loved the first book of the first book with the first poetry. "I can be a natural person tomorrow." he was the place of place when he wrote. Links for Kerem, who died at a young age. Lived like a secret subject. We lost our master poet on June 26, 2003 with cancer. https://t.co/lupdan1myt</v>
      </c>
    </row>
    <row r="2612" spans="1:5" ht="15.75" customHeight="1" x14ac:dyDescent="0.25">
      <c r="A2612" s="1" t="s">
        <v>5223</v>
      </c>
      <c r="B2612" s="1">
        <v>10793</v>
      </c>
      <c r="C2612" s="3">
        <v>44008.730856481481</v>
      </c>
      <c r="D2612" s="1" t="s">
        <v>5224</v>
      </c>
      <c r="E2612" s="4" t="str">
        <f ca="1">IFERROR(__xludf.DUMMYFUNCTION("GOOGLETRANSLATE(A2612 , ""tr"" , ""en"")"),"US Chamber of Commerce, US-Turkey Business Council and Tobb collaborated in the video conference we met with more than 60 participants. Our President Our Health Infrastructure is established in the leadership of Erdogan and Turkey's coronavirus epidemic h"&amp;"as shared information about the fight. https://t.co/gy3n9ioitp")</f>
        <v>US Chamber of Commerce, US-Turkey Business Council and Tobb collaborated in the video conference we met with more than 60 participants. Our President Our Health Infrastructure is established in the leadership of Erdogan and Turkey's coronavirus epidemic has shared information about the fight. https://t.co/gy3n9ioitp</v>
      </c>
    </row>
    <row r="2613" spans="1:5" ht="15.75" customHeight="1" x14ac:dyDescent="0.25">
      <c r="A2613" s="1" t="s">
        <v>5225</v>
      </c>
      <c r="B2613" s="1">
        <v>36703</v>
      </c>
      <c r="C2613" s="3">
        <v>44008.679131944446</v>
      </c>
      <c r="D2613" s="1" t="s">
        <v>5226</v>
      </c>
      <c r="E2613" s="4" t="str">
        <f ca="1">IFERROR(__xludf.DUMMYFUNCTION("GOOGLETRANSLATE(A2613 , ""tr"" , ""en"")"),"Number of new cases of 1.492 on Wednesday today is 1.396. COVID-19 is due to the total number of total patients who are hospitalized today in Turkey 113. In the last 24 hours of intensive care patients in the number 22, there are 13 increase in the number"&amp;" of intubation. The recovery is 96 than the diagnosis. https://t.co/rvlhe7786o https://t.co/4btmlfwuvo")</f>
        <v>Number of new cases of 1.492 on Wednesday today is 1.396. COVID-19 is due to the total number of total patients who are hospitalized today in Turkey 113. In the last 24 hours of intensive care patients in the number 22, there are 13 increase in the number of intubation. The recovery is 96 than the diagnosis. https://t.co/rvlhe7786o https://t.co/4btmlfwuvo</v>
      </c>
    </row>
    <row r="2614" spans="1:5" ht="15.75" customHeight="1" x14ac:dyDescent="0.25">
      <c r="A2614" s="1" t="s">
        <v>5227</v>
      </c>
      <c r="B2614" s="1">
        <v>25457</v>
      </c>
      <c r="C2614" s="3">
        <v>44008.663703703707</v>
      </c>
      <c r="D2614" s="1" t="s">
        <v>5228</v>
      </c>
      <c r="E2614" s="4" t="str">
        <f ca="1">IFERROR(__xludf.DUMMYFUNCTION("GOOGLETRANSLATE(A2614 , ""tr"" , ""en"")"),"In Konya Yunak, the traffic accident in which 7 people lost their life, the traffic accident in which 11 people were injured deeply upset us all deeply. Our single sterling; Hospitalized our wounded with our land and helicopter ambulances and started thei"&amp;"r treatment. I wish our losses healing to our wounded.")</f>
        <v>In Konya Yunak, the traffic accident in which 7 people lost their life, the traffic accident in which 11 people were injured deeply upset us all deeply. Our single sterling; Hospitalized our wounded with our land and helicopter ambulances and started their treatment. I wish our losses healing to our wounded.</v>
      </c>
    </row>
    <row r="2615" spans="1:5" ht="15.75" customHeight="1" x14ac:dyDescent="0.25">
      <c r="A2615" s="1" t="s">
        <v>5229</v>
      </c>
      <c r="B2615" s="1">
        <v>109756</v>
      </c>
      <c r="C2615" s="3">
        <v>44008.623692129629</v>
      </c>
      <c r="D2615" s="1" t="s">
        <v>5230</v>
      </c>
      <c r="E2615" s="4" t="str">
        <f ca="1">IFERROR(__xludf.DUMMYFUNCTION("GOOGLETRANSLATE(A2615 , ""tr"" , ""en"")"),"Let's close the transmission ways of the virus.")</f>
        <v>Let's close the transmission ways of the virus.</v>
      </c>
    </row>
    <row r="2616" spans="1:5" ht="15.75" customHeight="1" x14ac:dyDescent="0.25">
      <c r="A2616" s="1" t="s">
        <v>5231</v>
      </c>
      <c r="B2616" s="1">
        <v>63970</v>
      </c>
      <c r="C2616" s="3">
        <v>44008.543912037036</v>
      </c>
      <c r="D2616" s="1" t="s">
        <v>5232</v>
      </c>
      <c r="E2616" s="4" t="str">
        <f ca="1">IFERROR(__xludf.DUMMYFUNCTION("GOOGLETRANSLATE(A2616 , ""tr"" , ""en"")"),"The whole distance we will add in the fight against the coronavirus is 1.5 meters. (Provided to attach mask.)")</f>
        <v>The whole distance we will add in the fight against the coronavirus is 1.5 meters. (Provided to attach mask.)</v>
      </c>
    </row>
    <row r="2617" spans="1:5" ht="15.75" customHeight="1" x14ac:dyDescent="0.25">
      <c r="A2617" s="1" t="s">
        <v>5233</v>
      </c>
      <c r="B2617" s="1">
        <v>33467</v>
      </c>
      <c r="C2617" s="3">
        <v>44008.508611111109</v>
      </c>
      <c r="D2617" s="1" t="s">
        <v>5234</v>
      </c>
      <c r="E2617" s="4" t="str">
        <f ca="1">IFERROR(__xludf.DUMMYFUNCTION("GOOGLETRANSLATE(A2617 , ""tr"" , ""en"")"),"It's happening to all of us, you will be on your head in the YKS. Instant forgets caused by exam anxiety are your brain's joke. Rest well today. Get your sleep full. Don't be a hurry for breakfast. In the exam, forget the ones behind when getting in from "&amp;"the door. Very success, love. https://t.co/etew0qdydm")</f>
        <v>It's happening to all of us, you will be on your head in the YKS. Instant forgets caused by exam anxiety are your brain's joke. Rest well today. Get your sleep full. Don't be a hurry for breakfast. In the exam, forget the ones behind when getting in from the door. Very success, love. https://t.co/etew0qdydm</v>
      </c>
    </row>
    <row r="2618" spans="1:5" ht="15.75" customHeight="1" x14ac:dyDescent="0.25">
      <c r="A2618" s="1" t="s">
        <v>5235</v>
      </c>
      <c r="B2618" s="1">
        <v>42857</v>
      </c>
      <c r="C2618" s="3">
        <v>44007.819467592592</v>
      </c>
      <c r="D2618" s="1" t="s">
        <v>5236</v>
      </c>
      <c r="E2618" s="4" t="str">
        <f ca="1">IFERROR(__xludf.DUMMYFUNCTION("GOOGLETRANSLATE(A2618 , ""tr"" , ""en"")"),"The speed of the virus is reduced. This blood emitted from ear to ear is incorrect. Science shows us that the speed of spreading is not reduced. The World Health Organization has just explained the number of daily cases on the global scale since the begin"&amp;"ning of the outbreak. The speed of the virus is currently connected to us. https://t.co/xtbpqpyrc0")</f>
        <v>The speed of the virus is reduced. This blood emitted from ear to ear is incorrect. Science shows us that the speed of spreading is not reduced. The World Health Organization has just explained the number of daily cases on the global scale since the beginning of the outbreak. The speed of the virus is currently connected to us. https://t.co/xtbpqpyrc0</v>
      </c>
    </row>
    <row r="2619" spans="1:5" ht="15.75" customHeight="1" x14ac:dyDescent="0.25">
      <c r="A2619" s="1" t="s">
        <v>5237</v>
      </c>
      <c r="B2619" s="1">
        <v>51306</v>
      </c>
      <c r="C2619" s="3">
        <v>44007.741238425922</v>
      </c>
      <c r="D2619" s="1" t="s">
        <v>5238</v>
      </c>
      <c r="E2619" s="4" t="str">
        <f ca="1">IFERROR(__xludf.DUMMYFUNCTION("GOOGLETRANSLATE(A2619 , ""tr"" , ""en"")"),"Intensive care was an increase in our patients. However, in intensive care and total treatment periods of our patients. If our new case numbers shows that measures are reduced. Case numbers in the world climb. Let's give good news from Turkey. https://t.c"&amp;"o/rvlhe7786o https://t.co/sdtijxgbka")</f>
        <v>Intensive care was an increase in our patients. However, in intensive care and total treatment periods of our patients. If our new case numbers shows that measures are reduced. Case numbers in the world climb. Let's give good news from Turkey. https://t.co/rvlhe7786o https://t.co/sdtijxgbka</v>
      </c>
    </row>
    <row r="2620" spans="1:5" ht="15.75" customHeight="1" x14ac:dyDescent="0.25">
      <c r="A2620" s="1" t="s">
        <v>5239</v>
      </c>
      <c r="B2620" s="1">
        <v>14772</v>
      </c>
      <c r="C2620" s="3">
        <v>44006.882071759261</v>
      </c>
      <c r="D2620" s="1" t="s">
        <v>5240</v>
      </c>
      <c r="E2620" s="4" t="str">
        <f ca="1">IFERROR(__xludf.DUMMYFUNCTION("GOOGLETRANSLATE(A2620 , ""tr"" , ""en"")"),"In the order of the isolation of the virus, we found that the viruses from the Middle East, Europe vary from the United States. These differences should not be interpreted in the form of mutation. On the other hand, there is still a proof that the virulen"&amp;"ce is reduced in any way. https://t.co/msssfnd8za")</f>
        <v>In the order of the isolation of the virus, we found that the viruses from the Middle East, Europe vary from the United States. These differences should not be interpreted in the form of mutation. On the other hand, there is still a proof that the virulence is reduced in any way. https://t.co/msssfnd8za</v>
      </c>
    </row>
    <row r="2621" spans="1:5" ht="15.75" customHeight="1" x14ac:dyDescent="0.25">
      <c r="A2621" s="1" t="s">
        <v>5241</v>
      </c>
      <c r="B2621" s="1">
        <v>23379</v>
      </c>
      <c r="C2621" s="3">
        <v>44006.873402777775</v>
      </c>
      <c r="D2621" s="1" t="s">
        <v>5242</v>
      </c>
      <c r="E2621" s="4" t="str">
        <f ca="1">IFERROR(__xludf.DUMMYFUNCTION("GOOGLETRANSLATE(A2621 , ""tr"" , ""en"")"),"We are doing research with 153,000 people on developing and developing immunity in society. According to the results we have obtained from 118,000, the immunity rate is 2.8 per thousand. This means there is no immunity. The situation in antibody tests is "&amp;"the same. Results make measures indispensable. https://t.co/vb7t8glyad")</f>
        <v>We are doing research with 153,000 people on developing and developing immunity in society. According to the results we have obtained from 118,000, the immunity rate is 2.8 per thousand. This means there is no immunity. The situation in antibody tests is the same. Results make measures indispensable. https://t.co/vb7t8glyad</v>
      </c>
    </row>
    <row r="2622" spans="1:5" ht="15.75" customHeight="1" x14ac:dyDescent="0.25">
      <c r="A2622" s="1" t="s">
        <v>5243</v>
      </c>
      <c r="B2622" s="1">
        <v>21424</v>
      </c>
      <c r="C2622" s="3">
        <v>44006.864340277774</v>
      </c>
      <c r="D2622" s="1" t="s">
        <v>5244</v>
      </c>
      <c r="E2622" s="4" t="str">
        <f ca="1">IFERROR(__xludf.DUMMYFUNCTION("GOOGLETRANSLATE(A2622 , ""tr"" , ""en"")"),"The mask is not necessary in environments where no one is found in our environment. We have to use the mask in where we are together. Should not be excessive in the measure. Over time, we should not lead to exasperation. https://t.co/5ndhzldxfl")</f>
        <v>The mask is not necessary in environments where no one is found in our environment. We have to use the mask in where we are together. Should not be excessive in the measure. Over time, we should not lead to exasperation. https://t.co/5ndhzldxfl</v>
      </c>
    </row>
    <row r="2623" spans="1:5" ht="15.75" customHeight="1" x14ac:dyDescent="0.25">
      <c r="A2623" s="1" t="s">
        <v>5245</v>
      </c>
      <c r="B2623" s="1">
        <v>14606</v>
      </c>
      <c r="C2623" s="3">
        <v>44006.855821759258</v>
      </c>
      <c r="D2623" s="1" t="s">
        <v>5246</v>
      </c>
      <c r="E2623" s="4" t="str">
        <f ca="1">IFERROR(__xludf.DUMMYFUNCTION("GOOGLETRANSLATE(A2623 , ""tr"" , ""en"")"),"In the world, goodness, freedom, what is done on behalf of Beauty, all of these were made by those who can protect the spirit of youth. The future doesn't expect us ahead. The future brings us teenagers. There is an important examination in front of us. I"&amp;" wish you a success worth being celebrated for life. https://t.co/pn2utcqhfs")</f>
        <v>In the world, goodness, freedom, what is done on behalf of Beauty, all of these were made by those who can protect the spirit of youth. The future doesn't expect us ahead. The future brings us teenagers. There is an important examination in front of us. I wish you a success worth being celebrated for life. https://t.co/pn2utcqhfs</v>
      </c>
    </row>
    <row r="2624" spans="1:5" ht="15.75" customHeight="1" x14ac:dyDescent="0.25">
      <c r="A2624" s="1" t="s">
        <v>5247</v>
      </c>
      <c r="B2624" s="1">
        <v>63962</v>
      </c>
      <c r="C2624" s="3">
        <v>44006.708935185183</v>
      </c>
      <c r="D2624" s="1" t="s">
        <v>5248</v>
      </c>
      <c r="E2624" s="4" t="str">
        <f ca="1">IFERROR(__xludf.DUMMYFUNCTION("GOOGLETRANSLATE(A2624 , ""tr"" , ""en"")"),"There is a ripple in our number of cases. Although our test count is more than 10,000 compared to previous days, the result is warning all of us against the growth of risk. The reason for the increase is, together with the summary, the flexibility of the "&amp;"measures. We don't have a second option except for this summer measure. https://t.co/rvlhe7786o https://t.co/c9pfsz4ch7")</f>
        <v>There is a ripple in our number of cases. Although our test count is more than 10,000 compared to previous days, the result is warning all of us against the growth of risk. The reason for the increase is, together with the summary, the flexibility of the measures. We don't have a second option except for this summer measure. https://t.co/rvlhe7786o https://t.co/c9pfsz4ch7</v>
      </c>
    </row>
    <row r="2625" spans="1:5" ht="15.75" customHeight="1" x14ac:dyDescent="0.25">
      <c r="A2625" s="1" t="s">
        <v>5249</v>
      </c>
      <c r="B2625" s="1">
        <v>10297</v>
      </c>
      <c r="C2625" s="3">
        <v>44006.698993055557</v>
      </c>
      <c r="D2625" s="1" t="s">
        <v>5250</v>
      </c>
      <c r="E2625" s="4" t="str">
        <f ca="1">IFERROR(__xludf.DUMMYFUNCTION("GOOGLETRANSLATE(A2625 , ""tr"" , ""en"")"),"After our Science Board meeting, the latest developments on the coronavirus and the new measures we receive.
📍Public Ministry Bilkent Campus / Ankara
https://t.co/59npjr6omk")</f>
        <v>After our Science Board meeting, the latest developments on the coronavirus and the new measures we receive.
📍Public Ministry Bilkent Campus / Ankara
https://t.co/59npjr6omk</v>
      </c>
    </row>
    <row r="2626" spans="1:5" ht="15.75" customHeight="1" x14ac:dyDescent="0.25">
      <c r="A2626" s="1" t="s">
        <v>5251</v>
      </c>
      <c r="B2626" s="1">
        <v>25073</v>
      </c>
      <c r="C2626" s="3">
        <v>44005.805532407408</v>
      </c>
      <c r="D2626" s="1" t="s">
        <v>5252</v>
      </c>
      <c r="E2626" s="4" t="str">
        <f ca="1">IFERROR(__xludf.DUMMYFUNCTION("GOOGLETRANSLATE(A2626 , ""tr"" , ""en"")"),"In the meeting with the provincial health managers of our 81 provincial health managers, we addressed the reasons for the reasons for the increase in case increases, intensive care capacities and filiation rates. We have made our evaluations for new studi"&amp;"es to be made against the coronavirue. https://t.co/bus7bqdh7l")</f>
        <v>In the meeting with the provincial health managers of our 81 provincial health managers, we addressed the reasons for the reasons for the increase in case increases, intensive care capacities and filiation rates. We have made our evaluations for new studies to be made against the coronavirue. https://t.co/bus7bqdh7l</v>
      </c>
    </row>
    <row r="2627" spans="1:5" ht="15.75" customHeight="1" x14ac:dyDescent="0.25">
      <c r="A2627" s="1" t="s">
        <v>5253</v>
      </c>
      <c r="B2627" s="1">
        <v>27255</v>
      </c>
      <c r="C2627" s="3">
        <v>44005.746296296296</v>
      </c>
      <c r="D2627" s="1" t="s">
        <v>5254</v>
      </c>
      <c r="E2627" s="4" t="str">
        <f ca="1">IFERROR(__xludf.DUMMYFUNCTION("GOOGLETRANSLATE(A2627 , ""tr"" , ""en"")"),"A person in the flood occurring in Istanbul Esenyurt has lost his life. We wish himself to the mercy of Allah and their condolences. 112 Our ambulance teams have reached the event instead of the event for health services. Currently the treatment of 4 peop"&amp;"le is continued.")</f>
        <v>A person in the flood occurring in Istanbul Esenyurt has lost his life. We wish himself to the mercy of Allah and their condolences. 112 Our ambulance teams have reached the event instead of the event for health services. Currently the treatment of 4 people is continued.</v>
      </c>
    </row>
    <row r="2628" spans="1:5" ht="15.75" customHeight="1" x14ac:dyDescent="0.25">
      <c r="A2628" s="1" t="s">
        <v>5255</v>
      </c>
      <c r="B2628" s="1">
        <v>18174</v>
      </c>
      <c r="C2628" s="3">
        <v>44005.723668981482</v>
      </c>
      <c r="D2628" s="1" t="s">
        <v>5256</v>
      </c>
      <c r="E2628" s="4" t="str">
        <f ca="1">IFERROR(__xludf.DUMMYFUNCTION("GOOGLETRANSLATE(A2628 , ""tr"" , ""en"")"),"KISS. Dr. Ugur Ertuğrul. 1961, niğde born born. Cerrahpaşa graduated from Medical Faculty in 1986. It was the general surgical expert in 1998. Hunters were working at Murat Minor State Hospital. Married and two children were their father. We are grateful "&amp;"for the challenge. https://t.co/v5u11u9bng")</f>
        <v>KISS. Dr. Ugur Ertuğrul. 1961, niğde born born. Cerrahpaşa graduated from Medical Faculty in 1986. It was the general surgical expert in 1998. Hunters were working at Murat Minor State Hospital. Married and two children were their father. We are grateful for the challenge. https://t.co/v5u11u9bng</v>
      </c>
    </row>
    <row r="2629" spans="1:5" ht="15.75" customHeight="1" x14ac:dyDescent="0.25">
      <c r="A2629" s="1" t="s">
        <v>5257</v>
      </c>
      <c r="B2629" s="1">
        <v>48667</v>
      </c>
      <c r="C2629" s="3">
        <v>44005.698969907404</v>
      </c>
      <c r="D2629" s="1" t="s">
        <v>5258</v>
      </c>
      <c r="E2629" s="4" t="str">
        <f ca="1">IFERROR(__xludf.DUMMYFUNCTION("GOOGLETRANSLATE(A2629 , ""tr"" , ""en"")"),"Our test count has passed 3 million. There are 16 patients in Adana in Adana at 14, Ankara at 21, Kocaeli in Kocaeli. Our recovering patient count is more than the new case number. We should reduce the new case numbers by following the measures for a more"&amp;" normal life. https://t.co/rvlhe7786o https://t.co/xqqktmwsfo")</f>
        <v>Our test count has passed 3 million. There are 16 patients in Adana in Adana at 14, Ankara at 21, Kocaeli in Kocaeli. Our recovering patient count is more than the new case number. We should reduce the new case numbers by following the measures for a more normal life. https://t.co/rvlhe7786o https://t.co/xqqktmwsfo</v>
      </c>
    </row>
    <row r="2630" spans="1:5" ht="15.75" customHeight="1" x14ac:dyDescent="0.25">
      <c r="A2630" s="1" t="s">
        <v>5259</v>
      </c>
      <c r="B2630" s="1">
        <v>20444</v>
      </c>
      <c r="C2630" s="3">
        <v>44005.599756944444</v>
      </c>
      <c r="D2630" s="1" t="s">
        <v>5260</v>
      </c>
      <c r="E2630" s="4" t="str">
        <f ca="1">IFERROR(__xludf.DUMMYFUNCTION("GOOGLETRANSLATE(A2630 , ""tr"" , ""en"")"),"My friends are sec. Mevlüt Çavuşoğlu and SN. Mehmet Nuri ERSOY has made a meeting with overseas flights and tourism issues. In the process of the pandemia, our success increased health and tourism demands. We evaluated the requests within the scope of the"&amp;" coronavirus measures. https://t.co/zzyletoltw")</f>
        <v>My friends are sec. Mevlüt Çavuşoğlu and SN. Mehmet Nuri ERSOY has made a meeting with overseas flights and tourism issues. In the process of the pandemia, our success increased health and tourism demands. We evaluated the requests within the scope of the coronavirus measures. https://t.co/zzyletoltw</v>
      </c>
    </row>
    <row r="2631" spans="1:5" ht="15.75" customHeight="1" x14ac:dyDescent="0.25">
      <c r="A2631" s="1" t="s">
        <v>5261</v>
      </c>
      <c r="B2631" s="1">
        <v>24844</v>
      </c>
      <c r="C2631" s="3">
        <v>44004.771817129629</v>
      </c>
      <c r="D2631" s="1" t="s">
        <v>5262</v>
      </c>
      <c r="E2631" s="4" t="str">
        <f ca="1">IFERROR(__xludf.DUMMYFUNCTION("GOOGLETRANSLATE(A2631 , ""tr"" , ""en"")"),"We have made our new meeting with our Community Science Board. Our meetings of our meetings that we benefit from different science people from different science people against the coronavirus epidemic have been the psychology of students and additional me"&amp;"asures that will be taken in our agenda. https://t.co/nz5rulracs")</f>
        <v>We have made our new meeting with our Community Science Board. Our meetings of our meetings that we benefit from different science people from different science people against the coronavirus epidemic have been the psychology of students and additional measures that will be taken in our agenda. https://t.co/nz5rulracs</v>
      </c>
    </row>
    <row r="2632" spans="1:5" ht="15.75" customHeight="1" x14ac:dyDescent="0.25">
      <c r="A2632" s="1" t="s">
        <v>5263</v>
      </c>
      <c r="B2632" s="1">
        <v>54834</v>
      </c>
      <c r="C2632" s="3">
        <v>44004.721736111111</v>
      </c>
      <c r="D2632" s="1" t="s">
        <v>5264</v>
      </c>
      <c r="E2632" s="4" t="str">
        <f ca="1">IFERROR(__xludf.DUMMYFUNCTION("GOOGLETRANSLATE(A2632 , ""tr"" , ""en"")"),"In Izmir, 28 in Kocaeli 20, 3 cases in Sakarya are in intensive care. Our total test count approached 3 million. Our number of patients recovering today is above our new case count. But for our struggle the difference is not enough. We have to reduce the "&amp;"number of cases with measures. https://t.co/rvlhe7786o https://t.co/ir6lj7o1an")</f>
        <v>In Izmir, 28 in Kocaeli 20, 3 cases in Sakarya are in intensive care. Our total test count approached 3 million. Our number of patients recovering today is above our new case count. But for our struggle the difference is not enough. We have to reduce the number of cases with measures. https://t.co/rvlhe7786o https://t.co/ir6lj7o1an</v>
      </c>
    </row>
    <row r="2633" spans="1:5" ht="15.75" customHeight="1" x14ac:dyDescent="0.25">
      <c r="A2633" s="1" t="s">
        <v>5265</v>
      </c>
      <c r="B2633" s="1">
        <v>40684</v>
      </c>
      <c r="C2633" s="3">
        <v>44003.896203703705</v>
      </c>
      <c r="D2633" s="1" t="s">
        <v>5266</v>
      </c>
      <c r="E2633" s="4" t="str">
        <f ca="1">IFERROR(__xludf.DUMMYFUNCTION("GOOGLETRANSLATE(A2633 , ""tr"" , ""en"")"),"In the flood occurring in Bursa Kestel, our two citizens have lost their life. We are at the region with our teams, 112, 4 umke. The search work continues for our lost 4 citizens. We wish the mercy from Allah to those who lost their life, their condolence"&amp;"s.")</f>
        <v>In the flood occurring in Bursa Kestel, our two citizens have lost their life. We are at the region with our teams, 112, 4 umke. The search work continues for our lost 4 citizens. We wish the mercy from Allah to those who lost their life, their condolences.</v>
      </c>
    </row>
    <row r="2634" spans="1:5" ht="15.75" customHeight="1" x14ac:dyDescent="0.25">
      <c r="A2634" s="1" t="s">
        <v>5267</v>
      </c>
      <c r="B2634" s="1">
        <v>27560</v>
      </c>
      <c r="C2634" s="3">
        <v>44003.85833333333</v>
      </c>
      <c r="D2634" s="1" t="s">
        <v>5268</v>
      </c>
      <c r="E2634" s="4" t="str">
        <f ca="1">IFERROR(__xludf.DUMMYFUNCTION("GOOGLETRANSLATE(A2634 , ""tr"" , ""en"")"),"The current statement in the case table description text is incorrect: ""Our recovering patients are 320 more than our new case count today."" The number written in the form of 320 is 220 as it will be understood from the table. The correct number is that"&amp;" the number in the heart of all of us is much more. https://t.co/mdkn7ot0mk")</f>
        <v>The current statement in the case table description text is incorrect: "Our recovering patients are 320 more than our new case count today." The number written in the form of 320 is 220 as it will be understood from the table. The correct number is that the number in the heart of all of us is much more. https://t.co/mdkn7ot0mk</v>
      </c>
    </row>
    <row r="2635" spans="1:5" ht="15.75" customHeight="1" x14ac:dyDescent="0.25">
      <c r="A2635" s="1" t="s">
        <v>5269</v>
      </c>
      <c r="B2635" s="1">
        <v>54819</v>
      </c>
      <c r="C2635" s="3">
        <v>44003.72142361111</v>
      </c>
      <c r="D2635" s="1" t="s">
        <v>5270</v>
      </c>
      <c r="E2635" s="4" t="str">
        <f ca="1">IFERROR(__xludf.DUMMYFUNCTION("GOOGLETRANSLATE(A2635 , ""tr"" , ""en"")"),"In some provinces, the number of intensive care patients despite the increase in case of risk: 84 in Ankara, in 84, 46 in Konya, 43 in Konya, 43 in Bursa, 43 in Batman, 22 in Batman, 5 in Siirt 5, 5 in Van, 5. Our number of patients in Siirt 5 in Van. mor"&amp;"e. We should open the difference in the measures. https://t.co/rvlhe7786o https://t.co/powwgwlxld")</f>
        <v>In some provinces, the number of intensive care patients despite the increase in case of risk: 84 in Ankara, in 84, 46 in Konya, 43 in Konya, 43 in Bursa, 43 in Batman, 22 in Batman, 5 in Siirt 5, 5 in Van, 5. Our number of patients in Siirt 5 in Van. more. We should open the difference in the measures. https://t.co/rvlhe7786o https://t.co/powwgwlxld</v>
      </c>
    </row>
    <row r="2636" spans="1:5" ht="15.75" customHeight="1" x14ac:dyDescent="0.25">
      <c r="A2636" s="1" t="s">
        <v>5271</v>
      </c>
      <c r="B2636" s="1">
        <v>57658</v>
      </c>
      <c r="C2636" s="3">
        <v>44003.558796296296</v>
      </c>
      <c r="D2636" s="1" t="s">
        <v>5272</v>
      </c>
      <c r="E2636" s="4" t="str">
        <f ca="1">IFERROR(__xludf.DUMMYFUNCTION("GOOGLETRANSLATE(A2636 , ""tr"" , ""en"")"),"Happy Father's Day of our fathers who inspire us with life struggles, with their assets. We are at the COVID-19 outstanding, we are not amongst the people who are not amongst the people who are not among us.")</f>
        <v>Happy Father's Day of our fathers who inspire us with life struggles, with their assets. We are at the COVID-19 outstanding, we are not amongst the people who are not amongst the people who are not among us.</v>
      </c>
    </row>
    <row r="2637" spans="1:5" ht="15.75" customHeight="1" x14ac:dyDescent="0.25">
      <c r="A2637" s="1" t="s">
        <v>5273</v>
      </c>
      <c r="B2637" s="1">
        <v>23439</v>
      </c>
      <c r="C2637" s="3">
        <v>44002.813055555554</v>
      </c>
      <c r="D2637" s="1" t="s">
        <v>5274</v>
      </c>
      <c r="E2637" s="4" t="str">
        <f ca="1">IFERROR(__xludf.DUMMYFUNCTION("GOOGLETRANSLATE(A2637 , ""tr"" , ""en"")"),"Turkey continues to strengthen the health system. The Ministry of Health Marmara University Prof. Dr. Asaf Ataseven Hospital SN. The ceremony they participated in the President was opened to the service today. Our hospital also has a high capacity COVID-1"&amp;"9 diagnostic laboratory. https://t.co/rs3frhvfat")</f>
        <v>Turkey continues to strengthen the health system. The Ministry of Health Marmara University Prof. Dr. Asaf Ataseven Hospital SN. The ceremony they participated in the President was opened to the service today. Our hospital also has a high capacity COVID-19 diagnostic laboratory. https://t.co/rs3frhvfat</v>
      </c>
    </row>
    <row r="2638" spans="1:5" ht="15.75" customHeight="1" x14ac:dyDescent="0.25">
      <c r="A2638" s="1" t="s">
        <v>5275</v>
      </c>
      <c r="B2638" s="1">
        <v>12591</v>
      </c>
      <c r="C2638" s="3">
        <v>44002.741469907407</v>
      </c>
      <c r="D2638" s="1" t="s">
        <v>5276</v>
      </c>
      <c r="E2638" s="4" t="str">
        <f ca="1">IFERROR(__xludf.DUMMYFUNCTION("GOOGLETRANSLATE(A2638 , ""tr"" , ""en"")"),"We have the happiness of providing high hospitals in the technological equipment to our citizen's service. I am sure that all health workers will be served in our hospital in our hospital to carry the service flag with a worthy understanding on the name o"&amp;"f our largest. https://t.co/4gw42fvqee")</f>
        <v>We have the happiness of providing high hospitals in the technological equipment to our citizen's service. I am sure that all health workers will be served in our hospital in our hospital to carry the service flag with a worthy understanding on the name of our largest. https://t.co/4gw42fvqee</v>
      </c>
    </row>
    <row r="2639" spans="1:5" ht="15.75" customHeight="1" x14ac:dyDescent="0.25">
      <c r="A2639" s="1" t="s">
        <v>5277</v>
      </c>
      <c r="B2639" s="1">
        <v>15113</v>
      </c>
      <c r="C2639" s="3">
        <v>44002.733854166669</v>
      </c>
      <c r="D2639" s="1" t="s">
        <v>5278</v>
      </c>
      <c r="E2639" s="4" t="str">
        <f ca="1">IFERROR(__xludf.DUMMYFUNCTION("GOOGLETRANSLATE(A2639 , ""tr"" , ""en"")"),"SN. My president. In line with the target you show, we experienced a period in health by our country skipped the Age of our country. The kovid-19 epidemic, which combines the whole world on the same agenda, showed how much investments to health and why th"&amp;"e development should be at the center of development. https://t.co/4kd0032mqm")</f>
        <v>SN. My president. In line with the target you show, we experienced a period in health by our country skipped the Age of our country. The kovid-19 epidemic, which combines the whole world on the same agenda, showed how much investments to health and why the development should be at the center of development. https://t.co/4kd0032mqm</v>
      </c>
    </row>
    <row r="2640" spans="1:5" ht="15.75" customHeight="1" x14ac:dyDescent="0.25">
      <c r="A2640" s="1" t="s">
        <v>5279</v>
      </c>
      <c r="B2640" s="1">
        <v>58135</v>
      </c>
      <c r="C2640" s="3">
        <v>44002.722500000003</v>
      </c>
      <c r="D2640" s="1" t="s">
        <v>5280</v>
      </c>
      <c r="E2640" s="4" t="str">
        <f ca="1">IFERROR(__xludf.DUMMYFUNCTION("GOOGLETRANSLATE(A2640 , ""tr"" , ""en"")"),"In the last days, in some of the provinces that our number of cases increased, intensive care patient numbers: 30 in Diyarbakır 30, 41 in Kayseri, 41 in Kayseri, 46 in Batman, 46. Our number of patients in Bursa is above our new case. We should open the d"&amp;"ifference in the measures. https://t.co/rvlhe7786o https://t.co/vk162fvbue")</f>
        <v>In the last days, in some of the provinces that our number of cases increased, intensive care patient numbers: 30 in Diyarbakır 30, 41 in Kayseri, 41 in Kayseri, 46 in Batman, 46. Our number of patients in Bursa is above our new case. We should open the difference in the measures. https://t.co/rvlhe7786o https://t.co/vk162fvbue</v>
      </c>
    </row>
    <row r="2641" spans="1:5" ht="15.75" customHeight="1" x14ac:dyDescent="0.25">
      <c r="A2641" s="1" t="s">
        <v>5281</v>
      </c>
      <c r="B2641" s="1">
        <v>0</v>
      </c>
      <c r="C2641" s="3">
        <v>44002.636805555558</v>
      </c>
      <c r="D2641" s="1" t="s">
        <v>5282</v>
      </c>
      <c r="E2641" s="4" t="str">
        <f ca="1">IFERROR(__xludf.DUMMYFUNCTION("GOOGLETRANSLATE(A2641 , ""tr"" , ""en"")"),"RT @rterdogan: Ministry of Health Marmara University Hospital Opening Ceremony https://t.co/uzkzhrlwby")</f>
        <v>RT @rterdogan: Ministry of Health Marmara University Hospital Opening Ceremony https://t.co/uzkzhrlwby</v>
      </c>
    </row>
    <row r="2642" spans="1:5" ht="15.75" customHeight="1" x14ac:dyDescent="0.25">
      <c r="A2642" s="1" t="s">
        <v>5283</v>
      </c>
      <c r="B2642" s="1">
        <v>12502</v>
      </c>
      <c r="C2642" s="3">
        <v>44002.623865740738</v>
      </c>
      <c r="D2642" s="1" t="s">
        <v>5284</v>
      </c>
      <c r="E2642" s="4" t="str">
        <f ca="1">IFERROR(__xludf.DUMMYFUNCTION("GOOGLETRANSLATE(A2642 , ""tr"" , ""en"")"),"With the factors of our Mr. President; The Ministry of Health The Marmara University, we open our nation to the service of our nation. https://t.co/hdrh5bid3d")</f>
        <v>With the factors of our Mr. President; The Ministry of Health The Marmara University, we open our nation to the service of our nation. https://t.co/hdrh5bid3d</v>
      </c>
    </row>
    <row r="2643" spans="1:5" ht="15.75" customHeight="1" x14ac:dyDescent="0.25">
      <c r="A2643" s="1" t="s">
        <v>5285</v>
      </c>
      <c r="B2643" s="1">
        <v>66964</v>
      </c>
      <c r="C2643" s="3">
        <v>44002.480254629627</v>
      </c>
      <c r="D2643" s="1" t="s">
        <v>5286</v>
      </c>
      <c r="E2643" s="4" t="str">
        <f ca="1">IFERROR(__xludf.DUMMYFUNCTION("GOOGLETRANSLATE(A2643 , ""tr"" , ""en"")"),"The news was published in social media yesterday, last Saturday MSU examination of 400 students in the last Saturday, and the news that lasts to be quarantined. COVID-19 patients who concluded the test examination morning is isolated during the exam. Have"&amp;" not been contamination.")</f>
        <v>The news was published in social media yesterday, last Saturday MSU examination of 400 students in the last Saturday, and the news that lasts to be quarantined. COVID-19 patients who concluded the test examination morning is isolated during the exam. Have not been contamination.</v>
      </c>
    </row>
    <row r="2644" spans="1:5" ht="15.75" customHeight="1" x14ac:dyDescent="0.25">
      <c r="A2644" s="1" t="s">
        <v>5287</v>
      </c>
      <c r="B2644" s="1">
        <v>88800</v>
      </c>
      <c r="C2644" s="3">
        <v>44002.21947916667</v>
      </c>
      <c r="D2644" s="1" t="s">
        <v>5288</v>
      </c>
      <c r="E2644" s="4" t="str">
        <f ca="1">IFERROR(__xludf.DUMMYFUNCTION("GOOGLETRANSLATE(A2644 , ""tr"" , ""en"")"),"The brain migration started to the exam centers in the entire dorms. Like 13.00, looking forward to the beautiful news on the way back home. May the hardest questions come easy.")</f>
        <v>The brain migration started to the exam centers in the entire dorms. Like 13.00, looking forward to the beautiful news on the way back home. May the hardest questions come easy.</v>
      </c>
    </row>
    <row r="2645" spans="1:5" ht="15.75" customHeight="1" x14ac:dyDescent="0.25">
      <c r="A2645" s="1" t="s">
        <v>5289</v>
      </c>
      <c r="B2645" s="1">
        <v>121471</v>
      </c>
      <c r="C2645" s="3">
        <v>44001.884837962964</v>
      </c>
      <c r="D2645" s="1" t="s">
        <v>5290</v>
      </c>
      <c r="E2645" s="4" t="str">
        <f ca="1">IFERROR(__xludf.DUMMYFUNCTION("GOOGLETRANSLATE(A2645 , ""tr"" , ""en"")"),"The next year's high school 1's :) Now every second of the hours is long. Then you won't understand how it goes. I wish you a very stressful examination of a very successful examination. May everyone know what you know tomorrow!")</f>
        <v>The next year's high school 1's :) Now every second of the hours is long. Then you won't understand how it goes. I wish you a very stressful examination of a very successful examination. May everyone know what you know tomorrow!</v>
      </c>
    </row>
    <row r="2646" spans="1:5" ht="15.75" customHeight="1" x14ac:dyDescent="0.25">
      <c r="A2646" s="1" t="s">
        <v>5291</v>
      </c>
      <c r="B2646" s="1">
        <v>75411</v>
      </c>
      <c r="C2646" s="3">
        <v>44001.697511574072</v>
      </c>
      <c r="D2646" s="1" t="s">
        <v>5292</v>
      </c>
      <c r="E2646" s="4" t="str">
        <f ca="1">IFERROR(__xludf.DUMMYFUNCTION("GOOGLETRANSLATE(A2646 , ""tr"" , ""en"")"),"Istanbul and Ankara showed the lowest number of cases of the last week. The number of new cases across the country continues to decrease. Our recovering case is above the number of new cases today as it was yesterday. Measure, gives mutual results. https:"&amp;"//t.co/rvlhe7786o https://t.co/s2ddshflfn")</f>
        <v>Istanbul and Ankara showed the lowest number of cases of the last week. The number of new cases across the country continues to decrease. Our recovering case is above the number of new cases today as it was yesterday. Measure, gives mutual results. https://t.co/rvlhe7786o https://t.co/s2ddshflfn</v>
      </c>
    </row>
    <row r="2647" spans="1:5" ht="15.75" customHeight="1" x14ac:dyDescent="0.25">
      <c r="A2647" s="1" t="s">
        <v>5293</v>
      </c>
      <c r="B2647" s="1">
        <v>92439</v>
      </c>
      <c r="C2647" s="3">
        <v>44001.418344907404</v>
      </c>
      <c r="D2647" s="1" t="s">
        <v>5294</v>
      </c>
      <c r="E2647" s="4" t="str">
        <f ca="1">IFERROR(__xludf.DUMMYFUNCTION("GOOGLETRANSLATE(A2647 , ""tr"" , ""en"")"),"We leave the day to their exam teens. Saturday we are at home. In all our cities, my mayors are in the name of young people on behalf of young people, the municipal buses are in full staff service as everyone was out. Being little on the bus is good to yo"&amp;"ung people. We focus on the exam better.")</f>
        <v>We leave the day to their exam teens. Saturday we are at home. In all our cities, my mayors are in the name of young people on behalf of young people, the municipal buses are in full staff service as everyone was out. Being little on the bus is good to young people. We focus on the exam better.</v>
      </c>
    </row>
    <row r="2648" spans="1:5" ht="15.75" customHeight="1" x14ac:dyDescent="0.25">
      <c r="A2648" s="1" t="s">
        <v>5295</v>
      </c>
      <c r="B2648" s="1">
        <v>57297</v>
      </c>
      <c r="C2648" s="3">
        <v>44000.805046296293</v>
      </c>
      <c r="D2648" s="1" t="s">
        <v>5296</v>
      </c>
      <c r="E2648" s="4" t="str">
        <f ca="1">IFERROR(__xludf.DUMMYFUNCTION("GOOGLETRANSLATE(A2648 , ""tr"" , ""en"")"),"Malatya Doğanşehir Mayor Vahap The small gentleman has lost his life due to the heart discomfort, which he sees. Many young people had facilitated their life with support and brothers. Will be resided with goodness. I wish himself from Allah to the mercy,"&amp;" their condolences.")</f>
        <v>Malatya Doğanşehir Mayor Vahap The small gentleman has lost his life due to the heart discomfort, which he sees. Many young people had facilitated their life with support and brothers. Will be resided with goodness. I wish himself from Allah to the mercy, their condolences.</v>
      </c>
    </row>
    <row r="2649" spans="1:5" ht="15.75" customHeight="1" x14ac:dyDescent="0.25">
      <c r="A2649" s="1" t="s">
        <v>5297</v>
      </c>
      <c r="B2649" s="1">
        <v>75479</v>
      </c>
      <c r="C2649" s="3">
        <v>44000.734432870369</v>
      </c>
      <c r="D2649" s="1" t="s">
        <v>5298</v>
      </c>
      <c r="E2649" s="4" t="str">
        <f ca="1">IFERROR(__xludf.DUMMYFUNCTION("GOOGLETRANSLATE(A2649 , ""tr"" , ""en"")"),"The number of cases was 125 reduction compared to yesterday. Our recovering patient count has passed the new case of new cases today. The negligence of one of us concerns us all. Let's continue with measures to our lives. https://t.co/rvlhe7786o https://t"&amp;".co/beybuInqam")</f>
        <v>The number of cases was 125 reduction compared to yesterday. Our recovering patient count has passed the new case of new cases today. The negligence of one of us concerns us all. Let's continue with measures to our lives. https://t.co/rvlhe7786o https://t.co/beybuInqam</v>
      </c>
    </row>
    <row r="2650" spans="1:5" ht="15.75" customHeight="1" x14ac:dyDescent="0.25">
      <c r="A2650" s="1" t="s">
        <v>5299</v>
      </c>
      <c r="B2650" s="1">
        <v>36219</v>
      </c>
      <c r="C2650" s="3">
        <v>44000.412488425929</v>
      </c>
      <c r="D2650" s="1" t="s">
        <v>5300</v>
      </c>
      <c r="E2650" s="4" t="str">
        <f ca="1">IFERROR(__xludf.DUMMYFUNCTION("GOOGLETRANSLATE(A2650 , ""tr"" , ""en"")"),"LGS and YKS are the decision to recommend a science board on the conditions that need to be provided on the days. The lack of density outside during the examination and return hours is sec. Our president has instructed a limited curfew. https://t.co/9gc5c"&amp;"0oIkv")</f>
        <v>LGS and YKS are the decision to recommend a science board on the conditions that need to be provided on the days. The lack of density outside during the examination and return hours is sec. Our president has instructed a limited curfew. https://t.co/9gc5c0oIkv</v>
      </c>
    </row>
    <row r="2651" spans="1:5" ht="15.75" customHeight="1" x14ac:dyDescent="0.25">
      <c r="A2651" s="1" t="s">
        <v>5301</v>
      </c>
      <c r="B2651" s="1">
        <v>28060</v>
      </c>
      <c r="C2651" s="3">
        <v>44000.372719907406</v>
      </c>
      <c r="D2651" s="1" t="s">
        <v>5302</v>
      </c>
      <c r="E2651" s="4" t="str">
        <f ca="1">IFERROR(__xludf.DUMMYFUNCTION("GOOGLETRANSLATE(A2651 , ""tr"" , ""en"")"),"The virus cannot be viewed with the electron microscope that can view the virus. Let's be viewed. You may experience a large number of surprises if you are not very cautious these days. Avoid handshake. Wash your hand frequently. Coronavirus is transmitte"&amp;"d by respiration. Let's not make it easy with our own hands. https://t.co/ka97nklr6h")</f>
        <v>The virus cannot be viewed with the electron microscope that can view the virus. Let's be viewed. You may experience a large number of surprises if you are not very cautious these days. Avoid handshake. Wash your hand frequently. Coronavirus is transmitted by respiration. Let's not make it easy with our own hands. https://t.co/ka97nklr6h</v>
      </c>
    </row>
    <row r="2652" spans="1:5" ht="15.75" customHeight="1" x14ac:dyDescent="0.25">
      <c r="A2652" s="1" t="s">
        <v>5303</v>
      </c>
      <c r="B2652" s="1">
        <v>32317</v>
      </c>
      <c r="C2652" s="3">
        <v>43999.930162037039</v>
      </c>
      <c r="D2652" s="1" t="s">
        <v>5304</v>
      </c>
      <c r="E2652" s="4" t="str">
        <f ca="1">IFERROR(__xludf.DUMMYFUNCTION("GOOGLETRANSLATE(A2652 , ""tr"" , ""en"")"),"President of the Foreign Affairs Commission of the Foreign Affairs Commission, the President of the General Assembly of the General Assembly 75th period. I celebrate himself from the heart. SN. The steppe is the first name from our country to this task. L"&amp;"et all the international society and echo on the sound of the echo.")</f>
        <v>President of the Foreign Affairs Commission of the Foreign Affairs Commission, the President of the General Assembly of the General Assembly 75th period. I celebrate himself from the heart. SN. The steppe is the first name from our country to this task. Let all the international society and echo on the sound of the echo.</v>
      </c>
    </row>
    <row r="2653" spans="1:5" ht="15.75" customHeight="1" x14ac:dyDescent="0.25">
      <c r="A2653" s="1" t="s">
        <v>5305</v>
      </c>
      <c r="B2653" s="1">
        <v>28456</v>
      </c>
      <c r="C2653" s="3">
        <v>43999.870763888888</v>
      </c>
      <c r="D2653" s="1" t="s">
        <v>5306</v>
      </c>
      <c r="E2653" s="4" t="str">
        <f ca="1">IFERROR(__xludf.DUMMYFUNCTION("GOOGLETRANSLATE(A2653 , ""tr"" , ""en"")"),"Ankara, Istanbul, Izmir, Bursa, Kocaeli, Konya, Kayseri, Diyarbakır, Şanlıurfa and Van in the last month in the last month, you can learn the average number of cases of a week and the average of the last three days of the last three days. In some of some "&amp;"developments are important. https://t.co/1kortsbmck")</f>
        <v>Ankara, Istanbul, Izmir, Bursa, Kocaeli, Konya, Kayseri, Diyarbakır, Şanlıurfa and Van in the last month in the last month, you can learn the average number of cases of a week and the average of the last three days of the last three days. In some of some developments are important. https://t.co/1kortsbmck</v>
      </c>
    </row>
    <row r="2654" spans="1:5" ht="15.75" customHeight="1" x14ac:dyDescent="0.25">
      <c r="A2654" s="1" t="s">
        <v>5307</v>
      </c>
      <c r="B2654" s="1">
        <v>26011</v>
      </c>
      <c r="C2654" s="3">
        <v>43999.855833333335</v>
      </c>
      <c r="D2654" s="1" t="s">
        <v>5308</v>
      </c>
      <c r="E2654" s="4" t="str">
        <f ca="1">IFERROR(__xludf.DUMMYFUNCTION("GOOGLETRANSLATE(A2654 , ""tr"" , ""en"")"),"At the beginning of the epidemic was 53% of their intensive care. The ratio has now fell to 2%. Weight protection from the disease has increased success. If we can't protect them we cannot mention the mass improvement. Who can be ready to assume the price"&amp;" of that? Not to take measures is to take the price. https://t.co/npasokolmf")</f>
        <v>At the beginning of the epidemic was 53% of their intensive care. The ratio has now fell to 2%. Weight protection from the disease has increased success. If we can't protect them we cannot mention the mass improvement. Who can be ready to assume the price of that? Not to take measures is to take the price. https://t.co/npasokolmf</v>
      </c>
    </row>
    <row r="2655" spans="1:5" ht="15.75" customHeight="1" x14ac:dyDescent="0.25">
      <c r="A2655" s="1" t="s">
        <v>5309</v>
      </c>
      <c r="B2655" s="1">
        <v>17117</v>
      </c>
      <c r="C2655" s="3">
        <v>43999.84039351852</v>
      </c>
      <c r="D2655" s="1" t="s">
        <v>5310</v>
      </c>
      <c r="E2655" s="4" t="str">
        <f ca="1">IFERROR(__xludf.DUMMYFUNCTION("GOOGLETRANSLATE(A2655 , ""tr"" , ""en"")"),"We have to give this struggle within the continuity of life. In stable steps, we can turn normalization into the recovery process in all aspects. This condition is that social life is loyal to specific principles in this period. In recent days, the increa"&amp;"se in the case is related to intelligence. https://t.co/c248dtsc5h")</f>
        <v>We have to give this struggle within the continuity of life. In stable steps, we can turn normalization into the recovery process in all aspects. This condition is that social life is loyal to specific principles in this period. In recent days, the increase in the case is related to intelligence. https://t.co/c248dtsc5h</v>
      </c>
    </row>
    <row r="2656" spans="1:5" ht="15.75" customHeight="1" x14ac:dyDescent="0.25">
      <c r="A2656" s="1" t="s">
        <v>5311</v>
      </c>
      <c r="B2656" s="1">
        <v>61605</v>
      </c>
      <c r="C2656" s="3">
        <v>43999.705416666664</v>
      </c>
      <c r="D2656" s="1" t="s">
        <v>5312</v>
      </c>
      <c r="E2656" s="4" t="str">
        <f ca="1">IFERROR(__xludf.DUMMYFUNCTION("GOOGLETRANSLATE(A2656 , ""tr"" , ""en"")"),"In our daily new case, yesterday had been a decrease in 125 compared to the previous day. The situation is stationary today. Our new healing patient count is less than the new case number right now. We must reduce the number of cases and risk with measure"&amp;"s. https://t.co/rvlhe7786o https://t.co/yupoahpxfg")</f>
        <v>In our daily new case, yesterday had been a decrease in 125 compared to the previous day. The situation is stationary today. Our new healing patient count is less than the new case number right now. We must reduce the number of cases and risk with measures. https://t.co/rvlhe7786o https://t.co/yupoahpxfg</v>
      </c>
    </row>
    <row r="2657" spans="1:5" ht="15.75" customHeight="1" x14ac:dyDescent="0.25">
      <c r="A2657" s="1" t="s">
        <v>5313</v>
      </c>
      <c r="B2657" s="1">
        <v>14668</v>
      </c>
      <c r="C2657" s="3">
        <v>43999.696342592593</v>
      </c>
      <c r="D2657" s="1" t="s">
        <v>5314</v>
      </c>
      <c r="E2657" s="4" t="str">
        <f ca="1">IFERROR(__xludf.DUMMYFUNCTION("GOOGLETRANSLATE(A2657 , ""tr"" , ""en"")"),"After our Science Board meeting, the latest developments on the coronavirus and the new measures we receive.
📍Public Ministry Bilkent Campus / Ankara
https://t.co/johgpoh5gj")</f>
        <v>After our Science Board meeting, the latest developments on the coronavirus and the new measures we receive.
📍Public Ministry Bilkent Campus / Ankara
https://t.co/johgpoh5gj</v>
      </c>
    </row>
    <row r="2658" spans="1:5" ht="15.75" customHeight="1" x14ac:dyDescent="0.25">
      <c r="A2658" s="1" t="s">
        <v>5315</v>
      </c>
      <c r="B2658" s="1">
        <v>144620</v>
      </c>
      <c r="C2658" s="3">
        <v>43998.875462962962</v>
      </c>
      <c r="D2658" s="1" t="s">
        <v>5316</v>
      </c>
      <c r="E2658" s="4" t="str">
        <f ca="1">IFERROR(__xludf.DUMMYFUNCTION("GOOGLETRANSLATE(A2658 , ""tr"" , ""en"")"),"I bought all the alerts with sweet tongue, sour languages ​​individually. Thank you. I change the cover photo a little bit. Look for the last bi times in the bad example, do the inferior :), there, there was ten, fifteen meters from the photographer. But "&amp;"not excused on the cover.")</f>
        <v>I bought all the alerts with sweet tongue, sour languages ​​individually. Thank you. I change the cover photo a little bit. Look for the last bi times in the bad example, do the inferior :), there, there was ten, fifteen meters from the photographer. But not excused on the cover.</v>
      </c>
    </row>
    <row r="2659" spans="1:5" ht="15.75" customHeight="1" x14ac:dyDescent="0.25">
      <c r="A2659" s="1" t="s">
        <v>5317</v>
      </c>
      <c r="B2659" s="1">
        <v>81486</v>
      </c>
      <c r="C2659" s="3">
        <v>43998.718969907408</v>
      </c>
      <c r="D2659" s="1" t="s">
        <v>5318</v>
      </c>
      <c r="E2659" s="4" t="str">
        <f ca="1">IFERROR(__xludf.DUMMYFUNCTION("GOOGLETRANSLATE(A2659 , ""tr"" , ""en"")"),"The new number of cases is 125 from the last of the last. The new number of patients who had hospitalized 210. Intensive care is 10 increase in our patients. Some regions and group behaviors are enabled in the last tables where the number of positive diag"&amp;"noses are above 1,000. We are strong with measures. https://t.co/rvlhe7786o https://t.co/e4zrxzcmr5")</f>
        <v>The new number of cases is 125 from the last of the last. The new number of patients who had hospitalized 210. Intensive care is 10 increase in our patients. Some regions and group behaviors are enabled in the last tables where the number of positive diagnoses are above 1,000. We are strong with measures. https://t.co/rvlhe7786o https://t.co/e4zrxzcmr5</v>
      </c>
    </row>
    <row r="2660" spans="1:5" ht="15.75" customHeight="1" x14ac:dyDescent="0.25">
      <c r="A2660" s="1" t="s">
        <v>5319</v>
      </c>
      <c r="B2660" s="1">
        <v>65106</v>
      </c>
      <c r="C2660" s="3">
        <v>43998.335243055553</v>
      </c>
      <c r="D2660" s="1" t="s">
        <v>5320</v>
      </c>
      <c r="E2660" s="4" t="str">
        <f ca="1">IFERROR(__xludf.DUMMYFUNCTION("GOOGLETRANSLATE(A2660 , ""tr"" , ""en"")"),"In the fight against the virus, our mask, social responsibility. Let's keep each other anti-virus by plugging the mask. Let's stimulate those who don't have maskless wandering, as they are wearing masks. We cannot struggle with virus without mask. https:/"&amp;"/t.co/nm1jcrinxn")</f>
        <v>In the fight against the virus, our mask, social responsibility. Let's keep each other anti-virus by plugging the mask. Let's stimulate those who don't have maskless wandering, as they are wearing masks. We cannot struggle with virus without mask. https://t.co/nm1jcrinxn</v>
      </c>
    </row>
    <row r="2661" spans="1:5" ht="15.75" customHeight="1" x14ac:dyDescent="0.25">
      <c r="A2661" s="1" t="s">
        <v>5321</v>
      </c>
      <c r="B2661" s="1">
        <v>240526</v>
      </c>
      <c r="C2661" s="3">
        <v>43998.229675925926</v>
      </c>
      <c r="D2661" s="1" t="s">
        <v>5322</v>
      </c>
      <c r="E2661" s="4" t="str">
        <f ca="1">IFERROR(__xludf.DUMMYFUNCTION("GOOGLETRANSLATE(A2661 , ""tr"" , ""en"")"),"Are without mask? What do you say see?")</f>
        <v>Are without mask? What do you say see?</v>
      </c>
    </row>
    <row r="2662" spans="1:5" ht="15.75" customHeight="1" x14ac:dyDescent="0.25">
      <c r="A2662" s="1" t="s">
        <v>5323</v>
      </c>
      <c r="B2662" s="1">
        <v>55954</v>
      </c>
      <c r="C2662" s="3">
        <v>43997.948981481481</v>
      </c>
      <c r="D2662" s="1" t="s">
        <v>5324</v>
      </c>
      <c r="E2662" s="4" t="str">
        <f ca="1">IFERROR(__xludf.DUMMYFUNCTION("GOOGLETRANSLATE(A2662 , ""tr"" , ""en"")"),"Our provincial HIFZISSIHHA boards are continuing to take decisions against the presidency of our governors, especially our cities that draw attention to the case increases. Mask in our 42 provinces, a social responsibility with sanctions. We cannot strugg"&amp;"le with virus without mask. https://t.co/oqytnhmow6")</f>
        <v>Our provincial HIFZISSIHHA boards are continuing to take decisions against the presidency of our governors, especially our cities that draw attention to the case increases. Mask in our 42 provinces, a social responsibility with sanctions. We cannot struggle with virus without mask. https://t.co/oqytnhmow6</v>
      </c>
    </row>
    <row r="2663" spans="1:5" ht="15.75" customHeight="1" x14ac:dyDescent="0.25">
      <c r="A2663" s="1" t="s">
        <v>5325</v>
      </c>
      <c r="B2663" s="1">
        <v>174592</v>
      </c>
      <c r="C2663" s="3">
        <v>43997.828368055554</v>
      </c>
      <c r="D2663" s="1" t="s">
        <v>5326</v>
      </c>
      <c r="E2663" s="4" t="str">
        <f ca="1">IFERROR(__xludf.DUMMYFUNCTION("GOOGLETRANSLATE(A2663 , ""tr"" , ""en"")"),"Let's call the mask and the distance rules to the fight against the virus.")</f>
        <v>Let's call the mask and the distance rules to the fight against the virus.</v>
      </c>
    </row>
    <row r="2664" spans="1:5" ht="15.75" customHeight="1" x14ac:dyDescent="0.25">
      <c r="A2664" s="1" t="s">
        <v>5327</v>
      </c>
      <c r="B2664" s="1">
        <v>25460</v>
      </c>
      <c r="C2664" s="3">
        <v>43997.820659722223</v>
      </c>
      <c r="D2664" s="1" t="s">
        <v>5328</v>
      </c>
      <c r="E2664" s="4" t="str">
        <f ca="1">IFERROR(__xludf.DUMMYFUNCTION("GOOGLETRANSLATE(A2664 , ""tr"" , ""en"")"),"For our health facilities in Istanbul, we need more than 3,250 working friends. You can follow the announcements over the Internet. Already, I wish you success in your post. https://t.co/dkvwgjwio8")</f>
        <v>For our health facilities in Istanbul, we need more than 3,250 working friends. You can follow the announcements over the Internet. Already, I wish you success in your post. https://t.co/dkvwgjwio8</v>
      </c>
    </row>
    <row r="2665" spans="1:5" ht="15.75" customHeight="1" x14ac:dyDescent="0.25">
      <c r="A2665" s="1" t="s">
        <v>5329</v>
      </c>
      <c r="B2665" s="1">
        <v>98984</v>
      </c>
      <c r="C2665" s="3">
        <v>43997.741273148145</v>
      </c>
      <c r="D2665" s="1" t="s">
        <v>5330</v>
      </c>
      <c r="E2665" s="4" t="str">
        <f ca="1">IFERROR(__xludf.DUMMYFUNCTION("GOOGLETRANSLATE(A2665 , ""tr"" , ""en"")"),"Our number of cases compared to yesterday 30, Intensive care patients 5, intubated patients increased by 1 increase. Increases are concentrated in certain areas. Rehavet or struggle? For the mask + distance rule, we can always control the propagation. We "&amp;"are in the power. https://t.co/rvlhe7786o https://t.co/unwwc4rrxe")</f>
        <v>Our number of cases compared to yesterday 30, Intensive care patients 5, intubated patients increased by 1 increase. Increases are concentrated in certain areas. Rehavet or struggle? For the mask + distance rule, we can always control the propagation. We are in the power. https://t.co/rvlhe7786o https://t.co/unwwc4rrxe</v>
      </c>
    </row>
    <row r="2666" spans="1:5" ht="15.75" customHeight="1" x14ac:dyDescent="0.25">
      <c r="A2666" s="1" t="s">
        <v>5331</v>
      </c>
      <c r="B2666" s="1">
        <v>49486</v>
      </c>
      <c r="C2666" s="3">
        <v>43996.845358796294</v>
      </c>
      <c r="D2666" s="1" t="s">
        <v>5332</v>
      </c>
      <c r="E2666" s="4" t="str">
        <f ca="1">IFERROR(__xludf.DUMMYFUNCTION("GOOGLETRANSLATE(A2666 , ""tr"" , ""en"")"),"Bingöl Karliova has experienced an earthquake of 5.7 that affects environmental provinces. We have a loss of life. I wish the mercy from Allah. Our ambulances, Umke vehicles, our intervention units, we are in duty with our staff. We have been treated with"&amp;" our injured. TURKEY get in Turkey.")</f>
        <v>Bingöl Karliova has experienced an earthquake of 5.7 that affects environmental provinces. We have a loss of life. I wish the mercy from Allah. Our ambulances, Umke vehicles, our intervention units, we are in duty with our staff. We have been treated with our injured. TURKEY get in Turkey.</v>
      </c>
    </row>
    <row r="2667" spans="1:5" ht="15.75" customHeight="1" x14ac:dyDescent="0.25">
      <c r="A2667" s="1" t="s">
        <v>5333</v>
      </c>
      <c r="B2667" s="1">
        <v>126400</v>
      </c>
      <c r="C2667" s="3">
        <v>43996.720381944448</v>
      </c>
      <c r="D2667" s="1" t="s">
        <v>5334</v>
      </c>
      <c r="E2667" s="4" t="str">
        <f ca="1">IFERROR(__xludf.DUMMYFUNCTION("GOOGLETRANSLATE(A2667 , ""tr"" , ""en"")"),"Our recovering patient count has fallen below the new number of cases. The need for intensive care and respiratory is increasing: We are moving away from the target. Our weakest point is imprudent optimism. Let's be a cautious optimistic. Let's go fully p"&amp;"ass tomorrow to the period of controlled social life. https://t.co/rvlhe7786o https://t.co/540lybatkn")</f>
        <v>Our recovering patient count has fallen below the new number of cases. The need for intensive care and respiratory is increasing: We are moving away from the target. Our weakest point is imprudent optimism. Let's be a cautious optimistic. Let's go fully pass tomorrow to the period of controlled social life. https://t.co/rvlhe7786o https://t.co/540lybatkn</v>
      </c>
    </row>
    <row r="2668" spans="1:5" ht="15.75" customHeight="1" x14ac:dyDescent="0.2">
      <c r="A2668" s="5" t="s">
        <v>5335</v>
      </c>
      <c r="B2668" s="1">
        <v>77792</v>
      </c>
      <c r="C2668" s="3">
        <v>43996.500185185185</v>
      </c>
      <c r="D2668" s="1" t="s">
        <v>5336</v>
      </c>
      <c r="E2668" s="6" t="str">
        <f ca="1">IFERROR(__xludf.DUMMYFUNCTION("GOOGLETRANSLATE(A2668 , ""tr"" , ""en"")"),"https://t.co/Iuginsg4qz")</f>
        <v>https://t.co/Iuginsg4qz</v>
      </c>
    </row>
    <row r="2669" spans="1:5" ht="15.75" customHeight="1" x14ac:dyDescent="0.25">
      <c r="A2669" s="1" t="s">
        <v>5337</v>
      </c>
      <c r="B2669" s="1">
        <v>35067</v>
      </c>
      <c r="C2669" s="3">
        <v>43996.460277777776</v>
      </c>
      <c r="D2669" s="1" t="s">
        <v>5338</v>
      </c>
      <c r="E2669" s="4" t="str">
        <f ca="1">IFERROR(__xludf.DUMMYFUNCTION("GOOGLETRANSLATE(A2669 , ""tr"" , ""en"")"),"The virus remains alive for some time on some outer surfaces. When you touch a surface with a virus, the contact with the mouth and nose leads to the disease. If we do not comply with the distance rule, we can also have the opportunity to the virus if we "&amp;"are shaking hands. Let's not shake up. It is not to shake the friendly these days. https://t.co/tndfm32qy2")</f>
        <v>The virus remains alive for some time on some outer surfaces. When you touch a surface with a virus, the contact with the mouth and nose leads to the disease. If we do not comply with the distance rule, we can also have the opportunity to the virus if we are shaking hands. Let's not shake up. It is not to shake the friendly these days. https://t.co/tndfm32qy2</v>
      </c>
    </row>
    <row r="2670" spans="1:5" ht="15.75" customHeight="1" x14ac:dyDescent="0.25">
      <c r="A2670" s="1" t="s">
        <v>5339</v>
      </c>
      <c r="B2670" s="1">
        <v>57758</v>
      </c>
      <c r="C2670" s="3">
        <v>43996.355034722219</v>
      </c>
      <c r="D2670" s="1" t="s">
        <v>5340</v>
      </c>
      <c r="E2670" s="4" t="str">
        <f ca="1">IFERROR(__xludf.DUMMYFUNCTION("GOOGLETRANSLATE(A2670 , ""tr"" , ""en"")"),"Our tables of yesterday has faced us all with the fact that our tables protect the sequence of the epidemic. We are very strong and experienced in measures to step back. The day we started get a reassuring day for tomorrow. https://t.co/2q7umxtlhp")</f>
        <v>Our tables of yesterday has faced us all with the fact that our tables protect the sequence of the epidemic. We are very strong and experienced in measures to step back. The day we started get a reassuring day for tomorrow. https://t.co/2q7umxtlhp</v>
      </c>
    </row>
    <row r="2671" spans="1:5" ht="15.75" customHeight="1" x14ac:dyDescent="0.25">
      <c r="A2671" s="1" t="s">
        <v>5341</v>
      </c>
      <c r="B2671" s="1">
        <v>18930</v>
      </c>
      <c r="C2671" s="3">
        <v>43996.24417824074</v>
      </c>
      <c r="D2671" s="1" t="s">
        <v>5342</v>
      </c>
      <c r="E2671" s="4" t="str">
        <f ca="1">IFERROR(__xludf.DUMMYFUNCTION("GOOGLETRANSLATE(A2671 , ""tr"" , ""en"")"),"13 June, İrfan won the treasure and we will not be able to forget with the style and 33th anniversary of Master Cemil Meriç's death. The life passed between books. Enough to afford being blind. We are grateful to him for everything he wants us to see. We "&amp;"can see the greatness better today. https://t.co/z0xxtffftgj")</f>
        <v>13 June, İrfan won the treasure and we will not be able to forget with the style and 33th anniversary of Master Cemil Meriç's death. The life passed between books. Enough to afford being blind. We are grateful to him for everything he wants us to see. We can see the greatness better today. https://t.co/z0xxtffftgj</v>
      </c>
    </row>
    <row r="2672" spans="1:5" ht="15.75" customHeight="1" x14ac:dyDescent="0.25">
      <c r="A2672" s="1" t="s">
        <v>5343</v>
      </c>
      <c r="B2672" s="1">
        <v>18574</v>
      </c>
      <c r="C2672" s="3">
        <v>43995.964699074073</v>
      </c>
      <c r="D2672" s="1" t="s">
        <v>5344</v>
      </c>
      <c r="E2672" s="4" t="str">
        <f ca="1">IFERROR(__xludf.DUMMYFUNCTION("GOOGLETRANSLATE(A2672 , ""tr"" , ""en"")"),"In the third of our visits, our teacher Dr. We examined the first stage of the Okmeydanı city hospital, which we called Cemil Taşcıoğlu. The first stage starting to accept patient is 790 beds with 81 intense care. 27 Our operating room is active. Our new "&amp;"news is close. https://t.co/nIefxvqgu2")</f>
        <v>In the third of our visits, our teacher Dr. We examined the first stage of the Okmeydanı city hospital, which we called Cemil Taşcıoğlu. The first stage starting to accept patient is 790 beds with 81 intense care. 27 Our operating room is active. Our new news is close. https://t.co/nIefxvqgu2</v>
      </c>
    </row>
    <row r="2673" spans="1:5" ht="15.75" customHeight="1" x14ac:dyDescent="0.25">
      <c r="A2673" s="1" t="s">
        <v>5345</v>
      </c>
      <c r="B2673" s="1">
        <v>21107</v>
      </c>
      <c r="C2673" s="3">
        <v>43995.948981481481</v>
      </c>
      <c r="D2673" s="1" t="s">
        <v>5346</v>
      </c>
      <c r="E2673" s="4" t="str">
        <f ca="1">IFERROR(__xludf.DUMMYFUNCTION("GOOGLETRANSLATE(A2673 , ""tr"" , ""en"")"),"Our second visit was our city hospital in the attendee campus. Istanbul has been durable with earthquake insulators, a high-tech hospital. The 600 beds, 27 operating rooms at the hospital's first stage will soon be served. https://t.co/CC70ILC7NR")</f>
        <v>Our second visit was our city hospital in the attendee campus. Istanbul has been durable with earthquake insulators, a high-tech hospital. The 600 beds, 27 operating rooms at the hospital's first stage will soon be served. https://t.co/CC70ILC7NR</v>
      </c>
    </row>
    <row r="2674" spans="1:5" ht="15.75" customHeight="1" x14ac:dyDescent="0.25">
      <c r="A2674" s="1" t="s">
        <v>5347</v>
      </c>
      <c r="B2674" s="1">
        <v>64491</v>
      </c>
      <c r="C2674" s="3">
        <v>43995.857430555552</v>
      </c>
      <c r="D2674" s="1" t="s">
        <v>5348</v>
      </c>
      <c r="E2674" s="4" t="str">
        <f ca="1">IFERROR(__xludf.DUMMYFUNCTION("GOOGLETRANSLATE(A2674 , ""tr"" , ""en"")"),"The photo I share is up to date. We have visited today and only covID-19 patients were accepted. Dr. Feriha has been taken at the Estate Emergency Hospital. https://t.co/lccvou38dy")</f>
        <v>The photo I share is up to date. We have visited today and only covID-19 patients were accepted. Dr. Feriha has been taken at the Estate Emergency Hospital. https://t.co/lccvou38dy</v>
      </c>
    </row>
    <row r="2675" spans="1:5" ht="15.75" customHeight="1" x14ac:dyDescent="0.25">
      <c r="A2675" s="1" t="s">
        <v>5349</v>
      </c>
      <c r="B2675" s="1">
        <v>130802</v>
      </c>
      <c r="C2675" s="3">
        <v>43995.725856481484</v>
      </c>
      <c r="D2675" s="1" t="s">
        <v>5350</v>
      </c>
      <c r="E2675" s="4" t="str">
        <f ca="1">IFERROR(__xludf.DUMMYFUNCTION("GOOGLETRANSLATE(A2675 , ""tr"" , ""en"")"),"The increase in the number of cases warn those who do not meet the measures. Increasingly, all of us. https://t.co/rvlhe7786o https://t.co/0snqsJTIQJ")</f>
        <v>The increase in the number of cases warn those who do not meet the measures. Increasingly, all of us. https://t.co/rvlhe7786o https://t.co/0snqsJTIQJ</v>
      </c>
    </row>
    <row r="2676" spans="1:5" ht="15.75" customHeight="1" x14ac:dyDescent="0.25">
      <c r="A2676" s="1" t="s">
        <v>5351</v>
      </c>
      <c r="B2676" s="1">
        <v>25786</v>
      </c>
      <c r="C2676" s="3">
        <v>43995.641875000001</v>
      </c>
      <c r="D2676" s="1" t="s">
        <v>5352</v>
      </c>
      <c r="E2676" s="4" t="str">
        <f ca="1">IFERROR(__xludf.DUMMYFUNCTION("GOOGLETRANSLATE(A2676 , ""tr"" , ""en"")"),"I am in istanbul. Opened two weeks ago Prof. We visited our Feriha self-emergency hospital and our study friends. We have received information on our lying 105 patients. Our hospital only accepts suspects with coronavirus patients. We have new hospital vi"&amp;"sits in the order. https://t.co/es1l7laqmr")</f>
        <v>I am in istanbul. Opened two weeks ago Prof. We visited our Feriha self-emergency hospital and our study friends. We have received information on our lying 105 patients. Our hospital only accepts suspects with coronavirus patients. We have new hospital visits in the order. https://t.co/es1l7laqmr</v>
      </c>
    </row>
    <row r="2677" spans="1:5" ht="15.75" customHeight="1" x14ac:dyDescent="0.25">
      <c r="A2677" s="1" t="s">
        <v>5353</v>
      </c>
      <c r="B2677" s="1">
        <v>39036</v>
      </c>
      <c r="C2677" s="3">
        <v>43994.785312499997</v>
      </c>
      <c r="D2677" s="1" t="s">
        <v>5354</v>
      </c>
      <c r="E2677" s="4" t="str">
        <f ca="1">IFERROR(__xludf.DUMMYFUNCTION("GOOGLETRANSLATE(A2677 , ""tr"" , ""en"")"),"Leagues began from where it is scheduled. Matches are played in no audience. I wish the team on the screen, especially if they are in common places, especially if they are in common places. Masked, distance ... Let's watch the game according to the rule! "&amp;"https://t.co/tyI9v98o14")</f>
        <v>Leagues began from where it is scheduled. Matches are played in no audience. I wish the team on the screen, especially if they are in common places, especially if they are in common places. Masked, distance ... Let's watch the game according to the rule! https://t.co/tyI9v98o14</v>
      </c>
    </row>
    <row r="2678" spans="1:5" ht="15.75" customHeight="1" x14ac:dyDescent="0.25">
      <c r="A2678" s="1" t="s">
        <v>5355</v>
      </c>
      <c r="B2678" s="1">
        <v>89689</v>
      </c>
      <c r="C2678" s="3">
        <v>43994.710069444445</v>
      </c>
      <c r="D2678" s="1" t="s">
        <v>5356</v>
      </c>
      <c r="E2678" s="4" t="str">
        <f ca="1">IFERROR(__xludf.DUMMYFUNCTION("GOOGLETRANSLATE(A2678 , ""tr"" , ""en"")"),"Today's number of cases is 1.195. The number of our patients who have recovered yet is about 25 thousand. The increase in intensive care and intubate patients is at the limit of the expected increase. The propagation of the virus is due to faulty optimism"&amp;". Let's obey the mask, distance and cleaning rule. https://t.co/rvlhe7786o https://t.co/rteI0gjodd")</f>
        <v>Today's number of cases is 1.195. The number of our patients who have recovered yet is about 25 thousand. The increase in intensive care and intubate patients is at the limit of the expected increase. The propagation of the virus is due to faulty optimism. Let's obey the mask, distance and cleaning rule. https://t.co/rvlhe7786o https://t.co/rteI0gjodd</v>
      </c>
    </row>
    <row r="2679" spans="1:5" ht="15.75" customHeight="1" x14ac:dyDescent="0.25">
      <c r="A2679" s="1" t="s">
        <v>5357</v>
      </c>
      <c r="B2679" s="1">
        <v>53373</v>
      </c>
      <c r="C2679" s="3">
        <v>43994.480208333334</v>
      </c>
      <c r="D2679" s="1" t="s">
        <v>5358</v>
      </c>
      <c r="E2679" s="4" t="str">
        <f ca="1">IFERROR(__xludf.DUMMYFUNCTION("GOOGLETRANSLATE(A2679 , ""tr"" , ""en"")"),"The young elderly, the big little little little little little little is now out whenever you want. But the constraint has taken up, the summer is not overlooked. We also owe ourselves to our house. Let's take time to our home instead of staying more than "&amp;"enough to stay out. https://t.co/ukhjfljl0l")</f>
        <v>The young elderly, the big little little little little little little is now out whenever you want. But the constraint has taken up, the summer is not overlooked. We also owe ourselves to our house. Let's take time to our home instead of staying more than enough to stay out. https://t.co/ukhjfljl0l</v>
      </c>
    </row>
    <row r="2680" spans="1:5" ht="15.75" customHeight="1" x14ac:dyDescent="0.25">
      <c r="A2680" s="1" t="s">
        <v>5359</v>
      </c>
      <c r="B2680" s="1">
        <v>51694</v>
      </c>
      <c r="C2680" s="3">
        <v>43994.376944444448</v>
      </c>
      <c r="D2680" s="1" t="s">
        <v>5360</v>
      </c>
      <c r="E2680" s="4" t="str">
        <f ca="1">IFERROR(__xludf.DUMMYFUNCTION("GOOGLETRANSLATE(A2680 , ""tr"" , ""en"")"),"I think it was to be the hardest child. Their fears upset us. They miss the parks they were able to stay at home. They fitted their masks when they exit. Thank you to our children and parents. They may alert those who do not meet the rules when they go ou"&amp;"t. The slogans are ready :) ""Don't get close to me!"" https://t.co/vcjclq3dbp")</f>
        <v>I think it was to be the hardest child. Their fears upset us. They miss the parks they were able to stay at home. They fitted their masks when they exit. Thank you to our children and parents. They may alert those who do not meet the rules when they go out. The slogans are ready :) "Don't get close to me!" https://t.co/vcjclq3dbp</v>
      </c>
    </row>
    <row r="2681" spans="1:5" ht="15.75" customHeight="1" x14ac:dyDescent="0.25">
      <c r="A2681" s="1" t="s">
        <v>5361</v>
      </c>
      <c r="B2681" s="1">
        <v>14368</v>
      </c>
      <c r="C2681" s="3">
        <v>43994.363611111112</v>
      </c>
      <c r="D2681" s="1" t="s">
        <v>5362</v>
      </c>
      <c r="E2681" s="4" t="str">
        <f ca="1">IFERROR(__xludf.DUMMYFUNCTION("GOOGLETRANSLATE(A2681 , ""tr"" , ""en"")"),"Professed by their contributions to economics Dr. Sabri lost the forest life. Their colleagues are committed to him with high humanitarian qualifications as well as their leading work. I wish our teacher from Allah to the mercy, family and the science wor"&amp;"ld. https://t.co/2JI55ZT81W")</f>
        <v>Professed by their contributions to economics Dr. Sabri lost the forest life. Their colleagues are committed to him with high humanitarian qualifications as well as their leading work. I wish our teacher from Allah to the mercy, family and the science world. https://t.co/2JI55ZT81W</v>
      </c>
    </row>
    <row r="2682" spans="1:5" ht="15.75" customHeight="1" x14ac:dyDescent="0.25">
      <c r="A2682" s="1" t="s">
        <v>5363</v>
      </c>
      <c r="B2682" s="1">
        <v>168921</v>
      </c>
      <c r="C2682" s="3">
        <v>43993.868252314816</v>
      </c>
      <c r="D2682" s="1" t="s">
        <v>5364</v>
      </c>
      <c r="E2682" s="4" t="str">
        <f ca="1">IFERROR(__xludf.DUMMYFUNCTION("GOOGLETRANSLATE(A2682 , ""tr"" , ""en"")"),"Dangerous social distances: 149 cm, 148 cm, 147 cm, 146 cm, 145 cm, 144 cm, 143 cm, 142cm, 141 cm, 140 cm, 139 cm, 138 cm, 137 cm, 136 cm, 135 cm, 134 cm, 133 cm, 132 cm, 131 cm, 130 cm, 129 cm, 128 cm, 127 cm, 126 cm, 125 cm, 124 cm, 123 cm, 122 cm. The "&amp;"risk increases as distance decreases.")</f>
        <v>Dangerous social distances: 149 cm, 148 cm, 147 cm, 146 cm, 145 cm, 144 cm, 143 cm, 142cm, 141 cm, 140 cm, 139 cm, 138 cm, 137 cm, 136 cm, 135 cm, 134 cm, 133 cm, 132 cm, 131 cm, 130 cm, 129 cm, 128 cm, 127 cm, 126 cm, 125 cm, 124 cm, 123 cm, 122 cm. The risk increases as distance decreases.</v>
      </c>
    </row>
    <row r="2683" spans="1:5" ht="15.75" customHeight="1" x14ac:dyDescent="0.25">
      <c r="A2683" s="1" t="s">
        <v>5365</v>
      </c>
      <c r="B2683" s="1">
        <v>18546</v>
      </c>
      <c r="C2683" s="3">
        <v>43993.772743055553</v>
      </c>
      <c r="D2683" s="1" t="s">
        <v>5366</v>
      </c>
      <c r="E2683" s="4" t="str">
        <f ca="1">IFERROR(__xludf.DUMMYFUNCTION("GOOGLETRANSLATE(A2683 , ""tr"" , ""en"")"),"The Turkish Crescent is 152 years old. The first founders of June 11 1868 were out of the idealist physicians of the period. Hilal; Where there is a human pain, help call there again there was a reborn Turkish Redbird, 152 years stayed young for goodness."&amp;" Happy age! https://t.co/ox081pbymz")</f>
        <v>The Turkish Crescent is 152 years old. The first founders of June 11 1868 were out of the idealist physicians of the period. Hilal; Where there is a human pain, help call there again there was a reborn Turkish Redbird, 152 years stayed young for goodness. Happy age! https://t.co/ox081pbymz</v>
      </c>
    </row>
    <row r="2684" spans="1:5" ht="15.75" customHeight="1" x14ac:dyDescent="0.25">
      <c r="A2684" s="1" t="s">
        <v>5367</v>
      </c>
      <c r="B2684" s="1">
        <v>65956</v>
      </c>
      <c r="C2684" s="3">
        <v>43993.725162037037</v>
      </c>
      <c r="D2684" s="1" t="s">
        <v>5368</v>
      </c>
      <c r="E2684" s="4" t="str">
        <f ca="1">IFERROR(__xludf.DUMMYFUNCTION("GOOGLETRANSLATE(A2684 , ""tr"" , ""en"")"),"We have reached 2.5 million in the tests number. 85% of the cases ever healed. The newly diagnosed number of cases is close to each other with the new number of recovery cases. The virus takes the power from faulty optimism. Do not leave measures with the"&amp;" misconception of ""the effect of the virus. https://t.co/rvlhe7786o https://t.co/bcbgbrgpgp")</f>
        <v>We have reached 2.5 million in the tests number. 85% of the cases ever healed. The newly diagnosed number of cases is close to each other with the new number of recovery cases. The virus takes the power from faulty optimism. Do not leave measures with the misconception of "the effect of the virus. https://t.co/rvlhe7786o https://t.co/bcbgbrgpgp</v>
      </c>
    </row>
    <row r="2685" spans="1:5" ht="15.75" customHeight="1" x14ac:dyDescent="0.25">
      <c r="A2685" s="1" t="s">
        <v>5369</v>
      </c>
      <c r="B2685" s="1">
        <v>31906</v>
      </c>
      <c r="C2685" s="3">
        <v>43993.594583333332</v>
      </c>
      <c r="D2685" s="1" t="s">
        <v>5370</v>
      </c>
      <c r="E2685" s="4" t="str">
        <f ca="1">IFERROR(__xludf.DUMMYFUNCTION("GOOGLETRANSLATE(A2685 , ""tr"" , ""en"")"),"Our elders have stayed at home, wearing the mask outside and maintaining the social distance. They continue to show their size. Thank you. Let's be attentive toward them. We can beat the outbreak by complying with the rules. Thank you as well as those who"&amp;" do not meet the rules. https://t.co/74bnvf2AIF")</f>
        <v>Our elders have stayed at home, wearing the mask outside and maintaining the social distance. They continue to show their size. Thank you. Let's be attentive toward them. We can beat the outbreak by complying with the rules. Thank you as well as those who do not meet the rules. https://t.co/74bnvf2AIF</v>
      </c>
    </row>
    <row r="2686" spans="1:5" ht="15.75" customHeight="1" x14ac:dyDescent="0.25">
      <c r="A2686" s="1" t="s">
        <v>5371</v>
      </c>
      <c r="B2686" s="1">
        <v>41646</v>
      </c>
      <c r="C2686" s="3">
        <v>43992.965243055558</v>
      </c>
      <c r="D2686" s="1" t="s">
        <v>5372</v>
      </c>
      <c r="E2686" s="4" t="str">
        <f ca="1">IFERROR(__xludf.DUMMYFUNCTION("GOOGLETRANSLATE(A2686 , ""tr"" , ""en"")"),"My precious friend,
We had two new violent events. On the days in which health services are well known to what it means for humanity! The desired punishment of the judiciary cannot compensate the discomfort in conscience. Out of several exceptions, you re"&amp;"spect all of humanity. Get well soon.")</f>
        <v>My precious friend,
We had two new violent events. On the days in which health services are well known to what it means for humanity! The desired punishment of the judiciary cannot compensate the discomfort in conscience. Out of several exceptions, you respect all of humanity. Get well soon.</v>
      </c>
    </row>
    <row r="2687" spans="1:5" ht="15.75" customHeight="1" x14ac:dyDescent="0.25">
      <c r="A2687" s="1" t="s">
        <v>5373</v>
      </c>
      <c r="B2687" s="1">
        <v>37491</v>
      </c>
      <c r="C2687" s="3">
        <v>43992.917303240742</v>
      </c>
      <c r="D2687" s="1" t="s">
        <v>5374</v>
      </c>
      <c r="E2687" s="4" t="str">
        <f ca="1">IFERROR(__xludf.DUMMYFUNCTION("GOOGLETRANSLATE(A2687 , ""tr"" , ""en"")"),"Dear young people. It was not misdemeanor to be young in the epidemic period. The odds of spreading without knowing the virus led to stay at home. Now you have to be protected against our elders. Today's sample teenager, I think the teenager wearing the m"&amp;"ask is the young that protects the distance. It's my mind as a brother. https://t.co/n41a2mrkzt")</f>
        <v>Dear young people. It was not misdemeanor to be young in the epidemic period. The odds of spreading without knowing the virus led to stay at home. Now you have to be protected against our elders. Today's sample teenager, I think the teenager wearing the mask is the young that protects the distance. It's my mind as a brother. https://t.co/n41a2mrkzt</v>
      </c>
    </row>
    <row r="2688" spans="1:5" ht="15.75" customHeight="1" x14ac:dyDescent="0.25">
      <c r="A2688" s="1" t="s">
        <v>5375</v>
      </c>
      <c r="B2688" s="1">
        <v>17079</v>
      </c>
      <c r="C2688" s="3">
        <v>43992.908645833333</v>
      </c>
      <c r="D2688" s="1" t="s">
        <v>5376</v>
      </c>
      <c r="E2688" s="4" t="str">
        <f ca="1">IFERROR(__xludf.DUMMYFUNCTION("GOOGLETRANSLATE(A2688 , ""tr"" , ""en"")"),"My precious egrets. The freedom does not mean that the risk is eliminated. The risk continues with decreasing. You can use your free-time right in cautiously. I am at your time from you, you don't risk the other days at home. Please continue to show your "&amp;"size. https://t.co/cfdh3gdkuw")</f>
        <v>My precious egrets. The freedom does not mean that the risk is eliminated. The risk continues with decreasing. You can use your free-time right in cautiously. I am at your time from you, you don't risk the other days at home. Please continue to show your size. https://t.co/cfdh3gdkuw</v>
      </c>
    </row>
    <row r="2689" spans="1:5" ht="15.75" customHeight="1" x14ac:dyDescent="0.25">
      <c r="A2689" s="1" t="s">
        <v>5377</v>
      </c>
      <c r="B2689" s="1">
        <v>13318</v>
      </c>
      <c r="C2689" s="3">
        <v>43992.900011574071</v>
      </c>
      <c r="D2689" s="1" t="s">
        <v>5378</v>
      </c>
      <c r="E2689" s="4" t="str">
        <f ca="1">IFERROR(__xludf.DUMMYFUNCTION("GOOGLETRANSLATE(A2689 , ""tr"" , ""en"")"),"By complying with the principles of controlled social life, we are moving to the active fight days by complying with the principles of controlled social life with coronavirus. We now started to give the fight, homes and return to our roles in all areas of"&amp;" life. Our protective weapons are mask, distance and hand hygiene. https://t.co/l2voq9ekyt")</f>
        <v>By complying with the principles of controlled social life, we are moving to the active fight days by complying with the principles of controlled social life with coronavirus. We now started to give the fight, homes and return to our roles in all areas of life. Our protective weapons are mask, distance and hand hygiene. https://t.co/l2voq9ekyt</v>
      </c>
    </row>
    <row r="2690" spans="1:5" ht="15.75" customHeight="1" x14ac:dyDescent="0.25">
      <c r="A2690" s="1" t="s">
        <v>5379</v>
      </c>
      <c r="B2690" s="1">
        <v>18417</v>
      </c>
      <c r="C2690" s="3">
        <v>43992.89266203704</v>
      </c>
      <c r="D2690" s="1" t="s">
        <v>5380</v>
      </c>
      <c r="E2690" s="4" t="str">
        <f ca="1">IFERROR(__xludf.DUMMYFUNCTION("GOOGLETRANSLATE(A2690 , ""tr"" , ""en"")"),"The restrictions applied due to the outbreak were removed, with the belief that they will take full compliance with the measures. As our president stated, ""The root of the coronavirus is completely scraped, our lives will arrange our lives within the fra"&amp;"mework of the distance, cleanliness principles. https://t.co/rmnr5zqi0f")</f>
        <v>The restrictions applied due to the outbreak were removed, with the belief that they will take full compliance with the measures. As our president stated, "The root of the coronavirus is completely scraped, our lives will arrange our lives within the framework of the distance, cleanliness principles. https://t.co/rmnr5zqi0f</v>
      </c>
    </row>
    <row r="2691" spans="1:5" ht="15.75" customHeight="1" x14ac:dyDescent="0.25">
      <c r="A2691" s="1" t="s">
        <v>5381</v>
      </c>
      <c r="B2691" s="1">
        <v>15163</v>
      </c>
      <c r="C2691" s="3">
        <v>43992.738749999997</v>
      </c>
      <c r="D2691" s="1" t="s">
        <v>5382</v>
      </c>
      <c r="E2691" s="4" t="str">
        <f ca="1">IFERROR(__xludf.DUMMYFUNCTION("GOOGLETRANSLATE(A2691 , ""tr"" , ""en"")"),"DSO European Regional Director Dr. With Hans Kluge, we have made today in the interview, Turkey has taken care of the studies against the release of detailed data. The Kluge celebrating the success of our country, after removal of travel constraints, he a"&amp;"nnounced his first visit to Turkey. https://t.co/wmt4r4JI5D")</f>
        <v>DSO European Regional Director Dr. With Hans Kluge, we have made today in the interview, Turkey has taken care of the studies against the release of detailed data. The Kluge celebrating the success of our country, after removal of travel constraints, he announced his first visit to Turkey. https://t.co/wmt4r4JI5D</v>
      </c>
    </row>
    <row r="2692" spans="1:5" ht="15.75" customHeight="1" x14ac:dyDescent="0.25">
      <c r="A2692" s="1" t="s">
        <v>5383</v>
      </c>
      <c r="B2692" s="1">
        <v>58058</v>
      </c>
      <c r="C2692" s="3">
        <v>43992.710856481484</v>
      </c>
      <c r="D2692" s="1" t="s">
        <v>5384</v>
      </c>
      <c r="E2692" s="4" t="str">
        <f ca="1">IFERROR(__xludf.DUMMYFUNCTION("GOOGLETRANSLATE(A2692 , ""tr"" , ""en"")"),"The newly diagnosed number of patients is up to 40% of our new recovery patients. The mean age of the age is 36 in new cases, 71. In the passage of 71. New patients, the need for increasing intensive care is close to yesterday. The idea that the influence"&amp;" of the virus is decreased risky. Is the measure that is ""normal"". https://t.co/rvlhe7786o https://t.co/dhfvy9datb")</f>
        <v>The newly diagnosed number of patients is up to 40% of our new recovery patients. The mean age of the age is 36 in new cases, 71. In the passage of 71. New patients, the need for increasing intensive care is close to yesterday. The idea that the influence of the virus is decreased risky. Is the measure that is "normal". https://t.co/rvlhe7786o https://t.co/dhfvy9datb</v>
      </c>
    </row>
    <row r="2693" spans="1:5" ht="15.75" customHeight="1" x14ac:dyDescent="0.25">
      <c r="A2693" s="1" t="s">
        <v>5385</v>
      </c>
      <c r="B2693" s="1">
        <v>10963</v>
      </c>
      <c r="C2693" s="3">
        <v>43992.699131944442</v>
      </c>
      <c r="D2693" s="1" t="s">
        <v>5386</v>
      </c>
      <c r="E2693" s="4" t="str">
        <f ca="1">IFERROR(__xludf.DUMMYFUNCTION("GOOGLETRANSLATE(A2693 , ""tr"" , ""en"")"),"After our Science Board meeting, the latest developments on the coronavirus and the new measures we receive.
📍Public Ministry Bilkent Campus / Ankara
https://t.co/pudt4pgy5c")</f>
        <v>After our Science Board meeting, the latest developments on the coronavirus and the new measures we receive.
📍Public Ministry Bilkent Campus / Ankara
https://t.co/pudt4pgy5c</v>
      </c>
    </row>
    <row r="2694" spans="1:5" ht="15.75" customHeight="1" x14ac:dyDescent="0.25">
      <c r="A2694" s="1" t="s">
        <v>5387</v>
      </c>
      <c r="B2694" s="1">
        <v>39834</v>
      </c>
      <c r="C2694" s="3">
        <v>43992.694398148145</v>
      </c>
      <c r="D2694" s="1" t="s">
        <v>5388</v>
      </c>
      <c r="E2694" s="4" t="str">
        <f ca="1">IFERROR(__xludf.DUMMYFUNCTION("GOOGLETRANSLATE(A2694 , ""tr"" , ""en"")"),"COVID-19 directly effective drug, protective vaccine has not yet been found. But during the first period of the epidemic, science showed us the disease transmission path and the measures to be taken against us: mask, distance, hand hygiene. We have only m"&amp;"easures against disease without medicine. Please let's sleep. https://t.co/gtfzpvxn4z")</f>
        <v>COVID-19 directly effective drug, protective vaccine has not yet been found. But during the first period of the epidemic, science showed us the disease transmission path and the measures to be taken against us: mask, distance, hand hygiene. We have only measures against disease without medicine. Please let's sleep. https://t.co/gtfzpvxn4z</v>
      </c>
    </row>
    <row r="2695" spans="1:5" ht="15.75" customHeight="1" x14ac:dyDescent="0.25">
      <c r="A2695" s="1" t="s">
        <v>5389</v>
      </c>
      <c r="B2695" s="1">
        <v>28282</v>
      </c>
      <c r="C2695" s="3">
        <v>43991.827789351853</v>
      </c>
      <c r="D2695" s="1" t="s">
        <v>5390</v>
      </c>
      <c r="E2695" s="4" t="str">
        <f ca="1">IFERROR(__xludf.DUMMYFUNCTION("GOOGLETRANSLATE(A2695 , ""tr"" , ""en"")"),"Our president, precaution and new status evaluation revealed the decisions taken after the cabinet meeting. ""Our Coronavirus Musigator's Root is completely scraped in the framework of the Mask-Distance-Cleaning Principles until it is completely scraped, "&amp;"it has been limited to a large rate. https://t.co/lw0vuxkfspsp")</f>
        <v>Our president, precaution and new status evaluation revealed the decisions taken after the cabinet meeting. "Our Coronavirus Musigator's Root is completely scraped in the framework of the Mask-Distance-Cleaning Principles until it is completely scraped, it has been limited to a large rate. https://t.co/lw0vuxkfspsp</v>
      </c>
    </row>
    <row r="2696" spans="1:5" ht="15.75" customHeight="1" x14ac:dyDescent="0.25">
      <c r="A2696" s="1" t="s">
        <v>5391</v>
      </c>
      <c r="B2696" s="1">
        <v>79896</v>
      </c>
      <c r="C2696" s="3">
        <v>43991.717002314814</v>
      </c>
      <c r="D2696" s="1" t="s">
        <v>5392</v>
      </c>
      <c r="E2696" s="4" t="str">
        <f ca="1">IFERROR(__xludf.DUMMYFUNCTION("GOOGLETRANSLATE(A2696 , ""tr"" , ""en"")"),"We have as many as one-third of our patients recovering in the last 24 hours. Diagnosis has increased intensive care and respiratory support due to our patients deposited. There is no scientific data showing that the effect of the virus is weakened. Is th"&amp;"e measure that is ""normal"". https://t.co/rvlhe7786o https://t.co/kbs3mcpcwl")</f>
        <v>We have as many as one-third of our patients recovering in the last 24 hours. Diagnosis has increased intensive care and respiratory support due to our patients deposited. There is no scientific data showing that the effect of the virus is weakened. Is the measure that is "normal". https://t.co/rvlhe7786o https://t.co/kbs3mcpcwl</v>
      </c>
    </row>
    <row r="2697" spans="1:5" ht="15.75" customHeight="1" x14ac:dyDescent="0.25">
      <c r="A2697" s="1" t="s">
        <v>5393</v>
      </c>
      <c r="B2697" s="1">
        <v>123567</v>
      </c>
      <c r="C2697" s="3">
        <v>43991.645277777781</v>
      </c>
      <c r="D2697" s="1" t="s">
        <v>5394</v>
      </c>
      <c r="E2697" s="4" t="str">
        <f ca="1">IFERROR(__xludf.DUMMYFUNCTION("GOOGLETRANSLATE(A2697 , ""tr"" , ""en"")"),"I'm on the board of Ministers. What I say, depends on the sensations I will take from the outside. Is there an increase in mask + the moment at the social distance?")</f>
        <v>I'm on the board of Ministers. What I say, depends on the sensations I will take from the outside. Is there an increase in mask + the moment at the social distance?</v>
      </c>
    </row>
    <row r="2698" spans="1:5" ht="15.75" customHeight="1" x14ac:dyDescent="0.25">
      <c r="A2698" s="1" t="s">
        <v>5395</v>
      </c>
      <c r="B2698" s="1">
        <v>35960</v>
      </c>
      <c r="C2698" s="3">
        <v>43990.95925925926</v>
      </c>
      <c r="D2698" s="1" t="s">
        <v>5396</v>
      </c>
      <c r="E2698" s="4" t="str">
        <f ca="1">IFERROR(__xludf.DUMMYFUNCTION("GOOGLETRANSLATE(A2698 , ""tr"" , ""en"")"),"2 workers were martyrs as a result of PKK terrorist attack on Van Çatak. The injured 8 worker SBU Van training and research were treated in our hospital. The two are in intensive care. The condition of our 6 workers is good. I wish our martyrs than Allah "&amp;"mercy, our wounded healing. The pain of their families is our common pain. https://t.co/mwdk7oxjtr")</f>
        <v>2 workers were martyrs as a result of PKK terrorist attack on Van Çatak. The injured 8 worker SBU Van training and research were treated in our hospital. The two are in intensive care. The condition of our 6 workers is good. I wish our martyrs than Allah mercy, our wounded healing. The pain of their families is our common pain. https://t.co/mwdk7oxjtr</v>
      </c>
    </row>
    <row r="2699" spans="1:5" ht="15.75" customHeight="1" x14ac:dyDescent="0.25">
      <c r="A2699" s="1" t="s">
        <v>5397</v>
      </c>
      <c r="B2699" s="1">
        <v>15932</v>
      </c>
      <c r="C2699" s="3">
        <v>43990.923020833332</v>
      </c>
      <c r="D2699" s="1" t="s">
        <v>5398</v>
      </c>
      <c r="E2699" s="4" t="str">
        <f ca="1">IFERROR(__xludf.DUMMYFUNCTION("GOOGLETRANSLATE(A2699 , ""tr"" , ""en"")"),"We have made our first meeting with the Community Science Board. Sociology, psychiatric, history, economics, communication, public health in the second stage of the output struggle. We will benefit from the contributions of our expert scientists in the fi"&amp;"elds. We addressed new conditions and needs at the first meeting. https://t.co/pw7dvax9eo")</f>
        <v>We have made our first meeting with the Community Science Board. Sociology, psychiatric, history, economics, communication, public health in the second stage of the output struggle. We will benefit from the contributions of our expert scientists in the fields. We addressed new conditions and needs at the first meeting. https://t.co/pw7dvax9eo</v>
      </c>
    </row>
    <row r="2700" spans="1:5" ht="15.75" customHeight="1" x14ac:dyDescent="0.25">
      <c r="A2700" s="1" t="s">
        <v>5399</v>
      </c>
      <c r="B2700" s="1">
        <v>30213</v>
      </c>
      <c r="C2700" s="3">
        <v>43990.866087962961</v>
      </c>
      <c r="D2700" s="1" t="s">
        <v>5400</v>
      </c>
      <c r="E2700" s="4" t="str">
        <f ca="1">IFERROR(__xludf.DUMMYFUNCTION("GOOGLETRANSLATE(A2700 , ""tr"" , ""en"")"),"Summer has arrived. We are going to our village, town, or on vacation, including our elders. The head and end of the long road wants much attention. We should be masked against the crowd of boarding and inches. Omissions enlarge the bad probability. Let's"&amp;" not leave the measures we have ever received. https://t.co/8f1x85oijt")</f>
        <v>Summer has arrived. We are going to our village, town, or on vacation, including our elders. The head and end of the long road wants much attention. We should be masked against the crowd of boarding and inches. Omissions enlarge the bad probability. Let's not leave the measures we have ever received. https://t.co/8f1x85oijt</v>
      </c>
    </row>
    <row r="2701" spans="1:5" ht="15.75" customHeight="1" x14ac:dyDescent="0.25">
      <c r="A2701" s="1" t="s">
        <v>5401</v>
      </c>
      <c r="B2701" s="1">
        <v>42154</v>
      </c>
      <c r="C2701" s="3">
        <v>43990.836828703701</v>
      </c>
      <c r="D2701" s="1" t="s">
        <v>5402</v>
      </c>
      <c r="E2701" s="4" t="str">
        <f ca="1">IFERROR(__xludf.DUMMYFUNCTION("GOOGLETRANSLATE(A2701 , ""tr"" , ""en"")"),"Our majority complies with measures. Especially teens! For back-free success, let's adopt some small difficulties, in accordance with the old restrictions, in compliance, all together. We can beat the epidemic, mask and the social distance rule. Thank you"&amp;" as well as those who don't fit. https://t.co/pdxvecy3qx")</f>
        <v>Our majority complies with measures. Especially teens! For back-free success, let's adopt some small difficulties, in accordance with the old restrictions, in compliance, all together. We can beat the epidemic, mask and the social distance rule. Thank you as well as those who don't fit. https://t.co/pdxvecy3qx</v>
      </c>
    </row>
    <row r="2702" spans="1:5" ht="15.75" customHeight="1" x14ac:dyDescent="0.25">
      <c r="A2702" s="1" t="s">
        <v>5403</v>
      </c>
      <c r="B2702" s="1">
        <v>84805</v>
      </c>
      <c r="C2702" s="3">
        <v>43990.732175925928</v>
      </c>
      <c r="D2702" s="1" t="s">
        <v>5404</v>
      </c>
      <c r="E2702" s="4" t="str">
        <f ca="1">IFERROR(__xludf.DUMMYFUNCTION("GOOGLETRANSLATE(A2702 , ""tr"" , ""en"")"),"In the case number, there is an easy mobility to cut off the mask and the distance rule. In our healing patients, severe increases took place. Needed in respiratory support. Intensive care is the number of patients rising. If the measure decreases, the th"&amp;"reat will increase. https://t.co/rvlhe7786o https://t.co/uizyı4j6nr")</f>
        <v>In the case number, there is an easy mobility to cut off the mask and the distance rule. In our healing patients, severe increases took place. Needed in respiratory support. Intensive care is the number of patients rising. If the measure decreases, the threat will increase. https://t.co/rvlhe7786o https://t.co/uizyı4j6nr</v>
      </c>
    </row>
    <row r="2703" spans="1:5" ht="15.75" customHeight="1" x14ac:dyDescent="0.25">
      <c r="A2703" s="1" t="s">
        <v>5405</v>
      </c>
      <c r="B2703" s="1">
        <v>306034</v>
      </c>
      <c r="C2703" s="3">
        <v>43990.664988425924</v>
      </c>
      <c r="D2703" s="1" t="s">
        <v>5406</v>
      </c>
      <c r="E2703" s="4" t="str">
        <f ca="1">IFERROR(__xludf.DUMMYFUNCTION("GOOGLETRANSLATE(A2703 , ""tr"" , ""en"")"),"M e s a f e k u r a l I n a u y a l I m
The rule is unmodified")</f>
        <v>M e s a f e k u r a l I n a u y a l I m
The rule is unmodified</v>
      </c>
    </row>
    <row r="2704" spans="1:5" ht="15.75" customHeight="1" x14ac:dyDescent="0.25">
      <c r="A2704" s="1" t="s">
        <v>5407</v>
      </c>
      <c r="B2704" s="1">
        <v>46629</v>
      </c>
      <c r="C2704" s="3">
        <v>43989.886932870373</v>
      </c>
      <c r="D2704" s="1" t="s">
        <v>5408</v>
      </c>
      <c r="E2704" s="4" t="str">
        <f ca="1">IFERROR(__xludf.DUMMYFUNCTION("GOOGLETRANSLATE(A2704 , ""tr"" , ""en"")"),"On the 26 April in the Idlib, the tanker contracted in the conflict with terrorists, ismail Anayurt, has lost its life in the hospital. We did our best. On top of our head. We are our staff and we're welcome. I wish herself mercy from Allah. https://t.co/"&amp;"ogwpkpqld8")</f>
        <v>On the 26 April in the Idlib, the tanker contracted in the conflict with terrorists, ismail Anayurt, has lost its life in the hospital. We did our best. On top of our head. We are our staff and we're welcome. I wish herself mercy from Allah. https://t.co/ogwpkpqld8</v>
      </c>
    </row>
    <row r="2705" spans="1:5" ht="15.75" customHeight="1" x14ac:dyDescent="0.25">
      <c r="A2705" s="1" t="s">
        <v>5409</v>
      </c>
      <c r="B2705" s="1">
        <v>102523</v>
      </c>
      <c r="C2705" s="3">
        <v>43989.696759259263</v>
      </c>
      <c r="D2705" s="1" t="s">
        <v>5410</v>
      </c>
      <c r="E2705" s="4" t="str">
        <f ca="1">IFERROR(__xludf.DUMMYFUNCTION("GOOGLETRANSLATE(A2705 , ""tr"" , ""en"")"),"In the filliation studies, it was found that there is a virus in the 190 people in our province due to the visit to be ""past."" In our other province, 58 people were infected with viruses. Our new recovery patient count is 2.647. The threat is increasing"&amp;" as the measure decreases. https://t.co/rvlhe7786o https://t.co/ogmveputam")</f>
        <v>In the filliation studies, it was found that there is a virus in the 190 people in our province due to the visit to be "past." In our other province, 58 people were infected with viruses. Our new recovery patient count is 2.647. The threat is increasing as the measure decreases. https://t.co/rvlhe7786o https://t.co/ogmveputam</v>
      </c>
    </row>
    <row r="2706" spans="1:5" ht="15.75" customHeight="1" x14ac:dyDescent="0.25">
      <c r="A2706" s="1" t="s">
        <v>5411</v>
      </c>
      <c r="B2706" s="1">
        <v>36684</v>
      </c>
      <c r="C2706" s="3">
        <v>43989.664386574077</v>
      </c>
      <c r="D2706" s="1" t="s">
        <v>5412</v>
      </c>
      <c r="E2706" s="4" t="str">
        <f ca="1">IFERROR(__xludf.DUMMYFUNCTION("GOOGLETRANSLATE(A2706 , ""tr"" , ""en"")"),"Today is Cahit Zariğlu longing for Andık. The value is very much known, it was less read in my opinion. Is it pulled away from the crowd and are Okusak? https://t.co/4opfaqajgg")</f>
        <v>Today is Cahit Zariğlu longing for Andık. The value is very much known, it was less read in my opinion. Is it pulled away from the crowd and are Okusak? https://t.co/4opfaqajgg</v>
      </c>
    </row>
    <row r="2707" spans="1:5" ht="15.75" customHeight="1" x14ac:dyDescent="0.25">
      <c r="A2707" s="1" t="s">
        <v>5413</v>
      </c>
      <c r="B2707" s="1">
        <v>26515</v>
      </c>
      <c r="C2707" s="3">
        <v>43989.659317129626</v>
      </c>
      <c r="D2707" s="1" t="s">
        <v>5414</v>
      </c>
      <c r="E2707" s="4" t="str">
        <f ca="1">IFERROR(__xludf.DUMMYFUNCTION("GOOGLETRANSLATE(A2707 , ""tr"" , ""en"")"),"Over 65 years of age, the right, they are a bit tightening to the measures. Now there are travel rights depending on the permission: The return to the country began. I'd like it: it should be extremely cautious. While riding on the bus, it should not be i"&amp;"nvolved in the crowd when they landed. What esteem of the day lasting at home? https://t.co/cqfhexyst3")</f>
        <v>Over 65 years of age, the right, they are a bit tightening to the measures. Now there are travel rights depending on the permission: The return to the country began. I'd like it: it should be extremely cautious. While riding on the bus, it should not be involved in the crowd when they landed. What esteem of the day lasting at home? https://t.co/cqfhexyst3</v>
      </c>
    </row>
    <row r="2708" spans="1:5" ht="15.75" customHeight="1" x14ac:dyDescent="0.25">
      <c r="A2708" s="1" t="s">
        <v>5415</v>
      </c>
      <c r="B2708" s="1">
        <v>27946</v>
      </c>
      <c r="C2708" s="3">
        <v>43989.638032407405</v>
      </c>
      <c r="D2708" s="1" t="s">
        <v>5416</v>
      </c>
      <c r="E2708" s="4" t="str">
        <f ca="1">IFERROR(__xludf.DUMMYFUNCTION("GOOGLETRANSLATE(A2708 , ""tr"" , ""en"")"),"Many poets were a public gown of Abdurrahim Karakoç Aydin who loved with Mihriban, which cost our public music. When I tried to fill my cavity with poetry "", the poetry must have promised to be the name of everyone who gave the poet. We remember at the d"&amp;"eath year acres: ""Difficult memory of memory from separation"". https://t.co/gsmikl8ux6")</f>
        <v>Many poets were a public gown of Abdurrahim Karakoç Aydin who loved with Mihriban, which cost our public music. When I tried to fill my cavity with poetry ", the poetry must have promised to be the name of everyone who gave the poet. We remember at the death year acres: "Difficult memory of memory from separation". https://t.co/gsmikl8ux6</v>
      </c>
    </row>
    <row r="2709" spans="1:5" ht="15.75" customHeight="1" x14ac:dyDescent="0.25">
      <c r="A2709" s="1" t="s">
        <v>5417</v>
      </c>
      <c r="B2709" s="1">
        <v>40875</v>
      </c>
      <c r="C2709" s="3">
        <v>43989.604699074072</v>
      </c>
      <c r="D2709" s="1" t="s">
        <v>5418</v>
      </c>
      <c r="E2709" s="4" t="str">
        <f ca="1">IFERROR(__xludf.DUMMYFUNCTION("GOOGLETRANSLATE(A2709 , ""tr"" , ""en"")"),"Used coronavirus mask and gloves are risky as it can carry live viruses. Outside, to attach the new one, you do not throw the mask and gloves on the ground, throw it in the trash. Please do not allow the environment to pollute the environment while the ep"&amp;"idemic has influenced this. https://t.co/ajdyusutye")</f>
        <v>Used coronavirus mask and gloves are risky as it can carry live viruses. Outside, to attach the new one, you do not throw the mask and gloves on the ground, throw it in the trash. Please do not allow the environment to pollute the environment while the epidemic has influenced this. https://t.co/ajdyusutye</v>
      </c>
    </row>
    <row r="2710" spans="1:5" ht="15.75" customHeight="1" x14ac:dyDescent="0.25">
      <c r="A2710" s="1" t="s">
        <v>5419</v>
      </c>
      <c r="B2710" s="1">
        <v>201049</v>
      </c>
      <c r="C2710" s="3">
        <v>43989.460416666669</v>
      </c>
      <c r="D2710" s="1" t="s">
        <v>5420</v>
      </c>
      <c r="E2710" s="4" t="str">
        <f ca="1">IFERROR(__xludf.DUMMYFUNCTION("GOOGLETRANSLATE(A2710 , ""tr"" , ""en"")"),"Completed Sude lady. Comma is not placed between the connectors. Ours from the social distance passion :) The distance rule is complied with the distance + mask If the mask is inserted, you will come from the question (n). https://t.co/2yo1mzk0ob")</f>
        <v>Completed Sude lady. Comma is not placed between the connectors. Ours from the social distance passion :) The distance rule is complied with the distance + mask If the mask is inserted, you will come from the question (n). https://t.co/2yo1mzk0ob</v>
      </c>
    </row>
    <row r="2711" spans="1:5" ht="15.75" customHeight="1" x14ac:dyDescent="0.25">
      <c r="A2711" s="1" t="s">
        <v>5421</v>
      </c>
      <c r="B2711" s="1">
        <v>30465</v>
      </c>
      <c r="C2711" s="3">
        <v>43989.405069444445</v>
      </c>
      <c r="D2711" s="1" t="s">
        <v>5422</v>
      </c>
      <c r="E2711" s="4" t="str">
        <f ca="1">IFERROR(__xludf.DUMMYFUNCTION("GOOGLETRANSLATE(A2711 , ""tr"" , ""en"")"),"Today is the 33th anniversary of our cahit brother andphate. With his poetry, with his life we ​​had a ""sign child"" for new generations. He wrote seven beautiful men, one of them happened. Live begins: ""What a lot of pain!"" We are 47 years old with pa"&amp;"ncreatic cancer, we remember our poet. https://t.co/mggrwzaI5h")</f>
        <v>Today is the 33th anniversary of our cahit brother andphate. With his poetry, with his life we ​​had a "sign child" for new generations. He wrote seven beautiful men, one of them happened. Live begins: "What a lot of pain!" We are 47 years old with pancreatic cancer, we remember our poet. https://t.co/mggrwzaI5h</v>
      </c>
    </row>
    <row r="2712" spans="1:5" ht="15.75" customHeight="1" x14ac:dyDescent="0.25">
      <c r="A2712" s="1" t="s">
        <v>5423</v>
      </c>
      <c r="B2712" s="1">
        <v>83073</v>
      </c>
      <c r="C2712" s="3">
        <v>43989.029942129629</v>
      </c>
      <c r="D2712" s="1" t="s">
        <v>5424</v>
      </c>
      <c r="E2712" s="4" t="str">
        <f ca="1">IFERROR(__xludf.DUMMYFUNCTION("GOOGLETRANSLATE(A2712 , ""tr"" , ""en"")"),"""Our citizens have been treated that the final case has been treated, and our citizens to achieve the attack on the struggle behind the epidemic."" This news is more. Let's not make too much normal. Let's fit the mask + distance rule as fashion. https://"&amp;"t.co/maog7crwmh")</f>
        <v>"Our citizens have been treated that the final case has been treated, and our citizens to achieve the attack on the struggle behind the epidemic." This news is more. Let's not make too much normal. Let's fit the mask + distance rule as fashion. https://t.co/maog7crwmh</v>
      </c>
    </row>
    <row r="2713" spans="1:5" ht="15.75" customHeight="1" x14ac:dyDescent="0.25">
      <c r="A2713" s="1" t="s">
        <v>5425</v>
      </c>
      <c r="B2713" s="1">
        <v>105976</v>
      </c>
      <c r="C2713" s="3">
        <v>43988.826562499999</v>
      </c>
      <c r="D2713" s="1" t="s">
        <v>5426</v>
      </c>
      <c r="E2713" s="4" t="str">
        <f ca="1">IFERROR(__xludf.DUMMYFUNCTION("GOOGLETRANSLATE(A2713 , ""tr"" , ""en"")"),"According to the Galata Bridge today, it is not observed 1.5 m distance rules between fishermen. Don't know if the buckets are filled but the virus has broken off the bridge. Especially those with chronic disease are under maskless, distance risk. You don"&amp;"'t come! https://t.co/oyv0jazdrh")</f>
        <v>According to the Galata Bridge today, it is not observed 1.5 m distance rules between fishermen. Don't know if the buckets are filled but the virus has broken off the bridge. Especially those with chronic disease are under maskless, distance risk. You don't come! https://t.co/oyv0jazdrh</v>
      </c>
    </row>
    <row r="2714" spans="1:5" ht="15.75" customHeight="1" x14ac:dyDescent="0.25">
      <c r="A2714" s="1" t="s">
        <v>5427</v>
      </c>
      <c r="B2714" s="1">
        <v>27292</v>
      </c>
      <c r="C2714" s="3">
        <v>43988.784780092596</v>
      </c>
      <c r="D2714" s="1" t="s">
        <v>5428</v>
      </c>
      <c r="E2714" s="4" t="str">
        <f ca="1">IFERROR(__xludf.DUMMYFUNCTION("GOOGLETRANSLATE(A2714 , ""tr"" , ""en"")"),"We have changed our layout, including our epidemic, nutritional habits, routine exercises. We return to our own normal again. We are starting to solve accumulated issues at home. Thanks in advance for the help of our dietitians. Happy World Dieticians Day"&amp;". https://t.co/rmn8wggat")</f>
        <v>We have changed our layout, including our epidemic, nutritional habits, routine exercises. We return to our own normal again. We are starting to solve accumulated issues at home. Thanks in advance for the help of our dietitians. Happy World Dieticians Day. https://t.co/rmn8wggat</v>
      </c>
    </row>
    <row r="2715" spans="1:5" ht="15.75" customHeight="1" x14ac:dyDescent="0.25">
      <c r="A2715" s="1" t="s">
        <v>5429</v>
      </c>
      <c r="B2715" s="1">
        <v>69778</v>
      </c>
      <c r="C2715" s="3">
        <v>43988.752256944441</v>
      </c>
      <c r="D2715" s="1" t="s">
        <v>5430</v>
      </c>
      <c r="E2715" s="4" t="str">
        <f ca="1">IFERROR(__xludf.DUMMYFUNCTION("GOOGLETRANSLATE(A2715 , ""tr"" , ""en"")"),"80% of total cases recovered. Our new recovery patient count is close to 2,000. The majority of patients with positive diagnosis are disease lacking and at home. In our 81 provinces, the number of patients who lied to the COVD-19 yesterday 41. Better meas"&amp;"ure is better result. https://t.co/rvlhe7786o https://t.co/in14xdyfypyp")</f>
        <v>80% of total cases recovered. Our new recovery patient count is close to 2,000. The majority of patients with positive diagnosis are disease lacking and at home. In our 81 provinces, the number of patients who lied to the COVD-19 yesterday 41. Better measure is better result. https://t.co/rvlhe7786o https://t.co/in14xdyfypyp</v>
      </c>
    </row>
    <row r="2716" spans="1:5" ht="15.75" customHeight="1" x14ac:dyDescent="0.25">
      <c r="A2716" s="1" t="s">
        <v>5431</v>
      </c>
      <c r="B2716" s="1">
        <v>60349</v>
      </c>
      <c r="C2716" s="3">
        <v>43987.935347222221</v>
      </c>
      <c r="D2716" s="1" t="s">
        <v>5432</v>
      </c>
      <c r="E2716" s="4" t="str">
        <f ca="1">IFERROR(__xludf.DUMMYFUNCTION("GOOGLETRANSLATE(A2716 , ""tr"" , ""en"")"),"In the Pöturge district of the Malatty, there was an earthquake in violence. 20 homes in the seven neighborhoods were unfortunately severely damaged. Earthquake suffering is yet to understand the felt concern when it is so much. Get well soon. I hope we d"&amp;"on't even meet the lightest of the earthquake.")</f>
        <v>In the Pöturge district of the Malatty, there was an earthquake in violence. 20 homes in the seven neighborhoods were unfortunately severely damaged. Earthquake suffering is yet to understand the felt concern when it is so much. Get well soon. I hope we don't even meet the lightest of the earthquake.</v>
      </c>
    </row>
    <row r="2717" spans="1:5" ht="15.75" customHeight="1" x14ac:dyDescent="0.25">
      <c r="A2717" s="1" t="s">
        <v>5433</v>
      </c>
      <c r="B2717" s="1">
        <v>32604</v>
      </c>
      <c r="C2717" s="3">
        <v>43987.930081018516</v>
      </c>
      <c r="D2717" s="1" t="s">
        <v>5434</v>
      </c>
      <c r="E2717" s="4" t="str">
        <f ca="1">IFERROR(__xludf.DUMMYFUNCTION("GOOGLETRANSLATE(A2717 , ""tr"" , ""en"")"),"From his disclosure of our Ministry of National Defense, we learned that the armored ambulance tool is in the attack on the martyr of our military in the attack, and two weapons friends were injured. We are condolences to the family of our city to the mem"&amp;"bers of the armed forces. We are at the service of our injured. https://t.co/zuyoidglom")</f>
        <v>From his disclosure of our Ministry of National Defense, we learned that the armored ambulance tool is in the attack on the martyr of our military in the attack, and two weapons friends were injured. We are condolences to the family of our city to the members of the armed forces. We are at the service of our injured. https://t.co/zuyoidglom</v>
      </c>
    </row>
    <row r="2718" spans="1:5" ht="15.75" customHeight="1" x14ac:dyDescent="0.25">
      <c r="A2718" s="1" t="s">
        <v>5435</v>
      </c>
      <c r="B2718" s="1">
        <v>31488</v>
      </c>
      <c r="C2718" s="3">
        <v>43987.74291666667</v>
      </c>
      <c r="D2718" s="1" t="s">
        <v>5436</v>
      </c>
      <c r="E2718" s="4" t="str">
        <f ca="1">IFERROR(__xludf.DUMMYFUNCTION("GOOGLETRANSLATE(A2718 , ""tr"" , ""en"")"),"Coronavirus is transmitted by breathing. When you go out, you should wear a mask to avoid risk. Use the mask, in accordance with the rule, the mouth and the nose completely closes. But the mask alone is not enough. If you are closer than 1.5 meters in the"&amp;" viru, you are also masked in mask. https://t.co/OJIOS8ZIJC")</f>
        <v>Coronavirus is transmitted by breathing. When you go out, you should wear a mask to avoid risk. Use the mask, in accordance with the rule, the mouth and the nose completely closes. But the mask alone is not enough. If you are closer than 1.5 meters in the viru, you are also masked in mask. https://t.co/OJIOS8ZIJC</v>
      </c>
    </row>
    <row r="2719" spans="1:5" ht="15.75" customHeight="1" x14ac:dyDescent="0.25">
      <c r="A2719" s="1" t="s">
        <v>5437</v>
      </c>
      <c r="B2719" s="1">
        <v>75036</v>
      </c>
      <c r="C2719" s="3">
        <v>43987.681990740741</v>
      </c>
      <c r="D2719" s="1" t="s">
        <v>5438</v>
      </c>
      <c r="E2719" s="4" t="str">
        <f ca="1">IFERROR(__xludf.DUMMYFUNCTION("GOOGLETRANSLATE(A2719 , ""tr"" , ""en"")"),"There is an increase in the number of patients recovering. Increase will be accelerated. The important part of the cases involved in the total number of patients is the indicated cases in the monitoring process. Future days, to the hand hygiene; Mask + de"&amp;"pends on the distance rule. Better measure is better result. https://t.co/rvlhe7786o https://t.co/dxwuzcz68y")</f>
        <v>There is an increase in the number of patients recovering. Increase will be accelerated. The important part of the cases involved in the total number of patients is the indicated cases in the monitoring process. Future days, to the hand hygiene; Mask + depends on the distance rule. Better measure is better result. https://t.co/rvlhe7786o https://t.co/dxwuzcz68y</v>
      </c>
    </row>
    <row r="2720" spans="1:5" ht="15.75" customHeight="1" x14ac:dyDescent="0.25">
      <c r="A2720" s="1" t="s">
        <v>5439</v>
      </c>
      <c r="B2720" s="1">
        <v>15147</v>
      </c>
      <c r="C2720" s="3">
        <v>43987.620092592595</v>
      </c>
      <c r="D2720" s="1" t="s">
        <v>5440</v>
      </c>
      <c r="E2720" s="4" t="str">
        <f ca="1">IFERROR(__xludf.DUMMYFUNCTION("GOOGLETRANSLATE(A2720 , ""tr"" , ""en"")"),"EU member has made ONLINE meeting with ambassadors of 26 countries. We have made a useful presentation in our challenge of COVID-19. In addition, it is also addressing that full membership of the EU is the strategic goal of our country, we added Turkey to"&amp;" the EU in the health area in the field of health. https://t.co/mpt5j2djjv")</f>
        <v>EU member has made ONLINE meeting with ambassadors of 26 countries. We have made a useful presentation in our challenge of COVID-19. In addition, it is also addressing that full membership of the EU is the strategic goal of our country, we added Turkey to the EU in the health area in the field of health. https://t.co/mpt5j2djjv</v>
      </c>
    </row>
    <row r="2721" spans="1:5" ht="15.75" customHeight="1" x14ac:dyDescent="0.25">
      <c r="A2721" s="1" t="s">
        <v>5441</v>
      </c>
      <c r="B2721" s="1">
        <v>34422</v>
      </c>
      <c r="C2721" s="3">
        <v>43987.502939814818</v>
      </c>
      <c r="D2721" s="1" t="s">
        <v>5442</v>
      </c>
      <c r="E2721" s="4" t="str">
        <f ca="1">IFERROR(__xludf.DUMMYFUNCTION("GOOGLETRANSLATE(A2721 , ""tr"" , ""en"")"),"Used mask and gloves are risky as it can be contacted by the virus, which can carry live viruses. Don't throw mask and glove to a place randomly. Discard the trash. Today is the World Environment Day 5 June. While the epidemic has influenced the world, le"&amp;"t's not allow it to pollute the environment. https://t.co/8nm018jkpl")</f>
        <v>Used mask and gloves are risky as it can be contacted by the virus, which can carry live viruses. Don't throw mask and glove to a place randomly. Discard the trash. Today is the World Environment Day 5 June. While the epidemic has influenced the world, let's not allow it to pollute the environment. https://t.co/8nm018jkpl</v>
      </c>
    </row>
    <row r="2722" spans="1:5" ht="15.75" customHeight="1" x14ac:dyDescent="0.25">
      <c r="A2722" s="1" t="s">
        <v>5443</v>
      </c>
      <c r="B2722" s="1">
        <v>127774</v>
      </c>
      <c r="C2722" s="3">
        <v>43987.454976851855</v>
      </c>
      <c r="D2722" s="1" t="s">
        <v>5444</v>
      </c>
      <c r="E2722" s="4" t="str">
        <f ca="1">IFERROR(__xludf.DUMMYFUNCTION("GOOGLETRANSLATE(A2722 , ""tr"" , ""en"")"),"Dear young people. Get at the door of a foot, there are 5 o'clock at 14.00")</f>
        <v>Dear young people. Get at the door of a foot, there are 5 o'clock at 14.00</v>
      </c>
    </row>
    <row r="2723" spans="1:5" ht="15.75" customHeight="1" x14ac:dyDescent="0.25">
      <c r="A2723" s="1" t="s">
        <v>5445</v>
      </c>
      <c r="B2723" s="1">
        <v>52744</v>
      </c>
      <c r="C2723" s="3">
        <v>43987.438460648147</v>
      </c>
      <c r="D2723" s="1" t="s">
        <v>5446</v>
      </c>
      <c r="E2723" s="4" t="str">
        <f ca="1">IFERROR(__xludf.DUMMYFUNCTION("GOOGLETRANSLATE(A2723 , ""tr"" , ""en"")"),"Dear children, uncles and aunts kisses from your eyes for your patience. But remotely! A great day, have a great time between 14.00-20.00. Very lovely. I appreciate your dedication to fathers with mothers.")</f>
        <v>Dear children, uncles and aunts kisses from your eyes for your patience. But remotely! A great day, have a great time between 14.00-20.00. Very lovely. I appreciate your dedication to fathers with mothers.</v>
      </c>
    </row>
    <row r="2724" spans="1:5" ht="15.75" customHeight="1" x14ac:dyDescent="0.25">
      <c r="A2724" s="1" t="s">
        <v>5447</v>
      </c>
      <c r="B2724" s="1">
        <v>0</v>
      </c>
      <c r="C2724" s="3">
        <v>43987.377986111111</v>
      </c>
      <c r="D2724" s="1" t="s">
        <v>5448</v>
      </c>
      <c r="E2724" s="4" t="str">
        <f ca="1">IFERROR(__xludf.DUMMYFUNCTION("GOOGLETRANSLATE(A2724 , ""tr"" , ""en"")"),"RT @rterdogan: For this, as President, 15 as a weekend covering our 15 provinces, the decision to cancel the limitation of the curfew.")</f>
        <v>RT @rterdogan: For this, as President, 15 as a weekend covering our 15 provinces, the decision to cancel the limitation of the curfew.</v>
      </c>
    </row>
    <row r="2725" spans="1:5" ht="15.75" customHeight="1" x14ac:dyDescent="0.25">
      <c r="A2725" s="1" t="s">
        <v>5449</v>
      </c>
      <c r="B2725" s="1">
        <v>0</v>
      </c>
      <c r="C2725" s="3">
        <v>43987.377962962964</v>
      </c>
      <c r="D2725" s="1" t="s">
        <v>5450</v>
      </c>
      <c r="E2725" s="4" t="str">
        <f ca="1">IFERROR(__xludf.DUMMYFUNCTION("GOOGLETRANSLATE(A2725 , ""tr"" , ""en"")"),"RT @rterdogan: The only purpose is to avoid the spread of the disease and protect our citizens, the way to different social and economic results, a ...")</f>
        <v>RT @rterdogan: The only purpose is to avoid the spread of the disease and protect our citizens, the way to different social and economic results, a ...</v>
      </c>
    </row>
    <row r="2726" spans="1:5" ht="15.75" customHeight="1" x14ac:dyDescent="0.25">
      <c r="A2726" s="1" t="s">
        <v>5451</v>
      </c>
      <c r="B2726" s="1">
        <v>0</v>
      </c>
      <c r="C2726" s="3">
        <v>43987.377928240741</v>
      </c>
      <c r="D2726" s="1" t="s">
        <v>5452</v>
      </c>
      <c r="E2726" s="4" t="str">
        <f ca="1">IFERROR(__xludf.DUMMYFUNCTION("GOOGLETRANSLATE(A2726 , ""tr"" , ""en"")"),"RT @rterdogan: The proposal of our Ministry of Health and the interior of our Ministry of Interior in this weekend in 15 provinces in our 15 provinces ...")</f>
        <v>RT @rterdogan: The proposal of our Ministry of Health and the interior of our Ministry of Interior in this weekend in 15 provinces in our 15 provinces ...</v>
      </c>
    </row>
    <row r="2727" spans="1:5" ht="15.75" customHeight="1" x14ac:dyDescent="0.25">
      <c r="A2727" s="1" t="s">
        <v>5453</v>
      </c>
      <c r="B2727" s="1">
        <v>0</v>
      </c>
      <c r="C2727" s="3">
        <v>43987.377905092595</v>
      </c>
      <c r="D2727" s="1" t="s">
        <v>5454</v>
      </c>
      <c r="E2727" s="4" t="str">
        <f ca="1">IFERROR(__xludf.DUMMYFUNCTION("GOOGLETRANSLATE(A2727 , ""tr"" , ""en"")"),"RT @rterdogan: essentially, we did not consider to reuse this method after the most recent limitation. However, an intermediate is up to 700 stroke ...")</f>
        <v>RT @rterdogan: essentially, we did not consider to reuse this method after the most recent limitation. However, an intermediate is up to 700 stroke ...</v>
      </c>
    </row>
    <row r="2728" spans="1:5" ht="15.75" customHeight="1" x14ac:dyDescent="0.25">
      <c r="A2728" s="1" t="s">
        <v>5455</v>
      </c>
      <c r="B2728" s="1">
        <v>0</v>
      </c>
      <c r="C2728" s="3">
        <v>43987.377708333333</v>
      </c>
      <c r="D2728" s="1" t="s">
        <v>5456</v>
      </c>
      <c r="E2728" s="4" t="str">
        <f ca="1">IFERROR(__xludf.DUMMYFUNCTION("GOOGLETRANSLATE(A2728 , ""tr"" , ""en"")"),"RT @rterdogan: As it is known, we have implemented a large number of measures to protect our nation from Coronavirus. One of these…")</f>
        <v>RT @rterdogan: As it is known, we have implemented a large number of measures to protect our nation from Coronavirus. One of these…</v>
      </c>
    </row>
    <row r="2729" spans="1:5" ht="15.75" customHeight="1" x14ac:dyDescent="0.25">
      <c r="A2729" s="1" t="s">
        <v>5457</v>
      </c>
      <c r="B2729" s="1">
        <v>99609</v>
      </c>
      <c r="C2729" s="3">
        <v>43986.868263888886</v>
      </c>
      <c r="D2729" s="1" t="s">
        <v>5458</v>
      </c>
      <c r="E2729" s="4" t="str">
        <f ca="1">IFERROR(__xludf.DUMMYFUNCTION("GOOGLETRANSLATE(A2729 , ""tr"" , ""en"")"),"To achieve zero new case goal, let's be awake against the risk: virus is infected by mouth and nose. If the mouth or nose remains on, we wear a mask but we close our eye to the fact. Let's listen to warnings when the risk is so high. https://t.co/l6a5tqht"&amp;"pv")</f>
        <v>To achieve zero new case goal, let's be awake against the risk: virus is infected by mouth and nose. If the mouth or nose remains on, we wear a mask but we close our eye to the fact. Let's listen to warnings when the risk is so high. https://t.co/l6a5tqhtpv</v>
      </c>
    </row>
    <row r="2730" spans="1:5" ht="15.75" customHeight="1" x14ac:dyDescent="0.25">
      <c r="A2730" s="1" t="s">
        <v>5459</v>
      </c>
      <c r="B2730" s="1">
        <v>29416</v>
      </c>
      <c r="C2730" s="3">
        <v>43986.776122685187</v>
      </c>
      <c r="D2730" s="1" t="s">
        <v>5460</v>
      </c>
      <c r="E2730" s="4" t="str">
        <f ca="1">IFERROR(__xludf.DUMMYFUNCTION("GOOGLETRANSLATE(A2730 , ""tr"" , ""en"")"),"Security Officer Murat Dirt. Born in 1974, Istanbul. Bayrampasa has finished trade high school. Sisli Etfal was serving in education and research hospital. 1 child was his father. After the diagnosis of COVID-19, he lived 17 days. Would be recognized by t"&amp;"he trailer. Https://t.co/q3372a9dyv for the challenge")</f>
        <v>Security Officer Murat Dirt. Born in 1974, Istanbul. Bayrampasa has finished trade high school. Sisli Etfal was serving in education and research hospital. 1 child was his father. After the diagnosis of COVID-19, he lived 17 days. Would be recognized by the trailer. Https://t.co/q3372a9dyv for the challenge</v>
      </c>
    </row>
    <row r="2731" spans="1:5" ht="15.75" customHeight="1" x14ac:dyDescent="0.25">
      <c r="A2731" s="1" t="s">
        <v>5461</v>
      </c>
      <c r="B2731" s="1">
        <v>62465</v>
      </c>
      <c r="C2731" s="3">
        <v>43986.720960648148</v>
      </c>
      <c r="D2731" s="1" t="s">
        <v>5462</v>
      </c>
      <c r="E2731" s="4" t="str">
        <f ca="1">IFERROR(__xludf.DUMMYFUNCTION("GOOGLETRANSLATE(A2731 , ""tr"" , ""en"")"),"Our test count is over 54,000, including scanning purposes. Our patient number needs intensive care continues to decrease. Future days, to the hand hygiene; Mask + depends on both of us to comply with both of the social distance rule. Better measure is be"&amp;"tter result. https://t.co/rvlhe7786o https://t.co/fcfawu9q0y")</f>
        <v>Our test count is over 54,000, including scanning purposes. Our patient number needs intensive care continues to decrease. Future days, to the hand hygiene; Mask + depends on both of us to comply with both of the social distance rule. Better measure is better result. https://t.co/rvlhe7786o https://t.co/fcfawu9q0y</v>
      </c>
    </row>
    <row r="2732" spans="1:5" ht="15.75" customHeight="1" x14ac:dyDescent="0.25">
      <c r="A2732" s="1" t="s">
        <v>5463</v>
      </c>
      <c r="B2732" s="1">
        <v>24345</v>
      </c>
      <c r="C2732" s="3">
        <v>43986.650381944448</v>
      </c>
      <c r="D2732" s="1" t="s">
        <v>5464</v>
      </c>
      <c r="E2732" s="4" t="str">
        <f ca="1">IFERROR(__xludf.DUMMYFUNCTION("GOOGLETRANSLATE(A2732 , ""tr"" , ""en"")"),"The publication made in America about the Malıma medicine we use against COVID-19 is not reliable. The data is collected by a company, not by scientists. The study did not make infection experts. Side effect assertion is shabel. We have benefited from the"&amp;" drug. https://t.co/rjotehn9z2")</f>
        <v>The publication made in America about the Malıma medicine we use against COVID-19 is not reliable. The data is collected by a company, not by scientists. The study did not make infection experts. Side effect assertion is shabel. We have benefited from the drug. https://t.co/rjotehn9z2</v>
      </c>
    </row>
    <row r="2733" spans="1:5" ht="15.75" customHeight="1" x14ac:dyDescent="0.25">
      <c r="A2733" s="1" t="s">
        <v>5465</v>
      </c>
      <c r="B2733" s="1">
        <v>36399</v>
      </c>
      <c r="C2733" s="3">
        <v>43986.3905787037</v>
      </c>
      <c r="D2733" s="1" t="s">
        <v>5466</v>
      </c>
      <c r="E2733" s="4" t="str">
        <f ca="1">IFERROR(__xludf.DUMMYFUNCTION("GOOGLETRANSLATE(A2733 , ""tr"" , ""en"")"),"The fact that the number of cases is close to March today is great. 23% of the cases of March had to be hospitalized. 2.31% of cases are hospitalized today. We do not have a patient density of service, intensive care and intubation. Early diagnosis and in"&amp;"novations in treatment have well results. https://t.co/frtmfsst0w")</f>
        <v>The fact that the number of cases is close to March today is great. 23% of the cases of March had to be hospitalized. 2.31% of cases are hospitalized today. We do not have a patient density of service, intensive care and intubation. Early diagnosis and innovations in treatment have well results. https://t.co/frtmfsst0w</v>
      </c>
    </row>
    <row r="2734" spans="1:5" ht="15.75" customHeight="1" x14ac:dyDescent="0.25">
      <c r="A2734" s="1" t="s">
        <v>5467</v>
      </c>
      <c r="B2734" s="1">
        <v>18992</v>
      </c>
      <c r="C2734" s="3">
        <v>43985.883368055554</v>
      </c>
      <c r="D2734" s="1" t="s">
        <v>5468</v>
      </c>
      <c r="E2734" s="4" t="str">
        <f ca="1">IFERROR(__xludf.DUMMYFUNCTION("GOOGLETRANSLATE(A2734 , ""tr"" , ""en"")"),"The global epidemic did not lead to people to close home. To the production, trade, economy, impact to education. Following the measures does not mean to protect our health alone. It means that the work of work to increase the welfare of our country is to"&amp;" open the way of businesses. https://t.co/m2ytntjtpg")</f>
        <v>The global epidemic did not lead to people to close home. To the production, trade, economy, impact to education. Following the measures does not mean to protect our health alone. It means that the work of work to increase the welfare of our country is to open the way of businesses. https://t.co/m2ytntjtpg</v>
      </c>
    </row>
    <row r="2735" spans="1:5" ht="15.75" customHeight="1" x14ac:dyDescent="0.25">
      <c r="A2735" s="1" t="s">
        <v>5469</v>
      </c>
      <c r="B2735" s="1">
        <v>20493</v>
      </c>
      <c r="C2735" s="3">
        <v>43985.833090277774</v>
      </c>
      <c r="D2735" s="1" t="s">
        <v>5470</v>
      </c>
      <c r="E2735" s="4" t="str">
        <f ca="1">IFERROR(__xludf.DUMMYFUNCTION("GOOGLETRANSLATE(A2735 , ""tr"" , ""en"")"),"Mutual implementation of measures is essential. Treat the breach of the mask and distance rule, treat the social distance beyond the social distance. Disconnect the job places respecting the community health, who do not respect the community health. Make "&amp;"your consent, show your appreciation. https://t.co/qpccgh16m6")</f>
        <v>Mutual implementation of measures is essential. Treat the breach of the mask and distance rule, treat the social distance beyond the social distance. Disconnect the job places respecting the community health, who do not respect the community health. Make your consent, show your appreciation. https://t.co/qpccgh16m6</v>
      </c>
    </row>
    <row r="2736" spans="1:5" ht="15.75" customHeight="1" x14ac:dyDescent="0.25">
      <c r="A2736" s="1" t="s">
        <v>5471</v>
      </c>
      <c r="B2736" s="1">
        <v>26123</v>
      </c>
      <c r="C2736" s="3">
        <v>43985.805879629632</v>
      </c>
      <c r="D2736" s="1" t="s">
        <v>5472</v>
      </c>
      <c r="E2736" s="4" t="str">
        <f ca="1">IFERROR(__xludf.DUMMYFUNCTION("GOOGLETRANSLATE(A2736 , ""tr"" , ""en"")"),"Todays have three unique difficulties. The first challenge is the misconception that the epidemic ends. The second is to forget the severity of the disease by relying on success. The third is that the risk group is loosening the measures. We must not forg"&amp;"et that we are not turning to normal conditions. https://t.co/ibvifzuyjo")</f>
        <v>Todays have three unique difficulties. The first challenge is the misconception that the epidemic ends. The second is to forget the severity of the disease by relying on success. The third is that the risk group is loosening the measures. We must not forget that we are not turning to normal conditions. https://t.co/ibvifzuyjo</v>
      </c>
    </row>
    <row r="2737" spans="1:5" ht="15.75" customHeight="1" x14ac:dyDescent="0.25">
      <c r="A2737" s="1" t="s">
        <v>5473</v>
      </c>
      <c r="B2737" s="1">
        <v>18233</v>
      </c>
      <c r="C2737" s="3">
        <v>43985.794074074074</v>
      </c>
      <c r="D2737" s="1" t="s">
        <v>5474</v>
      </c>
      <c r="E2737" s="4" t="str">
        <f ca="1">IFERROR(__xludf.DUMMYFUNCTION("GOOGLETRANSLATE(A2737 , ""tr"" , ""en"")"),"We still have responsibility to our biggeries, young people and children in limited hours. This group is 30 million of our population. Especially the conditions that our elderly will be restricted to the street, we will provide us with the measures we wil"&amp;"l fit. https://t.co/vcywxr4hrt")</f>
        <v>We still have responsibility to our biggeries, young people and children in limited hours. This group is 30 million of our population. Especially the conditions that our elderly will be restricted to the street, we will provide us with the measures we will fit. https://t.co/vcywxr4hrt</v>
      </c>
    </row>
    <row r="2738" spans="1:5" ht="15.75" customHeight="1" x14ac:dyDescent="0.25">
      <c r="A2738" s="1" t="s">
        <v>5475</v>
      </c>
      <c r="B2738" s="1">
        <v>77622</v>
      </c>
      <c r="C2738" s="3">
        <v>43985.719583333332</v>
      </c>
      <c r="D2738" s="1" t="s">
        <v>5476</v>
      </c>
      <c r="E2738" s="4" t="str">
        <f ca="1">IFERROR(__xludf.DUMMYFUNCTION("GOOGLETRANSLATE(A2738 , ""tr"" , ""en"")"),"The intensive care patient with 1 month ago today is 57% of our patients with 57% of the 766 patients with a number of 66% and daily cases decreased by 48%. According to the outcome of the 52 thousand tests, today, we will accelerate this decline in the m"&amp;"easures of our new case number 867. https://t.co/rvlhe7786o https://t.co/hqypvsbbl2")</f>
        <v>The intensive care patient with 1 month ago today is 57% of our patients with 57% of the 766 patients with a number of 66% and daily cases decreased by 48%. According to the outcome of the 52 thousand tests, today, we will accelerate this decline in the measures of our new case number 867. https://t.co/rvlhe7786o https://t.co/hqypvsbbl2</v>
      </c>
    </row>
    <row r="2739" spans="1:5" ht="15.75" customHeight="1" x14ac:dyDescent="0.25">
      <c r="A2739" s="1" t="s">
        <v>5477</v>
      </c>
      <c r="B2739" s="1">
        <v>11970</v>
      </c>
      <c r="C2739" s="3">
        <v>43985.70894675926</v>
      </c>
      <c r="D2739" s="1" t="s">
        <v>5478</v>
      </c>
      <c r="E2739" s="4" t="str">
        <f ca="1">IFERROR(__xludf.DUMMYFUNCTION("GOOGLETRANSLATE(A2739 , ""tr"" , ""en"")"),"After our Science Board meeting, the latest developments on the coronavirus and the new measures we receive.
📍Public Ministry Bilkent Campus / Ankara
https://t.co/jnmqiIfres")</f>
        <v>After our Science Board meeting, the latest developments on the coronavirus and the new measures we receive.
📍Public Ministry Bilkent Campus / Ankara
https://t.co/jnmqiIfres</v>
      </c>
    </row>
    <row r="2740" spans="1:5" ht="15.75" customHeight="1" x14ac:dyDescent="0.25">
      <c r="A2740" s="1" t="s">
        <v>5479</v>
      </c>
      <c r="B2740" s="1">
        <v>44664</v>
      </c>
      <c r="C2740" s="3">
        <v>43985.525810185187</v>
      </c>
      <c r="D2740" s="1" t="s">
        <v>5480</v>
      </c>
      <c r="E2740" s="4" t="str">
        <f ca="1">IFERROR(__xludf.DUMMYFUNCTION("GOOGLETRANSLATE(A2740 , ""tr"" , ""en"")"),"He told the Anatolian woman who participated in the National Struggle, told the girl who is burning ash in Hiroshima. Angina pectoris was a tongue that can be used in the naturalness of ""heartache"" in the poem. A sycamore tree under the turkish's breast"&amp;": We respect the Nâzem Hikmet. https://t.co/3qp53aag59")</f>
        <v>He told the Anatolian woman who participated in the National Struggle, told the girl who is burning ash in Hiroshima. Angina pectoris was a tongue that can be used in the naturalness of "heartache" in the poem. A sycamore tree under the turkish's breast: We respect the Nâzem Hikmet. https://t.co/3qp53aag59</v>
      </c>
    </row>
    <row r="2741" spans="1:5" ht="15.75" customHeight="1" x14ac:dyDescent="0.25">
      <c r="A2741" s="1" t="s">
        <v>5481</v>
      </c>
      <c r="B2741" s="1">
        <v>20850</v>
      </c>
      <c r="C2741" s="3">
        <v>43984.841527777775</v>
      </c>
      <c r="D2741" s="1" t="s">
        <v>5482</v>
      </c>
      <c r="E2741" s="4" t="str">
        <f ca="1">IFERROR(__xludf.DUMMYFUNCTION("GOOGLETRANSLATE(A2741 , ""tr"" , ""en"")"),"Our Ministry Depending on Turkey's medical and medical device institution, human drugs were accepted with the vote of the International Compliance Council Membership. In the world's drug development and production processes, we will play an active role wi"&amp;"th the relevant organizations of America (FDA) and the European Union (EMA). https://t.co/czdsrpw23i")</f>
        <v>Our Ministry Depending on Turkey's medical and medical device institution, human drugs were accepted with the vote of the International Compliance Council Membership. In the world's drug development and production processes, we will play an active role with the relevant organizations of America (FDA) and the European Union (EMA). https://t.co/czdsrpw23i</v>
      </c>
    </row>
    <row r="2742" spans="1:5" ht="15.75" customHeight="1" x14ac:dyDescent="0.25">
      <c r="A2742" s="1" t="s">
        <v>5483</v>
      </c>
      <c r="B2742" s="1">
        <v>17453</v>
      </c>
      <c r="C2742" s="3">
        <v>43984.830324074072</v>
      </c>
      <c r="D2742" s="1" t="s">
        <v>5484</v>
      </c>
      <c r="E2742" s="4" t="str">
        <f ca="1">IFERROR(__xludf.DUMMYFUNCTION("GOOGLETRANSLATE(A2742 , ""tr"" , ""en"")"),"The Founding Member of the Welfare Party in the post-impact period, the first general head of the Welfare Party in the post-impact period; Erbakan's close friend Ahmet Tekdal has lost his life in the hospital it sees. We believe that he has gained the cas"&amp;"e of fighting the sake of May Allah mercy. https://t.co/2nv2kwq2wd")</f>
        <v>The Founding Member of the Welfare Party in the post-impact period, the first general head of the Welfare Party in the post-impact period; Erbakan's close friend Ahmet Tekdal has lost his life in the hospital it sees. We believe that he has gained the case of fighting the sake of May Allah mercy. https://t.co/2nv2kwq2wd</v>
      </c>
    </row>
    <row r="2743" spans="1:5" ht="15.75" customHeight="1" x14ac:dyDescent="0.25">
      <c r="A2743" s="1" t="s">
        <v>5485</v>
      </c>
      <c r="B2743" s="1">
        <v>39576</v>
      </c>
      <c r="C2743" s="3">
        <v>43984.81354166667</v>
      </c>
      <c r="D2743" s="1" t="s">
        <v>5486</v>
      </c>
      <c r="E2743" s="4" t="str">
        <f ca="1">IFERROR(__xludf.DUMMYFUNCTION("GOOGLETRANSLATE(A2743 , ""tr"" , ""en"")"),"Unlike global departure against COVID-19, we have exceeded the hardest days with strict measures. This is so important after this. Let's not forget that the risk is going on. Our daily new case count is around 1,000. The epidemic has not ended. Turkish: I"&amp;"f we do not comply with the measures we can return to the head. https://t.co/oyz7z9gb9m")</f>
        <v>Unlike global departure against COVID-19, we have exceeded the hardest days with strict measures. This is so important after this. Let's not forget that the risk is going on. Our daily new case count is around 1,000. The epidemic has not ended. Turkish: If we do not comply with the measures we can return to the head. https://t.co/oyz7z9gb9m</v>
      </c>
    </row>
    <row r="2744" spans="1:5" ht="15.75" customHeight="1" x14ac:dyDescent="0.25">
      <c r="A2744" s="1" t="s">
        <v>5487</v>
      </c>
      <c r="B2744" s="1">
        <v>22928</v>
      </c>
      <c r="C2744" s="3">
        <v>43984.761770833335</v>
      </c>
      <c r="D2744" s="1" t="s">
        <v>5488</v>
      </c>
      <c r="E2744" s="4" t="str">
        <f ca="1">IFERROR(__xludf.DUMMYFUNCTION("GOOGLETRANSLATE(A2744 , ""tr"" , ""en"")"),"RUSSIA HEALTH MINISTRY CAURS. We've made a call with Mikhail Murashko. Dr. Murashko stated that the treatment of the treatment we applied against COVID-19. In the interview, we decided to work together for the vaccines and medicine connected to our minist"&amp;"ries. https://t.co/zkmozamzmw")</f>
        <v>RUSSIA HEALTH MINISTRY CAURS. We've made a call with Mikhail Murashko. Dr. Murashko stated that the treatment of the treatment we applied against COVID-19. In the interview, we decided to work together for the vaccines and medicine connected to our ministries. https://t.co/zkmozamzmw</v>
      </c>
    </row>
    <row r="2745" spans="1:5" ht="15.75" customHeight="1" x14ac:dyDescent="0.25">
      <c r="A2745" s="1" t="s">
        <v>5489</v>
      </c>
      <c r="B2745" s="1">
        <v>78860</v>
      </c>
      <c r="C2745" s="3">
        <v>43984.708495370367</v>
      </c>
      <c r="D2745" s="1" t="s">
        <v>5490</v>
      </c>
      <c r="E2745" s="4" t="str">
        <f ca="1">IFERROR(__xludf.DUMMYFUNCTION("GOOGLETRANSLATE(A2745 , ""tr"" , ""en"")"),"Our total test count has passed 2.1 million. Our healing patient count is 130 thousand. Our patient number needs intensive care is running out. Future days, to the hand hygiene; Mask + depends on both of us to comply with both of the social distance rule."&amp;" Better measure is better result. https://t.co/rvlhe7786o https://t.co/quxuvoxzvz")</f>
        <v>Our total test count has passed 2.1 million. Our healing patient count is 130 thousand. Our patient number needs intensive care is running out. Future days, to the hand hygiene; Mask + depends on both of us to comply with both of the social distance rule. Better measure is better result. https://t.co/rvlhe7786o https://t.co/quxuvoxzvz</v>
      </c>
    </row>
    <row r="2746" spans="1:5" ht="15.75" customHeight="1" x14ac:dyDescent="0.25">
      <c r="A2746" s="1" t="s">
        <v>5491</v>
      </c>
      <c r="B2746" s="1">
        <v>103523</v>
      </c>
      <c r="C2746" s="3">
        <v>43984.472881944443</v>
      </c>
      <c r="D2746" s="1" t="s">
        <v>5492</v>
      </c>
      <c r="E2746" s="4" t="str">
        <f ca="1">IFERROR(__xludf.DUMMYFUNCTION("GOOGLETRANSLATE(A2746 , ""tr"" , ""en"")"),"The relief of the curfew, don't mean everything is returning to normal. If you do not secure yourself against the virus with the measures you will not know the result you will encounter. TURKISH: A coronavirus patient is in the intensive care that they li"&amp;"ve in Chinese are the foreigner. https://t.co/3h5d8rpdbl")</f>
        <v>The relief of the curfew, don't mean everything is returning to normal. If you do not secure yourself against the virus with the measures you will not know the result you will encounter. TURKISH: A coronavirus patient is in the intensive care that they live in Chinese are the foreigner. https://t.co/3h5d8rpdbl</v>
      </c>
    </row>
    <row r="2747" spans="1:5" ht="15.75" customHeight="1" x14ac:dyDescent="0.25">
      <c r="A2747" s="1" t="s">
        <v>5493</v>
      </c>
      <c r="B2747" s="1">
        <v>45634</v>
      </c>
      <c r="C2747" s="3">
        <v>43984.419363425928</v>
      </c>
      <c r="D2747" s="1" t="s">
        <v>5494</v>
      </c>
      <c r="E2747" s="4" t="str">
        <f ca="1">IFERROR(__xludf.DUMMYFUNCTION("GOOGLETRANSLATE(A2747 , ""tr"" , ""en"")"),"Our Ministry and Public Employee were extended to 8 weeks with our President in the pregnancy permit of all the ladies. The administrative leave will start from 24th week of pregnancy instead of week 32. If a baby to the world is to come, the waters who r"&amp;"un away should stop. Or should be done by someone else. https://t.co/t1dyl4d03b")</f>
        <v>Our Ministry and Public Employee were extended to 8 weeks with our President in the pregnancy permit of all the ladies. The administrative leave will start from 24th week of pregnancy instead of week 32. If a baby to the world is to come, the waters who run away should stop. Or should be done by someone else. https://t.co/t1dyl4d03b</v>
      </c>
    </row>
    <row r="2748" spans="1:5" ht="15.75" customHeight="1" x14ac:dyDescent="0.25">
      <c r="A2748" s="1" t="s">
        <v>5495</v>
      </c>
      <c r="B2748" s="1">
        <v>22219</v>
      </c>
      <c r="C2748" s="3">
        <v>43983.854675925926</v>
      </c>
      <c r="D2748" s="1" t="s">
        <v>5496</v>
      </c>
      <c r="E2748" s="4" t="str">
        <f ca="1">IFERROR(__xludf.DUMMYFUNCTION("GOOGLETRANSLATE(A2748 , ""tr"" , ""en"")"),"To whom does wearing the mask? We are all responsible for the fight against the coronavirus. We can't do our face without mask if it turns off our smile. Let us make us guy while stretching up ready outbreak. Masked, social distance; Let's be a little mor"&amp;"e patience against risk. https://t.co/jpqyem38gf")</f>
        <v>To whom does wearing the mask? We are all responsible for the fight against the coronavirus. We can't do our face without mask if it turns off our smile. Let us make us guy while stretching up ready outbreak. Masked, social distance; Let's be a little more patience against risk. https://t.co/jpqyem38gf</v>
      </c>
    </row>
    <row r="2749" spans="1:5" ht="15.75" customHeight="1" x14ac:dyDescent="0.25">
      <c r="A2749" s="1" t="s">
        <v>5497</v>
      </c>
      <c r="B2749" s="1">
        <v>27378</v>
      </c>
      <c r="C2749" s="3">
        <v>43983.848055555558</v>
      </c>
      <c r="D2749" s="1" t="s">
        <v>5498</v>
      </c>
      <c r="E2749" s="4" t="str">
        <f ca="1">IFERROR(__xludf.DUMMYFUNCTION("GOOGLETRANSLATE(A2749 , ""tr"" , ""en"")"),"To whom does wearing the mask? We are all responsible for the fight against the coronavirus. We can't do our face without mask if it turns off our smile. Let us make us guy while stretching up ready outbreak. Masked, social distance; Let's be a little mor"&amp;"e patience against risk. https://t.co/nqb94afrj7")</f>
        <v>To whom does wearing the mask? We are all responsible for the fight against the coronavirus. We can't do our face without mask if it turns off our smile. Let us make us guy while stretching up ready outbreak. Masked, social distance; Let's be a little more patience against risk. https://t.co/nqb94afrj7</v>
      </c>
    </row>
    <row r="2750" spans="1:5" ht="15.75" customHeight="1" x14ac:dyDescent="0.25">
      <c r="A2750" s="1" t="s">
        <v>5499</v>
      </c>
      <c r="B2750" s="1">
        <v>53464</v>
      </c>
      <c r="C2750" s="3">
        <v>43983.792291666665</v>
      </c>
      <c r="D2750" s="1" t="s">
        <v>5500</v>
      </c>
      <c r="E2750" s="4" t="str">
        <f ca="1">IFERROR(__xludf.DUMMYFUNCTION("GOOGLETRANSLATE(A2750 , ""tr"" , ""en"")"),"The nurse is bruv in bird. Born in 1985. Two children were their mother. Manisa and Bandirma Public Health Centers served in Bandirma State Hospital. Had beaten cancer in 2015. The COVID-19 was caught during his task. Https://t.co/laxona6edr for the chall"&amp;"enge")</f>
        <v>The nurse is bruv in bird. Born in 1985. Two children were their mother. Manisa and Bandirma Public Health Centers served in Bandirma State Hospital. Had beaten cancer in 2015. The COVID-19 was caught during his task. Https://t.co/laxona6edr for the challenge</v>
      </c>
    </row>
    <row r="2751" spans="1:5" ht="15.75" customHeight="1" x14ac:dyDescent="0.25">
      <c r="A2751" s="1" t="s">
        <v>5501</v>
      </c>
      <c r="B2751" s="1">
        <v>74917</v>
      </c>
      <c r="C2751" s="3">
        <v>43983.706261574072</v>
      </c>
      <c r="D2751" s="1" t="s">
        <v>5502</v>
      </c>
      <c r="E2751" s="4" t="str">
        <f ca="1">IFERROR(__xludf.DUMMYFUNCTION("GOOGLETRANSLATE(A2751 , ""tr"" , ""en"")"),"Our total number of patients recovering approached 130 thousand. Our new case count is at the projected level. The need for breathing support is decreasing. Future days, to the hand hygiene; Mask + depends on both of us to comply with both of the social d"&amp;"istance rule. Strict measure is better result. https://t.co/rvlhe7786o https://t.co/vcvkgvhqyj")</f>
        <v>Our total number of patients recovering approached 130 thousand. Our new case count is at the projected level. The need for breathing support is decreasing. Future days, to the hand hygiene; Mask + depends on both of us to comply with both of the social distance rule. Strict measure is better result. https://t.co/rvlhe7786o https://t.co/vcvkgvhqyj</v>
      </c>
    </row>
    <row r="2752" spans="1:5" ht="15.75" customHeight="1" x14ac:dyDescent="0.25">
      <c r="A2752" s="1" t="s">
        <v>5503</v>
      </c>
      <c r="B2752" s="1">
        <v>130670</v>
      </c>
      <c r="C2752" s="3">
        <v>43982.903298611112</v>
      </c>
      <c r="D2752" s="1" t="s">
        <v>5504</v>
      </c>
      <c r="E2752" s="4" t="str">
        <f ca="1">IFERROR(__xludf.DUMMYFUNCTION("GOOGLETRANSLATE(A2752 , ""tr"" , ""en"")"),"Dilek nurse has left us. The disease was captured on the days in which it was on leave, was hospitalized at 11 April. Gave a long struggle. Unfortunately, it was defeated to COVID-19. If only the newborn son could see more times. May Allah mercy. I wish t"&amp;"heir condolences to lovers. https://t.co/kdn8srxkbj")</f>
        <v>Dilek nurse has left us. The disease was captured on the days in which it was on leave, was hospitalized at 11 April. Gave a long struggle. Unfortunately, it was defeated to COVID-19. If only the newborn son could see more times. May Allah mercy. I wish their condolences to lovers. https://t.co/kdn8srxkbj</v>
      </c>
    </row>
    <row r="2753" spans="1:5" ht="15.75" customHeight="1" x14ac:dyDescent="0.25">
      <c r="A2753" s="1" t="s">
        <v>5505</v>
      </c>
      <c r="B2753" s="1">
        <v>23051</v>
      </c>
      <c r="C2753" s="3">
        <v>43982.866273148145</v>
      </c>
      <c r="D2753" s="1" t="s">
        <v>5506</v>
      </c>
      <c r="E2753" s="4" t="str">
        <f ca="1">IFERROR(__xludf.DUMMYFUNCTION("GOOGLETRANSLATE(A2753 , ""tr"" , ""en"")"),"PROF. Dr. Murat Dilmener. 1941, Born in Mardin. He worked as a physician and academician at Istanbul Medical Faculty. In the field of internal diseases. Raised thousands of students. The idealistic was recognized by the help of the smiling face and poor p"&amp;"atients. Https://t.co/renx6fob54 for the challenge")</f>
        <v>PROF. Dr. Murat Dilmener. 1941, Born in Mardin. He worked as a physician and academician at Istanbul Medical Faculty. In the field of internal diseases. Raised thousands of students. The idealistic was recognized by the help of the smiling face and poor patients. Https://t.co/renx6fob54 for the challenge</v>
      </c>
    </row>
    <row r="2754" spans="1:5" ht="15.75" customHeight="1" x14ac:dyDescent="0.25">
      <c r="A2754" s="1" t="s">
        <v>5507</v>
      </c>
      <c r="B2754" s="1">
        <v>14940</v>
      </c>
      <c r="C2754" s="3">
        <v>43982.800358796296</v>
      </c>
      <c r="D2754" s="1" t="s">
        <v>5508</v>
      </c>
      <c r="E2754" s="4" t="str">
        <f ca="1">IFERROR(__xludf.DUMMYFUNCTION("GOOGLETRANSLATE(A2754 , ""tr"" , ""en"")"),"II. The HADIMKÖY Military Hospital built by Abdülhamid is restored and the ceremony of our president, Dr. İsmail Niyazi is the name of the survived hospital and opened to the service. In the hospital epidemic will accelerate the normalization process of o"&amp;"ur other hospitals. Congratulations. https://t.co/wkekqdgeyn")</f>
        <v>II. The HADIMKÖY Military Hospital built by Abdülhamid is restored and the ceremony of our president, Dr. İsmail Niyazi is the name of the survived hospital and opened to the service. In the hospital epidemic will accelerate the normalization process of our other hospitals. Congratulations. https://t.co/wkekqdgeyn</v>
      </c>
    </row>
    <row r="2755" spans="1:5" ht="15.75" customHeight="1" x14ac:dyDescent="0.25">
      <c r="A2755" s="1" t="s">
        <v>5509</v>
      </c>
      <c r="B2755" s="1">
        <v>14397</v>
      </c>
      <c r="C2755" s="3">
        <v>43982.787453703706</v>
      </c>
      <c r="D2755" s="1" t="s">
        <v>5510</v>
      </c>
      <c r="E2755" s="4" t="str">
        <f ca="1">IFERROR(__xludf.DUMMYFUNCTION("GOOGLETRANSLATE(A2755 , ""tr"" , ""en"")"),"We do not doubt our doctor's friends, health professionals, health workers, who will serve in the name of our elders that will be served in our hospital. Dr. Ismail Niyazi saved Hospital, a history with its object is resurrection of the resurgence and vai"&amp;"na. https://t.co/z8wna3IVXU")</f>
        <v>We do not doubt our doctor's friends, health professionals, health workers, who will serve in the name of our elders that will be served in our hospital. Dr. Ismail Niyazi saved Hospital, a history with its object is resurrection of the resurgence and vaina. https://t.co/z8wna3IVXU</v>
      </c>
    </row>
    <row r="2756" spans="1:5" ht="15.75" customHeight="1" x14ac:dyDescent="0.25">
      <c r="A2756" s="1" t="s">
        <v>5511</v>
      </c>
      <c r="B2756" s="1">
        <v>13265</v>
      </c>
      <c r="C2756" s="3">
        <v>43982.760567129626</v>
      </c>
      <c r="D2756" s="1" t="s">
        <v>5512</v>
      </c>
      <c r="E2756" s="4" t="str">
        <f ca="1">IFERROR(__xludf.DUMMYFUNCTION("GOOGLETRANSLATE(A2756 , ""tr"" , ""en"")"),"HADIMKOY Dr. İsmail Niyazi We opened our nation to our nation. Get auspicious to our country and humanity. https://t.co/8ksn1ppmfw")</f>
        <v>HADIMKOY Dr. İsmail Niyazi We opened our nation to our nation. Get auspicious to our country and humanity. https://t.co/8ksn1ppmfw</v>
      </c>
    </row>
    <row r="2757" spans="1:5" ht="15.75" customHeight="1" x14ac:dyDescent="0.25">
      <c r="A2757" s="1" t="s">
        <v>5513</v>
      </c>
      <c r="B2757" s="1">
        <v>14576</v>
      </c>
      <c r="C2757" s="3">
        <v>43982.741712962961</v>
      </c>
      <c r="D2757" s="1" t="s">
        <v>5514</v>
      </c>
      <c r="E2757" s="4" t="str">
        <f ca="1">IFERROR(__xludf.DUMMYFUNCTION("GOOGLETRANSLATE(A2757 , ""tr"" , ""en"")"),"Finished in 45 days Prof. Dr. Murat Dilmener Emergency Hospital The construction process of the TRT documentary was an anbean recorded by air and action cameras + actuel cameras. The icon is in the TRT documentary channel of the project documentary 21.00."&amp;" Be right trt. I think two do is exciting. https://t.co/lyx35cu8jt")</f>
        <v>Finished in 45 days Prof. Dr. Murat Dilmener Emergency Hospital The construction process of the TRT documentary was an anbean recorded by air and action cameras + actuel cameras. The icon is in the TRT documentary channel of the project documentary 21.00. Be right trt. I think two do is exciting. https://t.co/lyx35cu8jt</v>
      </c>
    </row>
    <row r="2758" spans="1:5" ht="15.75" customHeight="1" x14ac:dyDescent="0.25">
      <c r="A2758" s="1" t="s">
        <v>5515</v>
      </c>
      <c r="B2758" s="1">
        <v>82590</v>
      </c>
      <c r="C2758" s="3">
        <v>43982.733067129629</v>
      </c>
      <c r="D2758" s="1" t="s">
        <v>5516</v>
      </c>
      <c r="E2758" s="4" t="str">
        <f ca="1">IFERROR(__xludf.DUMMYFUNCTION("GOOGLETRANSLATE(A2758 , ""tr"" , ""en"")"),"The number of cases is at the prescribed level. The number of patients who need respiratory support continues to decrease. Future days, to the hand hygiene; It depends on how to comply with both the mask and the social distance rule. Strict measure is bet"&amp;"ter result. https://t.co/rvlhe7786o https://t.co/0wu75s4IJM")</f>
        <v>The number of cases is at the prescribed level. The number of patients who need respiratory support continues to decrease. Future days, to the hand hygiene; It depends on how to comply with both the mask and the social distance rule. Strict measure is better result. https://t.co/rvlhe7786o https://t.co/0wu75s4IJM</v>
      </c>
    </row>
    <row r="2759" spans="1:5" ht="15.75" customHeight="1" x14ac:dyDescent="0.25">
      <c r="A2759" s="1" t="s">
        <v>5517</v>
      </c>
      <c r="B2759" s="1">
        <v>13157</v>
      </c>
      <c r="C2759" s="3">
        <v>43982.728831018518</v>
      </c>
      <c r="D2759" s="1" t="s">
        <v>5518</v>
      </c>
      <c r="E2759" s="4" t="str">
        <f ca="1">IFERROR(__xludf.DUMMYFUNCTION("GOOGLETRANSLATE(A2759 , ""tr"" , ""en"")"),"Professor Dr. Murat Dilmener Emergency Hospital has been opened at 14.00 at 14.00. Our hospital in Yeşilköy will make Istanbul to the epidemic, all kinds of earthquakes and disaster. Will speed up the normalization process of our hospitals. May our nation"&amp;" be auspicious. https://t.co/s740zssynm")</f>
        <v>Professor Dr. Murat Dilmener Emergency Hospital has been opened at 14.00 at 14.00. Our hospital in Yeşilköy will make Istanbul to the epidemic, all kinds of earthquakes and disaster. Will speed up the normalization process of our hospitals. May our nation be auspicious. https://t.co/s740zssynm</v>
      </c>
    </row>
    <row r="2760" spans="1:5" ht="15.75" customHeight="1" x14ac:dyDescent="0.25">
      <c r="A2760" s="1" t="s">
        <v>5519</v>
      </c>
      <c r="B2760" s="1">
        <v>14090</v>
      </c>
      <c r="C2760" s="3">
        <v>43982.722326388888</v>
      </c>
      <c r="D2760" s="1" t="s">
        <v>5520</v>
      </c>
      <c r="E2760" s="4" t="str">
        <f ca="1">IFERROR(__xludf.DUMMYFUNCTION("GOOGLETRANSLATE(A2760 , ""tr"" , ""en"")"),"We have the name of our Cemil teacher that we have lost from the corona to our city hospital. In the Emergency Hospital in Sancaktepe Feriha Öz will experience the memory of the In line with the tensis of our hospital president we are opening Dr. Murat wi"&amp;"ll be referred to by Dilmener's name. https://t.co/aalbwtfk4z")</f>
        <v>We have the name of our Cemil teacher that we have lost from the corona to our city hospital. In the Emergency Hospital in Sancaktepe Feriha Öz will experience the memory of the In line with the tensis of our hospital president we are opening Dr. Murat will be referred to by Dilmener's name. https://t.co/aalbwtfk4z</v>
      </c>
    </row>
    <row r="2761" spans="1:5" ht="15.75" customHeight="1" x14ac:dyDescent="0.25">
      <c r="A2761" s="1" t="s">
        <v>5521</v>
      </c>
      <c r="B2761" s="1">
        <v>14692</v>
      </c>
      <c r="C2761" s="3">
        <v>43982.684027777781</v>
      </c>
      <c r="D2761" s="1" t="s">
        <v>5522</v>
      </c>
      <c r="E2761" s="4" t="str">
        <f ca="1">IFERROR(__xludf.DUMMYFUNCTION("GOOGLETRANSLATE(A2761 , ""tr"" , ""en"")"),"Our emergency hospitals will assume a priority task these days. In the epidemic, the normalization process of our other hospitals will accelerate these hospitals. Our other hospitals will now be able to serve our patients with partially postponed. https:/"&amp;"/t.co/uykhdqaoum")</f>
        <v>Our emergency hospitals will assume a priority task these days. In the epidemic, the normalization process of our other hospitals will accelerate these hospitals. Our other hospitals will now be able to serve our patients with partially postponed. https://t.co/uykhdqaoum</v>
      </c>
    </row>
    <row r="2762" spans="1:5" ht="15.75" customHeight="1" x14ac:dyDescent="0.25">
      <c r="A2762" s="1" t="s">
        <v>5523</v>
      </c>
      <c r="B2762" s="1">
        <v>19204</v>
      </c>
      <c r="C2762" s="3">
        <v>43982.659456018519</v>
      </c>
      <c r="D2762" s="1" t="s">
        <v>5524</v>
      </c>
      <c r="E2762" s="4" t="str">
        <f ca="1">IFERROR(__xludf.DUMMYFUNCTION("GOOGLETRANSLATE(A2762 , ""tr"" , ""en"")"),"Yeşilköy Professor Dr. Murat Dilmener has opened our nation to our nationality. Get auspicious to our country and humanity. https://t.co/77s62UCIAQ")</f>
        <v>Yeşilköy Professor Dr. Murat Dilmener has opened our nation to our nationality. Get auspicious to our country and humanity. https://t.co/77s62UCIAQ</v>
      </c>
    </row>
    <row r="2763" spans="1:5" ht="15.75" customHeight="1" x14ac:dyDescent="0.25">
      <c r="A2763" s="1" t="s">
        <v>5525</v>
      </c>
      <c r="B2763" s="1">
        <v>90252</v>
      </c>
      <c r="C2763" s="3">
        <v>43982.437754629631</v>
      </c>
      <c r="D2763" s="1" t="s">
        <v>5526</v>
      </c>
      <c r="E2763" s="4" t="str">
        <f ca="1">IFERROR(__xludf.DUMMYFUNCTION("GOOGLETRANSLATE(A2763 , ""tr"" , ""en"")"),"If you wear a mask you smoke less. With the help of the world's day's day, the mask is as well, you have your day to stop smoking or reduce the better than good.")</f>
        <v>If you wear a mask you smoke less. With the help of the world's day's day, the mask is as well, you have your day to stop smoking or reduce the better than good.</v>
      </c>
    </row>
    <row r="2764" spans="1:5" ht="15.75" customHeight="1" x14ac:dyDescent="0.25">
      <c r="A2764" s="1" t="s">
        <v>5527</v>
      </c>
      <c r="B2764" s="1">
        <v>71112</v>
      </c>
      <c r="C2764" s="3">
        <v>43982.393842592595</v>
      </c>
      <c r="D2764" s="1" t="s">
        <v>5528</v>
      </c>
      <c r="E2764" s="4" t="str">
        <f ca="1">IFERROR(__xludf.DUMMYFUNCTION("GOOGLETRANSLATE(A2764 , ""tr"" , ""en"")"),"The sadness of our nurse of our nurse increased slightly again yesterday. Unfortunately, unfortunately, unfortunately, unfortunately, unfortunately, false news was spread about COVID-19. The situation is serious from the previous one, but the heart of lif"&amp;"e protects all the time with everything. https://t.co/elyhbenslx")</f>
        <v>The sadness of our nurse of our nurse increased slightly again yesterday. Unfortunately, unfortunately, unfortunately, unfortunately, unfortunately, false news was spread about COVID-19. The situation is serious from the previous one, but the heart of life protects all the time with everything. https://t.co/elyhbenslx</v>
      </c>
    </row>
    <row r="2765" spans="1:5" ht="15.75" customHeight="1" x14ac:dyDescent="0.25">
      <c r="A2765" s="1" t="s">
        <v>5529</v>
      </c>
      <c r="B2765" s="1">
        <v>33984</v>
      </c>
      <c r="C2765" s="3">
        <v>43981.840162037035</v>
      </c>
      <c r="D2765" s="1" t="s">
        <v>5530</v>
      </c>
      <c r="E2765" s="4" t="str">
        <f ca="1">IFERROR(__xludf.DUMMYFUNCTION("GOOGLETRANSLATE(A2765 , ""tr"" , ""en"")"),"II. The Hadımköy Military Hospital made by Abdülhamid has been restored to the service. Dr. With the name of the İsmail Niyazi ridiculous Hospital, it is opened by the ceremony that our president will participate in 16.00 tomorrow. The normalization proce"&amp;"ss of our other hospitals will be accelerated. https://t.co/ppc2xj4zvj")</f>
        <v>II. The Hadımköy Military Hospital made by Abdülhamid has been restored to the service. Dr. With the name of the İsmail Niyazi ridiculous Hospital, it is opened by the ceremony that our president will participate in 16.00 tomorrow. The normalization process of our other hospitals will be accelerated. https://t.co/ppc2xj4zvj</v>
      </c>
    </row>
    <row r="2766" spans="1:5" ht="15.75" customHeight="1" x14ac:dyDescent="0.25">
      <c r="A2766" s="1" t="s">
        <v>5531</v>
      </c>
      <c r="B2766" s="1">
        <v>21926</v>
      </c>
      <c r="C2766" s="3">
        <v>43981.808912037035</v>
      </c>
      <c r="D2766" s="1" t="s">
        <v>5532</v>
      </c>
      <c r="E2766" s="4" t="str">
        <f ca="1">IFERROR(__xludf.DUMMYFUNCTION("GOOGLETRANSLATE(A2766 , ""tr"" , ""en"")"),"PROF. Dr. Murat Dilmener Emergency Hospital Opens at 14.00 tomorrow tomorrow with the ceremony will participate in our President. Our hospital in Yeşilköy will make Istanbul to the epidemic, against all kinds of earthquake and disaster. Will accelerate th"&amp;"e normalization process of our other hospitals in the epidemic. https://t.co/S9VDPGTVRI")</f>
        <v>PROF. Dr. Murat Dilmener Emergency Hospital Opens at 14.00 tomorrow tomorrow with the ceremony will participate in our President. Our hospital in Yeşilköy will make Istanbul to the epidemic, against all kinds of earthquake and disaster. Will accelerate the normalization process of our other hospitals in the epidemic. https://t.co/S9VDPGTVRI</v>
      </c>
    </row>
    <row r="2767" spans="1:5" ht="15.75" customHeight="1" x14ac:dyDescent="0.25">
      <c r="A2767" s="1" t="s">
        <v>5533</v>
      </c>
      <c r="B2767" s="1">
        <v>75472</v>
      </c>
      <c r="C2767" s="3">
        <v>43981.736446759256</v>
      </c>
      <c r="D2767" s="1" t="s">
        <v>5534</v>
      </c>
      <c r="E2767" s="4" t="str">
        <f ca="1">IFERROR(__xludf.DUMMYFUNCTION("GOOGLETRANSLATE(A2767 , ""tr"" , ""en"")"),"Our total test count has passed 2 million. According to yesterday, our daily test count increased 3,000. Our new case count is below 1,000. Future days, to the hand hygiene; It depends on me to comply with the two of the mask and the social distance rule."&amp;" Strict measure is better result. https://t.co/rvlhe7786o https://t.co/xsdhafnh7o")</f>
        <v>Our total test count has passed 2 million. According to yesterday, our daily test count increased 3,000. Our new case count is below 1,000. Future days, to the hand hygiene; It depends on me to comply with the two of the mask and the social distance rule. Strict measure is better result. https://t.co/rvlhe7786o https://t.co/xsdhafnh7o</v>
      </c>
    </row>
    <row r="2768" spans="1:5" ht="15.75" customHeight="1" x14ac:dyDescent="0.25">
      <c r="A2768" s="1" t="s">
        <v>5535</v>
      </c>
      <c r="B2768" s="1">
        <v>36262</v>
      </c>
      <c r="C2768" s="3">
        <v>43981.732881944445</v>
      </c>
      <c r="D2768" s="1" t="s">
        <v>5536</v>
      </c>
      <c r="E2768" s="4" t="str">
        <f ca="1">IFERROR(__xludf.DUMMYFUNCTION("GOOGLETRANSLATE(A2768 , ""tr"" , ""en"")"),"Two bitter news came from Hakkari. In our struggle against terror, expert sergeant Ugur Bora and infantry Er Mehmet Günay fell in the Martyr. I wish our martyrs to the mercy, their families, hero friends, their condolences to our families. Heaven be heave"&amp;"nly the space of those who died for the sake of the homeland. https://t.co/vtyyq3srpz")</f>
        <v>Two bitter news came from Hakkari. In our struggle against terror, expert sergeant Ugur Bora and infantry Er Mehmet Günay fell in the Martyr. I wish our martyrs to the mercy, their families, hero friends, their condolences to our families. Heaven be heavenly the space of those who died for the sake of the homeland. https://t.co/vtyyq3srpz</v>
      </c>
    </row>
    <row r="2769" spans="1:5" ht="15.75" customHeight="1" x14ac:dyDescent="0.25">
      <c r="A2769" s="1" t="s">
        <v>5537</v>
      </c>
      <c r="B2769" s="1">
        <v>46931</v>
      </c>
      <c r="C2769" s="3">
        <v>43981.708877314813</v>
      </c>
      <c r="D2769" s="1" t="s">
        <v>5538</v>
      </c>
      <c r="E2769" s="4" t="str">
        <f ca="1">IFERROR(__xludf.DUMMYFUNCTION("GOOGLETRANSLATE(A2769 , ""tr"" , ""en"")"),"In the bonds district of Diyarbakır, our police lost his life with an armed attack undertaken during the Atakan Arslan task. We've learned that 1 child is father. Our pain is big. I wish our meagie from Allah to the mercy, family, colleagues and our natio"&amp;"n. https://t.co/rb6tclhja8")</f>
        <v>In the bonds district of Diyarbakır, our police lost his life with an armed attack undertaken during the Atakan Arslan task. We've learned that 1 child is father. Our pain is big. I wish our meagie from Allah to the mercy, family, colleagues and our nation. https://t.co/rb6tclhja8</v>
      </c>
    </row>
    <row r="2770" spans="1:5" ht="15.75" customHeight="1" x14ac:dyDescent="0.25">
      <c r="A2770" s="1" t="s">
        <v>5539</v>
      </c>
      <c r="B2770" s="1">
        <v>37178</v>
      </c>
      <c r="C2770" s="3">
        <v>43981.555578703701</v>
      </c>
      <c r="D2770" s="1" t="s">
        <v>5540</v>
      </c>
      <c r="E2770" s="4" t="str">
        <f ca="1">IFERROR(__xludf.DUMMYFUNCTION("GOOGLETRANSLATE(A2770 , ""tr"" , ""en"")"),"After the success of accomodating the measures, we finally opened the mosques for lunch and afternoon prayers. The Mask + Distance Rule is valid for worshiping in every area and congregation. Let's keep the pure by leaving a space. May Allah accept your w"&amp;"orship. https://t.co/dkgw37mz2c")</f>
        <v>After the success of accomodating the measures, we finally opened the mosques for lunch and afternoon prayers. The Mask + Distance Rule is valid for worshiping in every area and congregation. Let's keep the pure by leaving a space. May Allah accept your worship. https://t.co/dkgw37mz2c</v>
      </c>
    </row>
    <row r="2771" spans="1:5" ht="15.75" customHeight="1" x14ac:dyDescent="0.25">
      <c r="A2771" s="1" t="s">
        <v>5541</v>
      </c>
      <c r="B2771" s="1">
        <v>26646</v>
      </c>
      <c r="C2771" s="3">
        <v>43981.462384259263</v>
      </c>
      <c r="D2771" s="1" t="s">
        <v>5542</v>
      </c>
      <c r="E2771" s="4" t="str">
        <f ca="1">IFERROR(__xludf.DUMMYFUNCTION("GOOGLETRANSLATE(A2771 , ""tr"" , ""en"")"),"Great day tomorrow for our ages over 65 years. They are out of 14.00-20.00. It is so important to stay at home, how important it is to be hedging, using the mask outside and maintaining social distance. Even between forty years of friends! Let's patriarch"&amp;" a little more. Todays to pass. https://t.co/suh1ycwjjf")</f>
        <v>Great day tomorrow for our ages over 65 years. They are out of 14.00-20.00. It is so important to stay at home, how important it is to be hedging, using the mask outside and maintaining social distance. Even between forty years of friends! Let's patriarch a little more. Todays to pass. https://t.co/suh1ycwjjf</v>
      </c>
    </row>
    <row r="2772" spans="1:5" ht="15.75" customHeight="1" x14ac:dyDescent="0.25">
      <c r="A2772" s="1" t="s">
        <v>5543</v>
      </c>
      <c r="B2772" s="1">
        <v>41552</v>
      </c>
      <c r="C2772" s="3">
        <v>43981.355555555558</v>
      </c>
      <c r="D2772" s="1" t="s">
        <v>5544</v>
      </c>
      <c r="E2772" s="4" t="str">
        <f ca="1">IFERROR(__xludf.DUMMYFUNCTION("GOOGLETRANSLATE(A2772 , ""tr"" , ""en"")"),"Mask + Social Distance: Two measures are full measure when they are together. Install the mask in accordance with the rule of your mask while exiting. Be careful in every environment to keep the social distance at 1.5 m. Give greater importance to hand hy"&amp;"giene. The importance of measures increased on the days in which most of us can be on the street. https://t.co/zsz41qdqzI")</f>
        <v>Mask + Social Distance: Two measures are full measure when they are together. Install the mask in accordance with the rule of your mask while exiting. Be careful in every environment to keep the social distance at 1.5 m. Give greater importance to hand hygiene. The importance of measures increased on the days in which most of us can be on the street. https://t.co/zsz41qdqzI</v>
      </c>
    </row>
    <row r="2773" spans="1:5" ht="15.75" customHeight="1" x14ac:dyDescent="0.25">
      <c r="A2773" s="1" t="s">
        <v>5545</v>
      </c>
      <c r="B2773" s="1">
        <v>24443</v>
      </c>
      <c r="C2773" s="3">
        <v>43980.874583333331</v>
      </c>
      <c r="D2773" s="1" t="s">
        <v>5546</v>
      </c>
      <c r="E2773" s="4" t="str">
        <f ca="1">IFERROR(__xludf.DUMMYFUNCTION("GOOGLETRANSLATE(A2773 , ""tr"" , ""en"")"),"PROF. Dr. Feriha self. In 1957, he graduated from Istanbul Medical Faculty. A scientist who is famous for the field of pathology, recognized with human love, the arms of the arms were a great teacher behind his arms. April 2 has left us because of COVID-1"&amp;"9 illness. Https://t.co/ezef6gvg70 for the challenge of the challenge")</f>
        <v>PROF. Dr. Feriha self. In 1957, he graduated from Istanbul Medical Faculty. A scientist who is famous for the field of pathology, recognized with human love, the arms of the arms were a great teacher behind his arms. April 2 has left us because of COVID-19 illness. Https://t.co/ezef6gvg70 for the challenge of the challenge</v>
      </c>
    </row>
    <row r="2774" spans="1:5" ht="15.75" customHeight="1" x14ac:dyDescent="0.25">
      <c r="A2774" s="1" t="s">
        <v>5547</v>
      </c>
      <c r="B2774" s="1">
        <v>30653</v>
      </c>
      <c r="C2774" s="3">
        <v>43980.818981481483</v>
      </c>
      <c r="D2774" s="1" t="s">
        <v>5548</v>
      </c>
      <c r="E2774" s="4" t="str">
        <f ca="1">IFERROR(__xludf.DUMMYFUNCTION("GOOGLETRANSLATE(A2774 , ""tr"" , ""en"")"),"567th anniversary of the conquest of Istanbul today. This conquest was the conquest that the walls are destroyed with the balls. Istanbul, the diversity of living, our culture was our fetish spirit. Bless the day of Istanbul's promised future. https://t.c"&amp;"o/k8be7uuqob")</f>
        <v>567th anniversary of the conquest of Istanbul today. This conquest was the conquest that the walls are destroyed with the balls. Istanbul, the diversity of living, our culture was our fetish spirit. Bless the day of Istanbul's promised future. https://t.co/k8be7uuqob</v>
      </c>
    </row>
    <row r="2775" spans="1:5" ht="15.75" customHeight="1" x14ac:dyDescent="0.25">
      <c r="A2775" s="1" t="s">
        <v>5549</v>
      </c>
      <c r="B2775" s="1">
        <v>62228</v>
      </c>
      <c r="C2775" s="3">
        <v>43980.785497685189</v>
      </c>
      <c r="D2775" s="1" t="s">
        <v>5550</v>
      </c>
      <c r="E2775" s="4" t="str">
        <f ca="1">IFERROR(__xludf.DUMMYFUNCTION("GOOGLETRANSLATE(A2775 , ""tr"" , ""en"")"),"After the long break, the first time in our country has been made in Friday prayer. Namaza stops were the same in proximity to the wound. There was a temporary distance between the safes. We thank the worship to those who do in accordance with the epidemi"&amp;"c measures. May Allah accept prayers today. https://t.co/yogcabssbb")</f>
        <v>After the long break, the first time in our country has been made in Friday prayer. Namaza stops were the same in proximity to the wound. There was a temporary distance between the safes. We thank the worship to those who do in accordance with the epidemic measures. May Allah accept prayers today. https://t.co/yogcabssbb</v>
      </c>
    </row>
    <row r="2776" spans="1:5" ht="15.75" customHeight="1" x14ac:dyDescent="0.25">
      <c r="A2776" s="1" t="s">
        <v>5551</v>
      </c>
      <c r="B2776" s="1">
        <v>17621</v>
      </c>
      <c r="C2776" s="3">
        <v>43980.724618055552</v>
      </c>
      <c r="D2776" s="1" t="s">
        <v>5552</v>
      </c>
      <c r="E2776" s="4" t="str">
        <f ca="1">IFERROR(__xludf.DUMMYFUNCTION("GOOGLETRANSLATE(A2776 , ""tr"" , ""en"")"),"Our emergency hospitals in the fields of repeatedly. Dr. Feriha Self and Professor Dr. We give Murat Dilmener's names. These hospitals, not the later functions, even though only two scientists were made to live the name of our people, even this is a suffi"&amp;"cient reason. https://t.co/znhbtosfou")</f>
        <v>Our emergency hospitals in the fields of repeatedly. Dr. Feriha Self and Professor Dr. We give Murat Dilmener's names. These hospitals, not the later functions, even though only two scientists were made to live the name of our people, even this is a sufficient reason. https://t.co/znhbtosfou</v>
      </c>
    </row>
    <row r="2777" spans="1:5" ht="15.75" customHeight="1" x14ac:dyDescent="0.25">
      <c r="A2777" s="1" t="s">
        <v>5553</v>
      </c>
      <c r="B2777" s="1">
        <v>14346</v>
      </c>
      <c r="C2777" s="3">
        <v>43980.713090277779</v>
      </c>
      <c r="D2777" s="1" t="s">
        <v>5554</v>
      </c>
      <c r="E2777" s="4" t="str">
        <f ca="1">IFERROR(__xludf.DUMMYFUNCTION("GOOGLETRANSLATE(A2777 , ""tr"" , ""en"")"),"Emergency hospitals The earthquake is not designed as hospitals to be disabled after the disaster, outbreak situations. They give us an important capacity at normal times. In terms of patients from outside and out of town, close proximity to the airport i"&amp;"s strategically important. https://t.co/jloonvbff3")</f>
        <v>Emergency hospitals The earthquake is not designed as hospitals to be disabled after the disaster, outbreak situations. They give us an important capacity at normal times. In terms of patients from outside and out of town, close proximity to the airport is strategically important. https://t.co/jloonvbff3</v>
      </c>
    </row>
    <row r="2778" spans="1:5" ht="15.75" customHeight="1" x14ac:dyDescent="0.25">
      <c r="A2778" s="1" t="s">
        <v>5555</v>
      </c>
      <c r="B2778" s="1">
        <v>56311</v>
      </c>
      <c r="C2778" s="3">
        <v>43980.680752314816</v>
      </c>
      <c r="D2778" s="1" t="s">
        <v>5556</v>
      </c>
      <c r="E2778" s="4" t="str">
        <f ca="1">IFERROR(__xludf.DUMMYFUNCTION("GOOGLETRANSLATE(A2778 , ""tr"" , ""en"")"),"The number of tests increased, the new number of cases decreased. Intensive care and intubation continues to decline in the number of patients. Future days, considering the hand hygiene, the mask and the social distance rule are connected to both of us to"&amp;" comply with. Let's avoid risk with controlled social life. https://t.co/rvlhe7786o https://t.co/bdoy1qmx02")</f>
        <v>The number of tests increased, the new number of cases decreased. Intensive care and intubation continues to decline in the number of patients. Future days, considering the hand hygiene, the mask and the social distance rule are connected to both of us to comply with. Let's avoid risk with controlled social life. https://t.co/rvlhe7786o https://t.co/bdoy1qmx02</v>
      </c>
    </row>
    <row r="2779" spans="1:5" ht="15.75" customHeight="1" x14ac:dyDescent="0.25">
      <c r="A2779" s="1" t="s">
        <v>5557</v>
      </c>
      <c r="B2779" s="1">
        <v>22935</v>
      </c>
      <c r="C2779" s="3">
        <v>43980.640925925924</v>
      </c>
      <c r="D2779" s="1" t="s">
        <v>5558</v>
      </c>
      <c r="E2779" s="4" t="str">
        <f ca="1">IFERROR(__xludf.DUMMYFUNCTION("GOOGLETRANSLATE(A2779 , ""tr"" , ""en"")"),"SN. With the facts of our President, Prof. Dr. We performed the opening of the Feriha self-emergency hospital. Without damage to the earthquake, the earthquake will be undertaken in emergency situations such as earthquake, epidemic with advanced technolog"&amp;"y. May our nation be auspicious. https://t.co/szvdfgapys")</f>
        <v>SN. With the facts of our President, Prof. Dr. We performed the opening of the Feriha self-emergency hospital. Without damage to the earthquake, the earthquake will be undertaken in emergency situations such as earthquake, epidemic with advanced technology. May our nation be auspicious. https://t.co/szvdfgapys</v>
      </c>
    </row>
    <row r="2780" spans="1:5" ht="15.75" customHeight="1" x14ac:dyDescent="0.25">
      <c r="A2780" s="1" t="s">
        <v>5559</v>
      </c>
      <c r="B2780" s="1">
        <v>20939</v>
      </c>
      <c r="C2780" s="3">
        <v>43980.526655092595</v>
      </c>
      <c r="D2780" s="1" t="s">
        <v>5560</v>
      </c>
      <c r="E2780" s="4" t="str">
        <f ca="1">IFERROR(__xludf.DUMMYFUNCTION("GOOGLETRANSLATE(A2780 , ""tr"" , ""en"")"),"Professor Dr. We open our Feriha self-emergency hospital to our nation's service.
https://t.co/dn4hppmwov")</f>
        <v>Professor Dr. We open our Feriha self-emergency hospital to our nation's service.
https://t.co/dn4hppmwov</v>
      </c>
    </row>
    <row r="2781" spans="1:5" ht="15.75" customHeight="1" x14ac:dyDescent="0.25">
      <c r="A2781" s="1" t="s">
        <v>5561</v>
      </c>
      <c r="B2781" s="1">
        <v>25260</v>
      </c>
      <c r="C2781" s="3">
        <v>43979.95753472222</v>
      </c>
      <c r="D2781" s="1" t="s">
        <v>5562</v>
      </c>
      <c r="E2781" s="4" t="str">
        <f ca="1">IFERROR(__xludf.DUMMYFUNCTION("GOOGLETRANSLATE(A2781 , ""tr"" , ""en"")"),"Some of us worked in the terms of epidemics, so if life don't stop all. The only good side of being out was the blank ways. The most important ones are: We have dropped the number of cases to around 1,000. Be right, my young friend. Our work was hard if w"&amp;"e insist on staying at home. Let's stand a little more. https://t.co/e9grpqq9ax")</f>
        <v>Some of us worked in the terms of epidemics, so if life don't stop all. The only good side of being out was the blank ways. The most important ones are: We have dropped the number of cases to around 1,000. Be right, my young friend. Our work was hard if we insist on staying at home. Let's stand a little more. https://t.co/e9grpqq9ax</v>
      </c>
    </row>
    <row r="2782" spans="1:5" ht="15.75" customHeight="1" x14ac:dyDescent="0.25">
      <c r="A2782" s="1" t="s">
        <v>5563</v>
      </c>
      <c r="B2782" s="1">
        <v>31391</v>
      </c>
      <c r="C2782" s="3">
        <v>43979.943124999998</v>
      </c>
      <c r="D2782" s="1" t="s">
        <v>5564</v>
      </c>
      <c r="E2782" s="4" t="str">
        <f ca="1">IFERROR(__xludf.DUMMYFUNCTION("GOOGLETRANSLATE(A2782 , ""tr"" , ""en"")"),"Some of us worked in the terms of epidemics, so if life don't stop all. The only good side of being out was the blank ways. The most important ones are: We have dropped the number of cases to around 1,000. Be right, my young friend. Our work was hard if w"&amp;"e insist on staying at home. Let's stand a little more. https://t.co/rcmaxICVHB")</f>
        <v>Some of us worked in the terms of epidemics, so if life don't stop all. The only good side of being out was the blank ways. The most important ones are: We have dropped the number of cases to around 1,000. Be right, my young friend. Our work was hard if we insist on staying at home. Let's stand a little more. https://t.co/rcmaxICVHB</v>
      </c>
    </row>
    <row r="2783" spans="1:5" ht="15.75" customHeight="1" x14ac:dyDescent="0.25">
      <c r="A2783" s="1" t="s">
        <v>5565</v>
      </c>
      <c r="B2783" s="1">
        <v>41512</v>
      </c>
      <c r="C2783" s="3">
        <v>43979.866053240738</v>
      </c>
      <c r="D2783" s="1" t="s">
        <v>5566</v>
      </c>
      <c r="E2783" s="4" t="str">
        <f ca="1">IFERROR(__xludf.DUMMYFUNCTION("GOOGLETRANSLATE(A2783 , ""tr"" , ""en"")"),"Completed only in 45 days Dr. Feriha Esp Emergency Hospital Opens at 14.00 tomorrow tomorrow with the ceremony will participate in our President. It will be ready against an earthquake, outbreak and all kinds of earthquake and disaster with our single-sto"&amp;"rey new hospital. https://t.co/ckbadtghrz")</f>
        <v>Completed only in 45 days Dr. Feriha Esp Emergency Hospital Opens at 14.00 tomorrow tomorrow with the ceremony will participate in our President. It will be ready against an earthquake, outbreak and all kinds of earthquake and disaster with our single-storey new hospital. https://t.co/ckbadtghrz</v>
      </c>
    </row>
    <row r="2784" spans="1:5" ht="15.75" customHeight="1" x14ac:dyDescent="0.25">
      <c r="A2784" s="1" t="s">
        <v>5567</v>
      </c>
      <c r="B2784" s="1">
        <v>60345</v>
      </c>
      <c r="C2784" s="3">
        <v>43979.726134259261</v>
      </c>
      <c r="D2784" s="1" t="s">
        <v>5568</v>
      </c>
      <c r="E2784" s="4" t="str">
        <f ca="1">IFERROR(__xludf.DUMMYFUNCTION("GOOGLETRANSLATE(A2784 , ""tr"" , ""en"")"),"The number of tests increased by 1.6 compared to yesterday. New Case Number is at the foreseeable level. If the recovering patient count is 290 more than yesterday. The future times are connected to us to comply with both of the mask and the social distan"&amp;"ce rule. Let's avoid risk with controlled social life. https://t.co/rvlhe7786o https://t.co/0ddaqofqqu")</f>
        <v>The number of tests increased by 1.6 compared to yesterday. New Case Number is at the foreseeable level. If the recovering patient count is 290 more than yesterday. The future times are connected to us to comply with both of the mask and the social distance rule. Let's avoid risk with controlled social life. https://t.co/rvlhe7786o https://t.co/0ddaqofqqu</v>
      </c>
    </row>
    <row r="2785" spans="1:5" ht="15.75" customHeight="1" x14ac:dyDescent="0.25">
      <c r="A2785" s="1" t="s">
        <v>5569</v>
      </c>
      <c r="B2785" s="1">
        <v>61158</v>
      </c>
      <c r="C2785" s="3">
        <v>43979.443078703705</v>
      </c>
      <c r="D2785" s="1" t="s">
        <v>5570</v>
      </c>
      <c r="E2785" s="4" t="str">
        <f ca="1">IFERROR(__xludf.DUMMYFUNCTION("GOOGLETRANSLATE(A2785 , ""tr"" , ""en"")"),"Death rates also reveal the success of Ankara. According to Johns Hopkins University data as of May 26, the rate of death in Turkey 2.8 percent. This rate is 14.1 in the UK. 14.3 in Italy. 15.5 in France. 5.9 in the USA.
Deputy Minister of US Foreign Mini"&amp;"ster Matthew Bryza")</f>
        <v>Death rates also reveal the success of Ankara. According to Johns Hopkins University data as of May 26, the rate of death in Turkey 2.8 percent. This rate is 14.1 in the UK. 14.3 in Italy. 15.5 in France. 5.9 in the USA.
Deputy Minister of US Foreign Minister Matthew Bryza</v>
      </c>
    </row>
    <row r="2786" spans="1:5" ht="15.75" customHeight="1" x14ac:dyDescent="0.25">
      <c r="A2786" s="1" t="s">
        <v>5571</v>
      </c>
      <c r="B2786" s="1">
        <v>60040</v>
      </c>
      <c r="C2786" s="3">
        <v>43979.38590277778</v>
      </c>
      <c r="D2786" s="1" t="s">
        <v>5572</v>
      </c>
      <c r="E2786" s="4" t="str">
        <f ca="1">IFERROR(__xludf.DUMMYFUNCTION("GOOGLETRANSLATE(A2786 , ""tr"" , ""en"")"),"Let's throw our steps on these days. The risk is in progress. Let's be careful to keep the social distance at 1.5 m, let's fit the mask in accordance with the rule. Mask and social distance are the complete measure when two measures are together. Where th"&amp;"e risk will not be clear where the future. Let's not settle with the mask.")</f>
        <v>Let's throw our steps on these days. The risk is in progress. Let's be careful to keep the social distance at 1.5 m, let's fit the mask in accordance with the rule. Mask and social distance are the complete measure when two measures are together. Where the risk will not be clear where the future. Let's not settle with the mask.</v>
      </c>
    </row>
    <row r="2787" spans="1:5" ht="15.75" customHeight="1" x14ac:dyDescent="0.25">
      <c r="A2787" s="1" t="s">
        <v>5573</v>
      </c>
      <c r="B2787" s="1">
        <v>29151</v>
      </c>
      <c r="C2787" s="3">
        <v>43978.792337962965</v>
      </c>
      <c r="D2787" s="1" t="s">
        <v>5574</v>
      </c>
      <c r="E2787" s="4" t="str">
        <f ca="1">IFERROR(__xludf.DUMMYFUNCTION("GOOGLETRANSLATE(A2787 , ""tr"" , ""en"")"),"The ""Masting island"" was the Island of Democracy and Freedoms in the 60th year of May 27. The pulsing, the Menderes he sent my friends with his friends, in defense, ""I'm not undertaking for anything."" he said. The sadness of our nation is a little lig"&amp;"htweight to hope with the new name of the Yassada. https://t.co/wrohhzobll")</f>
        <v>The "Masting island" was the Island of Democracy and Freedoms in the 60th year of May 27. The pulsing, the Menderes he sent my friends with his friends, in defense, "I'm not undertaking for anything." he said. The sadness of our nation is a little lightweight to hope with the new name of the Yassada. https://t.co/wrohhzobll</v>
      </c>
    </row>
    <row r="2788" spans="1:5" ht="15.75" customHeight="1" x14ac:dyDescent="0.25">
      <c r="A2788" s="1" t="s">
        <v>5575</v>
      </c>
      <c r="B2788" s="1">
        <v>41038</v>
      </c>
      <c r="C2788" s="3">
        <v>43978.769733796296</v>
      </c>
      <c r="D2788" s="1" t="s">
        <v>5576</v>
      </c>
      <c r="E2788" s="4" t="str">
        <f ca="1">IFERROR(__xludf.DUMMYFUNCTION("GOOGLETRANSLATE(A2788 , ""tr"" , ""en"")"),"Pharmacist ismail stopped. 1985 is born in Kayseri. He graduated from Ege University Faculty of Pharmacy in 2007. The greatest passion was the profession. I had opened its own pharmacy in Istanbul Sancaktepe a few years ago. A child was his father. Took t"&amp;"he virus from a patient. We are grateful for the challenge. https://t.co/cbvqvelvsl")</f>
        <v>Pharmacist ismail stopped. 1985 is born in Kayseri. He graduated from Ege University Faculty of Pharmacy in 2007. The greatest passion was the profession. I had opened its own pharmacy in Istanbul Sancaktepe a few years ago. A child was his father. Took the virus from a patient. We are grateful for the challenge. https://t.co/cbvqvelvsl</v>
      </c>
    </row>
    <row r="2789" spans="1:5" ht="15.75" customHeight="1" x14ac:dyDescent="0.25">
      <c r="A2789" s="1" t="s">
        <v>5577</v>
      </c>
      <c r="B2789" s="1">
        <v>60243</v>
      </c>
      <c r="C2789" s="3">
        <v>43978.725868055553</v>
      </c>
      <c r="D2789" s="1" t="s">
        <v>5578</v>
      </c>
      <c r="E2789" s="4" t="str">
        <f ca="1">IFERROR(__xludf.DUMMYFUNCTION("GOOGLETRANSLATE(A2789 , ""tr"" , ""en"")"),"The data shows that we provide stability in reduction of risk. The success of 83 million should continue. More freedom depends on the incomplete sleep to measures. Let's demonstrate the devolution that freedom wants. Our new life style: controlled social "&amp;"life, always measure together. https://t.co/rvlhe7786o https://t.co/n5enejkz8h")</f>
        <v>The data shows that we provide stability in reduction of risk. The success of 83 million should continue. More freedom depends on the incomplete sleep to measures. Let's demonstrate the devolution that freedom wants. Our new life style: controlled social life, always measure together. https://t.co/rvlhe7786o https://t.co/n5enejkz8h</v>
      </c>
    </row>
    <row r="2790" spans="1:5" ht="15.75" customHeight="1" x14ac:dyDescent="0.25">
      <c r="A2790" s="1" t="s">
        <v>5579</v>
      </c>
      <c r="B2790" s="1">
        <v>0</v>
      </c>
      <c r="C2790" s="3">
        <v>43978.685104166667</v>
      </c>
      <c r="D2790" s="1" t="s">
        <v>5580</v>
      </c>
      <c r="E2790" s="4" t="str">
        <f ca="1">IFERROR(__xludf.DUMMYFUNCTION("GOOGLETRANSLATE(A2790 , ""tr"" , ""en"")"),"RT @rterdogan: Democracy and Freedoms Island Opening Ceremony https://t.co/rpfd1b8rax")</f>
        <v>RT @rterdogan: Democracy and Freedoms Island Opening Ceremony https://t.co/rpfd1b8rax</v>
      </c>
    </row>
    <row r="2791" spans="1:5" ht="15.75" customHeight="1" x14ac:dyDescent="0.25">
      <c r="A2791" s="1" t="s">
        <v>5581</v>
      </c>
      <c r="B2791" s="1">
        <v>133354</v>
      </c>
      <c r="C2791" s="3">
        <v>43977.949918981481</v>
      </c>
      <c r="D2791" s="1" t="s">
        <v>5582</v>
      </c>
      <c r="E2791" s="4" t="str">
        <f ca="1">IFERROR(__xludf.DUMMYFUNCTION("GOOGLETRANSLATE(A2791 , ""tr"" , ""en"")"),"My teenage friends, the curfewatten was up tonight. Unfortunately this app cannot contain our 15-20 age groups, our ages over 65 years, 14 years and six children for now. I am asking you to be patiently to give us some more time. Very lovely.")</f>
        <v>My teenage friends, the curfewatten was up tonight. Unfortunately this app cannot contain our 15-20 age groups, our ages over 65 years, 14 years and six children for now. I am asking you to be patiently to give us some more time. Very lovely.</v>
      </c>
    </row>
    <row r="2792" spans="1:5" ht="15.75" customHeight="1" x14ac:dyDescent="0.25">
      <c r="A2792" s="1" t="s">
        <v>5583</v>
      </c>
      <c r="B2792" s="1">
        <v>33609</v>
      </c>
      <c r="C2792" s="3">
        <v>43977.910277777781</v>
      </c>
      <c r="D2792" s="1" t="s">
        <v>5584</v>
      </c>
      <c r="E2792" s="4" t="str">
        <f ca="1">IFERROR(__xludf.DUMMYFUNCTION("GOOGLETRANSLATE(A2792 , ""tr"" , ""en"")"),"This feast came to our houses alone. May the feast fill cities. About to meet in more happy holidays. https://t.co/oze5a4d68v")</f>
        <v>This feast came to our houses alone. May the feast fill cities. About to meet in more happy holidays. https://t.co/oze5a4d68v</v>
      </c>
    </row>
    <row r="2793" spans="1:5" ht="15.75" customHeight="1" x14ac:dyDescent="0.25">
      <c r="A2793" s="1" t="s">
        <v>5585</v>
      </c>
      <c r="B2793" s="1">
        <v>49295</v>
      </c>
      <c r="C2793" s="3">
        <v>43977.886574074073</v>
      </c>
      <c r="D2793" s="1" t="s">
        <v>5586</v>
      </c>
      <c r="E2793" s="4" t="str">
        <f ca="1">IFERROR(__xludf.DUMMYFUNCTION("GOOGLETRANSLATE(A2793 , ""tr"" , ""en"")"),"At 24:00, the curfewed concentury was up in the whole country. We are going on longing to life we ​​have been far away for a long time. Return before the days of the first coronavirus case in the world? That doesn't seem possible yet. We should be cautiou"&amp;"s. We should continue to know the asset of our house. https://t.co/rot6ocy072")</f>
        <v>At 24:00, the curfewed concentury was up in the whole country. We are going on longing to life we ​​have been far away for a long time. Return before the days of the first coronavirus case in the world? That doesn't seem possible yet. We should be cautious. We should continue to know the asset of our house. https://t.co/rot6ocy072</v>
      </c>
    </row>
    <row r="2794" spans="1:5" ht="15.75" customHeight="1" x14ac:dyDescent="0.25">
      <c r="A2794" s="1" t="s">
        <v>5587</v>
      </c>
      <c r="B2794" s="1">
        <v>64453</v>
      </c>
      <c r="C2794" s="3">
        <v>43977.840729166666</v>
      </c>
      <c r="D2794" s="1" t="s">
        <v>5588</v>
      </c>
      <c r="E2794" s="4" t="str">
        <f ca="1">IFERROR(__xludf.DUMMYFUNCTION("GOOGLETRANSLATE(A2794 , ""tr"" , ""en"")"),"At 24.00 o'clock the curfewing fathom in all the country. We are going on longing to life we ​​have been far away for a long time. Return before the days of the first coronavirus case in the world? That doesn't seem possible yet. We should be cautious. We"&amp;" should continue to know the asset of our house. https://t.co/mfeidvoolh")</f>
        <v>At 24.00 o'clock the curfewing fathom in all the country. We are going on longing to life we ​​have been far away for a long time. Return before the days of the first coronavirus case in the world? That doesn't seem possible yet. We should be cautious. We should continue to know the asset of our house. https://t.co/mfeidvoolh</v>
      </c>
    </row>
    <row r="2795" spans="1:5" ht="15.75" customHeight="1" x14ac:dyDescent="0.25">
      <c r="A2795" s="1" t="s">
        <v>5589</v>
      </c>
      <c r="B2795" s="1">
        <v>38223</v>
      </c>
      <c r="C2795" s="3">
        <v>43977.768935185188</v>
      </c>
      <c r="D2795" s="1" t="s">
        <v>5590</v>
      </c>
      <c r="E2795" s="4" t="str">
        <f ca="1">IFERROR(__xludf.DUMMYFUNCTION("GOOGLETRANSLATE(A2795 , ""tr"" , ""en"")"),"Dr. Sinan cork. Born in 1960, Bitlis. Cerrahpaşa finished medical school. Was the radiological specialist. He was serving at Haseki Hospital. It was to be the first person to seek in the feast of many friends and close to the holiday. Lost your life due t"&amp;"o COVID-19. We are grateful for the challenge. https://t.co/OQLNTIGSWX")</f>
        <v>Dr. Sinan cork. Born in 1960, Bitlis. Cerrahpaşa finished medical school. Was the radiological specialist. He was serving at Haseki Hospital. It was to be the first person to seek in the feast of many friends and close to the holiday. Lost your life due to COVID-19. We are grateful for the challenge. https://t.co/OQLNTIGSWX</v>
      </c>
    </row>
    <row r="2796" spans="1:5" ht="15.75" customHeight="1" x14ac:dyDescent="0.25">
      <c r="A2796" s="1" t="s">
        <v>5591</v>
      </c>
      <c r="B2796" s="1">
        <v>75384</v>
      </c>
      <c r="C2796" s="3">
        <v>43977.712581018517</v>
      </c>
      <c r="D2796" s="1" t="s">
        <v>5592</v>
      </c>
      <c r="E2796" s="4" t="str">
        <f ca="1">IFERROR(__xludf.DUMMYFUNCTION("GOOGLETRANSLATE(A2796 , ""tr"" , ""en"")"),"In the recovering patient number, today has an important increase. Intensive maintenance and intubate are in the number of patients continue to decrease. The achievement is the result of the adaptation indicated by 83 million. Our new life style: controll"&amp;"ed social life, always measure together. https://t.co/rvlhe7786o https://t.co/5gcjzy9ncm")</f>
        <v>In the recovering patient number, today has an important increase. Intensive maintenance and intubate are in the number of patients continue to decrease. The achievement is the result of the adaptation indicated by 83 million. Our new life style: controlled social life, always measure together. https://t.co/rvlhe7786o https://t.co/5gcjzy9ncm</v>
      </c>
    </row>
    <row r="2797" spans="1:5" ht="15.75" customHeight="1" x14ac:dyDescent="0.25">
      <c r="A2797" s="1" t="s">
        <v>5593</v>
      </c>
      <c r="B2797" s="1">
        <v>45188</v>
      </c>
      <c r="C2797" s="3">
        <v>43976.848182870373</v>
      </c>
      <c r="D2797" s="1" t="s">
        <v>5594</v>
      </c>
      <c r="E2797" s="4" t="str">
        <f ca="1">IFERROR(__xludf.DUMMYFUNCTION("GOOGLETRANSLATE(A2797 , ""tr"" , ""en"")"),"Necip Fazil was the preparative of the course of breakthrough, idea and art. The Great East said, rebirth. In its own, he brought his mind of the turbulent individual like a law. One of the subjects was also fans. Who is unmoved, whose passage minutes can"&amp;" come back? WE EMBARRASS. https://t.co/dydıvwymsv")</f>
        <v>Necip Fazil was the preparative of the course of breakthrough, idea and art. The Great East said, rebirth. In its own, he brought his mind of the turbulent individual like a law. One of the subjects was also fans. Who is unmoved, whose passage minutes can come back? WE EMBARRASS. https://t.co/dydıvwymsv</v>
      </c>
    </row>
    <row r="2798" spans="1:5" ht="15.75" customHeight="1" x14ac:dyDescent="0.25">
      <c r="A2798" s="1" t="s">
        <v>5595</v>
      </c>
      <c r="B2798" s="1">
        <v>86397</v>
      </c>
      <c r="C2798" s="3">
        <v>43976.715648148151</v>
      </c>
      <c r="D2798" s="1" t="s">
        <v>5596</v>
      </c>
      <c r="E2798" s="4" t="str">
        <f ca="1">IFERROR(__xludf.DUMMYFUNCTION("GOOGLETRANSLATE(A2798 , ""tr"" , ""en"")"),"The total number of patients recovering has passed 120 thousand. The need for intensive care support continues to decrease. The achievement is the result of the adaptation indicated by 83 million. The new and powerful measure in the new period is the meas"&amp;"ure to be taken together in social life. https://t.co/rvlhe7786o https://t.co/WGIUC45HIH")</f>
        <v>The total number of patients recovering has passed 120 thousand. The need for intensive care support continues to decrease. The achievement is the result of the adaptation indicated by 83 million. The new and powerful measure in the new period is the measure to be taken together in social life. https://t.co/rvlhe7786o https://t.co/WGIUC45HIH</v>
      </c>
    </row>
    <row r="2799" spans="1:5" ht="15.75" customHeight="1" x14ac:dyDescent="0.25">
      <c r="A2799" s="1" t="s">
        <v>5597</v>
      </c>
      <c r="B2799" s="1">
        <v>63654</v>
      </c>
      <c r="C2799" s="3">
        <v>43975.853622685187</v>
      </c>
      <c r="D2799" s="1" t="s">
        <v>5598</v>
      </c>
      <c r="E2799" s="4" t="str">
        <f ca="1">IFERROR(__xludf.DUMMYFUNCTION("GOOGLETRANSLATE(A2799 , ""tr"" , ""en"")"),"Bangladesh, COVID-19 patients citizen Tuba Ahsan, Bangladeshi wife Mossaddoue Ahsan and three-year-old twins to Istanbul with our air ambulance plane. Bangladesh has started their unassigned treatment. We are happy. We made our task against a Turkish citi"&amp;"zen. https://t.co/1fIpe2gose")</f>
        <v>Bangladesh, COVID-19 patients citizen Tuba Ahsan, Bangladeshi wife Mossaddoue Ahsan and three-year-old twins to Istanbul with our air ambulance plane. Bangladesh has started their unassigned treatment. We are happy. We made our task against a Turkish citizen. https://t.co/1fIpe2gose</v>
      </c>
    </row>
    <row r="2800" spans="1:5" ht="15.75" customHeight="1" x14ac:dyDescent="0.25">
      <c r="A2800" s="1" t="s">
        <v>5599</v>
      </c>
      <c r="B2800" s="1">
        <v>69164</v>
      </c>
      <c r="C2800" s="3">
        <v>43975.712858796294</v>
      </c>
      <c r="D2800" s="1" t="s">
        <v>5600</v>
      </c>
      <c r="E2800" s="4" t="str">
        <f ca="1">IFERROR(__xludf.DUMMYFUNCTION("GOOGLETRANSLATE(A2800 , ""tr"" , ""en"")"),"The total number of patients recovering approached 120 thousand. In the new case number of variability at the prescribed level. The need for intensive care support is decreasing. Falling the risk is further possible with strong measure. Strong measure is "&amp;"the measure to be taken together in social life. https://t.co/rvlhe7786o https://t.co/wotgsuqwsi")</f>
        <v>The total number of patients recovering approached 120 thousand. In the new case number of variability at the prescribed level. The need for intensive care support is decreasing. Falling the risk is further possible with strong measure. Strong measure is the measure to be taken together in social life. https://t.co/rvlhe7786o https://t.co/wotgsuqwsi</v>
      </c>
    </row>
    <row r="2801" spans="1:5" ht="15.75" customHeight="1" x14ac:dyDescent="0.25">
      <c r="A2801" s="1" t="s">
        <v>5601</v>
      </c>
      <c r="B2801" s="1">
        <v>0</v>
      </c>
      <c r="C2801" s="3">
        <v>43975.534398148149</v>
      </c>
      <c r="D2801" s="1" t="s">
        <v>5602</v>
      </c>
      <c r="E2801" s="4" t="str">
        <f ca="1">IFERROR(__xludf.DUMMYFUNCTION("GOOGLETRANSLATE(A2801 , ""tr"" , ""en"")"),"RT @drfahrettinkoca: This feast is close to our families at home and to each other at all. A break with our elders and our loved ones ...")</f>
        <v>RT @drfahrettinkoca: This feast is close to our families at home and to each other at all. A break with our elders and our loved ones ...</v>
      </c>
    </row>
    <row r="2802" spans="1:5" ht="15.75" customHeight="1" x14ac:dyDescent="0.25">
      <c r="A2802" s="1" t="s">
        <v>5603</v>
      </c>
      <c r="B2802" s="1">
        <v>73889</v>
      </c>
      <c r="C2802" s="3">
        <v>43974.992337962962</v>
      </c>
      <c r="D2802" s="1" t="s">
        <v>5604</v>
      </c>
      <c r="E2802" s="4" t="str">
        <f ca="1">IFERROR(__xludf.DUMMYFUNCTION("GOOGLETRANSLATE(A2802 , ""tr"" , ""en"")"),"This feast is at home with our families and to each other at all. We posted a bit of getting together with our elders and our loved ones. Our sincerest wish now is to live the goodies we can't live very soon. Our holiday get blessed. https://t.co/phacbnc4"&amp;"uy")</f>
        <v>This feast is at home with our families and to each other at all. We posted a bit of getting together with our elders and our loved ones. Our sincerest wish now is to live the goodies we can't live very soon. Our holiday get blessed. https://t.co/phacbnc4uy</v>
      </c>
    </row>
    <row r="2803" spans="1:5" ht="15.75" customHeight="1" x14ac:dyDescent="0.25">
      <c r="A2803" s="1" t="s">
        <v>5605</v>
      </c>
      <c r="B2803" s="1">
        <v>69690</v>
      </c>
      <c r="C2803" s="3">
        <v>43974.697025462963</v>
      </c>
      <c r="D2803" s="1" t="s">
        <v>5606</v>
      </c>
      <c r="E2803" s="4" t="str">
        <f ca="1">IFERROR(__xludf.DUMMYFUNCTION("GOOGLETRANSLATE(A2803 , ""tr"" , ""en"")"),"Our severe patients number of patients with support treatment continued to decrease today. We have a new case at the foreseeable level according to the number of tests. Our new life style: controlled social life, always measure together. Condition: Mask +"&amp;" 1.5 meters of social distance. https://t.co/rvlhe7786o https://t.co/tbotbay3cd")</f>
        <v>Our severe patients number of patients with support treatment continued to decrease today. We have a new case at the foreseeable level according to the number of tests. Our new life style: controlled social life, always measure together. Condition: Mask + 1.5 meters of social distance. https://t.co/rvlhe7786o https://t.co/tbotbay3cd</v>
      </c>
    </row>
    <row r="2804" spans="1:5" ht="15.75" customHeight="1" x14ac:dyDescent="0.25">
      <c r="A2804" s="1" t="s">
        <v>5607</v>
      </c>
      <c r="B2804" s="1">
        <v>39409</v>
      </c>
      <c r="C2804" s="3">
        <v>43974.648368055554</v>
      </c>
      <c r="D2804" s="1" t="s">
        <v>5608</v>
      </c>
      <c r="E2804" s="4" t="str">
        <f ca="1">IFERROR(__xludf.DUMMYFUNCTION("GOOGLETRANSLATE(A2804 , ""tr"" , ""en"")"),"Başakşehir Pine and Sakura city Hospital come to the world's first baby in Women's Diseases and Maternity Hospital. Baby by Baby was called Sakura by his mother by his mother. Welcome, you bring hope to the world Bay Sakura. We celebrate the Tuğba and Öme"&amp;"r Sonmez pair. https://t.co/xIoduanfuu")</f>
        <v>Başakşehir Pine and Sakura city Hospital come to the world's first baby in Women's Diseases and Maternity Hospital. Baby by Baby was called Sakura by his mother by his mother. Welcome, you bring hope to the world Bay Sakura. We celebrate the Tuğba and Ömer Sonmez pair. https://t.co/xIoduanfuu</v>
      </c>
    </row>
    <row r="2805" spans="1:5" ht="15.75" customHeight="1" x14ac:dyDescent="0.25">
      <c r="A2805" s="1" t="s">
        <v>5609</v>
      </c>
      <c r="B2805" s="1">
        <v>75014</v>
      </c>
      <c r="C2805" s="3">
        <v>43974.070300925923</v>
      </c>
      <c r="D2805" s="1" t="s">
        <v>5610</v>
      </c>
      <c r="E2805" s="4" t="str">
        <f ca="1">IFERROR(__xludf.DUMMYFUNCTION("GOOGLETRANSLATE(A2805 , ""tr"" , ""en"")"),"In order to regain again next year, we are auspicious of the sultan of eleven months. Your final coast is your final iftar Mubarak. We were with our families this year. Even though the hearts were one, we have lacked unfortunately. We will soon share life"&amp;" more. https://t.co/bt0vmmh4ov")</f>
        <v>In order to regain again next year, we are auspicious of the sultan of eleven months. Your final coast is your final iftar Mubarak. We were with our families this year. Even though the hearts were one, we have lacked unfortunately. We will soon share life more. https://t.co/bt0vmmh4ov</v>
      </c>
    </row>
    <row r="2806" spans="1:5" ht="15.75" customHeight="1" x14ac:dyDescent="0.25">
      <c r="A2806" s="1" t="s">
        <v>5611</v>
      </c>
      <c r="B2806" s="1">
        <v>28964</v>
      </c>
      <c r="C2806" s="3">
        <v>43973.832280092596</v>
      </c>
      <c r="D2806" s="1" t="s">
        <v>5612</v>
      </c>
      <c r="E2806" s="4" t="str">
        <f ca="1">IFERROR(__xludf.DUMMYFUNCTION("GOOGLETRANSLATE(A2806 , ""tr"" , ""en"")"),"We have made a meeting before the feast with the health manager of our 81. We have consulted the second period of our challenge of provincial provincial developments and coronavirus. Each point of the country is our new life style: Controlled social life,"&amp;" always measure together. https://t.co/tinswvvpqv")</f>
        <v>We have made a meeting before the feast with the health manager of our 81. We have consulted the second period of our challenge of provincial provincial developments and coronavirus. Each point of the country is our new life style: Controlled social life, always measure together. https://t.co/tinswvvpqv</v>
      </c>
    </row>
    <row r="2807" spans="1:5" ht="15.75" customHeight="1" x14ac:dyDescent="0.25">
      <c r="A2807" s="1" t="s">
        <v>5613</v>
      </c>
      <c r="B2807" s="1">
        <v>61081</v>
      </c>
      <c r="C2807" s="3">
        <v>43973.783576388887</v>
      </c>
      <c r="D2807" s="1" t="s">
        <v>5614</v>
      </c>
      <c r="E2807" s="4" t="str">
        <f ca="1">IFERROR(__xludf.DUMMYFUNCTION("GOOGLETRANSLATE(A2807 , ""tr"" , ""en"")"),"Our friend was an accident in Pakistan, the people of the country and ours deeply upset. A plane carrying 107 passengers fell into a settlement area in Karachi city. According to the first information, there are no right survivors from the accident, inclu"&amp;"ding crew. Good news hopes to come, we are condolences to friendly Pakistan.")</f>
        <v>Our friend was an accident in Pakistan, the people of the country and ours deeply upset. A plane carrying 107 passengers fell into a settlement area in Karachi city. According to the first information, there are no right survivors from the accident, including crew. Good news hopes to come, we are condolences to friendly Pakistan.</v>
      </c>
    </row>
    <row r="2808" spans="1:5" ht="15.75" customHeight="1" x14ac:dyDescent="0.25">
      <c r="A2808" s="1" t="s">
        <v>5615</v>
      </c>
      <c r="B2808" s="1">
        <v>85680</v>
      </c>
      <c r="C2808" s="3">
        <v>43973.704074074078</v>
      </c>
      <c r="D2808" s="1" t="s">
        <v>5616</v>
      </c>
      <c r="E2808" s="4" t="str">
        <f ca="1">IFERROR(__xludf.DUMMYFUNCTION("GOOGLETRANSLATE(A2808 , ""tr"" , ""en"")"),"Despite the increasing number of tests, the number of new cases is below 1,000. The number of needed to treatment is decreasing. Our new life style: controlled social life, always measure together. Condition: Mask + 1.5 meters of social distance. https://"&amp;"t.co/rvlhe7786o https://t.co/unmkjeug23")</f>
        <v>Despite the increasing number of tests, the number of new cases is below 1,000. The number of needed to treatment is decreasing. Our new life style: controlled social life, always measure together. Condition: Mask + 1.5 meters of social distance. https://t.co/rvlhe7786o https://t.co/unmkjeug23</v>
      </c>
    </row>
    <row r="2809" spans="1:5" ht="15.75" customHeight="1" x14ac:dyDescent="0.25">
      <c r="A2809" s="1" t="s">
        <v>5617</v>
      </c>
      <c r="B2809" s="1">
        <v>39183</v>
      </c>
      <c r="C2809" s="3">
        <v>43973.119212962964</v>
      </c>
      <c r="D2809" s="1" t="s">
        <v>5618</v>
      </c>
      <c r="E2809" s="4" t="str">
        <f ca="1">IFERROR(__xludf.DUMMYFUNCTION("GOOGLETRANSLATE(A2809 , ""tr"" , ""en"")"),"The hearts are one. The distance between the scissors. We will soon cut the ribbons shorter. https://t.co/bwszqztqxg")</f>
        <v>The hearts are one. The distance between the scissors. We will soon cut the ribbons shorter. https://t.co/bwszqztqxg</v>
      </c>
    </row>
    <row r="2810" spans="1:5" ht="15.75" customHeight="1" x14ac:dyDescent="0.25">
      <c r="A2810" s="1" t="s">
        <v>5619</v>
      </c>
      <c r="B2810" s="1">
        <v>24310</v>
      </c>
      <c r="C2810" s="3">
        <v>43972.938310185185</v>
      </c>
      <c r="D2810" s="1" t="s">
        <v>5620</v>
      </c>
      <c r="E2810" s="4" t="str">
        <f ca="1">IFERROR(__xludf.DUMMYFUNCTION("GOOGLETRANSLATE(A2810 , ""tr"" , ""en"")"),"Our city hospitals are the last ceremony reached in the field of hospitalism in terms of technology and comfort. However, the devices are always human that makes the buildings meaningful. Basaksehir Pine and Sakura City Hospital will provide our soul of h"&amp;"ealth care, which serves without recognizing the overtime limit. https://t.co/hfjfrq8pax")</f>
        <v>Our city hospitals are the last ceremony reached in the field of hospitalism in terms of technology and comfort. However, the devices are always human that makes the buildings meaningful. Basaksehir Pine and Sakura City Hospital will provide our soul of health care, which serves without recognizing the overtime limit. https://t.co/hfjfrq8pax</v>
      </c>
    </row>
    <row r="2811" spans="1:5" ht="15.75" customHeight="1" x14ac:dyDescent="0.25">
      <c r="A2811" s="1" t="s">
        <v>5621</v>
      </c>
      <c r="B2811" s="1">
        <v>21268</v>
      </c>
      <c r="C2811" s="3">
        <v>43972.895219907405</v>
      </c>
      <c r="D2811" s="1" t="s">
        <v>5622</v>
      </c>
      <c r="E2811" s="4" t="str">
        <f ca="1">IFERROR(__xludf.DUMMYFUNCTION("GOOGLETRANSLATE(A2811 , ""tr"" , ""en"")"),"The city hospitals that we opened a new one has been a measure that attracts the hazards in the dangers very pre-set. The burden in the fight against the output is mainly shouldered our city hospitals. We have seen how many accomplished investments are th"&amp;"at these investments have been living together in the process. https://t.co/un827gpcn3")</f>
        <v>The city hospitals that we opened a new one has been a measure that attracts the hazards in the dangers very pre-set. The burden in the fight against the output is mainly shouldered our city hospitals. We have seen how many accomplished investments are that these investments have been living together in the process. https://t.co/un827gpcn3</v>
      </c>
    </row>
    <row r="2812" spans="1:5" ht="15.75" customHeight="1" x14ac:dyDescent="0.25">
      <c r="A2812" s="1" t="s">
        <v>5623</v>
      </c>
      <c r="B2812" s="1">
        <v>0</v>
      </c>
      <c r="C2812" s="3">
        <v>43972.844780092593</v>
      </c>
      <c r="D2812" s="1" t="s">
        <v>5624</v>
      </c>
      <c r="E2812" s="4" t="str">
        <f ca="1">IFERROR(__xludf.DUMMYFUNCTION("GOOGLETRANSLATE(A2812 , ""tr"" , ""en"")"),"RT @rterdogan: ""Our fate and your grief is partnered"" with the belief that we have to mobilize for all humanity against the release of the possibilities.")</f>
        <v>RT @rterdogan: "Our fate and your grief is partnered" with the belief that we have to mobilize for all humanity against the release of the possibilities.</v>
      </c>
    </row>
    <row r="2813" spans="1:5" ht="15.75" customHeight="1" x14ac:dyDescent="0.25">
      <c r="A2813" s="1" t="s">
        <v>5625</v>
      </c>
      <c r="B2813" s="1">
        <v>31308</v>
      </c>
      <c r="C2813" s="3">
        <v>43972.802893518521</v>
      </c>
      <c r="D2813" s="1" t="s">
        <v>5626</v>
      </c>
      <c r="E2813" s="4" t="str">
        <f ca="1">IFERROR(__xludf.DUMMYFUNCTION("GOOGLETRANSLATE(A2813 , ""tr"" , ""en"")"),"Basaksehir Pine and Sakura City Hospital, our President of our President. By Erdoğan, Japan Prime Minister Mr. Abe has been opened to service today with the ceremony attended online. Our new city hospital hosts a large number of hospitals on site. Will be"&amp;" able to accept 35,000 patients a day. Congratulations. https://t.co/uo1maufhqi")</f>
        <v>Basaksehir Pine and Sakura City Hospital, our President of our President. By Erdoğan, Japan Prime Minister Mr. Abe has been opened to service today with the ceremony attended online. Our new city hospital hosts a large number of hospitals on site. Will be able to accept 35,000 patients a day. Congratulations. https://t.co/uo1maufhqi</v>
      </c>
    </row>
    <row r="2814" spans="1:5" ht="15.75" customHeight="1" x14ac:dyDescent="0.25">
      <c r="A2814" s="1" t="s">
        <v>5627</v>
      </c>
      <c r="B2814" s="1">
        <v>0</v>
      </c>
      <c r="C2814" s="3">
        <v>43972.705868055556</v>
      </c>
      <c r="D2814" s="1" t="s">
        <v>5628</v>
      </c>
      <c r="E2814" s="4" t="str">
        <f ca="1">IFERROR(__xludf.DUMMYFUNCTION("GOOGLETRANSLATE(A2814 , ""tr"" , ""en"")"),"RT @rterdogan: Basaksehir Pine and Sakura City Hospital, good quality and inclusive health service is a far better understood ...")</f>
        <v>RT @rterdogan: Basaksehir Pine and Sakura City Hospital, good quality and inclusive health service is a far better understood ...</v>
      </c>
    </row>
    <row r="2815" spans="1:5" ht="15.75" customHeight="1" x14ac:dyDescent="0.25">
      <c r="A2815" s="1" t="s">
        <v>5629</v>
      </c>
      <c r="B2815" s="1">
        <v>94415</v>
      </c>
      <c r="C2815" s="3">
        <v>43972.682245370372</v>
      </c>
      <c r="D2815" s="1" t="s">
        <v>5630</v>
      </c>
      <c r="E2815" s="4" t="str">
        <f ca="1">IFERROR(__xludf.DUMMYFUNCTION("GOOGLETRANSLATE(A2815 , ""tr"" , ""en"")"),"Despite the increased number of tests, the number of cases of the positive cases is predicted. The number of patients who need support treatment decreases. Our new life style: controlled social life, always measure together. Condition: Mask + 1.5 meters o"&amp;"f social distance. https://t.co/rvlhe7786o https://t.co/a0okzyomsg")</f>
        <v>Despite the increased number of tests, the number of cases of the positive cases is predicted. The number of patients who need support treatment decreases. Our new life style: controlled social life, always measure together. Condition: Mask + 1.5 meters of social distance. https://t.co/rvlhe7786o https://t.co/a0okzyomsg</v>
      </c>
    </row>
    <row r="2816" spans="1:5" ht="15.75" customHeight="1" x14ac:dyDescent="0.25">
      <c r="A2816" s="1" t="s">
        <v>5631</v>
      </c>
      <c r="B2816" s="1">
        <v>0</v>
      </c>
      <c r="C2816" s="3">
        <v>43972.436400462961</v>
      </c>
      <c r="D2816" s="1" t="s">
        <v>5632</v>
      </c>
      <c r="E2816" s="4" t="str">
        <f ca="1">IFERROR(__xludf.DUMMYFUNCTION("GOOGLETRANSLATE(A2816 , ""tr"" , ""en"")"),"RT @rterdogan: Basaksehir Pine and Sakura City Hospital Opening Ceremony https://t.co/ACINFXVTP")</f>
        <v>RT @rterdogan: Basaksehir Pine and Sakura City Hospital Opening Ceremony https://t.co/ACINFXVTP</v>
      </c>
    </row>
    <row r="2817" spans="1:5" ht="15.75" customHeight="1" x14ac:dyDescent="0.25">
      <c r="A2817" s="1" t="s">
        <v>5633</v>
      </c>
      <c r="B2817" s="1">
        <v>0</v>
      </c>
      <c r="C2817" s="3">
        <v>43972.337951388887</v>
      </c>
      <c r="D2817" s="1" t="s">
        <v>5634</v>
      </c>
      <c r="E2817" s="4" t="str">
        <f ca="1">IFERROR(__xludf.DUMMYFUNCTION("GOOGLETRANSLATE(A2817 , ""tr"" , ""en"")"),"Rt @drfahrettinkoca: Basaksehir Pine and Sakura City Hospital, our President of our President. By Erdogan, Japan Prime Minister Mr. Abe's Onlin ...")</f>
        <v>Rt @drfahrettinkoca: Basaksehir Pine and Sakura City Hospital, our President of our President. By Erdogan, Japan Prime Minister Mr. Abe's Onlin ...</v>
      </c>
    </row>
    <row r="2818" spans="1:5" ht="15.75" customHeight="1" x14ac:dyDescent="0.25">
      <c r="A2818" s="1" t="s">
        <v>5635</v>
      </c>
      <c r="B2818" s="1">
        <v>23541</v>
      </c>
      <c r="C2818" s="3">
        <v>43971.884675925925</v>
      </c>
      <c r="D2818" s="1" t="s">
        <v>5636</v>
      </c>
      <c r="E2818" s="4" t="str">
        <f ca="1">IFERROR(__xludf.DUMMYFUNCTION("GOOGLETRANSLATE(A2818 , ""tr"" , ""en"")"),"Prof. Dr. Prof. Murat Dilmener, profile to the other. We have the name of our Feriha self-teacher. The two hospitals in question are not the later functions, even though these two scientists are made to live the name of our people, even this is a sufficie"&amp;"nt reason. https://t.co/3sebvp7jz1")</f>
        <v>Prof. Dr. Prof. Murat Dilmener, profile to the other. We have the name of our Feriha self-teacher. The two hospitals in question are not the later functions, even though these two scientists are made to live the name of our people, even this is a sufficient reason. https://t.co/3sebvp7jz1</v>
      </c>
    </row>
    <row r="2819" spans="1:5" ht="15.75" customHeight="1" x14ac:dyDescent="0.25">
      <c r="A2819" s="1" t="s">
        <v>5637</v>
      </c>
      <c r="B2819" s="1">
        <v>36044</v>
      </c>
      <c r="C2819" s="3">
        <v>43971.817870370367</v>
      </c>
      <c r="D2819" s="1" t="s">
        <v>5638</v>
      </c>
      <c r="E2819" s="4" t="str">
        <f ca="1">IFERROR(__xludf.DUMMYFUNCTION("GOOGLETRANSLATE(A2819 , ""tr"" , ""en"")"),"Basaksehir Pine and Sakura City Hospital, our President of our President. By Erdogan, Japanese Prime Minister Mr. Abe is opened at 13.00 tomorrow tomorrow to serve in all their stage. This city is our hospital, a city of hospitals. May our nation be auspi"&amp;"cious. https://t.co/81Io47xlgp")</f>
        <v>Basaksehir Pine and Sakura City Hospital, our President of our President. By Erdogan, Japanese Prime Minister Mr. Abe is opened at 13.00 tomorrow tomorrow to serve in all their stage. This city is our hospital, a city of hospitals. May our nation be auspicious. https://t.co/81Io47xlgp</v>
      </c>
    </row>
    <row r="2820" spans="1:5" ht="15.75" customHeight="1" x14ac:dyDescent="0.25">
      <c r="A2820" s="1" t="s">
        <v>5639</v>
      </c>
      <c r="B2820" s="1">
        <v>53092</v>
      </c>
      <c r="C2820" s="3">
        <v>43971.780659722222</v>
      </c>
      <c r="D2820" s="1" t="s">
        <v>5640</v>
      </c>
      <c r="E2820" s="4" t="str">
        <f ca="1">IFERROR(__xludf.DUMMYFUNCTION("GOOGLETRANSLATE(A2820 , ""tr"" , ""en"")"),"Mazhar Fuat Özkan, the masters of Turkish pop in the first partner songs after a break did the music of the measures. Even commons between them are masked, distance. When we want to say, they are right, they say, very beautiful. Promise; Masked, distance,"&amp;" surprise music. https://t.co/y1bpbcrvhe")</f>
        <v>Mazhar Fuat Özkan, the masters of Turkish pop in the first partner songs after a break did the music of the measures. Even commons between them are masked, distance. When we want to say, they are right, they say, very beautiful. Promise; Masked, distance, surprise music. https://t.co/y1bpbcrvhe</v>
      </c>
    </row>
    <row r="2821" spans="1:5" ht="15.75" customHeight="1" x14ac:dyDescent="0.25">
      <c r="A2821" s="1" t="s">
        <v>5641</v>
      </c>
      <c r="B2821" s="1">
        <v>16887</v>
      </c>
      <c r="C2821" s="3">
        <v>43971.751377314817</v>
      </c>
      <c r="D2821" s="1" t="s">
        <v>5642</v>
      </c>
      <c r="E2821" s="4" t="str">
        <f ca="1">IFERROR(__xludf.DUMMYFUNCTION("GOOGLETRANSLATE(A2821 , ""tr"" , ""en"")"),"In the process, the world has realized a truth. The health sentence of each work is related to every area of ​​life, which is regressed in the face of the epidemic. Investments to health in our country are a big hit. The health safety of individuals is a "&amp;"high right. Health investments are the requirement of social welfare. https://t.co/vjmx5whuok")</f>
        <v>In the process, the world has realized a truth. The health sentence of each work is related to every area of ​​life, which is regressed in the face of the epidemic. Investments to health in our country are a big hit. The health safety of individuals is a high right. Health investments are the requirement of social welfare. https://t.co/vjmx5whuok</v>
      </c>
    </row>
    <row r="2822" spans="1:5" ht="15.75" customHeight="1" x14ac:dyDescent="0.25">
      <c r="A2822" s="1" t="s">
        <v>5643</v>
      </c>
      <c r="B2822" s="1">
        <v>22806</v>
      </c>
      <c r="C2822" s="3">
        <v>43971.740381944444</v>
      </c>
      <c r="D2822" s="1" t="s">
        <v>5644</v>
      </c>
      <c r="E2822" s="4" t="str">
        <f ca="1">IFERROR(__xludf.DUMMYFUNCTION("GOOGLETRANSLATE(A2822 , ""tr"" , ""en"")"),"Let's stay in our house on holidays. Let's not make the holiday celebrations. To our parents, we are not a dangerous proximity to our biggest. Consider and call the most beautiful words for them. The sentence of the heart has established a greater proximi"&amp;"ty to kissing a mother's hand. https://t.co/5zggxekgs2")</f>
        <v>Let's stay in our house on holidays. Let's not make the holiday celebrations. To our parents, we are not a dangerous proximity to our biggest. Consider and call the most beautiful words for them. The sentence of the heart has established a greater proximity to kissing a mother's hand. https://t.co/5zggxekgs2</v>
      </c>
    </row>
    <row r="2823" spans="1:5" ht="15.75" customHeight="1" x14ac:dyDescent="0.25">
      <c r="A2823" s="1" t="s">
        <v>5645</v>
      </c>
      <c r="B2823" s="1">
        <v>18137</v>
      </c>
      <c r="C2823" s="3">
        <v>43971.725474537037</v>
      </c>
      <c r="D2823" s="1" t="s">
        <v>5646</v>
      </c>
      <c r="E2823" s="4" t="str">
        <f ca="1">IFERROR(__xludf.DUMMYFUNCTION("GOOGLETRANSLATE(A2823 , ""tr"" , ""en"")"),"The livable of life will bring measures. According to the measures in the holiday, we will be more free later. We should stay at home on holidays. The days of the feast should not be the days of re-spreading of the virus. If we celebrate the holiday as ol"&amp;"d as we used to be able to return to the days of the disease. https://t.co/jsbzn33xrc")</f>
        <v>The livable of life will bring measures. According to the measures in the holiday, we will be more free later. We should stay at home on holidays. The days of the feast should not be the days of re-spreading of the virus. If we celebrate the holiday as old as we used to be able to return to the days of the disease. https://t.co/jsbzn33xrc</v>
      </c>
    </row>
    <row r="2824" spans="1:5" ht="15.75" customHeight="1" x14ac:dyDescent="0.25">
      <c r="A2824" s="1" t="s">
        <v>5647</v>
      </c>
      <c r="B2824" s="1">
        <v>18326</v>
      </c>
      <c r="C2824" s="3">
        <v>43971.686655092592</v>
      </c>
      <c r="D2824" s="1" t="s">
        <v>5648</v>
      </c>
      <c r="E2824" s="4" t="str">
        <f ca="1">IFERROR(__xludf.DUMMYFUNCTION("GOOGLETRANSLATE(A2824 , ""tr"" , ""en"")"),"The stiffness of the challenge we give against the coronavirus is on screens every evening. We have not experienced hopeless single day as the strategy teams of health professionals, science board and epidemic strategy teams. At the point of the point, th"&amp;"is hope focuses on the days of the measures that it would contain at least minor. https://t.co/1mapja2h9k")</f>
        <v>The stiffness of the challenge we give against the coronavirus is on screens every evening. We have not experienced hopeless single day as the strategy teams of health professionals, science board and epidemic strategy teams. At the point of the point, this hope focuses on the days of the measures that it would contain at least minor. https://t.co/1mapja2h9k</v>
      </c>
    </row>
    <row r="2825" spans="1:5" ht="15.75" customHeight="1" x14ac:dyDescent="0.25">
      <c r="A2825" s="1" t="s">
        <v>5649</v>
      </c>
      <c r="B2825" s="1">
        <v>137582</v>
      </c>
      <c r="C2825" s="3">
        <v>43971.673877314817</v>
      </c>
      <c r="D2825" s="1" t="s">
        <v>5650</v>
      </c>
      <c r="E2825" s="4" t="str">
        <f ca="1">IFERROR(__xludf.DUMMYFUNCTION("GOOGLETRANSLATE(A2825 , ""tr"" , ""en"")"),"Our case count has fallen below 1,000. The number of patients we lost is also declined today. By changing the terms with the virus, we will fight more free. Our new life style: controlled social life, always measure together. Condition: Mask + 1.5 meters "&amp;"of social distance. https://t.co/rvlhe7786o https://t.co/axlmtrakve")</f>
        <v>Our case count has fallen below 1,000. The number of patients we lost is also declined today. By changing the terms with the virus, we will fight more free. Our new life style: controlled social life, always measure together. Condition: Mask + 1.5 meters of social distance. https://t.co/rvlhe7786o https://t.co/axlmtrakve</v>
      </c>
    </row>
    <row r="2826" spans="1:5" ht="15.75" customHeight="1" x14ac:dyDescent="0.25">
      <c r="A2826" s="1" t="s">
        <v>5651</v>
      </c>
      <c r="B2826" s="1">
        <v>16069</v>
      </c>
      <c r="C2826" s="3">
        <v>43971.590613425928</v>
      </c>
      <c r="D2826" s="1" t="s">
        <v>5652</v>
      </c>
      <c r="E2826" s="4" t="str">
        <f ca="1">IFERROR(__xludf.DUMMYFUNCTION("GOOGLETRANSLATE(A2826 , ""tr"" , ""en"")"),"After our Science Board meeting, the latest developments on the coronavirus and the new measures we receive.
📍Public Ministry Bilkent Campus / Ankara
https://t.co/lluwdedgyz")</f>
        <v>After our Science Board meeting, the latest developments on the coronavirus and the new measures we receive.
📍Public Ministry Bilkent Campus / Ankara
https://t.co/lluwdedgyz</v>
      </c>
    </row>
    <row r="2827" spans="1:5" ht="15.75" customHeight="1" x14ac:dyDescent="0.25">
      <c r="A2827" s="1" t="s">
        <v>5653</v>
      </c>
      <c r="B2827" s="1">
        <v>57240</v>
      </c>
      <c r="C2827" s="3">
        <v>43970.96</v>
      </c>
      <c r="D2827" s="1" t="s">
        <v>5654</v>
      </c>
      <c r="E2827" s="4" t="str">
        <f ca="1">IFERROR(__xludf.DUMMYFUNCTION("GOOGLETRANSLATE(A2827 , ""tr"" , ""en"")"),"A small factor is called a butterfly effect to give rise to non-predictable size results. The coronavirus in Vuhan is like the lower top of the life all over the world. Now also a small neglect, an end from an end can affect all Turkey. The risk continues"&amp;". Let's obey the measures. https://t.co/w6w3b8lc1a")</f>
        <v>A small factor is called a butterfly effect to give rise to non-predictable size results. The coronavirus in Vuhan is like the lower top of the life all over the world. Now also a small neglect, an end from an end can affect all Turkey. The risk continues. Let's obey the measures. https://t.co/w6w3b8lc1a</v>
      </c>
    </row>
    <row r="2828" spans="1:5" ht="15.75" customHeight="1" x14ac:dyDescent="0.25">
      <c r="A2828" s="1" t="s">
        <v>5655</v>
      </c>
      <c r="B2828" s="1">
        <v>36382</v>
      </c>
      <c r="C2828" s="3">
        <v>43970.788958333331</v>
      </c>
      <c r="D2828" s="1" t="s">
        <v>5656</v>
      </c>
      <c r="E2828" s="4" t="str">
        <f ca="1">IFERROR(__xludf.DUMMYFUNCTION("GOOGLETRANSLATE(A2828 , ""tr"" , ""en"")"),"Kadir Night: The night of the YCELIS. The night of the uretency call. Every person's night to be a ""acz"". Search Joy spread to the whole moon, the day is a piece of pitched night. Message not to repeat mistakes is to know that the world is coming to the"&amp;" world. Happy your night. https://t.co/ngxmpm5cvu")</f>
        <v>Kadir Night: The night of the YCELIS. The night of the uretency call. Every person's night to be a "acz". Search Joy spread to the whole moon, the day is a piece of pitched night. Message not to repeat mistakes is to know that the world is coming to the world. Happy your night. https://t.co/ngxmpm5cvu</v>
      </c>
    </row>
    <row r="2829" spans="1:5" ht="15.75" customHeight="1" x14ac:dyDescent="0.25">
      <c r="A2829" s="1" t="s">
        <v>5657</v>
      </c>
      <c r="B2829" s="1">
        <v>34782</v>
      </c>
      <c r="C2829" s="3">
        <v>43970.778090277781</v>
      </c>
      <c r="D2829" s="1" t="s">
        <v>5658</v>
      </c>
      <c r="E2829" s="4" t="str">
        <f ca="1">IFERROR(__xludf.DUMMYFUNCTION("GOOGLETRANSLATE(A2829 , ""tr"" , ""en"")"),"In 19.19, with the soul of 1919, we have read our Istiklal anthem in our Ministry Building. These moments we are the only sound will be the moments that our tomorrows will be inspired. May the spirit of life-filled national struggle spirit, give us streng"&amp;"th in every struggle. May 19 Atatürk Memorial, Youth and Sportal Day once more. https://t.co/itp5rfax5p")</f>
        <v>In 19.19, with the soul of 1919, we have read our Istiklal anthem in our Ministry Building. These moments we are the only sound will be the moments that our tomorrows will be inspired. May the spirit of life-filled national struggle spirit, give us strength in every struggle. May 19 Atatürk Memorial, Youth and Sportal Day once more. https://t.co/itp5rfax5p</v>
      </c>
    </row>
    <row r="2830" spans="1:5" ht="15.75" customHeight="1" x14ac:dyDescent="0.25">
      <c r="A2830" s="1" t="s">
        <v>5659</v>
      </c>
      <c r="B2830" s="1">
        <v>21451</v>
      </c>
      <c r="C2830" s="3">
        <v>43970.707766203705</v>
      </c>
      <c r="D2830" s="1" t="s">
        <v>5660</v>
      </c>
      <c r="E2830" s="4" t="str">
        <f ca="1">IFERROR(__xludf.DUMMYFUNCTION("GOOGLETRANSLATE(A2830 , ""tr"" , ""en"")"),"Our Minister of Culture and Tourism is sec. With Mehmet Nuri Ersoy, we have made an interview in our ministry. The process of transforming the conditions to normal, we addressed the measures of tourists who will come to Turkey. We have been in important c"&amp;"onsultations on topics such as health tourism. https://t.co/iv2maweyid")</f>
        <v>Our Minister of Culture and Tourism is sec. With Mehmet Nuri Ersoy, we have made an interview in our ministry. The process of transforming the conditions to normal, we addressed the measures of tourists who will come to Turkey. We have been in important consultations on topics such as health tourism. https://t.co/iv2maweyid</v>
      </c>
    </row>
    <row r="2831" spans="1:5" ht="15.75" customHeight="1" x14ac:dyDescent="0.25">
      <c r="A2831" s="1" t="s">
        <v>5661</v>
      </c>
      <c r="B2831" s="1">
        <v>19341</v>
      </c>
      <c r="C2831" s="3">
        <v>43970.703263888892</v>
      </c>
      <c r="D2831" s="1" t="s">
        <v>5662</v>
      </c>
      <c r="E2831" s="4" t="str">
        <f ca="1">IFERROR(__xludf.DUMMYFUNCTION("GOOGLETRANSLATE(A2831 , ""tr"" , ""en"")"),"Our Youth and Sports Minister SN. I received a letter from Kasapoğlu's hand. This letter was written to the heroes of the forefront of our challenging coronavirus. And was the first in the competition. Our Minister said that you have more than 7,562 lette"&amp;"rs. We also appreciate you, all of the teenagers, all in the name of the letter will reach the letter. https://t.co/vm8v5bmxoe")</f>
        <v>Our Youth and Sports Minister SN. I received a letter from Kasapoğlu's hand. This letter was written to the heroes of the forefront of our challenging coronavirus. And was the first in the competition. Our Minister said that you have more than 7,562 letters. We also appreciate you, all of the teenagers, all in the name of the letter will reach the letter. https://t.co/vm8v5bmxoe</v>
      </c>
    </row>
    <row r="2832" spans="1:5" ht="15.75" customHeight="1" x14ac:dyDescent="0.25">
      <c r="A2832" s="1" t="s">
        <v>5663</v>
      </c>
      <c r="B2832" s="1">
        <v>106353</v>
      </c>
      <c r="C2832" s="3">
        <v>43970.666724537034</v>
      </c>
      <c r="D2832" s="1" t="s">
        <v>5664</v>
      </c>
      <c r="E2832" s="4" t="str">
        <f ca="1">IFERROR(__xludf.DUMMYFUNCTION("GOOGLETRANSLATE(A2832 , ""tr"" , ""en"")"),"There is a decrease in the expected level in the new case number. The number of patients who need intensive care is falling. Our healing patient count is at the projected level. Our life style controlled social life, always measure together. Condition: Ma"&amp;"sk + 1.5 meters of social distance. https://t.co/rvlhe7786o https://t.co/41c5v1vbkn")</f>
        <v>There is a decrease in the expected level in the new case number. The number of patients who need intensive care is falling. Our healing patient count is at the projected level. Our life style controlled social life, always measure together. Condition: Mask + 1.5 meters of social distance. https://t.co/rvlhe7786o https://t.co/41c5v1vbkn</v>
      </c>
    </row>
    <row r="2833" spans="1:5" ht="15.75" customHeight="1" x14ac:dyDescent="0.25">
      <c r="A2833" s="1" t="s">
        <v>5665</v>
      </c>
      <c r="B2833" s="1">
        <v>53840</v>
      </c>
      <c r="C2833" s="3">
        <v>43970.554386574076</v>
      </c>
      <c r="D2833" s="1" t="s">
        <v>5666</v>
      </c>
      <c r="E2833" s="4" t="str">
        <f ca="1">IFERROR(__xludf.DUMMYFUNCTION("GOOGLETRANSLATE(A2833 , ""tr"" , ""en"")"),"In 19.19, all the sounds are combined with the 1919 soul. One-hearted, we are reading our Istiklal anthem. 83 million, which is filled with the energy of living, we carry the soul of the resurrection spirit of 19 May 1919, which started the national strug"&amp;"gle. May this soul struggle against the epidemic and give us strength for new life. https://t.co/kllnkojg2o")</f>
        <v>In 19.19, all the sounds are combined with the 1919 soul. One-hearted, we are reading our Istiklal anthem. 83 million, which is filled with the energy of living, we carry the soul of the resurrection spirit of 19 May 1919, which started the national struggle. May this soul struggle against the epidemic and give us strength for new life. https://t.co/kllnkojg2o</v>
      </c>
    </row>
    <row r="2834" spans="1:5" ht="15.75" customHeight="1" x14ac:dyDescent="0.25">
      <c r="A2834" s="1" t="s">
        <v>5667</v>
      </c>
      <c r="B2834" s="1">
        <v>39108</v>
      </c>
      <c r="C2834" s="3">
        <v>43970.219247685185</v>
      </c>
      <c r="D2834" s="1" t="s">
        <v>5668</v>
      </c>
      <c r="E2834" s="4" t="str">
        <f ca="1">IFERROR(__xludf.DUMMYFUNCTION("GOOGLETRANSLATE(A2834 , ""tr"" , ""en"")"),"Youth is the ability to see the fact that new for society is to see the truth. In the 19th May 1919 where the Bandırma Steamer had to Samsun, we were hugged this soul. The actual beginning of the national struggle is the 19th May Ataturk, who inspired the"&amp;" day of great hope, happy birthday, youth and sport holiday. https://t.co/nvygsph6sj")</f>
        <v>Youth is the ability to see the fact that new for society is to see the truth. In the 19th May 1919 where the Bandırma Steamer had to Samsun, we were hugged this soul. The actual beginning of the national struggle is the 19th May Ataturk, who inspired the day of great hope, happy birthday, youth and sport holiday. https://t.co/nvygsph6sj</v>
      </c>
    </row>
    <row r="2835" spans="1:5" ht="15.75" customHeight="1" x14ac:dyDescent="0.25">
      <c r="A2835" s="1" t="s">
        <v>5669</v>
      </c>
      <c r="B2835" s="1">
        <v>44599</v>
      </c>
      <c r="C2835" s="3">
        <v>43969.874178240738</v>
      </c>
      <c r="D2835" s="1" t="s">
        <v>5670</v>
      </c>
      <c r="E2835" s="4" t="str">
        <f ca="1">IFERROR(__xludf.DUMMYFUNCTION("GOOGLETRANSLATE(A2835 , ""tr"" , ""en"")"),"In Kars's Female Area and Hakkari Pukurca, we are unfortunately in the successful operation of our hero soldier to terrorists. Get the head of our great nationality. The treatment of our injured is in progress. The health care service to our military is t"&amp;"he most blessed for us. https://t.co/cpredkxfdg")</f>
        <v>In Kars's Female Area and Hakkari Pukurca, we are unfortunately in the successful operation of our hero soldier to terrorists. Get the head of our great nationality. The treatment of our injured is in progress. The health care service to our military is the most blessed for us. https://t.co/cpredkxfdg</v>
      </c>
    </row>
    <row r="2836" spans="1:5" ht="15.75" customHeight="1" x14ac:dyDescent="0.25">
      <c r="A2836" s="1" t="s">
        <v>5671</v>
      </c>
      <c r="B2836" s="1">
        <v>25710</v>
      </c>
      <c r="C2836" s="3">
        <v>43969.776631944442</v>
      </c>
      <c r="D2836" s="1" t="s">
        <v>5672</v>
      </c>
      <c r="E2836" s="4" t="str">
        <f ca="1">IFERROR(__xludf.DUMMYFUNCTION("GOOGLETRANSLATE(A2836 , ""tr"" , ""en"")"),"Dr. Nihat is durable. 1949 Birthed Akhisar. He graduated from the Ege University Faculty of Medicine. Took his specialty training here. He served as 28 years at the Pediest State Hospital. Continued his profession throughout his life. Finally the patient "&amp;"was looking at a medical center. Https://t.co/byemvfinsg for the challenge")</f>
        <v>Dr. Nihat is durable. 1949 Birthed Akhisar. He graduated from the Ege University Faculty of Medicine. Took his specialty training here. He served as 28 years at the Pediest State Hospital. Continued his profession throughout his life. Finally the patient was looking at a medical center. Https://t.co/byemvfinsg for the challenge</v>
      </c>
    </row>
    <row r="2837" spans="1:5" ht="15.75" customHeight="1" x14ac:dyDescent="0.25">
      <c r="A2837" s="1" t="s">
        <v>5673</v>
      </c>
      <c r="B2837" s="1">
        <v>87844</v>
      </c>
      <c r="C2837" s="3">
        <v>43969.708749999998</v>
      </c>
      <c r="D2837" s="1" t="s">
        <v>5674</v>
      </c>
      <c r="E2837" s="4" t="str">
        <f ca="1">IFERROR(__xludf.DUMMYFUNCTION("GOOGLETRANSLATE(A2837 , ""tr"" , ""en"")"),"The number of patients who need intensive care and respiratory support continues to decrease. The number of cases is at the predictable level. The role of the days we stay at home in the fight against the spread of the coronavirus is very large. Let's sta"&amp;"y at home tomorrow. https://t.co/rvlhe7786o https://t.co/MIV9N6RP1")</f>
        <v>The number of patients who need intensive care and respiratory support continues to decrease. The number of cases is at the predictable level. The role of the days we stay at home in the fight against the spread of the coronavirus is very large. Let's stay at home tomorrow. https://t.co/rvlhe7786o https://t.co/MIV9N6RP1</v>
      </c>
    </row>
    <row r="2838" spans="1:5" ht="15.75" customHeight="1" x14ac:dyDescent="0.25">
      <c r="A2838" s="1" t="s">
        <v>5675</v>
      </c>
      <c r="B2838" s="1">
        <v>0</v>
      </c>
      <c r="C2838" s="3">
        <v>43969.677476851852</v>
      </c>
      <c r="D2838" s="1" t="s">
        <v>5676</v>
      </c>
      <c r="E2838" s="4" t="str">
        <f ca="1">IFERROR(__xludf.DUMMYFUNCTION("GOOGLETRANSLATE(A2838 , ""tr"" , ""en"")"),"RT @rterdogan: Shouting Nation After Cabinet Meeting https://t.co/5x9ssy71eb")</f>
        <v>RT @rterdogan: Shouting Nation After Cabinet Meeting https://t.co/5x9ssy71eb</v>
      </c>
    </row>
    <row r="2839" spans="1:5" ht="15.75" customHeight="1" x14ac:dyDescent="0.25">
      <c r="A2839" s="1" t="s">
        <v>5677</v>
      </c>
      <c r="B2839" s="1">
        <v>39016</v>
      </c>
      <c r="C2839" s="3">
        <v>43968.961805555555</v>
      </c>
      <c r="D2839" s="1" t="s">
        <v>5678</v>
      </c>
      <c r="E2839" s="4" t="str">
        <f ca="1">IFERROR(__xludf.DUMMYFUNCTION("GOOGLETRANSLATE(A2839 , ""tr"" , ""en"")"),"We have been in view of the Yeşilköy Emergency Hospital, HADIMKÖY Hospital and Basaksehir City Hospital, which will add power to our health infrastructure and technologies. These are the opening of the Başakşehir city hospital in the next Thursday. Get au"&amp;"spicious already. https://t.co/7tf4adm3yg")</f>
        <v>We have been in view of the Yeşilköy Emergency Hospital, HADIMKÖY Hospital and Basaksehir City Hospital, which will add power to our health infrastructure and technologies. These are the opening of the Başakşehir city hospital in the next Thursday. Get auspicious already. https://t.co/7tf4adm3yg</v>
      </c>
    </row>
    <row r="2840" spans="1:5" ht="15.75" customHeight="1" x14ac:dyDescent="0.25">
      <c r="A2840" s="1" t="s">
        <v>5679</v>
      </c>
      <c r="B2840" s="1">
        <v>39736</v>
      </c>
      <c r="C2840" s="3">
        <v>43968.739479166667</v>
      </c>
      <c r="D2840" s="1" t="s">
        <v>5680</v>
      </c>
      <c r="E2840" s="4" t="str">
        <f ca="1">IFERROR(__xludf.DUMMYFUNCTION("GOOGLETRANSLATE(A2840 , ""tr"" , ""en"")"),"Dr. Yavuz Kalaycı. Born in 1964, Istanbul. Cerrahpaşa Medical Faculty 1989 graduate. The first place of service was Mardin. The disease was captured at the Nithana Family Health Center, which was subsequently called. He was close to their patients in life"&amp;" and two little girls. Https://t.co/ykda68acla for the challenge")</f>
        <v>Dr. Yavuz Kalaycı. Born in 1964, Istanbul. Cerrahpaşa Medical Faculty 1989 graduate. The first place of service was Mardin. The disease was captured at the Nithana Family Health Center, which was subsequently called. He was close to their patients in life and two little girls. Https://t.co/ykda68acla for the challenge</v>
      </c>
    </row>
    <row r="2841" spans="1:5" ht="15.75" customHeight="1" x14ac:dyDescent="0.25">
      <c r="A2841" s="1" t="s">
        <v>5681</v>
      </c>
      <c r="B2841" s="1">
        <v>76947</v>
      </c>
      <c r="C2841" s="3">
        <v>43968.684687499997</v>
      </c>
      <c r="D2841" s="1" t="s">
        <v>5682</v>
      </c>
      <c r="E2841" s="4" t="str">
        <f ca="1">IFERROR(__xludf.DUMMYFUNCTION("GOOGLETRANSLATE(A2841 , ""tr"" , ""en"")"),"A decline in the expected level has taken place on our number of new cases. Some data showed usual variability in the overall course. The role of the days we stay at home in the fight against the spread of the coronavirus is very large. Let's stay at home"&amp;" tomorrow and the next day. https://t.co/rvlhe7786o https://t.co/cqmx1rnurl")</f>
        <v>A decline in the expected level has taken place on our number of new cases. Some data showed usual variability in the overall course. The role of the days we stay at home in the fight against the spread of the coronavirus is very large. Let's stay at home tomorrow and the next day. https://t.co/rvlhe7786o https://t.co/cqmx1rnurl</v>
      </c>
    </row>
    <row r="2842" spans="1:5" ht="15.75" customHeight="1" x14ac:dyDescent="0.25">
      <c r="A2842" s="1" t="s">
        <v>5683</v>
      </c>
      <c r="B2842" s="1">
        <v>47575</v>
      </c>
      <c r="C2842" s="3">
        <v>43968.315567129626</v>
      </c>
      <c r="D2842" s="1" t="s">
        <v>5684</v>
      </c>
      <c r="E2842" s="4" t="str">
        <f ca="1">IFERROR(__xludf.DUMMYFUNCTION("GOOGLETRANSLATE(A2842 , ""tr"" , ""en"")"),"In our success against coronavirse, the role of the days you stay at home is great. Your right to get out and fade a little. Today is 12.00-18.00 streets between you. Don't neglect to wear a mask to protect yourself. And do not necessarily comply with the"&amp;" 1,5 m social distance rule. https://t.co/ecsj2a4mpv")</f>
        <v>In our success against coronavirse, the role of the days you stay at home is great. Your right to get out and fade a little. Today is 12.00-18.00 streets between you. Don't neglect to wear a mask to protect yourself. And do not necessarily comply with the 1,5 m social distance rule. https://t.co/ecsj2a4mpv</v>
      </c>
    </row>
    <row r="2843" spans="1:5" ht="15.75" customHeight="1" x14ac:dyDescent="0.25">
      <c r="A2843" s="1" t="s">
        <v>5685</v>
      </c>
      <c r="B2843" s="1">
        <v>62830</v>
      </c>
      <c r="C2843" s="3">
        <v>43967.730358796296</v>
      </c>
      <c r="D2843" s="1" t="s">
        <v>5686</v>
      </c>
      <c r="E2843" s="4" t="str">
        <f ca="1">IFERROR(__xludf.DUMMYFUNCTION("GOOGLETRANSLATE(A2843 , ""tr"" , ""en"")"),"PROF. Dr. Cemil Taşcıoğlu. 1952, born in Rize. He was a professor in 1998 at Istanbul Medical Faculty. An ecoled in the field of internal diseases. The physician for him was the manifestation of human love. He lost his life with the virus he receives whil"&amp;"e struggling with outbreaks. Https://t.co/jvknbqqfqr for the challenge")</f>
        <v>PROF. Dr. Cemil Taşcıoğlu. 1952, born in Rize. He was a professor in 1998 at Istanbul Medical Faculty. An ecoled in the field of internal diseases. The physician for him was the manifestation of human love. He lost his life with the virus he receives while struggling with outbreaks. Https://t.co/jvknbqqfqr for the challenge</v>
      </c>
    </row>
    <row r="2844" spans="1:5" ht="15.75" customHeight="1" x14ac:dyDescent="0.25">
      <c r="A2844" s="1" t="s">
        <v>5687</v>
      </c>
      <c r="B2844" s="1">
        <v>82231</v>
      </c>
      <c r="C2844" s="3">
        <v>43967.706493055557</v>
      </c>
      <c r="D2844" s="1" t="s">
        <v>5688</v>
      </c>
      <c r="E2844" s="4" t="str">
        <f ca="1">IFERROR(__xludf.DUMMYFUNCTION("GOOGLETRANSLATE(A2844 , ""tr"" , ""en"")"),"Intensive care The rate of deaths from our patients in intensive care is reduced. If it is at a speed of recovery, there is a predictable slowdown. The role of the days we stay at home in the fight against the spread of the coronavirus is very large. Let'"&amp;"s stay at home. https://t.co/rvlhe7786o https://t.co/uqhd3kvaqI")</f>
        <v>Intensive care The rate of deaths from our patients in intensive care is reduced. If it is at a speed of recovery, there is a predictable slowdown. The role of the days we stay at home in the fight against the spread of the coronavirus is very large. Let's stay at home. https://t.co/rvlhe7786o https://t.co/uqhd3kvaqI</v>
      </c>
    </row>
    <row r="2845" spans="1:5" ht="15.75" customHeight="1" x14ac:dyDescent="0.25">
      <c r="A2845" s="1" t="s">
        <v>5689</v>
      </c>
      <c r="B2845" s="1">
        <v>46939</v>
      </c>
      <c r="C2845" s="3">
        <v>43967.629386574074</v>
      </c>
      <c r="D2845" s="1" t="s">
        <v>5690</v>
      </c>
      <c r="E2845" s="4" t="str">
        <f ca="1">IFERROR(__xludf.DUMMYFUNCTION("GOOGLETRANSLATE(A2845 , ""tr"" , ""en"")"),"Do you have an unobstructed person? We call ""disabled""? We all have the obstacles that we don't ever know. Our every feature in front of us can be a better person is actually a ""obstacle"". If they exceed obstacles, they reach the human as well as in l"&amp;"ove. Happy Week of Disabled People. https://t.co/dihvjwerdd")</f>
        <v>Do you have an unobstructed person? We call "disabled"? We all have the obstacles that we don't ever know. Our every feature in front of us can be a better person is actually a "obstacle". If they exceed obstacles, they reach the human as well as in love. Happy Week of Disabled People. https://t.co/dihvjwerdd</v>
      </c>
    </row>
    <row r="2846" spans="1:5" ht="15.75" customHeight="1" x14ac:dyDescent="0.25">
      <c r="A2846" s="1" t="s">
        <v>5691</v>
      </c>
      <c r="B2846" s="1">
        <v>37700</v>
      </c>
      <c r="C2846" s="3">
        <v>43967.548090277778</v>
      </c>
      <c r="D2846" s="1" t="s">
        <v>5692</v>
      </c>
      <c r="E2846" s="4" t="str">
        <f ca="1">IFERROR(__xludf.DUMMYFUNCTION("GOOGLETRANSLATE(A2846 , ""tr"" , ""en"")"),"In the successful struggle we give against the spread of the coronavirus, the role of the days we stay at home is very large. We are at home again between May 16-19 to prevent risks from increasing. This is the most powerful measure we will get together. "&amp;"Please let's not go out of the app. https://t.co/lkfyozmnd0")</f>
        <v>In the successful struggle we give against the spread of the coronavirus, the role of the days we stay at home is very large. We are at home again between May 16-19 to prevent risks from increasing. This is the most powerful measure we will get together. Please let's not go out of the app. https://t.co/lkfyozmnd0</v>
      </c>
    </row>
    <row r="2847" spans="1:5" ht="15.75" customHeight="1" x14ac:dyDescent="0.25">
      <c r="A2847" s="1" t="s">
        <v>5693</v>
      </c>
      <c r="B2847" s="1">
        <v>110412</v>
      </c>
      <c r="C2847" s="3">
        <v>43966.767453703702</v>
      </c>
      <c r="D2847" s="1" t="s">
        <v>5694</v>
      </c>
      <c r="E2847" s="4" t="str">
        <f ca="1">IFERROR(__xludf.DUMMYFUNCTION("GOOGLETRANSLATE(A2847 , ""tr"" , ""en"")"),"The day was nice, even though the hours are numbered. I hope you enjoyed it. I thank you for your support to date. The streets saw young today. Adopt to measures will soon see every day.")</f>
        <v>The day was nice, even though the hours are numbered. I hope you enjoyed it. I thank you for your support to date. The streets saw young today. Adopt to measures will soon see every day.</v>
      </c>
    </row>
    <row r="2848" spans="1:5" ht="15.75" customHeight="1" x14ac:dyDescent="0.25">
      <c r="A2848" s="1" t="s">
        <v>5695</v>
      </c>
      <c r="B2848" s="1">
        <v>74609</v>
      </c>
      <c r="C2848" s="3">
        <v>43966.666724537034</v>
      </c>
      <c r="D2848" s="1" t="s">
        <v>5696</v>
      </c>
      <c r="E2848" s="4" t="str">
        <f ca="1">IFERROR(__xludf.DUMMYFUNCTION("GOOGLETRANSLATE(A2848 , ""tr"" , ""en"")"),"Intensive care and intubation patients continue to decrease. Our test count is more than yesterday. There is a partial increase in the number of cases. Our new lifestyle is controlled social life, so always measure together. Condition:
Mask + 1, 5 meters "&amp;"of social distance. https://t.co/rvlhe7786o https://t.co/hfephds3wd")</f>
        <v>Intensive care and intubation patients continue to decrease. Our test count is more than yesterday. There is a partial increase in the number of cases. Our new lifestyle is controlled social life, so always measure together. Condition:
Mask + 1, 5 meters of social distance. https://t.co/rvlhe7786o https://t.co/hfephds3wd</v>
      </c>
    </row>
    <row r="2849" spans="1:5" ht="15.75" customHeight="1" x14ac:dyDescent="0.25">
      <c r="A2849" s="1" t="s">
        <v>5697</v>
      </c>
      <c r="B2849" s="1">
        <v>43325</v>
      </c>
      <c r="C2849" s="3">
        <v>43965.810266203705</v>
      </c>
      <c r="D2849" s="1" t="s">
        <v>5698</v>
      </c>
      <c r="E2849" s="4" t="str">
        <f ca="1">IFERROR(__xludf.DUMMYFUNCTION("GOOGLETRANSLATE(A2849 , ""tr"" , ""en"")"),"The healing process starting with the physician continues with the pharmacist. There are dozens of questions that are asked to pharmacist. The distance between the examination room is very short. The patient and the physician knows that the diagnosis retu"&amp;"rns to the healing with the ""Pharmaceutical"". I present my love to our pharmacists. May 14 pharmacists have a happy birthday https://t.co/4q2vgveuyc")</f>
        <v>The healing process starting with the physician continues with the pharmacist. There are dozens of questions that are asked to pharmacist. The distance between the examination room is very short. The patient and the physician knows that the diagnosis returns to the healing with the "Pharmaceutical". I present my love to our pharmacists. May 14 pharmacists have a happy birthday https://t.co/4q2vgveuyc</v>
      </c>
    </row>
    <row r="2850" spans="1:5" ht="15.75" customHeight="1" x14ac:dyDescent="0.25">
      <c r="A2850" s="1" t="s">
        <v>5699</v>
      </c>
      <c r="B2850" s="1">
        <v>64413</v>
      </c>
      <c r="C2850" s="3">
        <v>43965.687708333331</v>
      </c>
      <c r="D2850" s="1" t="s">
        <v>5700</v>
      </c>
      <c r="E2850" s="4" t="str">
        <f ca="1">IFERROR(__xludf.DUMMYFUNCTION("GOOGLETRANSLATE(A2850 , ""tr"" , ""en"")"),"We have passed 1.5 million in the total number of tests. Intensive care and intubation patients continue to decrease. Healing rate is 71.8% in our total case number. Our new lifestyle is controlled social life, so always measure together. Condition: Mask "&amp;"+ 1, 5 meters of social distance. https://t.co/rvlhe7786o https://t.co/9SGI6QMyor")</f>
        <v>We have passed 1.5 million in the total number of tests. Intensive care and intubation patients continue to decrease. Healing rate is 71.8% in our total case number. Our new lifestyle is controlled social life, so always measure together. Condition: Mask + 1, 5 meters of social distance. https://t.co/rvlhe7786o https://t.co/9SGI6QMyor</v>
      </c>
    </row>
    <row r="2851" spans="1:5" ht="15.75" customHeight="1" x14ac:dyDescent="0.25">
      <c r="A2851" s="1" t="s">
        <v>5701</v>
      </c>
      <c r="B2851" s="1">
        <v>74193</v>
      </c>
      <c r="C2851" s="3">
        <v>43965.587048611109</v>
      </c>
      <c r="D2851" s="1" t="s">
        <v>5702</v>
      </c>
      <c r="E2851" s="4" t="str">
        <f ca="1">IFERROR(__xludf.DUMMYFUNCTION("GOOGLETRANSLATE(A2851 , ""tr"" , ""en"")"),"In the epidemic period we are most sensitive to death news, we received the martyr news today. The PKK attacked the vehicle in Van and the vehicle carrying social support group officers. Two people who take help to our elderly residents have lost their li"&amp;"fe. The terror attacked the ""humanity"" medium. Sorry for your loss. https://t.co/3rrytkmppe")</f>
        <v>In the epidemic period we are most sensitive to death news, we received the martyr news today. The PKK attacked the vehicle in Van and the vehicle carrying social support group officers. Two people who take help to our elderly residents have lost their life. The terror attacked the "humanity" medium. Sorry for your loss. https://t.co/3rrytkmppe</v>
      </c>
    </row>
    <row r="2852" spans="1:5" ht="15.75" customHeight="1" x14ac:dyDescent="0.25">
      <c r="A2852" s="1" t="s">
        <v>5703</v>
      </c>
      <c r="B2852" s="1">
        <v>113550</v>
      </c>
      <c r="C2852" s="3">
        <v>43965.038622685184</v>
      </c>
      <c r="D2852" s="1" t="s">
        <v>5704</v>
      </c>
      <c r="E2852" s="4" t="str">
        <f ca="1">IFERROR(__xludf.DUMMYFUNCTION("GOOGLETRANSLATE(A2852 , ""tr"" , ""en"")"),"Is there any more of a heartlike language like Turkish? What's happy to those who speak to it! The authors of the authors, artists, who develop our Çağlar height tongue, and have a Turkish language holiday in our language.")</f>
        <v>Is there any more of a heartlike language like Turkish? What's happy to those who speak to it! The authors of the authors, artists, who develop our Çağlar height tongue, and have a Turkish language holiday in our language.</v>
      </c>
    </row>
    <row r="2853" spans="1:5" ht="15.75" customHeight="1" x14ac:dyDescent="0.25">
      <c r="A2853" s="1" t="s">
        <v>5705</v>
      </c>
      <c r="B2853" s="1">
        <v>34976</v>
      </c>
      <c r="C2853" s="3">
        <v>43964.922986111109</v>
      </c>
      <c r="D2853" s="1" t="s">
        <v>5706</v>
      </c>
      <c r="E2853" s="4" t="str">
        <f ca="1">IFERROR(__xludf.DUMMYFUNCTION("GOOGLETRANSLATE(A2853 , ""tr"" , ""en"")"),"The finals had been left to universities how to do it. Since the LGS and YKS in June will cause mobility, it increases the mobility of the finals to face the finals. We have evaluated this in our science board. YÖK has decided. Finals will be held as ONLI"&amp;"NE. https://t.co/q75bylvbdl")</f>
        <v>The finals had been left to universities how to do it. Since the LGS and YKS in June will cause mobility, it increases the mobility of the finals to face the finals. We have evaluated this in our science board. YÖK has decided. Finals will be held as ONLINE. https://t.co/q75bylvbdl</v>
      </c>
    </row>
    <row r="2854" spans="1:5" ht="15.75" customHeight="1" x14ac:dyDescent="0.25">
      <c r="A2854" s="1" t="s">
        <v>5707</v>
      </c>
      <c r="B2854" s="1">
        <v>25485</v>
      </c>
      <c r="C2854" s="3">
        <v>43964.915127314816</v>
      </c>
      <c r="D2854" s="1" t="s">
        <v>5708</v>
      </c>
      <c r="E2854" s="4" t="str">
        <f ca="1">IFERROR(__xludf.DUMMYFUNCTION("GOOGLETRANSLATE(A2854 , ""tr"" , ""en"")"),"We see that the distance rule is disabled, where the place is not installed in the mask. These are not to be at all. The health of 83 million is concerned. We can alert each other. We cannot move as we want in an epidemic. We should wear a mask, a minimum"&amp;" of one and a half meter distance https://t.co/gbplfn7ij4")</f>
        <v>We see that the distance rule is disabled, where the place is not installed in the mask. These are not to be at all. The health of 83 million is concerned. We can alert each other. We cannot move as we want in an epidemic. We should wear a mask, a minimum of one and a half meter distance https://t.co/gbplfn7ij4</v>
      </c>
    </row>
    <row r="2855" spans="1:5" ht="15.75" customHeight="1" x14ac:dyDescent="0.25">
      <c r="A2855" s="1" t="s">
        <v>5709</v>
      </c>
      <c r="B2855" s="1">
        <v>17857</v>
      </c>
      <c r="C2855" s="3">
        <v>43964.907094907408</v>
      </c>
      <c r="D2855" s="1" t="s">
        <v>5710</v>
      </c>
      <c r="E2855" s="4" t="str">
        <f ca="1">IFERROR(__xludf.DUMMYFUNCTION("GOOGLETRANSLATE(A2855 , ""tr"" , ""en"")"),"As a high-minded society, we must set up our new life quickly. In our new life, crowds should not be tails. Measure-based new life style is controlled social life. This is the strategy to beat the outbreak. Controlled social life will be settled in all of"&amp;" us. https://t.co/dıp10au0e3")</f>
        <v>As a high-minded society, we must set up our new life quickly. In our new life, crowds should not be tails. Measure-based new life style is controlled social life. This is the strategy to beat the outbreak. Controlled social life will be settled in all of us. https://t.co/dıp10au0e3</v>
      </c>
    </row>
    <row r="2856" spans="1:5" ht="15.75" customHeight="1" x14ac:dyDescent="0.25">
      <c r="A2856" s="1" t="s">
        <v>5711</v>
      </c>
      <c r="B2856" s="1">
        <v>16300</v>
      </c>
      <c r="C2856" s="3">
        <v>43964.898993055554</v>
      </c>
      <c r="D2856" s="1" t="s">
        <v>5712</v>
      </c>
      <c r="E2856" s="4" t="str">
        <f ca="1">IFERROR(__xludf.DUMMYFUNCTION("GOOGLETRANSLATE(A2856 , ""tr"" , ""en"")"),"We are at the second period of our challenge of coronavirus. We open test laboratories to prevent contamination in industrial zones. We are developing measures for workplaces, pandemy risk management. But we know that the old days don't come back in full."&amp;" The epidemic has brought a new life. https://t.co/pjpr12j0sx")</f>
        <v>We are at the second period of our challenge of coronavirus. We open test laboratories to prevent contamination in industrial zones. We are developing measures for workplaces, pandemy risk management. But we know that the old days don't come back in full. The epidemic has brought a new life. https://t.co/pjpr12j0sx</v>
      </c>
    </row>
    <row r="2857" spans="1:5" ht="15.75" customHeight="1" x14ac:dyDescent="0.25">
      <c r="A2857" s="1" t="s">
        <v>5713</v>
      </c>
      <c r="B2857" s="1">
        <v>30337</v>
      </c>
      <c r="C2857" s="3">
        <v>43964.891157407408</v>
      </c>
      <c r="D2857" s="1" t="s">
        <v>5714</v>
      </c>
      <c r="E2857" s="4" t="str">
        <f ca="1">IFERROR(__xludf.DUMMYFUNCTION("GOOGLETRANSLATE(A2857 , ""tr"" , ""en"")"),"In this epidemic, I'm in charge of you from the health. I am also obliged to say the seriousness of the job. The coronavirus is the global epidemic of the global world. The epidemic uses us to limit the movement, to be a bit isolated, to put the physical "&amp;"distance to us. The epidemic is challenging us to live controlled. https://t.co/uw8bemcuem")</f>
        <v>In this epidemic, I'm in charge of you from the health. I am also obliged to say the seriousness of the job. The coronavirus is the global epidemic of the global world. The epidemic uses us to limit the movement, to be a bit isolated, to put the physical distance to us. The epidemic is challenging us to live controlled. https://t.co/uw8bemcuem</v>
      </c>
    </row>
    <row r="2858" spans="1:5" ht="15.75" customHeight="1" x14ac:dyDescent="0.25">
      <c r="A2858" s="1" t="s">
        <v>5715</v>
      </c>
      <c r="B2858" s="1">
        <v>34019</v>
      </c>
      <c r="C2858" s="3">
        <v>43964.79792824074</v>
      </c>
      <c r="D2858" s="1" t="s">
        <v>5716</v>
      </c>
      <c r="E2858" s="4" t="str">
        <f ca="1">IFERROR(__xludf.DUMMYFUNCTION("GOOGLETRANSLATE(A2858 , ""tr"" , ""en"")"),"Controlled social life is the new style of life against the epidemic. The essence is the measure all together. The market place from the market place is to reduce the risk of coronavirus in all areas from the classroom from the classroom, rather than the "&amp;"AVM. There is a condition: mask + social distance. https://t.co/h2cxyImkhx")</f>
        <v>Controlled social life is the new style of life against the epidemic. The essence is the measure all together. The market place from the market place is to reduce the risk of coronavirus in all areas from the classroom from the classroom, rather than the AVM. There is a condition: mask + social distance. https://t.co/h2cxyImkhx</v>
      </c>
    </row>
    <row r="2859" spans="1:5" ht="15.75" customHeight="1" x14ac:dyDescent="0.25">
      <c r="A2859" s="1" t="s">
        <v>5717</v>
      </c>
      <c r="B2859" s="1">
        <v>25579</v>
      </c>
      <c r="C2859" s="3">
        <v>43964.704062500001</v>
      </c>
      <c r="D2859" s="1" t="s">
        <v>5718</v>
      </c>
      <c r="E2859" s="4" t="str">
        <f ca="1">IFERROR(__xludf.DUMMYFUNCTION("GOOGLETRANSLATE(A2859 , ""tr"" , ""en"")"),"DSO European Regional Director Dr. With Kluge we had a call today. Our healing rate has stopped on our treatment algorithm and normalization steps. Dr. The Kluge World has highly stressed that Turkey's success should be transformed into academic publicati"&amp;"on and proposed cooperation. https://t.co/summwkhns8")</f>
        <v>DSO European Regional Director Dr. With Kluge we had a call today. Our healing rate has stopped on our treatment algorithm and normalization steps. Dr. The Kluge World has highly stressed that Turkey's success should be transformed into academic publication and proposed cooperation. https://t.co/summwkhns8</v>
      </c>
    </row>
    <row r="2860" spans="1:5" ht="15.75" customHeight="1" x14ac:dyDescent="0.25">
      <c r="A2860" s="1" t="s">
        <v>5719</v>
      </c>
      <c r="B2860" s="1">
        <v>72326</v>
      </c>
      <c r="C2860" s="3">
        <v>43964.666759259257</v>
      </c>
      <c r="D2860" s="1" t="s">
        <v>5720</v>
      </c>
      <c r="E2860" s="4" t="str">
        <f ca="1">IFERROR(__xludf.DUMMYFUNCTION("GOOGLETRANSLATE(A2860 , ""tr"" , ""en"")"),"Our patients in intensive care fell below 1,000 for the first time. Our healing patient count exceeded 100,000. Our total test count is about 1.5 million. Our principal power against the virus:
Mask + 1.5 meters of social distance. The risk is in most cro"&amp;"wded environments. Let's stay away. https://t.co/rvlhe7786o https://t.co/8ywihrmq5v")</f>
        <v>Our patients in intensive care fell below 1,000 for the first time. Our healing patient count exceeded 100,000. Our total test count is about 1.5 million. Our principal power against the virus:
Mask + 1.5 meters of social distance. The risk is in most crowded environments. Let's stay away. https://t.co/rvlhe7786o https://t.co/8ywihrmq5v</v>
      </c>
    </row>
    <row r="2861" spans="1:5" ht="15.75" customHeight="1" x14ac:dyDescent="0.25">
      <c r="A2861" s="1" t="s">
        <v>5721</v>
      </c>
      <c r="B2861" s="1">
        <v>17815</v>
      </c>
      <c r="C2861" s="3">
        <v>43964.621817129628</v>
      </c>
      <c r="D2861" s="1" t="s">
        <v>5722</v>
      </c>
      <c r="E2861" s="4" t="str">
        <f ca="1">IFERROR(__xludf.DUMMYFUNCTION("GOOGLETRANSLATE(A2861 , ""tr"" , ""en"")"),"After our Science Board meeting, the latest developments on the coronavirus and the new measures we receive.
📍Public Ministry Bilkent Campus / Ankara
https://t.co/l0xwtman0y")</f>
        <v>After our Science Board meeting, the latest developments on the coronavirus and the new measures we receive.
📍Public Ministry Bilkent Campus / Ankara
https://t.co/l0xwtman0y</v>
      </c>
    </row>
    <row r="2862" spans="1:5" ht="15.75" customHeight="1" x14ac:dyDescent="0.25">
      <c r="A2862" s="1" t="s">
        <v>5723</v>
      </c>
      <c r="B2862" s="1">
        <v>43061</v>
      </c>
      <c r="C2862" s="3">
        <v>43964.274178240739</v>
      </c>
      <c r="D2862" s="1" t="s">
        <v>5724</v>
      </c>
      <c r="E2862" s="4" t="str">
        <f ca="1">IFERROR(__xludf.DUMMYFUNCTION("GOOGLETRANSLATE(A2862 , ""tr"" , ""en"")"),"Between 11.00-15.00, our children and young people who miss the streets, streets. Close friends meets the distance. A little hard to return home. But there are much more beautiful days ahead of us, have drawings. We will make a little bit more sacrifice f"&amp;"or our health. https://t.co/eex19uri53")</f>
        <v>Between 11.00-15.00, our children and young people who miss the streets, streets. Close friends meets the distance. A little hard to return home. But there are much more beautiful days ahead of us, have drawings. We will make a little bit more sacrifice for our health. https://t.co/eex19uri53</v>
      </c>
    </row>
    <row r="2863" spans="1:5" ht="15.75" customHeight="1" x14ac:dyDescent="0.25">
      <c r="A2863" s="1" t="s">
        <v>5725</v>
      </c>
      <c r="B2863" s="1">
        <v>49237</v>
      </c>
      <c r="C2863" s="3">
        <v>43963.833333333336</v>
      </c>
      <c r="D2863" s="1" t="s">
        <v>5726</v>
      </c>
      <c r="E2863" s="4" t="str">
        <f ca="1">IFERROR(__xludf.DUMMYFUNCTION("GOOGLETRANSLATE(A2863 , ""tr"" , ""en"")"),"In this epidemic period, the expression of gratitude is difficult. I will remind you of a famous word: ""The more you praise the nurses, the more you told the truth."" This promise was the first time these days, should have been said in Turkey. May the 12"&amp;"th nurses are happy with your day. https://t.co/sveqosqgwx")</f>
        <v>In this epidemic period, the expression of gratitude is difficult. I will remind you of a famous word: "The more you praise the nurses, the more you told the truth." This promise was the first time these days, should have been said in Turkey. May the 12th nurses are happy with your day. https://t.co/sveqosqgwx</v>
      </c>
    </row>
    <row r="2864" spans="1:5" ht="15.75" customHeight="1" x14ac:dyDescent="0.25">
      <c r="A2864" s="1" t="s">
        <v>5727</v>
      </c>
      <c r="B2864" s="1">
        <v>0</v>
      </c>
      <c r="C2864" s="3">
        <v>43963.816655092596</v>
      </c>
      <c r="D2864" s="1" t="s">
        <v>5728</v>
      </c>
      <c r="E2864" s="4" t="str">
        <f ca="1">IFERROR(__xludf.DUMMYFUNCTION("GOOGLETRANSLATE(A2864 , ""tr"" , ""en"")"),"RT @rterdogan: We are not put on the stones on top of the stones, but it is not to put the stone on top.
As we keep every word we give in 18 years, chorus ...")</f>
        <v>RT @rterdogan: We are not put on the stones on top of the stones, but it is not to put the stone on top.
As we keep every word we give in 18 years, chorus ...</v>
      </c>
    </row>
    <row r="2865" spans="1:5" ht="15.75" customHeight="1" x14ac:dyDescent="0.25">
      <c r="A2865" s="1" t="s">
        <v>5729</v>
      </c>
      <c r="B2865" s="1">
        <v>37372</v>
      </c>
      <c r="C2865" s="3">
        <v>43963.784432870372</v>
      </c>
      <c r="D2865" s="1" t="s">
        <v>5730</v>
      </c>
      <c r="E2865" s="4" t="str">
        <f ca="1">IFERROR(__xludf.DUMMYFUNCTION("GOOGLETRANSLATE(A2865 , ""tr"" , ""en"")"),"Though both of two people nearby wear the mask, the virus can be infected from one to the other, despite the mask. Either in moving, crowded places? Insert the mask while leaving home. But the mask may not suffer from the risk of coronavirus without the s"&amp;"ocial distance.
Do not take a risk. https://t.co/wrhp5xmb5e")</f>
        <v>Though both of two people nearby wear the mask, the virus can be infected from one to the other, despite the mask. Either in moving, crowded places? Insert the mask while leaving home. But the mask may not suffer from the risk of coronavirus without the social distance.
Do not take a risk. https://t.co/wrhp5xmb5e</v>
      </c>
    </row>
    <row r="2866" spans="1:5" ht="15.75" customHeight="1" x14ac:dyDescent="0.25">
      <c r="A2866" s="1" t="s">
        <v>5731</v>
      </c>
      <c r="B2866" s="1">
        <v>74806</v>
      </c>
      <c r="C2866" s="3">
        <v>43963.705000000002</v>
      </c>
      <c r="D2866" s="1" t="s">
        <v>5732</v>
      </c>
      <c r="E2866" s="4" t="str">
        <f ca="1">IFERROR(__xludf.DUMMYFUNCTION("GOOGLETRANSLATE(A2866 , ""tr"" , ""en"")"),"The increase in the number of new cases is in predictable limits. 70% of total cases is improved. Our intensive care patient continues to decrease. Mask + Social Distance: This is our power against the virus! Risk in crowded environments. Let's stay away."&amp;" https://t.co/rvlhe7786o https://t.co/0naqy0mszc")</f>
        <v>The increase in the number of new cases is in predictable limits. 70% of total cases is improved. Our intensive care patient continues to decrease. Mask + Social Distance: This is our power against the virus! Risk in crowded environments. Let's stay away. https://t.co/rvlhe7786o https://t.co/0naqy0mszc</v>
      </c>
    </row>
    <row r="2867" spans="1:5" ht="15.75" customHeight="1" x14ac:dyDescent="0.25">
      <c r="A2867" s="1" t="s">
        <v>5733</v>
      </c>
      <c r="B2867" s="1">
        <v>88203</v>
      </c>
      <c r="C2867" s="3">
        <v>43963.31417824074</v>
      </c>
      <c r="D2867" s="1" t="s">
        <v>5734</v>
      </c>
      <c r="E2867" s="4" t="str">
        <f ca="1">IFERROR(__xludf.DUMMYFUNCTION("GOOGLETRANSLATE(A2867 , ""tr"" , ""en"")"),"Our nurses are now on their tasks that they are perfect. In the fight against the coronavirus, both the health professional and the patient is always masters in communication with the patient. Are samples in the world if it is sensitive. May 12 Happy Nurs"&amp;"es Day. https://t.co/trsebtftru")</f>
        <v>Our nurses are now on their tasks that they are perfect. In the fight against the coronavirus, both the health professional and the patient is always masters in communication with the patient. Are samples in the world if it is sensitive. May 12 Happy Nurses Day. https://t.co/trsebtftru</v>
      </c>
    </row>
    <row r="2868" spans="1:5" ht="15.75" customHeight="1" x14ac:dyDescent="0.25">
      <c r="A2868" s="1" t="s">
        <v>5735</v>
      </c>
      <c r="B2868" s="1">
        <v>92554</v>
      </c>
      <c r="C2868" s="3">
        <v>43962.87027777778</v>
      </c>
      <c r="D2868" s="1" t="s">
        <v>5736</v>
      </c>
      <c r="E2868" s="4" t="str">
        <f ca="1">IFERROR(__xludf.DUMMYFUNCTION("GOOGLETRANSLATE(A2868 , ""tr"" , ""en"")"),"Today, long tails in the front of the AVM are stackers in the gates of AVM. The social distance rule did not follow mostly. Even those who don't wear a mask. What the mask is not the social distance, it is not a protector alone. Measures must be full. The"&amp;" risk continues. Let's stay at home if we are not obliged. https://t.co/I9jvtjweca")</f>
        <v>Today, long tails in the front of the AVM are stackers in the gates of AVM. The social distance rule did not follow mostly. Even those who don't wear a mask. What the mask is not the social distance, it is not a protector alone. Measures must be full. The risk continues. Let's stay at home if we are not obliged. https://t.co/I9jvtjweca</v>
      </c>
    </row>
    <row r="2869" spans="1:5" ht="15.75" customHeight="1" x14ac:dyDescent="0.25">
      <c r="A2869" s="1" t="s">
        <v>5737</v>
      </c>
      <c r="B2869" s="1">
        <v>0</v>
      </c>
      <c r="C2869" s="3">
        <v>43962.866423611114</v>
      </c>
      <c r="D2869" s="1" t="s">
        <v>5738</v>
      </c>
      <c r="E2869" s="4" t="str">
        <f ca="1">IFERROR(__xludf.DUMMYFUNCTION("GOOGLETRANSLATE(A2869 , ""tr"" , ""en"")"),"RT @rterdogan: We are successfully resuming the challenge of 83 million against the global coronavirus epidemic.
Health care ...")</f>
        <v>RT @rterdogan: We are successfully resuming the challenge of 83 million against the global coronavirus epidemic.
Health care ...</v>
      </c>
    </row>
    <row r="2870" spans="1:5" ht="15.75" customHeight="1" x14ac:dyDescent="0.25">
      <c r="A2870" s="1" t="s">
        <v>5739</v>
      </c>
      <c r="B2870" s="1">
        <v>97670</v>
      </c>
      <c r="C2870" s="3">
        <v>43962.729201388887</v>
      </c>
      <c r="D2870" s="1" t="s">
        <v>5740</v>
      </c>
      <c r="E2870" s="4" t="str">
        <f ca="1">IFERROR(__xludf.DUMMYFUNCTION("GOOGLETRANSLATE(A2870 , ""tr"" , ""en"")"),"Access to the measures, our new case count will soon be less than 1,000 per day. The number of patients who need intensive care and respiratory support continues to decrease. Today's Vephate Count 55. Let's not forget that the price of impriseness is heav"&amp;"y. https://t.co/rvlhe7786o https://t.co/hjzlxclqoo")</f>
        <v>Access to the measures, our new case count will soon be less than 1,000 per day. The number of patients who need intensive care and respiratory support continues to decrease. Today's Vephate Count 55. Let's not forget that the price of impriseness is heavy. https://t.co/rvlhe7786o https://t.co/hjzlxclqoo</v>
      </c>
    </row>
    <row r="2871" spans="1:5" ht="15.75" customHeight="1" x14ac:dyDescent="0.25">
      <c r="A2871" s="1" t="s">
        <v>5741</v>
      </c>
      <c r="B2871" s="1">
        <v>0</v>
      </c>
      <c r="C2871" s="3">
        <v>43962.676180555558</v>
      </c>
      <c r="D2871" s="1" t="s">
        <v>5742</v>
      </c>
      <c r="E2871" s="4" t="str">
        <f ca="1">IFERROR(__xludf.DUMMYFUNCTION("GOOGLETRANSLATE(A2871 , ""tr"" , ""en"")"),"RT @rterdogan: Shouting Nation after Cabinet Meeting https://t.co/cl970ohqog")</f>
        <v>RT @rterdogan: Shouting Nation after Cabinet Meeting https://t.co/cl970ohqog</v>
      </c>
    </row>
    <row r="2872" spans="1:5" ht="15.75" customHeight="1" x14ac:dyDescent="0.25">
      <c r="A2872" s="1" t="s">
        <v>5743</v>
      </c>
      <c r="B2872" s="1">
        <v>54539</v>
      </c>
      <c r="C2872" s="3">
        <v>43961.803460648145</v>
      </c>
      <c r="D2872" s="1" t="s">
        <v>5744</v>
      </c>
      <c r="E2872" s="4" t="str">
        <f ca="1">IFERROR(__xludf.DUMMYFUNCTION("GOOGLETRANSLATE(A2872 , ""tr"" , ""en"")"),"Our grown was in the parks, the gentlemen, today, days longlads were on the streets. Today, there were the happiest moments of the last days out. I thank them for their patience. I celebrate the mothers day of ladies. We always want to see that good. http"&amp;"s://t.co/yc2ya1y")</f>
        <v>Our grown was in the parks, the gentlemen, today, days longlads were on the streets. Today, there were the happiest moments of the last days out. I thank them for their patience. I celebrate the mothers day of ladies. We always want to see that good. https://t.co/yc2ya1y</v>
      </c>
    </row>
    <row r="2873" spans="1:5" ht="15.75" customHeight="1" x14ac:dyDescent="0.25">
      <c r="A2873" s="1" t="s">
        <v>5745</v>
      </c>
      <c r="B2873" s="1">
        <v>139360</v>
      </c>
      <c r="C2873" s="3">
        <v>43961.666863425926</v>
      </c>
      <c r="D2873" s="1" t="s">
        <v>5746</v>
      </c>
      <c r="E2873" s="4" t="str">
        <f ca="1">IFERROR(__xludf.DUMMYFUNCTION("GOOGLETRANSLATE(A2873 , ""tr"" , ""en"")"),"We have changed this table to 83 million. By insistent to the measures! Solemnly our challenge, let's keep without loosening. Our recovering patient count will soon find 100 thousand people. Our number of passes, the number of cases will decrease. Isn't w"&amp;"orth a little more selfless? https://t.co/rvlhe7786o https://t.co/8duavwxycl")</f>
        <v>We have changed this table to 83 million. By insistent to the measures! Solemnly our challenge, let's keep without loosening. Our recovering patient count will soon find 100 thousand people. Our number of passes, the number of cases will decrease. Isn't worth a little more selfless? https://t.co/rvlhe7786o https://t.co/8duavwxycl</v>
      </c>
    </row>
    <row r="2874" spans="1:5" ht="15.75" customHeight="1" x14ac:dyDescent="0.25">
      <c r="A2874" s="1" t="s">
        <v>5747</v>
      </c>
      <c r="B2874" s="1">
        <v>50673</v>
      </c>
      <c r="C2874" s="3">
        <v>43961.27783564815</v>
      </c>
      <c r="D2874" s="1" t="s">
        <v>5748</v>
      </c>
      <c r="E2874" s="4" t="str">
        <f ca="1">IFERROR(__xludf.DUMMYFUNCTION("GOOGLETRANSLATE(A2874 , ""tr"" , ""en"")"),"You have given great support by staying at home to our challenge of coronavirus. The day has been expected: the city, you ladies and the gentleman will meet themselves again. Don't neglect to wear a mask on this beautiful day. Mask should now be part of o"&amp;"ur clothes. May your every minute be nice! https://t.co/6lxd72pwpv")</f>
        <v>You have given great support by staying at home to our challenge of coronavirus. The day has been expected: the city, you ladies and the gentleman will meet themselves again. Don't neglect to wear a mask on this beautiful day. Mask should now be part of our clothes. May your every minute be nice! https://t.co/6lxd72pwpv</v>
      </c>
    </row>
    <row r="2875" spans="1:5" ht="15.75" customHeight="1" x14ac:dyDescent="0.25">
      <c r="A2875" s="1" t="s">
        <v>5749</v>
      </c>
      <c r="B2875" s="1">
        <v>35893</v>
      </c>
      <c r="C2875" s="3">
        <v>43961.277754629627</v>
      </c>
      <c r="D2875" s="1" t="s">
        <v>5750</v>
      </c>
      <c r="E2875" s="4" t="str">
        <f ca="1">IFERROR(__xludf.DUMMYFUNCTION("GOOGLETRANSLATE(A2875 , ""tr"" , ""en"")"),"You have given great support by staying at home to our challenge of coronavirus. The day has been expected: the city, you ladies and the gentleman will meet themselves again. Don't neglect to wear a mask on this beautiful day. Mask should now be part of o"&amp;"ur clothes. May your every minute be nice! https://t.co/fmugqfhpnc")</f>
        <v>You have given great support by staying at home to our challenge of coronavirus. The day has been expected: the city, you ladies and the gentleman will meet themselves again. Don't neglect to wear a mask on this beautiful day. Mask should now be part of our clothes. May your every minute be nice! https://t.co/fmugqfhpnc</v>
      </c>
    </row>
    <row r="2876" spans="1:5" ht="15.75" customHeight="1" x14ac:dyDescent="0.25">
      <c r="A2876" s="1" t="s">
        <v>5751</v>
      </c>
      <c r="B2876" s="1">
        <v>53628</v>
      </c>
      <c r="C2876" s="3">
        <v>43961.002800925926</v>
      </c>
      <c r="D2876" s="1" t="s">
        <v>5752</v>
      </c>
      <c r="E2876" s="4" t="str">
        <f ca="1">IFERROR(__xludf.DUMMYFUNCTION("GOOGLETRANSLATE(A2876 , ""tr"" , ""en"")"),"There is ""mother"" there while dormitory is a consternation. When the language is native tongue ... We are connected to our mothers that connect us to life and to each other, words that the words cannot describe. Small obstacles to intervene are not stro"&amp;"ng from the feelings that establish the most powerful of the bonds. Happy mothers day. https://t.co/gr2zgumcoi")</f>
        <v>There is "mother" there while dormitory is a consternation. When the language is native tongue ... We are connected to our mothers that connect us to life and to each other, words that the words cannot describe. Small obstacles to intervene are not strong from the feelings that establish the most powerful of the bonds. Happy mothers day. https://t.co/gr2zgumcoi</v>
      </c>
    </row>
    <row r="2877" spans="1:5" ht="15.75" customHeight="1" x14ac:dyDescent="0.25">
      <c r="A2877" s="1" t="s">
        <v>5753</v>
      </c>
      <c r="B2877" s="1">
        <v>55201</v>
      </c>
      <c r="C2877" s="3">
        <v>43960.917210648149</v>
      </c>
      <c r="D2877" s="1" t="s">
        <v>5754</v>
      </c>
      <c r="E2877" s="4" t="str">
        <f ca="1">IFERROR(__xludf.DUMMYFUNCTION("GOOGLETRANSLATE(A2877 , ""tr"" , ""en"")"),"Turkey's practical intelligence, epidemic conditions, began to bring interesting images to social life. Every idea is beautiful until the solution to a problem from surprise to the eye. https://t.co/owazv5hg4q")</f>
        <v>Turkey's practical intelligence, epidemic conditions, began to bring interesting images to social life. Every idea is beautiful until the solution to a problem from surprise to the eye. https://t.co/owazv5hg4q</v>
      </c>
    </row>
    <row r="2878" spans="1:5" ht="15.75" customHeight="1" x14ac:dyDescent="0.25">
      <c r="A2878" s="1" t="s">
        <v>5755</v>
      </c>
      <c r="B2878" s="1">
        <v>59317</v>
      </c>
      <c r="C2878" s="3">
        <v>43960.843773148146</v>
      </c>
      <c r="D2878" s="1" t="s">
        <v>5756</v>
      </c>
      <c r="E2878" s="4" t="str">
        <f ca="1">IFERROR(__xludf.DUMMYFUNCTION("GOOGLETRANSLATE(A2878 , ""tr"" , ""en"")"),"Turkey's practical intelligence, epidemic conditions, began to bring interesting images to social life. Every idea is beautiful until the solution to a problem from surprise to the eye. (Ammunition Note: Photo has been taken on Wednesday.) Https://t.co/i5"&amp;"piknhbjp")</f>
        <v>Turkey's practical intelligence, epidemic conditions, began to bring interesting images to social life. Every idea is beautiful until the solution to a problem from surprise to the eye. (Ammunition Note: Photo has been taken on Wednesday.) Https://t.co/i5piknhbjp</v>
      </c>
    </row>
    <row r="2879" spans="1:5" ht="15.75" customHeight="1" x14ac:dyDescent="0.25">
      <c r="A2879" s="1" t="s">
        <v>5757</v>
      </c>
      <c r="B2879" s="1">
        <v>95857</v>
      </c>
      <c r="C2879" s="3">
        <v>43960.685613425929</v>
      </c>
      <c r="D2879" s="1" t="s">
        <v>5758</v>
      </c>
      <c r="E2879" s="4" t="str">
        <f ca="1">IFERROR(__xludf.DUMMYFUNCTION("GOOGLETRANSLATE(A2879 , ""tr"" , ""en"")"),"The total number of heals approached 90 thousand. The decrease in the number of those who need intensive care support continues. According to the number of tests made, the decline in the newly diagnosed case is continuing. Let's not leave the measure. htt"&amp;"ps://t.co/rvlhe7786o https://t.co/4pffahnftn")</f>
        <v>The total number of heals approached 90 thousand. The decrease in the number of those who need intensive care support continues. According to the number of tests made, the decline in the newly diagnosed case is continuing. Let's not leave the measure. https://t.co/rvlhe7786o https://t.co/4pffahnftn</v>
      </c>
    </row>
    <row r="2880" spans="1:5" ht="15.75" customHeight="1" x14ac:dyDescent="0.25">
      <c r="A2880" s="1" t="s">
        <v>5759</v>
      </c>
      <c r="B2880" s="1">
        <v>44740</v>
      </c>
      <c r="C2880" s="3">
        <v>43960.431111111109</v>
      </c>
      <c r="D2880" s="1" t="s">
        <v>5760</v>
      </c>
      <c r="E2880" s="4" t="str">
        <f ca="1">IFERROR(__xludf.DUMMYFUNCTION("GOOGLETRANSLATE(A2880 , ""tr"" , ""en"")"),"The way to keep an anti-virus is the mask and social distance. In addition to home, insert the mask and maintain the social distance. You don't know who carries a virus. Do not leave the measure in hand. # Risk is https://t.co/ch4czqtlai")</f>
        <v>The way to keep an anti-virus is the mask and social distance. In addition to home, insert the mask and maintain the social distance. You don't know who carries a virus. Do not leave the measure in hand. # Risk is https://t.co/ch4czqtlai</v>
      </c>
    </row>
    <row r="2881" spans="1:5" ht="15.75" customHeight="1" x14ac:dyDescent="0.25">
      <c r="A2881" s="1" t="s">
        <v>5761</v>
      </c>
      <c r="B2881" s="1">
        <v>30503</v>
      </c>
      <c r="C2881" s="3">
        <v>43960.406655092593</v>
      </c>
      <c r="D2881" s="1" t="s">
        <v>5762</v>
      </c>
      <c r="E2881" s="4" t="str">
        <f ca="1">IFERROR(__xludf.DUMMYFUNCTION("GOOGLETRANSLATE(A2881 , ""tr"" , ""en"")"),"The way to keep an anti-virus is the mask and social distance. In addition to home, insert the mask and maintain the social distance. You don't know who carries a virus. Do not leave the measure in hand. # risk is https://t.co/xos8qkgwah")</f>
        <v>The way to keep an anti-virus is the mask and social distance. In addition to home, insert the mask and maintain the social distance. You don't know who carries a virus. Do not leave the measure in hand. # risk is https://t.co/xos8qkgwah</v>
      </c>
    </row>
    <row r="2882" spans="1:5" ht="15.75" customHeight="1" x14ac:dyDescent="0.25">
      <c r="A2882" s="1" t="s">
        <v>5763</v>
      </c>
      <c r="B2882" s="1">
        <v>77751</v>
      </c>
      <c r="C2882" s="3">
        <v>43959.775335648148</v>
      </c>
      <c r="D2882" s="1" t="s">
        <v>5764</v>
      </c>
      <c r="E2882" s="4" t="str">
        <f ca="1">IFERROR(__xludf.DUMMYFUNCTION("GOOGLETRANSLATE(A2882 , ""tr"" , ""en"")"),"Our mask and social distance warnings are the practical intelligence of our people and the legislation is spreading with ready-time speech. Let's be careful on the market place. One can extend some coronavirus together with money. https://t.co/krmnyembyb")</f>
        <v>Our mask and social distance warnings are the practical intelligence of our people and the legislation is spreading with ready-time speech. Let's be careful on the market place. One can extend some coronavirus together with money. https://t.co/krmnyembyb</v>
      </c>
    </row>
    <row r="2883" spans="1:5" ht="15.75" customHeight="1" x14ac:dyDescent="0.25">
      <c r="A2883" s="1" t="s">
        <v>5765</v>
      </c>
      <c r="B2883" s="1">
        <v>43638</v>
      </c>
      <c r="C2883" s="3">
        <v>43959.70752314815</v>
      </c>
      <c r="D2883" s="1" t="s">
        <v>5766</v>
      </c>
      <c r="E2883" s="4" t="str">
        <f ca="1">IFERROR(__xludf.DUMMYFUNCTION("GOOGLETRANSLATE(A2883 , ""tr"" , ""en"")"),"The way to keep an anti-virus is the mask and social distance. In addition to home, insert the mask and maintain the social distance. You don't know who carries a virus. Do not leave the measure in hand. # Risk is https://t.co/8c0hehfaay")</f>
        <v>The way to keep an anti-virus is the mask and social distance. In addition to home, insert the mask and maintain the social distance. You don't know who carries a virus. Do not leave the measure in hand. # Risk is https://t.co/8c0hehfaay</v>
      </c>
    </row>
    <row r="2884" spans="1:5" ht="15.75" customHeight="1" x14ac:dyDescent="0.25">
      <c r="A2884" s="1" t="s">
        <v>5767</v>
      </c>
      <c r="B2884" s="1">
        <v>99377</v>
      </c>
      <c r="C2884" s="3">
        <v>43959.691168981481</v>
      </c>
      <c r="D2884" s="1" t="s">
        <v>5768</v>
      </c>
      <c r="E2884" s="4" t="str">
        <f ca="1">IFERROR(__xludf.DUMMYFUNCTION("GOOGLETRANSLATE(A2884 , ""tr"" , ""en"")"),"The total number of recent patients exceeded 85 thousand. The last 24 hours of case, passage, deactivation, intensive care, intubate the number of patients. The table reveals the data in our favor in our struggle with the virus. But these are not the exac"&amp;"t results, a serious opportunity. Let's use the opportunity. https://t.co/rvlhe7786o https://t.co/6Iky8joebm")</f>
        <v>The total number of recent patients exceeded 85 thousand. The last 24 hours of case, passage, deactivation, intensive care, intubate the number of patients. The table reveals the data in our favor in our struggle with the virus. But these are not the exact results, a serious opportunity. Let's use the opportunity. https://t.co/rvlhe7786o https://t.co/6Iky8joebm</v>
      </c>
    </row>
    <row r="2885" spans="1:5" ht="15.75" customHeight="1" x14ac:dyDescent="0.25">
      <c r="A2885" s="1" t="s">
        <v>5769</v>
      </c>
      <c r="B2885" s="1">
        <v>40747</v>
      </c>
      <c r="C2885" s="3">
        <v>43959.630601851852</v>
      </c>
      <c r="D2885" s="1" t="s">
        <v>5770</v>
      </c>
      <c r="E2885" s="4" t="str">
        <f ca="1">IFERROR(__xludf.DUMMYFUNCTION("GOOGLETRANSLATE(A2885 , ""tr"" , ""en"")"),"A new one from the songs we have previously shared the samples were made more. The ""Hero Health is in the form of your ordum"", the song that starts with proud dedication, ""Allah to Allah before, and then escrow to you,"" he says. May the labor be right"&amp;". https://t.co/cucos9dg9o")</f>
        <v>A new one from the songs we have previously shared the samples were made more. The "Hero Health is in the form of your ordum", the song that starts with proud dedication, "Allah to Allah before, and then escrow to you," he says. May the labor be right. https://t.co/cucos9dg9o</v>
      </c>
    </row>
    <row r="2886" spans="1:5" ht="15.75" customHeight="1" x14ac:dyDescent="0.25">
      <c r="A2886" s="1" t="s">
        <v>5771</v>
      </c>
      <c r="B2886" s="1">
        <v>82028</v>
      </c>
      <c r="C2886" s="3">
        <v>43959.015173611115</v>
      </c>
      <c r="D2886" s="1" t="s">
        <v>5772</v>
      </c>
      <c r="E2886" s="4" t="str">
        <f ca="1">IFERROR(__xludf.DUMMYFUNCTION("GOOGLETRANSLATE(A2886 , ""tr"" , ""en"")"),"Eminönü gave the image to the mobility of days before the epidemic. Up to traffic jams! Everything in the fight against the output, let's not be a hurry. Automobile can be safe. But until you open the door and go out. https://t.co/bpd93q0o84")</f>
        <v>Eminönü gave the image to the mobility of days before the epidemic. Up to traffic jams! Everything in the fight against the output, let's not be a hurry. Automobile can be safe. But until you open the door and go out. https://t.co/bpd93q0o84</v>
      </c>
    </row>
    <row r="2887" spans="1:5" ht="15.75" customHeight="1" x14ac:dyDescent="0.25">
      <c r="A2887" s="1" t="s">
        <v>5773</v>
      </c>
      <c r="B2887" s="1">
        <v>77101</v>
      </c>
      <c r="C2887" s="3">
        <v>43958.921331018515</v>
      </c>
      <c r="D2887" s="1" t="s">
        <v>5774</v>
      </c>
      <c r="E2887" s="4" t="str">
        <f ca="1">IFERROR(__xludf.DUMMYFUNCTION("GOOGLETRANSLATE(A2887 , ""tr"" , ""en"")"),"""Our Ministry of Health is not saying night, says daytime. Our health workers endeavor to be an obstacle to the sacrifice, dedicated and monimbly. "" SN. Garden, today was found in a series of stimulants against the epidemic. I thank him on behalf of our"&amp;" health workers.")</f>
        <v>"Our Ministry of Health is not saying night, says daytime. Our health workers endeavor to be an obstacle to the sacrifice, dedicated and monimbly. " SN. Garden, today was found in a series of stimulants against the epidemic. I thank him on behalf of our health workers.</v>
      </c>
    </row>
    <row r="2888" spans="1:5" ht="15.75" customHeight="1" x14ac:dyDescent="0.25">
      <c r="A2888" s="1" t="s">
        <v>5775</v>
      </c>
      <c r="B2888" s="1">
        <v>35988</v>
      </c>
      <c r="C2888" s="3">
        <v>43958.880983796298</v>
      </c>
      <c r="D2888" s="1" t="s">
        <v>5776</v>
      </c>
      <c r="E2888" s="4" t="str">
        <f ca="1">IFERROR(__xludf.DUMMYFUNCTION("GOOGLETRANSLATE(A2888 , ""tr"" , ""en"")"),"The way to keep an anti-virus is the mask and social distance. In addition to home, insert the mask and maintain the social distance. You don't know who carries a virus. Do not leave the measure in hand. # risk is https://t.co/8zgelfwhyo")</f>
        <v>The way to keep an anti-virus is the mask and social distance. In addition to home, insert the mask and maintain the social distance. You don't know who carries a virus. Do not leave the measure in hand. # risk is https://t.co/8zgelfwhyo</v>
      </c>
    </row>
    <row r="2889" spans="1:5" ht="15.75" customHeight="1" x14ac:dyDescent="0.25">
      <c r="A2889" s="1" t="s">
        <v>5777</v>
      </c>
      <c r="B2889" s="1">
        <v>31087</v>
      </c>
      <c r="C2889" s="3">
        <v>43958.872766203705</v>
      </c>
      <c r="D2889" s="1" t="s">
        <v>5778</v>
      </c>
      <c r="E2889" s="4" t="str">
        <f ca="1">IFERROR(__xludf.DUMMYFUNCTION("GOOGLETRANSLATE(A2889 , ""tr"" , ""en"")"),"The way to keep an anti-virus is the mask and social distance. In addition to home, insert the mask and maintain the social distance. You don't know who carries a virus. Do not leave the measure in hand. # Risk is https://t.co/6ypzqzykok")</f>
        <v>The way to keep an anti-virus is the mask and social distance. In addition to home, insert the mask and maintain the social distance. You don't know who carries a virus. Do not leave the measure in hand. # Risk is https://t.co/6ypzqzykok</v>
      </c>
    </row>
    <row r="2890" spans="1:5" ht="15.75" customHeight="1" x14ac:dyDescent="0.25">
      <c r="A2890" s="1" t="s">
        <v>5779</v>
      </c>
      <c r="B2890" s="1">
        <v>46275</v>
      </c>
      <c r="C2890" s="3">
        <v>43958.847303240742</v>
      </c>
      <c r="D2890" s="1" t="s">
        <v>5780</v>
      </c>
      <c r="E2890" s="4" t="str">
        <f ca="1">IFERROR(__xludf.DUMMYFUNCTION("GOOGLETRANSLATE(A2890 , ""tr"" , ""en"")"),"The way to keep an anti-virus is the mask and social distance. In addition to home, insert the mask and maintain the social distance. You don't know who carries a virus. Do not leave the measure in hand. # risk is https://t.co/j1j7uygbxf")</f>
        <v>The way to keep an anti-virus is the mask and social distance. In addition to home, insert the mask and maintain the social distance. You don't know who carries a virus. Do not leave the measure in hand. # risk is https://t.co/j1j7uygbxf</v>
      </c>
    </row>
    <row r="2891" spans="1:5" ht="15.75" customHeight="1" x14ac:dyDescent="0.25">
      <c r="A2891" s="1" t="s">
        <v>5781</v>
      </c>
      <c r="B2891" s="1">
        <v>92284</v>
      </c>
      <c r="C2891" s="3">
        <v>43958.682476851849</v>
      </c>
      <c r="D2891" s="1" t="s">
        <v>5782</v>
      </c>
      <c r="E2891" s="4" t="str">
        <f ca="1">IFERROR(__xludf.DUMMYFUNCTION("GOOGLETRANSLATE(A2891 , ""tr"" , ""en"")"),"The number of tests will soon reach 1.5 million. In the number of cases, the significant partial increase in the number of times declined. In the passage of the passage, the number of intensive care is again in the decline. The virus should be decisively "&amp;"stretched, we should beat with measures. We've proven: it is not difficult to get results. https://t.co/rvlhe7786o https://t.co/1ybzcuk3ht")</f>
        <v>The number of tests will soon reach 1.5 million. In the number of cases, the significant partial increase in the number of times declined. In the passage of the passage, the number of intensive care is again in the decline. The virus should be decisively stretched, we should beat with measures. We've proven: it is not difficult to get results. https://t.co/rvlhe7786o https://t.co/1ybzcuk3ht</v>
      </c>
    </row>
    <row r="2892" spans="1:5" ht="15.75" customHeight="1" x14ac:dyDescent="0.25">
      <c r="A2892" s="1" t="s">
        <v>5783</v>
      </c>
      <c r="B2892" s="1">
        <v>30222</v>
      </c>
      <c r="C2892" s="3">
        <v>43957.835752314815</v>
      </c>
      <c r="D2892" s="1" t="s">
        <v>5784</v>
      </c>
      <c r="E2892" s="4" t="str">
        <f ca="1">IFERROR(__xludf.DUMMYFUNCTION("GOOGLETRANSLATE(A2892 , ""tr"" , ""en"")"),"It has never been a decision of the Science Board with the closure of our Ministry or Government of the AVMs. They had a break to their activities. Opened; Clothed, shop etc. Restaurants, cafes don't turn on. There is no such decision. https://t.co/bproti"&amp;"jnye")</f>
        <v>It has never been a decision of the Science Board with the closure of our Ministry or Government of the AVMs. They had a break to their activities. Opened; Clothed, shop etc. Restaurants, cafes don't turn on. There is no such decision. https://t.co/bprotijnye</v>
      </c>
    </row>
    <row r="2893" spans="1:5" ht="15.75" customHeight="1" x14ac:dyDescent="0.25">
      <c r="A2893" s="1" t="s">
        <v>5785</v>
      </c>
      <c r="B2893" s="1">
        <v>30736</v>
      </c>
      <c r="C2893" s="3">
        <v>43957.76152777778</v>
      </c>
      <c r="D2893" s="1" t="s">
        <v>5786</v>
      </c>
      <c r="E2893" s="4" t="str">
        <f ca="1">IFERROR(__xludf.DUMMYFUNCTION("GOOGLETRANSLATE(A2893 , ""tr"" , ""en"")"),"TFF decided to be the continuation of the matches. As the Ministry or Science Board, I expressed the president that we don't want to make suggestions. We also know that the Federation is working on how to manage the process of the health care board. The d"&amp;"ecision and responsibility is your federation. https://t.co.co2snpmdug")</f>
        <v>TFF decided to be the continuation of the matches. As the Ministry or Science Board, I expressed the president that we don't want to make suggestions. We also know that the Federation is working on how to manage the process of the health care board. The decision and responsibility is your federation. https://t.co.co2snpmdug</v>
      </c>
    </row>
    <row r="2894" spans="1:5" ht="15.75" customHeight="1" x14ac:dyDescent="0.25">
      <c r="A2894" s="1" t="s">
        <v>5787</v>
      </c>
      <c r="B2894" s="1">
        <v>18096</v>
      </c>
      <c r="C2894" s="3">
        <v>43957.703692129631</v>
      </c>
      <c r="D2894" s="1" t="s">
        <v>5788</v>
      </c>
      <c r="E2894" s="4" t="str">
        <f ca="1">IFERROR(__xludf.DUMMYFUNCTION("GOOGLETRANSLATE(A2894 , ""tr"" , ""en"")"),"Our Ministry has developed a mobile application. We consider the app as one of the important needs of the controlled social life period. The application is free. The purpose is to reduce the risks you can encounter in daily life. For example, you will be "&amp;"able to see the risk on your destination. https://t.co/qlzb615hn9")</f>
        <v>Our Ministry has developed a mobile application. We consider the app as one of the important needs of the controlled social life period. The application is free. The purpose is to reduce the risks you can encounter in daily life. For example, you will be able to see the risk on your destination. https://t.co/qlzb615hn9</v>
      </c>
    </row>
    <row r="2895" spans="1:5" ht="15.75" customHeight="1" x14ac:dyDescent="0.25">
      <c r="A2895" s="1" t="s">
        <v>5789</v>
      </c>
      <c r="B2895" s="1">
        <v>22413</v>
      </c>
      <c r="C2895" s="3">
        <v>43957.695532407408</v>
      </c>
      <c r="D2895" s="1" t="s">
        <v>5790</v>
      </c>
      <c r="E2895" s="4" t="str">
        <f ca="1">IFERROR(__xludf.DUMMYFUNCTION("GOOGLETRANSLATE(A2895 , ""tr"" , ""en"")"),"The new period is not a typical period of normalization. It is partly free to ensure our life to guarantee our health. The new period is the synthesis of aspirations with measures. The days beginning are the present reward of the effort we have shown sinc"&amp;"e March 11. But this reward is not a great reward. https://t.co/qap6mn2yz0")</f>
        <v>The new period is not a typical period of normalization. It is partly free to ensure our life to guarantee our health. The new period is the synthesis of aspirations with measures. The days beginning are the present reward of the effort we have shown since March 11. But this reward is not a great reward. https://t.co/qap6mn2yz0</v>
      </c>
    </row>
    <row r="2896" spans="1:5" ht="15.75" customHeight="1" x14ac:dyDescent="0.25">
      <c r="A2896" s="1" t="s">
        <v>5791</v>
      </c>
      <c r="B2896" s="1">
        <v>20480</v>
      </c>
      <c r="C2896" s="3">
        <v>43957.684745370374</v>
      </c>
      <c r="D2896" s="1" t="s">
        <v>5792</v>
      </c>
      <c r="E2896" s="4" t="str">
        <f ca="1">IFERROR(__xludf.DUMMYFUNCTION("GOOGLETRANSLATE(A2896 , ""tr"" , ""en"")"),"In the second period of our challenge of coronavirus, we are on the first days of the new period. In this period, success depends on some conditions. The guarantee of success is to comply with the measures. To pretend to be imprudent is to assume that the"&amp;" threat is eliminated. Measure is mandatory, because the threat is ongoing https://t.co/SJ7IN4JLBL")</f>
        <v>In the second period of our challenge of coronavirus, we are on the first days of the new period. In this period, success depends on some conditions. The guarantee of success is to comply with the measures. To pretend to be imprudent is to assume that the threat is eliminated. Measure is mandatory, because the threat is ongoing https://t.co/SJ7IN4JLBL</v>
      </c>
    </row>
    <row r="2897" spans="1:5" ht="15.75" customHeight="1" x14ac:dyDescent="0.25">
      <c r="A2897" s="1" t="s">
        <v>5793</v>
      </c>
      <c r="B2897" s="1">
        <v>81582</v>
      </c>
      <c r="C2897" s="3">
        <v>43957.666712962964</v>
      </c>
      <c r="D2897" s="1" t="s">
        <v>5794</v>
      </c>
      <c r="E2897" s="4" t="str">
        <f ca="1">IFERROR(__xludf.DUMMYFUNCTION("GOOGLETRANSLATE(A2897 , ""tr"" , ""en"")"),"The number of patients who need intensive care and respiratoryly decreased. In the new case number, there was an increase in the expected limits caused by the days of interruption restriction. It uses every opportunity to find a virus. We must obey the me"&amp;"asures. https://t.co/rvlhe7786o https://t.co/bn3wn0naub")</f>
        <v>The number of patients who need intensive care and respiratoryly decreased. In the new case number, there was an increase in the expected limits caused by the days of interruption restriction. It uses every opportunity to find a virus. We must obey the measures. https://t.co/rvlhe7786o https://t.co/bn3wn0naub</v>
      </c>
    </row>
    <row r="2898" spans="1:5" ht="15.75" customHeight="1" x14ac:dyDescent="0.25">
      <c r="A2898" s="1" t="s">
        <v>5795</v>
      </c>
      <c r="B2898" s="1">
        <v>34545</v>
      </c>
      <c r="C2898" s="3">
        <v>43957.65247685185</v>
      </c>
      <c r="D2898" s="1" t="s">
        <v>5796</v>
      </c>
      <c r="E2898" s="4" t="str">
        <f ca="1">IFERROR(__xludf.DUMMYFUNCTION("GOOGLETRANSLATE(A2898 , ""tr"" , ""en"")"),"In the process of epidemic, with the support of 83 million, I am proud to say that on behalf of our health Ordum in the support of 83 million: Turkey has completed the first period in the fight against coronavirue. https://t.co/l5rwhzo7p0")</f>
        <v>In the process of epidemic, with the support of 83 million, I am proud to say that on behalf of our health Ordum in the support of 83 million: Turkey has completed the first period in the fight against coronavirue. https://t.co/l5rwhzo7p0</v>
      </c>
    </row>
    <row r="2899" spans="1:5" ht="15.75" customHeight="1" x14ac:dyDescent="0.25">
      <c r="A2899" s="1" t="s">
        <v>5797</v>
      </c>
      <c r="B2899" s="1">
        <v>15004</v>
      </c>
      <c r="C2899" s="3">
        <v>43957.613113425927</v>
      </c>
      <c r="D2899" s="1" t="s">
        <v>5798</v>
      </c>
      <c r="E2899" s="4" t="str">
        <f ca="1">IFERROR(__xludf.DUMMYFUNCTION("GOOGLETRANSLATE(A2899 , ""tr"" , ""en"")"),"After our Science Board meeting, the latest developments on the coronavirus and the new measures we receive.
📍Public Ministry Bilkent Campus / Ankara
https://t.co/9bc0wbp8fk")</f>
        <v>After our Science Board meeting, the latest developments on the coronavirus and the new measures we receive.
📍Public Ministry Bilkent Campus / Ankara
https://t.co/9bc0wbp8fk</v>
      </c>
    </row>
    <row r="2900" spans="1:5" ht="15.75" customHeight="1" x14ac:dyDescent="0.25">
      <c r="A2900" s="1" t="s">
        <v>5799</v>
      </c>
      <c r="B2900" s="1">
        <v>51572</v>
      </c>
      <c r="C2900" s="3">
        <v>43957.334108796298</v>
      </c>
      <c r="D2900" s="1" t="s">
        <v>5800</v>
      </c>
      <c r="E2900" s="4" t="str">
        <f ca="1">IFERROR(__xludf.DUMMYFUNCTION("GOOGLETRANSLATE(A2900 , ""tr"" , ""en"")"),"Sudan's capital in Hartum, the diagnosis of coronavirus is not treated in the hospital despite the respiratory difficulty, and our 55-year-old citizen of Mehmet Hanefi was sent to Turkey. Currently in intensive care. We are on the side of our citizens all"&amp;" over the world. https://t.co/rbgbuvxvbh")</f>
        <v>Sudan's capital in Hartum, the diagnosis of coronavirus is not treated in the hospital despite the respiratory difficulty, and our 55-year-old citizen of Mehmet Hanefi was sent to Turkey. Currently in intensive care. We are on the side of our citizens all over the world. https://t.co/rbgbuvxvbh</v>
      </c>
    </row>
    <row r="2901" spans="1:5" ht="15.75" customHeight="1" x14ac:dyDescent="0.25">
      <c r="A2901" s="1" t="s">
        <v>5801</v>
      </c>
      <c r="B2901" s="1">
        <v>111720</v>
      </c>
      <c r="C2901" s="3">
        <v>43956.965925925928</v>
      </c>
      <c r="D2901" s="1" t="s">
        <v>5802</v>
      </c>
      <c r="E2901" s="4" t="str">
        <f ca="1">IFERROR(__xludf.DUMMYFUNCTION("GOOGLETRANSLATE(A2901 , ""tr"" , ""en"")"),"Istiklal Street didn't give a good picture today. Too early to enter a square so many people. Every photo of everyday life, Turkey should support the daily coronavirus table. Let's try to stay at home. Let's use the mask, let's fit the social distance rul"&amp;"e. https://t.co/japwgt5pk5")</f>
        <v>Istiklal Street didn't give a good picture today. Too early to enter a square so many people. Every photo of everyday life, Turkey should support the daily coronavirus table. Let's try to stay at home. Let's use the mask, let's fit the social distance rule. https://t.co/japwgt5pk5</v>
      </c>
    </row>
    <row r="2902" spans="1:5" ht="15.75" customHeight="1" x14ac:dyDescent="0.25">
      <c r="A2902" s="1" t="s">
        <v>5803</v>
      </c>
      <c r="B2902" s="1">
        <v>50759</v>
      </c>
      <c r="C2902" s="3">
        <v>43956.919710648152</v>
      </c>
      <c r="D2902" s="1" t="s">
        <v>5804</v>
      </c>
      <c r="E2902" s="4" t="str">
        <f ca="1">IFERROR(__xludf.DUMMYFUNCTION("GOOGLETRANSLATE(A2902 , ""tr"" , ""en"")"),"CNN International Television told the success in our fight against Covid-19, with the publication on 3 May. In the publication prepared by the step-by-step monitoring of the study in Istanbul, this method was under the basis of our success. https://t.co/I"&amp;"xfjpx68m5")</f>
        <v>CNN International Television told the success in our fight against Covid-19, with the publication on 3 May. In the publication prepared by the step-by-step monitoring of the study in Istanbul, this method was under the basis of our success. https://t.co/Ixfjpx68m5</v>
      </c>
    </row>
    <row r="2903" spans="1:5" ht="15.75" customHeight="1" x14ac:dyDescent="0.25">
      <c r="A2903" s="1" t="s">
        <v>5805</v>
      </c>
      <c r="B2903" s="1">
        <v>54094</v>
      </c>
      <c r="C2903" s="3">
        <v>43956.904942129629</v>
      </c>
      <c r="D2903" s="1" t="s">
        <v>5806</v>
      </c>
      <c r="E2903" s="4" t="str">
        <f ca="1">IFERROR(__xludf.DUMMYFUNCTION("GOOGLETRANSLATE(A2903 , ""tr"" , ""en"")"),"Let's be meticulous in the social distance application. https://t.co/bnao1jqte2")</f>
        <v>Let's be meticulous in the social distance application. https://t.co/bnao1jqte2</v>
      </c>
    </row>
    <row r="2904" spans="1:5" ht="15.75" customHeight="1" x14ac:dyDescent="0.25">
      <c r="A2904" s="1" t="s">
        <v>5807</v>
      </c>
      <c r="B2904" s="1">
        <v>36993</v>
      </c>
      <c r="C2904" s="3">
        <v>43956.688078703701</v>
      </c>
      <c r="D2904" s="1" t="s">
        <v>5808</v>
      </c>
      <c r="E2904" s="4" t="str">
        <f ca="1">IFERROR(__xludf.DUMMYFUNCTION("GOOGLETRANSLATE(A2904 , ""tr"" , ""en"")"),"TFF President SN. With Nihat Özdemir, we had an interview today. We stated that the continuation of the leagues is a decision that the federation will receive with its own will. I deliver my love of the football, who postpone football enthusiasm and see s"&amp;"ome rules of the game in life. https://t.co/Iujzibaney")</f>
        <v>TFF President SN. With Nihat Özdemir, we had an interview today. We stated that the continuation of the leagues is a decision that the federation will receive with its own will. I deliver my love of the football, who postpone football enthusiasm and see some rules of the game in life. https://t.co/Iujzibaney</v>
      </c>
    </row>
    <row r="2905" spans="1:5" ht="15.75" customHeight="1" x14ac:dyDescent="0.25">
      <c r="A2905" s="1" t="s">
        <v>5809</v>
      </c>
      <c r="B2905" s="1">
        <v>101286</v>
      </c>
      <c r="C2905" s="3">
        <v>43956.668981481482</v>
      </c>
      <c r="D2905" s="1" t="s">
        <v>5810</v>
      </c>
      <c r="E2905" s="4" t="str">
        <f ca="1">IFERROR(__xludf.DUMMYFUNCTION("GOOGLETRANSLATE(A2905 , ""tr"" , ""en"")"),"Intensive care Number of patients continues to decline in the number of intubated patients and the number of passes. Number of new recovery patients, other indicator of success. In the case number, there is a partial increase in the cruise. We are at a ne"&amp;"w period. We should not recognize an opportunity to the epidemic. https://t.co/rvlhe7786o https://t.co/0mmkkuoncl")</f>
        <v>Intensive care Number of patients continues to decline in the number of intubated patients and the number of passes. Number of new recovery patients, other indicator of success. In the case number, there is a partial increase in the cruise. We are at a new period. We should not recognize an opportunity to the epidemic. https://t.co/rvlhe7786o https://t.co/0mmkkuoncl</v>
      </c>
    </row>
    <row r="2906" spans="1:5" ht="15.75" customHeight="1" x14ac:dyDescent="0.25">
      <c r="A2906" s="1" t="s">
        <v>5811</v>
      </c>
      <c r="B2906" s="1">
        <v>67752</v>
      </c>
      <c r="C2906" s="3">
        <v>43955.898182870369</v>
      </c>
      <c r="D2906" s="1" t="s">
        <v>5812</v>
      </c>
      <c r="E2906" s="4" t="str">
        <f ca="1">IFERROR(__xludf.DUMMYFUNCTION("GOOGLETRANSLATE(A2906 , ""tr"" , ""en"")"),"The next Sunday is 11:00 to 15:00 PARTS, the streets are 65 years of age and older. The crowded groups of friends are still obvious, even in the park. Thank you for your patience. https://t.co/uo7knkisws")</f>
        <v>The next Sunday is 11:00 to 15:00 PARTS, the streets are 65 years of age and older. The crowded groups of friends are still obvious, even in the park. Thank you for your patience. https://t.co/uo7knkisws</v>
      </c>
    </row>
    <row r="2907" spans="1:5" ht="15.75" customHeight="1" x14ac:dyDescent="0.25">
      <c r="A2907" s="1" t="s">
        <v>5813</v>
      </c>
      <c r="B2907" s="1">
        <v>113844</v>
      </c>
      <c r="C2907" s="3">
        <v>43955.722256944442</v>
      </c>
      <c r="D2907" s="1" t="s">
        <v>5814</v>
      </c>
      <c r="E2907" s="4" t="str">
        <f ca="1">IFERROR(__xludf.DUMMYFUNCTION("GOOGLETRANSLATE(A2907 , ""tr"" , ""en"")"),"With the number of patients recovering in the last 24 hours, the difference between the number of new cases continued to increase. In the test number, the number of new diagnoses decreased, despite the increase in about 11,000 compared to yesterday. If we"&amp;" do not recognize a new opportunity to the disease is our hand. https://t.co/rvlhe7786o https://t.co/zm4gknpcep")</f>
        <v>With the number of patients recovering in the last 24 hours, the difference between the number of new cases continued to increase. In the test number, the number of new diagnoses decreased, despite the increase in about 11,000 compared to yesterday. If we do not recognize a new opportunity to the disease is our hand. https://t.co/rvlhe7786o https://t.co/zm4gknpcep</v>
      </c>
    </row>
    <row r="2908" spans="1:5" ht="15.75" customHeight="1" x14ac:dyDescent="0.25">
      <c r="A2908" s="1" t="s">
        <v>5815</v>
      </c>
      <c r="B2908" s="1">
        <v>69428</v>
      </c>
      <c r="C2908" s="3">
        <v>43955.291168981479</v>
      </c>
      <c r="D2908" s="1" t="s">
        <v>5816</v>
      </c>
      <c r="E2908" s="4" t="str">
        <f ca="1">IFERROR(__xludf.DUMMYFUNCTION("GOOGLETRANSLATE(A2908 , ""tr"" , ""en"")"),"We cannot be as close as the old one. Let's try to stay at home. https://t.co/3UNWIG8DUY")</f>
        <v>We cannot be as close as the old one. Let's try to stay at home. https://t.co/3UNWIG8DUY</v>
      </c>
    </row>
    <row r="2909" spans="1:5" ht="15.75" customHeight="1" x14ac:dyDescent="0.25">
      <c r="A2909" s="1" t="s">
        <v>5817</v>
      </c>
      <c r="B2909" s="1">
        <v>110816</v>
      </c>
      <c r="C2909" s="3">
        <v>43954.93105324074</v>
      </c>
      <c r="D2909" s="1" t="s">
        <v>5818</v>
      </c>
      <c r="E2909" s="4" t="str">
        <f ca="1">IFERROR(__xludf.DUMMYFUNCTION("GOOGLETRANSLATE(A2909 , ""tr"" , ""en"")"),"We cannot be as close as the old one. We must put a distance. https://t.co/modpvbnnoi")</f>
        <v>We cannot be as close as the old one. We must put a distance. https://t.co/modpvbnnoi</v>
      </c>
    </row>
    <row r="2910" spans="1:5" ht="15.75" customHeight="1" x14ac:dyDescent="0.25">
      <c r="A2910" s="1" t="s">
        <v>5819</v>
      </c>
      <c r="B2910" s="1">
        <v>0</v>
      </c>
      <c r="C2910" s="3">
        <v>43954.836273148147</v>
      </c>
      <c r="D2910" s="1" t="s">
        <v>5820</v>
      </c>
      <c r="E2910" s="4" t="str">
        <f ca="1">IFERROR(__xludf.DUMMYFUNCTION("GOOGLETRANSLATE(A2910 , ""tr"" , ""en"")"),"RT @rterdogan: The construction of our two hospitals with a total capacity of 2 thousand beds in Yeşilköy and Sancaktepe continues quickly.
Hope the projects is the most k ...")</f>
        <v>RT @rterdogan: The construction of our two hospitals with a total capacity of 2 thousand beds in Yeşilköy and Sancaktepe continues quickly.
Hope the projects is the most k ...</v>
      </c>
    </row>
    <row r="2911" spans="1:5" ht="15.75" customHeight="1" x14ac:dyDescent="0.25">
      <c r="A2911" s="1" t="s">
        <v>5821</v>
      </c>
      <c r="B2911" s="1">
        <v>39606</v>
      </c>
      <c r="C2911" s="3">
        <v>43954.785810185182</v>
      </c>
      <c r="D2911" s="1" t="s">
        <v>5822</v>
      </c>
      <c r="E2911" s="4" t="str">
        <f ca="1">IFERROR(__xludf.DUMMYFUNCTION("GOOGLETRANSLATE(A2911 , ""tr"" , ""en"")"),"Minister of Agriculture and Forest, my friend Dr. I thank Bekir Pakdemirli for the meaningful campaign started. 1.061.635 Let's join the sapling sewing campaign for our health worker. I'm donating my Donation, Today, Hocam Prof. Dr. I did for Murat Dilmen"&amp;"er. https://t.co/nsrhujspvo")</f>
        <v>Minister of Agriculture and Forest, my friend Dr. I thank Bekir Pakdemirli for the meaningful campaign started. 1.061.635 Let's join the sapling sewing campaign for our health worker. I'm donating my Donation, Today, Hocam Prof. Dr. I did for Murat Dilmener. https://t.co/nsrhujspvo</v>
      </c>
    </row>
    <row r="2912" spans="1:5" ht="15.75" customHeight="1" x14ac:dyDescent="0.25">
      <c r="A2912" s="1" t="s">
        <v>5823</v>
      </c>
      <c r="B2912" s="1">
        <v>176155</v>
      </c>
      <c r="C2912" s="3">
        <v>43954.670219907406</v>
      </c>
      <c r="D2912" s="1" t="s">
        <v>5824</v>
      </c>
      <c r="E2912" s="4" t="str">
        <f ca="1">IFERROR(__xludf.DUMMYFUNCTION("GOOGLETRANSLATE(A2912 , ""tr"" , ""en"")"),"Since March 11, the first time today, our number of patients recovering, the current coronavirus patients passed. As the measures are observed, the result will be much better.
https://t.co/rvlhe7786o https://t.co/vrwmnqiguo")</f>
        <v>Since March 11, the first time today, our number of patients recovering, the current coronavirus patients passed. As the measures are observed, the result will be much better.
https://t.co/rvlhe7786o https://t.co/vrwmnqiguo</v>
      </c>
    </row>
    <row r="2913" spans="1:5" ht="15.75" customHeight="1" x14ac:dyDescent="0.25">
      <c r="A2913" s="1" t="s">
        <v>5825</v>
      </c>
      <c r="B2913" s="1">
        <v>70514</v>
      </c>
      <c r="C2913" s="3">
        <v>43954.617858796293</v>
      </c>
      <c r="D2913" s="1" t="s">
        <v>5826</v>
      </c>
      <c r="E2913" s="4" t="str">
        <f ca="1">IFERROR(__xludf.DUMMYFUNCTION("GOOGLETRANSLATE(A2913 , ""tr"" , ""en"")"),"Professor Dr. Murat Dilmener, the teacher of many generations of physicians and scientists were teachers in the field of infection for our young people. We lost our famous instructor to the coronavirus with their approach to the courses and patients. I wi"&amp;"sh his condolences to the mercy, lovers from Allah.")</f>
        <v>Professor Dr. Murat Dilmener, the teacher of many generations of physicians and scientists were teachers in the field of infection for our young people. We lost our famous instructor to the coronavirus with their approach to the courses and patients. I wish his condolences to the mercy, lovers from Allah.</v>
      </c>
    </row>
    <row r="2914" spans="1:5" ht="15.75" customHeight="1" x14ac:dyDescent="0.25">
      <c r="A2914" s="1" t="s">
        <v>5827</v>
      </c>
      <c r="B2914" s="1">
        <v>115940</v>
      </c>
      <c r="C2914" s="3">
        <v>43954.592453703706</v>
      </c>
      <c r="D2914" s="1" t="s">
        <v>5828</v>
      </c>
      <c r="E2914" s="4" t="str">
        <f ca="1">IFERROR(__xludf.DUMMYFUNCTION("GOOGLETRANSLATE(A2914 , ""tr"" , ""en"")"),"We have lost our people by coronavirus due to the coronavirus, which is treated with the display, valuable divine and writer Ömer Cigargeloğlu Geyefendi. I wish himself from Allah to the mercy, his family and lovers. Rest in peace.")</f>
        <v>We have lost our people by coronavirus due to the coronavirus, which is treated with the display, valuable divine and writer Ömer Cigargeloğlu Geyefendi. I wish himself from Allah to the mercy, his family and lovers. Rest in peace.</v>
      </c>
    </row>
    <row r="2915" spans="1:5" ht="15.75" customHeight="1" x14ac:dyDescent="0.25">
      <c r="A2915" s="1" t="s">
        <v>5829</v>
      </c>
      <c r="B2915" s="1">
        <v>68544</v>
      </c>
      <c r="C2915" s="3">
        <v>43953.915266203701</v>
      </c>
      <c r="D2915" s="1" t="s">
        <v>5830</v>
      </c>
      <c r="E2915" s="4" t="str">
        <f ca="1">IFERROR(__xludf.DUMMYFUNCTION("GOOGLETRANSLATE(A2915 , ""tr"" , ""en"")"),"Our nation gave two martyrs in the fight against the PKK terrorist organization. In the conflict of Bitlis's Sehi area, I wish the two gendarmerical sectors of the Gendarmeri expert sergeant. We are at the service of our slightly injured soldiers. https:/"&amp;"/t.co/p7tjpu9qtt")</f>
        <v>Our nation gave two martyrs in the fight against the PKK terrorist organization. In the conflict of Bitlis's Sehi area, I wish the two gendarmerical sectors of the Gendarmeri expert sergeant. We are at the service of our slightly injured soldiers. https://t.co/p7tjpu9qtt</v>
      </c>
    </row>
    <row r="2916" spans="1:5" ht="15.75" customHeight="1" x14ac:dyDescent="0.25">
      <c r="A2916" s="1" t="s">
        <v>5831</v>
      </c>
      <c r="B2916" s="1">
        <v>57559</v>
      </c>
      <c r="C2916" s="3">
        <v>43953.828599537039</v>
      </c>
      <c r="D2916" s="1" t="s">
        <v>5832</v>
      </c>
      <c r="E2916" s="4" t="str">
        <f ca="1">IFERROR(__xludf.DUMMYFUNCTION("GOOGLETRANSLATE(A2916 , ""tr"" , ""en"")"),"""As for the time we rewarm
The Heating Location When the sky see us ""
Before this song, this sound, hospital corridors, it was like we heard in services. Will now hear 83 million. Thank Murat Barrak, expressing the longing of our health workers and so"&amp;"ciety. https://t.co/njnbIGHXIS")</f>
        <v>"As for the time we rewarm
The Heating Location When the sky see us "
Before this song, this sound, hospital corridors, it was like we heard in services. Will now hear 83 million. Thank Murat Barrak, expressing the longing of our health workers and society. https://t.co/njnbIGHXIS</v>
      </c>
    </row>
    <row r="2917" spans="1:5" ht="15.75" customHeight="1" x14ac:dyDescent="0.25">
      <c r="A2917" s="1" t="s">
        <v>5833</v>
      </c>
      <c r="B2917" s="1">
        <v>45759</v>
      </c>
      <c r="C2917" s="3">
        <v>43953.803078703706</v>
      </c>
      <c r="D2917" s="1" t="s">
        <v>5834</v>
      </c>
      <c r="E2917" s="4" t="str">
        <f ca="1">IFERROR(__xludf.DUMMYFUNCTION("GOOGLETRANSLATE(A2917 , ""tr"" , ""en"")"),"In the normalization process, industrial production has started our work for the continuation of the COVID-19 measures. Our Ministry of Industry and Technology and the Organization Support of the Kocaeli Chamber of Industry have established a laboratory w"&amp;"ith a capacity of 5,000 tests in Gebze. The continuation will come. https://t.co/jikb5xqaiw")</f>
        <v>In the normalization process, industrial production has started our work for the continuation of the COVID-19 measures. Our Ministry of Industry and Technology and the Organization Support of the Kocaeli Chamber of Industry have established a laboratory with a capacity of 5,000 tests in Gebze. The continuation will come. https://t.co/jikb5xqaiw</v>
      </c>
    </row>
    <row r="2918" spans="1:5" ht="15.75" customHeight="1" x14ac:dyDescent="0.25">
      <c r="A2918" s="1" t="s">
        <v>5835</v>
      </c>
      <c r="B2918" s="1">
        <v>172318</v>
      </c>
      <c r="C2918" s="3">
        <v>43953.684120370373</v>
      </c>
      <c r="D2918" s="1" t="s">
        <v>5836</v>
      </c>
      <c r="E2918" s="4" t="str">
        <f ca="1">IFERROR(__xludf.DUMMYFUNCTION("GOOGLETRANSLATE(A2918 , ""tr"" , ""en"")"),"For the first time since March 30, the number of daily cases has fallen below 2,000. Our new recovery patient count is close to two and a half times of this.
https://t.co/rvlhe7786o https://t.co/mifkojanto")</f>
        <v>For the first time since March 30, the number of daily cases has fallen below 2,000. Our new recovery patient count is close to two and a half times of this.
https://t.co/rvlhe7786o https://t.co/mifkojanto</v>
      </c>
    </row>
    <row r="2919" spans="1:5" ht="15.75" customHeight="1" x14ac:dyDescent="0.25">
      <c r="A2919" s="1" t="s">
        <v>5837</v>
      </c>
      <c r="B2919" s="1">
        <v>120741</v>
      </c>
      <c r="C2919" s="3">
        <v>43952.677129629628</v>
      </c>
      <c r="D2919" s="1" t="s">
        <v>5838</v>
      </c>
      <c r="E2919" s="4" t="str">
        <f ca="1">IFERROR(__xludf.DUMMYFUNCTION("GOOGLETRANSLATE(A2919 , ""tr"" , ""en"")"),"Those recovered in the last 24 hours are 2,25 times the patients who are newly diagnosed with. The total number of recovery is 53 thousand. This number is close to 45% of the total number of cases ever. The number of intensive care is decreasing. Let's be"&amp;" careful in the measure. The weather outside can change the table.
https://t.co/rvlhe7786o https://t.co/ID5p85tjse")</f>
        <v>Those recovered in the last 24 hours are 2,25 times the patients who are newly diagnosed with. The total number of recovery is 53 thousand. This number is close to 45% of the total number of cases ever. The number of intensive care is decreasing. Let's be careful in the measure. The weather outside can change the table.
https://t.co/rvlhe7786o https://t.co/ID5p85tjse</v>
      </c>
    </row>
    <row r="2920" spans="1:5" ht="15.75" customHeight="1" x14ac:dyDescent="0.25">
      <c r="A2920" s="1" t="s">
        <v>5839</v>
      </c>
      <c r="B2920" s="1">
        <v>56759</v>
      </c>
      <c r="C2920" s="3">
        <v>43952.500115740739</v>
      </c>
      <c r="D2920" s="1" t="s">
        <v>5840</v>
      </c>
      <c r="E2920" s="4" t="str">
        <f ca="1">IFERROR(__xludf.DUMMYFUNCTION("GOOGLETRANSLATE(A2920 , ""tr"" , ""en"")"),"The Turkish-Business Union, this year, May 1 Labor and Solidarity Day has been dedicated to our health workers with the report published. I thank them on behalf of all my workmates. This very elegant, asset is that the fatigues will be slightly reduced to"&amp;"day. They become right.")</f>
        <v>The Turkish-Business Union, this year, May 1 Labor and Solidarity Day has been dedicated to our health workers with the report published. I thank them on behalf of all my workmates. This very elegant, asset is that the fatigues will be slightly reduced today. They become right.</v>
      </c>
    </row>
    <row r="2921" spans="1:5" ht="15.75" customHeight="1" x14ac:dyDescent="0.25">
      <c r="A2921" s="1" t="s">
        <v>5841</v>
      </c>
      <c r="B2921" s="1">
        <v>79379</v>
      </c>
      <c r="C2921" s="3">
        <v>43952.312488425923</v>
      </c>
      <c r="D2921" s="1" t="s">
        <v>5842</v>
      </c>
      <c r="E2921" s="4" t="str">
        <f ca="1">IFERROR(__xludf.DUMMYFUNCTION("GOOGLETRANSLATE(A2921 , ""tr"" , ""en"")"),"May 1 Happy Labor and Solidarity Day. https://t.co/vcj0moefp5")</f>
        <v>May 1 Happy Labor and Solidarity Day. https://t.co/vcj0moefp5</v>
      </c>
    </row>
    <row r="2922" spans="1:5" ht="15.75" customHeight="1" x14ac:dyDescent="0.25">
      <c r="A2922" s="1" t="s">
        <v>5843</v>
      </c>
      <c r="B2922" s="1">
        <v>55609</v>
      </c>
      <c r="C2922" s="3">
        <v>43951.995347222219</v>
      </c>
      <c r="D2922" s="1" t="s">
        <v>5844</v>
      </c>
      <c r="E2922" s="4" t="str">
        <f ca="1">IFERROR(__xludf.DUMMYFUNCTION("GOOGLETRANSLATE(A2922 , ""tr"" , ""en"")"),"Istanbul has many different features of the cities in the world. 20 million. Have an intense settlement structure. Several generations lives in the nest. Nevertheless, we control the Istanbul where 60% of cases were seen. This is great importance to 83 mi"&amp;"llion. https://t.co/9oj31dtldb")</f>
        <v>Istanbul has many different features of the cities in the world. 20 million. Have an intense settlement structure. Several generations lives in the nest. Nevertheless, we control the Istanbul where 60% of cases were seen. This is great importance to 83 million. https://t.co/9oj31dtldb</v>
      </c>
    </row>
    <row r="2923" spans="1:5" ht="15.75" customHeight="1" x14ac:dyDescent="0.25">
      <c r="A2923" s="1" t="s">
        <v>5845</v>
      </c>
      <c r="B2923" s="1">
        <v>31190</v>
      </c>
      <c r="C2923" s="3">
        <v>43951.945081018515</v>
      </c>
      <c r="D2923" s="1" t="s">
        <v>5846</v>
      </c>
      <c r="E2923" s="4" t="str">
        <f ca="1">IFERROR(__xludf.DUMMYFUNCTION("GOOGLETRANSLATE(A2923 , ""tr"" , ""en"")"),"Bed percentage in Turkey in 10 thousand of 28,000 in Adana on the 32nd average of Turkey. What is the rate in the dense care bed? While the number of intense care falling to 100 thousand people fall in Turkey is 49, 63. Adana in Adana, Adana, Advantage. T"&amp;"he subject is unfortunately neglected, as the subject is moved to the agenda. https://t.co/zgwot3fnwt")</f>
        <v>Bed percentage in Turkey in 10 thousand of 28,000 in Adana on the 32nd average of Turkey. What is the rate in the dense care bed? While the number of intense care falling to 100 thousand people fall in Turkey is 49, 63. Adana in Adana, Adana, Advantage. The subject is unfortunately neglected, as the subject is moved to the agenda. https://t.co/zgwot3fnwt</v>
      </c>
    </row>
    <row r="2924" spans="1:5" ht="15.75" customHeight="1" x14ac:dyDescent="0.25">
      <c r="A2924" s="1" t="s">
        <v>5847</v>
      </c>
      <c r="B2924" s="1">
        <v>22386</v>
      </c>
      <c r="C2924" s="3">
        <v>43951.885810185187</v>
      </c>
      <c r="D2924" s="1" t="s">
        <v>5848</v>
      </c>
      <c r="E2924" s="4" t="str">
        <f ca="1">IFERROR(__xludf.DUMMYFUNCTION("GOOGLETRANSLATE(A2924 , ""tr"" , ""en"")"),"What we experienced a deficiency in the air ambulance service, we have experienced a deficiency.")</f>
        <v>What we experienced a deficiency in the air ambulance service, we have experienced a deficiency.</v>
      </c>
    </row>
    <row r="2925" spans="1:5" ht="15.75" customHeight="1" x14ac:dyDescent="0.25">
      <c r="A2925" s="1" t="s">
        <v>5849</v>
      </c>
      <c r="B2925" s="1">
        <v>31276</v>
      </c>
      <c r="C2925" s="3">
        <v>43951.88554398148</v>
      </c>
      <c r="D2925" s="1" t="s">
        <v>5850</v>
      </c>
      <c r="E2925" s="4" t="str">
        <f ca="1">IFERROR(__xludf.DUMMYFUNCTION("GOOGLETRANSLATE(A2925 , ""tr"" , ""en"")"),"Living in Switzerland, COVID-19 diagnosed with COVID-19 on April 7, the status of our family was followed by our instruction and consulate. The Turkish physician, as in many examples of the disease, as in many examples, has identified medically, and at ho"&amp;"me treatment was appropriate. https://t.co/ucptjbaed4")</f>
        <v>Living in Switzerland, COVID-19 diagnosed with COVID-19 on April 7, the status of our family was followed by our instruction and consulate. The Turkish physician, as in many examples of the disease, as in many examples, has identified medically, and at home treatment was appropriate. https://t.co/ucptjbaed4</v>
      </c>
    </row>
    <row r="2926" spans="1:5" ht="15.75" customHeight="1" x14ac:dyDescent="0.25">
      <c r="A2926" s="1" t="s">
        <v>5851</v>
      </c>
      <c r="B2926" s="1">
        <v>29911</v>
      </c>
      <c r="C2926" s="3">
        <v>43951.832326388889</v>
      </c>
      <c r="D2926" s="1" t="s">
        <v>5852</v>
      </c>
      <c r="E2926" s="4" t="str">
        <f ca="1">IFERROR(__xludf.DUMMYFUNCTION("GOOGLETRANSLATE(A2926 , ""tr"" , ""en"")"),"Minister of Minister of US Health and Social Services. Alex has made a phone call today today. With the instruction of our President, he has passed their thanks for the aid of medical supplies to the United States. Turkey in detailed methods we have devel"&amp;"oped in treatment with measures received. https://t.co/d9fa0ypvts")</f>
        <v>Minister of Minister of US Health and Social Services. Alex has made a phone call today today. With the instruction of our President, he has passed their thanks for the aid of medical supplies to the United States. Turkey in detailed methods we have developed in treatment with measures received. https://t.co/d9fa0ypvts</v>
      </c>
    </row>
    <row r="2927" spans="1:5" ht="15.75" customHeight="1" x14ac:dyDescent="0.25">
      <c r="A2927" s="1" t="s">
        <v>5853</v>
      </c>
      <c r="B2927" s="1">
        <v>21292</v>
      </c>
      <c r="C2927" s="3">
        <v>43951.816365740742</v>
      </c>
      <c r="D2927" s="1" t="s">
        <v>5854</v>
      </c>
      <c r="E2927" s="4" t="str">
        <f ca="1">IFERROR(__xludf.DUMMYFUNCTION("GOOGLETRANSLATE(A2927 , ""tr"" , ""en"")"),"DSO General Director of Director. At the weekly informational meeting of @drtedros, we presented the results of our combat with COVID-19. We shared our strategy with the participating countries with our strategy and experiences. Turkey's presentation was "&amp;"interested. https://t.co/jpjmtznufz")</f>
        <v>DSO General Director of Director. At the weekly informational meeting of @drtedros, we presented the results of our combat with COVID-19. We shared our strategy with the participating countries with our strategy and experiences. Turkey's presentation was interested. https://t.co/jpjmtznufz</v>
      </c>
    </row>
    <row r="2928" spans="1:5" ht="15.75" customHeight="1" x14ac:dyDescent="0.25">
      <c r="A2928" s="1" t="s">
        <v>5855</v>
      </c>
      <c r="B2928" s="1">
        <v>61037</v>
      </c>
      <c r="C2928" s="3">
        <v>43951.757025462961</v>
      </c>
      <c r="D2928" s="1" t="s">
        <v>5856</v>
      </c>
      <c r="E2928" s="4" t="str">
        <f ca="1">IFERROR(__xludf.DUMMYFUNCTION("GOOGLETRANSLATE(A2928 , ""tr"" , ""en"")"),"We cannot be as close as the old one. We must put a distance. https://t.co/8abf6IPSNV")</f>
        <v>We cannot be as close as the old one. We must put a distance. https://t.co/8abf6IPSNV</v>
      </c>
    </row>
    <row r="2929" spans="1:5" ht="15.75" customHeight="1" x14ac:dyDescent="0.25">
      <c r="A2929" s="1" t="s">
        <v>5857</v>
      </c>
      <c r="B2929" s="1">
        <v>64111</v>
      </c>
      <c r="C2929" s="3">
        <v>43951.756354166668</v>
      </c>
      <c r="D2929" s="1" t="s">
        <v>5858</v>
      </c>
      <c r="E2929" s="4" t="str">
        <f ca="1">IFERROR(__xludf.DUMMYFUNCTION("GOOGLETRANSLATE(A2929 , ""tr"" , ""en"")"),"We cannot be as close as the old one. We must put a distance. https://t.co/y0hhdnbgcx")</f>
        <v>We cannot be as close as the old one. We must put a distance. https://t.co/y0hhdnbgcx</v>
      </c>
    </row>
    <row r="2930" spans="1:5" ht="15.75" customHeight="1" x14ac:dyDescent="0.25">
      <c r="A2930" s="1" t="s">
        <v>5859</v>
      </c>
      <c r="B2930" s="1">
        <v>92847</v>
      </c>
      <c r="C2930" s="3">
        <v>43951.666701388887</v>
      </c>
      <c r="D2930" s="1" t="s">
        <v>5860</v>
      </c>
      <c r="E2930" s="4" t="str">
        <f ca="1">IFERROR(__xludf.DUMMYFUNCTION("GOOGLETRANSLATE(A2930 , ""tr"" , ""en"")"),"We have passed 1 million in the test number. The increase in the number of cases is in predictable cruise. The decline in the number of patients who need respiratory support and intensive care is in the number of patients healing is continuing. It wasn't "&amp;"easy to come to this point. Let's be persistent in the measure.
https://t.co/rvlhe7786o https://t.co/rgs7dcwsf1")</f>
        <v>We have passed 1 million in the test number. The increase in the number of cases is in predictable cruise. The decline in the number of patients who need respiratory support and intensive care is in the number of patients healing is continuing. It wasn't easy to come to this point. Let's be persistent in the measure.
https://t.co/rvlhe7786o https://t.co/rgs7dcwsf1</v>
      </c>
    </row>
    <row r="2931" spans="1:5" ht="15.75" customHeight="1" x14ac:dyDescent="0.25">
      <c r="A2931" s="1" t="s">
        <v>5861</v>
      </c>
      <c r="B2931" s="1">
        <v>134749</v>
      </c>
      <c r="C2931" s="3">
        <v>43950.993657407409</v>
      </c>
      <c r="D2931" s="1" t="s">
        <v>5862</v>
      </c>
      <c r="E2931" s="4" t="str">
        <f ca="1">IFERROR(__xludf.DUMMYFUNCTION("GOOGLETRANSLATE(A2931 , ""tr"" , ""en"")"),"We are the only country to the patient citizen, wherever the world is greeted by the state. Point. https://t.co/ar8yeto78g")</f>
        <v>We are the only country to the patient citizen, wherever the world is greeted by the state. Point. https://t.co/ar8yeto78g</v>
      </c>
    </row>
    <row r="2932" spans="1:5" ht="15.75" customHeight="1" x14ac:dyDescent="0.25">
      <c r="A2932" s="1" t="s">
        <v>5863</v>
      </c>
      <c r="B2932" s="1">
        <v>41552</v>
      </c>
      <c r="C2932" s="3">
        <v>43950.944895833331</v>
      </c>
      <c r="D2932" s="1" t="s">
        <v>5864</v>
      </c>
      <c r="E2932" s="4" t="str">
        <f ca="1">IFERROR(__xludf.DUMMYFUNCTION("GOOGLETRANSLATE(A2932 , ""tr"" , ""en"")"),"The epidemic is the abomination of politics. Even a simple health problem does not allow separation. We have to take part on the same side of 83 million. No one has the right to remain outside the struggle. We must be in an effort to fulfill our responsib"&amp;"ility. If it is supplied to politics, health loses. https://t.co/rxlnfgmq3i")</f>
        <v>The epidemic is the abomination of politics. Even a simple health problem does not allow separation. We have to take part on the same side of 83 million. No one has the right to remain outside the struggle. We must be in an effort to fulfill our responsibility. If it is supplied to politics, health loses. https://t.co/rxlnfgmq3i</v>
      </c>
    </row>
    <row r="2933" spans="1:5" ht="15.75" customHeight="1" x14ac:dyDescent="0.25">
      <c r="A2933" s="1" t="s">
        <v>5865</v>
      </c>
      <c r="B2933" s="1">
        <v>47560</v>
      </c>
      <c r="C2933" s="3">
        <v>43950.91846064815</v>
      </c>
      <c r="D2933" s="1" t="s">
        <v>5866</v>
      </c>
      <c r="E2933" s="4" t="str">
        <f ca="1">IFERROR(__xludf.DUMMYFUNCTION("GOOGLETRANSLATE(A2933 , ""tr"" , ""en"")"),"Politics through death. Let's not forget that every figure corresponds to a friend. Information in this struggle cannot be hidden. You may not want to hide information and measure. Those who prepare death reports are our pride source physicians. Don't we "&amp;"trust our physicians? The passage numbers are transparent. https://t.co/omkjkkvr8l")</f>
        <v>Politics through death. Let's not forget that every figure corresponds to a friend. Information in this struggle cannot be hidden. You may not want to hide information and measure. Those who prepare death reports are our pride source physicians. Don't we trust our physicians? The passage numbers are transparent. https://t.co/omkjkkvr8l</v>
      </c>
    </row>
    <row r="2934" spans="1:5" ht="15.75" customHeight="1" x14ac:dyDescent="0.25">
      <c r="A2934" s="1" t="s">
        <v>5867</v>
      </c>
      <c r="B2934" s="1">
        <v>27542</v>
      </c>
      <c r="C2934" s="3">
        <v>43950.910821759258</v>
      </c>
      <c r="D2934" s="1" t="s">
        <v>5868</v>
      </c>
      <c r="E2934" s="4" t="str">
        <f ca="1">IFERROR(__xludf.DUMMYFUNCTION("GOOGLETRANSLATE(A2934 , ""tr"" , ""en"")"),"From March 11, the point we arrive is not the exact point of success. Success is a success that requires us to hug measures. There are currently carrying virus between us. The disease is not over. Then, this struggle should continue. We believe that every"&amp;" day will be good from the previous day. https://t.co/z2d0mRIVUX")</f>
        <v>From March 11, the point we arrive is not the exact point of success. Success is a success that requires us to hug measures. There are currently carrying virus between us. The disease is not over. Then, this struggle should continue. We believe that every day will be good from the previous day. https://t.co/z2d0mRIVUX</v>
      </c>
    </row>
    <row r="2935" spans="1:5" ht="15.75" customHeight="1" x14ac:dyDescent="0.25">
      <c r="A2935" s="1" t="s">
        <v>5869</v>
      </c>
      <c r="B2935" s="1">
        <v>23152</v>
      </c>
      <c r="C2935" s="3">
        <v>43950.905601851853</v>
      </c>
      <c r="D2935" s="1" t="s">
        <v>5870</v>
      </c>
      <c r="E2935" s="4" t="str">
        <f ca="1">IFERROR(__xludf.DUMMYFUNCTION("GOOGLETRANSLATE(A2935 , ""tr"" , ""en"")"),"We planned our hospital at the beginning of the process. In view of the possible bed, considering the need for intensive care, we appointed all our hospitals in the infrastructure as a pandemon hospital. This preparation in the health infrastructure gave "&amp;"us the power to keep the control on our hand. https://t.co/8bpfqqduzn")</f>
        <v>We planned our hospital at the beginning of the process. In view of the possible bed, considering the need for intensive care, we appointed all our hospitals in the infrastructure as a pandemon hospital. This preparation in the health infrastructure gave us the power to keep the control on our hand. https://t.co/8bpfqqduzn</v>
      </c>
    </row>
    <row r="2936" spans="1:5" ht="15.75" customHeight="1" x14ac:dyDescent="0.25">
      <c r="A2936" s="1" t="s">
        <v>5871</v>
      </c>
      <c r="B2936" s="1">
        <v>31346</v>
      </c>
      <c r="C2936" s="3">
        <v>43950.89439814815</v>
      </c>
      <c r="D2936" s="1" t="s">
        <v>5872</v>
      </c>
      <c r="E2936" s="4" t="str">
        <f ca="1">IFERROR(__xludf.DUMMYFUNCTION("GOOGLETRANSLATE(A2936 , ""tr"" , ""en"")"),"We live in a way that we are not used to Ramadan. Families, friends, as they used to be unable to get together. Calm sofras are being installed. But this ramada has a unique side. You get good news from each other against the disease. I'm celebrating your"&amp;" Ramadan with these feelings. https://t.co/abugfl2s2m")</f>
        <v>We live in a way that we are not used to Ramadan. Families, friends, as they used to be unable to get together. Calm sofras are being installed. But this ramada has a unique side. You get good news from each other against the disease. I'm celebrating your Ramadan with these feelings. https://t.co/abugfl2s2m</v>
      </c>
    </row>
    <row r="2937" spans="1:5" ht="15.75" customHeight="1" x14ac:dyDescent="0.25">
      <c r="A2937" s="1" t="s">
        <v>5873</v>
      </c>
      <c r="B2937" s="1">
        <v>37834</v>
      </c>
      <c r="C2937" s="3">
        <v>43950.855243055557</v>
      </c>
      <c r="D2937" s="1" t="s">
        <v>5874</v>
      </c>
      <c r="E2937" s="4" t="str">
        <f ca="1">IFERROR(__xludf.DUMMYFUNCTION("GOOGLETRANSLATE(A2937 , ""tr"" , ""en"")"),"In the process starting in China, we have established the operation center on January 10th against a possible risk. We have installed our science set up on the same day in January 2020. WHO is full 31 days before declaring disease as pandemia. I can sort "&amp;"our success with three items: Measure, detected, fast treatment. https://t.co/8zzv458m1v")</f>
        <v>In the process starting in China, we have established the operation center on January 10th against a possible risk. We have installed our science set up on the same day in January 2020. WHO is full 31 days before declaring disease as pandemia. I can sort our success with three items: Measure, detected, fast treatment. https://t.co/8zzv458m1v</v>
      </c>
    </row>
    <row r="2938" spans="1:5" ht="15.75" customHeight="1" x14ac:dyDescent="0.25">
      <c r="A2938" s="1" t="s">
        <v>5875</v>
      </c>
      <c r="B2938" s="1">
        <v>69778</v>
      </c>
      <c r="C2938" s="3">
        <v>43950.84847222222</v>
      </c>
      <c r="D2938" s="1" t="s">
        <v>5876</v>
      </c>
      <c r="E2938" s="4" t="str">
        <f ca="1">IFERROR(__xludf.DUMMYFUNCTION("GOOGLETRANSLATE(A2938 , ""tr"" , ""en"")"),"Good news is my country waiting! You have started to get the news you expect in the fight against Koronavirus. The threat is weakeningly weakening. Success, 83 million. We all know very well: Our struggle isn't over yet. The struggle must continue to munt"&amp;"azam. If we don't compromise, we can get the result in a short time. https://t.co/nzar5DILRU")</f>
        <v>Good news is my country waiting! You have started to get the news you expect in the fight against Koronavirus. The threat is weakeningly weakening. Success, 83 million. We all know very well: Our struggle isn't over yet. The struggle must continue to muntazam. If we don't compromise, we can get the result in a short time. https://t.co/nzar5DILRU</v>
      </c>
    </row>
    <row r="2939" spans="1:5" ht="15.75" customHeight="1" x14ac:dyDescent="0.25">
      <c r="A2939" s="1" t="s">
        <v>5877</v>
      </c>
      <c r="B2939" s="1">
        <v>111934</v>
      </c>
      <c r="C2939" s="3">
        <v>43950.666724537034</v>
      </c>
      <c r="D2939" s="1" t="s">
        <v>5878</v>
      </c>
      <c r="E2939" s="4" t="str">
        <f ca="1">IFERROR(__xludf.DUMMYFUNCTION("GOOGLETRANSLATE(A2939 , ""tr"" , ""en"")"),"The increase in the number of cases compared to the number of tests is at the foreseeable level. The number of healing patients has passed 44,000 and a third of our total number of cases. Our patient number needs intensive care continues to decrease. Let'"&amp;"s be persistent in the measure.
https://t.co/rvlhe7786o https://t.co/0iwTIFX5in")</f>
        <v>The increase in the number of cases compared to the number of tests is at the foreseeable level. The number of healing patients has passed 44,000 and a third of our total number of cases. Our patient number needs intensive care continues to decrease. Let's be persistent in the measure.
https://t.co/rvlhe7786o https://t.co/0iwTIFX5in</v>
      </c>
    </row>
    <row r="2940" spans="1:5" ht="15.75" customHeight="1" x14ac:dyDescent="0.25">
      <c r="A2940" s="1" t="s">
        <v>5879</v>
      </c>
      <c r="B2940" s="1">
        <v>25531</v>
      </c>
      <c r="C2940" s="3">
        <v>43950.595289351855</v>
      </c>
      <c r="D2940" s="1" t="s">
        <v>5880</v>
      </c>
      <c r="E2940" s="4" t="str">
        <f ca="1">IFERROR(__xludf.DUMMYFUNCTION("GOOGLETRANSLATE(A2940 , ""tr"" , ""en"")"),"After our Science Board meeting, the latest developments on the coronavirus and the new measures we receive.
📍 The Ministry of Health Bilkent Campus / Ankara https://t.co/vupordbc2e")</f>
        <v>After our Science Board meeting, the latest developments on the coronavirus and the new measures we receive.
📍 The Ministry of Health Bilkent Campus / Ankara https://t.co/vupordbc2e</v>
      </c>
    </row>
    <row r="2941" spans="1:5" ht="15.75" customHeight="1" x14ac:dyDescent="0.25">
      <c r="A2941" s="1" t="s">
        <v>5881</v>
      </c>
      <c r="B2941" s="1">
        <v>133305</v>
      </c>
      <c r="C2941" s="3">
        <v>43949.81653935185</v>
      </c>
      <c r="D2941" s="1" t="s">
        <v>5882</v>
      </c>
      <c r="E2941" s="4" t="str">
        <f ca="1">IFERROR(__xludf.DUMMYFUNCTION("GOOGLETRANSLATE(A2941 , ""tr"" , ""en"")"),"Turkey gives the air ambulance service since 2008. And this service is the only state that offers free with its resources. Only this year 453 patients were carried by the air, 211 patients with airplane ambulance. Those who think similar health operations"&amp;" can only be in movies should believe in our country.")</f>
        <v>Turkey gives the air ambulance service since 2008. And this service is the only state that offers free with its resources. Only this year 453 patients were carried by the air, 211 patients with airplane ambulance. Those who think similar health operations can only be in movies should believe in our country.</v>
      </c>
    </row>
    <row r="2942" spans="1:5" ht="15.75" customHeight="1" x14ac:dyDescent="0.25">
      <c r="A2942" s="1" t="s">
        <v>5883</v>
      </c>
      <c r="B2942" s="1">
        <v>42859</v>
      </c>
      <c r="C2942" s="3">
        <v>43949.755254629628</v>
      </c>
      <c r="D2942" s="1" t="s">
        <v>5884</v>
      </c>
      <c r="E2942" s="4" t="str">
        <f ca="1">IFERROR(__xludf.DUMMYFUNCTION("GOOGLETRANSLATE(A2942 , ""tr"" , ""en"")"),"We made the first of the Turkish Council of Health Ministry Meetings. With the Minister of Six countries, the meeting in which the European Director of the International Director of the International and the General Secretary of the Turkish Council has ta"&amp;"ken place with video conferencing. We have stood on the importance of global and regional measures to be taken against the epidemic in the meeting. https://t.co/vcwh8pgwqh")</f>
        <v>We made the first of the Turkish Council of Health Ministry Meetings. With the Minister of Six countries, the meeting in which the European Director of the International Director of the International and the General Secretary of the Turkish Council has taken place with video conferencing. We have stood on the importance of global and regional measures to be taken against the epidemic in the meeting. https://t.co/vcwh8pgwqh</v>
      </c>
    </row>
    <row r="2943" spans="1:5" ht="15.75" customHeight="1" x14ac:dyDescent="0.25">
      <c r="A2943" s="1" t="s">
        <v>5885</v>
      </c>
      <c r="B2943" s="1">
        <v>86896</v>
      </c>
      <c r="C2943" s="3">
        <v>43949.689571759256</v>
      </c>
      <c r="D2943" s="1" t="s">
        <v>5886</v>
      </c>
      <c r="E2943" s="4" t="str">
        <f ca="1">IFERROR(__xludf.DUMMYFUNCTION("GOOGLETRANSLATE(A2943 , ""tr"" , ""en"")"),"We cannot be as close as the old one. We must put a distance. https://t.co/dluunqi5nx")</f>
        <v>We cannot be as close as the old one. We must put a distance. https://t.co/dluunqi5nx</v>
      </c>
    </row>
    <row r="2944" spans="1:5" ht="15.75" customHeight="1" x14ac:dyDescent="0.25">
      <c r="A2944" s="1" t="s">
        <v>5887</v>
      </c>
      <c r="B2944" s="1">
        <v>121248</v>
      </c>
      <c r="C2944" s="3">
        <v>43949.666747685187</v>
      </c>
      <c r="D2944" s="1" t="s">
        <v>5888</v>
      </c>
      <c r="E2944" s="4" t="str">
        <f ca="1">IFERROR(__xludf.DUMMYFUNCTION("GOOGLETRANSLATE(A2944 , ""tr"" , ""en"")"),"Over 5,000 patients recovered in the last 24 hours. Our total number of patients recovering approached 40,000. It takes a decline in the number of intensive care and intubation. The new number of cases in the prescribed cruise. We will surpass 1 million t"&amp;"ests very soon. Let's not risk this success.
https://t.co/rvlhe7786o https://t.co/j33ospzuh1")</f>
        <v>Over 5,000 patients recovered in the last 24 hours. Our total number of patients recovering approached 40,000. It takes a decline in the number of intensive care and intubation. The new number of cases in the prescribed cruise. We will surpass 1 million tests very soon. Let's not risk this success.
https://t.co/rvlhe7786o https://t.co/j33ospzuh1</v>
      </c>
    </row>
    <row r="2945" spans="1:5" ht="15.75" customHeight="1" x14ac:dyDescent="0.25">
      <c r="A2945" s="1" t="s">
        <v>5889</v>
      </c>
      <c r="B2945" s="1">
        <v>93885</v>
      </c>
      <c r="C2945" s="3">
        <v>43949.508622685185</v>
      </c>
      <c r="D2945" s="1" t="s">
        <v>5890</v>
      </c>
      <c r="E2945" s="4" t="str">
        <f ca="1">IFERROR(__xludf.DUMMYFUNCTION("GOOGLETRANSLATE(A2945 , ""tr"" , ""en"")"),"In Russia, we brought the Lung Hasan Seyithanoğlu to the Seyithanoğlu with the Ablanan Airplane. Due to the coronavirus release, our sister who cannot be operated in Russia was treated with our president instructions. I say you get to himself. https://t.c"&amp;"o/tn67tzw7ep")</f>
        <v>In Russia, we brought the Lung Hasan Seyithanoğlu to the Seyithanoğlu with the Ablanan Airplane. Due to the coronavirus release, our sister who cannot be operated in Russia was treated with our president instructions. I say you get to himself. https://t.co/tn67tzw7ep</v>
      </c>
    </row>
    <row r="2946" spans="1:5" ht="15.75" customHeight="1" x14ac:dyDescent="0.25">
      <c r="A2946" s="1" t="s">
        <v>5891</v>
      </c>
      <c r="B2946" s="1">
        <v>150430</v>
      </c>
      <c r="C2946" s="3">
        <v>43948.98704861111</v>
      </c>
      <c r="D2946" s="1" t="s">
        <v>5892</v>
      </c>
      <c r="E2946" s="4" t="str">
        <f ca="1">IFERROR(__xludf.DUMMYFUNCTION("GOOGLETRANSLATE(A2946 , ""tr"" , ""en"")"),"We cannot be as close as the old one. Let's put together. https://t.co/zd28tyr0te")</f>
        <v>We cannot be as close as the old one. Let's put together. https://t.co/zd28tyr0te</v>
      </c>
    </row>
    <row r="2947" spans="1:5" ht="15.75" customHeight="1" x14ac:dyDescent="0.25">
      <c r="A2947" s="1" t="s">
        <v>5893</v>
      </c>
      <c r="B2947" s="1">
        <v>152436</v>
      </c>
      <c r="C2947" s="3">
        <v>43948.712569444448</v>
      </c>
      <c r="D2947" s="1" t="s">
        <v>5894</v>
      </c>
      <c r="E2947" s="4" t="str">
        <f ca="1">IFERROR(__xludf.DUMMYFUNCTION("GOOGLETRANSLATE(A2947 , ""tr"" , ""en"")"),"We have reached the highest number of patients recovering in a day. The decrease in the number of tests needed today, since the number of contacts and the contact medium is decreased. Intensive care and intubate are decreasing in the number of patients. L"&amp;"et's not risk this success.
https://t.co/rvlhe7786o https://t.co/zwbvehshog")</f>
        <v>We have reached the highest number of patients recovering in a day. The decrease in the number of tests needed today, since the number of contacts and the contact medium is decreased. Intensive care and intubate are decreasing in the number of patients. Let's not risk this success.
https://t.co/rvlhe7786o https://t.co/zwbvehshog</v>
      </c>
    </row>
    <row r="2948" spans="1:5" ht="15.75" customHeight="1" x14ac:dyDescent="0.25">
      <c r="A2948" s="1" t="s">
        <v>5895</v>
      </c>
      <c r="B2948" s="1">
        <v>106523</v>
      </c>
      <c r="C2948" s="3">
        <v>43948.70516203704</v>
      </c>
      <c r="D2948" s="1" t="s">
        <v>5896</v>
      </c>
      <c r="E2948" s="4" t="str">
        <f ca="1">IFERROR(__xludf.DUMMYFUNCTION("GOOGLETRANSLATE(A2948 , ""tr"" , ""en"")"),"Let's stay away from the crowded iftar table. Beneficial iftars. https://t.co/ICskculxwd")</f>
        <v>Let's stay away from the crowded iftar table. Beneficial iftars. https://t.co/ICskculxwd</v>
      </c>
    </row>
    <row r="2949" spans="1:5" ht="15.75" customHeight="1" x14ac:dyDescent="0.25">
      <c r="A2949" s="1" t="s">
        <v>5897</v>
      </c>
      <c r="B2949" s="1">
        <v>0</v>
      </c>
      <c r="C2949" s="3">
        <v>43948.654861111114</v>
      </c>
      <c r="D2949" s="1" t="s">
        <v>5898</v>
      </c>
      <c r="E2949" s="4" t="str">
        <f ca="1">IFERROR(__xludf.DUMMYFUNCTION("GOOGLETRANSLATE(A2949 , ""tr"" , ""en"")"),"RT @rterdogan: Shouting Nation After Cabinet Meeting https://t.co/qgsvd1qlsd")</f>
        <v>RT @rterdogan: Shouting Nation After Cabinet Meeting https://t.co/qgsvd1qlsd</v>
      </c>
    </row>
    <row r="2950" spans="1:5" ht="15.75" customHeight="1" x14ac:dyDescent="0.25">
      <c r="A2950" s="1" t="s">
        <v>5899</v>
      </c>
      <c r="B2950" s="1">
        <v>120488</v>
      </c>
      <c r="C2950" s="3">
        <v>43947.873715277776</v>
      </c>
      <c r="D2950" s="1" t="s">
        <v>5900</v>
      </c>
      <c r="E2950" s="4" t="str">
        <f ca="1">IFERROR(__xludf.DUMMYFUNCTION("GOOGLETRANSLATE(A2950 , ""tr"" , ""en"")"),"Our COVID-19 patient citizen was aware of the status of the Emrullah Bey in Turkey in 04. Our ambulance aircraft was in the Malmö city of Sweden in 09.10 with our president. Our patient was treated with two children in Ankara in noon. Know your power! htt"&amp;"ps://t.co/l4wvkwlsxu")</f>
        <v>Our COVID-19 patient citizen was aware of the status of the Emrullah Bey in Turkey in 04. Our ambulance aircraft was in the Malmö city of Sweden in 09.10 with our president. Our patient was treated with two children in Ankara in noon. Know your power! https://t.co/l4wvkwlsxu</v>
      </c>
    </row>
    <row r="2951" spans="1:5" ht="15.75" customHeight="1" x14ac:dyDescent="0.25">
      <c r="A2951" s="1" t="s">
        <v>5901</v>
      </c>
      <c r="B2951" s="1">
        <v>252381</v>
      </c>
      <c r="C2951" s="3">
        <v>43947.691678240742</v>
      </c>
      <c r="D2951" s="1" t="s">
        <v>5902</v>
      </c>
      <c r="E2951" s="4" t="str">
        <f ca="1">IFERROR(__xludf.DUMMYFUNCTION("GOOGLETRANSLATE(A2951 , ""tr"" , ""en"")"),"One can extend coronavirus instead of salt. Let's do the crowded iftars next year. Beneficial iftars. https://t.co/jxqvhffıkg")</f>
        <v>One can extend coronavirus instead of salt. Let's do the crowded iftars next year. Beneficial iftars. https://t.co/jxqvhffıkg</v>
      </c>
    </row>
    <row r="2952" spans="1:5" ht="15.75" customHeight="1" x14ac:dyDescent="0.25">
      <c r="A2952" s="1" t="s">
        <v>5903</v>
      </c>
      <c r="B2952" s="1">
        <v>154753</v>
      </c>
      <c r="C2952" s="3">
        <v>43947.684108796297</v>
      </c>
      <c r="D2952" s="1" t="s">
        <v>5904</v>
      </c>
      <c r="E2952" s="4" t="str">
        <f ca="1">IFERROR(__xludf.DUMMYFUNCTION("GOOGLETRANSLATE(A2952 , ""tr"" , ""en"")"),"30,000 of our daily test capacity was used for the number of contacts and the contact medium decreased. The day in the last 20 days is the lowest number of new cases, it was today. The decrease in the number of patients receiving intensive care support co"&amp;"ntinued. https://t.co/rvlhe7786o https://t.co/owvvlgyilm")</f>
        <v>30,000 of our daily test capacity was used for the number of contacts and the contact medium decreased. The day in the last 20 days is the lowest number of new cases, it was today. The decrease in the number of patients receiving intensive care support continued. https://t.co/rvlhe7786o https://t.co/owvvlgyilm</v>
      </c>
    </row>
    <row r="2953" spans="1:5" ht="15.75" customHeight="1" x14ac:dyDescent="0.25">
      <c r="A2953" s="1" t="s">
        <v>5905</v>
      </c>
      <c r="B2953" s="1">
        <v>0</v>
      </c>
      <c r="C2953" s="3">
        <v>43947.664479166669</v>
      </c>
      <c r="D2953" s="1" t="s">
        <v>5906</v>
      </c>
      <c r="E2953" s="4" t="str">
        <f ca="1">IFERROR(__xludf.DUMMYFUNCTION("GOOGLETRANSLATE(A2953 , ""tr"" , ""en"")"),"RT @rterdogan: Today, we have discussed the girl of the Emrullah Bey, which we brought to our country with airplane Ambulance from Sweden. He lived in ...")</f>
        <v>RT @rterdogan: Today, we have discussed the girl of the Emrullah Bey, which we brought to our country with airplane Ambulance from Sweden. He lived in ...</v>
      </c>
    </row>
    <row r="2954" spans="1:5" ht="15.75" customHeight="1" x14ac:dyDescent="0.25">
      <c r="A2954" s="1" t="s">
        <v>5907</v>
      </c>
      <c r="B2954" s="1">
        <v>203146</v>
      </c>
      <c r="C2954" s="3">
        <v>43947.416435185187</v>
      </c>
      <c r="D2954" s="1" t="s">
        <v>5908</v>
      </c>
      <c r="E2954" s="4" t="str">
        <f ca="1">IFERROR(__xludf.DUMMYFUNCTION("GOOGLETRANSLATE(A2954 , ""tr"" , ""en"")"),"A girl son has made something that none of us can forget for COVID-19 patients. Our country has taken action. Our ambulance aircraft took our patient from Sweden in the morning. Will be in Ankara a little bit. (Dear Leyla, we have healed our 25 thousand p"&amp;"atients. I hope the Emrullah Bey will also heal.) Https://t.co/j5xvaofzhg")</f>
        <v>A girl son has made something that none of us can forget for COVID-19 patients. Our country has taken action. Our ambulance aircraft took our patient from Sweden in the morning. Will be in Ankara a little bit. (Dear Leyla, we have healed our 25 thousand patients. I hope the Emrullah Bey will also heal.) Https://t.co/j5xvaofzhg</v>
      </c>
    </row>
    <row r="2955" spans="1:5" ht="15.75" customHeight="1" x14ac:dyDescent="0.25">
      <c r="A2955" s="1" t="s">
        <v>5909</v>
      </c>
      <c r="B2955" s="1">
        <v>227861</v>
      </c>
      <c r="C2955" s="3">
        <v>43947.126342592594</v>
      </c>
      <c r="D2955" s="1" t="s">
        <v>5910</v>
      </c>
      <c r="E2955" s="4" t="str">
        <f ca="1">IFERROR(__xludf.DUMMYFUNCTION("GOOGLETRANSLATE(A2955 , ""tr"" , ""en"")"),"Dear Leyla, we heard your voice. Our ambulance aircraft is airing at 06, we come to Sweden. All Turkey, in such a period, we were sorry to be far away. Our hospital for your father, our physicians are ready. I pass our President, all the people of our peo"&amp;"ple. Very lovely. https://t.co/y4vuoqmgnl")</f>
        <v>Dear Leyla, we heard your voice. Our ambulance aircraft is airing at 06, we come to Sweden. All Turkey, in such a period, we were sorry to be far away. Our hospital for your father, our physicians are ready. I pass our President, all the people of our people. Very lovely. https://t.co/y4vuoqmgnl</v>
      </c>
    </row>
    <row r="2956" spans="1:5" ht="15.75" customHeight="1" x14ac:dyDescent="0.25">
      <c r="A2956" s="1" t="s">
        <v>5911</v>
      </c>
      <c r="B2956" s="1">
        <v>94274</v>
      </c>
      <c r="C2956" s="3">
        <v>43946.837002314816</v>
      </c>
      <c r="D2956" s="1" t="s">
        <v>5912</v>
      </c>
      <c r="E2956" s="4" t="str">
        <f ca="1">IFERROR(__xludf.DUMMYFUNCTION("GOOGLETRANSLATE(A2956 , ""tr"" , ""en"")"),"We cannot be as close as the old one. https://t.co/oaqdg5qzru")</f>
        <v>We cannot be as close as the old one. https://t.co/oaqdg5qzru</v>
      </c>
    </row>
    <row r="2957" spans="1:5" ht="15.75" customHeight="1" x14ac:dyDescent="0.25">
      <c r="A2957" s="1" t="s">
        <v>5913</v>
      </c>
      <c r="B2957" s="1">
        <v>143934</v>
      </c>
      <c r="C2957" s="3">
        <v>43946.833657407406</v>
      </c>
      <c r="D2957" s="1" t="s">
        <v>5914</v>
      </c>
      <c r="E2957" s="4" t="str">
        <f ca="1">IFERROR(__xludf.DUMMYFUNCTION("GOOGLETRANSLATE(A2957 , ""tr"" , ""en"")"),"We cannot be as close as the old one. https://t.co/sljkx51aus")</f>
        <v>We cannot be as close as the old one. https://t.co/sljkx51aus</v>
      </c>
    </row>
    <row r="2958" spans="1:5" ht="15.75" customHeight="1" x14ac:dyDescent="0.25">
      <c r="A2958" s="1" t="s">
        <v>5915</v>
      </c>
      <c r="B2958" s="1">
        <v>131803</v>
      </c>
      <c r="C2958" s="3">
        <v>43946.825601851851</v>
      </c>
      <c r="D2958" s="1" t="s">
        <v>5916</v>
      </c>
      <c r="E2958" s="4" t="str">
        <f ca="1">IFERROR(__xludf.DUMMYFUNCTION("GOOGLETRANSLATE(A2958 , ""tr"" , ""en"")"),"In recent years no country has made so much attention to health. I am proud of my country. # I'm in my country https://t.co/zkpmjoe631")</f>
        <v>In recent years no country has made so much attention to health. I am proud of my country. # I'm in my country https://t.co/zkpmjoe631</v>
      </c>
    </row>
    <row r="2959" spans="1:5" ht="15.75" customHeight="1" x14ac:dyDescent="0.25">
      <c r="A2959" s="1" t="s">
        <v>5917</v>
      </c>
      <c r="B2959" s="1">
        <v>160322</v>
      </c>
      <c r="C2959" s="3">
        <v>43946.692604166667</v>
      </c>
      <c r="D2959" s="1" t="s">
        <v>5918</v>
      </c>
      <c r="E2959" s="4" t="str">
        <f ca="1">IFERROR(__xludf.DUMMYFUNCTION("GOOGLETRANSLATE(A2959 , ""tr"" , ""en"")"),"Next year friendships will be closer. Let's delay the invitations of the iftar to the next year. Beneficial iftars. https://t.co/xm9q6sjccn")</f>
        <v>Next year friendships will be closer. Let's delay the invitations of the iftar to the next year. Beneficial iftars. https://t.co/xm9q6sjccn</v>
      </c>
    </row>
    <row r="2960" spans="1:5" ht="15.75" customHeight="1" x14ac:dyDescent="0.25">
      <c r="A2960" s="1" t="s">
        <v>5919</v>
      </c>
      <c r="B2960" s="1">
        <v>175052</v>
      </c>
      <c r="C2960" s="3">
        <v>43946.675138888888</v>
      </c>
      <c r="D2960" s="1" t="s">
        <v>5920</v>
      </c>
      <c r="E2960" s="4" t="str">
        <f ca="1">IFERROR(__xludf.DUMMYFUNCTION("GOOGLETRANSLATE(A2960 , ""tr"" , ""en"")"),"3,845 patients were discharged in the last 24 hours, 2,861 new diagnosis. The number of discharged ones is 984 of the number of new patients. The total number of those who find healing has passed 25,000. The positive rate of tests decreases. Condition of "&amp;"support to this table.
https://t.co/rvlhe7786o https://t.co/3rrbhfp0hn")</f>
        <v>3,845 patients were discharged in the last 24 hours, 2,861 new diagnosis. The number of discharged ones is 984 of the number of new patients. The total number of those who find healing has passed 25,000. The positive rate of tests decreases. Condition of support to this table.
https://t.co/rvlhe7786o https://t.co/3rrbhfp0hn</v>
      </c>
    </row>
    <row r="2961" spans="1:5" ht="15.75" customHeight="1" x14ac:dyDescent="0.25">
      <c r="A2961" s="1" t="s">
        <v>5921</v>
      </c>
      <c r="B2961" s="1">
        <v>189660</v>
      </c>
      <c r="C2961" s="3">
        <v>43945.915462962963</v>
      </c>
      <c r="D2961" s="1" t="s">
        <v>5922</v>
      </c>
      <c r="E2961" s="4" t="str">
        <f ca="1">IFERROR(__xludf.DUMMYFUNCTION("GOOGLETRANSLATE(A2961 , ""tr"" , ""en"")"),"Right Be the teenagers. We've got a lot against Korona with your patience. https://t.co/wgw0rlrt2t")</f>
        <v>Right Be the teenagers. We've got a lot against Korona with your patience. https://t.co/wgw0rlrt2t</v>
      </c>
    </row>
    <row r="2962" spans="1:5" ht="15.75" customHeight="1" x14ac:dyDescent="0.25">
      <c r="A2962" s="1" t="s">
        <v>5923</v>
      </c>
      <c r="B2962" s="1">
        <v>53850</v>
      </c>
      <c r="C2962" s="3">
        <v>43945.776377314818</v>
      </c>
      <c r="D2962" s="1" t="s">
        <v>5924</v>
      </c>
      <c r="E2962" s="4" t="str">
        <f ca="1">IFERROR(__xludf.DUMMYFUNCTION("GOOGLETRANSLATE(A2962 , ""tr"" , ""en"")"),"Our Minister of Agriculture and Forest, my friend is a meeting today with Bekir Pakdemirli. In our interview, the effects of measures, outbreak on agriculture and livestock, the coordination of the normalization process, the course of agricultural product"&amp;"ion in the coming process and food supply security has been addressed. https://t.co/x3gdrotkvv")</f>
        <v>Our Minister of Agriculture and Forest, my friend is a meeting today with Bekir Pakdemirli. In our interview, the effects of measures, outbreak on agriculture and livestock, the coordination of the normalization process, the course of agricultural production in the coming process and food supply security has been addressed. https://t.co/x3gdrotkvv</v>
      </c>
    </row>
    <row r="2963" spans="1:5" ht="15.75" customHeight="1" x14ac:dyDescent="0.25">
      <c r="A2963" s="1" t="s">
        <v>5925</v>
      </c>
      <c r="B2963" s="1">
        <v>169208</v>
      </c>
      <c r="C2963" s="3">
        <v>43945.672534722224</v>
      </c>
      <c r="D2963" s="1" t="s">
        <v>5926</v>
      </c>
      <c r="E2963" s="4" t="str">
        <f ca="1">IFERROR(__xludf.DUMMYFUNCTION("GOOGLETRANSLATE(A2963 , ""tr"" , ""en"")"),"The number of patients with discharge in the last 24 hours constitute about 15% of the total number of patients recovering to today. In scan, we are successful in early diagnosis and treatment. Should not be back from this point. Conditionally support to "&amp;"the received results. Give us strength.
https://t.co/rvlhe7786o https://t.co/98gfl0iq2u")</f>
        <v>The number of patients with discharge in the last 24 hours constitute about 15% of the total number of patients recovering to today. In scan, we are successful in early diagnosis and treatment. Should not be back from this point. Conditionally support to the received results. Give us strength.
https://t.co/rvlhe7786o https://t.co/98gfl0iq2u</v>
      </c>
    </row>
    <row r="2964" spans="1:5" ht="15.75" customHeight="1" x14ac:dyDescent="0.25">
      <c r="A2964" s="1" t="s">
        <v>5927</v>
      </c>
      <c r="B2964" s="1">
        <v>228172</v>
      </c>
      <c r="C2964" s="3">
        <v>43944.823101851849</v>
      </c>
      <c r="D2964" s="1" t="s">
        <v>5928</v>
      </c>
      <c r="E2964" s="4" t="str">
        <f ca="1">IFERROR(__xludf.DUMMYFUNCTION("GOOGLETRANSLATE(A2964 , ""tr"" , ""en"")"),"Hope appeared. The crescent appeared. The beautiful days are approaching. Happy Ramadan. https://T.CO/FUINKISFCU")</f>
        <v>Hope appeared. The crescent appeared. The beautiful days are approaching. Happy Ramadan. https://T.CO/FUINKISFCU</v>
      </c>
    </row>
    <row r="2965" spans="1:5" ht="15.75" customHeight="1" x14ac:dyDescent="0.25">
      <c r="A2965" s="1" t="s">
        <v>5929</v>
      </c>
      <c r="B2965" s="1">
        <v>61028</v>
      </c>
      <c r="C2965" s="3">
        <v>43944.817071759258</v>
      </c>
      <c r="D2965" s="1" t="s">
        <v>5930</v>
      </c>
      <c r="E2965" s="4" t="str">
        <f ca="1">IFERROR(__xludf.DUMMYFUNCTION("GOOGLETRANSLATE(A2965 , ""tr"" , ""en"")"),"At 21:00, we were the only sound of our President. We read our Istiklal anthem 83 million together. On behalf of our health workers, at the beginning of the moment, we participated in this glorious choir to the front of our Ministry building. Happy 100th "&amp;"year of our assembly. https://t.co/wz1hlwfkeh")</f>
        <v>At 21:00, we were the only sound of our President. We read our Istiklal anthem 83 million together. On behalf of our health workers, at the beginning of the moment, we participated in this glorious choir to the front of our Ministry building. Happy 100th year of our assembly. https://t.co/wz1hlwfkeh</v>
      </c>
    </row>
    <row r="2966" spans="1:5" ht="15.75" customHeight="1" x14ac:dyDescent="0.25">
      <c r="A2966" s="1" t="s">
        <v>5931</v>
      </c>
      <c r="B2966" s="1">
        <v>98402</v>
      </c>
      <c r="C2966" s="3">
        <v>43944.729155092595</v>
      </c>
      <c r="D2966" s="1" t="s">
        <v>5932</v>
      </c>
      <c r="E2966" s="4" t="str">
        <f ca="1">IFERROR(__xludf.DUMMYFUNCTION("GOOGLETRANSLATE(A2966 , ""tr"" , ""en"")"),"The world's largest chorus is being installed for our Istiklal anthem. In the 100th year of the opening of our assembly, we are on the balconies in 83 million windows this evening. Let's see our Idiklal anthem on behalf of our health workers at the beginn"&amp;"ing of the duty. Our enthusiasm is great, our voice get rhinage. https://t.co/nh3pfbnuey")</f>
        <v>The world's largest chorus is being installed for our Istiklal anthem. In the 100th year of the opening of our assembly, we are on the balconies in 83 million windows this evening. Let's see our Idiklal anthem on behalf of our health workers at the beginning of the duty. Our enthusiasm is great, our voice get rhinage. https://t.co/nh3pfbnuey</v>
      </c>
    </row>
    <row r="2967" spans="1:5" ht="15.75" customHeight="1" x14ac:dyDescent="0.25">
      <c r="A2967" s="1" t="s">
        <v>5933</v>
      </c>
      <c r="B2967" s="1">
        <v>0</v>
      </c>
      <c r="C2967" s="3">
        <v>43944.727453703701</v>
      </c>
      <c r="D2967" s="1" t="s">
        <v>5934</v>
      </c>
      <c r="E2967" s="4" t="str">
        <f ca="1">IFERROR(__xludf.DUMMYFUNCTION("GOOGLETRANSLATE(A2967 , ""tr"" , ""en"")"),"RT @rterdogan: Our Great National Assembly of our Opening of our opening in the 100th year we are shouting to the whole world.
Jobs are bogus ...")</f>
        <v>RT @rterdogan: Our Great National Assembly of our Opening of our opening in the 100th year we are shouting to the whole world.
Jobs are bogus ...</v>
      </c>
    </row>
    <row r="2968" spans="1:5" ht="15.75" customHeight="1" x14ac:dyDescent="0.25">
      <c r="A2968" s="1" t="s">
        <v>5935</v>
      </c>
      <c r="B2968" s="1">
        <v>112660</v>
      </c>
      <c r="C2968" s="3">
        <v>43944.708402777775</v>
      </c>
      <c r="D2968" s="1" t="s">
        <v>5936</v>
      </c>
      <c r="E2968" s="4" t="str">
        <f ca="1">IFERROR(__xludf.DUMMYFUNCTION("GOOGLETRANSLATE(A2968 , ""tr"" , ""en"")"),"Today, we are better than yesterday. We arrived at this point total 791,906 tests that are not done by an accident. The contact scan of each of the diagnosis has been or continues. Support to the result received. Give us strength.
https://t.co/rvlhe7786o"&amp;" https://t.co/8phcnl9jab")</f>
        <v>Today, we are better than yesterday. We arrived at this point total 791,906 tests that are not done by an accident. The contact scan of each of the diagnosis has been or continues. Support to the result received. Give us strength.
https://t.co/rvlhe7786o https://t.co/8phcnl9jab</v>
      </c>
    </row>
    <row r="2969" spans="1:5" ht="15.75" customHeight="1" x14ac:dyDescent="0.25">
      <c r="A2969" s="1" t="s">
        <v>5937</v>
      </c>
      <c r="B2969" s="1">
        <v>127371</v>
      </c>
      <c r="C2969" s="3">
        <v>43944.584953703707</v>
      </c>
      <c r="D2969" s="1" t="s">
        <v>5938</v>
      </c>
      <c r="E2969" s="4" t="str">
        <f ca="1">IFERROR(__xludf.DUMMYFUNCTION("GOOGLETRANSLATE(A2969 , ""tr"" , ""en"")"),"The sound of joy has reached all of us today. Happy April 23. # 23nisankutluolsun 🇹🇷 https://t.co/qojnnszhle")</f>
        <v>The sound of joy has reached all of us today. Happy April 23. # 23nisankutluolsun 🇹🇷 https://t.co/qojnnszhle</v>
      </c>
    </row>
    <row r="2970" spans="1:5" ht="15.75" customHeight="1" x14ac:dyDescent="0.25">
      <c r="A2970" s="1" t="s">
        <v>5939</v>
      </c>
      <c r="B2970" s="1">
        <v>50753</v>
      </c>
      <c r="C2970" s="3">
        <v>43944.548252314817</v>
      </c>
      <c r="D2970" s="1" t="s">
        <v>5940</v>
      </c>
      <c r="E2970" s="4" t="str">
        <f ca="1">IFERROR(__xludf.DUMMYFUNCTION("GOOGLETRANSLATE(A2970 , ""tr"" , ""en"")"),"Although we are close to 100 thousand, our number of passage is less. Because our physicians are successful in the treatment. Our intensive care patient is less. Bed occupancy rate is 30%. Turkey, it does not need all of their affections. The expected res"&amp;"ult of the mortality rate. Otherwise there is no reason. The truth is in favor of us. https://t.co/izox3lnfhe")</f>
        <v>Although we are close to 100 thousand, our number of passage is less. Because our physicians are successful in the treatment. Our intensive care patient is less. Bed occupancy rate is 30%. Turkey, it does not need all of their affections. The expected result of the mortality rate. Otherwise there is no reason. The truth is in favor of us. https://t.co/izox3lnfhe</v>
      </c>
    </row>
    <row r="2971" spans="1:5" ht="15.75" customHeight="1" x14ac:dyDescent="0.25">
      <c r="A2971" s="1" t="s">
        <v>5941</v>
      </c>
      <c r="B2971" s="1">
        <v>31756</v>
      </c>
      <c r="C2971" s="3">
        <v>43944.54351851852</v>
      </c>
      <c r="D2971" s="1" t="s">
        <v>5942</v>
      </c>
      <c r="E2971" s="4" t="str">
        <f ca="1">IFERROR(__xludf.DUMMYFUNCTION("GOOGLETRANSLATE(A2971 , ""tr"" , ""en"")"),"The importance of measures is not reducing, increasing. A second wave cannot be affordable. We have to avoid contact. We should not violate the social distance rule even a moment. We should not compromise the isolation. If we assign each step carefully, t"&amp;"he coming calendar becomes clear. The life we ​​postpone begins. https://t.co/9y16fa75om")</f>
        <v>The importance of measures is not reducing, increasing. A second wave cannot be affordable. We have to avoid contact. We should not violate the social distance rule even a moment. We should not compromise the isolation. If we assign each step carefully, the coming calendar becomes clear. The life we ​​postpone begins. https://t.co/9y16fa75om</v>
      </c>
    </row>
    <row r="2972" spans="1:5" ht="15.75" customHeight="1" x14ac:dyDescent="0.25">
      <c r="A2972" s="1" t="s">
        <v>5943</v>
      </c>
      <c r="B2972" s="1">
        <v>27456</v>
      </c>
      <c r="C2972" s="3">
        <v>43944.518842592595</v>
      </c>
      <c r="D2972" s="1" t="s">
        <v>5944</v>
      </c>
      <c r="E2972" s="4" t="str">
        <f ca="1">IFERROR(__xludf.DUMMYFUNCTION("GOOGLETRANSLATE(A2972 , ""tr"" , ""en"")"),"In the american press, a news was made to scribble this transparent challenge. According to the news, the reason for many other deaths in Turkey has been the virus. Our criterion is clear when sharing information with the World Health Organization. We are"&amp;" a country that makes PCR. We are based on the diagnosis of not estimated! https://t.co/y2njgoe3ml")</f>
        <v>In the american press, a news was made to scribble this transparent challenge. According to the news, the reason for many other deaths in Turkey has been the virus. Our criterion is clear when sharing information with the World Health Organization. We are a country that makes PCR. We are based on the diagnosis of not estimated! https://t.co/y2njgoe3ml</v>
      </c>
    </row>
    <row r="2973" spans="1:5" ht="15.75" customHeight="1" x14ac:dyDescent="0.25">
      <c r="A2973" s="1" t="s">
        <v>5945</v>
      </c>
      <c r="B2973" s="1">
        <v>26353</v>
      </c>
      <c r="C2973" s="3">
        <v>43944.500868055555</v>
      </c>
      <c r="D2973" s="1" t="s">
        <v>5946</v>
      </c>
      <c r="E2973" s="4" t="str">
        <f ca="1">IFERROR(__xludf.DUMMYFUNCTION("GOOGLETRANSLATE(A2973 , ""tr"" , ""en"")"),"Istanbul was told that crowds occur in the cemeteries. This is true. HIFZISSIHHA Board and Provincial Administration decided to defend everyone in Istanbul in Istanbul, regardless of the reason. The measure is opposed to the spread of the epidemic. https:"&amp;"//t.co/appyo7j0nb")</f>
        <v>Istanbul was told that crowds occur in the cemeteries. This is true. HIFZISSIHHA Board and Provincial Administration decided to defend everyone in Istanbul in Istanbul, regardless of the reason. The measure is opposed to the spread of the epidemic. https://t.co/appyo7j0nb</v>
      </c>
    </row>
    <row r="2974" spans="1:5" ht="15.75" customHeight="1" x14ac:dyDescent="0.25">
      <c r="A2974" s="1" t="s">
        <v>5947</v>
      </c>
      <c r="B2974" s="1">
        <v>31370</v>
      </c>
      <c r="C2974" s="3">
        <v>43944.271377314813</v>
      </c>
      <c r="D2974" s="1" t="s">
        <v>5948</v>
      </c>
      <c r="E2974" s="4" t="str">
        <f ca="1">IFERROR(__xludf.DUMMYFUNCTION("GOOGLETRANSLATE(A2974 , ""tr"" , ""en"")"),"SN. As our president stated, the gradual normalization of life is possible by the implementation of the rules. The illness is the way we predicted. If we are conscious, normalization will not be delayed. Hope is the most accurate word. But this hope shoul"&amp;"d not be threatened with impudence. https://t.co/pmcahudgdw")</f>
        <v>SN. As our president stated, the gradual normalization of life is possible by the implementation of the rules. The illness is the way we predicted. If we are conscious, normalization will not be delayed. Hope is the most accurate word. But this hope should not be threatened with impudence. https://t.co/pmcahudgdw</v>
      </c>
    </row>
    <row r="2975" spans="1:5" ht="15.75" customHeight="1" x14ac:dyDescent="0.25">
      <c r="A2975" s="1" t="s">
        <v>5949</v>
      </c>
      <c r="B2975" s="1">
        <v>28664</v>
      </c>
      <c r="C2975" s="3">
        <v>43944.253564814811</v>
      </c>
      <c r="D2975" s="1" t="s">
        <v>5950</v>
      </c>
      <c r="E2975" s="4" t="str">
        <f ca="1">IFERROR(__xludf.DUMMYFUNCTION("GOOGLETRANSLATE(A2975 , ""tr"" , ""en"")"),"The property of the Ramada is the power to go out of human habits. Fasting is the examination of or disrupting a decision. Ramadan should not be the pretense of stretching the measures. Let's delay the crowded iftars, chats to the next year. The mercy bea"&amp;"r, do not result in diseases. https://t.co/zvl7kivddf")</f>
        <v>The property of the Ramada is the power to go out of human habits. Fasting is the examination of or disrupting a decision. Ramadan should not be the pretense of stretching the measures. Let's delay the crowded iftars, chats to the next year. The mercy bear, do not result in diseases. https://t.co/zvl7kivddf</v>
      </c>
    </row>
    <row r="2976" spans="1:5" ht="15.75" customHeight="1" x14ac:dyDescent="0.25">
      <c r="A2976" s="1" t="s">
        <v>5951</v>
      </c>
      <c r="B2976" s="1">
        <v>34986</v>
      </c>
      <c r="C2976" s="3">
        <v>43943.984861111108</v>
      </c>
      <c r="D2976" s="1" t="s">
        <v>5952</v>
      </c>
      <c r="E2976" s="4" t="str">
        <f ca="1">IFERROR(__xludf.DUMMYFUNCTION("GOOGLETRANSLATE(A2976 , ""tr"" , ""en"")"),"With early diagnosis and success in the treatment, our passage rates fall every day. Our intensive care patient is decreasing. If we were not prepared, the table would be similar to the US and Europe. The point we are is the common success of society. It "&amp;"is proof that a better result is possible. https://t.co/bzdjtxxmyp")</f>
        <v>With early diagnosis and success in the treatment, our passage rates fall every day. Our intensive care patient is decreasing. If we were not prepared, the table would be similar to the US and Europe. The point we are is the common success of society. It is proof that a better result is possible. https://t.co/bzdjtxxmyp</v>
      </c>
    </row>
    <row r="2977" spans="1:5" ht="15.75" customHeight="1" x14ac:dyDescent="0.25">
      <c r="A2977" s="1" t="s">
        <v>5953</v>
      </c>
      <c r="B2977" s="1">
        <v>36960</v>
      </c>
      <c r="C2977" s="3">
        <v>43943.965995370374</v>
      </c>
      <c r="D2977" s="1" t="s">
        <v>5954</v>
      </c>
      <c r="E2977" s="4" t="str">
        <f ca="1">IFERROR(__xludf.DUMMYFUNCTION("GOOGLETRANSLATE(A2977 , ""tr"" , ""en"")"),"No one can overcome such an outbreak without confidence. We are grateful to you who know that the challenge is carried out with transparent knowledge. The possibilities of today were still, but if there was missing confidence in the community, we could no"&amp;"t reach this point. Those who have confidence in the struggle are those who always have the hope. https://t.co/ITsxdyhh6e")</f>
        <v>No one can overcome such an outbreak without confidence. We are grateful to you who know that the challenge is carried out with transparent knowledge. The possibilities of today were still, but if there was missing confidence in the community, we could not reach this point. Those who have confidence in the struggle are those who always have the hope. https://t.co/ITsxdyhh6e</v>
      </c>
    </row>
    <row r="2978" spans="1:5" ht="15.75" customHeight="1" x14ac:dyDescent="0.25">
      <c r="A2978" s="1" t="s">
        <v>5955</v>
      </c>
      <c r="B2978" s="1">
        <v>98811</v>
      </c>
      <c r="C2978" s="3">
        <v>43943.703009259261</v>
      </c>
      <c r="D2978" s="1" t="s">
        <v>5956</v>
      </c>
      <c r="E2978" s="4" t="str">
        <f ca="1">IFERROR(__xludf.DUMMYFUNCTION("GOOGLETRANSLATE(A2978 , ""tr"" , ""en"")"),"We succeed if we want! Our history is the witness to that. Enough should not compromise with thoughtful and conscious movement. The beautiful tomorrows we will reach will be due to the measures taken today. Let's not forget our responsibilities: contact, "&amp;"distance, isolation.
https://t.co/rvlhe7786o https://t.co/nt4ydalpID")</f>
        <v>We succeed if we want! Our history is the witness to that. Enough should not compromise with thoughtful and conscious movement. The beautiful tomorrows we will reach will be due to the measures taken today. Let's not forget our responsibilities: contact, distance, isolation.
https://t.co/rvlhe7786o https://t.co/nt4ydalpID</v>
      </c>
    </row>
    <row r="2979" spans="1:5" ht="15.75" customHeight="1" x14ac:dyDescent="0.25">
      <c r="A2979" s="1" t="s">
        <v>5957</v>
      </c>
      <c r="B2979" s="1">
        <v>21629</v>
      </c>
      <c r="C2979" s="3">
        <v>43943.701956018522</v>
      </c>
      <c r="D2979" s="1" t="s">
        <v>5958</v>
      </c>
      <c r="E2979" s="4" t="str">
        <f ca="1">IFERROR(__xludf.DUMMYFUNCTION("GOOGLETRANSLATE(A2979 , ""tr"" , ""en"")"),"After our Science Board meeting, the latest developments on the coronavirus and the new measures we receive.
📍Public Ministry Bilkent Campus / Ankara
https://t.co/5b3opfpurx")</f>
        <v>After our Science Board meeting, the latest developments on the coronavirus and the new measures we receive.
📍Public Ministry Bilkent Campus / Ankara
https://t.co/5b3opfpurx</v>
      </c>
    </row>
    <row r="2980" spans="1:5" ht="15.75" customHeight="1" x14ac:dyDescent="0.25">
      <c r="A2980" s="1" t="s">
        <v>5959</v>
      </c>
      <c r="B2980" s="1">
        <v>80120</v>
      </c>
      <c r="C2980" s="3">
        <v>43943.538368055553</v>
      </c>
      <c r="D2980" s="1" t="s">
        <v>5960</v>
      </c>
      <c r="E2980" s="4" t="str">
        <f ca="1">IFERROR(__xludf.DUMMYFUNCTION("GOOGLETRANSLATE(A2980 , ""tr"" , ""en"")"),"After a few days ago, this tab was written to the center health center of Istanbul Suyupscriber. Finally, our patients who serve here our doctor's friend Yavuz Kalaycı to lose the COVID-19. The love of people is very loved, with so much. Just like Dr. Lik"&amp;"e Yavuz. https://t.co/iepcın2626")</f>
        <v>After a few days ago, this tab was written to the center health center of Istanbul Suyupscriber. Finally, our patients who serve here our doctor's friend Yavuz Kalaycı to lose the COVID-19. The love of people is very loved, with so much. Just like Dr. Like Yavuz. https://t.co/iepcın2626</v>
      </c>
    </row>
    <row r="2981" spans="1:5" ht="15.75" customHeight="1" x14ac:dyDescent="0.25">
      <c r="A2981" s="1" t="s">
        <v>5961</v>
      </c>
      <c r="B2981" s="1">
        <v>52228</v>
      </c>
      <c r="C2981" s="3">
        <v>43943.264467592591</v>
      </c>
      <c r="D2981" s="1" t="s">
        <v>5962</v>
      </c>
      <c r="E2981" s="4" t="str">
        <f ca="1">IFERROR(__xludf.DUMMYFUNCTION("GOOGLETRANSLATE(A2981 , ""tr"" , ""en"")"),"We celebrate the Mothers and their children on behalf of our Lifelong Life Members Week, the Members Week of the Members and Mothers. https://t.co/9voakrzu6b")</f>
        <v>We celebrate the Mothers and their children on behalf of our Lifelong Life Members Week, the Members Week of the Members and Mothers. https://t.co/9voakrzu6b</v>
      </c>
    </row>
    <row r="2982" spans="1:5" ht="15.75" customHeight="1" x14ac:dyDescent="0.25">
      <c r="A2982" s="1" t="s">
        <v>5963</v>
      </c>
      <c r="B2982" s="1">
        <v>83152</v>
      </c>
      <c r="C2982" s="3">
        <v>43942.668912037036</v>
      </c>
      <c r="D2982" s="1" t="s">
        <v>5964</v>
      </c>
      <c r="E2982" s="4" t="str">
        <f ca="1">IFERROR(__xludf.DUMMYFUNCTION("GOOGLETRANSLATE(A2982 , ""tr"" , ""en"")"),"The data tells us that: Don't be hopeless. Let's not forget that these two are more dangerous than the virus. Let's continue to comply with the measures. Contact, distance, isolation. https://t.co/rvlhe7786o https://t.co/tzt5dyv2mx")</f>
        <v>The data tells us that: Don't be hopeless. Let's not forget that these two are more dangerous than the virus. Let's continue to comply with the measures. Contact, distance, isolation. https://t.co/rvlhe7786o https://t.co/tzt5dyv2mx</v>
      </c>
    </row>
    <row r="2983" spans="1:5" ht="15.75" customHeight="1" x14ac:dyDescent="0.25">
      <c r="A2983" s="1" t="s">
        <v>5965</v>
      </c>
      <c r="B2983" s="1">
        <v>50725</v>
      </c>
      <c r="C2983" s="3">
        <v>43941.847488425927</v>
      </c>
      <c r="D2983" s="1" t="s">
        <v>5966</v>
      </c>
      <c r="E2983" s="4" t="str">
        <f ca="1">IFERROR(__xludf.DUMMYFUNCTION("GOOGLETRANSLATE(A2983 , ""tr"" , ""en"")"),"The new opened Istanbul Basaksehir City Hospital is the most intensive care capacity of Europe. The structure that hosts eight separate hospitals will add strength to our health system with advanced facilities. City hospitals are a health revolution that "&amp;"adds life to life. https://t.co/zgullqhcde")</f>
        <v>The new opened Istanbul Basaksehir City Hospital is the most intensive care capacity of Europe. The structure that hosts eight separate hospitals will add strength to our health system with advanced facilities. City hospitals are a health revolution that adds life to life. https://t.co/zgullqhcde</v>
      </c>
    </row>
    <row r="2984" spans="1:5" ht="15.75" customHeight="1" x14ac:dyDescent="0.25">
      <c r="A2984" s="1" t="s">
        <v>5967</v>
      </c>
      <c r="B2984" s="1">
        <v>0</v>
      </c>
      <c r="C2984" s="3">
        <v>43941.839988425927</v>
      </c>
      <c r="D2984" s="1" t="s">
        <v>5968</v>
      </c>
      <c r="E2984" s="4" t="str">
        <f ca="1">IFERROR(__xludf.DUMMYFUNCTION("GOOGLETRANSLATE(A2984 , ""tr"" , ""en"")"),"RT @rterdogan: We have strengthened both the infrastructure and the system with the reforms in the field of health. We haven't been with it, the city is our dream ...")</f>
        <v>RT @rterdogan: We have strengthened both the infrastructure and the system with the reforms in the field of health. We haven't been with it, the city is our dream ...</v>
      </c>
    </row>
    <row r="2985" spans="1:5" ht="15.75" customHeight="1" x14ac:dyDescent="0.25">
      <c r="A2985" s="1" t="s">
        <v>5969</v>
      </c>
      <c r="B2985" s="1">
        <v>61108</v>
      </c>
      <c r="C2985" s="3">
        <v>43941.726111111115</v>
      </c>
      <c r="D2985" s="1" t="s">
        <v>5970</v>
      </c>
      <c r="E2985" s="4" t="str">
        <f ca="1">IFERROR(__xludf.DUMMYFUNCTION("GOOGLETRANSLATE(A2985 , ""tr"" , ""en"")"),"Today we found 1454 patients more healing. We must be as peremptory as at least virus. This war; We will win with our commitment to the devoted and measures of our health matram.
https://t.co/rvlhe7786o https://t.co/9thb7a70d9")</f>
        <v>Today we found 1454 patients more healing. We must be as peremptory as at least virus. This war; We will win with our commitment to the devoted and measures of our health matram.
https://t.co/rvlhe7786o https://t.co/9thb7a70d9</v>
      </c>
    </row>
    <row r="2986" spans="1:5" ht="15.75" customHeight="1" x14ac:dyDescent="0.25">
      <c r="A2986" s="1" t="s">
        <v>5971</v>
      </c>
      <c r="B2986" s="1">
        <v>86567</v>
      </c>
      <c r="C2986" s="3">
        <v>43941.723854166667</v>
      </c>
      <c r="D2986" s="1" t="s">
        <v>5972</v>
      </c>
      <c r="E2986" s="4" t="str">
        <f ca="1">IFERROR(__xludf.DUMMYFUNCTION("GOOGLETRANSLATE(A2986 , ""tr"" , ""en"")"),"Our breathing device project, which we started by entering our illness limits yet, our respirator project is out of mass production today. Thanks to everyone passing labor.
@varank @baykar_savunma @Acelik @aselsan @biyovent")</f>
        <v>Our breathing device project, which we started by entering our illness limits yet, our respirator project is out of mass production today. Thanks to everyone passing labor.
@varank @baykar_savunma @Acelik @aselsan @biyovent</v>
      </c>
    </row>
    <row r="2987" spans="1:5" ht="15.75" customHeight="1" x14ac:dyDescent="0.25">
      <c r="A2987" s="1" t="s">
        <v>5973</v>
      </c>
      <c r="B2987" s="1">
        <v>110383</v>
      </c>
      <c r="C2987" s="3">
        <v>43941.7031712963</v>
      </c>
      <c r="D2987" s="1" t="s">
        <v>5974</v>
      </c>
      <c r="E2987" s="4" t="str">
        <f ca="1">IFERROR(__xludf.DUMMYFUNCTION("GOOGLETRANSLATE(A2987 , ""tr"" , ""en"")"),"Today, we realized a great dream. I would like to thank our National President @ Rterdogan on behalf of our National Nation. # Basaksehirsehirhacısi Https://t.co/TIZIEHFR0D")</f>
        <v>Today, we realized a great dream. I would like to thank our National President @ Rterdogan on behalf of our National Nation. # Basaksehirsehirhacısi Https://t.co/TIZIEHFR0D</v>
      </c>
    </row>
    <row r="2988" spans="1:5" ht="15.75" customHeight="1" x14ac:dyDescent="0.25">
      <c r="A2988" s="1" t="s">
        <v>5975</v>
      </c>
      <c r="B2988" s="1">
        <v>0</v>
      </c>
      <c r="C2988" s="3">
        <v>43941.67728009259</v>
      </c>
      <c r="D2988" s="1" t="s">
        <v>5976</v>
      </c>
      <c r="E2988" s="4" t="str">
        <f ca="1">IFERROR(__xludf.DUMMYFUNCTION("GOOGLETRANSLATE(A2988 , ""tr"" , ""en"")"),"RT @rterdogan: Shouting Nation After Cabinet Meeting https://t.co/djklznjmmu")</f>
        <v>RT @rterdogan: Shouting Nation After Cabinet Meeting https://t.co/djklznjmmu</v>
      </c>
    </row>
    <row r="2989" spans="1:5" ht="15.75" customHeight="1" x14ac:dyDescent="0.25">
      <c r="A2989" s="1" t="s">
        <v>5977</v>
      </c>
      <c r="B2989" s="1">
        <v>51862</v>
      </c>
      <c r="C2989" s="3">
        <v>43941.391631944447</v>
      </c>
      <c r="D2989" s="1" t="s">
        <v>5978</v>
      </c>
      <c r="E2989" s="4" t="str">
        <f ca="1">IFERROR(__xludf.DUMMYFUNCTION("GOOGLETRANSLATE(A2989 , ""tr"" , ""en"")"),"Mr. President @ rterdogan (video conferencing)
We open our Başaksehir City Hospital to be served with the factors.
📍 Casturşehir / Istanbul https://t.co/1db29dndqw")</f>
        <v>Mr. President @ rterdogan (video conferencing)
We open our Başaksehir City Hospital to be served with the factors.
📍 Casturşehir / Istanbul https://t.co/1db29dndqw</v>
      </c>
    </row>
    <row r="2990" spans="1:5" ht="15.75" customHeight="1" x14ac:dyDescent="0.25">
      <c r="A2990" s="1" t="s">
        <v>5979</v>
      </c>
      <c r="B2990" s="1">
        <v>87739</v>
      </c>
      <c r="C2990" s="3">
        <v>43940.666701388887</v>
      </c>
      <c r="D2990" s="1" t="s">
        <v>5980</v>
      </c>
      <c r="E2990" s="4" t="str">
        <f ca="1">IFERROR(__xludf.DUMMYFUNCTION("GOOGLETRANSLATE(A2990 , ""tr"" , ""en"")"),"Gives the attractions we have shown to the measures. While we boost daily test facilities, your responsible behavior will also reduce the new case numbers. Trust the power of our health or my health system. Do not leave the measure in hand.
https://t.co"&amp;"/rvlhe7786o https://t.co/3pg0wrquey")</f>
        <v>Gives the attractions we have shown to the measures. While we boost daily test facilities, your responsible behavior will also reduce the new case numbers. Trust the power of our health or my health system. Do not leave the measure in hand.
https://t.co/rvlhe7786o https://t.co/3pg0wrquey</v>
      </c>
    </row>
    <row r="2991" spans="1:5" ht="15.75" customHeight="1" x14ac:dyDescent="0.25">
      <c r="A2991" s="1" t="s">
        <v>5981</v>
      </c>
      <c r="B2991" s="1">
        <v>123096</v>
      </c>
      <c r="C2991" s="3">
        <v>43940.585543981484</v>
      </c>
      <c r="D2991" s="1" t="s">
        <v>5982</v>
      </c>
      <c r="E2991" s="4" t="str">
        <f ca="1">IFERROR(__xludf.DUMMYFUNCTION("GOOGLETRANSLATE(A2991 , ""tr"" , ""en"")"),"We are in April. We have to resist the sun's attractiveness of the streets. We should not lose the earnings we get so far. We expect a greater spring. Let's be patient. Let's stay at home. https://t.co/83Iu65lyrz")</f>
        <v>We are in April. We have to resist the sun's attractiveness of the streets. We should not lose the earnings we get so far. We expect a greater spring. Let's be patient. Let's stay at home. https://t.co/83Iu65lyrz</v>
      </c>
    </row>
    <row r="2992" spans="1:5" ht="15.75" customHeight="1" x14ac:dyDescent="0.25">
      <c r="A2992" s="1" t="s">
        <v>5983</v>
      </c>
      <c r="B2992" s="1">
        <v>60678</v>
      </c>
      <c r="C2992" s="3">
        <v>43939.842164351852</v>
      </c>
      <c r="D2992" s="1" t="s">
        <v>5984</v>
      </c>
      <c r="E2992" s="4" t="str">
        <f ca="1">IFERROR(__xludf.DUMMYFUNCTION("GOOGLETRANSLATE(A2992 , ""tr"" , ""en"")"),"Turkey continues to great health investments. The first stage of Istanbul Basaksehir City Hospital is opening on April 20, from the hospitals of Europe's largest intensive care capacity. The giant health complex consisting of eight separate hospitals will"&amp;" add power to the power of our health system. https://t.co/dys36edffv")</f>
        <v>Turkey continues to great health investments. The first stage of Istanbul Basaksehir City Hospital is opening on April 20, from the hospitals of Europe's largest intensive care capacity. The giant health complex consisting of eight separate hospitals will add power to the power of our health system. https://t.co/dys36edffv</v>
      </c>
    </row>
    <row r="2993" spans="1:5" ht="15.75" customHeight="1" x14ac:dyDescent="0.25">
      <c r="A2993" s="1" t="s">
        <v>5985</v>
      </c>
      <c r="B2993" s="1">
        <v>126228</v>
      </c>
      <c r="C2993" s="3">
        <v>43939.702939814815</v>
      </c>
      <c r="D2993" s="1" t="s">
        <v>5986</v>
      </c>
      <c r="E2993" s="4" t="str">
        <f ca="1">IFERROR(__xludf.DUMMYFUNCTION("GOOGLETRANSLATE(A2993 , ""tr"" , ""en"")"),"Our patient number of healing is over 10,000. We have important superiorities in treatment. Despite our increasing test count, there is a decrease in the newly added number of cases. We have two strengths: Measure, Treatment. Let's use our strength.
http"&amp;"s://t.co/rvlhe7786o https://t.co/jlmrsmkuyf")</f>
        <v>Our patient number of healing is over 10,000. We have important superiorities in treatment. Despite our increasing test count, there is a decrease in the newly added number of cases. We have two strengths: Measure, Treatment. Let's use our strength.
https://t.co/rvlhe7786o https://t.co/jlmrsmkuyf</v>
      </c>
    </row>
    <row r="2994" spans="1:5" ht="15.75" customHeight="1" x14ac:dyDescent="0.25">
      <c r="A2994" s="1" t="s">
        <v>5987</v>
      </c>
      <c r="B2994" s="1">
        <v>52928</v>
      </c>
      <c r="C2994" s="3">
        <v>43939.568854166668</v>
      </c>
      <c r="D2994" s="1" t="s">
        <v>5988</v>
      </c>
      <c r="E2994" s="4" t="str">
        <f ca="1">IFERROR(__xludf.DUMMYFUNCTION("GOOGLETRANSLATE(A2994 , ""tr"" , ""en"")"),"We will make Istanbul ready for disasters with both collars. Multi-purpose hospital we build in Yeşilköy; The epidemic will create an earthquake and a strong health infective of all kinds of afat. Our hospital, which can be converted into intensive care o"&amp;"f each room is 1008 beds. https://t.co/rm45ixuer1")</f>
        <v>We will make Istanbul ready for disasters with both collars. Multi-purpose hospital we build in Yeşilköy; The epidemic will create an earthquake and a strong health infective of all kinds of afat. Our hospital, which can be converted into intensive care of each room is 1008 beds. https://t.co/rm45ixuer1</v>
      </c>
    </row>
    <row r="2995" spans="1:5" ht="15.75" customHeight="1" x14ac:dyDescent="0.25">
      <c r="A2995" s="1" t="s">
        <v>5989</v>
      </c>
      <c r="B2995" s="1">
        <v>51529</v>
      </c>
      <c r="C2995" s="3">
        <v>43939.561620370368</v>
      </c>
      <c r="D2995" s="1" t="s">
        <v>5990</v>
      </c>
      <c r="E2995" s="4" t="str">
        <f ca="1">IFERROR(__xludf.DUMMYFUNCTION("GOOGLETRANSLATE(A2995 , ""tr"" , ""en"")"),"We are in Sancaktepe. Our epidemic, earthquake and disaster hospital are being quickly built. The 432 will serve full capacity in all kinds of individual hospitals, consisting of a total of 1008 beds, including intense care. Turkey will continue to make t"&amp;"he difference in the world with the health system. https://t.co/znmztzj9fw")</f>
        <v>We are in Sancaktepe. Our epidemic, earthquake and disaster hospital are being quickly built. The 432 will serve full capacity in all kinds of individual hospitals, consisting of a total of 1008 beds, including intense care. Turkey will continue to make the difference in the world with the health system. https://t.co/znmztzj9fw</v>
      </c>
    </row>
    <row r="2996" spans="1:5" ht="15.75" customHeight="1" x14ac:dyDescent="0.25">
      <c r="A2996" s="1" t="s">
        <v>5991</v>
      </c>
      <c r="B2996" s="1">
        <v>55317</v>
      </c>
      <c r="C2996" s="3">
        <v>43939.008784722224</v>
      </c>
      <c r="D2996" s="1" t="s">
        <v>5992</v>
      </c>
      <c r="E2996" s="4" t="str">
        <f ca="1">IFERROR(__xludf.DUMMYFUNCTION("GOOGLETRANSLATE(A2996 , ""tr"" , ""en"")"),"The patient burden of our health institutions is no longer above a certain capacity. There is no occupancy that exceeds 60%. Europe, America choosing the patient, in Turkey, in the period of 5th week, in intensive care occupancy of 60%. The service occupa"&amp;"ncy rate did not exceed 50%. This is Turkey's success. https://t.co/vepaeqp5na")</f>
        <v>The patient burden of our health institutions is no longer above a certain capacity. There is no occupancy that exceeds 60%. Europe, America choosing the patient, in Turkey, in the period of 5th week, in intensive care occupancy of 60%. The service occupancy rate did not exceed 50%. This is Turkey's success. https://t.co/vepaeqp5na</v>
      </c>
    </row>
    <row r="2997" spans="1:5" ht="15.75" customHeight="1" x14ac:dyDescent="0.25">
      <c r="A2997" s="1" t="s">
        <v>5993</v>
      </c>
      <c r="B2997" s="1">
        <v>85413</v>
      </c>
      <c r="C2997" s="3">
        <v>43938.997523148151</v>
      </c>
      <c r="D2997" s="1" t="s">
        <v>5994</v>
      </c>
      <c r="E2997" s="4" t="str">
        <f ca="1">IFERROR(__xludf.DUMMYFUNCTION("GOOGLETRANSLATE(A2997 , ""tr"" , ""en"")"),"#Greetyerdoganphotoography https://t.co/wb4k3tzhax")</f>
        <v>#Greetyerdoganphotoography https://t.co/wb4k3tzhax</v>
      </c>
    </row>
    <row r="2998" spans="1:5" ht="15.75" customHeight="1" x14ac:dyDescent="0.25">
      <c r="A2998" s="1" t="s">
        <v>5995</v>
      </c>
      <c r="B2998" s="1">
        <v>34491</v>
      </c>
      <c r="C2998" s="3">
        <v>43938.965636574074</v>
      </c>
      <c r="D2998" s="1" t="s">
        <v>5996</v>
      </c>
      <c r="E2998" s="4" t="str">
        <f ca="1">IFERROR(__xludf.DUMMYFUNCTION("GOOGLETRANSLATE(A2998 , ""tr"" , ""en"")"),"There are three important elements in the struggle. 1: Determine the case and make the oil. 2: Being strong in treatment. We don't have problems with these two. We are far ahead. 3: Insulation, prevent contact, maintain social distance. If this is provide"&amp;"d, the formation of a new wave is avoided, life returns to normal normal. https://t.co/6cirsd18xn")</f>
        <v>There are three important elements in the struggle. 1: Determine the case and make the oil. 2: Being strong in treatment. We don't have problems with these two. We are far ahead. 3: Insulation, prevent contact, maintain social distance. If this is provided, the formation of a new wave is avoided, life returns to normal normal. https://t.co/6cirsd18xn</v>
      </c>
    </row>
    <row r="2999" spans="1:5" ht="15.75" customHeight="1" x14ac:dyDescent="0.25">
      <c r="A2999" s="1" t="s">
        <v>5997</v>
      </c>
      <c r="B2999" s="1">
        <v>35887</v>
      </c>
      <c r="C2999" s="3">
        <v>43938.958796296298</v>
      </c>
      <c r="D2999" s="1" t="s">
        <v>5998</v>
      </c>
      <c r="E2999" s="4" t="str">
        <f ca="1">IFERROR(__xludf.DUMMYFUNCTION("GOOGLETRANSLATE(A2999 , ""tr"" , ""en"")"),"Let's trust our country. Let our physicians rely on our health ormit. The decline in our death rates stems from the different approach to the treatment of our health workers from the different approach to the treatment, drug use, drug use. We would like t"&amp;"o show this to the world with publications. https://t.co/8zrfpnwjiI")</f>
        <v>Let's trust our country. Let our physicians rely on our health ormit. The decline in our death rates stems from the different approach to the treatment of our health workers from the different approach to the treatment, drug use, drug use. We would like to show this to the world with publications. https://t.co/8zrfpnwjiI</v>
      </c>
    </row>
    <row r="3000" spans="1:5" ht="15.75" customHeight="1" x14ac:dyDescent="0.25">
      <c r="A3000" s="1" t="s">
        <v>5999</v>
      </c>
      <c r="B3000" s="1">
        <v>101753</v>
      </c>
      <c r="C3000" s="3">
        <v>43938.912604166668</v>
      </c>
      <c r="D3000" s="1" t="s">
        <v>6000</v>
      </c>
      <c r="E3000" s="4" t="str">
        <f ca="1">IFERROR(__xludf.DUMMYFUNCTION("GOOGLETRANSLATE(A3000 , ""tr"" , ""en"")"),"""State is for nation, folks are not for the state!""
We remember our first civilian President. https://t.co/lfzmq222uz")</f>
        <v>"State is for nation, folks are not for the state!"
We remember our first civilian President. https://t.co/lfzmq222uz</v>
      </c>
    </row>
    <row r="3001" spans="1:5" ht="15.75" customHeight="1" x14ac:dyDescent="0.25">
      <c r="A3001" s="1" t="s">
        <v>6001</v>
      </c>
      <c r="B3001" s="1">
        <v>89516</v>
      </c>
      <c r="C3001" s="3">
        <v>43938.610358796293</v>
      </c>
      <c r="D3001" s="1" t="s">
        <v>6002</v>
      </c>
      <c r="E3001" s="4" t="str">
        <f ca="1">IFERROR(__xludf.DUMMYFUNCTION("GOOGLETRANSLATE(A3001 , ""tr"" , ""en"")"),"Our recovering patient count will soon be over 10,000. Balance has been formed between the number of patients discharged with the number of patients lying. The number of cases is decreasing as we expect the increase speed. We have two strengths: Measure, "&amp;"Treatment. Let's use our strength.
https://t.co/rvlhe7oIYM https://t.co/jpkqkezl6")</f>
        <v>Our recovering patient count will soon be over 10,000. Balance has been formed between the number of patients discharged with the number of patients lying. The number of cases is decreasing as we expect the increase speed. We have two strengths: Measure, Treatment. Let's use our strength.
https://t.co/rvlhe7oIYM https://t.co/jpkqkezl6</v>
      </c>
    </row>
    <row r="3002" spans="1:5" ht="15.75" customHeight="1" x14ac:dyDescent="0.25">
      <c r="A3002" s="1" t="s">
        <v>6003</v>
      </c>
      <c r="B3002" s="1">
        <v>20207</v>
      </c>
      <c r="C3002" s="3">
        <v>43938.60900462963</v>
      </c>
      <c r="D3002" s="1" t="s">
        <v>6004</v>
      </c>
      <c r="E3002" s="4" t="str">
        <f ca="1">IFERROR(__xludf.DUMMYFUNCTION("GOOGLETRANSLATE(A3002 , ""tr"" , ""en"")"),"After our Science Board meeting, the latest developments on the coronavirus and the new measures we receive.
📍Public Ministry Bilkent Campus / Ankara
 https://t.co/cctee2vbv9")</f>
        <v>After our Science Board meeting, the latest developments on the coronavirus and the new measures we receive.
📍Public Ministry Bilkent Campus / Ankara
 https://t.co/cctee2vbv9</v>
      </c>
    </row>
    <row r="3003" spans="1:5" ht="15.75" customHeight="1" x14ac:dyDescent="0.25">
      <c r="A3003" s="1" t="s">
        <v>6005</v>
      </c>
      <c r="B3003" s="1">
        <v>98691</v>
      </c>
      <c r="C3003" s="3">
        <v>43937.687685185185</v>
      </c>
      <c r="D3003" s="1" t="s">
        <v>6006</v>
      </c>
      <c r="E3003" s="4" t="str">
        <f ca="1">IFERROR(__xludf.DUMMYFUNCTION("GOOGLETRANSLATE(A3003 , ""tr"" , ""en"")"),"We have exceeded 40,000 test targets a day. The number of cases increased at the foreseeable level. In patients who need intensive care support is under cruise control. Our new recovering patient count is over 1,000. We have two strengths: Measure, Treatm"&amp;"ent. Let's use our strength.
https://t.co/rvlhe7786o https://t.co/if79hgmejb")</f>
        <v>We have exceeded 40,000 test targets a day. The number of cases increased at the foreseeable level. In patients who need intensive care support is under cruise control. Our new recovering patient count is over 1,000. We have two strengths: Measure, Treatment. Let's use our strength.
https://t.co/rvlhe7786o https://t.co/if79hgmejb</v>
      </c>
    </row>
    <row r="3004" spans="1:5" ht="15.75" customHeight="1" x14ac:dyDescent="0.25">
      <c r="A3004" s="1" t="s">
        <v>6007</v>
      </c>
      <c r="B3004" s="1">
        <v>102439</v>
      </c>
      <c r="C3004" s="3">
        <v>43936.887499999997</v>
      </c>
      <c r="D3004" s="1" t="s">
        <v>6008</v>
      </c>
      <c r="E3004" s="4" t="str">
        <f ca="1">IFERROR(__xludf.DUMMYFUNCTION("GOOGLETRANSLATE(A3004 , ""tr"" , ""en"")"),"The Prevention of Violence in Health The Bid of the Law of Violence was held on the agenda with the reconciliation of all parties in our Supreme Council. I would like to thank all our proxies with the contribution of health care workers to protect from vi"&amp;"olence.")</f>
        <v>The Prevention of Violence in Health The Bid of the Law of Violence was held on the agenda with the reconciliation of all parties in our Supreme Council. I would like to thank all our proxies with the contribution of health care workers to protect from violence.</v>
      </c>
    </row>
    <row r="3005" spans="1:5" ht="15.75" customHeight="1" x14ac:dyDescent="0.25">
      <c r="A3005" s="1" t="s">
        <v>6009</v>
      </c>
      <c r="B3005" s="1">
        <v>87186</v>
      </c>
      <c r="C3005" s="3">
        <v>43936.708495370367</v>
      </c>
      <c r="D3005" s="1" t="s">
        <v>6010</v>
      </c>
      <c r="E3005" s="4" t="str">
        <f ca="1">IFERROR(__xludf.DUMMYFUNCTION("GOOGLETRANSLATE(A3005 , ""tr"" , ""en"")"),"The increase speed in the case of the case, the rate of increase in the number of patients in need of intensive care and respiratory support, the rate of increase in the number of increases. 875 was discharged over 5,674 patients in the last 24 hours. We "&amp;"have two strengths: Measure, Treatment. Let's use our strength.
https://t.co/rvlhe7786o https://t.co/Ivrpbk8n2f")</f>
        <v>The increase speed in the case of the case, the rate of increase in the number of patients in need of intensive care and respiratory support, the rate of increase in the number of increases. 875 was discharged over 5,674 patients in the last 24 hours. We have two strengths: Measure, Treatment. Let's use our strength.
https://t.co/rvlhe7786o https://t.co/Ivrpbk8n2f</v>
      </c>
    </row>
    <row r="3006" spans="1:5" ht="15.75" customHeight="1" x14ac:dyDescent="0.25">
      <c r="A3006" s="1" t="s">
        <v>6011</v>
      </c>
      <c r="B3006" s="1">
        <v>49742</v>
      </c>
      <c r="C3006" s="3">
        <v>43936.33353009259</v>
      </c>
      <c r="D3006" s="1" t="s">
        <v>6012</v>
      </c>
      <c r="E3006" s="4" t="str">
        <f ca="1">IFERROR(__xludf.DUMMYFUNCTION("GOOGLETRANSLATE(A3006 , ""tr"" , ""en"")"),"We are successful in the case determination. In patient treatment, we are successful in intensive care. We have a high motivation. We are the superior power in the struggle. The rule that will take us to the result: Reduce the movement, increase the isola"&amp;"tion! If we persistently apply this rule we will get to life as soon as we miss! https://t.co/1ma9rgfd1a")</f>
        <v>We are successful in the case determination. In patient treatment, we are successful in intensive care. We have a high motivation. We are the superior power in the struggle. The rule that will take us to the result: Reduce the movement, increase the isolation! If we persistently apply this rule we will get to life as soon as we miss! https://t.co/1ma9rgfd1a</v>
      </c>
    </row>
    <row r="3007" spans="1:5" ht="15.75" customHeight="1" x14ac:dyDescent="0.25">
      <c r="A3007" s="1" t="s">
        <v>6013</v>
      </c>
      <c r="B3007" s="1">
        <v>56831</v>
      </c>
      <c r="C3007" s="3">
        <v>43936.292314814818</v>
      </c>
      <c r="D3007" s="1" t="s">
        <v>6014</v>
      </c>
      <c r="E3007" s="4" t="str">
        <f ca="1">IFERROR(__xludf.DUMMYFUNCTION("GOOGLETRANSLATE(A3007 , ""tr"" , ""en"")"),"Turkey has a different approach in treatment. No country has used a positive, suspected hydroxycluoroquine medicine in all cases in early cases. We have received 1 million boxes without being seen more than this medication. There is no country that uses F"&amp;"avipiravir in China with the approach. https://t.co/alco3hrq0t")</f>
        <v>Turkey has a different approach in treatment. No country has used a positive, suspected hydroxycluoroquine medicine in all cases in early cases. We have received 1 million boxes without being seen more than this medication. There is no country that uses Favipiravir in China with the approach. https://t.co/alco3hrq0t</v>
      </c>
    </row>
    <row r="3008" spans="1:5" ht="15.75" customHeight="1" x14ac:dyDescent="0.25">
      <c r="A3008" s="1" t="s">
        <v>6015</v>
      </c>
      <c r="B3008" s="1">
        <v>29487</v>
      </c>
      <c r="C3008" s="3">
        <v>43935.935266203705</v>
      </c>
      <c r="D3008" s="1" t="s">
        <v>6016</v>
      </c>
      <c r="E3008" s="4" t="str">
        <f ca="1">IFERROR(__xludf.DUMMYFUNCTION("GOOGLETRANSLATE(A3008 , ""tr"" , ""en"")"),"Fillation gives noticeably consequences of struggle with this system. Tables, to us, you will overcome, says the elin. In case of case, we are successful in patient treatment, intensive care. We are the superior power in the struggle. The rule that will t"&amp;"ake us to the result: Reduce the movement, increase the isolation! https://t.co/g9vifl0lqs")</f>
        <v>Fillation gives noticeably consequences of struggle with this system. Tables, to us, you will overcome, says the elin. In case of case, we are successful in patient treatment, intensive care. We are the superior power in the struggle. The rule that will take us to the result: Reduce the movement, increase the isolation! https://t.co/g9vifl0lqs</v>
      </c>
    </row>
    <row r="3009" spans="1:5" ht="15.75" customHeight="1" x14ac:dyDescent="0.25">
      <c r="A3009" s="1" t="s">
        <v>6017</v>
      </c>
      <c r="B3009" s="1">
        <v>32700</v>
      </c>
      <c r="C3009" s="3">
        <v>43935.927129629628</v>
      </c>
      <c r="D3009" s="1" t="s">
        <v>6018</v>
      </c>
      <c r="E3009" s="4" t="str">
        <f ca="1">IFERROR(__xludf.DUMMYFUNCTION("GOOGLETRANSLATE(A3009 , ""tr"" , ""en"")"),"The way to cut out the front of the epidemic is the filion! In the rate of increase in patient loss, we have a data similar to the decline in the rate of increase in the rate of increase in the rate of measurement in the rate of death in Turkey. Turkey, t"&amp;"he slowdown in the rate of death increase is the earliest country. https://t.co/mppxpn5ntm")</f>
        <v>The way to cut out the front of the epidemic is the filion! In the rate of increase in patient loss, we have a data similar to the decline in the rate of increase in the rate of increase in the rate of measurement in the rate of death in Turkey. Turkey, the slowdown in the rate of death increase is the earliest country. https://t.co/mppxpn5ntm</v>
      </c>
    </row>
    <row r="3010" spans="1:5" ht="15.75" customHeight="1" x14ac:dyDescent="0.25">
      <c r="A3010" s="1" t="s">
        <v>6019</v>
      </c>
      <c r="B3010" s="1">
        <v>75172</v>
      </c>
      <c r="C3010" s="3">
        <v>43935.902974537035</v>
      </c>
      <c r="D3010" s="1" t="s">
        <v>6020</v>
      </c>
      <c r="E3010" s="4" t="str">
        <f ca="1">IFERROR(__xludf.DUMMYFUNCTION("GOOGLETRANSLATE(A3010 , ""tr"" , ""en"")"),"The disease reached the maximum number of cases in a week in America 11 and reached in 7th week in China. We reached the most number of cases in the 4th week. 4. In Turkey, the rate of increase in Turkey has fallen in Turkey! With current data, we have st"&amp;"arted to control the spread of the spread. https://t.co/xmvrq5g9rp")</f>
        <v>The disease reached the maximum number of cases in a week in America 11 and reached in 7th week in China. We reached the most number of cases in the 4th week. 4. In Turkey, the rate of increase in Turkey has fallen in Turkey! With current data, we have started to control the spread of the spread. https://t.co/xmvrq5g9rp</v>
      </c>
    </row>
    <row r="3011" spans="1:5" ht="15.75" customHeight="1" x14ac:dyDescent="0.25">
      <c r="A3011" s="1" t="s">
        <v>6021</v>
      </c>
      <c r="B3011" s="1">
        <v>76642</v>
      </c>
      <c r="C3011" s="3">
        <v>43935.712013888886</v>
      </c>
      <c r="D3011" s="1" t="s">
        <v>6022</v>
      </c>
      <c r="E3011" s="4" t="str">
        <f ca="1">IFERROR(__xludf.DUMMYFUNCTION("GOOGLETRANSLATE(A3011 , ""tr"" , ""en"")"),"The number of cases increased speed, despite the increase in the number of tests. The number of patients who find healing is increasingly growing. The rate of increase in respiratory support and intensive maintenance is low. We have two strengths: Measure"&amp;", Treatment. Let's use our strength.
https://t.co/rvlhe7786o https://t.co/yevglrqtcz")</f>
        <v>The number of cases increased speed, despite the increase in the number of tests. The number of patients who find healing is increasingly growing. The rate of increase in respiratory support and intensive maintenance is low. We have two strengths: Measure, Treatment. Let's use our strength.
https://t.co/rvlhe7786o https://t.co/yevglrqtcz</v>
      </c>
    </row>
    <row r="3012" spans="1:5" ht="15.75" customHeight="1" x14ac:dyDescent="0.25">
      <c r="A3012" s="1" t="s">
        <v>6023</v>
      </c>
      <c r="B3012" s="1">
        <v>34894</v>
      </c>
      <c r="C3012" s="3">
        <v>43935.701909722222</v>
      </c>
      <c r="D3012" s="1" t="s">
        <v>6024</v>
      </c>
      <c r="E3012" s="4" t="str">
        <f ca="1">IFERROR(__xludf.DUMMYFUNCTION("GOOGLETRANSLATE(A3012 , ""tr"" , ""en"")"),"After our Science Board meeting, the latest developments on the coronavirus and the new measures we receive.
📍 The Ministry of Health Bilkent Campus / Ankara https://t.co/ded3o8iy5h")</f>
        <v>After our Science Board meeting, the latest developments on the coronavirus and the new measures we receive.
📍 The Ministry of Health Bilkent Campus / Ankara https://t.co/ded3o8iy5h</v>
      </c>
    </row>
    <row r="3013" spans="1:5" ht="15.75" customHeight="1" x14ac:dyDescent="0.25">
      <c r="A3013" s="1" t="s">
        <v>6025</v>
      </c>
      <c r="B3013" s="1">
        <v>40517</v>
      </c>
      <c r="C3013" s="3">
        <v>43935.543993055559</v>
      </c>
      <c r="D3013" s="1" t="s">
        <v>6026</v>
      </c>
      <c r="E3013" s="4" t="str">
        <f ca="1">IFERROR(__xludf.DUMMYFUNCTION("GOOGLETRANSLATE(A3013 , ""tr"" , ""en"")"),"If you have chronic discomfort such as respiratory tract, heart, blood pressure, diabetes, you must not forget that you are weak in the face of the coronavirus. You will be cautious, we will support. Here we will beat the coronavirus. # We will be united "&amp;"https://t.co/a3y60welwv")</f>
        <v>If you have chronic discomfort such as respiratory tract, heart, blood pressure, diabetes, you must not forget that you are weak in the face of the coronavirus. You will be cautious, we will support. Here we will beat the coronavirus. # We will be united https://t.co/a3y60welwv</v>
      </c>
    </row>
    <row r="3014" spans="1:5" ht="15.75" customHeight="1" x14ac:dyDescent="0.25">
      <c r="A3014" s="1" t="s">
        <v>6027</v>
      </c>
      <c r="B3014" s="1">
        <v>55661</v>
      </c>
      <c r="C3014" s="3">
        <v>43935.459398148145</v>
      </c>
      <c r="D3014" s="1" t="s">
        <v>6028</v>
      </c>
      <c r="E3014" s="4" t="str">
        <f ca="1">IFERROR(__xludf.DUMMYFUNCTION("GOOGLETRANSLATE(A3014 , ""tr"" , ""en"")"),"We are at risk in hospitals, we have to use the mask. But the risk is now common. You should use the mask as you go out. Here we will beat the coronavirus. # We will be united https://t.co/nhvsvx30tl")</f>
        <v>We are at risk in hospitals, we have to use the mask. But the risk is now common. You should use the mask as you go out. Here we will beat the coronavirus. # We will be united https://t.co/nhvsvx30tl</v>
      </c>
    </row>
    <row r="3015" spans="1:5" ht="15.75" customHeight="1" x14ac:dyDescent="0.25">
      <c r="A3015" s="1" t="s">
        <v>6029</v>
      </c>
      <c r="B3015" s="1">
        <v>46191</v>
      </c>
      <c r="C3015" s="3">
        <v>43935.375358796293</v>
      </c>
      <c r="D3015" s="1" t="s">
        <v>6030</v>
      </c>
      <c r="E3015" s="4" t="str">
        <f ca="1">IFERROR(__xludf.DUMMYFUNCTION("GOOGLETRANSLATE(A3015 , ""tr"" , ""en"")"),"We are at the head of our task in hospitals. You, you should stay at home. We are treating the patients, we are serving the same purpose together by staying at home. Here we will beat the coronavirus. # We will join HTTPS://T.CO/I0NOAW4AIU")</f>
        <v>We are at the head of our task in hospitals. You, you should stay at home. We are treating the patients, we are serving the same purpose together by staying at home. Here we will beat the coronavirus. # We will join HTTPS://T.CO/I0NOAW4AIU</v>
      </c>
    </row>
    <row r="3016" spans="1:5" ht="15.75" customHeight="1" x14ac:dyDescent="0.25">
      <c r="A3016" s="1" t="s">
        <v>6031</v>
      </c>
      <c r="B3016" s="1">
        <v>49258</v>
      </c>
      <c r="C3016" s="3">
        <v>43935.292129629626</v>
      </c>
      <c r="D3016" s="1" t="s">
        <v>6032</v>
      </c>
      <c r="E3016" s="4" t="str">
        <f ca="1">IFERROR(__xludf.DUMMYFUNCTION("GOOGLETRANSLATE(A3016 , ""tr"" , ""en"")"),"The social distance is the distance you put in between Koronavirus. By complying with the social distance rule you will take part in our struggle. Here we will beat the coronavirus. # We will be united https://t.co/jadxsbeg24")</f>
        <v>The social distance is the distance you put in between Koronavirus. By complying with the social distance rule you will take part in our struggle. Here we will beat the coronavirus. # We will be united https://t.co/jadxsbeg24</v>
      </c>
    </row>
    <row r="3017" spans="1:5" ht="15.75" customHeight="1" x14ac:dyDescent="0.25">
      <c r="A3017" s="1" t="s">
        <v>6033</v>
      </c>
      <c r="B3017" s="1">
        <v>63669</v>
      </c>
      <c r="C3017" s="3">
        <v>43934.955185185187</v>
      </c>
      <c r="D3017" s="1" t="s">
        <v>6034</v>
      </c>
      <c r="E3017" s="4" t="str">
        <f ca="1">IFERROR(__xludf.DUMMYFUNCTION("GOOGLETRANSLATE(A3017 , ""tr"" , ""en"")"),"We will treat our patients. You will stay away from social environments and will not be caught in the disease by staying at home. Here we will beat the coronavirus. # We will be united https://t.co/bc6hmilva1")</f>
        <v>We will treat our patients. You will stay away from social environments and will not be caught in the disease by staying at home. Here we will beat the coronavirus. # We will be united https://t.co/bc6hmilva1</v>
      </c>
    </row>
    <row r="3018" spans="1:5" ht="15.75" customHeight="1" x14ac:dyDescent="0.25">
      <c r="A3018" s="1" t="s">
        <v>6035</v>
      </c>
      <c r="B3018" s="1">
        <v>175245</v>
      </c>
      <c r="C3018" s="3">
        <v>43934.708437499998</v>
      </c>
      <c r="D3018" s="1" t="s">
        <v>6036</v>
      </c>
      <c r="E3018" s="4" t="str">
        <f ca="1">IFERROR(__xludf.DUMMYFUNCTION("GOOGLETRANSLATE(A3018 , ""tr"" , ""en"")"),"Children, you don't have bigger than you! Even today you didn't go out. You are not dead. I kiss your eyes for your patience. https://t.co/zpzlflnyzc")</f>
        <v>Children, you don't have bigger than you! Even today you didn't go out. You are not dead. I kiss your eyes for your patience. https://t.co/zpzlflnyzc</v>
      </c>
    </row>
    <row r="3019" spans="1:5" ht="15.75" customHeight="1" x14ac:dyDescent="0.25">
      <c r="A3019" s="1" t="s">
        <v>6037</v>
      </c>
      <c r="B3019" s="1">
        <v>92778</v>
      </c>
      <c r="C3019" s="3">
        <v>43934.679259259261</v>
      </c>
      <c r="D3019" s="1" t="s">
        <v>6038</v>
      </c>
      <c r="E3019" s="4" t="str">
        <f ca="1">IFERROR(__xludf.DUMMYFUNCTION("GOOGLETRANSLATE(A3019 , ""tr"" , ""en"")"),"Our test count will soon reach 500 thousand. The increase in the number of expected cases compared to the increased number of tests is reduced as speed. Early diagnosis and treatment increases our number of patients recovering.
https://t.co/rvlhe7786o ht"&amp;"tps://t.co/tlkps8lfk")</f>
        <v>Our test count will soon reach 500 thousand. The increase in the number of expected cases compared to the increased number of tests is reduced as speed. Early diagnosis and treatment increases our number of patients recovering.
https://t.co/rvlhe7786o https://t.co/tlkps8lfk</v>
      </c>
    </row>
    <row r="3020" spans="1:5" ht="15.75" customHeight="1" x14ac:dyDescent="0.25">
      <c r="A3020" s="1" t="s">
        <v>6039</v>
      </c>
      <c r="B3020" s="1">
        <v>0</v>
      </c>
      <c r="C3020" s="3">
        <v>43934.654085648152</v>
      </c>
      <c r="D3020" s="1" t="s">
        <v>6040</v>
      </c>
      <c r="E3020" s="4" t="str">
        <f ca="1">IFERROR(__xludf.DUMMYFUNCTION("GOOGLETRANSLATE(A3020 , ""tr"" , ""en"")"),"RT @RterDogan: Shouting to Nation after Cabinet Meeting
https://t.co/xe0hx0xnvs")</f>
        <v>RT @RterDogan: Shouting to Nation after Cabinet Meeting
https://t.co/xe0hx0xnvs</v>
      </c>
    </row>
    <row r="3021" spans="1:5" ht="15.75" customHeight="1" x14ac:dyDescent="0.25">
      <c r="A3021" s="1" t="s">
        <v>6041</v>
      </c>
      <c r="B3021" s="1">
        <v>117669</v>
      </c>
      <c r="C3021" s="3">
        <v>43933.691064814811</v>
      </c>
      <c r="D3021" s="1" t="s">
        <v>6042</v>
      </c>
      <c r="E3021" s="4" t="str">
        <f ca="1">IFERROR(__xludf.DUMMYFUNCTION("GOOGLETRANSLATE(A3021 , ""tr"" , ""en"")"),"It takes a tendency to decrease in intensive care. There is a decline in the number of intubated patients. As we perform more, it is predictable in a predictable manner and is being isolated. We are strong in treatment. But this struggle is not in hospita"&amp;"ls, remaining at home!
https://t.co/rvlhe7786o https://t.co/ndeo8naufh")</f>
        <v>It takes a tendency to decrease in intensive care. There is a decline in the number of intubated patients. As we perform more, it is predictable in a predictable manner and is being isolated. We are strong in treatment. But this struggle is not in hospitals, remaining at home!
https://t.co/rvlhe7786o https://t.co/ndeo8naufh</v>
      </c>
    </row>
    <row r="3022" spans="1:5" ht="15.75" customHeight="1" x14ac:dyDescent="0.25">
      <c r="A3022" s="1" t="s">
        <v>6043</v>
      </c>
      <c r="B3022" s="1">
        <v>53788</v>
      </c>
      <c r="C3022" s="3">
        <v>43932.970069444447</v>
      </c>
      <c r="D3022" s="1" t="s">
        <v>6044</v>
      </c>
      <c r="E3022" s="4" t="str">
        <f ca="1">IFERROR(__xludf.DUMMYFUNCTION("GOOGLETRANSLATE(A3022 , ""tr"" , ""en"")"),"We have made a teleconference conversation with our 81 provincial health managers, ministerial assistants and general managers. We have addressed the needs available and occur. We shared the experience and recommendations of our Science Board, our univers"&amp;"ity rectors. https://t.co/adfsxhecrt")</f>
        <v>We have made a teleconference conversation with our 81 provincial health managers, ministerial assistants and general managers. We have addressed the needs available and occur. We shared the experience and recommendations of our Science Board, our university rectors. https://t.co/adfsxhecrt</v>
      </c>
    </row>
    <row r="3023" spans="1:5" ht="15.75" customHeight="1" x14ac:dyDescent="0.25">
      <c r="A3023" s="1" t="s">
        <v>6045</v>
      </c>
      <c r="B3023" s="1">
        <v>76172</v>
      </c>
      <c r="C3023" s="3">
        <v>43932.9375</v>
      </c>
      <c r="D3023" s="1" t="s">
        <v>6046</v>
      </c>
      <c r="E3023" s="4" t="str">
        <f ca="1">IFERROR(__xludf.DUMMYFUNCTION("GOOGLETRANSLATE(A3023 , ""tr"" , ""en"")"),"Coronavirus patients have a new development today in the treatment table. Our total patient total patients had decreased for the first time on the scale of Turkey. 6 Our scientists from our universities are the same evidence: this is the result of the mea"&amp;"sures with monitored treatment. The result is clear that we will receive with measures. https://t.co/shezg1jl4m")</f>
        <v>Coronavirus patients have a new development today in the treatment table. Our total patient total patients had decreased for the first time on the scale of Turkey. 6 Our scientists from our universities are the same evidence: this is the result of the measures with monitored treatment. The result is clear that we will receive with measures. https://t.co/shezg1jl4m</v>
      </c>
    </row>
    <row r="3024" spans="1:5" ht="15.75" customHeight="1" x14ac:dyDescent="0.25">
      <c r="A3024" s="1" t="s">
        <v>6047</v>
      </c>
      <c r="B3024" s="1">
        <v>99719</v>
      </c>
      <c r="C3024" s="3">
        <v>43932.702974537038</v>
      </c>
      <c r="D3024" s="1" t="s">
        <v>6048</v>
      </c>
      <c r="E3024" s="4" t="str">
        <f ca="1">IFERROR(__xludf.DUMMYFUNCTION("GOOGLETRANSLATE(A3024 , ""tr"" , ""en"")"),"Our case count is increased at the number of tests, together with the increase in the foreseeable level. This increase does not take place in the number of intensive care. We are quicker in the diagnosis, the treatment begins early. Turkey is showing seri"&amp;"ous success in the treatment. The actual success can be protected from the virus.
https://t.co/rvlhe7786o https://t.co/be3ubfg1xy")</f>
        <v>Our case count is increased at the number of tests, together with the increase in the foreseeable level. This increase does not take place in the number of intensive care. We are quicker in the diagnosis, the treatment begins early. Turkey is showing serious success in the treatment. The actual success can be protected from the virus.
https://t.co/rvlhe7786o https://t.co/be3ubfg1xy</v>
      </c>
    </row>
    <row r="3025" spans="1:5" ht="15.75" customHeight="1" x14ac:dyDescent="0.25">
      <c r="A3025" s="1" t="s">
        <v>6049</v>
      </c>
      <c r="B3025" s="1">
        <v>37508</v>
      </c>
      <c r="C3025" s="3">
        <v>43932.698784722219</v>
      </c>
      <c r="D3025" s="1" t="s">
        <v>6050</v>
      </c>
      <c r="E3025" s="4" t="str">
        <f ca="1">IFERROR(__xludf.DUMMYFUNCTION("GOOGLETRANSLATE(A3025 , ""tr"" , ""en"")"),"A wisdom word, we all say each other's hand, foot, eye, Kalkiyiş. The way to protect ourselves, passes attention to someone else and narrow. Our society has this consideration. We have a high sensitivity in our society. Let's all be sure: With the folks-s"&amp;"tate manual, we will defeat the corona. https://t.co/nmr6xfprxh")</f>
        <v>A wisdom word, we all say each other's hand, foot, eye, Kalkiyiş. The way to protect ourselves, passes attention to someone else and narrow. Our society has this consideration. We have a high sensitivity in our society. Let's all be sure: With the folks-state manual, we will defeat the corona. https://t.co/nmr6xfprxh</v>
      </c>
    </row>
    <row r="3026" spans="1:5" ht="15.75" customHeight="1" x14ac:dyDescent="0.25">
      <c r="A3026" s="1" t="s">
        <v>6051</v>
      </c>
      <c r="B3026" s="1">
        <v>47585</v>
      </c>
      <c r="C3026" s="3">
        <v>43932.695208333331</v>
      </c>
      <c r="D3026" s="1" t="s">
        <v>6052</v>
      </c>
      <c r="E3026" s="4" t="str">
        <f ca="1">IFERROR(__xludf.DUMMYFUNCTION("GOOGLETRANSLATE(A3026 , ""tr"" , ""en"")"),"From young friends my request is: Don't make you mislead. Note that you are likely to infect the virus that cannot be able to beat the virus. Break off on moving days, be determined in this break. If you are on the struggle on which side you are on the si"&amp;"de, the chance will be on that side, remember that. https://t.co/jucbpibgpl")</f>
        <v>From young friends my request is: Don't make you mislead. Note that you are likely to infect the virus that cannot be able to beat the virus. Break off on moving days, be determined in this break. If you are on the struggle on which side you are on the side, the chance will be on that side, remember that. https://t.co/jucbpibgpl</v>
      </c>
    </row>
    <row r="3027" spans="1:5" ht="15.75" customHeight="1" x14ac:dyDescent="0.25">
      <c r="A3027" s="1" t="s">
        <v>6053</v>
      </c>
      <c r="B3027" s="1">
        <v>31497</v>
      </c>
      <c r="C3027" s="3">
        <v>43932.692291666666</v>
      </c>
      <c r="D3027" s="1" t="s">
        <v>6054</v>
      </c>
      <c r="E3027" s="4" t="str">
        <f ca="1">IFERROR(__xludf.DUMMYFUNCTION("GOOGLETRANSLATE(A3027 , ""tr"" , ""en"")"),"Our Supreme Assembly has taken the step we expected by the Law Offer to prevent health violence in health. These timing is very significant on the days of the health workers struggling. Our valuable proxies are our angery from you, the design of the Assem"&amp;"bly of the Assembly is immediately enacted by the vote. https://t.co/wgudmvs0hs")</f>
        <v>Our Supreme Assembly has taken the step we expected by the Law Offer to prevent health violence in health. These timing is very significant on the days of the health workers struggling. Our valuable proxies are our angery from you, the design of the Assembly of the Assembly is immediately enacted by the vote. https://t.co/wgudmvs0hs</v>
      </c>
    </row>
    <row r="3028" spans="1:5" ht="15.75" customHeight="1" x14ac:dyDescent="0.25">
      <c r="A3028" s="1" t="s">
        <v>6055</v>
      </c>
      <c r="B3028" s="1">
        <v>32353</v>
      </c>
      <c r="C3028" s="3">
        <v>43932.688437500001</v>
      </c>
      <c r="D3028" s="1" t="s">
        <v>6056</v>
      </c>
      <c r="E3028" s="4" t="str">
        <f ca="1">IFERROR(__xludf.DUMMYFUNCTION("GOOGLETRANSLATE(A3028 , ""tr"" , ""en"")"),"Our country has considered this threat as a health problem that the threat is to be left to science and science people. Trust a public health threat to the strategy separating all other subjects. https://t.co/idoxk8x53z")</f>
        <v>Our country has considered this threat as a health problem that the threat is to be left to science and science people. Trust a public health threat to the strategy separating all other subjects. https://t.co/idoxk8x53z</v>
      </c>
    </row>
    <row r="3029" spans="1:5" ht="15.75" customHeight="1" x14ac:dyDescent="0.25">
      <c r="A3029" s="1" t="s">
        <v>6057</v>
      </c>
      <c r="B3029" s="1">
        <v>139834</v>
      </c>
      <c r="C3029" s="3">
        <v>43932.646493055552</v>
      </c>
      <c r="D3029" s="1" t="s">
        <v>6058</v>
      </c>
      <c r="E3029" s="4" t="str">
        <f ca="1">IFERROR(__xludf.DUMMYFUNCTION("GOOGLETRANSLATE(A3029 , ""tr"" , ""en"")"),"We are committed to sacrificing from the struggle we maintained since December 31. Note that our alerts are valid in any circumstances without exception. The process is together, in common sense, we will successfully complete. Let's not give concessions f"&amp;"rom this belief. Let's focus on the conclusion of our struggle.")</f>
        <v>We are committed to sacrificing from the struggle we maintained since December 31. Note that our alerts are valid in any circumstances without exception. The process is together, in common sense, we will successfully complete. Let's not give concessions from this belief. Let's focus on the conclusion of our struggle.</v>
      </c>
    </row>
    <row r="3030" spans="1:5" ht="15.75" customHeight="1" x14ac:dyDescent="0.25">
      <c r="A3030" s="1" t="s">
        <v>6059</v>
      </c>
      <c r="B3030" s="1">
        <v>76425</v>
      </c>
      <c r="C3030" s="3">
        <v>43931.698194444441</v>
      </c>
      <c r="D3030" s="1" t="s">
        <v>6060</v>
      </c>
      <c r="E3030" s="4" t="str">
        <f ca="1">IFERROR(__xludf.DUMMYFUNCTION("GOOGLETRANSLATE(A3030 , ""tr"" , ""en"")"),"We have exceeded 30,000 in the daily test number. Our laboratory count has been 106. Our patient rate in intensive care continues to fall. We maintain our success chart at the speed of recovery. The data shows that it will increase in the speed of recover"&amp;"y in the days ahead.
https://t.co/rvlhe7786o https://t.co/ss1gmyvoxy")</f>
        <v>We have exceeded 30,000 in the daily test number. Our laboratory count has been 106. Our patient rate in intensive care continues to fall. We maintain our success chart at the speed of recovery. The data shows that it will increase in the speed of recovery in the days ahead.
https://t.co/rvlhe7786o https://t.co/ss1gmyvoxy</v>
      </c>
    </row>
    <row r="3031" spans="1:5" ht="15.75" customHeight="1" x14ac:dyDescent="0.25">
      <c r="A3031" s="1" t="s">
        <v>6061</v>
      </c>
      <c r="B3031" s="1">
        <v>31645</v>
      </c>
      <c r="C3031" s="3">
        <v>43931.690138888887</v>
      </c>
      <c r="D3031" s="1" t="s">
        <v>6062</v>
      </c>
      <c r="E3031" s="4" t="str">
        <f ca="1">IFERROR(__xludf.DUMMYFUNCTION("GOOGLETRANSLATE(A3031 , ""tr"" , ""en"")"),"After our Science Board meeting, the latest developments on the coronavirus and the new measures we receive.
Bilkent Campus / Ankara https://t.co/3eaqxrk8dd")</f>
        <v>After our Science Board meeting, the latest developments on the coronavirus and the new measures we receive.
Bilkent Campus / Ankara https://t.co/3eaqxrk8dd</v>
      </c>
    </row>
    <row r="3032" spans="1:5" ht="15.75" customHeight="1" x14ac:dyDescent="0.25">
      <c r="A3032" s="1" t="s">
        <v>6063</v>
      </c>
      <c r="B3032" s="1">
        <v>147775</v>
      </c>
      <c r="C3032" s="3">
        <v>43931.639618055553</v>
      </c>
      <c r="D3032" s="1" t="s">
        <v>6064</v>
      </c>
      <c r="E3032" s="4" t="str">
        <f ca="1">IFERROR(__xludf.DUMMYFUNCTION("GOOGLETRANSLATE(A3032 , ""tr"" , ""en"")"),"Thank you for being at home. https://t.co/srmu6dylmd")</f>
        <v>Thank you for being at home. https://t.co/srmu6dylmd</v>
      </c>
    </row>
    <row r="3033" spans="1:5" ht="15.75" customHeight="1" x14ac:dyDescent="0.25">
      <c r="A3033" s="1" t="s">
        <v>6065</v>
      </c>
      <c r="B3033" s="1">
        <v>125588</v>
      </c>
      <c r="C3033" s="3">
        <v>43930.86824074074</v>
      </c>
      <c r="D3033" s="1" t="s">
        <v>6066</v>
      </c>
      <c r="E3033" s="4" t="str">
        <f ca="1">IFERROR(__xludf.DUMMYFUNCTION("GOOGLETRANSLATE(A3033 , ""tr"" , ""en"")"),"The heroes of this movie are the ones at home on the day. https://t.co/gluytir4zq")</f>
        <v>The heroes of this movie are the ones at home on the day. https://t.co/gluytir4zq</v>
      </c>
    </row>
    <row r="3034" spans="1:5" ht="15.75" customHeight="1" x14ac:dyDescent="0.25">
      <c r="A3034" s="1" t="s">
        <v>6067</v>
      </c>
      <c r="B3034" s="1">
        <v>91864</v>
      </c>
      <c r="C3034" s="3">
        <v>43930.680428240739</v>
      </c>
      <c r="D3034" s="1" t="s">
        <v>6068</v>
      </c>
      <c r="E3034" s="4" t="str">
        <f ca="1">IFERROR(__xludf.DUMMYFUNCTION("GOOGLETRANSLATE(A3034 , ""tr"" , ""en"")"),"296 from our patients found more healing. Our total number of patients with discharge reached 2.142. We are about to reach our 30,000 test goals daily. In spite of the increasing test count, the rate of increase in the increase is to fall. The virus recei"&amp;"ves its power from the contact environment. Let's stay at home.
https://t.co/rvlhe7786o https://t.co/5bnqcjgzap")</f>
        <v>296 from our patients found more healing. Our total number of patients with discharge reached 2.142. We are about to reach our 30,000 test goals daily. In spite of the increasing test count, the rate of increase in the increase is to fall. The virus receives its power from the contact environment. Let's stay at home.
https://t.co/rvlhe7786o https://t.co/5bnqcjgzap</v>
      </c>
    </row>
    <row r="3035" spans="1:5" ht="15.75" customHeight="1" x14ac:dyDescent="0.25">
      <c r="A3035" s="1" t="s">
        <v>6069</v>
      </c>
      <c r="B3035" s="1">
        <v>74251</v>
      </c>
      <c r="C3035" s="3">
        <v>43929.886979166666</v>
      </c>
      <c r="D3035" s="1" t="s">
        <v>6070</v>
      </c>
      <c r="E3035" s="4" t="str">
        <f ca="1">IFERROR(__xludf.DUMMYFUNCTION("GOOGLETRANSLATE(A3035 , ""tr"" , ""en"")"),"829 Reinforced Seismic Insulator The Marmara University Pendik Educational Training and Research Hospital has been served with renewed properties. Our hospital, which is allocated to 60 rooms intensive care, has a total capacity of 535 beds. May our natio"&amp;"n be auspicious. https://t.co/05q5tmyhby")</f>
        <v>829 Reinforced Seismic Insulator The Marmara University Pendik Educational Training and Research Hospital has been served with renewed properties. Our hospital, which is allocated to 60 rooms intensive care, has a total capacity of 535 beds. May our nation be auspicious. https://t.co/05q5tmyhby</v>
      </c>
    </row>
    <row r="3036" spans="1:5" ht="15.75" customHeight="1" x14ac:dyDescent="0.25">
      <c r="A3036" s="1" t="s">
        <v>6071</v>
      </c>
      <c r="B3036" s="1">
        <v>81969</v>
      </c>
      <c r="C3036" s="3">
        <v>43929.710312499999</v>
      </c>
      <c r="D3036" s="1" t="s">
        <v>6072</v>
      </c>
      <c r="E3036" s="4" t="str">
        <f ca="1">IFERROR(__xludf.DUMMYFUNCTION("GOOGLETRANSLATE(A3036 , ""tr"" , ""en"")"),"264 more than our patients healed. Intensive maintenance and intubate the increase in the patients tend to fall the speed of increase. Our success depends on isolation. The virus receives its power from the contact environment. Let's not recognize this op"&amp;"portunity to the virus. Let's stay at home.
https://t.co/rvlhe7786o https://t.co/jukrzwanom")</f>
        <v>264 more than our patients healed. Intensive maintenance and intubate the increase in the patients tend to fall the speed of increase. Our success depends on isolation. The virus receives its power from the contact environment. Let's not recognize this opportunity to the virus. Let's stay at home.
https://t.co/rvlhe7786o https://t.co/jukrzwanom</v>
      </c>
    </row>
    <row r="3037" spans="1:5" ht="15.75" customHeight="1" x14ac:dyDescent="0.25">
      <c r="A3037" s="1" t="s">
        <v>6073</v>
      </c>
      <c r="B3037" s="1">
        <v>0</v>
      </c>
      <c r="C3037" s="3">
        <v>43929.66783564815</v>
      </c>
      <c r="D3037" s="1" t="s">
        <v>6074</v>
      </c>
      <c r="E3037" s="4" t="str">
        <f ca="1">IFERROR(__xludf.DUMMYFUNCTION("GOOGLETRANSLATE(A3037 , ""tr"" , ""en"")"),"RT @fahrettinaltun: We continue to add new measures to our challenge of coronavirus.
Our most recent step is by our Ministry of Health ...")</f>
        <v>RT @fahrettinaltun: We continue to add new measures to our challenge of coronavirus.
Our most recent step is by our Ministry of Health ...</v>
      </c>
    </row>
    <row r="3038" spans="1:5" ht="15.75" customHeight="1" x14ac:dyDescent="0.25">
      <c r="A3038" s="1" t="s">
        <v>6075</v>
      </c>
      <c r="B3038" s="1">
        <v>98453</v>
      </c>
      <c r="C3038" s="3">
        <v>43929.593356481484</v>
      </c>
      <c r="D3038" s="1" t="s">
        <v>6076</v>
      </c>
      <c r="E3038" s="4" t="str">
        <f ca="1">IFERROR(__xludf.DUMMYFUNCTION("GOOGLETRANSLATE(A3038 , ""tr"" , ""en"")"),"My valuable proxies,
In the prevention of health violence, we are gratitude to our supreme assembly at the preparation of more than 1 million 100 thousand health staff with the law proposal. We believe that the proposal will be enacted as soon as possibl"&amp;"e with the support of each of our proxy.")</f>
        <v>My valuable proxies,
In the prevention of health violence, we are gratitude to our supreme assembly at the preparation of more than 1 million 100 thousand health staff with the law proposal. We believe that the proposal will be enacted as soon as possible with the support of each of our proxy.</v>
      </c>
    </row>
    <row r="3039" spans="1:5" ht="15.75" customHeight="1" x14ac:dyDescent="0.25">
      <c r="A3039" s="1" t="s">
        <v>6077</v>
      </c>
      <c r="B3039" s="1">
        <v>62502</v>
      </c>
      <c r="C3039" s="3">
        <v>43929.589282407411</v>
      </c>
      <c r="D3039" s="1" t="s">
        <v>6078</v>
      </c>
      <c r="E3039" s="4" t="str">
        <f ca="1">IFERROR(__xludf.DUMMYFUNCTION("GOOGLETRANSLATE(A3039 , ""tr"" , ""en"")"),"Terror has known our painful days the opportunity. Our Jungle Worker in Kulp district of Diyarbakir was martyred by the PKK on the way to work early in the morning. I wish themselves from Allah mercy. May the head of our nation be right. Life is always de"&amp;"feated by the winner of the winner.")</f>
        <v>Terror has known our painful days the opportunity. Our Jungle Worker in Kulp district of Diyarbakir was martyred by the PKK on the way to work early in the morning. I wish themselves from Allah mercy. May the head of our nation be right. Life is always defeated by the winner of the winner.</v>
      </c>
    </row>
    <row r="3040" spans="1:5" ht="15.75" customHeight="1" x14ac:dyDescent="0.25">
      <c r="A3040" s="1" t="s">
        <v>6079</v>
      </c>
      <c r="B3040" s="1">
        <v>95351</v>
      </c>
      <c r="C3040" s="3">
        <v>43929.333587962959</v>
      </c>
      <c r="D3040" s="1" t="s">
        <v>6080</v>
      </c>
      <c r="E3040" s="4" t="str">
        <f ca="1">IFERROR(__xludf.DUMMYFUNCTION("GOOGLETRANSLATE(A3040 , ""tr"" , ""en"")"),"It was the isolation of the virus, which should be achieved primarily for vaccination studies. Our two scientists have succeeded in. From the University of Erciyes Dr. Aykut Özdarendeli HOCAMII, Ankara University Professor Dr. I'm celebrating our Aykut Ey"&amp;"ekkul teacher in the name of our people. https://t.co/pgycsvosxw")</f>
        <v>It was the isolation of the virus, which should be achieved primarily for vaccination studies. Our two scientists have succeeded in. From the University of Erciyes Dr. Aykut Özdarendeli HOCAMII, Ankara University Professor Dr. I'm celebrating our Aykut Eyekkul teacher in the name of our people. https://t.co/pgycsvosxw</v>
      </c>
    </row>
    <row r="3041" spans="1:5" ht="15.75" customHeight="1" x14ac:dyDescent="0.25">
      <c r="A3041" s="1" t="s">
        <v>6081</v>
      </c>
      <c r="B3041" s="1">
        <v>40208</v>
      </c>
      <c r="C3041" s="3">
        <v>43929.312824074077</v>
      </c>
      <c r="D3041" s="1" t="s">
        <v>6082</v>
      </c>
      <c r="E3041" s="4" t="str">
        <f ca="1">IFERROR(__xludf.DUMMYFUNCTION("GOOGLETRANSLATE(A3041 , ""tr"" , ""en"")"),"We have developed a compulsory application to use cases, case contacts to follow suspicious cases. We will determine if the home isolation rule is not observed. There will be the sanction of the isolation violation. The system will be activated within a t"&amp;"wo days. https://t.co/nljlssl4o6")</f>
        <v>We have developed a compulsory application to use cases, case contacts to follow suspicious cases. We will determine if the home isolation rule is not observed. There will be the sanction of the isolation violation. The system will be activated within a two days. https://t.co/nljlssl4o6</v>
      </c>
    </row>
    <row r="3042" spans="1:5" ht="15.75" customHeight="1" x14ac:dyDescent="0.25">
      <c r="A3042" s="1" t="s">
        <v>6083</v>
      </c>
      <c r="B3042" s="1">
        <v>37995</v>
      </c>
      <c r="C3042" s="3">
        <v>43928.922638888886</v>
      </c>
      <c r="D3042" s="1" t="s">
        <v>6084</v>
      </c>
      <c r="E3042" s="4" t="str">
        <f ca="1">IFERROR(__xludf.DUMMYFUNCTION("GOOGLETRANSLATE(A3042 , ""tr"" , ""en"")"),"Our city hospitals offer us great possibilities in this disease where the needs of isolation is high in terms of intensive care. These hospitals have the technical infrastructure that each room can turn into a busy care room. The system is rare in the wor"&amp;"ld. https://t.co/cju2vfnxwh")</f>
        <v>Our city hospitals offer us great possibilities in this disease where the needs of isolation is high in terms of intensive care. These hospitals have the technical infrastructure that each room can turn into a busy care room. The system is rare in the world. https://t.co/cju2vfnxwh</v>
      </c>
    </row>
    <row r="3043" spans="1:5" ht="15.75" customHeight="1" x14ac:dyDescent="0.25">
      <c r="A3043" s="1" t="s">
        <v>6085</v>
      </c>
      <c r="B3043" s="1">
        <v>41182</v>
      </c>
      <c r="C3043" s="3">
        <v>43928.88789351852</v>
      </c>
      <c r="D3043" s="1" t="s">
        <v>6086</v>
      </c>
      <c r="E3043" s="4" t="str">
        <f ca="1">IFERROR(__xludf.DUMMYFUNCTION("GOOGLETRANSLATE(A3043 , ""tr"" , ""en"")"),"There are two new hospitals to open. Each room was planar-room hospitals, including a bed. One is on Ataturk Airport and the other is being installed in Sancaktepe. There will be the operating rooms. Each room is to be translated into the intensive care r"&amp;"oom when necessary. Hospitals will be permanent. https://t.co/LKP0NISJTH")</f>
        <v>There are two new hospitals to open. Each room was planar-room hospitals, including a bed. One is on Ataturk Airport and the other is being installed in Sancaktepe. There will be the operating rooms. Each room is to be translated into the intensive care room when necessary. Hospitals will be permanent. https://t.co/LKP0NISJTH</v>
      </c>
    </row>
    <row r="3044" spans="1:5" ht="15.75" customHeight="1" x14ac:dyDescent="0.25">
      <c r="A3044" s="1" t="s">
        <v>6087</v>
      </c>
      <c r="B3044" s="1">
        <v>50040</v>
      </c>
      <c r="C3044" s="3">
        <v>43928.857743055552</v>
      </c>
      <c r="D3044" s="1" t="s">
        <v>6088</v>
      </c>
      <c r="E3044" s="4" t="str">
        <f ca="1">IFERROR(__xludf.DUMMYFUNCTION("GOOGLETRANSLATE(A3044 , ""tr"" , ""en"")"),"In our patients, we provide a reduction in the transition rate to lung infection. We think that we started the drug treatment early in this has its great role. Based on our first findings, we started to provide and use the drug early. Now many countries g"&amp;"ive the same medicine to ensure. https://t.co/nwsxyuvnzc")</f>
        <v>In our patients, we provide a reduction in the transition rate to lung infection. We think that we started the drug treatment early in this has its great role. Based on our first findings, we started to provide and use the drug early. Now many countries give the same medicine to ensure. https://t.co/nwsxyuvnzc</v>
      </c>
    </row>
    <row r="3045" spans="1:5" ht="15.75" customHeight="1" x14ac:dyDescent="0.25">
      <c r="A3045" s="1" t="s">
        <v>6089</v>
      </c>
      <c r="B3045" s="1">
        <v>36561</v>
      </c>
      <c r="C3045" s="3">
        <v>43928.830613425926</v>
      </c>
      <c r="D3045" s="1" t="s">
        <v>6090</v>
      </c>
      <c r="E3045" s="4" t="str">
        <f ca="1">IFERROR(__xludf.DUMMYFUNCTION("GOOGLETRANSLATE(A3045 , ""tr"" , ""en"")"),"Some requirements appeared to be better organized against disease. We need the referral decisions to be taken on social issues, to be conducted. For this purpose, we have created a new board of community sciences. The application is a first in the world. "&amp;"https://t.co/rqadckbxrs")</f>
        <v>Some requirements appeared to be better organized against disease. We need the referral decisions to be taken on social issues, to be conducted. For this purpose, we have created a new board of community sciences. The application is a first in the world. https://t.co/rqadckbxrs</v>
      </c>
    </row>
    <row r="3046" spans="1:5" ht="15.75" customHeight="1" x14ac:dyDescent="0.25">
      <c r="A3046" s="1" t="s">
        <v>6091</v>
      </c>
      <c r="B3046" s="1">
        <v>68730</v>
      </c>
      <c r="C3046" s="3">
        <v>43928.804432870369</v>
      </c>
      <c r="D3046" s="1" t="s">
        <v>6092</v>
      </c>
      <c r="E3046" s="4" t="str">
        <f ca="1">IFERROR(__xludf.DUMMYFUNCTION("GOOGLETRANSLATE(A3046 , ""tr"" , ""en"")"),"April 7, World Health Day. This celebration, which started with a decision in which the United Nations received in 1945, the first time it has coincided with a health problem in this prevalence. We believe that humanity will exceed this difficulty. Pay at"&amp;"tention to your health. Next year today, everything is very different from the present.")</f>
        <v>April 7, World Health Day. This celebration, which started with a decision in which the United Nations received in 1945, the first time it has coincided with a health problem in this prevalence. We believe that humanity will exceed this difficulty. Pay attention to your health. Next year today, everything is very different from the present.</v>
      </c>
    </row>
    <row r="3047" spans="1:5" ht="15.75" customHeight="1" x14ac:dyDescent="0.25">
      <c r="A3047" s="1" t="s">
        <v>6093</v>
      </c>
      <c r="B3047" s="1">
        <v>204381</v>
      </c>
      <c r="C3047" s="3">
        <v>43928.730775462966</v>
      </c>
      <c r="D3047" s="1" t="s">
        <v>6094</v>
      </c>
      <c r="E3047" s="4" t="str">
        <f ca="1">IFERROR(__xludf.DUMMYFUNCTION("GOOGLETRANSLATE(A3047 , ""tr"" , ""en"")"),"Celebrating your Berat Fabrous, I will be able to increase the solidarity between us in this Mubarak night to increase the hopes, the freshness of our faith in the tomorrows.")</f>
        <v>Celebrating your Berat Fabrous, I will be able to increase the solidarity between us in this Mubarak night to increase the hopes, the freshness of our faith in the tomorrows.</v>
      </c>
    </row>
    <row r="3048" spans="1:5" ht="15.75" customHeight="1" x14ac:dyDescent="0.25">
      <c r="A3048" s="1" t="s">
        <v>6095</v>
      </c>
      <c r="B3048" s="1">
        <v>77960</v>
      </c>
      <c r="C3048" s="3">
        <v>43928.696504629632</v>
      </c>
      <c r="D3048" s="1" t="s">
        <v>6096</v>
      </c>
      <c r="E3048" s="4" t="str">
        <f ca="1">IFERROR(__xludf.DUMMYFUNCTION("GOOGLETRANSLATE(A3048 , ""tr"" , ""en"")"),"The number of our patients who find healing is increasing. The number of tests and positive cases increase in the diagnosis number as the scans increased. The virus receives its power from the contact environment. Let's not recognize this opportunity to t"&amp;"he virus. Let's stay at home.
https://t.co/rvlhe7786o https://t.co/Io8q3nstok")</f>
        <v>The number of our patients who find healing is increasing. The number of tests and positive cases increase in the diagnosis number as the scans increased. The virus receives its power from the contact environment. Let's not recognize this opportunity to the virus. Let's stay at home.
https://t.co/rvlhe7786o https://t.co/Io8q3nstok</v>
      </c>
    </row>
    <row r="3049" spans="1:5" ht="15.75" customHeight="1" x14ac:dyDescent="0.25">
      <c r="A3049" s="1" t="s">
        <v>6097</v>
      </c>
      <c r="B3049" s="1">
        <v>28738</v>
      </c>
      <c r="C3049" s="3">
        <v>43928.688414351855</v>
      </c>
      <c r="D3049" s="1" t="s">
        <v>6098</v>
      </c>
      <c r="E3049" s="4" t="str">
        <f ca="1">IFERROR(__xludf.DUMMYFUNCTION("GOOGLETRANSLATE(A3049 , ""tr"" , ""en"")"),"After our Science Board meeting, the latest developments on the coronavirus and the new measures we receive.
Bilkent Campus / Ankara https://t.co/ltrtnxuvlm")</f>
        <v>After our Science Board meeting, the latest developments on the coronavirus and the new measures we receive.
Bilkent Campus / Ankara https://t.co/ltrtnxuvlm</v>
      </c>
    </row>
    <row r="3050" spans="1:5" ht="15.75" customHeight="1" x14ac:dyDescent="0.25">
      <c r="A3050" s="1" t="s">
        <v>6099</v>
      </c>
      <c r="B3050" s="1">
        <v>101336</v>
      </c>
      <c r="C3050" s="3">
        <v>43927.909745370373</v>
      </c>
      <c r="D3050" s="1" t="s">
        <v>6100</v>
      </c>
      <c r="E3050" s="4" t="str">
        <f ca="1">IFERROR(__xludf.DUMMYFUNCTION("GOOGLETRANSLATE(A3050 , ""tr"" , ""en"")"),"The videos are the measures taken against the coronavirse are showing the day on the basis of Europe. We are the earliest area of ​​measures in European countries. If we succeed in isolation, we can fully use the advantage of the early measure. https://t."&amp;"co/l9lefwqjgt")</f>
        <v>The videos are the measures taken against the coronavirse are showing the day on the basis of Europe. We are the earliest area of ​​measures in European countries. If we succeed in isolation, we can fully use the advantage of the early measure. https://t.co/l9lefwqjgt</v>
      </c>
    </row>
    <row r="3051" spans="1:5" ht="15.75" customHeight="1" x14ac:dyDescent="0.25">
      <c r="A3051" s="1" t="s">
        <v>6101</v>
      </c>
      <c r="B3051" s="1">
        <v>60709</v>
      </c>
      <c r="C3051" s="3">
        <v>43927.715428240743</v>
      </c>
      <c r="D3051" s="1" t="s">
        <v>6102</v>
      </c>
      <c r="E3051" s="4" t="str">
        <f ca="1">IFERROR(__xludf.DUMMYFUNCTION("GOOGLETRANSLATE(A3051 , ""tr"" , ""en"")"),"Anatolia Agency was established by Mustafa Kemal Pasha, with the proposal of our two illumiests in the forefront of National Struggle, 100 years ago, was founded by Mustafa Kemal Pasha. It takes a similar task in the 100th year of its establishment. We ce"&amp;"lebrate from the heart. https://t.co/j7ledyjcxa")</f>
        <v>Anatolia Agency was established by Mustafa Kemal Pasha, with the proposal of our two illumiests in the forefront of National Struggle, 100 years ago, was founded by Mustafa Kemal Pasha. It takes a similar task in the 100th year of its establishment. We celebrate from the heart. https://t.co/j7ledyjcxa</v>
      </c>
    </row>
    <row r="3052" spans="1:5" ht="15.75" customHeight="1" x14ac:dyDescent="0.25">
      <c r="A3052" s="1" t="s">
        <v>6103</v>
      </c>
      <c r="B3052" s="1">
        <v>99178</v>
      </c>
      <c r="C3052" s="3">
        <v>43927.698518518519</v>
      </c>
      <c r="D3052" s="1" t="s">
        <v>6104</v>
      </c>
      <c r="E3052" s="4" t="str">
        <f ca="1">IFERROR(__xludf.DUMMYFUNCTION("GOOGLETRANSLATE(A3052 , ""tr"" , ""en"")"),"Our daily test count will soon find 30,000. The rate of increase in our healing patients continues. According to the increased number of tests, the increase in the number of cases is low. The virus receives its power from the contact environment. Let's no"&amp;"t recognize this opportunity to the virus. Let's stay at home.
https://t.co/rvlhe7786o https://t.co/wqtaifsnf2")</f>
        <v>Our daily test count will soon find 30,000. The rate of increase in our healing patients continues. According to the increased number of tests, the increase in the number of cases is low. The virus receives its power from the contact environment. Let's not recognize this opportunity to the virus. Let's stay at home.
https://t.co/rvlhe7786o https://t.co/wqtaifsnf2</v>
      </c>
    </row>
    <row r="3053" spans="1:5" ht="15.75" customHeight="1" x14ac:dyDescent="0.25">
      <c r="A3053" s="1" t="s">
        <v>6105</v>
      </c>
      <c r="B3053" s="1">
        <v>0</v>
      </c>
      <c r="C3053" s="3">
        <v>43927.687094907407</v>
      </c>
      <c r="D3053" s="1" t="s">
        <v>6106</v>
      </c>
      <c r="E3053" s="4" t="str">
        <f ca="1">IFERROR(__xludf.DUMMYFUNCTION("GOOGLETRANSLATE(A3053 , ""tr"" , ""en"")"),"RT @rterdogan: Shouting to Nation After Cabinet Meeting https://t.co/g6kzrgtady")</f>
        <v>RT @rterdogan: Shouting to Nation After Cabinet Meeting https://t.co/g6kzrgtady</v>
      </c>
    </row>
    <row r="3054" spans="1:5" ht="15.75" customHeight="1" x14ac:dyDescent="0.25">
      <c r="A3054" s="1" t="s">
        <v>6107</v>
      </c>
      <c r="B3054" s="1">
        <v>73813</v>
      </c>
      <c r="C3054" s="3">
        <v>43926.968888888892</v>
      </c>
      <c r="D3054" s="1" t="s">
        <v>6108</v>
      </c>
      <c r="E3054" s="4" t="str">
        <f ca="1">IFERROR(__xludf.DUMMYFUNCTION("GOOGLETRANSLATE(A3054 , ""tr"" , ""en"")"),"The most common COVID-19 cases were most common to Istanbul with the officials of the Provincial Health Directorate of Health Directorate, public and university hospitals. With the condition of the patients, we addressed the occupancy rate of intensive ca"&amp;"re and services, treatment protocols and needs. https://t.co/blzkyxxops")</f>
        <v>The most common COVID-19 cases were most common to Istanbul with the officials of the Provincial Health Directorate of Health Directorate, public and university hospitals. With the condition of the patients, we addressed the occupancy rate of intensive care and services, treatment protocols and needs. https://t.co/blzkyxxops</v>
      </c>
    </row>
    <row r="3055" spans="1:5" ht="15.75" customHeight="1" x14ac:dyDescent="0.25">
      <c r="A3055" s="1" t="s">
        <v>6109</v>
      </c>
      <c r="B3055" s="1">
        <v>0</v>
      </c>
      <c r="C3055" s="3">
        <v>43926.750983796293</v>
      </c>
      <c r="D3055" s="1" t="s">
        <v>6110</v>
      </c>
      <c r="E3055" s="4" t="str">
        <f ca="1">IFERROR(__xludf.DUMMYFUNCTION("GOOGLETRANSLATE(A3055 , ""tr"" , ""en"")"),"RT @fahrettinaltun: With the instruction of the President @ RterDogan, the Ministry of Health and Transportation Infrastructure is 20-65 years old in the coordination of the Ministry of Infrastructure ...")</f>
        <v>RT @fahrettinaltun: With the instruction of the President @ RterDogan, the Ministry of Health and Transportation Infrastructure is 20-65 years old in the coordination of the Ministry of Infrastructure ...</v>
      </c>
    </row>
    <row r="3056" spans="1:5" ht="15.75" customHeight="1" x14ac:dyDescent="0.25">
      <c r="A3056" s="1" t="s">
        <v>6111</v>
      </c>
      <c r="B3056" s="1">
        <v>124440</v>
      </c>
      <c r="C3056" s="3">
        <v>43926.708275462966</v>
      </c>
      <c r="D3056" s="1" t="s">
        <v>6112</v>
      </c>
      <c r="E3056" s="4" t="str">
        <f ca="1">IFERROR(__xludf.DUMMYFUNCTION("GOOGLETRANSLATE(A3056 , ""tr"" , ""en"")"),"We exceeded 20,000 in the test number. Our total number of patients recovering has passed 1,000. The virus receives its power from the contact environment. Let's not recognize this opportunity to the virus. Let's stay at home. I thank the young people who"&amp;" are examples of everyone with their behavior in new application.
https://t.co/rvlhe7786o https://t.co/anu01vzpu8")</f>
        <v>We exceeded 20,000 in the test number. Our total number of patients recovering has passed 1,000. The virus receives its power from the contact environment. Let's not recognize this opportunity to the virus. Let's stay at home. I thank the young people who are examples of everyone with their behavior in new application.
https://t.co/rvlhe7786o https://t.co/anu01vzpu8</v>
      </c>
    </row>
    <row r="3057" spans="1:5" ht="15.75" customHeight="1" x14ac:dyDescent="0.25">
      <c r="A3057" s="1" t="s">
        <v>6113</v>
      </c>
      <c r="B3057" s="1">
        <v>230949</v>
      </c>
      <c r="C3057" s="3">
        <v>43925.780011574076</v>
      </c>
      <c r="D3057" s="1" t="s">
        <v>6114</v>
      </c>
      <c r="E3057" s="4" t="str">
        <f ca="1">IFERROR(__xludf.DUMMYFUNCTION("GOOGLETRANSLATE(A3057 , ""tr"" , ""en"")"),"I would like to thank our kids to our young people with their behavior in the practice that is brought to 20 years of age and under the street. If we are patient, we are going to our moving days early.")</f>
        <v>I would like to thank our kids to our young people with their behavior in the practice that is brought to 20 years of age and under the street. If we are patient, we are going to our moving days early.</v>
      </c>
    </row>
    <row r="3058" spans="1:5" ht="15.75" customHeight="1" x14ac:dyDescent="0.25">
      <c r="A3058" s="1" t="s">
        <v>6115</v>
      </c>
      <c r="B3058" s="1">
        <v>113446</v>
      </c>
      <c r="C3058" s="3">
        <v>43925.722129629627</v>
      </c>
      <c r="D3058" s="1" t="s">
        <v>6116</v>
      </c>
      <c r="E3058" s="4" t="str">
        <f ca="1">IFERROR(__xludf.DUMMYFUNCTION("GOOGLETRANSLATE(A3058 , ""tr"" , ""en"")"),"12.18% of the 161.380 tests to date has occurred in the last 24 hours. There was a significant increase in our healing patients. Our recovering patients with a total of 484 yesterday reached 786 today. Receives the virus power from the contact environment"&amp;". Let's not recognize this opportunity to the virus.
https://t.co/rvlhe7786o https://t.co/hhc6gg5nrn")</f>
        <v>12.18% of the 161.380 tests to date has occurred in the last 24 hours. There was a significant increase in our healing patients. Our recovering patients with a total of 484 yesterday reached 786 today. Receives the virus power from the contact environment. Let's not recognize this opportunity to the virus.
https://t.co/rvlhe7786o https://t.co/hhc6gg5nrn</v>
      </c>
    </row>
    <row r="3059" spans="1:5" ht="15.75" customHeight="1" x14ac:dyDescent="0.25">
      <c r="A3059" s="1" t="s">
        <v>6117</v>
      </c>
      <c r="B3059" s="1">
        <v>43170</v>
      </c>
      <c r="C3059" s="3">
        <v>43924.902731481481</v>
      </c>
      <c r="D3059" s="1" t="s">
        <v>6118</v>
      </c>
      <c r="E3059" s="4" t="str">
        <f ca="1">IFERROR(__xludf.DUMMYFUNCTION("GOOGLETRANSLATE(A3059 , ""tr"" , ""en"")"),"We have a chance that the treatment from China will benefit larger use in the previous stages of treatment, including pre-dense care. The application was also determined in this way. https://t.co/esmrsdqjnj")</f>
        <v>We have a chance that the treatment from China will benefit larger use in the previous stages of treatment, including pre-dense care. The application was also determined in this way. https://t.co/esmrsdqjnj</v>
      </c>
    </row>
    <row r="3060" spans="1:5" ht="15.75" customHeight="1" x14ac:dyDescent="0.25">
      <c r="A3060" s="1" t="s">
        <v>6119</v>
      </c>
      <c r="B3060" s="1">
        <v>41125</v>
      </c>
      <c r="C3060" s="3">
        <v>43924.891863425924</v>
      </c>
      <c r="D3060" s="1" t="s">
        <v>6120</v>
      </c>
      <c r="E3060" s="4" t="str">
        <f ca="1">IFERROR(__xludf.DUMMYFUNCTION("GOOGLETRANSLATE(A3060 , ""tr"" , ""en"")"),"Although we do so much call on social isolation, I don't think we are successful enough. Inter-cities Mobility is needed more restrictive measures. The street mobility in our large cities, especially in Istanbul, was unfortunately unfortunately held the e"&amp;"xpected level. https://t.co/ktoeu8eevp")</f>
        <v>Although we do so much call on social isolation, I don't think we are successful enough. Inter-cities Mobility is needed more restrictive measures. The street mobility in our large cities, especially in Istanbul, was unfortunately unfortunately held the expected level. https://t.co/ktoeu8eevp</v>
      </c>
    </row>
    <row r="3061" spans="1:5" ht="15.75" customHeight="1" x14ac:dyDescent="0.25">
      <c r="A3061" s="1" t="s">
        <v>6121</v>
      </c>
      <c r="B3061" s="1">
        <v>40177</v>
      </c>
      <c r="C3061" s="3">
        <v>43924.880960648145</v>
      </c>
      <c r="D3061" s="1" t="s">
        <v>6122</v>
      </c>
      <c r="E3061" s="4" t="str">
        <f ca="1">IFERROR(__xludf.DUMMYFUNCTION("GOOGLETRANSLATE(A3061 , ""tr"" , ""en"")"),"In the coming days, we will address the release and measures from very different aspects, similar to the Science Board, similar to the nature of a second science board. In this Board, the psychological, sociological, statistical, statistical, statistical,"&amp;" statistical. We will call new approaches. https://t.co/vozsrgwec6")</f>
        <v>In the coming days, we will address the release and measures from very different aspects, similar to the Science Board, similar to the nature of a second science board. In this Board, the psychological, sociological, statistical, statistical, statistical, statistical. We will call new approaches. https://t.co/vozsrgwec6</v>
      </c>
    </row>
    <row r="3062" spans="1:5" ht="15.75" customHeight="1" x14ac:dyDescent="0.25">
      <c r="A3062" s="1" t="s">
        <v>6123</v>
      </c>
      <c r="B3062" s="1">
        <v>32559</v>
      </c>
      <c r="C3062" s="3">
        <v>43924.870578703703</v>
      </c>
      <c r="D3062" s="1" t="s">
        <v>6124</v>
      </c>
      <c r="E3062" s="4" t="str">
        <f ca="1">IFERROR(__xludf.DUMMYFUNCTION("GOOGLETRANSLATE(A3062 , ""tr"" , ""en"")"),"If contact and social mobility is not reduced we cannot achieve success. I would like to make sure our youth will understand us: Our science board decided to recommend the mobility, which is restricted in the place where the outbreak is at risk. https://t"&amp;".co/lmo4khanvr")</f>
        <v>If contact and social mobility is not reduced we cannot achieve success. I would like to make sure our youth will understand us: Our science board decided to recommend the mobility, which is restricted in the place where the outbreak is at risk. https://t.co/lmo4khanvr</v>
      </c>
    </row>
    <row r="3063" spans="1:5" ht="15.75" customHeight="1" x14ac:dyDescent="0.25">
      <c r="A3063" s="1" t="s">
        <v>6125</v>
      </c>
      <c r="B3063" s="1">
        <v>164732</v>
      </c>
      <c r="C3063" s="3">
        <v>43924.859224537038</v>
      </c>
      <c r="D3063" s="1" t="s">
        <v>6126</v>
      </c>
      <c r="E3063" s="4" t="str">
        <f ca="1">IFERROR(__xludf.DUMMYFUNCTION("GOOGLETRANSLATE(A3063 , ""tr"" , ""en"")"),"We have undergone our Cemil teacher on Thursday. Will live with their students and scientific work to watch his way. The name was granted to our study and research hospital. The name of our hospital is now. Dr. Cemil Tasçıoğlu City Hospital. You're always"&amp;" nominated with good.")</f>
        <v>We have undergone our Cemil teacher on Thursday. Will live with their students and scientific work to watch his way. The name was granted to our study and research hospital. The name of our hospital is now. Dr. Cemil Tasçıoğlu City Hospital. You're always nominated with good.</v>
      </c>
    </row>
    <row r="3064" spans="1:5" ht="15.75" customHeight="1" x14ac:dyDescent="0.25">
      <c r="A3064" s="1" t="s">
        <v>6127</v>
      </c>
      <c r="B3064" s="1">
        <v>0</v>
      </c>
      <c r="C3064" s="3">
        <v>43924.727222222224</v>
      </c>
      <c r="D3064" s="1" t="s">
        <v>6128</v>
      </c>
      <c r="E3064" s="4" t="str">
        <f ca="1">IFERROR(__xludf.DUMMYFUNCTION("GOOGLETRANSLATE(A3064 , ""tr"" , ""en"")"),"RT @rterdogan: Press release https://t.co/gwvbls3dwe")</f>
        <v>RT @rterdogan: Press release https://t.co/gwvbls3dwe</v>
      </c>
    </row>
    <row r="3065" spans="1:5" ht="15.75" customHeight="1" x14ac:dyDescent="0.25">
      <c r="A3065" s="1" t="s">
        <v>6129</v>
      </c>
      <c r="B3065" s="1">
        <v>79675</v>
      </c>
      <c r="C3065" s="3">
        <v>43924.687777777777</v>
      </c>
      <c r="D3065" s="1" t="s">
        <v>6130</v>
      </c>
      <c r="E3065" s="4" t="str">
        <f ca="1">IFERROR(__xludf.DUMMYFUNCTION("GOOGLETRANSLATE(A3065 , ""tr"" , ""en"")"),"We have more than 69 patients recovering. Our lost count is less than yesterday. The whole table is the whole, tells us: we should not be in contact, we must put a distance, isolate ourselves. We can stop the spread of the virus by applying measures
🔍 h"&amp;"ttps://t.co/rvlhe7786o https://t.co/I2ph5la906")</f>
        <v>We have more than 69 patients recovering. Our lost count is less than yesterday. The whole table is the whole, tells us: we should not be in contact, we must put a distance, isolate ourselves. We can stop the spread of the virus by applying measures
🔍 https://t.co/rvlhe7786o https://t.co/I2ph5la906</v>
      </c>
    </row>
    <row r="3066" spans="1:5" ht="15.75" customHeight="1" x14ac:dyDescent="0.25">
      <c r="A3066" s="1" t="s">
        <v>6131</v>
      </c>
      <c r="B3066" s="1">
        <v>27481</v>
      </c>
      <c r="C3066" s="3">
        <v>43924.68645833333</v>
      </c>
      <c r="D3066" s="1" t="s">
        <v>6132</v>
      </c>
      <c r="E3066" s="4" t="str">
        <f ca="1">IFERROR(__xludf.DUMMYFUNCTION("GOOGLETRANSLATE(A3066 , ""tr"" , ""en"")"),"After our Science Board meeting, the latest developments on the coronavirus and the new measures we receive.
📍 The Ministry of Health Bilkent Campus / Ankara https://t.co/wngMII0ZSB")</f>
        <v>After our Science Board meeting, the latest developments on the coronavirus and the new measures we receive.
📍 The Ministry of Health Bilkent Campus / Ankara https://t.co/wngMII0ZSB</v>
      </c>
    </row>
    <row r="3067" spans="1:5" ht="15.75" customHeight="1" x14ac:dyDescent="0.25">
      <c r="A3067" s="1" t="s">
        <v>6133</v>
      </c>
      <c r="B3067" s="1">
        <v>50486</v>
      </c>
      <c r="C3067" s="3">
        <v>43923.803136574075</v>
      </c>
      <c r="D3067" s="1" t="s">
        <v>6134</v>
      </c>
      <c r="E3067" s="4" t="str">
        <f ca="1">IFERROR(__xludf.DUMMYFUNCTION("GOOGLETRANSLATE(A3067 , ""tr"" , ""en"")"),"The World Health Organization is European Regional Director. We made a teleconference call with Hans Kluge. We stated that pandemic policies should be reviewed in Europe. SN. Kluge, data sharing, DSO has found that Turkey has found unique applications. ht"&amp;"tps://t.co/ZICLJLGIYV")</f>
        <v>The World Health Organization is European Regional Director. We made a teleconference call with Hans Kluge. We stated that pandemic policies should be reviewed in Europe. SN. Kluge, data sharing, DSO has found that Turkey has found unique applications. https://t.co/ZICLJLGIYV</v>
      </c>
    </row>
    <row r="3068" spans="1:5" ht="15.75" customHeight="1" x14ac:dyDescent="0.25">
      <c r="A3068" s="1" t="s">
        <v>6135</v>
      </c>
      <c r="B3068" s="1">
        <v>95790</v>
      </c>
      <c r="C3068" s="3">
        <v>43923.686493055553</v>
      </c>
      <c r="D3068" s="1" t="s">
        <v>6136</v>
      </c>
      <c r="E3068" s="4" t="str">
        <f ca="1">IFERROR(__xludf.DUMMYFUNCTION("GOOGLETRANSLATE(A3068 , ""tr"" , ""en"")"),"Our test count has increased above 4,000 by yesterday. The number of positive cases compared to the number of tests decreased. We have 82 new patients recovering. There are 82% of the patients who lost in the last 24 hours are still remarkable.
🔍 https:"&amp;"//t.co/rvlhe7786o https://t.co/hq1wsittyq")</f>
        <v>Our test count has increased above 4,000 by yesterday. The number of positive cases compared to the number of tests decreased. We have 82 new patients recovering. There are 82% of the patients who lost in the last 24 hours are still remarkable.
🔍 https://t.co/rvlhe7786o https://t.co/hq1wsittyq</v>
      </c>
    </row>
    <row r="3069" spans="1:5" ht="15.75" customHeight="1" x14ac:dyDescent="0.25">
      <c r="A3069" s="1" t="s">
        <v>6137</v>
      </c>
      <c r="B3069" s="1">
        <v>162729</v>
      </c>
      <c r="C3069" s="3">
        <v>43923.652777777781</v>
      </c>
      <c r="D3069" s="1" t="s">
        <v>6138</v>
      </c>
      <c r="E3069" s="4" t="str">
        <f ca="1">IFERROR(__xludf.DUMMYFUNCTION("GOOGLETRANSLATE(A3069 , ""tr"" , ""en"")"),"COVID-19 took a lot of physicians took our teacher from us. Cerrahpaşa Faculty of Medical Faculty of Retire faculty professors Dr. We lost Feriha Öz. I wish herself mercy from Allah. May his family be right on the head of our medical community.")</f>
        <v>COVID-19 took a lot of physicians took our teacher from us. Cerrahpaşa Faculty of Medical Faculty of Retire faculty professors Dr. We lost Feriha Öz. I wish herself mercy from Allah. May his family be right on the head of our medical community.</v>
      </c>
    </row>
    <row r="3070" spans="1:5" ht="15.75" customHeight="1" x14ac:dyDescent="0.25">
      <c r="A3070" s="1" t="s">
        <v>6139</v>
      </c>
      <c r="B3070" s="1">
        <v>36199</v>
      </c>
      <c r="C3070" s="3">
        <v>43923.362893518519</v>
      </c>
      <c r="D3070" s="1" t="s">
        <v>6140</v>
      </c>
      <c r="E3070" s="4" t="str">
        <f ca="1">IFERROR(__xludf.DUMMYFUNCTION("GOOGLETRANSLATE(A3070 , ""tr"" , ""en"")"),"The rate of death in our cases is 1.58%. This rate is lower than the rate in many countries. The rate, which is low in countries such as Germany, South Korea, showed increases in recent days. We can lose new lives, but we will try to insist on attracting "&amp;"this rate below 1.58%. https://t.co/wbajfhgs4o")</f>
        <v>The rate of death in our cases is 1.58%. This rate is lower than the rate in many countries. The rate, which is low in countries such as Germany, South Korea, showed increases in recent days. We can lose new lives, but we will try to insist on attracting this rate below 1.58%. https://t.co/wbajfhgs4o</v>
      </c>
    </row>
    <row r="3071" spans="1:5" ht="15.75" customHeight="1" x14ac:dyDescent="0.25">
      <c r="A3071" s="1" t="s">
        <v>6141</v>
      </c>
      <c r="B3071" s="1">
        <v>47995</v>
      </c>
      <c r="C3071" s="3">
        <v>43923.352233796293</v>
      </c>
      <c r="D3071" s="1" t="s">
        <v>6142</v>
      </c>
      <c r="E3071" s="4" t="str">
        <f ca="1">IFERROR(__xludf.DUMMYFUNCTION("GOOGLETRANSLATE(A3071 , ""tr"" , ""en"")"),"The virus is now in our 81 provinces. We had the fact that we weren't in the case until yesterday. Now there is no city where the virus is not seen. Two new diagnostics changed the table. We have to reduce mobility in all our cities. Staying at home is im"&amp;"portant everywhere without exception. https://t.co/l4rksesya3")</f>
        <v>The virus is now in our 81 provinces. We had the fact that we weren't in the case until yesterday. Now there is no city where the virus is not seen. Two new diagnostics changed the table. We have to reduce mobility in all our cities. Staying at home is important everywhere without exception. https://t.co/l4rksesya3</v>
      </c>
    </row>
    <row r="3072" spans="1:5" ht="15.75" customHeight="1" x14ac:dyDescent="0.25">
      <c r="A3072" s="1" t="s">
        <v>6143</v>
      </c>
      <c r="B3072" s="1">
        <v>33938</v>
      </c>
      <c r="C3072" s="3">
        <v>43923.340011574073</v>
      </c>
      <c r="D3072" s="1" t="s">
        <v>6144</v>
      </c>
      <c r="E3072" s="4" t="str">
        <f ca="1">IFERROR(__xludf.DUMMYFUNCTION("GOOGLETRANSLATE(A3072 , ""tr"" , ""en"")"),"80% of your life losers over 60 years old. 75% had chronic discomfort. For example, 68% were blood pressure patients. 75% of those in intensive care are over 60 years of age, 63% of the blood pressure. We want 60 years of age and the top they don't get ou"&amp;"t of the house. This has obvious causes. https://t.co/sd1wc8dvdl")</f>
        <v>80% of your life losers over 60 years old. 75% had chronic discomfort. For example, 68% were blood pressure patients. 75% of those in intensive care are over 60 years of age, 63% of the blood pressure. We want 60 years of age and the top they don't get out of the house. This has obvious causes. https://t.co/sd1wc8dvdl</v>
      </c>
    </row>
    <row r="3073" spans="1:5" ht="15.75" customHeight="1" x14ac:dyDescent="0.25">
      <c r="A3073" s="1" t="s">
        <v>6145</v>
      </c>
      <c r="B3073" s="1">
        <v>61592</v>
      </c>
      <c r="C3073" s="3">
        <v>43923.328194444446</v>
      </c>
      <c r="D3073" s="1" t="s">
        <v>6146</v>
      </c>
      <c r="E3073" s="4" t="str">
        <f ca="1">IFERROR(__xludf.DUMMYFUNCTION("GOOGLETRANSLATE(A3073 , ""tr"" , ""en"")"),"Scan work proves that the disease spread very easily and rapidly. Let me give an example: a person's virus infected at least 30 people. We have identified these. This person has not been affected by the virus, but led to many pain. It doesn't mean that so"&amp;"meone's healthy look doesn't carry the virus. https://t.co/m07fmh0nBI")</f>
        <v>Scan work proves that the disease spread very easily and rapidly. Let me give an example: a person's virus infected at least 30 people. We have identified these. This person has not been affected by the virus, but led to many pain. It doesn't mean that someone's healthy look doesn't carry the virus. https://t.co/m07fmh0nBI</v>
      </c>
    </row>
    <row r="3074" spans="1:5" ht="15.75" customHeight="1" x14ac:dyDescent="0.25">
      <c r="A3074" s="1" t="s">
        <v>6147</v>
      </c>
      <c r="B3074" s="1">
        <v>43443</v>
      </c>
      <c r="C3074" s="3">
        <v>43922.981388888889</v>
      </c>
      <c r="D3074" s="1" t="s">
        <v>6148</v>
      </c>
      <c r="E3074" s="4" t="str">
        <f ca="1">IFERROR(__xludf.DUMMYFUNCTION("GOOGLETRANSLATE(A3074 , ""tr"" , ""en"")"),"Our daily test count has found 15,000 Will find 25,000 in the coming week. After ten days, the number will reach 30,000. As of now, the test is made at 71 centers. Our test center count will reach 89 in a few days. We also allow all the centers that can d"&amp;"o the test while increasing the number. https://t.co/ta2ssvoguj")</f>
        <v>Our daily test count has found 15,000 Will find 25,000 in the coming week. After ten days, the number will reach 30,000. As of now, the test is made at 71 centers. Our test center count will reach 89 in a few days. We also allow all the centers that can do the test while increasing the number. https://t.co/ta2ssvoguj</v>
      </c>
    </row>
    <row r="3075" spans="1:5" ht="15.75" customHeight="1" x14ac:dyDescent="0.25">
      <c r="A3075" s="1" t="s">
        <v>6149</v>
      </c>
      <c r="B3075" s="1">
        <v>33092</v>
      </c>
      <c r="C3075" s="3">
        <v>43922.970902777779</v>
      </c>
      <c r="D3075" s="1" t="s">
        <v>6150</v>
      </c>
      <c r="E3075" s="4" t="str">
        <f ca="1">IFERROR(__xludf.DUMMYFUNCTION("GOOGLETRANSLATE(A3075 , ""tr"" , ""en"")"),"The whole power of the virus is the opportunity to spread. Let's not recognize this power in this battle. By protecting this your life, you will do it by isolating yourself. If we do not succeed in our losses will increase. In the evening, we will be more"&amp;" upset when the table of the day is over. https://t.co/lom5qkafcp")</f>
        <v>The whole power of the virus is the opportunity to spread. Let's not recognize this power in this battle. By protecting this your life, you will do it by isolating yourself. If we do not succeed in our losses will increase. In the evening, we will be more upset when the table of the day is over. https://t.co/lom5qkafcp</v>
      </c>
    </row>
    <row r="3076" spans="1:5" ht="15.75" customHeight="1" x14ac:dyDescent="0.25">
      <c r="A3076" s="1" t="s">
        <v>6151</v>
      </c>
      <c r="B3076" s="1">
        <v>39913</v>
      </c>
      <c r="C3076" s="3">
        <v>43922.923900462964</v>
      </c>
      <c r="D3076" s="1" t="s">
        <v>6152</v>
      </c>
      <c r="E3076" s="4" t="str">
        <f ca="1">IFERROR(__xludf.DUMMYFUNCTION("GOOGLETRANSLATE(A3076 , ""tr"" , ""en"")"),"We will not be in contact, we will put the distance to the distance, we will isolate ourselves. One of us means serious consequences to concern us all. Our strategy should be fixed life. Our nest is our strength. If the mobility in cities decreases the mo"&amp;"re rapidly we will come. https://t.co/krak4UKQI5")</f>
        <v>We will not be in contact, we will put the distance to the distance, we will isolate ourselves. One of us means serious consequences to concern us all. Our strategy should be fixed life. Our nest is our strength. If the mobility in cities decreases the more rapidly we will come. https://t.co/krak4UKQI5</v>
      </c>
    </row>
    <row r="3077" spans="1:5" ht="15.75" customHeight="1" x14ac:dyDescent="0.25">
      <c r="A3077" s="1" t="s">
        <v>6153</v>
      </c>
      <c r="B3077" s="1">
        <v>125025</v>
      </c>
      <c r="C3077" s="3">
        <v>43922.913344907407</v>
      </c>
      <c r="D3077" s="1" t="s">
        <v>6154</v>
      </c>
      <c r="E3077" s="4" t="str">
        <f ca="1">IFERROR(__xludf.DUMMYFUNCTION("GOOGLETRANSLATE(A3077 , ""tr"" , ""en"")"),"We lost our Cemil Taşçıoğlu teacher. Our healthcare community is sad that our people who know during her disease. It was a physician I'm proud to be friendly. May his family be right in the head of our science world. May Allah mercy. Turkey, this valuable"&amp;" person will be defeated. https://t.co/v35aaaz30o")</f>
        <v>We lost our Cemil Taşçıoğlu teacher. Our healthcare community is sad that our people who know during her disease. It was a physician I'm proud to be friendly. May his family be right in the head of our science world. May Allah mercy. Turkey, this valuable person will be defeated. https://t.co/v35aaaz30o</v>
      </c>
    </row>
    <row r="3078" spans="1:5" ht="15.75" customHeight="1" x14ac:dyDescent="0.25">
      <c r="A3078" s="1" t="s">
        <v>6155</v>
      </c>
      <c r="B3078" s="1">
        <v>81632</v>
      </c>
      <c r="C3078" s="3">
        <v>43922.702638888892</v>
      </c>
      <c r="D3078" s="1" t="s">
        <v>6156</v>
      </c>
      <c r="E3078" s="4" t="str">
        <f ca="1">IFERROR(__xludf.DUMMYFUNCTION("GOOGLETRANSLATE(A3078 , ""tr"" , ""en"")"),"At the end of our Science Board meeting, you can find the daily coronavirus table I explained here and below.
🔍 https://t.co/rvlhe7786o https://t.co/3ycuduhpcd")</f>
        <v>At the end of our Science Board meeting, you can find the daily coronavirus table I explained here and below.
🔍 https://t.co/rvlhe7786o https://t.co/3ycuduhpcd</v>
      </c>
    </row>
    <row r="3079" spans="1:5" ht="15.75" customHeight="1" x14ac:dyDescent="0.25">
      <c r="A3079" s="1" t="s">
        <v>6157</v>
      </c>
      <c r="B3079" s="1">
        <v>35730</v>
      </c>
      <c r="C3079" s="3">
        <v>43922.699363425927</v>
      </c>
      <c r="D3079" s="1" t="s">
        <v>6158</v>
      </c>
      <c r="E3079" s="4" t="str">
        <f ca="1">IFERROR(__xludf.DUMMYFUNCTION("GOOGLETRANSLATE(A3079 , ""tr"" , ""en"")"),"After our Science Board meeting, the latest developments on the coronavirus and the new measures we receive.
Bilkent Campus / Ankara https://t.co/ztupgfcfe4")</f>
        <v>After our Science Board meeting, the latest developments on the coronavirus and the new measures we receive.
Bilkent Campus / Ankara https://t.co/ztupgfcfe4</v>
      </c>
    </row>
    <row r="3080" spans="1:5" ht="15.75" customHeight="1" x14ac:dyDescent="0.25">
      <c r="A3080" s="1" t="s">
        <v>6159</v>
      </c>
      <c r="B3080" s="1">
        <v>100325</v>
      </c>
      <c r="C3080" s="3">
        <v>43921.702499999999</v>
      </c>
      <c r="D3080" s="1" t="s">
        <v>6160</v>
      </c>
      <c r="E3080" s="4" t="str">
        <f ca="1">IFERROR(__xludf.DUMMYFUNCTION("GOOGLETRANSLATE(A3080 , ""tr"" , ""en"")"),"Our test count increased by 25.2% compared to yesterday. Our test center count reached 75. We are faster and advantageous in determining positive cases. Let's not compromise social isolation. Contact = risk. Please let's not forget.
🔍 https://t.co/rvlhe"&amp;"7786o https://t.co/qvrmr5fksl")</f>
        <v>Our test count increased by 25.2% compared to yesterday. Our test center count reached 75. We are faster and advantageous in determining positive cases. Let's not compromise social isolation. Contact = risk. Please let's not forget.
🔍 https://t.co/rvlhe7786o https://t.co/qvrmr5fksl</v>
      </c>
    </row>
    <row r="3081" spans="1:5" ht="15.75" customHeight="1" x14ac:dyDescent="0.25">
      <c r="A3081" s="1" t="s">
        <v>6161</v>
      </c>
      <c r="B3081" s="1">
        <v>65059</v>
      </c>
      <c r="C3081" s="3">
        <v>43921.351388888892</v>
      </c>
      <c r="D3081" s="1" t="s">
        <v>6162</v>
      </c>
      <c r="E3081" s="4" t="str">
        <f ca="1">IFERROR(__xludf.DUMMYFUNCTION("GOOGLETRANSLATE(A3081 , ""tr"" , ""en"")"),"Against the coronavirus we are all unequivocal conditions.
Please support those who need financial support.
#Bizyeyeterisquinturkiyem https://t.co/nvj5z04qhl")</f>
        <v>Against the coronavirus we are all unequivocal conditions.
Please support those who need financial support.
#Bizyeyeterisquinturkiyem https://t.co/nvj5z04qhl</v>
      </c>
    </row>
    <row r="3082" spans="1:5" ht="15.75" customHeight="1" x14ac:dyDescent="0.25">
      <c r="A3082" s="1" t="s">
        <v>6163</v>
      </c>
      <c r="B3082" s="1">
        <v>36325</v>
      </c>
      <c r="C3082" s="3">
        <v>43921.31355324074</v>
      </c>
      <c r="D3082" s="1" t="s">
        <v>6164</v>
      </c>
      <c r="E3082" s="4" t="str">
        <f ca="1">IFERROR(__xludf.DUMMYFUNCTION("GOOGLETRANSLATE(A3082 , ""tr"" , ""en"")"),"Yesterday, Istanbul Okmeydanı The first stage of our city hospital has opened the service. Our Kartal City Hospital has been previously opened to service. In September, we are opening in September. With our new city hospitals, our bed capacity in Istanbul"&amp;" is increasing 5.452 in total. https://t.co/kkn0z9j0b2")</f>
        <v>Yesterday, Istanbul Okmeydanı The first stage of our city hospital has opened the service. Our Kartal City Hospital has been previously opened to service. In September, we are opening in September. With our new city hospitals, our bed capacity in Istanbul is increasing 5.452 in total. https://t.co/kkn0z9j0b2</v>
      </c>
    </row>
    <row r="3083" spans="1:5" ht="15.75" customHeight="1" x14ac:dyDescent="0.25">
      <c r="A3083" s="1" t="s">
        <v>6165</v>
      </c>
      <c r="B3083" s="1">
        <v>0</v>
      </c>
      <c r="C3083" s="3">
        <v>43920.751215277778</v>
      </c>
      <c r="D3083" s="1" t="s">
        <v>6166</v>
      </c>
      <c r="E3083" s="4" t="str">
        <f ca="1">IFERROR(__xludf.DUMMYFUNCTION("GOOGLETRANSLATE(A3083 , ""tr"" , ""en"")"),"RT @rterdogan: Shouting Nation after Cabinet Meeting https://t.co/wbhjbcm8b4")</f>
        <v>RT @rterdogan: Shouting Nation after Cabinet Meeting https://t.co/wbhjbcm8b4</v>
      </c>
    </row>
    <row r="3084" spans="1:5" ht="15.75" customHeight="1" x14ac:dyDescent="0.25">
      <c r="A3084" s="1" t="s">
        <v>6167</v>
      </c>
      <c r="B3084" s="1">
        <v>96118</v>
      </c>
      <c r="C3084" s="3">
        <v>43920.66815972222</v>
      </c>
      <c r="D3084" s="1" t="s">
        <v>6168</v>
      </c>
      <c r="E3084" s="4" t="str">
        <f ca="1">IFERROR(__xludf.DUMMYFUNCTION("GOOGLETRANSLATE(A3084 , ""tr"" , ""en"")"),"You can find the current coronavirus table in our country where I share here and below.
🔍 https://t.co/rvlhe7786o https://t.co/DJX0NPTFI1")</f>
        <v>You can find the current coronavirus table in our country where I share here and below.
🔍 https://t.co/rvlhe7786o https://t.co/DJX0NPTFI1</v>
      </c>
    </row>
    <row r="3085" spans="1:5" ht="15.75" customHeight="1" x14ac:dyDescent="0.25">
      <c r="A3085" s="1" t="s">
        <v>6169</v>
      </c>
      <c r="B3085" s="1">
        <v>95279</v>
      </c>
      <c r="C3085" s="3">
        <v>43920.612314814818</v>
      </c>
      <c r="D3085" s="1" t="s">
        <v>6170</v>
      </c>
      <c r="E3085" s="4" t="str">
        <f ca="1">IFERROR(__xludf.DUMMYFUNCTION("GOOGLETRANSLATE(A3085 , ""tr"" , ""en"")"),"We have carried our service capacity a step further in these days that we give an important examination in the field of health. We have opened the first stage of 600 beds with the Okmeydan training and research hospital, which will serve our patients with"&amp;" coronavirus patients. May our nation be auspicious. https://t.co/q4vszcx48e")</f>
        <v>We have carried our service capacity a step further in these days that we give an important examination in the field of health. We have opened the first stage of 600 beds with the Okmeydan training and research hospital, which will serve our patients with coronavirus patients. May our nation be auspicious. https://t.co/q4vszcx48e</v>
      </c>
    </row>
    <row r="3086" spans="1:5" ht="15.75" customHeight="1" x14ac:dyDescent="0.25">
      <c r="A3086" s="1" t="s">
        <v>6171</v>
      </c>
      <c r="B3086" s="1">
        <v>154814</v>
      </c>
      <c r="C3086" s="3">
        <v>43919.958993055552</v>
      </c>
      <c r="D3086" s="1" t="s">
        <v>6172</v>
      </c>
      <c r="E3086" s="4" t="str">
        <f ca="1">IFERROR(__xludf.DUMMYFUNCTION("GOOGLETRANSLATE(A3086 , ""tr"" , ""en"")"),"The allegations that are involved in the data we explained in the social media are completely unsubstantiated. The numerical data described are based on evidence. Directly based on the diagnosis of Covid-19. Data are instantual real data. There is no bene"&amp;"fit of anyone distorting the facts.")</f>
        <v>The allegations that are involved in the data we explained in the social media are completely unsubstantiated. The numerical data described are based on evidence. Directly based on the diagnosis of Covid-19. Data are instantual real data. There is no benefit of anyone distorting the facts.</v>
      </c>
    </row>
    <row r="3087" spans="1:5" ht="15.75" customHeight="1" x14ac:dyDescent="0.25">
      <c r="A3087" s="1" t="s">
        <v>6173</v>
      </c>
      <c r="B3087" s="1">
        <v>153407</v>
      </c>
      <c r="C3087" s="3">
        <v>43919.882569444446</v>
      </c>
      <c r="D3087" s="1" t="s">
        <v>6174</v>
      </c>
      <c r="E3087" s="4" t="str">
        <f ca="1">IFERROR(__xludf.DUMMYFUNCTION("GOOGLETRANSLATE(A3087 , ""tr"" , ""en"")"),"Be right in Turkey.
Let's spend tomorrow by fitting on measures. https://t.co/pdd4cc0Ipb")</f>
        <v>Be right in Turkey.
Let's spend tomorrow by fitting on measures. https://t.co/pdd4cc0Ipb</v>
      </c>
    </row>
    <row r="3088" spans="1:5" ht="15.75" customHeight="1" x14ac:dyDescent="0.25">
      <c r="A3088" s="1" t="s">
        <v>6175</v>
      </c>
      <c r="B3088" s="1">
        <v>104645</v>
      </c>
      <c r="C3088" s="3">
        <v>43919.6721875</v>
      </c>
      <c r="D3088" s="1" t="s">
        <v>6176</v>
      </c>
      <c r="E3088" s="4" t="str">
        <f ca="1">IFERROR(__xludf.DUMMYFUNCTION("GOOGLETRANSLATE(A3088 , ""tr"" , ""en"")"),"Turkey's daily Koronavirus table, each evening with renewed data, you can see below and you can see here
🔍 https://t.co/rvlhe7786o https://t.co/r4gxypd6kj")</f>
        <v>Turkey's daily Koronavirus table, each evening with renewed data, you can see below and you can see here
🔍 https://t.co/rvlhe7786o https://t.co/r4gxypd6kj</v>
      </c>
    </row>
    <row r="3089" spans="1:5" ht="15.75" customHeight="1" x14ac:dyDescent="0.25">
      <c r="A3089" s="1" t="s">
        <v>6177</v>
      </c>
      <c r="B3089" s="1">
        <v>196571</v>
      </c>
      <c r="C3089" s="3">
        <v>43918.843935185185</v>
      </c>
      <c r="D3089" s="1" t="s">
        <v>6178</v>
      </c>
      <c r="E3089" s="4" t="str">
        <f ca="1">IFERROR(__xludf.DUMMYFUNCTION("GOOGLETRANSLATE(A3089 , ""tr"" , ""en"")"),"I would like to thank our people in your house by fitting the measures. We started very well. Let's continue with the same seriousness. https://t.co/tsqayrsogd")</f>
        <v>I would like to thank our people in your house by fitting the measures. We started very well. Let's continue with the same seriousness. https://t.co/tsqayrsogd</v>
      </c>
    </row>
    <row r="3090" spans="1:5" ht="15.75" customHeight="1" x14ac:dyDescent="0.25">
      <c r="A3090" s="1" t="s">
        <v>6179</v>
      </c>
      <c r="B3090" s="1">
        <v>59776</v>
      </c>
      <c r="C3090" s="3">
        <v>43918.720092592594</v>
      </c>
      <c r="D3090" s="1" t="s">
        <v>6180</v>
      </c>
      <c r="E3090" s="4" t="str">
        <f ca="1">IFERROR(__xludf.DUMMYFUNCTION("GOOGLETRANSLATE(A3090 , ""tr"" , ""en"")"),"Everyone should pretend to carry the virus itself. Should limit the theme of others to this assumption. In this period, the Mertebe should be isolated at home. https://t.co/tbz4wyqwe5")</f>
        <v>Everyone should pretend to carry the virus itself. Should limit the theme of others to this assumption. In this period, the Mertebe should be isolated at home. https://t.co/tbz4wyqwe5</v>
      </c>
    </row>
    <row r="3091" spans="1:5" ht="15.75" customHeight="1" x14ac:dyDescent="0.25">
      <c r="A3091" s="1" t="s">
        <v>6181</v>
      </c>
      <c r="B3091" s="1">
        <v>54025</v>
      </c>
      <c r="C3091" s="3">
        <v>43918.716585648152</v>
      </c>
      <c r="D3091" s="1" t="s">
        <v>6182</v>
      </c>
      <c r="E3091" s="4" t="str">
        <f ca="1">IFERROR(__xludf.DUMMYFUNCTION("GOOGLETRANSLATE(A3091 , ""tr"" , ""en"")"),"A new method of struggle is now in life. I believe we will cut the front of the illness. It will facilitate our people to comply with the measures taken, to overcome the work. https://t.co/pxpqfkc5pv")</f>
        <v>A new method of struggle is now in life. I believe we will cut the front of the illness. It will facilitate our people to comply with the measures taken, to overcome the work. https://t.co/pxpqfkc5pv</v>
      </c>
    </row>
    <row r="3092" spans="1:5" ht="15.75" customHeight="1" x14ac:dyDescent="0.25">
      <c r="A3092" s="1" t="s">
        <v>6183</v>
      </c>
      <c r="B3092" s="1">
        <v>46687</v>
      </c>
      <c r="C3092" s="3">
        <v>43918.712326388886</v>
      </c>
      <c r="D3092" s="1" t="s">
        <v>6184</v>
      </c>
      <c r="E3092" s="4" t="str">
        <f ca="1">IFERROR(__xludf.DUMMYFUNCTION("GOOGLETRANSLATE(A3092 , ""tr"" , ""en"")"),"We made the most important meeting of the process with our science board. The approach we developed has been: The disease should be isolated within the limits, social mobility should be lowest. The measure we suggest for 83 million is a life style confine"&amp;"d. https://t.co/uoe9qfjm9x")</f>
        <v>We made the most important meeting of the process with our science board. The approach we developed has been: The disease should be isolated within the limits, social mobility should be lowest. The measure we suggest for 83 million is a life style confined. https://t.co/uoe9qfjm9x</v>
      </c>
    </row>
    <row r="3093" spans="1:5" ht="15.75" customHeight="1" x14ac:dyDescent="0.25">
      <c r="A3093" s="1" t="s">
        <v>6185</v>
      </c>
      <c r="B3093" s="1">
        <v>91842</v>
      </c>
      <c r="C3093" s="3">
        <v>43918.698472222219</v>
      </c>
      <c r="D3093" s="1" t="s">
        <v>6186</v>
      </c>
      <c r="E3093" s="4" t="str">
        <f ca="1">IFERROR(__xludf.DUMMYFUNCTION("GOOGLETRANSLATE(A3093 , ""tr"" , ""en"")"),"Turkey's daily coronavirus table, you can see here every evening with renewed data and shared below. True and detailed information in these two sources.
🔍 https://t.co/rvlhe7786o https://t.co/dgcxpksnms")</f>
        <v>Turkey's daily coronavirus table, you can see here every evening with renewed data and shared below. True and detailed information in these two sources.
🔍 https://t.co/rvlhe7786o https://t.co/dgcxpksnms</v>
      </c>
    </row>
    <row r="3094" spans="1:5" ht="15.75" customHeight="1" x14ac:dyDescent="0.25">
      <c r="A3094" s="1" t="s">
        <v>6187</v>
      </c>
      <c r="B3094" s="1">
        <v>65248</v>
      </c>
      <c r="C3094" s="3">
        <v>43917.855266203704</v>
      </c>
      <c r="D3094" s="1" t="s">
        <v>6188</v>
      </c>
      <c r="E3094" s="4" t="str">
        <f ca="1">IFERROR(__xludf.DUMMYFUNCTION("GOOGLETRANSLATE(A3094 , ""tr"" , ""en"")"),"Turkey's daily coronavirus table, each day with detailed data, you can follow the link below.
🔍 https://t.co/rvlhe7786o https://t.co/ab5msaw8ttt")</f>
        <v>Turkey's daily coronavirus table, each day with detailed data, you can follow the link below.
🔍 https://t.co/rvlhe7786o https://t.co/ab5msaw8ttt</v>
      </c>
    </row>
    <row r="3095" spans="1:5" ht="15.75" customHeight="1" x14ac:dyDescent="0.25">
      <c r="A3095" s="1" t="s">
        <v>6189</v>
      </c>
      <c r="B3095" s="1">
        <v>121342</v>
      </c>
      <c r="C3095" s="3">
        <v>43917.832511574074</v>
      </c>
      <c r="D3095" s="1" t="s">
        <v>6190</v>
      </c>
      <c r="E3095" s="4" t="str">
        <f ca="1">IFERROR(__xludf.DUMMYFUNCTION("GOOGLETRANSLATE(A3095 , ""tr"" , ""en"")"),"In our struggle with the coronavir, we entered a period of power that society has gained power. SN. Our President has also evaluated new decisions by evaluating the approximation of our science board. I'm supplying my gratitude to themselves.")</f>
        <v>In our struggle with the coronavir, we entered a period of power that society has gained power. SN. Our President has also evaluated new decisions by evaluating the approximation of our science board. I'm supplying my gratitude to themselves.</v>
      </c>
    </row>
    <row r="3096" spans="1:5" ht="15.75" customHeight="1" x14ac:dyDescent="0.25">
      <c r="A3096" s="1" t="s">
        <v>6191</v>
      </c>
      <c r="B3096" s="1">
        <v>0</v>
      </c>
      <c r="C3096" s="3">
        <v>43917.828020833331</v>
      </c>
      <c r="D3096" s="1" t="s">
        <v>6192</v>
      </c>
      <c r="E3096" s="4" t="str">
        <f ca="1">IFERROR(__xludf.DUMMYFUNCTION("GOOGLETRANSLATE(A3096 , ""tr"" , ""en"")"),"RT @rterdogan: Press release https://t.co/c6zrepkW1I")</f>
        <v>RT @rterdogan: Press release https://t.co/c6zrepkW1I</v>
      </c>
    </row>
    <row r="3097" spans="1:5" ht="15.75" customHeight="1" x14ac:dyDescent="0.25">
      <c r="A3097" s="1" t="s">
        <v>6193</v>
      </c>
      <c r="B3097" s="1">
        <v>43723</v>
      </c>
      <c r="C3097" s="3">
        <v>43917.693726851852</v>
      </c>
      <c r="D3097" s="1" t="s">
        <v>6194</v>
      </c>
      <c r="E3097" s="4" t="str">
        <f ca="1">IFERROR(__xludf.DUMMYFUNCTION("GOOGLETRANSLATE(A3097 , ""tr"" , ""en"")"),"After our Science Board meeting, the latest developments on the coronavirus and the new measures we receive.
📍 The Ministry of Health Bilkent Campus / Ankara https://t.co/jc0zmum5o1")</f>
        <v>After our Science Board meeting, the latest developments on the coronavirus and the new measures we receive.
📍 The Ministry of Health Bilkent Campus / Ankara https://t.co/jc0zmum5o1</v>
      </c>
    </row>
    <row r="3098" spans="1:5" ht="15.75" customHeight="1" x14ac:dyDescent="0.25">
      <c r="A3098" s="1" t="s">
        <v>6195</v>
      </c>
      <c r="B3098" s="1">
        <v>61481</v>
      </c>
      <c r="C3098" s="3">
        <v>43917.271053240744</v>
      </c>
      <c r="D3098" s="1" t="s">
        <v>6196</v>
      </c>
      <c r="E3098" s="4" t="str">
        <f ca="1">IFERROR(__xludf.DUMMYFUNCTION("GOOGLETRANSLATE(A3098 , ""tr"" , ""en"")"),"We have a meeting over the teleconference yesterday with the provincial health manager of our country's 81 provinces. We assessed the risks, the method of struggle. We are augeable in all our provinces against the threat of coronavirus. https://t.co/MSHKQ"&amp;"ITA0T")</f>
        <v>We have a meeting over the teleconference yesterday with the provincial health manager of our country's 81 provinces. We assessed the risks, the method of struggle. We are augeable in all our provinces against the threat of coronavirus. https://t.co/MSHKQITA0T</v>
      </c>
    </row>
    <row r="3099" spans="1:5" ht="15.75" customHeight="1" x14ac:dyDescent="0.25">
      <c r="A3099" s="1" t="s">
        <v>6197</v>
      </c>
      <c r="B3099" s="1">
        <v>256577</v>
      </c>
      <c r="C3099" s="3">
        <v>43916.817442129628</v>
      </c>
      <c r="D3099" s="1" t="s">
        <v>6198</v>
      </c>
      <c r="E3099" s="4" t="str">
        <f ca="1">IFERROR(__xludf.DUMMYFUNCTION("GOOGLETRANSLATE(A3099 , ""tr"" , ""en"")"),"Our test count was 5.035 yesterday. Took place as 7.286 today. 1.196 New diagnosed. Patients and contact environments were isolated. We lost our 16 patients. With these results, our life loss reached 75, our patients reached 3.629. I invite you to the imp"&amp;"lementation of persistent measures.")</f>
        <v>Our test count was 5.035 yesterday. Took place as 7.286 today. 1.196 New diagnosed. Patients and contact environments were isolated. We lost our 16 patients. With these results, our life loss reached 75, our patients reached 3.629. I invite you to the implementation of persistent measures.</v>
      </c>
    </row>
    <row r="3100" spans="1:5" ht="15.75" customHeight="1" x14ac:dyDescent="0.25">
      <c r="A3100" s="1" t="s">
        <v>6199</v>
      </c>
      <c r="B3100" s="1">
        <v>47617</v>
      </c>
      <c r="C3100" s="3">
        <v>43916.622812499998</v>
      </c>
      <c r="D3100" s="1" t="s">
        <v>6200</v>
      </c>
      <c r="E3100" s="4" t="str">
        <f ca="1">IFERROR(__xludf.DUMMYFUNCTION("GOOGLETRANSLATE(A3100 , ""tr"" , ""en"")"),"We meet the material requirement of our hospitals, including N95 mask and overalls. Our country on the mask has enough production capacity. It is not even that we leave our citizen, health workers without materials. Will find our state in the face of the "&amp;"problem. https://t.co/pu4fwmnwfp")</f>
        <v>We meet the material requirement of our hospitals, including N95 mask and overalls. Our country on the mask has enough production capacity. It is not even that we leave our citizen, health workers without materials. Will find our state in the face of the problem. https://t.co/pu4fwmnwfp</v>
      </c>
    </row>
    <row r="3101" spans="1:5" ht="15.75" customHeight="1" x14ac:dyDescent="0.25">
      <c r="A3101" s="1" t="s">
        <v>6201</v>
      </c>
      <c r="B3101" s="1">
        <v>40528</v>
      </c>
      <c r="C3101" s="3">
        <v>43916.615960648145</v>
      </c>
      <c r="D3101" s="1" t="s">
        <v>6202</v>
      </c>
      <c r="E3101" s="4" t="str">
        <f ca="1">IFERROR(__xludf.DUMMYFUNCTION("GOOGLETRANSLATE(A3101 , ""tr"" , ""en"")"),"Who should be tested to? ""To the necessity of the test, he decides the physician, by looking at complaints. You can risk without knowing the result of the test you have made. What to do instead of testing? Everyone should behave by accepting the virus ca"&amp;"rrier. "" Detailed answer is in video. https://t.co/gk5bfo7jd8")</f>
        <v>Who should be tested to? "To the necessity of the test, he decides the physician, by looking at complaints. You can risk without knowing the result of the test you have made. What to do instead of testing? Everyone should behave by accepting the virus carrier. " Detailed answer is in video. https://t.co/gk5bfo7jd8</v>
      </c>
    </row>
    <row r="3102" spans="1:5" ht="15.75" customHeight="1" x14ac:dyDescent="0.25">
      <c r="A3102" s="1" t="s">
        <v>6203</v>
      </c>
      <c r="B3102" s="1">
        <v>57280</v>
      </c>
      <c r="C3102" s="3">
        <v>43916.564826388887</v>
      </c>
      <c r="D3102" s="1" t="s">
        <v>6204</v>
      </c>
      <c r="E3102" s="4" t="str">
        <f ca="1">IFERROR(__xludf.DUMMYFUNCTION("GOOGLETRANSLATE(A3102 , ""tr"" , ""en"")"),"Mothers, dads, children, teens, big ones ... I don't invite you to do what is impossible. I invite you to practice very simple measures. Remember: We are as strong as the measure we received. https://t.co/0btw72hzkz")</f>
        <v>Mothers, dads, children, teens, big ones ... I don't invite you to do what is impossible. I invite you to practice very simple measures. Remember: We are as strong as the measure we received. https://t.co/0btw72hzkz</v>
      </c>
    </row>
    <row r="3103" spans="1:5" ht="15.75" customHeight="1" x14ac:dyDescent="0.25">
      <c r="A3103" s="1" t="s">
        <v>6205</v>
      </c>
      <c r="B3103" s="1">
        <v>108199</v>
      </c>
      <c r="C3103" s="3">
        <v>43916.517534722225</v>
      </c>
      <c r="D3103" s="1" t="s">
        <v>6206</v>
      </c>
      <c r="E3103" s="4" t="str">
        <f ca="1">IFERROR(__xludf.DUMMYFUNCTION("GOOGLETRANSLATE(A3103 , ""tr"" , ""en"")"),"We know the rules. We have to reveal our will. The virus depends on our own behavior, preventing us from spreading from us. No healthcare institution can prevent any physicians from contamination of the virus. You can avoid this. Please let's retweet the "&amp;"message. https://t.co/tyxcejxxfi")</f>
        <v>We know the rules. We have to reveal our will. The virus depends on our own behavior, preventing us from spreading from us. No healthcare institution can prevent any physicians from contamination of the virus. You can avoid this. Please let's retweet the message. https://t.co/tyxcejxxfi</v>
      </c>
    </row>
    <row r="3104" spans="1:5" ht="15.75" customHeight="1" x14ac:dyDescent="0.25">
      <c r="A3104" s="1" t="s">
        <v>6207</v>
      </c>
      <c r="B3104" s="1">
        <v>234465</v>
      </c>
      <c r="C3104" s="3">
        <v>43915.861886574072</v>
      </c>
      <c r="D3104" s="1" t="s">
        <v>6208</v>
      </c>
      <c r="E3104" s="4" t="str">
        <f ca="1">IFERROR(__xludf.DUMMYFUNCTION("GOOGLETRANSLATE(A3104 , ""tr"" , ""en"")"),"5,035 tests resulted in the last 24 hours. 561 diagnosed. 15 Our patients farewell to life. The number of patients we lost to date 59. Our total patient count 2.433. Numbers cannot express his lost pain, concern. Let's try to live with zero risk. Measures"&amp;" us to life.")</f>
        <v>5,035 tests resulted in the last 24 hours. 561 diagnosed. 15 Our patients farewell to life. The number of patients we lost to date 59. Our total patient count 2.433. Numbers cannot express his lost pain, concern. Let's try to live with zero risk. Measures us to life.</v>
      </c>
    </row>
    <row r="3105" spans="1:5" ht="15.75" customHeight="1" x14ac:dyDescent="0.25">
      <c r="A3105" s="1" t="s">
        <v>6209</v>
      </c>
      <c r="B3105" s="1">
        <v>131964</v>
      </c>
      <c r="C3105" s="3">
        <v>43915.810520833336</v>
      </c>
      <c r="D3105" s="1" t="s">
        <v>6210</v>
      </c>
      <c r="E3105" s="4" t="str">
        <f ca="1">IFERROR(__xludf.DUMMYFUNCTION("GOOGLETRANSLATE(A3105 , ""tr"" , ""en"")"),"Our worldwide composer fazıl say, life fits home. I thank him for taking part in our campaign. Life is beautiful wherever there is music.")</f>
        <v>Our worldwide composer fazıl say, life fits home. I thank him for taking part in our campaign. Life is beautiful wherever there is music.</v>
      </c>
    </row>
    <row r="3106" spans="1:5" ht="15.75" customHeight="1" x14ac:dyDescent="0.25">
      <c r="A3106" s="1" t="s">
        <v>6211</v>
      </c>
      <c r="B3106" s="1">
        <v>49828</v>
      </c>
      <c r="C3106" s="3">
        <v>43915.79315972222</v>
      </c>
      <c r="D3106" s="1" t="s">
        <v>6212</v>
      </c>
      <c r="E3106" s="4" t="str">
        <f ca="1">IFERROR(__xludf.DUMMYFUNCTION("GOOGLETRANSLATE(A3106 , ""tr"" , ""en"")"),"Life fits home #LyleVeskin https://t.co/v2hruv3suj")</f>
        <v>Life fits home #LyleVeskin https://t.co/v2hruv3suj</v>
      </c>
    </row>
    <row r="3107" spans="1:5" ht="15.75" customHeight="1" x14ac:dyDescent="0.25">
      <c r="A3107" s="1" t="s">
        <v>6213</v>
      </c>
      <c r="B3107" s="1">
        <v>142034</v>
      </c>
      <c r="C3107" s="3">
        <v>43915.78943287037</v>
      </c>
      <c r="D3107" s="1" t="s">
        <v>6214</v>
      </c>
      <c r="E3107" s="4" t="str">
        <f ca="1">IFERROR(__xludf.DUMMYFUNCTION("GOOGLETRANSLATE(A3107 , ""tr"" , ""en"")"),"Burak Özçivit and Funriye evcen says life fits home. I thank them for the support they give our campaign.")</f>
        <v>Burak Özçivit and Funriye evcen says life fits home. I thank them for the support they give our campaign.</v>
      </c>
    </row>
    <row r="3108" spans="1:5" ht="15.75" customHeight="1" x14ac:dyDescent="0.25">
      <c r="A3108" s="1" t="s">
        <v>6215</v>
      </c>
      <c r="B3108" s="1">
        <v>50115</v>
      </c>
      <c r="C3108" s="3">
        <v>43915.678333333337</v>
      </c>
      <c r="D3108" s="1" t="s">
        <v>6216</v>
      </c>
      <c r="E3108" s="4" t="str">
        <f ca="1">IFERROR(__xludf.DUMMYFUNCTION("GOOGLETRANSLATE(A3108 , ""tr"" , ""en"")"),"After our scientific commercial meeting, we evaluate the latest developments and the common measures we receive with the Mr. Minister of Ziya Selçuk.
Bilkent Campus / Ankara https://t.co/arkjbmpj17")</f>
        <v>After our scientific commercial meeting, we evaluate the latest developments and the common measures we receive with the Mr. Minister of Ziya Selçuk.
Bilkent Campus / Ankara https://t.co/arkjbmpj17</v>
      </c>
    </row>
    <row r="3109" spans="1:5" ht="15.75" customHeight="1" x14ac:dyDescent="0.25">
      <c r="A3109" s="1" t="s">
        <v>6217</v>
      </c>
      <c r="B3109" s="1">
        <v>137518</v>
      </c>
      <c r="C3109" s="3">
        <v>43915.613946759258</v>
      </c>
      <c r="D3109" s="1" t="s">
        <v>6218</v>
      </c>
      <c r="E3109" s="4" t="str">
        <f ca="1">IFERROR(__xludf.DUMMYFUNCTION("GOOGLETRANSLATE(A3109 , ""tr"" , ""en"")"),"Life Fits Home #LyleVeskin https://t.co/gthtrbsdnd")</f>
        <v>Life Fits Home #LyleVeskin https://t.co/gthtrbsdnd</v>
      </c>
    </row>
    <row r="3110" spans="1:5" ht="15.75" customHeight="1" x14ac:dyDescent="0.25">
      <c r="A3110" s="1" t="s">
        <v>6219</v>
      </c>
      <c r="B3110" s="1">
        <v>184421</v>
      </c>
      <c r="C3110" s="3">
        <v>43915.570138888892</v>
      </c>
      <c r="D3110" s="1" t="s">
        <v>6220</v>
      </c>
      <c r="E3110" s="4" t="str">
        <f ca="1">IFERROR(__xludf.DUMMYFUNCTION("GOOGLETRANSLATE(A3110 , ""tr"" , ""en"")"),"It was an important value on behalf of Turkish politics with his flag to his flag and nationality. In the year acres of our painful loss, I respect the Muhsin Yazıığlu in the year. https://t.co/uab9marsFI")</f>
        <v>It was an important value on behalf of Turkish politics with his flag to his flag and nationality. In the year acres of our painful loss, I respect the Muhsin Yazıığlu in the year. https://t.co/uab9marsFI</v>
      </c>
    </row>
    <row r="3111" spans="1:5" ht="15.75" customHeight="1" x14ac:dyDescent="0.25">
      <c r="A3111" s="1" t="s">
        <v>6221</v>
      </c>
      <c r="B3111" s="1">
        <v>225437</v>
      </c>
      <c r="C3111" s="3">
        <v>43914.797685185185</v>
      </c>
      <c r="D3111" s="1" t="s">
        <v>6222</v>
      </c>
      <c r="E3111" s="4" t="str">
        <f ca="1">IFERROR(__xludf.DUMMYFUNCTION("GOOGLETRANSLATE(A3111 , ""tr"" , ""en"")"),"How many people? Every day in 195 countries is being asked. It is not late for Turkey. Measure can cut the front of the increase. A total of 3,952 tests were performed in the last 24 hours. There are 343 new diagnoses. We lost our 7 patients. One was COPD"&amp;" patient. Six was age. We are as strong as the measure we received.")</f>
        <v>How many people? Every day in 195 countries is being asked. It is not late for Turkey. Measure can cut the front of the increase. A total of 3,952 tests were performed in the last 24 hours. There are 343 new diagnoses. We lost our 7 patients. One was COPD patient. Six was age. We are as strong as the measure we received.</v>
      </c>
    </row>
    <row r="3112" spans="1:5" ht="15.75" customHeight="1" x14ac:dyDescent="0.25">
      <c r="A3112" s="1" t="s">
        <v>6223</v>
      </c>
      <c r="B3112" s="1">
        <v>149669</v>
      </c>
      <c r="C3112" s="3">
        <v>43914.769756944443</v>
      </c>
      <c r="D3112" s="1" t="s">
        <v>6224</v>
      </c>
      <c r="E3112" s="4" t="str">
        <f ca="1">IFERROR(__xludf.DUMMYFUNCTION("GOOGLETRANSLATE(A3112 , ""tr"" , ""en"")"),"Mazhar Alanson said life fits home and joined our campaign. I thank him for her support. #Life")</f>
        <v>Mazhar Alanson said life fits home and joined our campaign. I thank him for her support. #Life</v>
      </c>
    </row>
    <row r="3113" spans="1:5" ht="15.75" customHeight="1" x14ac:dyDescent="0.25">
      <c r="A3113" s="1" t="s">
        <v>6225</v>
      </c>
      <c r="B3113" s="1">
        <v>87663</v>
      </c>
      <c r="C3113" s="3">
        <v>43914.706909722219</v>
      </c>
      <c r="D3113" s="1" t="s">
        <v>6226</v>
      </c>
      <c r="E3113" s="4" t="str">
        <f ca="1">IFERROR(__xludf.DUMMYFUNCTION("GOOGLETRANSLATE(A3113 , ""tr"" , ""en"")"),"Life fits home #layeveshar https://t.co/r4c4n888hy")</f>
        <v>Life fits home #layeveshar https://t.co/r4c4n888hy</v>
      </c>
    </row>
    <row r="3114" spans="1:5" ht="15.75" customHeight="1" x14ac:dyDescent="0.25">
      <c r="A3114" s="1" t="s">
        <v>6227</v>
      </c>
      <c r="B3114" s="1">
        <v>91559</v>
      </c>
      <c r="C3114" s="3">
        <v>43914.659641203703</v>
      </c>
      <c r="D3114" s="1" t="s">
        <v>6228</v>
      </c>
      <c r="E3114" s="4" t="str">
        <f ca="1">IFERROR(__xludf.DUMMYFUNCTION("GOOGLETRANSLATE(A3114 , ""tr"" , ""en"")"),"Honorable Birali Yildirim is the respected Semiha Yildirim Hanımendi's sadness. I wish the passen-to-law and Mother Havva Hanım from Allah, I wish you healthy, long life.")</f>
        <v>Honorable Birali Yildirim is the respected Semiha Yildirim Hanımendi's sadness. I wish the passen-to-law and Mother Havva Hanım from Allah, I wish you healthy, long life.</v>
      </c>
    </row>
    <row r="3115" spans="1:5" ht="15.75" customHeight="1" x14ac:dyDescent="0.25">
      <c r="A3115" s="1" t="s">
        <v>6229</v>
      </c>
      <c r="B3115" s="1">
        <v>45136</v>
      </c>
      <c r="C3115" s="3">
        <v>43914.654664351852</v>
      </c>
      <c r="D3115" s="1" t="s">
        <v>6230</v>
      </c>
      <c r="E3115" s="4" t="str">
        <f ca="1">IFERROR(__xludf.DUMMYFUNCTION("GOOGLETRANSLATE(A3115 , ""tr"" , ""en"")"),"We met Japan's Ankara Ambassador Mr. Akio Miyajima in our ministry. We addressed the work we can develop with the principle of common benefit of humanity, especially the studies to be made against the threat of coronavirus. In knowledge, we will be within"&amp;" the age of experience. https://t.co/xcmkgpjdfu")</f>
        <v>We met Japan's Ankara Ambassador Mr. Akio Miyajima in our ministry. We addressed the work we can develop with the principle of common benefit of humanity, especially the studies to be made against the threat of coronavirus. In knowledge, we will be within the age of experience. https://t.co/xcmkgpjdfu</v>
      </c>
    </row>
    <row r="3116" spans="1:5" ht="15.75" customHeight="1" x14ac:dyDescent="0.25">
      <c r="A3116" s="1" t="s">
        <v>6231</v>
      </c>
      <c r="B3116" s="1">
        <v>64570</v>
      </c>
      <c r="C3116" s="3">
        <v>43914.573530092595</v>
      </c>
      <c r="D3116" s="1" t="s">
        <v>6232</v>
      </c>
      <c r="E3116" s="4" t="str">
        <f ca="1">IFERROR(__xludf.DUMMYFUNCTION("GOOGLETRANSLATE(A3116 , ""tr"" , ""en"")"),"The Vaccine Institute of our Ministry has moved our science world to develop vaccines against COVID-19. We will support every scientific effort of promising. Our Ministry of Finance is ready to create funds. https://t.co/lmwekjsgzd")</f>
        <v>The Vaccine Institute of our Ministry has moved our science world to develop vaccines against COVID-19. We will support every scientific effort of promising. Our Ministry of Finance is ready to create funds. https://t.co/lmwekjsgzd</v>
      </c>
    </row>
    <row r="3117" spans="1:5" ht="15.75" customHeight="1" x14ac:dyDescent="0.25">
      <c r="A3117" s="1" t="s">
        <v>6233</v>
      </c>
      <c r="B3117" s="1">
        <v>82597</v>
      </c>
      <c r="C3117" s="3">
        <v>43914.566481481481</v>
      </c>
      <c r="D3117" s="1" t="s">
        <v>6234</v>
      </c>
      <c r="E3117" s="4" t="str">
        <f ca="1">IFERROR(__xludf.DUMMYFUNCTION("GOOGLETRANSLATE(A3117 , ""tr"" , ""en"")"),"The respirator was one of the medical materials that the world needs the most in this epidemic. Turkey begins mass production for the domestic device as we can not live in a possible case. https://t.co/r79voxeaqh")</f>
        <v>The respirator was one of the medical materials that the world needs the most in this epidemic. Turkey begins mass production for the domestic device as we can not live in a possible case. https://t.co/r79voxeaqh</v>
      </c>
    </row>
    <row r="3118" spans="1:5" ht="15.75" customHeight="1" x14ac:dyDescent="0.25">
      <c r="A3118" s="1" t="s">
        <v>6235</v>
      </c>
      <c r="B3118" s="1">
        <v>75989</v>
      </c>
      <c r="C3118" s="3">
        <v>43914.404548611114</v>
      </c>
      <c r="D3118" s="1" t="s">
        <v>6236</v>
      </c>
      <c r="E3118" s="4" t="str">
        <f ca="1">IFERROR(__xludf.DUMMYFUNCTION("GOOGLETRANSLATE(A3118 , ""tr"" , ""en"")"),"We take action to make the material conditions of our health workers better. I would like to thank our President and Finance Minister for the tenderness of this. One more important development: We hire 32,000 health professionals. https://t.co/djgfluhdmf")</f>
        <v>We take action to make the material conditions of our health workers better. I would like to thank our President and Finance Minister for the tenderness of this. One more important development: We hire 32,000 health professionals. https://t.co/djgfluhdmf</v>
      </c>
    </row>
    <row r="3119" spans="1:5" ht="15.75" customHeight="1" x14ac:dyDescent="0.25">
      <c r="A3119" s="1" t="s">
        <v>6237</v>
      </c>
      <c r="B3119" s="1">
        <v>81237</v>
      </c>
      <c r="C3119" s="3">
        <v>43913.927881944444</v>
      </c>
      <c r="D3119" s="1" t="s">
        <v>6238</v>
      </c>
      <c r="E3119" s="4" t="str">
        <f ca="1">IFERROR(__xludf.DUMMYFUNCTION("GOOGLETRANSLATE(A3119 , ""tr"" , ""en"")"),"The password of the way we struggle is: one, all together! Measures each of us apply individually. Personal person all of what we do is a whole Turkey, we are doing 83 million. We are not alone. We are together without getting together. https://t.co/bmcxd"&amp;"yck4p")</f>
        <v>The password of the way we struggle is: one, all together! Measures each of us apply individually. Personal person all of what we do is a whole Turkey, we are doing 83 million. We are not alone. We are together without getting together. https://t.co/bmcxdyck4p</v>
      </c>
    </row>
    <row r="3120" spans="1:5" ht="15.75" customHeight="1" x14ac:dyDescent="0.25">
      <c r="A3120" s="1" t="s">
        <v>6239</v>
      </c>
      <c r="B3120" s="1">
        <v>83877</v>
      </c>
      <c r="C3120" s="3">
        <v>43913.89570601852</v>
      </c>
      <c r="D3120" s="1" t="s">
        <v>6240</v>
      </c>
      <c r="E3120" s="4" t="str">
        <f ca="1">IFERROR(__xludf.DUMMYFUNCTION("GOOGLETRANSLATE(A3120 , ""tr"" , ""en"")"),"""I want to sound to our elders: This society needs your life experience. Your son needs advice to give. Your grandchildren needs love and attention. You can't do these when they are sick. Do not risk your life. Follow the measures. "" Life fits home. htt"&amp;"ps://t.co/BXIBKRNX93")</f>
        <v>"I want to sound to our elders: This society needs your life experience. Your son needs advice to give. Your grandchildren needs love and attention. You can't do these when they are sick. Do not risk your life. Follow the measures. " Life fits home. https://t.co/BXIBKRNX93</v>
      </c>
    </row>
    <row r="3121" spans="1:5" ht="15.75" customHeight="1" x14ac:dyDescent="0.25">
      <c r="A3121" s="1" t="s">
        <v>6241</v>
      </c>
      <c r="B3121" s="1">
        <v>54227</v>
      </c>
      <c r="C3121" s="3">
        <v>43913.885034722225</v>
      </c>
      <c r="D3121" s="1" t="s">
        <v>6242</v>
      </c>
      <c r="E3121" s="4" t="str">
        <f ca="1">IFERROR(__xludf.DUMMYFUNCTION("GOOGLETRANSLATE(A3121 , ""tr"" , ""en"")"),"Life fits home. #Leyleyevesicar https://t.co/alwe1uhwl")</f>
        <v>Life fits home. #Leyleyevesicar https://t.co/alwe1uhwl</v>
      </c>
    </row>
    <row r="3122" spans="1:5" ht="15.75" customHeight="1" x14ac:dyDescent="0.25">
      <c r="A3122" s="1" t="s">
        <v>6243</v>
      </c>
      <c r="B3122" s="1">
        <v>74037</v>
      </c>
      <c r="C3122" s="3">
        <v>43913.88077546296</v>
      </c>
      <c r="D3122" s="1" t="s">
        <v>6244</v>
      </c>
      <c r="E3122" s="4" t="str">
        <f ca="1">IFERROR(__xludf.DUMMYFUNCTION("GOOGLETRANSLATE(A3122 , ""tr"" , ""en"")"),"Life fits home. #Lebaleshar https://t.co/4vkafzu1kk")</f>
        <v>Life fits home. #Lebaleshar https://t.co/4vkafzu1kk</v>
      </c>
    </row>
    <row r="3123" spans="1:5" ht="15.75" customHeight="1" x14ac:dyDescent="0.25">
      <c r="A3123" s="1" t="s">
        <v>6245</v>
      </c>
      <c r="B3123" s="1">
        <v>301329</v>
      </c>
      <c r="C3123" s="3">
        <v>43913.873437499999</v>
      </c>
      <c r="D3123" s="1" t="s">
        <v>6246</v>
      </c>
      <c r="E3123" s="4" t="str">
        <f ca="1">IFERROR(__xludf.DUMMYFUNCTION("GOOGLETRANSLATE(A3123 , ""tr"" , ""en"")"),"The present teens ... You are giving the words to the word that started like this nowadays :) Looking forward to being careful about coronavirus. Life means, it means movement. Thanks. But we pass another mode for a while. Freedom is in our house. Life fi"&amp;"ts home.")</f>
        <v>The present teens ... You are giving the words to the word that started like this nowadays :) Looking forward to being careful about coronavirus. Life means, it means movement. Thanks. But we pass another mode for a while. Freedom is in our house. Life fits home.</v>
      </c>
    </row>
    <row r="3124" spans="1:5" ht="15.75" customHeight="1" x14ac:dyDescent="0.25">
      <c r="A3124" s="1" t="s">
        <v>6247</v>
      </c>
      <c r="B3124" s="1">
        <v>278458</v>
      </c>
      <c r="C3124" s="3">
        <v>43913.850405092591</v>
      </c>
      <c r="D3124" s="1" t="s">
        <v>6248</v>
      </c>
      <c r="E3124" s="4" t="str">
        <f ca="1">IFERROR(__xludf.DUMMYFUNCTION("GOOGLETRANSLATE(A3124 , ""tr"" , ""en"")"),"3,672 tests resulted in the last 24 hours. 293 New diagnosed. Despite our efforts, our 7 people who were beaten to the disease. We have warnings to the young: you are not out of the epidemic. Slow your life. Do not enter the risk environment. Do not carry"&amp;" the risk to your home. Stay at home. Life fits home.")</f>
        <v>3,672 tests resulted in the last 24 hours. 293 New diagnosed. Despite our efforts, our 7 people who were beaten to the disease. We have warnings to the young: you are not out of the epidemic. Slow your life. Do not enter the risk environment. Do not carry the risk to your home. Stay at home. Life fits home.</v>
      </c>
    </row>
    <row r="3125" spans="1:5" ht="15.75" customHeight="1" x14ac:dyDescent="0.25">
      <c r="A3125" s="1" t="s">
        <v>6249</v>
      </c>
      <c r="B3125" s="1">
        <v>94942</v>
      </c>
      <c r="C3125" s="3">
        <v>43913.790196759262</v>
      </c>
      <c r="D3125" s="1" t="s">
        <v>6250</v>
      </c>
      <c r="E3125" s="4" t="str">
        <f ca="1">IFERROR(__xludf.DUMMYFUNCTION("GOOGLETRANSLATE(A3125 , ""tr"" , ""en"")"),"Today, Ankara Ambassador of the People's Republic of China. We met with Deng Li. Increasing the world against the world threatening coronavirus, we addressed the development of solidarity. Humanity will beat this problem by sharing knowledge and experienc"&amp;"e. https://t.co/eoapee4nda")</f>
        <v>Today, Ankara Ambassador of the People's Republic of China. We met with Deng Li. Increasing the world against the world threatening coronavirus, we addressed the development of solidarity. Humanity will beat this problem by sharing knowledge and experience. https://t.co/eoapee4nda</v>
      </c>
    </row>
    <row r="3126" spans="1:5" ht="15.75" customHeight="1" x14ac:dyDescent="0.25">
      <c r="A3126" s="1" t="s">
        <v>6251</v>
      </c>
      <c r="B3126" s="1">
        <v>84206</v>
      </c>
      <c r="C3126" s="3">
        <v>43913.683148148149</v>
      </c>
      <c r="D3126" s="1" t="s">
        <v>6252</v>
      </c>
      <c r="E3126" s="4" t="str">
        <f ca="1">IFERROR(__xludf.DUMMYFUNCTION("GOOGLETRANSLATE(A3126 , ""tr"" , ""en"")"),"After our Science Board meeting, the latest developments on the coronavirus and the new measures we receive.
📍 The Ministry of Health Bilkent Campus / Ankara https://t.co/f9uh92qyod")</f>
        <v>After our Science Board meeting, the latest developments on the coronavirus and the new measures we receive.
📍 The Ministry of Health Bilkent Campus / Ankara https://t.co/f9uh92qyod</v>
      </c>
    </row>
    <row r="3127" spans="1:5" ht="15.75" customHeight="1" x14ac:dyDescent="0.25">
      <c r="A3127" s="1" t="s">
        <v>6253</v>
      </c>
      <c r="B3127" s="1">
        <v>277915</v>
      </c>
      <c r="C3127" s="3">
        <v>43912.80568287037</v>
      </c>
      <c r="D3127" s="1" t="s">
        <v>6254</v>
      </c>
      <c r="E3127" s="4" t="str">
        <f ca="1">IFERROR(__xludf.DUMMYFUNCTION("GOOGLETRANSLATE(A3127 , ""tr"" , ""en"")"),"To date, a total of 20.345 tests were performed, 1.236 was diagnosed, all of them have lost 30 patients. When the illness is not in our country, we said ""None."" Now we explain the day day. We invite you to reason with our transparency. Let's be cautious"&amp;". This country will not succumb to this threat.")</f>
        <v>To date, a total of 20.345 tests were performed, 1.236 was diagnosed, all of them have lost 30 patients. When the illness is not in our country, we said "None." Now we explain the day day. We invite you to reason with our transparency. Let's be cautious. This country will not succumb to this threat.</v>
      </c>
    </row>
    <row r="3128" spans="1:5" ht="15.75" customHeight="1" x14ac:dyDescent="0.25">
      <c r="A3128" s="1" t="s">
        <v>6255</v>
      </c>
      <c r="B3128" s="1">
        <v>278824</v>
      </c>
      <c r="C3128" s="3">
        <v>43912.795046296298</v>
      </c>
      <c r="D3128" s="1" t="s">
        <v>6256</v>
      </c>
      <c r="E3128" s="4" t="str">
        <f ca="1">IFERROR(__xludf.DUMMYFUNCTION("GOOGLETRANSLATE(A3128 , ""tr"" , ""en"")"),"We are losing new lives. Case numbers are increasing. But it should be noted that we test as many tests as possible. With every treatment of treated, we have cut the outbreak of the epidemic. Today 9 new passes, 289 new diagnoses. Let's stay in our house."&amp;" Let's not take a risk. Life fits home.")</f>
        <v>We are losing new lives. Case numbers are increasing. But it should be noted that we test as many tests as possible. With every treatment of treated, we have cut the outbreak of the epidemic. Today 9 new passes, 289 new diagnoses. Let's stay in our house. Let's not take a risk. Life fits home.</v>
      </c>
    </row>
    <row r="3129" spans="1:5" ht="15.75" customHeight="1" x14ac:dyDescent="0.25">
      <c r="A3129" s="1" t="s">
        <v>6257</v>
      </c>
      <c r="B3129" s="1">
        <v>95632</v>
      </c>
      <c r="C3129" s="3">
        <v>43912.77207175926</v>
      </c>
      <c r="D3129" s="1" t="s">
        <v>6258</v>
      </c>
      <c r="E3129" s="4" t="str">
        <f ca="1">IFERROR(__xludf.DUMMYFUNCTION("GOOGLETRANSLATE(A3129 , ""tr"" , ""en"")"),"Life fits home. #Lebaleskin https://t.co/o98sjnf6kc")</f>
        <v>Life fits home. #Lebaleskin https://t.co/o98sjnf6kc</v>
      </c>
    </row>
    <row r="3130" spans="1:5" ht="15.75" customHeight="1" x14ac:dyDescent="0.25">
      <c r="A3130" s="1" t="s">
        <v>6259</v>
      </c>
      <c r="B3130" s="1">
        <v>96498</v>
      </c>
      <c r="C3130" s="3">
        <v>43912.761365740742</v>
      </c>
      <c r="D3130" s="1" t="s">
        <v>6260</v>
      </c>
      <c r="E3130" s="4" t="str">
        <f ca="1">IFERROR(__xludf.DUMMYFUNCTION("GOOGLETRANSLATE(A3130 , ""tr"" , ""en"")"),"Life fits home. #Layeveshar https://t.co/4f4yt6jdvl")</f>
        <v>Life fits home. #Layeveshar https://t.co/4f4yt6jdvl</v>
      </c>
    </row>
    <row r="3131" spans="1:5" ht="15.75" customHeight="1" x14ac:dyDescent="0.25">
      <c r="A3131" s="1" t="s">
        <v>6261</v>
      </c>
      <c r="B3131" s="1">
        <v>134838</v>
      </c>
      <c r="C3131" s="3">
        <v>43912.751273148147</v>
      </c>
      <c r="D3131" s="1" t="s">
        <v>6262</v>
      </c>
      <c r="E3131" s="4" t="str">
        <f ca="1">IFERROR(__xludf.DUMMYFUNCTION("GOOGLETRANSLATE(A3131 , ""tr"" , ""en"")"),"Life fits home. #Lebalesicar https://t.co/klvwpqvcjd")</f>
        <v>Life fits home. #Lebalesicar https://t.co/klvwpqvcjd</v>
      </c>
    </row>
    <row r="3132" spans="1:5" ht="15.75" customHeight="1" x14ac:dyDescent="0.25">
      <c r="A3132" s="1" t="s">
        <v>6263</v>
      </c>
      <c r="B3132" s="1">
        <v>418056</v>
      </c>
      <c r="C3132" s="3">
        <v>43912.592974537038</v>
      </c>
      <c r="D3132" s="1" t="s">
        <v>6264</v>
      </c>
      <c r="E3132" s="4" t="str">
        <f ca="1">IFERROR(__xludf.DUMMYFUNCTION("GOOGLETRANSLATE(A3132 , ""tr"" , ""en"")"),"This message came from Samsun We wanted the message everyone else. https://t.co/lhksx9rdfa")</f>
        <v>This message came from Samsun We wanted the message everyone else. https://t.co/lhksx9rdfa</v>
      </c>
    </row>
    <row r="3133" spans="1:5" ht="15.75" customHeight="1" x14ac:dyDescent="0.25">
      <c r="A3133" s="1" t="s">
        <v>6265</v>
      </c>
      <c r="B3133" s="1">
        <v>0</v>
      </c>
      <c r="C3133" s="3">
        <v>43912.482164351852</v>
      </c>
      <c r="D3133" s="1" t="s">
        <v>6266</v>
      </c>
      <c r="E3133" s="4" t="str">
        <f ca="1">IFERROR(__xludf.DUMMYFUNCTION("GOOGLETRANSLATE(A3133 , ""tr"" , ""en"")"),"RT @fahrettinaltun: rumors, prophecies, conspiracy theories, weldless audio records, sensations ...
Coronavirus Related Media Chalets ...")</f>
        <v>RT @fahrettinaltun: rumors, prophecies, conspiracy theories, weldless audio records, sensations ...
Coronavirus Related Media Chalets ...</v>
      </c>
    </row>
    <row r="3134" spans="1:5" ht="15.75" customHeight="1" x14ac:dyDescent="0.25">
      <c r="A3134" s="1" t="s">
        <v>6267</v>
      </c>
      <c r="B3134" s="1">
        <v>0</v>
      </c>
      <c r="C3134" s="3">
        <v>43911.912962962961</v>
      </c>
      <c r="D3134" s="1" t="s">
        <v>6268</v>
      </c>
      <c r="E3134" s="4" t="str">
        <f ca="1">IFERROR(__xludf.DUMMYFUNCTION("GOOGLETRANSLATE(A3134 , ""tr"" , ""en"")"),"Rt @rterdogan: my saint citizens,
Be awarded. Our State is at the beginning of its duty with all its institutions, the nation of the nation of the time without the ...")</f>
        <v>Rt @rterdogan: my saint citizens,
Be awarded. Our State is at the beginning of its duty with all its institutions, the nation of the nation of the time without the ...</v>
      </c>
    </row>
    <row r="3135" spans="1:5" ht="15.75" customHeight="1" x14ac:dyDescent="0.25">
      <c r="A3135" s="1" t="s">
        <v>6269</v>
      </c>
      <c r="B3135" s="1">
        <v>313855</v>
      </c>
      <c r="C3135" s="3">
        <v>43911.83289351852</v>
      </c>
      <c r="D3135" s="1" t="s">
        <v>6270</v>
      </c>
      <c r="E3135" s="4" t="str">
        <f ca="1">IFERROR(__xludf.DUMMYFUNCTION("GOOGLETRANSLATE(A3135 , ""tr"" , ""en"")"),"Tested to 2,953 suspects in the last 24 hours. 277 is positively out. Our patient count reached 947 We lost 12 of our old patients. We have a total of 21 life loss to date. Let's stimulate our elderly. They comply with the cinderbeating. The risk of death"&amp;" is increasing as age rises.")</f>
        <v>Tested to 2,953 suspects in the last 24 hours. 277 is positively out. Our patient count reached 947 We lost 12 of our old patients. We have a total of 21 life loss to date. Let's stimulate our elderly. They comply with the cinderbeating. The risk of death is increasing as age rises.</v>
      </c>
    </row>
    <row r="3136" spans="1:5" ht="15.75" customHeight="1" x14ac:dyDescent="0.25">
      <c r="A3136" s="1" t="s">
        <v>6271</v>
      </c>
      <c r="B3136" s="1">
        <v>143100</v>
      </c>
      <c r="C3136" s="3">
        <v>43911.781817129631</v>
      </c>
      <c r="D3136" s="1" t="s">
        <v>6272</v>
      </c>
      <c r="E3136" s="4" t="str">
        <f ca="1">IFERROR(__xludf.DUMMYFUNCTION("GOOGLETRANSLATE(A3136 , ""tr"" , ""en"")"),"3. Right for applause Turkey! Let's show our support for our health workers at every opportunity. https://t.co/mdvxzdzu7i")</f>
        <v>3. Right for applause Turkey! Let's show our support for our health workers at every opportunity. https://t.co/mdvxzdzu7i</v>
      </c>
    </row>
    <row r="3137" spans="1:5" ht="15.75" customHeight="1" x14ac:dyDescent="0.25">
      <c r="A3137" s="1" t="s">
        <v>6273</v>
      </c>
      <c r="B3137" s="1">
        <v>203838</v>
      </c>
      <c r="C3137" s="3">
        <v>43911.748379629629</v>
      </c>
      <c r="D3137" s="1" t="s">
        <v>6274</v>
      </c>
      <c r="E3137" s="4" t="str">
        <f ca="1">IFERROR(__xludf.DUMMYFUNCTION("GOOGLETRANSLATE(A3137 , ""tr"" , ""en"")"),"We are on the balconies for an exclusion of 21.00 o'clock!
Let's show our gratitude to our health workers. Be right for the support you give in Turkey!")</f>
        <v>We are on the balconies for an exclusion of 21.00 o'clock!
Let's show our gratitude to our health workers. Be right for the support you give in Turkey!</v>
      </c>
    </row>
    <row r="3138" spans="1:5" ht="15.75" customHeight="1" x14ac:dyDescent="0.25">
      <c r="A3138" s="1" t="s">
        <v>6275</v>
      </c>
      <c r="B3138" s="1">
        <v>56084</v>
      </c>
      <c r="C3138" s="3">
        <v>43911.747673611113</v>
      </c>
      <c r="D3138" s="1" t="s">
        <v>6276</v>
      </c>
      <c r="E3138" s="4" t="str">
        <f ca="1">IFERROR(__xludf.DUMMYFUNCTION("GOOGLETRANSLATE(A3138 , ""tr"" , ""en"")"),"The risk of death in the coronavirus epidemic, age increases as age rises. https://t.co/cyhylo4qxk")</f>
        <v>The risk of death in the coronavirus epidemic, age increases as age rises. https://t.co/cyhylo4qxk</v>
      </c>
    </row>
    <row r="3139" spans="1:5" ht="15.75" customHeight="1" x14ac:dyDescent="0.25">
      <c r="A3139" s="1" t="s">
        <v>6277</v>
      </c>
      <c r="B3139" s="1">
        <v>51455</v>
      </c>
      <c r="C3139" s="3">
        <v>43911.746759259258</v>
      </c>
      <c r="D3139" s="1" t="s">
        <v>6278</v>
      </c>
      <c r="E3139" s="4" t="str">
        <f ca="1">IFERROR(__xludf.DUMMYFUNCTION("GOOGLETRANSLATE(A3139 , ""tr"" , ""en"")"),"The risk of death in the coronavirus epidemic, age increases as age rises. https://t.co/corqzua4rf")</f>
        <v>The risk of death in the coronavirus epidemic, age increases as age rises. https://t.co/corqzua4rf</v>
      </c>
    </row>
    <row r="3140" spans="1:5" ht="15.75" customHeight="1" x14ac:dyDescent="0.25">
      <c r="A3140" s="1" t="s">
        <v>6279</v>
      </c>
      <c r="B3140" s="1">
        <v>66603</v>
      </c>
      <c r="C3140" s="3">
        <v>43911.745775462965</v>
      </c>
      <c r="D3140" s="1" t="s">
        <v>6280</v>
      </c>
      <c r="E3140" s="4" t="str">
        <f ca="1">IFERROR(__xludf.DUMMYFUNCTION("GOOGLETRANSLATE(A3140 , ""tr"" , ""en"")"),"The risk of death in the coronavirus epidemic, age increases as age rises. https://t.co/suus9uILZB")</f>
        <v>The risk of death in the coronavirus epidemic, age increases as age rises. https://t.co/suus9uILZB</v>
      </c>
    </row>
    <row r="3141" spans="1:5" ht="15.75" customHeight="1" x14ac:dyDescent="0.25">
      <c r="A3141" s="1" t="s">
        <v>6281</v>
      </c>
      <c r="B3141" s="1">
        <v>174594</v>
      </c>
      <c r="C3141" s="3">
        <v>43911.741562499999</v>
      </c>
      <c r="D3141" s="1" t="s">
        <v>6282</v>
      </c>
      <c r="E3141" s="4" t="str">
        <f ca="1">IFERROR(__xludf.DUMMYFUNCTION("GOOGLETRANSLATE(A3141 , ""tr"" , ""en"")"),"Our Prophet of Humanity in this happy night is our Prophet Hz. We mean Muhammad (SAV) with respect and commitment. He had opened to the end of the firiac, to the end of the ruins of the soul. Celebrate your ward, get your prayers accept.")</f>
        <v>Our Prophet of Humanity in this happy night is our Prophet Hz. We mean Muhammad (SAV) with respect and commitment. He had opened to the end of the firiac, to the end of the ruins of the soul. Celebrate your ward, get your prayers accept.</v>
      </c>
    </row>
    <row r="3142" spans="1:5" ht="15.75" customHeight="1" x14ac:dyDescent="0.25">
      <c r="A3142" s="1" t="s">
        <v>6283</v>
      </c>
      <c r="B3142" s="1">
        <v>212146</v>
      </c>
      <c r="C3142" s="3">
        <v>43911.722199074073</v>
      </c>
      <c r="D3142" s="1" t="s">
        <v>6284</v>
      </c>
      <c r="E3142" s="4" t="str">
        <f ca="1">IFERROR(__xludf.DUMMYFUNCTION("GOOGLETRANSLATE(A3142 , ""tr"" , ""en"")"),"The ChP General Head of ChP, who lost diver ladies to the idea of ​​the sister. Kemal Kılıçdaroğlu is condolences, I share his pain. May all our dead in these happy nights.")</f>
        <v>The ChP General Head of ChP, who lost diver ladies to the idea of ​​the sister. Kemal Kılıçdaroğlu is condolences, I share his pain. May all our dead in these happy nights.</v>
      </c>
    </row>
    <row r="3143" spans="1:5" ht="15.75" customHeight="1" x14ac:dyDescent="0.25">
      <c r="A3143" s="1" t="s">
        <v>6285</v>
      </c>
      <c r="B3143" s="1">
        <v>102014</v>
      </c>
      <c r="C3143" s="3">
        <v>43911.653020833335</v>
      </c>
      <c r="D3143" s="1" t="s">
        <v>6286</v>
      </c>
      <c r="E3143" s="4" t="str">
        <f ca="1">IFERROR(__xludf.DUMMYFUNCTION("GOOGLETRANSLATE(A3143 , ""tr"" , ""en"")"),"We conducted our coordination meeting in Siamese Ersek Hospital. When we receive measures for our country on the field, I strongly want our citizens to take their measures by staying in their homes with the same precision. https://t.co/ebbKIievy")</f>
        <v>We conducted our coordination meeting in Siamese Ersek Hospital. When we receive measures for our country on the field, I strongly want our citizens to take their measures by staying in their homes with the same precision. https://t.co/ebbKIievy</v>
      </c>
    </row>
    <row r="3144" spans="1:5" ht="15.75" customHeight="1" x14ac:dyDescent="0.25">
      <c r="A3144" s="1" t="s">
        <v>6287</v>
      </c>
      <c r="B3144" s="1">
        <v>332180</v>
      </c>
      <c r="C3144" s="3">
        <v>43910.843078703707</v>
      </c>
      <c r="D3144" s="1" t="s">
        <v>6288</v>
      </c>
      <c r="E3144" s="4" t="str">
        <f ca="1">IFERROR(__xludf.DUMMYFUNCTION("GOOGLETRANSLATE(A3144 , ""tr"" , ""en"")"),"3656 in the last 24 hours were tested to the suspects. 311 is positively out. Our patient count reached 670. We lost our old and resistance weak 5 patients. We have a total of 9 life losses to date. All of our seniors. Let's keep our elderly. Let's not sh"&amp;"ow flexibility even in our struggle.")</f>
        <v>3656 in the last 24 hours were tested to the suspects. 311 is positively out. Our patient count reached 670. We lost our old and resistance weak 5 patients. We have a total of 9 life losses to date. All of our seniors. Let's keep our elderly. Let's not show flexibility even in our struggle.</v>
      </c>
    </row>
    <row r="3145" spans="1:5" ht="15.75" customHeight="1" x14ac:dyDescent="0.25">
      <c r="A3145" s="1" t="s">
        <v>6289</v>
      </c>
      <c r="B3145" s="1">
        <v>132343</v>
      </c>
      <c r="C3145" s="3">
        <v>43910.822500000002</v>
      </c>
      <c r="D3145" s="1" t="s">
        <v>6290</v>
      </c>
      <c r="E3145" s="4" t="str">
        <f ca="1">IFERROR(__xludf.DUMMYFUNCTION("GOOGLETRANSLATE(A3145 , ""tr"" , ""en"")"),"The largest of applause is sec. Came from our president. I offer our gratitude on behalf of all our health workers.")</f>
        <v>The largest of applause is sec. Came from our president. I offer our gratitude on behalf of all our health workers.</v>
      </c>
    </row>
    <row r="3146" spans="1:5" ht="15.75" customHeight="1" x14ac:dyDescent="0.25">
      <c r="A3146" s="1" t="s">
        <v>6291</v>
      </c>
      <c r="B3146" s="1">
        <v>0</v>
      </c>
      <c r="C3146" s="3">
        <v>43910.812256944446</v>
      </c>
      <c r="D3146" s="1" t="s">
        <v>6292</v>
      </c>
      <c r="E3146" s="4" t="str">
        <f ca="1">IFERROR(__xludf.DUMMYFUNCTION("GOOGLETRANSLATE(A3146 , ""tr"" , ""en"")"),"RT @rterdogan: All health bushes struggling to selfless and sacrificial heroes of our fight with coronavirus, all kinds of challenging and distress.")</f>
        <v>RT @rterdogan: All health bushes struggling to selfless and sacrificial heroes of our fight with coronavirus, all kinds of challenging and distress.</v>
      </c>
    </row>
    <row r="3147" spans="1:5" ht="15.75" customHeight="1" x14ac:dyDescent="0.25">
      <c r="A3147" s="1" t="s">
        <v>6293</v>
      </c>
      <c r="B3147" s="1">
        <v>101896</v>
      </c>
      <c r="C3147" s="3">
        <v>43910.80709490741</v>
      </c>
      <c r="D3147" s="1" t="s">
        <v>6294</v>
      </c>
      <c r="E3147" s="4" t="str">
        <f ca="1">IFERROR(__xludf.DUMMYFUNCTION("GOOGLETRANSLATE(A3147 , ""tr"" , ""en"")"),"The most powerful clap is tomorrow at the same time! https://t.co/foibwmbvey")</f>
        <v>The most powerful clap is tomorrow at the same time! https://t.co/foibwmbvey</v>
      </c>
    </row>
    <row r="3148" spans="1:5" ht="15.75" customHeight="1" x14ac:dyDescent="0.25">
      <c r="A3148" s="1" t="s">
        <v>6295</v>
      </c>
      <c r="B3148" s="1">
        <v>205653</v>
      </c>
      <c r="C3148" s="3">
        <v>43910.772789351853</v>
      </c>
      <c r="D3148" s="1" t="s">
        <v>6296</v>
      </c>
      <c r="E3148" s="4" t="str">
        <f ca="1">IFERROR(__xludf.DUMMYFUNCTION("GOOGLETRANSLATE(A3148 , ""tr"" , ""en"")"),"It's right for 21.00 clocking Turkey! You gave strength to our selfless health workers. The most powerful clap is tomorrow at the same time!")</f>
        <v>It's right for 21.00 clocking Turkey! You gave strength to our selfless health workers. The most powerful clap is tomorrow at the same time!</v>
      </c>
    </row>
    <row r="3149" spans="1:5" ht="15.75" customHeight="1" x14ac:dyDescent="0.25">
      <c r="A3149" s="1" t="s">
        <v>6297</v>
      </c>
      <c r="B3149" s="1">
        <v>197327</v>
      </c>
      <c r="C3149" s="3">
        <v>43910.745208333334</v>
      </c>
      <c r="D3149" s="1" t="s">
        <v>6298</v>
      </c>
      <c r="E3149" s="4" t="str">
        <f ca="1">IFERROR(__xludf.DUMMYFUNCTION("GOOGLETRANSLATE(A3149 , ""tr"" , ""en"")"),"Let's meet at the clap of 21.00 o'clock
The Mesa of our Health Employees continues the night and night. At 21.00 o'clock, more than a clap! Let's hear the sound of our gratitude this evening and once again tomorrow.")</f>
        <v>Let's meet at the clap of 21.00 o'clock
The Mesa of our Health Employees continues the night and night. At 21.00 o'clock, more than a clap! Let's hear the sound of our gratitude this evening and once again tomorrow.</v>
      </c>
    </row>
    <row r="3150" spans="1:5" ht="15.75" customHeight="1" x14ac:dyDescent="0.25">
      <c r="A3150" s="1" t="s">
        <v>6299</v>
      </c>
      <c r="B3150" s="1">
        <v>315512</v>
      </c>
      <c r="C3150" s="3">
        <v>43909.87128472222</v>
      </c>
      <c r="D3150" s="1" t="s">
        <v>6300</v>
      </c>
      <c r="E3150" s="4" t="str">
        <f ca="1">IFERROR(__xludf.DUMMYFUNCTION("GOOGLETRANSLATE(A3150 , ""tr"" , ""en"")"),"168 of the 1,981 tests made in the last 24 hours were positive. The patient with 191 reached 359. We lost a 85-year-old lady from our patients. A patient who previously passed away was COVID-19. Our total loss was unfortunately 4. Our pain has increased b"&amp;"ut we will make it.")</f>
        <v>168 of the 1,981 tests made in the last 24 hours were positive. The patient with 191 reached 359. We lost a 85-year-old lady from our patients. A patient who previously passed away was COVID-19. Our total loss was unfortunately 4. Our pain has increased but we will make it.</v>
      </c>
    </row>
    <row r="3151" spans="1:5" ht="15.75" customHeight="1" x14ac:dyDescent="0.25">
      <c r="A3151" s="1" t="s">
        <v>6301</v>
      </c>
      <c r="B3151" s="1">
        <v>90744</v>
      </c>
      <c r="C3151" s="3">
        <v>43909.864560185182</v>
      </c>
      <c r="D3151" s="1" t="s">
        <v>6302</v>
      </c>
      <c r="E3151" s="4" t="str">
        <f ca="1">IFERROR(__xludf.DUMMYFUNCTION("GOOGLETRANSLATE(A3151 , ""tr"" , ""en"")"),"It's right for 21.00 clocking Turkey!
The voice of our gratitude to our health care workers are heard again at the same time the next day! (Istanbul) https://t.co/w4ywbeerda")</f>
        <v>It's right for 21.00 clocking Turkey!
The voice of our gratitude to our health care workers are heard again at the same time the next day! (Istanbul) https://t.co/w4ywbeerda</v>
      </c>
    </row>
    <row r="3152" spans="1:5" ht="15.75" customHeight="1" x14ac:dyDescent="0.25">
      <c r="A3152" s="1" t="s">
        <v>6303</v>
      </c>
      <c r="B3152" s="1">
        <v>72041</v>
      </c>
      <c r="C3152" s="3">
        <v>43909.860902777778</v>
      </c>
      <c r="D3152" s="1" t="s">
        <v>6304</v>
      </c>
      <c r="E3152" s="4" t="str">
        <f ca="1">IFERROR(__xludf.DUMMYFUNCTION("GOOGLETRANSLATE(A3152 , ""tr"" , ""en"")"),"It's right for 21.00 clocking Turkey!
The voice of our gratitude to our health care workers are heard again at the same time the next day! (Van) https://t.co/ypfrmnluzg")</f>
        <v>It's right for 21.00 clocking Turkey!
The voice of our gratitude to our health care workers are heard again at the same time the next day! (Van) https://t.co/ypfrmnluzg</v>
      </c>
    </row>
    <row r="3153" spans="1:5" ht="15.75" customHeight="1" x14ac:dyDescent="0.25">
      <c r="A3153" s="1" t="s">
        <v>6305</v>
      </c>
      <c r="B3153" s="1">
        <v>135329</v>
      </c>
      <c r="C3153" s="3">
        <v>43909.854189814818</v>
      </c>
      <c r="D3153" s="1" t="s">
        <v>6306</v>
      </c>
      <c r="E3153" s="4" t="str">
        <f ca="1">IFERROR(__xludf.DUMMYFUNCTION("GOOGLETRANSLATE(A3153 , ""tr"" , ""en"")"),"It's right for 21.00 clocking Turkey!
The voice of our gratitude to our health care workers are heard again at the same time the next day! (Konya) https://t.co/jrmmn41xrl")</f>
        <v>It's right for 21.00 clocking Turkey!
The voice of our gratitude to our health care workers are heard again at the same time the next day! (Konya) https://t.co/jrmmn41xrl</v>
      </c>
    </row>
    <row r="3154" spans="1:5" ht="15.75" customHeight="1" x14ac:dyDescent="0.25">
      <c r="A3154" s="1" t="s">
        <v>6307</v>
      </c>
      <c r="B3154" s="1">
        <v>349282</v>
      </c>
      <c r="C3154" s="3">
        <v>43909.800706018519</v>
      </c>
      <c r="D3154" s="1" t="s">
        <v>6308</v>
      </c>
      <c r="E3154" s="4" t="str">
        <f ca="1">IFERROR(__xludf.DUMMYFUNCTION("GOOGLETRANSLATE(A3154 , ""tr"" , ""en"")"),"It's right for 21.00 clocking Turkey! City city, home home home. You gave power to our selfless health workers with the applause. Tomorrow, the following day the sound of our gratitude at the same time is heard again! Let's clap three days in a row!")</f>
        <v>It's right for 21.00 clocking Turkey! City city, home home home. You gave power to our selfless health workers with the applause. Tomorrow, the following day the sound of our gratitude at the same time is heard again! Let's clap three days in a row!</v>
      </c>
    </row>
    <row r="3155" spans="1:5" ht="15.75" customHeight="1" x14ac:dyDescent="0.25">
      <c r="A3155" s="1" t="s">
        <v>6309</v>
      </c>
      <c r="B3155" s="1">
        <v>212981</v>
      </c>
      <c r="C3155" s="3">
        <v>43909.749895833331</v>
      </c>
      <c r="D3155" s="1" t="s">
        <v>6310</v>
      </c>
      <c r="E3155" s="4" t="str">
        <f ca="1">IFERROR(__xludf.DUMMYFUNCTION("GOOGLETRANSLATE(A3155 , ""tr"" , ""en"")"),"Let's clap! How much applause is less! Today, I invited the representatives of my nation in the conversation in parliament at 14am to applaud our selfless health workers. Now we are now our nation at 21.00, I invite this applause to upgrade from the balco"&amp;"nies across Turkey in diameter. https://t.co/q0xblxajwf")</f>
        <v>Let's clap! How much applause is less! Today, I invited the representatives of my nation in the conversation in parliament at 14am to applaud our selfless health workers. Now we are now our nation at 21.00, I invite this applause to upgrade from the balconies across Turkey in diameter. https://t.co/q0xblxajwf</v>
      </c>
    </row>
    <row r="3156" spans="1:5" ht="15.75" customHeight="1" x14ac:dyDescent="0.25">
      <c r="A3156" s="1" t="s">
        <v>6311</v>
      </c>
      <c r="B3156" s="1">
        <v>39251</v>
      </c>
      <c r="C3156" s="3">
        <v>43909.571759259263</v>
      </c>
      <c r="D3156" s="1" t="s">
        <v>6312</v>
      </c>
      <c r="E3156" s="4" t="str">
        <f ca="1">IFERROR(__xludf.DUMMYFUNCTION("GOOGLETRANSLATE(A3156 , ""tr"" , ""en"")"),"Turkey Grand National Assembly General Assembly in the General Assembly of Koronavirüs.
📍tbmm https://t.co/e7hdv6pg3h")</f>
        <v>Turkey Grand National Assembly General Assembly in the General Assembly of Koronavirüs.
📍tbmm https://t.co/e7hdv6pg3h</v>
      </c>
    </row>
    <row r="3157" spans="1:5" ht="15.75" customHeight="1" x14ac:dyDescent="0.25">
      <c r="A3157" s="1" t="s">
        <v>6313</v>
      </c>
      <c r="B3157" s="1">
        <v>43437</v>
      </c>
      <c r="C3157" s="3">
        <v>43909.464039351849</v>
      </c>
      <c r="D3157" s="1" t="s">
        <v>6314</v>
      </c>
      <c r="E3157" s="4" t="str">
        <f ca="1">IFERROR(__xludf.DUMMYFUNCTION("GOOGLETRANSLATE(A3157 , ""tr"" , ""en"")"),"Turkey Grand National Assembly General Assembly in the General Assembly, we inform our deputies and publicities about the coronavirus.
📍tbmm https://t.co/rdjrtwzihb")</f>
        <v>Turkey Grand National Assembly General Assembly in the General Assembly, we inform our deputies and publicities about the coronavirus.
📍tbmm https://t.co/rdjrtwzihb</v>
      </c>
    </row>
    <row r="3158" spans="1:5" ht="15.75" customHeight="1" x14ac:dyDescent="0.25">
      <c r="A3158" s="1" t="s">
        <v>6315</v>
      </c>
      <c r="B3158" s="1">
        <v>299561</v>
      </c>
      <c r="C3158" s="3">
        <v>43908.838055555556</v>
      </c>
      <c r="D3158" s="1" t="s">
        <v>6316</v>
      </c>
      <c r="E3158" s="4" t="str">
        <f ca="1">IFERROR(__xludf.DUMMYFUNCTION("GOOGLETRANSLATE(A3158 , ""tr"" , ""en"")"),"We lost a 61-year-old male patient. I wish herself mercy from Allah. Today tests resulting in the measures are very compulsory. We have 93 new cases started with diagnosis. Our patient count has reached 191 Let's cut the front of the risk together.")</f>
        <v>We lost a 61-year-old male patient. I wish herself mercy from Allah. Today tests resulting in the measures are very compulsory. We have 93 new cases started with diagnosis. Our patient count has reached 191 Let's cut the front of the risk together.</v>
      </c>
    </row>
    <row r="3159" spans="1:5" ht="15.75" customHeight="1" x14ac:dyDescent="0.25">
      <c r="A3159" s="1" t="s">
        <v>6317</v>
      </c>
      <c r="B3159" s="1">
        <v>153933</v>
      </c>
      <c r="C3159" s="3">
        <v>43908.716666666667</v>
      </c>
      <c r="D3159" s="1" t="s">
        <v>6318</v>
      </c>
      <c r="E3159" s="4" t="str">
        <f ca="1">IFERROR(__xludf.DUMMYFUNCTION("GOOGLETRANSLATE(A3159 , ""tr"" , ""en"")"),"So far, we did not have the fight against the present and it was not something we did not.
Happy 105th year of Çanakkale Victory. https://t.co/zpd1ng8gtb")</f>
        <v>So far, we did not have the fight against the present and it was not something we did not.
Happy 105th year of Çanakkale Victory. https://t.co/zpd1ng8gtb</v>
      </c>
    </row>
    <row r="3160" spans="1:5" ht="15.75" customHeight="1" x14ac:dyDescent="0.25">
      <c r="A3160" s="1" t="s">
        <v>6319</v>
      </c>
      <c r="B3160" s="1">
        <v>0</v>
      </c>
      <c r="C3160" s="3">
        <v>43908.637372685182</v>
      </c>
      <c r="D3160" s="1" t="s">
        <v>6320</v>
      </c>
      <c r="E3160" s="4" t="str">
        <f ca="1">IFERROR(__xludf.DUMMYFUNCTION("GOOGLETRANSLATE(A3160 , ""tr"" , ""en"")"),"RT @rterdogan: coronavirus fighting coordination meeting https://t.co/surasnppbw")</f>
        <v>RT @rterdogan: coronavirus fighting coordination meeting https://t.co/surasnppbw</v>
      </c>
    </row>
    <row r="3161" spans="1:5" ht="15.75" customHeight="1" x14ac:dyDescent="0.25">
      <c r="A3161" s="1" t="s">
        <v>6321</v>
      </c>
      <c r="B3161" s="1">
        <v>111567</v>
      </c>
      <c r="C3161" s="3">
        <v>43908.028796296298</v>
      </c>
      <c r="D3161" s="1" t="s">
        <v>6322</v>
      </c>
      <c r="E3161" s="4" t="str">
        <f ca="1">IFERROR(__xludf.DUMMYFUNCTION("GOOGLETRANSLATE(A3161 , ""tr"" , ""en"")"),"""I build this phrase as a physician next to the health minister of this society: I lost a patient for the first time today in our struggle for Koronavirus. Itself was 89 years old. The virus took it from a Chinese contact employee. I wish the gentlemen o"&amp;"f our first loss than Allah. "" https://t.co/y0zkghfbaI")</f>
        <v>"I build this phrase as a physician next to the health minister of this society: I lost a patient for the first time today in our struggle for Koronavirus. Itself was 89 years old. The virus took it from a Chinese contact employee. I wish the gentlemen of our first loss than Allah. " https://t.co/y0zkghfbaI</v>
      </c>
    </row>
    <row r="3162" spans="1:5" ht="15.75" customHeight="1" x14ac:dyDescent="0.25">
      <c r="A3162" s="1" t="s">
        <v>6323</v>
      </c>
      <c r="B3162" s="1">
        <v>71990</v>
      </c>
      <c r="C3162" s="3">
        <v>43908.019895833335</v>
      </c>
      <c r="D3162" s="1" t="s">
        <v>6324</v>
      </c>
      <c r="E3162" s="4" t="str">
        <f ca="1">IFERROR(__xludf.DUMMYFUNCTION("GOOGLETRANSLATE(A3162 , ""tr"" , ""en"")"),"""The positive result in the tests today is 51. Our total number of patients has been 98. The people of the disease are severe, the resistance is low and other illness. Seniors are from high risk groups. I invite everyone to fit the measures. "" (17 March"&amp;" 2020) https://t.co/hc2govghp2")</f>
        <v>"The positive result in the tests today is 51. Our total number of patients has been 98. The people of the disease are severe, the resistance is low and other illness. Seniors are from high risk groups. I invite everyone to fit the measures. " (17 March 2020) https://t.co/hc2govghp2</v>
      </c>
    </row>
    <row r="3163" spans="1:5" ht="15.75" customHeight="1" x14ac:dyDescent="0.25">
      <c r="A3163" s="1" t="s">
        <v>6325</v>
      </c>
      <c r="B3163" s="1">
        <v>94533</v>
      </c>
      <c r="C3163" s="3">
        <v>43907.874143518522</v>
      </c>
      <c r="D3163" s="1" t="s">
        <v>6326</v>
      </c>
      <c r="E3163" s="4" t="str">
        <f ca="1">IFERROR(__xludf.DUMMYFUNCTION("GOOGLETRANSLATE(A3163 , ""tr"" , ""en"")"),"We share recent developments on coronavirus cases.
Bilkent Campus / Ankara https://t.co/rab8agq6fb")</f>
        <v>We share recent developments on coronavirus cases.
Bilkent Campus / Ankara https://t.co/rab8agq6fb</v>
      </c>
    </row>
    <row r="3164" spans="1:5" ht="15.75" customHeight="1" x14ac:dyDescent="0.25">
      <c r="A3164" s="1" t="s">
        <v>6327</v>
      </c>
      <c r="B3164" s="1">
        <v>77334</v>
      </c>
      <c r="C3164" s="3">
        <v>43907.624016203707</v>
      </c>
      <c r="D3164" s="1" t="s">
        <v>6328</v>
      </c>
      <c r="E3164" s="4" t="str">
        <f ca="1">IFERROR(__xludf.DUMMYFUNCTION("GOOGLETRANSLATE(A3164 , ""tr"" , ""en"")"),"6 countries ban on flight ban: England, Ireland, Switzerland, Saudi Arabia, Egypt, United Arab Emirates. The number of countries who are placed on our flight ban on the flight This morning was 20 of 14. You also keep the measures tight! https://t.co/znwzl"&amp;"iuık6")</f>
        <v>6 countries ban on flight ban: England, Ireland, Switzerland, Saudi Arabia, Egypt, United Arab Emirates. The number of countries who are placed on our flight ban on the flight This morning was 20 of 14. You also keep the measures tight! https://t.co/znwzliuık6</v>
      </c>
    </row>
    <row r="3165" spans="1:5" ht="15.75" customHeight="1" x14ac:dyDescent="0.25">
      <c r="A3165" s="1" t="s">
        <v>6329</v>
      </c>
      <c r="B3165" s="1">
        <v>104242</v>
      </c>
      <c r="C3165" s="3">
        <v>43907.615115740744</v>
      </c>
      <c r="D3165" s="1" t="s">
        <v>6330</v>
      </c>
      <c r="E3165" s="4" t="str">
        <f ca="1">IFERROR(__xludf.DUMMYFUNCTION("GOOGLETRANSLATE(A3165 , ""tr"" , ""en"")"),"One of the major factors of the events of the events in the outbreak cases is panic. Measure and panic are the opposite of each other. According to the measures, we can control the propagation of the disease. We have to reset the possibilities of contact "&amp;"with the virus. https://t.co/ou0mrlfnij")</f>
        <v>One of the major factors of the events of the events in the outbreak cases is panic. Measure and panic are the opposite of each other. According to the measures, we can control the propagation of the disease. We have to reset the possibilities of contact with the virus. https://t.co/ou0mrlfnij</v>
      </c>
    </row>
    <row r="3166" spans="1:5" ht="15.75" customHeight="1" x14ac:dyDescent="0.25">
      <c r="A3166" s="1" t="s">
        <v>6331</v>
      </c>
      <c r="B3166" s="1">
        <v>259530</v>
      </c>
      <c r="C3166" s="3">
        <v>43906.919641203705</v>
      </c>
      <c r="D3166" s="1" t="s">
        <v>6332</v>
      </c>
      <c r="E3166" s="4" t="str">
        <f ca="1">IFERROR(__xludf.DUMMYFUNCTION("GOOGLETRANSLATE(A3166 , ""tr"" , ""en"")"),"The detected case has been risks to the society. Every new diagnosis is sad but a guarantee for you. Events in outbreaks are panicly checked. The measure and panic are the opposite of each other. Let's keep the measures tight. Let's reset the possibility "&amp;"of contact with the virus.")</f>
        <v>The detected case has been risks to the society. Every new diagnosis is sad but a guarantee for you. Events in outbreaks are panicly checked. The measure and panic are the opposite of each other. Let's keep the measures tight. Let's reset the possibility of contact with the virus.</v>
      </c>
    </row>
    <row r="3167" spans="1:5" ht="15.75" customHeight="1" x14ac:dyDescent="0.25">
      <c r="A3167" s="1" t="s">
        <v>6333</v>
      </c>
      <c r="B3167" s="1">
        <v>256868</v>
      </c>
      <c r="C3167" s="3">
        <v>43906.867442129631</v>
      </c>
      <c r="D3167" s="1" t="s">
        <v>6334</v>
      </c>
      <c r="E3167" s="4" t="str">
        <f ca="1">IFERROR(__xludf.DUMMYFUNCTION("GOOGLETRANSLATE(A3167 , ""tr"" , ""en"")"),"Presented 29 new diagnoses today. Our total number of patients with new diagnosis was 47. All of the last 29 cases are directly or indirectly the US, the Middle East and Europe is in contact with 3. Abroad theme will continue to be a risk. Shall apply mea"&amp;"sures tight.")</f>
        <v>Presented 29 new diagnoses today. Our total number of patients with new diagnosis was 47. All of the last 29 cases are directly or indirectly the US, the Middle East and Europe is in contact with 3. Abroad theme will continue to be a risk. Shall apply measures tight.</v>
      </c>
    </row>
    <row r="3168" spans="1:5" ht="15.75" customHeight="1" x14ac:dyDescent="0.25">
      <c r="A3168" s="1" t="s">
        <v>6335</v>
      </c>
      <c r="B3168" s="1">
        <v>0</v>
      </c>
      <c r="C3168" s="3">
        <v>43906.857291666667</v>
      </c>
      <c r="D3168" s="1" t="s">
        <v>6336</v>
      </c>
      <c r="E3168" s="4" t="str">
        <f ca="1">IFERROR(__xludf.DUMMYFUNCTION("GOOGLETRANSLATE(A3168 , ""tr"" , ""en"")"),"RT @fahrettinaltun: Mr. President @rterdogan Wednesday is a comprehensive coordination ball within the framework of the new type of coronavirus ...")</f>
        <v>RT @fahrettinaltun: Mr. President @rterdogan Wednesday is a comprehensive coordination ball within the framework of the new type of coronavirus ...</v>
      </c>
    </row>
    <row r="3169" spans="1:5" ht="15.75" customHeight="1" x14ac:dyDescent="0.25">
      <c r="A3169" s="1" t="s">
        <v>6337</v>
      </c>
      <c r="B3169" s="1">
        <v>212974</v>
      </c>
      <c r="C3169" s="3">
        <v>43906.769756944443</v>
      </c>
      <c r="D3169" s="1" t="s">
        <v>6338</v>
      </c>
      <c r="E3169" s="4" t="str">
        <f ca="1">IFERROR(__xludf.DUMMYFUNCTION("GOOGLETRANSLATE(A3169 , ""tr"" , ""en"")"),"Taner doesn't die, it says what we say too.
14 rules to protect the risk of coronavirus
Retweet, prevent coronavirus from spreading. https://t.co/t8tq7dywqt")</f>
        <v>Taner doesn't die, it says what we say too.
14 rules to protect the risk of coronavirus
Retweet, prevent coronavirus from spreading. https://t.co/t8tq7dywqt</v>
      </c>
    </row>
    <row r="3170" spans="1:5" ht="15.75" customHeight="1" x14ac:dyDescent="0.25">
      <c r="A3170" s="1" t="s">
        <v>6339</v>
      </c>
      <c r="B3170" s="1">
        <v>171655</v>
      </c>
      <c r="C3170" s="3">
        <v>43906.762523148151</v>
      </c>
      <c r="D3170" s="1" t="s">
        <v>6340</v>
      </c>
      <c r="E3170" s="4" t="str">
        <f ca="1">IFERROR(__xludf.DUMMYFUNCTION("GOOGLETRANSLATE(A3170 , ""tr"" , ""en"")"),"Timucin Esen says what we say too:
14 days rule on returns from abroad
Retweet, prevent coronavirus from spreading. https://t.co/HCVVISNJ80")</f>
        <v>Timucin Esen says what we say too:
14 days rule on returns from abroad
Retweet, prevent coronavirus from spreading. https://t.co/HCVVISNJ80</v>
      </c>
    </row>
    <row r="3171" spans="1:5" ht="15.75" customHeight="1" x14ac:dyDescent="0.25">
      <c r="A3171" s="1" t="s">
        <v>6341</v>
      </c>
      <c r="B3171" s="1">
        <v>39978</v>
      </c>
      <c r="C3171" s="3">
        <v>43906.710324074076</v>
      </c>
      <c r="D3171" s="1" t="s">
        <v>6342</v>
      </c>
      <c r="E3171" s="4" t="str">
        <f ca="1">IFERROR(__xludf.DUMMYFUNCTION("GOOGLETRANSLATE(A3171 , ""tr"" , ""en"")"),"After our Science Board meeting, we have a press on the new measures and developments we receive related to the coronavirus.
📍 The Ministry of Health Bilkent Campus / Ankara https://t.co/1svt17wwbr")</f>
        <v>After our Science Board meeting, we have a press on the new measures and developments we receive related to the coronavirus.
📍 The Ministry of Health Bilkent Campus / Ankara https://t.co/1svt17wwbr</v>
      </c>
    </row>
    <row r="3172" spans="1:5" ht="15.75" customHeight="1" x14ac:dyDescent="0.25">
      <c r="A3172" s="1" t="s">
        <v>6343</v>
      </c>
      <c r="B3172" s="1">
        <v>95829</v>
      </c>
      <c r="C3172" s="3">
        <v>43906.379050925927</v>
      </c>
      <c r="D3172" s="1" t="s">
        <v>6344</v>
      </c>
      <c r="E3172" s="4" t="str">
        <f ca="1">IFERROR(__xludf.DUMMYFUNCTION("GOOGLETRANSLATE(A3172 , ""tr"" , ""en"")"),"The ""Hidden"" document spreading from Social Media and WhatsApp is unreal. It is known to be known that the panic will create. By leading to loss of trust, there are those who aim to fall 82 million to the zaafa. There are those who play with your tender"&amp;"ness. Don't give up the chance. The correct news is a formal statement. https://t.co/jx14wefz6f")</f>
        <v>The "Hidden" document spreading from Social Media and WhatsApp is unreal. It is known to be known that the panic will create. By leading to loss of trust, there are those who aim to fall 82 million to the zaafa. There are those who play with your tenderness. Don't give up the chance. The correct news is a formal statement. https://t.co/jx14wefz6f</v>
      </c>
    </row>
    <row r="3173" spans="1:5" ht="15.75" customHeight="1" x14ac:dyDescent="0.25">
      <c r="A3173" s="1" t="s">
        <v>6345</v>
      </c>
      <c r="B3173" s="1">
        <v>133574</v>
      </c>
      <c r="C3173" s="3">
        <v>43905.895057870373</v>
      </c>
      <c r="D3173" s="1" t="s">
        <v>6346</v>
      </c>
      <c r="E3173" s="4" t="str">
        <f ca="1">IFERROR(__xludf.DUMMYFUNCTION("GOOGLETRANSLATE(A3173 , ""tr"" , ""en"")"),"The number of cases, which are just explained and the new is 12 is 12. 2 of these is from the contact of our first case. It is 18 if the total case is counted so far. The case number of cases is on, exactly this way.")</f>
        <v>The number of cases, which are just explained and the new is 12 is 12. 2 of these is from the contact of our first case. It is 18 if the total case is counted so far. The case number of cases is on, exactly this way.</v>
      </c>
    </row>
    <row r="3174" spans="1:5" ht="15.75" customHeight="1" x14ac:dyDescent="0.25">
      <c r="A3174" s="1" t="s">
        <v>6347</v>
      </c>
      <c r="B3174" s="1">
        <v>97860</v>
      </c>
      <c r="C3174" s="3">
        <v>43905.870613425926</v>
      </c>
      <c r="D3174" s="1" t="s">
        <v>6348</v>
      </c>
      <c r="E3174" s="4" t="str">
        <f ca="1">IFERROR(__xludf.DUMMYFUNCTION("GOOGLETRANSLATE(A3174 , ""tr"" , ""en"")"),"The first case we explained is diagnosed with two people around the observation. We have three cases from European countries, from America. The situation is sad, but ... every possible case, each isolation is safety for all of us.")</f>
        <v>The first case we explained is diagnosed with two people around the observation. We have three cases from European countries, from America. The situation is sad, but ... every possible case, each isolation is safety for all of us.</v>
      </c>
    </row>
    <row r="3175" spans="1:5" ht="15.75" customHeight="1" x14ac:dyDescent="0.25">
      <c r="A3175" s="1" t="s">
        <v>6349</v>
      </c>
      <c r="B3175" s="1">
        <v>60596</v>
      </c>
      <c r="C3175" s="3">
        <v>43905.489131944443</v>
      </c>
      <c r="D3175" s="1" t="s">
        <v>6350</v>
      </c>
      <c r="E3175" s="4" t="str">
        <f ca="1">IFERROR(__xludf.DUMMYFUNCTION("GOOGLETRANSLATE(A3175 , ""tr"" , ""en"")"),"Umreder returnees previously passed as well as their health screening like now. The tests of suspects were performed. Umre Visitors took their measures against virus and took their health teams in their travel. We follow those who don't fill in the first "&amp;"14 days in the country.")</f>
        <v>Umreder returnees previously passed as well as their health screening like now. The tests of suspects were performed. Umre Visitors took their measures against virus and took their health teams in their travel. We follow those who don't fill in the first 14 days in the country.</v>
      </c>
    </row>
    <row r="3176" spans="1:5" ht="15.75" customHeight="1" x14ac:dyDescent="0.25">
      <c r="A3176" s="1" t="s">
        <v>6351</v>
      </c>
      <c r="B3176" s="1">
        <v>122589</v>
      </c>
      <c r="C3176" s="3">
        <v>43905.388935185183</v>
      </c>
      <c r="D3176" s="1" t="s">
        <v>6352</v>
      </c>
      <c r="E3176" s="4" t="str">
        <f ca="1">IFERROR(__xludf.DUMMYFUNCTION("GOOGLETRANSLATE(A3176 , ""tr"" , ""en"")"),"All passengers returning from the Umreden from last night are placed in separate rooms with quarantine logic in the student dorms in Ankara and Konya. The suspicious founds are removed to the income hospital and tests are performed. Let's be uncompromisin"&amp;"g in measures!")</f>
        <v>All passengers returning from the Umreden from last night are placed in separate rooms with quarantine logic in the student dorms in Ankara and Konya. The suspicious founds are removed to the income hospital and tests are performed. Let's be uncompromising in measures!</v>
      </c>
    </row>
    <row r="3177" spans="1:5" ht="15.75" customHeight="1" x14ac:dyDescent="0.25">
      <c r="A3177" s="1" t="s">
        <v>6353</v>
      </c>
      <c r="B3177" s="1">
        <v>141127</v>
      </c>
      <c r="C3177" s="3">
        <v>43904.869791666664</v>
      </c>
      <c r="D3177" s="1" t="s">
        <v>6354</v>
      </c>
      <c r="E3177" s="4" t="str">
        <f ca="1">IFERROR(__xludf.DUMMYFUNCTION("GOOGLETRANSLATE(A3177 , ""tr"" , ""en"")"),"If you have just returned from umer, we want you to obey the 14 days rule. Unfortunately the test of our returning citizen in the last week is positive. We are concerned with new cases. Please do not accept visitors. Being past health scan does not mean z"&amp;"ero risk.")</f>
        <v>If you have just returned from umer, we want you to obey the 14 days rule. Unfortunately the test of our returning citizen in the last week is positive. We are concerned with new cases. Please do not accept visitors. Being past health scan does not mean zero risk.</v>
      </c>
    </row>
    <row r="3178" spans="1:5" ht="15.75" customHeight="1" x14ac:dyDescent="0.25">
      <c r="A3178" s="1" t="s">
        <v>6355</v>
      </c>
      <c r="B3178" s="1">
        <v>112067</v>
      </c>
      <c r="C3178" s="3">
        <v>43904.735277777778</v>
      </c>
      <c r="D3178" s="1" t="s">
        <v>6356</v>
      </c>
      <c r="E3178" s="4" t="str">
        <f ca="1">IFERROR(__xludf.DUMMYFUNCTION("GOOGLETRANSLATE(A3178 , ""tr"" , ""en"")"),"The Ministry of Health is planning the coronavirus risk screening, not the rook door, but also. He informs you from 184, we are coming after that. If the phone has not arrived at Sabim-184, don't take those who say they come for the purpose of testing. Le"&amp;"t's be a cautious against malicious!")</f>
        <v>The Ministry of Health is planning the coronavirus risk screening, not the rook door, but also. He informs you from 184, we are coming after that. If the phone has not arrived at Sabim-184, don't take those who say they come for the purpose of testing. Let's be a cautious against malicious!</v>
      </c>
    </row>
    <row r="3179" spans="1:5" ht="15.75" customHeight="1" x14ac:dyDescent="0.25">
      <c r="A3179" s="1" t="s">
        <v>6357</v>
      </c>
      <c r="B3179" s="1">
        <v>50190</v>
      </c>
      <c r="C3179" s="3">
        <v>43904.4371875</v>
      </c>
      <c r="D3179" s="1" t="s">
        <v>6358</v>
      </c>
      <c r="E3179" s="4" t="str">
        <f ca="1">IFERROR(__xludf.DUMMYFUNCTION("GOOGLETRANSLATE(A3179 , ""tr"" , ""en"")"),"Is there someone who doesn't want to look like you?
Happy March 14 Happy Fish. https://t.co/xpg39buf9q")</f>
        <v>Is there someone who doesn't want to look like you?
Happy March 14 Happy Fish. https://t.co/xpg39buf9q</v>
      </c>
    </row>
    <row r="3180" spans="1:5" ht="15.75" customHeight="1" x14ac:dyDescent="0.25">
      <c r="A3180" s="1" t="s">
        <v>6359</v>
      </c>
      <c r="B3180" s="1">
        <v>103293</v>
      </c>
      <c r="C3180" s="3">
        <v>43904.321250000001</v>
      </c>
      <c r="D3180" s="1" t="s">
        <v>6360</v>
      </c>
      <c r="E3180" s="4" t="str">
        <f ca="1">IFERROR(__xludf.DUMMYFUNCTION("GOOGLETRANSLATE(A3180 , ""tr"" , ""en"")"),"14 Rules to protect you and Turkey from the risk of coronavirus. Watch, retweet. https://t.co/dq18nk5ti3")</f>
        <v>14 Rules to protect you and Turkey from the risk of coronavirus. Watch, retweet. https://t.co/dq18nk5ti3</v>
      </c>
    </row>
    <row r="3181" spans="1:5" ht="15.75" customHeight="1" x14ac:dyDescent="0.25">
      <c r="A3181" s="1" t="s">
        <v>6361</v>
      </c>
      <c r="B3181" s="1">
        <v>71552</v>
      </c>
      <c r="C3181" s="3">
        <v>43904.312800925924</v>
      </c>
      <c r="D3181" s="1" t="s">
        <v>6362</v>
      </c>
      <c r="E3181" s="4" t="str">
        <f ca="1">IFERROR(__xludf.DUMMYFUNCTION("GOOGLETRANSLATE(A3181 , ""tr"" , ""en"")"),"14 days rule in turns from abroad against the risk of coronavirus. Watch, retweet. https://t.co/ofgsm1eccr")</f>
        <v>14 days rule in turns from abroad against the risk of coronavirus. Watch, retweet. https://t.co/ofgsm1eccr</v>
      </c>
    </row>
    <row r="3182" spans="1:5" ht="15.75" customHeight="1" x14ac:dyDescent="0.25">
      <c r="A3182" s="1" t="s">
        <v>6363</v>
      </c>
      <c r="B3182" s="1">
        <v>47431</v>
      </c>
      <c r="C3182" s="3">
        <v>43904.229201388887</v>
      </c>
      <c r="D3182" s="1" t="s">
        <v>6364</v>
      </c>
      <c r="E3182" s="4" t="str">
        <f ca="1">IFERROR(__xludf.DUMMYFUNCTION("GOOGLETRANSLATE(A3182 , ""tr"" , ""en"")"),"We are absolutely insistent in our return warning. 1 Travel, 1 person and 1 is not a single risk. The result is a risk that may affect 82 million. If possible, let's not go to any country. If we are abroad, let's take measures. The more struggling the mea"&amp;"sures, the more weak they threaten. https://t.co/wjzh0wcatb")</f>
        <v>We are absolutely insistent in our return warning. 1 Travel, 1 person and 1 is not a single risk. The result is a risk that may affect 82 million. If possible, let's not go to any country. If we are abroad, let's take measures. The more struggling the measures, the more weak they threaten. https://t.co/wjzh0wcatb</v>
      </c>
    </row>
    <row r="3183" spans="1:5" ht="15.75" customHeight="1" x14ac:dyDescent="0.25">
      <c r="A3183" s="1" t="s">
        <v>6365</v>
      </c>
      <c r="B3183" s="1">
        <v>43553</v>
      </c>
      <c r="C3183" s="3">
        <v>43903.904398148145</v>
      </c>
      <c r="D3183" s="1" t="s">
        <v>6366</v>
      </c>
      <c r="E3183" s="4" t="str">
        <f ca="1">IFERROR(__xludf.DUMMYFUNCTION("GOOGLETRANSLATE(A3183 , ""tr"" , ""en"")"),"The next 4-5 weeks are extremely important. In this period, we have to apply the antivirus guidelines very tightly. The table will change if we do that. The more struggling the measures, the more weak they threaten. https://t.co/7xkwphqcwz")</f>
        <v>The next 4-5 weeks are extremely important. In this period, we have to apply the antivirus guidelines very tightly. The table will change if we do that. The more struggling the measures, the more weak they threaten. https://t.co/7xkwphqcwz</v>
      </c>
    </row>
    <row r="3184" spans="1:5" ht="15.75" customHeight="1" x14ac:dyDescent="0.25">
      <c r="A3184" s="1" t="s">
        <v>6367</v>
      </c>
      <c r="B3184" s="1">
        <v>52290</v>
      </c>
      <c r="C3184" s="3">
        <v>43903.897499999999</v>
      </c>
      <c r="D3184" s="1" t="s">
        <v>6368</v>
      </c>
      <c r="E3184" s="4" t="str">
        <f ca="1">IFERROR(__xludf.DUMMYFUNCTION("GOOGLETRANSLATE(A3184 , ""tr"" , ""en"")"),"In the US, there is no concern about Turkey, while putting travel restriction to 54 countries. We are not included in the risky country list. Subject to, in this process, we may not be as welcoming as before. Our door is not open to every of the world. Th"&amp;"e more struggling the measures, the more weak they threaten. https://t.co/wwcjbwnxkd")</f>
        <v>In the US, there is no concern about Turkey, while putting travel restriction to 54 countries. We are not included in the risky country list. Subject to, in this process, we may not be as welcoming as before. Our door is not open to every of the world. The more struggling the measures, the more weak they threaten. https://t.co/wwcjbwnxkd</v>
      </c>
    </row>
    <row r="3185" spans="1:5" ht="15.75" customHeight="1" x14ac:dyDescent="0.25">
      <c r="A3185" s="1" t="s">
        <v>6369</v>
      </c>
      <c r="B3185" s="1">
        <v>54035</v>
      </c>
      <c r="C3185" s="3">
        <v>43903.890243055554</v>
      </c>
      <c r="D3185" s="1" t="s">
        <v>6370</v>
      </c>
      <c r="E3185" s="4" t="str">
        <f ca="1">IFERROR(__xludf.DUMMYFUNCTION("GOOGLETRANSLATE(A3185 , ""tr"" , ""en"")"),"New Cases in Europe in the last 24 hours: Spain: 825, Netherlands: 111, Denmark: 232, Italy: 2.651, Belgium: 47, Norway: 85, Austria: 179, France: 591, Germany: 802 ... round-trip prohibited We expand the scope. The more struggling the measures, the more "&amp;"weak they threaten. https://t.co/tkwhvctb4s")</f>
        <v>New Cases in Europe in the last 24 hours: Spain: 825, Netherlands: 111, Denmark: 232, Italy: 2.651, Belgium: 47, Norway: 85, Austria: 179, France: 591, Germany: 802 ... round-trip prohibited We expand the scope. The more struggling the measures, the more weak they threaten. https://t.co/tkwhvctb4s</v>
      </c>
    </row>
    <row r="3186" spans="1:5" ht="15.75" customHeight="1" x14ac:dyDescent="0.25">
      <c r="A3186" s="1" t="s">
        <v>6371</v>
      </c>
      <c r="B3186" s="1">
        <v>13393</v>
      </c>
      <c r="C3186" s="3">
        <v>43903.636770833335</v>
      </c>
      <c r="D3186" s="1" t="s">
        <v>6372</v>
      </c>
      <c r="E3186" s="4" t="str">
        <f ca="1">IFERROR(__xludf.DUMMYFUNCTION("GOOGLETRANSLATE(A3186 , ""tr"" , ""en"")"),"After our scientific commercial meeting, we evaluate the latest developments and the common measures we receive with our Mr. Ministers.
Bilkent Campus / Ankara https://t.co/sofocbu3cs")</f>
        <v>After our scientific commercial meeting, we evaluate the latest developments and the common measures we receive with our Mr. Ministers.
Bilkent Campus / Ankara https://t.co/sofocbu3cs</v>
      </c>
    </row>
    <row r="3187" spans="1:5" ht="15.75" customHeight="1" x14ac:dyDescent="0.25">
      <c r="A3187" s="1" t="s">
        <v>6373</v>
      </c>
      <c r="B3187" s="1">
        <v>107408</v>
      </c>
      <c r="C3187" s="3">
        <v>43903.527928240743</v>
      </c>
      <c r="D3187" s="1" t="s">
        <v>6374</v>
      </c>
      <c r="E3187" s="4" t="str">
        <f ca="1">IFERROR(__xludf.DUMMYFUNCTION("GOOGLETRANSLATE(A3187 , ""tr"" , ""en"")"),"Retweet, release the 14 rules of protection from coronavirus. https://t.co/dl8kt6jqjj")</f>
        <v>Retweet, release the 14 rules of protection from coronavirus. https://t.co/dl8kt6jqjj</v>
      </c>
    </row>
    <row r="3188" spans="1:5" ht="15.75" customHeight="1" x14ac:dyDescent="0.25">
      <c r="A3188" s="1" t="s">
        <v>6375</v>
      </c>
      <c r="B3188" s="1">
        <v>97876</v>
      </c>
      <c r="C3188" s="3">
        <v>43903.523773148147</v>
      </c>
      <c r="D3188" s="1" t="s">
        <v>6376</v>
      </c>
      <c r="E3188" s="4" t="str">
        <f ca="1">IFERROR(__xludf.DUMMYFUNCTION("GOOGLETRANSLATE(A3188 , ""tr"" , ""en"")"),"Retweet, spread the 14-day rule on their return from abroad. https://t.co/ynnsfcyne7")</f>
        <v>Retweet, spread the 14-day rule on their return from abroad. https://t.co/ynnsfcyne7</v>
      </c>
    </row>
    <row r="3189" spans="1:5" ht="15.75" customHeight="1" x14ac:dyDescent="0.25">
      <c r="A3189" s="1" t="s">
        <v>6377</v>
      </c>
      <c r="B3189" s="1">
        <v>121913</v>
      </c>
      <c r="C3189" s="3">
        <v>43903.230150462965</v>
      </c>
      <c r="D3189" s="1" t="s">
        <v>6378</v>
      </c>
      <c r="E3189" s="4" t="str">
        <f ca="1">IFERROR(__xludf.DUMMYFUNCTION("GOOGLETRANSLATE(A3189 , ""tr"" , ""en"")"),"The test resulted in yesterday evening confirmed a sad prediction. We have another patient. The first patient is from the surroundings of the diagnosis. We have applied to the necessary measures to keep the potential spread of the virus within these limit"&amp;"s. We will come together overcome the problem.")</f>
        <v>The test resulted in yesterday evening confirmed a sad prediction. We have another patient. The first patient is from the surroundings of the diagnosis. We have applied to the necessary measures to keep the potential spread of the virus within these limits. We will come together overcome the problem.</v>
      </c>
    </row>
    <row r="3190" spans="1:5" ht="15.75" customHeight="1" x14ac:dyDescent="0.25">
      <c r="A3190" s="1" t="s">
        <v>6379</v>
      </c>
      <c r="B3190" s="1">
        <v>20545</v>
      </c>
      <c r="C3190" s="3">
        <v>43902.919212962966</v>
      </c>
      <c r="D3190" s="1" t="s">
        <v>6380</v>
      </c>
      <c r="E3190" s="4" t="str">
        <f ca="1">IFERROR(__xludf.DUMMYFUNCTION("GOOGLETRANSLATE(A3190 , ""tr"" , ""en"")"),"In the head of the President, we have made a peak in the day. We tied new national measures against the global coronavirus epidemic. The level of trust against Turkey's risks will increase further. Let's keep the measures tight. May the problem remain und"&amp;"er our control. https://t.co/5v3sv5zj0s")</f>
        <v>In the head of the President, we have made a peak in the day. We tied new national measures against the global coronavirus epidemic. The level of trust against Turkey's risks will increase further. Let's keep the measures tight. May the problem remain under our control. https://t.co/5v3sv5zj0s</v>
      </c>
    </row>
    <row r="3191" spans="1:5" ht="15.75" customHeight="1" x14ac:dyDescent="0.25">
      <c r="A3191" s="1" t="s">
        <v>6381</v>
      </c>
      <c r="B3191" s="1">
        <v>46833</v>
      </c>
      <c r="C3191" s="3">
        <v>43902.417083333334</v>
      </c>
      <c r="D3191" s="1" t="s">
        <v>6382</v>
      </c>
      <c r="E3191" s="4" t="str">
        <f ca="1">IFERROR(__xludf.DUMMYFUNCTION("GOOGLETRANSLATE(A3191 , ""tr"" , ""en"")"),"Let's resist 2 months. The effect of the virus is reduced. The forecast of the Science Board is in this direction. This disease is more one winter infection. If we take measures, it is likely that if we prevent spreading, it is likely to normal in 2 month"&amp;"s. https://t.co/6ewrj9arpd")</f>
        <v>Let's resist 2 months. The effect of the virus is reduced. The forecast of the Science Board is in this direction. This disease is more one winter infection. If we take measures, it is likely that if we prevent spreading, it is likely to normal in 2 months. https://t.co/6ewrj9arpd</v>
      </c>
    </row>
    <row r="3192" spans="1:5" ht="15.75" customHeight="1" x14ac:dyDescent="0.25">
      <c r="A3192" s="1" t="s">
        <v>6383</v>
      </c>
      <c r="B3192" s="1">
        <v>17989</v>
      </c>
      <c r="C3192" s="3">
        <v>43902.294305555559</v>
      </c>
      <c r="D3192" s="1" t="s">
        <v>6384</v>
      </c>
      <c r="E3192" s="4" t="str">
        <f ca="1">IFERROR(__xludf.DUMMYFUNCTION("GOOGLETRANSLATE(A3192 , ""tr"" , ""en"")"),"The media is one of the main actors of this national struggle. We conducted the process together until today. We've been transparent, we have gained support. Our work union will continue with the same principles. The tool is reputable media. Are the reput"&amp;"able members of the media. You are you. https://t.co/etqxyo56rr")</f>
        <v>The media is one of the main actors of this national struggle. We conducted the process together until today. We've been transparent, we have gained support. Our work union will continue with the same principles. The tool is reputable media. Are the reputable members of the media. You are you. https://t.co/etqxyo56rr</v>
      </c>
    </row>
    <row r="3193" spans="1:5" ht="15.75" customHeight="1" x14ac:dyDescent="0.25">
      <c r="A3193" s="1" t="s">
        <v>6385</v>
      </c>
      <c r="B3193" s="1">
        <v>19669</v>
      </c>
      <c r="C3193" s="3">
        <v>43901.842928240738</v>
      </c>
      <c r="D3193" s="1" t="s">
        <v>6386</v>
      </c>
      <c r="E3193" s="4" t="str">
        <f ca="1">IFERROR(__xludf.DUMMYFUNCTION("GOOGLETRANSLATE(A3193 , ""tr"" , ""en"")"),"We manage the process with the decisions we received in our science board. The subject is above political. The solution is solidarity. The condition of the struggle is the measure. Our strategy is transparency. To our health system, let's trust our scient"&amp;"ists. https://t.co/s7ry2jlzws")</f>
        <v>We manage the process with the decisions we received in our science board. The subject is above political. The solution is solidarity. The condition of the struggle is the measure. Our strategy is transparency. To our health system, let's trust our scientists. https://t.co/s7ry2jlzws</v>
      </c>
    </row>
    <row r="3194" spans="1:5" ht="15.75" customHeight="1" x14ac:dyDescent="0.25">
      <c r="A3194" s="1" t="s">
        <v>6387</v>
      </c>
      <c r="B3194" s="1">
        <v>15513</v>
      </c>
      <c r="C3194" s="3">
        <v>43901.834918981483</v>
      </c>
      <c r="D3194" s="1" t="s">
        <v>6388</v>
      </c>
      <c r="E3194" s="4" t="str">
        <f ca="1">IFERROR(__xludf.DUMMYFUNCTION("GOOGLETRANSLATE(A3194 , ""tr"" , ""en"")"),"No antibiotic or medicine that can be effective against any virus. In the event that we are facing, the primary, effective medicine against the virus; The transmission of the disease is reliable information to prevent the spread. The correct information i"&amp;"s worth the drug. https://t.co/dzx9cqaehj")</f>
        <v>No antibiotic or medicine that can be effective against any virus. In the event that we are facing, the primary, effective medicine against the virus; The transmission of the disease is reliable information to prevent the spread. The correct information is worth the drug. https://t.co/dzx9cqaehj</v>
      </c>
    </row>
    <row r="3195" spans="1:5" ht="15.75" customHeight="1" x14ac:dyDescent="0.25">
      <c r="A3195" s="1" t="s">
        <v>6389</v>
      </c>
      <c r="B3195" s="1">
        <v>22828</v>
      </c>
      <c r="C3195" s="3">
        <v>43901.827222222222</v>
      </c>
      <c r="D3195" s="1" t="s">
        <v>6390</v>
      </c>
      <c r="E3195" s="4" t="str">
        <f ca="1">IFERROR(__xludf.DUMMYFUNCTION("GOOGLETRANSLATE(A3195 , ""tr"" , ""en"")"),"Yesterday, the first time we made a press conference at night hours. We fulfilled the need for the transparency we showed without hesitation for the past 90 days. Our state did not hesitate to give the positive diagnostic knowledge to the public. Transpar"&amp;"ency in this struggle is essential. https://t.co/oys3siyhyw")</f>
        <v>Yesterday, the first time we made a press conference at night hours. We fulfilled the need for the transparency we showed without hesitation for the past 90 days. Our state did not hesitate to give the positive diagnostic knowledge to the public. Transparency in this struggle is essential. https://t.co/oys3siyhyw</v>
      </c>
    </row>
    <row r="3196" spans="1:5" ht="15.75" customHeight="1" x14ac:dyDescent="0.25">
      <c r="A3196" s="1" t="s">
        <v>6391</v>
      </c>
      <c r="B3196" s="1">
        <v>8646</v>
      </c>
      <c r="C3196" s="3">
        <v>43901.594259259262</v>
      </c>
      <c r="D3196" s="1" t="s">
        <v>6392</v>
      </c>
      <c r="E3196" s="4" t="str">
        <f ca="1">IFERROR(__xludf.DUMMYFUNCTION("GOOGLETRANSLATE(A3196 , ""tr"" , ""en"")"),"After our scientific commercial meeting, we evaluate the latest developments and the common measures we receive with our Mr. Ministers.
Bilkent Campus / Ankara https://t.co/ma5l3adera")</f>
        <v>After our scientific commercial meeting, we evaluate the latest developments and the common measures we receive with our Mr. Ministers.
Bilkent Campus / Ankara https://t.co/ma5l3adera</v>
      </c>
    </row>
    <row r="3197" spans="1:5" ht="15.75" customHeight="1" x14ac:dyDescent="0.25">
      <c r="A3197" s="1" t="s">
        <v>6393</v>
      </c>
      <c r="B3197" s="1">
        <v>78413</v>
      </c>
      <c r="C3197" s="3">
        <v>43901.538993055554</v>
      </c>
      <c r="D3197" s="1" t="s">
        <v>6394</v>
      </c>
      <c r="E3197" s="4" t="str">
        <f ca="1">IFERROR(__xludf.DUMMYFUNCTION("GOOGLETRANSLATE(A3197 , ""tr"" , ""en"")"),"Fastens the success of fast-radiating contagious diseases 4 things. Strong measure, speedy intervention, common health infrastructure, reassuring information. We have this 4. We are in a measure. We will give the struggle together. We will let you know ea"&amp;"ch important thing in meticulousness.")</f>
        <v>Fastens the success of fast-radiating contagious diseases 4 things. Strong measure, speedy intervention, common health infrastructure, reassuring information. We have this 4. We are in a measure. We will give the struggle together. We will let you know each important thing in meticulousness.</v>
      </c>
    </row>
    <row r="3198" spans="1:5" ht="15.75" customHeight="1" x14ac:dyDescent="0.25">
      <c r="A3198" s="1" t="s">
        <v>6395</v>
      </c>
      <c r="B3198" s="1">
        <v>7382</v>
      </c>
      <c r="C3198" s="3">
        <v>43901.478807870371</v>
      </c>
      <c r="D3198" s="1" t="s">
        <v>6396</v>
      </c>
      <c r="E3198" s="4" t="str">
        <f ca="1">IFERROR(__xludf.DUMMYFUNCTION("GOOGLETRANSLATE(A3198 , ""tr"" , ""en"")"),"Our President of our President @rterdogan started to talk at today's AK Party Group Meeting, taking care of the Coronavirus agenda in our country. Tomorrow, with the relevant ministers and institutions, we will make a meeting under the head of them. https"&amp;"://t.co/hktbig5fkd")</f>
        <v>Our President of our President @rterdogan started to talk at today's AK Party Group Meeting, taking care of the Coronavirus agenda in our country. Tomorrow, with the relevant ministers and institutions, we will make a meeting under the head of them. https://t.co/hktbig5fkd</v>
      </c>
    </row>
    <row r="3199" spans="1:5" ht="15.75" customHeight="1" x14ac:dyDescent="0.25">
      <c r="A3199" s="1" t="s">
        <v>6397</v>
      </c>
      <c r="B3199" s="1">
        <v>20771</v>
      </c>
      <c r="C3199" s="3">
        <v>43901.387719907405</v>
      </c>
      <c r="D3199" s="1" t="s">
        <v>6398</v>
      </c>
      <c r="E3199" s="4" t="str">
        <f ca="1">IFERROR(__xludf.DUMMYFUNCTION("GOOGLETRANSLATE(A3199 , ""tr"" , ""en"")"),"One or several cases are not epidemic. The situation means that the virus enters the limits of our country. This is the only meaning in isolated case. We have to do is to put our lives in line with the measures. Coronavirus is not stronger than the measur"&amp;"es we will get. https://t.co/ijeemtd3nw")</f>
        <v>One or several cases are not epidemic. The situation means that the virus enters the limits of our country. This is the only meaning in isolated case. We have to do is to put our lives in line with the measures. Coronavirus is not stronger than the measures we will get. https://t.co/ijeemtd3nw</v>
      </c>
    </row>
    <row r="3200" spans="1:5" ht="15.75" customHeight="1" x14ac:dyDescent="0.25">
      <c r="A3200" s="1" t="s">
        <v>6399</v>
      </c>
      <c r="B3200" s="1">
        <v>15955</v>
      </c>
      <c r="C3200" s="3">
        <v>43901.343900462962</v>
      </c>
      <c r="D3200" s="1" t="s">
        <v>6400</v>
      </c>
      <c r="E3200" s="4" t="str">
        <f ca="1">IFERROR(__xludf.DUMMYFUNCTION("GOOGLETRANSLATE(A3200 , ""tr"" , ""en"")"),"Our country had previously taken their measures for the possible case. Health personnel were trained against the situation of the disease in any place. Hospital, quarantine preparations are completed. One or several cases are not epidemic. The quarantined"&amp;" patient cannot threaten the society. https://t.co/ujbdtitu12")</f>
        <v>Our country had previously taken their measures for the possible case. Health personnel were trained against the situation of the disease in any place. Hospital, quarantine preparations are completed. One or several cases are not epidemic. The quarantined patient cannot threaten the society. https://t.co/ujbdtitu12</v>
      </c>
    </row>
    <row r="3201" spans="1:5" ht="15.75" customHeight="1" x14ac:dyDescent="0.25">
      <c r="A3201" s="1" t="s">
        <v>6401</v>
      </c>
      <c r="B3201" s="1">
        <v>30106</v>
      </c>
      <c r="C3201" s="3">
        <v>43901.300520833334</v>
      </c>
      <c r="D3201" s="1" t="s">
        <v>6402</v>
      </c>
      <c r="E3201" s="4" t="str">
        <f ca="1">IFERROR(__xludf.DUMMYFUNCTION("GOOGLETRANSLATE(A3201 , ""tr"" , ""en"")"),"Yesterday, the test result of our citizen was positive. Virus is known to have received via European theme. Isolated from the outer world. His family is under supervision. The quarantined patient cannot threaten the society. The news is sad, not frighteni"&amp;"ng. https://t.co/nsmg8HQIFW")</f>
        <v>Yesterday, the test result of our citizen was positive. Virus is known to have received via European theme. Isolated from the outer world. His family is under supervision. The quarantined patient cannot threaten the society. The news is sad, not frightening. https://t.co/nsmg8HQIFW</v>
      </c>
    </row>
    <row r="3202" spans="1:5" ht="15" customHeight="1" x14ac:dyDescent="0.2">
      <c r="A3202" s="1" t="s">
        <v>6403</v>
      </c>
      <c r="B3202" s="1">
        <v>0</v>
      </c>
      <c r="C3202" s="3">
        <v>44551.690196759257</v>
      </c>
      <c r="D3202" s="1" t="s">
        <v>6404</v>
      </c>
      <c r="E3202" s="1" t="str">
        <f ca="1">IFERROR(__xludf.DUMMYFUNCTION("GOOGLETRANSLATE(A1 , ""tr"" , ""en"")"),"@drfahrettinkoca Sayin Minister, First Basta 2 Sinovac, Write 2 Biontech Bazi 65 Mourning top of the top of the top of the top ... https://t.co/t0wcdodfnu")</f>
        <v>@drfahrettinkoca Sayin Minister, First Basta 2 Sinovac, Write 2 Biontech Bazi 65 Mourning top of the top of the top of the top ... https://t.co/t0wcdodfnu</v>
      </c>
    </row>
    <row r="3203" spans="1:5" ht="15" customHeight="1" x14ac:dyDescent="0.2">
      <c r="A3203" s="1" t="s">
        <v>6405</v>
      </c>
      <c r="B3203" s="1">
        <v>0</v>
      </c>
      <c r="C3203" s="3">
        <v>44551.667696759258</v>
      </c>
      <c r="D3203" s="1" t="s">
        <v>6406</v>
      </c>
      <c r="E3203" s="1" t="str">
        <f ca="1">IFERROR(__xludf.DUMMYFUNCTION("GOOGLETRANSLATE(A2 , ""tr"" , ""en"")"),"@drfahrettinkoca I'm writing a citizen and a citizenship gorevimi I'm writing to fulfill the Gorevimi and informed 184 ... Https://t.co/32epafk1on")</f>
        <v>@drfahrettinkoca I'm writing a citizen and a citizenship gorevimi I'm writing to fulfill the Gorevimi and informed 184 ... Https://t.co/32epafk1on</v>
      </c>
    </row>
    <row r="3204" spans="1:5" ht="15" customHeight="1" x14ac:dyDescent="0.2">
      <c r="A3204" s="1" t="s">
        <v>6407</v>
      </c>
      <c r="B3204" s="1">
        <v>0</v>
      </c>
      <c r="C3204" s="3">
        <v>44551.665092592593</v>
      </c>
      <c r="D3204" s="1" t="s">
        <v>6408</v>
      </c>
      <c r="E3204" s="1" t="str">
        <f ca="1">IFERROR(__xludf.DUMMYFUNCTION("GOOGLETRANSLATE(A3 , ""tr"" , ""en"")"),"@drfahrettinkoca is lying in the vaccines of the vaccines. https://t.co/en3cvmoaaa")</f>
        <v>@drfahrettinkoca is lying in the vaccines of the vaccines. https://t.co/en3cvmoaaa</v>
      </c>
    </row>
    <row r="3205" spans="1:5" ht="15" customHeight="1" x14ac:dyDescent="0.2">
      <c r="A3205" s="1" t="s">
        <v>6409</v>
      </c>
      <c r="B3205" s="1">
        <v>0</v>
      </c>
      <c r="C3205" s="3">
        <v>44551.655104166668</v>
      </c>
      <c r="D3205" s="1" t="s">
        <v>6410</v>
      </c>
      <c r="E3205" s="1" t="str">
        <f ca="1">IFERROR(__xludf.DUMMYFUNCTION("GOOGLETRANSLATE(A4 , ""tr"" , ""en"")"),"@drfahrettinkoca @saglikbakanligi are days I can't reach 182 How do I have an appointment How do you don't have a Mhrs luck?")</f>
        <v>@drfahrettinkoca @saglikbakanligi are days I can't reach 182 How do I have an appointment How do you don't have a Mhrs luck?</v>
      </c>
    </row>
    <row r="3206" spans="1:5" ht="15" customHeight="1" x14ac:dyDescent="0.2">
      <c r="A3206" s="1" t="s">
        <v>6411</v>
      </c>
      <c r="B3206" s="1">
        <v>0</v>
      </c>
      <c r="C3206" s="3">
        <v>44551.649537037039</v>
      </c>
      <c r="D3206" s="1" t="s">
        <v>6412</v>
      </c>
      <c r="E3206" s="1" t="str">
        <f ca="1">IFERROR(__xludf.DUMMYFUNCTION("GOOGLETRANSLATE(A5 , ""tr"" , ""en"")"),"@drfahrettinkoca Ulan PUST PUST TRUE DATA KAHPE")</f>
        <v>@drfahrettinkoca Ulan PUST PUST TRUE DATA KAHPE</v>
      </c>
    </row>
    <row r="3207" spans="1:5" ht="15" customHeight="1" x14ac:dyDescent="0.2">
      <c r="A3207" s="1" t="s">
        <v>6413</v>
      </c>
      <c r="B3207" s="1">
        <v>1</v>
      </c>
      <c r="C3207" s="3">
        <v>44551.632060185184</v>
      </c>
      <c r="D3207" s="1" t="s">
        <v>6414</v>
      </c>
      <c r="E3207" s="1" t="str">
        <f ca="1">IFERROR(__xludf.DUMMYFUNCTION("GOOGLETRANSLATE(A6 , ""tr"" , ""en"")"),"@drfahrettinkoca Omicron also affects the inude and do not want to drown in the dormitory as students ... https://t.co/hodbrl8bp6")</f>
        <v>@drfahrettinkoca Omicron also affects the inude and do not want to drown in the dormitory as students ... https://t.co/hodbrl8bp6</v>
      </c>
    </row>
    <row r="3208" spans="1:5" ht="15" customHeight="1" x14ac:dyDescent="0.2">
      <c r="A3208" s="1" t="s">
        <v>6415</v>
      </c>
      <c r="B3208" s="1">
        <v>0</v>
      </c>
      <c r="C3208" s="3">
        <v>44551.629803240743</v>
      </c>
      <c r="D3208" s="1" t="s">
        <v>6416</v>
      </c>
      <c r="E3208" s="1" t="str">
        <f ca="1">IFERROR(__xludf.DUMMYFUNCTION("GOOGLETRANSLATE(A7 , ""tr"" , ""en"")"),"@drfahrettinkoca Mr. Ministry @drfahrettinkoca, Omicron Variant due to the Variant, the weather has cooled to the patients ... https://t.co/dtxzn1ugbz")</f>
        <v>@drfahrettinkoca Mr. Ministry @drfahrettinkoca, Omicron Variant due to the Variant, the weather has cooled to the patients ... https://t.co/dtxzn1ugbz</v>
      </c>
    </row>
    <row r="3209" spans="1:5" ht="15" customHeight="1" x14ac:dyDescent="0.2">
      <c r="A3209" s="1" t="s">
        <v>6417</v>
      </c>
      <c r="B3209" s="1">
        <v>0</v>
      </c>
      <c r="C3209" s="3">
        <v>44551.614490740743</v>
      </c>
      <c r="D3209" s="1" t="s">
        <v>6418</v>
      </c>
      <c r="E3209" s="1" t="str">
        <f ca="1">IFERROR(__xludf.DUMMYFUNCTION("GOOGLETRANSLATE(A8 , ""tr"" , ""en"")"),"@drfahrettinkoca Sayin Minister This is what you say is the powdery mulky you you believe in yourself really")</f>
        <v>@drfahrettinkoca Sayin Minister This is what you say is the powdery mulky you you believe in yourself really</v>
      </c>
    </row>
    <row r="3210" spans="1:5" ht="15" customHeight="1" x14ac:dyDescent="0.2">
      <c r="A3210" s="1" t="s">
        <v>6419</v>
      </c>
      <c r="B3210" s="1">
        <v>0</v>
      </c>
      <c r="C3210" s="3">
        <v>44551.607592592591</v>
      </c>
      <c r="D3210" s="1" t="s">
        <v>6420</v>
      </c>
      <c r="E3210" s="1" t="str">
        <f ca="1">IFERROR(__xludf.DUMMYFUNCTION("GOOGLETRANSLATE(A9 , ""tr"" , ""en"")"),"@drfahrettinka Our Koms in Yesterday Our Heart Crisis Dies")</f>
        <v>@drfahrettinka Our Koms in Yesterday Our Heart Crisis Dies</v>
      </c>
    </row>
    <row r="3211" spans="1:5" ht="15" customHeight="1" x14ac:dyDescent="0.2">
      <c r="A3211" s="1" t="s">
        <v>6421</v>
      </c>
      <c r="B3211" s="1">
        <v>0</v>
      </c>
      <c r="C3211" s="3">
        <v>44551.60560185185</v>
      </c>
      <c r="D3211" s="1" t="s">
        <v>6422</v>
      </c>
      <c r="E3211" s="1" t="str">
        <f ca="1">IFERROR(__xludf.DUMMYFUNCTION("GOOGLETRANSLATE(A10 , ""tr"" , ""en"")"),"@drfahrettinkoca WHO Different Different Figures You Are Not People Dishonest")</f>
        <v>@drfahrettinkoca WHO Different Different Figures You Are Not People Dishonest</v>
      </c>
    </row>
    <row r="3212" spans="1:5" ht="15" customHeight="1" x14ac:dyDescent="0.2">
      <c r="A3212" s="1" t="s">
        <v>6423</v>
      </c>
      <c r="B3212" s="1">
        <v>1</v>
      </c>
      <c r="C3212" s="3">
        <v>44551.599259259259</v>
      </c>
      <c r="D3212" s="1" t="s">
        <v>6424</v>
      </c>
      <c r="E3212" s="1" t="str">
        <f ca="1">IFERROR(__xludf.DUMMYFUNCTION("GOOGLETRANSLATE(A11 , ""tr"" , ""en"")"),"@drfahrettinkoca we had two biontech after two sinovac ... The last one is on August 25 ... but we don't make an appointment to 3. Biontech ...")</f>
        <v>@drfahrettinkoca we had two biontech after two sinovac ... The last one is on August 25 ... but we don't make an appointment to 3. Biontech ...</v>
      </c>
    </row>
    <row r="3213" spans="1:5" ht="15" customHeight="1" x14ac:dyDescent="0.2">
      <c r="A3213" s="1" t="s">
        <v>6425</v>
      </c>
      <c r="B3213" s="1">
        <v>0</v>
      </c>
      <c r="C3213" s="3">
        <v>44551.594606481478</v>
      </c>
      <c r="D3213" s="1" t="s">
        <v>6426</v>
      </c>
      <c r="E3213" s="1" t="str">
        <f ca="1">IFERROR(__xludf.DUMMYFUNCTION("GOOGLETRANSLATE(A12 , ""tr"" , ""en"")"),"@drfahrettinkoca phone as non-arrived, I can't make an appointment from the E- State .... 4- 5 months of the ragmen ....")</f>
        <v>@drfahrettinkoca phone as non-arrived, I can't make an appointment from the E- State .... 4- 5 months of the ragmen ....</v>
      </c>
    </row>
    <row r="3214" spans="1:5" ht="15" customHeight="1" x14ac:dyDescent="0.2">
      <c r="A3214" s="1" t="s">
        <v>6427</v>
      </c>
      <c r="B3214" s="1">
        <v>1</v>
      </c>
      <c r="C3214" s="3">
        <v>44551.592581018522</v>
      </c>
      <c r="D3214" s="1" t="s">
        <v>6428</v>
      </c>
      <c r="E3214" s="1" t="str">
        <f ca="1">IFERROR(__xludf.DUMMYFUNCTION("GOOGLETRANSLATE(A13 , ""tr"" , ""en"")"),"@drfahrettinkoca Everyday is a serious problem with a health personnel is a serious problem with the ignorance of this community ... https://t.co/Ip1wo14102")</f>
        <v>@drfahrettinkoca Everyday is a serious problem with a health personnel is a serious problem with the ignorance of this community ... https://t.co/Ip1wo14102</v>
      </c>
    </row>
    <row r="3215" spans="1:5" ht="15" customHeight="1" x14ac:dyDescent="0.2">
      <c r="A3215" s="1" t="s">
        <v>6429</v>
      </c>
      <c r="B3215" s="1">
        <v>0</v>
      </c>
      <c r="C3215" s="3">
        <v>44551.574421296296</v>
      </c>
      <c r="D3215" s="1" t="s">
        <v>6430</v>
      </c>
      <c r="E3215" s="1" t="str">
        <f ca="1">IFERROR(__xludf.DUMMYFUNCTION("GOOGLETRANSLATE(A14 , ""tr"" , ""en"")"),"@drfahrettinka https://t.co/yI9whhzlddy")</f>
        <v>@drfahrettinka https://t.co/yI9whhzlddy</v>
      </c>
    </row>
    <row r="3216" spans="1:5" ht="15" customHeight="1" x14ac:dyDescent="0.2">
      <c r="A3216" s="1" t="s">
        <v>6431</v>
      </c>
      <c r="B3216" s="1">
        <v>0</v>
      </c>
      <c r="C3216" s="3">
        <v>44551.564386574071</v>
      </c>
      <c r="D3216" s="1" t="s">
        <v>6432</v>
      </c>
      <c r="E3216" s="1" t="str">
        <f ca="1">IFERROR(__xludf.DUMMYFUNCTION("GOOGLETRANSLATE(A15 , ""tr"" , ""en"")"),"@drfahrettinkoca We can't make 2 Sinovac You don't give vaccine right over 65 years old !!!!!")</f>
        <v>@drfahrettinkoca We can't make 2 Sinovac You don't give vaccine right over 65 years old !!!!!</v>
      </c>
    </row>
    <row r="3217" spans="1:5" ht="15" customHeight="1" x14ac:dyDescent="0.2">
      <c r="A3217" s="1" t="s">
        <v>6433</v>
      </c>
      <c r="B3217" s="1">
        <v>0</v>
      </c>
      <c r="C3217" s="3">
        <v>44551.495682870373</v>
      </c>
      <c r="D3217" s="1" t="s">
        <v>6434</v>
      </c>
      <c r="E3217" s="1" t="str">
        <f ca="1">IFERROR(__xludf.DUMMYFUNCTION("GOOGLETRANSLATE(A16 , ""tr"" , ""en"")"),"@drfahrettinkoca EVERY 3 PEOPLE COVIDE ARRIVELY COVIDE ARRESTED INTEMPLE CRUSHING MUSPENSE MEMBERS DO NEXT MEASURES ... https://t.co/5k52ve0lvb")</f>
        <v>@drfahrettinkoca EVERY 3 PEOPLE COVIDE ARRIVELY COVIDE ARRESTED INTEMPLE CRUSHING MUSPENSE MEMBERS DO NEXT MEASURES ... https://t.co/5k52ve0lvb</v>
      </c>
    </row>
    <row r="3218" spans="1:5" ht="15" customHeight="1" x14ac:dyDescent="0.2">
      <c r="A3218" s="1" t="s">
        <v>6435</v>
      </c>
      <c r="B3218" s="1">
        <v>0</v>
      </c>
      <c r="C3218" s="3">
        <v>44551.494351851848</v>
      </c>
      <c r="D3218" s="1" t="s">
        <v>6436</v>
      </c>
      <c r="E3218" s="1" t="str">
        <f ca="1">IFERROR(__xludf.DUMMYFUNCTION("GOOGLETRANSLATE(A17 , ""tr"" , ""en"")"),"@drfahrettinkoca One of every 3 people is taking the mingled arm of the patient kurdi flu now taking the measures to do ... https://t.co/kvmf7cskrc")</f>
        <v>@drfahrettinkoca One of every 3 people is taking the mingled arm of the patient kurdi flu now taking the measures to do ... https://t.co/kvmf7cskrc</v>
      </c>
    </row>
    <row r="3219" spans="1:5" ht="15" customHeight="1" x14ac:dyDescent="0.2">
      <c r="A3219" s="1" t="s">
        <v>6437</v>
      </c>
      <c r="B3219" s="1">
        <v>0</v>
      </c>
      <c r="C3219" s="3">
        <v>44551.485844907409</v>
      </c>
      <c r="D3219" s="1" t="s">
        <v>6438</v>
      </c>
      <c r="E3219" s="1" t="str">
        <f ca="1">IFERROR(__xludf.DUMMYFUNCTION("GOOGLETRANSLATE(A18 , ""tr"" , ""en"")"),"@drfahrettinka https://t.co/klsqdtfxge")</f>
        <v>@drfahrettinka https://t.co/klsqdtfxge</v>
      </c>
    </row>
    <row r="3220" spans="1:5" ht="15" customHeight="1" x14ac:dyDescent="0.2">
      <c r="A3220" s="1" t="s">
        <v>6439</v>
      </c>
      <c r="B3220" s="1">
        <v>0</v>
      </c>
      <c r="C3220" s="3">
        <v>44551.478263888886</v>
      </c>
      <c r="D3220" s="1" t="s">
        <v>6440</v>
      </c>
      <c r="E3220" s="1" t="str">
        <f ca="1">IFERROR(__xludf.DUMMYFUNCTION("GOOGLETRANSLATE(A19 , ""tr"" , ""en"")"),"@drfahrettinkoca Mr. Ministry, with the new variant's reason, the reason for the vaccine in developed countries in the world ... https://t.co/f7zqwbdwj1")</f>
        <v>@drfahrettinkoca Mr. Ministry, with the new variant's reason, the reason for the vaccine in developed countries in the world ... https://t.co/f7zqwbdwj1</v>
      </c>
    </row>
    <row r="3221" spans="1:5" ht="15" customHeight="1" x14ac:dyDescent="0.2">
      <c r="A3221" s="1" t="s">
        <v>6441</v>
      </c>
      <c r="B3221" s="1">
        <v>0</v>
      </c>
      <c r="C3221" s="3">
        <v>44551.471886574072</v>
      </c>
      <c r="D3221" s="1" t="s">
        <v>6442</v>
      </c>
      <c r="E3221" s="1" t="str">
        <f ca="1">IFERROR(__xludf.DUMMYFUNCTION("GOOGLETRANSLATE(A20 , ""tr"" , ""en"")"),"@drfahrettinkoca Please describe vaccination for primary school children.")</f>
        <v>@drfahrettinkoca Please describe vaccination for primary school children.</v>
      </c>
    </row>
    <row r="3222" spans="1:5" ht="15" customHeight="1" x14ac:dyDescent="0.2">
      <c r="A3222" s="1" t="s">
        <v>6443</v>
      </c>
      <c r="B3222" s="1">
        <v>0</v>
      </c>
      <c r="C3222" s="3">
        <v>44551.441828703704</v>
      </c>
      <c r="D3222" s="1" t="s">
        <v>6444</v>
      </c>
      <c r="E3222" s="1" t="str">
        <f ca="1">IFERROR(__xludf.DUMMYFUNCTION("GOOGLETRANSLATE(A21 , ""tr"" , ""en"")"),"@drfahrettinkoca nation have been fooled with the only dose you would end with the vaccine addict you made the nation. You have hit the great drbe to economics")</f>
        <v>@drfahrettinkoca nation have been fooled with the only dose you would end with the vaccine addict you made the nation. You have hit the great drbe to economics</v>
      </c>
    </row>
    <row r="3223" spans="1:5" ht="15" customHeight="1" x14ac:dyDescent="0.2">
      <c r="A3223" s="1" t="s">
        <v>6445</v>
      </c>
      <c r="B3223" s="1">
        <v>9</v>
      </c>
      <c r="C3223" s="3">
        <v>44551.428217592591</v>
      </c>
      <c r="D3223" s="1" t="s">
        <v>6446</v>
      </c>
      <c r="E3223" s="1" t="str">
        <f ca="1">IFERROR(__xludf.DUMMYFUNCTION("GOOGLETRANSLATE(A22 , ""tr"" , ""en"")"),"@drfahrettinkoca What did you want to remind you?")</f>
        <v>@drfahrettinkoca What did you want to remind you?</v>
      </c>
    </row>
    <row r="3224" spans="1:5" ht="15" customHeight="1" x14ac:dyDescent="0.2">
      <c r="A3224" s="1" t="s">
        <v>6447</v>
      </c>
      <c r="B3224" s="1">
        <v>0</v>
      </c>
      <c r="C3224" s="3">
        <v>44551.425486111111</v>
      </c>
      <c r="D3224" s="1" t="s">
        <v>6448</v>
      </c>
      <c r="E3224" s="1" t="str">
        <f ca="1">IFERROR(__xludf.DUMMYFUNCTION("GOOGLETRANSLATE(A23 , ""tr"" , ""en"")"),"If @drfahrettinkoca protects why you need the reminder dose so many dose of people will be that vaccine")</f>
        <v>If @drfahrettinkoca protects why you need the reminder dose so many dose of people will be that vaccine</v>
      </c>
    </row>
    <row r="3225" spans="1:5" ht="15" customHeight="1" x14ac:dyDescent="0.2">
      <c r="A3225" s="1" t="s">
        <v>6449</v>
      </c>
      <c r="B3225" s="1">
        <v>0</v>
      </c>
      <c r="C3225" s="3">
        <v>44551.425046296295</v>
      </c>
      <c r="D3225" s="1" t="s">
        <v>6450</v>
      </c>
      <c r="E3225" s="1" t="str">
        <f ca="1">IFERROR(__xludf.DUMMYFUNCTION("GOOGLETRANSLATE(A24 , ""tr"" , ""en"")"),"@drfahrettinkoca @rterdogan @Mehmedmus @ ersinyazici1 @Fahrettinaltun Antalya Means in Manavgatta Pharmacy Mama Y ... https://t.co/4eudlhal06")</f>
        <v>@drfahrettinkoca @rterdogan @Mehmedmus @ ersinyazici1 @Fahrettinaltun Antalya Means in Manavgatta Pharmacy Mama Y ... https://t.co/4eudlhal06</v>
      </c>
    </row>
    <row r="3226" spans="1:5" ht="15" customHeight="1" x14ac:dyDescent="0.2">
      <c r="A3226" s="1" t="s">
        <v>6451</v>
      </c>
      <c r="B3226" s="1">
        <v>0</v>
      </c>
      <c r="C3226" s="3">
        <v>44551.421770833331</v>
      </c>
      <c r="D3226" s="1" t="s">
        <v>6452</v>
      </c>
      <c r="E3226" s="1" t="str">
        <f ca="1">IFERROR(__xludf.DUMMYFUNCTION("GOOGLETRANSLATE(A25 , ""tr"" , ""en"")"),"@drfahrettinkoca last Sunday I'm doing test positive I'm fine now 14 days I don't want to sleep at home hospital Gi ... https://t.co/wzfxdv9mfb")</f>
        <v>@drfahrettinkoca last Sunday I'm doing test positive I'm fine now 14 days I don't want to sleep at home hospital Gi ... https://t.co/wzfxdv9mfb</v>
      </c>
    </row>
    <row r="3227" spans="1:5" ht="15" customHeight="1" x14ac:dyDescent="0.2">
      <c r="A3227" s="1" t="s">
        <v>6453</v>
      </c>
      <c r="B3227" s="1">
        <v>0</v>
      </c>
      <c r="C3227" s="3">
        <v>44551.398877314816</v>
      </c>
      <c r="D3227" s="1" t="s">
        <v>6454</v>
      </c>
      <c r="E3227" s="1" t="str">
        <f ca="1">IFERROR(__xludf.DUMMYFUNCTION("GOOGLETRANSLATE(A26 , ""tr"" , ""en"")"),"@drfahrettinkoca 5. When will the dose open ...!")</f>
        <v>@drfahrettinkoca 5. When will the dose open ...!</v>
      </c>
    </row>
    <row r="3228" spans="1:5" ht="15" customHeight="1" x14ac:dyDescent="0.2">
      <c r="A3228" s="1" t="s">
        <v>6455</v>
      </c>
      <c r="B3228" s="1">
        <v>0</v>
      </c>
      <c r="C3228" s="3">
        <v>44551.398240740738</v>
      </c>
      <c r="D3228" s="1" t="s">
        <v>6456</v>
      </c>
      <c r="E3228" s="1" t="str">
        <f ca="1">IFERROR(__xludf.DUMMYFUNCTION("GOOGLETRANSLATE(A27 , ""tr"" , ""en"")"),"@drfahrettinkoca is the history of the vaccine in the time of time ...!")</f>
        <v>@drfahrettinkoca is the history of the vaccine in the time of time ...!</v>
      </c>
    </row>
    <row r="3229" spans="1:5" ht="15" customHeight="1" x14ac:dyDescent="0.2">
      <c r="A3229" s="1" t="s">
        <v>6457</v>
      </c>
      <c r="B3229" s="1">
        <v>0</v>
      </c>
      <c r="C3229" s="3">
        <v>44551.389421296299</v>
      </c>
      <c r="D3229" s="1" t="s">
        <v>6458</v>
      </c>
      <c r="E3229" s="1" t="str">
        <f ca="1">IFERROR(__xludf.DUMMYFUNCTION("GOOGLETRANSLATE(A28 , ""tr"" , ""en"")"),"@drfahrettinka https://t.co/6mob6nh3q2")</f>
        <v>@drfahrettinka https://t.co/6mob6nh3q2</v>
      </c>
    </row>
    <row r="3230" spans="1:5" ht="15" customHeight="1" x14ac:dyDescent="0.2">
      <c r="A3230" s="1" t="s">
        <v>6459</v>
      </c>
      <c r="B3230" s="1">
        <v>0</v>
      </c>
      <c r="C3230" s="3">
        <v>44551.382349537038</v>
      </c>
      <c r="D3230" s="1" t="s">
        <v>6460</v>
      </c>
      <c r="E3230" s="1" t="str">
        <f ca="1">IFERROR(__xludf.DUMMYFUNCTION("GOOGLETRANSLATE(A29 , ""tr"" , ""en"")"),"@drfahrettinkoca See Mr. Minister See SHOULDA SHAKE DOLLES #DRFahrettinkoca Hani We are developing ... https://t.co/nik3AL3I3E")</f>
        <v>@drfahrettinkoca See Mr. Minister See SHOULDA SHAKE DOLLES #DRFahrettinkoca Hani We are developing ... https://t.co/nik3AL3I3E</v>
      </c>
    </row>
    <row r="3231" spans="1:5" ht="15" customHeight="1" x14ac:dyDescent="0.2">
      <c r="A3231" s="1" t="s">
        <v>6461</v>
      </c>
      <c r="B3231" s="1">
        <v>1</v>
      </c>
      <c r="C3231" s="3">
        <v>44551.382164351853</v>
      </c>
      <c r="D3231" s="1" t="s">
        <v>6462</v>
      </c>
      <c r="E3231" s="1" t="str">
        <f ca="1">IFERROR(__xludf.DUMMYFUNCTION("GOOGLETRANSLATE(A30 , ""tr"" , ""en"")"),"@drfahrettinkoca https://t.co/lgtuahued1")</f>
        <v>@drfahrettinkoca https://t.co/lgtuahued1</v>
      </c>
    </row>
    <row r="3232" spans="1:5" ht="15" customHeight="1" x14ac:dyDescent="0.2">
      <c r="A3232" s="1" t="s">
        <v>6463</v>
      </c>
      <c r="B3232" s="1">
        <v>1</v>
      </c>
      <c r="C3232" s="3">
        <v>44551.365219907406</v>
      </c>
      <c r="D3232" s="1" t="s">
        <v>6464</v>
      </c>
      <c r="E3232" s="1" t="str">
        <f ca="1">IFERROR(__xludf.DUMMYFUNCTION("GOOGLETRANSLATE(A31 , ""tr"" , ""en"")"),"@drfahrettinkoca chips are you will be cramming when Mr. Mr. Minister people are cramming the chips animal MIKi these folks chip ... https://t.co/TQ1RQMWSI6")</f>
        <v>@drfahrettinkoca chips are you will be cramming when Mr. Mr. Minister people are cramming the chips animal MIKi these folks chip ... https://t.co/TQ1RQMWSI6</v>
      </c>
    </row>
    <row r="3233" spans="1:5" ht="15" customHeight="1" x14ac:dyDescent="0.2">
      <c r="A3233" s="1" t="s">
        <v>6465</v>
      </c>
      <c r="B3233" s="1">
        <v>0</v>
      </c>
      <c r="C3233" s="3">
        <v>44551.352256944447</v>
      </c>
      <c r="D3233" s="1" t="s">
        <v>6466</v>
      </c>
      <c r="E3233" s="1" t="str">
        <f ca="1">IFERROR(__xludf.DUMMYFUNCTION("GOOGLETRANSLATE(A32 , ""tr"" , ""en"")"),"@drfahrettinkoca Madem Schools Open O zmn Every week you come to test")</f>
        <v>@drfahrettinkoca Madem Schools Open O zmn Every week you come to test</v>
      </c>
    </row>
    <row r="3234" spans="1:5" ht="15" customHeight="1" x14ac:dyDescent="0.2">
      <c r="A3234" s="1" t="s">
        <v>6467</v>
      </c>
      <c r="B3234" s="1">
        <v>0</v>
      </c>
      <c r="C3234" s="3">
        <v>44551.347881944443</v>
      </c>
      <c r="D3234" s="1" t="s">
        <v>6468</v>
      </c>
      <c r="E3234" s="1" t="str">
        <f ca="1">IFERROR(__xludf.DUMMYFUNCTION("GOOGLETRANSLATE(A33 , ""tr"" , ""en"")"),"@drfahrettinkoca I'm not going to make")</f>
        <v>@drfahrettinkoca I'm not going to make</v>
      </c>
    </row>
    <row r="3235" spans="1:5" ht="15" customHeight="1" x14ac:dyDescent="0.2">
      <c r="A3235" s="1" t="s">
        <v>6469</v>
      </c>
      <c r="B3235" s="1">
        <v>3</v>
      </c>
      <c r="C3235" s="3">
        <v>44551.336006944446</v>
      </c>
      <c r="D3235" s="1" t="s">
        <v>6470</v>
      </c>
      <c r="E3235" s="1" t="str">
        <f ca="1">IFERROR(__xludf.DUMMYFUNCTION("GOOGLETRANSLATE(A34 , ""tr"" , ""en"")"),"@drfahrettinkoca Truck hit the wall, refugees and escape ... Do you have a mask? Don't have distance? Hygans Hijye ... https://t.co/EkZK9ILDJ2")</f>
        <v>@drfahrettinkoca Truck hit the wall, refugees and escape ... Do you have a mask? Don't have distance? Hygans Hijye ... https://t.co/EkZK9ILDJ2</v>
      </c>
    </row>
    <row r="3236" spans="1:5" ht="15" customHeight="1" x14ac:dyDescent="0.2">
      <c r="A3236" s="1" t="s">
        <v>6471</v>
      </c>
      <c r="B3236" s="1">
        <v>0</v>
      </c>
      <c r="C3236" s="3">
        <v>44551.330752314818</v>
      </c>
      <c r="D3236" s="1" t="s">
        <v>6472</v>
      </c>
      <c r="E3236" s="1" t="str">
        <f ca="1">IFERROR(__xludf.DUMMYFUNCTION("GOOGLETRANSLATE(A35 , ""tr"" , ""en"")"),"@drfahrettinkoca hospital are also giving blood analysis with someone else's although this is an irresponsibility !!")</f>
        <v>@drfahrettinkoca hospital are also giving blood analysis with someone else's although this is an irresponsibility !!</v>
      </c>
    </row>
    <row r="3237" spans="1:5" ht="15" customHeight="1" x14ac:dyDescent="0.2">
      <c r="A3237" s="1" t="s">
        <v>6473</v>
      </c>
      <c r="B3237" s="1">
        <v>5</v>
      </c>
      <c r="C3237" s="3">
        <v>44551.324317129627</v>
      </c>
      <c r="D3237" s="1" t="s">
        <v>6474</v>
      </c>
      <c r="E3237" s="1" t="str">
        <f ca="1">IFERROR(__xludf.DUMMYFUNCTION("GOOGLETRANSLATE(A36 , ""tr"" , ""en"")"),"@drfahrettinka https://t.co/fgn6d4y8hn no longer leave us comfortable, no responsibility no tracking Statistics, mask, mesa ... https://t.co/n9o0eo6pxv")</f>
        <v>@drfahrettinka https://t.co/fgn6d4y8hn no longer leave us comfortable, no responsibility no tracking Statistics, mask, mesa ... https://t.co/n9o0eo6pxv</v>
      </c>
    </row>
    <row r="3238" spans="1:5" ht="15" customHeight="1" x14ac:dyDescent="0.2">
      <c r="A3238" s="1" t="s">
        <v>6475</v>
      </c>
      <c r="B3238" s="1">
        <v>0</v>
      </c>
      <c r="C3238" s="3">
        <v>44551.323842592596</v>
      </c>
      <c r="D3238" s="1" t="s">
        <v>6476</v>
      </c>
      <c r="E3238" s="1" t="str">
        <f ca="1">IFERROR(__xludf.DUMMYFUNCTION("GOOGLETRANSLATE(A37 , ""tr"" , ""en"")"),"@drfahrettinkoca You have landed 3 months from 6 months, now it seems 2 months in HEPP application. According to which study result?")</f>
        <v>@drfahrettinkoca You have landed 3 months from 6 months, now it seems 2 months in HEPP application. According to which study result?</v>
      </c>
    </row>
    <row r="3239" spans="1:5" ht="15" customHeight="1" x14ac:dyDescent="0.2">
      <c r="A3239" s="1" t="s">
        <v>6477</v>
      </c>
      <c r="B3239" s="1">
        <v>2</v>
      </c>
      <c r="C3239" s="3">
        <v>44551.323634259257</v>
      </c>
      <c r="D3239" s="1" t="s">
        <v>6478</v>
      </c>
      <c r="E3239" s="1" t="str">
        <f ca="1">IFERROR(__xludf.DUMMYFUNCTION("GOOGLETRANSLATE(A38 , ""tr"" , ""en"")"),"@drfahrettinkoca @drfahrettinka https://t.co/B3IbW4Bkul")</f>
        <v>@drfahrettinkoca @drfahrettinka https://t.co/B3IbW4Bkul</v>
      </c>
    </row>
    <row r="3240" spans="1:5" ht="15" customHeight="1" x14ac:dyDescent="0.2">
      <c r="A3240" s="1" t="s">
        <v>6479</v>
      </c>
      <c r="B3240" s="1">
        <v>0</v>
      </c>
      <c r="C3240" s="3">
        <v>44551.317314814813</v>
      </c>
      <c r="D3240" s="1" t="s">
        <v>6480</v>
      </c>
      <c r="E3240" s="1" t="str">
        <f ca="1">IFERROR(__xludf.DUMMYFUNCTION("GOOGLETRANSLATE(A39 , ""tr"" , ""en"")"),"@drfahrettinkoca is the days for my son I don't have the right of vaccination wrote: @drfahrettinkca vaccine right to identification ... https://t.co/o7getn6rnl")</f>
        <v>@drfahrettinkoca is the days for my son I don't have the right of vaccination wrote: @drfahrettinkca vaccine right to identification ... https://t.co/o7getn6rnl</v>
      </c>
    </row>
    <row r="3241" spans="1:5" ht="15" customHeight="1" x14ac:dyDescent="0.2">
      <c r="A3241" s="1" t="s">
        <v>6481</v>
      </c>
      <c r="B3241" s="1">
        <v>1</v>
      </c>
      <c r="C3241" s="3">
        <v>44551.309074074074</v>
      </c>
      <c r="D3241" s="1" t="s">
        <v>6482</v>
      </c>
      <c r="E3241" s="1" t="str">
        <f ca="1">IFERROR(__xludf.DUMMYFUNCTION("GOOGLETRANSLATE(A40 , ""tr"" , ""en"")"),"@drfahrettinkoca Mr. Minister Amicron Variant hazard When the hazard is in the middle, the Faculty of Education (AÖF) Students ... https://t.co/sk5om1j15I")</f>
        <v>@drfahrettinkoca Mr. Minister Amicron Variant hazard When the hazard is in the middle, the Faculty of Education (AÖF) Students ... https://t.co/sk5om1j15I</v>
      </c>
    </row>
    <row r="3242" spans="1:5" ht="15" customHeight="1" x14ac:dyDescent="0.2">
      <c r="A3242" s="1" t="s">
        <v>6483</v>
      </c>
      <c r="B3242" s="1">
        <v>0</v>
      </c>
      <c r="C3242" s="3">
        <v>44551.306192129632</v>
      </c>
      <c r="D3242" s="1" t="s">
        <v>6484</v>
      </c>
      <c r="E3242" s="1" t="str">
        <f ca="1">IFERROR(__xludf.DUMMYFUNCTION("GOOGLETRANSLATE(A41 , ""tr"" , ""en"")"),"@drfahrettinkoca Yesterday 3 o'clock at 3 o'clock my daughter I have been up to this clock this time is still coming in a message ... https://t.co/sfit6hu0mi")</f>
        <v>@drfahrettinkoca Yesterday 3 o'clock at 3 o'clock my daughter I have been up to this clock this time is still coming in a message ... https://t.co/sfit6hu0mi</v>
      </c>
    </row>
    <row r="3243" spans="1:5" ht="15" customHeight="1" x14ac:dyDescent="0.2">
      <c r="A3243" s="1" t="s">
        <v>6485</v>
      </c>
      <c r="B3243" s="1">
        <v>0</v>
      </c>
      <c r="C3243" s="3">
        <v>44551.300659722219</v>
      </c>
      <c r="D3243" s="1" t="s">
        <v>6486</v>
      </c>
      <c r="E3243" s="1" t="str">
        <f ca="1">IFERROR(__xludf.DUMMYFUNCTION("GOOGLETRANSLATE(A42 , ""tr"" , ""en"")"),"@drfahrettinkoca Nextight Tea Soup Yaaa Koycaz Farooo Don't Wondering Emiii.")</f>
        <v>@drfahrettinkoca Nextight Tea Soup Yaaa Koycaz Farooo Don't Wondering Emiii.</v>
      </c>
    </row>
    <row r="3244" spans="1:5" ht="15" customHeight="1" x14ac:dyDescent="0.2">
      <c r="A3244" s="1" t="s">
        <v>6487</v>
      </c>
      <c r="B3244" s="1">
        <v>0</v>
      </c>
      <c r="C3244" s="3">
        <v>44551.297685185185</v>
      </c>
      <c r="D3244" s="1" t="s">
        <v>6488</v>
      </c>
      <c r="E3244" s="1" t="str">
        <f ca="1">IFERROR(__xludf.DUMMYFUNCTION("GOOGLETRANSLATE(A43 , ""tr"" , ""en"")"),"@drfahrettinka We do not get the ordinary examination order of the vaccine.")</f>
        <v>@drfahrettinka We do not get the ordinary examination order of the vaccine.</v>
      </c>
    </row>
    <row r="3245" spans="1:5" ht="15" customHeight="1" x14ac:dyDescent="0.2">
      <c r="A3245" s="1" t="s">
        <v>6489</v>
      </c>
      <c r="B3245" s="1">
        <v>1</v>
      </c>
      <c r="C3245" s="3">
        <v>44551.293344907404</v>
      </c>
      <c r="D3245" s="1" t="s">
        <v>6490</v>
      </c>
      <c r="E3245" s="1" t="str">
        <f ca="1">IFERROR(__xludf.DUMMYFUNCTION("GOOGLETRANSLATE(A44 , ""tr"" , ""en"")"),"@drfahrettinka Mr. Minister, we have been 3 dose synovac. 4. We would like to prefer Turkovac for the reminder dose.")</f>
        <v>@drfahrettinka Mr. Minister, we have been 3 dose synovac. 4. We would like to prefer Turkovac for the reminder dose.</v>
      </c>
    </row>
    <row r="3246" spans="1:5" ht="15" customHeight="1" x14ac:dyDescent="0.2">
      <c r="A3246" s="1" t="s">
        <v>6491</v>
      </c>
      <c r="B3246" s="1">
        <v>1</v>
      </c>
      <c r="C3246" s="3">
        <v>44551.289224537039</v>
      </c>
      <c r="D3246" s="1" t="s">
        <v>6492</v>
      </c>
      <c r="E3246" s="1" t="str">
        <f ca="1">IFERROR(__xludf.DUMMYFUNCTION("GOOGLETRANSLATE(A45 , ""tr"" , ""en"")"),"@drfahrettinkoca Uğur Hawk Make a vaccine in your science thanks to your science Der Uğur Hawk All the world ... https://t.co/etocp4ermk")</f>
        <v>@drfahrettinkoca Uğur Hawk Make a vaccine in your science thanks to your science Der Uğur Hawk All the world ... https://t.co/etocp4ermk</v>
      </c>
    </row>
    <row r="3247" spans="1:5" ht="15" customHeight="1" x14ac:dyDescent="0.2">
      <c r="A3247" s="1" t="s">
        <v>6493</v>
      </c>
      <c r="B3247" s="1">
        <v>0</v>
      </c>
      <c r="C3247" s="3">
        <v>44551.286886574075</v>
      </c>
      <c r="D3247" s="1" t="s">
        <v>6494</v>
      </c>
      <c r="E3247" s="1" t="str">
        <f ca="1">IFERROR(__xludf.DUMMYFUNCTION("GOOGLETRANSLATE(A46 , ""tr"" , ""en"")"),"@drfahrettinka PFIZER-BIONTECH has been stopped in Vietnamese children due to vaccines, deaths and lifes! Science B ... https://t.co/dky5kkxq95")</f>
        <v>@drfahrettinka PFIZER-BIONTECH has been stopped in Vietnamese children due to vaccines, deaths and lifes! Science B ... https://t.co/dky5kkxq95</v>
      </c>
    </row>
    <row r="3248" spans="1:5" ht="15" customHeight="1" x14ac:dyDescent="0.2">
      <c r="A3248" s="1" t="s">
        <v>6495</v>
      </c>
      <c r="B3248" s="1">
        <v>0</v>
      </c>
      <c r="C3248" s="3">
        <v>44551.286585648151</v>
      </c>
      <c r="D3248" s="1" t="s">
        <v>6496</v>
      </c>
      <c r="E3248" s="1" t="str">
        <f ca="1">IFERROR(__xludf.DUMMYFUNCTION("GOOGLETRANSLATE(A47 , ""tr"" , ""en"")"),"@drfahrettinkoca made in time 1.2. The dose protects the third dose that will protect the guarantee that there is guarantee that you are looking for the minister ... https://t.co/nx0t1bckoy")</f>
        <v>@drfahrettinkoca made in time 1.2. The dose protects the third dose that will protect the guarantee that there is guarantee that you are looking for the minister ... https://t.co/nx0t1bckoy</v>
      </c>
    </row>
    <row r="3249" spans="1:5" ht="15" customHeight="1" x14ac:dyDescent="0.2">
      <c r="A3249" s="1" t="s">
        <v>6497</v>
      </c>
      <c r="B3249" s="1">
        <v>0</v>
      </c>
      <c r="C3249" s="3">
        <v>44551.250798611109</v>
      </c>
      <c r="D3249" s="1" t="s">
        <v>6498</v>
      </c>
      <c r="E3249" s="1" t="str">
        <f ca="1">IFERROR(__xludf.DUMMYFUNCTION("GOOGLETRANSLATE(A48 , ""tr"" , ""en"")"),"@drfahrettinkoca This reminder dose will dose up to how many more reminders will be the dosage of the male facing ... https://t.co/2rps1m494h")</f>
        <v>@drfahrettinkoca This reminder dose will dose up to how many more reminders will be the dosage of the male facing ... https://t.co/2rps1m494h</v>
      </c>
    </row>
    <row r="3250" spans="1:5" ht="15" customHeight="1" x14ac:dyDescent="0.2">
      <c r="A3250" s="1" t="s">
        <v>6499</v>
      </c>
      <c r="B3250" s="1">
        <v>0</v>
      </c>
      <c r="C3250" s="3">
        <v>44551.247245370374</v>
      </c>
      <c r="D3250" s="1" t="s">
        <v>6500</v>
      </c>
      <c r="E3250" s="1" t="str">
        <f ca="1">IFERROR(__xludf.DUMMYFUNCTION("GOOGLETRANSLATE(A49 , ""tr"" , ""en"")"),"@drfahrettinkoca Hong Kong is a new study by University, highly mutated Omikro ... https://t.co/ak69ftycae")</f>
        <v>@drfahrettinkoca Hong Kong is a new study by University, highly mutated Omikro ... https://t.co/ak69ftycae</v>
      </c>
    </row>
    <row r="3251" spans="1:5" ht="15" customHeight="1" x14ac:dyDescent="0.2">
      <c r="A3251" s="1" t="s">
        <v>6501</v>
      </c>
      <c r="B3251" s="1">
        <v>0</v>
      </c>
      <c r="C3251" s="3">
        <v>44551.244756944441</v>
      </c>
      <c r="D3251" s="1" t="s">
        <v>6502</v>
      </c>
      <c r="E3251" s="1" t="str">
        <f ca="1">IFERROR(__xludf.DUMMYFUNCTION("GOOGLETRANSLATE(A50 , ""tr"" , ""en"")"),"@drfahrettinkoca you are not tired of lying. Remember that real believer never lies.")</f>
        <v>@drfahrettinkoca you are not tired of lying. Remember that real believer never lies.</v>
      </c>
    </row>
    <row r="3252" spans="1:5" ht="15" customHeight="1" x14ac:dyDescent="0.2">
      <c r="A3252" s="1" t="s">
        <v>6503</v>
      </c>
      <c r="B3252" s="1">
        <v>0</v>
      </c>
      <c r="C3252" s="3">
        <v>44551.225624999999</v>
      </c>
      <c r="D3252" s="1" t="s">
        <v>6504</v>
      </c>
      <c r="E3252" s="1" t="str">
        <f ca="1">IFERROR(__xludf.DUMMYFUNCTION("GOOGLETRANSLATE(A51 , ""tr"" , ""en"")"),"@drfahrettinka leave the vaccine bullying. You can no longer execute. Leave ya you are koliti your own ha ... https://t.co/p9gsxkssea")</f>
        <v>@drfahrettinka leave the vaccine bullying. You can no longer execute. Leave ya you are koliti your own ha ... https://t.co/p9gsxkssea</v>
      </c>
    </row>
    <row r="3253" spans="1:5" ht="15" customHeight="1" x14ac:dyDescent="0.2">
      <c r="A3253" s="1" t="s">
        <v>6505</v>
      </c>
      <c r="B3253" s="1">
        <v>2</v>
      </c>
      <c r="C3253" s="3">
        <v>44551.225219907406</v>
      </c>
      <c r="D3253" s="1" t="s">
        <v>6506</v>
      </c>
      <c r="E3253" s="1" t="str">
        <f ca="1">IFERROR(__xludf.DUMMYFUNCTION("GOOGLETRANSLATE(A52 , ""tr"" , ""en"")"),"@drfahrettinkoca pawns are you. Who brought you to make you. May Allah give the index of their index ... https://t.co/mhovyljakk")</f>
        <v>@drfahrettinkoca pawns are you. Who brought you to make you. May Allah give the index of their index ... https://t.co/mhovyljakk</v>
      </c>
    </row>
    <row r="3254" spans="1:5" ht="15" customHeight="1" x14ac:dyDescent="0.2">
      <c r="A3254" s="1" t="s">
        <v>6507</v>
      </c>
      <c r="B3254" s="1">
        <v>0</v>
      </c>
      <c r="C3254" s="3">
        <v>44551.224942129629</v>
      </c>
      <c r="D3254" s="1" t="s">
        <v>6508</v>
      </c>
      <c r="E3254" s="1" t="str">
        <f ca="1">IFERROR(__xludf.DUMMYFUNCTION("GOOGLETRANSLATE(A53 , ""tr"" , ""en"")"),"@drfahrettinka https://t.co/EHIWB63WIJ")</f>
        <v>@drfahrettinka https://t.co/EHIWB63WIJ</v>
      </c>
    </row>
    <row r="3255" spans="1:5" ht="15" customHeight="1" x14ac:dyDescent="0.2">
      <c r="A3255" s="1" t="s">
        <v>6509</v>
      </c>
      <c r="B3255" s="1">
        <v>6</v>
      </c>
      <c r="C3255" s="3">
        <v>44551.224247685182</v>
      </c>
      <c r="D3255" s="1" t="s">
        <v>6510</v>
      </c>
      <c r="E3255" s="1" t="str">
        <f ca="1">IFERROR(__xludf.DUMMYFUNCTION("GOOGLETRANSLATE(A54 , ""tr"" , ""en"")"),"@drfahrettinkoca scene Mr @drfahrettinkca Subject to your explanation for your description without bringing the job to the vaccine ... https://t.co/gcndqjlsbr")</f>
        <v>@drfahrettinkoca scene Mr @drfahrettinkca Subject to your explanation for your description without bringing the job to the vaccine ... https://t.co/gcndqjlsbr</v>
      </c>
    </row>
    <row r="3256" spans="1:5" ht="15" customHeight="1" x14ac:dyDescent="0.2">
      <c r="A3256" s="1" t="s">
        <v>6511</v>
      </c>
      <c r="B3256" s="1">
        <v>0</v>
      </c>
      <c r="C3256" s="3">
        <v>44551.184155092589</v>
      </c>
      <c r="D3256" s="1" t="s">
        <v>6512</v>
      </c>
      <c r="E3256" s="1" t="str">
        <f ca="1">IFERROR(__xludf.DUMMYFUNCTION("GOOGLETRANSLATE(A55 , ""tr"" , ""en"")"),"@drfahrettinkoca what https://t.co/grnvmnuhhy")</f>
        <v>@drfahrettinkoca what https://t.co/grnvmnuhhy</v>
      </c>
    </row>
    <row r="3257" spans="1:5" ht="15" customHeight="1" x14ac:dyDescent="0.2">
      <c r="A3257" s="1" t="s">
        <v>6513</v>
      </c>
      <c r="B3257" s="1">
        <v>0</v>
      </c>
      <c r="C3257" s="3">
        <v>44551.181574074071</v>
      </c>
      <c r="D3257" s="1" t="s">
        <v>6514</v>
      </c>
      <c r="E3257" s="1" t="str">
        <f ca="1">IFERROR(__xludf.DUMMYFUNCTION("GOOGLETRANSLATE(A56 , ""tr"" , ""en"")"),"@drfahrettinkoca We are starving, but not Covidden")</f>
        <v>@drfahrettinkoca We are starving, but not Covidden</v>
      </c>
    </row>
    <row r="3258" spans="1:5" ht="15" customHeight="1" x14ac:dyDescent="0.2">
      <c r="A3258" s="1" t="s">
        <v>6515</v>
      </c>
      <c r="B3258" s="1">
        <v>0</v>
      </c>
      <c r="C3258" s="3">
        <v>44551.163032407407</v>
      </c>
      <c r="D3258" s="1" t="s">
        <v>6516</v>
      </c>
      <c r="E3258" s="1" t="str">
        <f ca="1">IFERROR(__xludf.DUMMYFUNCTION("GOOGLETRANSLATE(A57 , ""tr"" , ""en"")"),"@drfahrettinkoca Bulgarians in Bulgarian PCR Soruluyordur # BAILLUDUDURDUDUR")</f>
        <v>@drfahrettinkoca Bulgarians in Bulgarian PCR Soruluyordur # BAILLUDUDURDUDUR</v>
      </c>
    </row>
    <row r="3259" spans="1:5" ht="15" customHeight="1" x14ac:dyDescent="0.2">
      <c r="A3259" s="1" t="s">
        <v>6517</v>
      </c>
      <c r="B3259" s="1">
        <v>0</v>
      </c>
      <c r="C3259" s="3">
        <v>44551.129780092589</v>
      </c>
      <c r="D3259" s="1" t="s">
        <v>6518</v>
      </c>
      <c r="E3259" s="1" t="str">
        <f ca="1">IFERROR(__xludf.DUMMYFUNCTION("GOOGLETRANSLATE(A58 , ""tr"" , ""en"")"),"@drfahrettinkoca 3. There is enough danger to be the vaccine but there is no danger enough to take measures in schools. How to Dear This Business ... https://t.co/qsdr1bdxvk")</f>
        <v>@drfahrettinkoca 3. There is enough danger to be the vaccine but there is no danger enough to take measures in schools. How to Dear This Business ... https://t.co/qsdr1bdxvk</v>
      </c>
    </row>
    <row r="3260" spans="1:5" ht="15" customHeight="1" x14ac:dyDescent="0.2">
      <c r="A3260" s="1" t="s">
        <v>6519</v>
      </c>
      <c r="B3260" s="1">
        <v>15</v>
      </c>
      <c r="C3260" s="3">
        <v>44551.118333333332</v>
      </c>
      <c r="D3260" s="1" t="s">
        <v>6520</v>
      </c>
      <c r="E3260" s="1" t="str">
        <f ca="1">IFERROR(__xludf.DUMMYFUNCTION("GOOGLETRANSLATE(A59 , ""tr"" , ""en"")"),"@drfahrettinka you are making fun of this nation either we will be very nice to be with you too nice when it's time to say ... https://t.co/ocxeop371j")</f>
        <v>@drfahrettinka you are making fun of this nation either we will be very nice to be with you too nice when it's time to say ... https://t.co/ocxeop371j</v>
      </c>
    </row>
    <row r="3261" spans="1:5" ht="15" customHeight="1" x14ac:dyDescent="0.2">
      <c r="A3261" s="1" t="s">
        <v>6521</v>
      </c>
      <c r="B3261" s="1">
        <v>0</v>
      </c>
      <c r="C3261" s="3">
        <v>44551.110868055555</v>
      </c>
      <c r="D3261" s="1" t="s">
        <v>6522</v>
      </c>
      <c r="E3261" s="1" t="str">
        <f ca="1">IFERROR(__xludf.DUMMYFUNCTION("GOOGLETRANSLATE(A60 , ""tr"" , ""en"")"),"@drfahrettinkoca without the mind yesterday 16 da 3.doz I've been to bed mattress I'm lying on everywhere I'm hurting fire to walk ... https://t.co/ıkswldtyog")</f>
        <v>@drfahrettinkoca without the mind yesterday 16 da 3.doz I've been to bed mattress I'm lying on everywhere I'm hurting fire to walk ... https://t.co/ıkswldtyog</v>
      </c>
    </row>
    <row r="3262" spans="1:5" ht="15" customHeight="1" x14ac:dyDescent="0.2">
      <c r="A3262" s="1" t="s">
        <v>6523</v>
      </c>
      <c r="B3262" s="1">
        <v>4</v>
      </c>
      <c r="C3262" s="3">
        <v>44551.080752314818</v>
      </c>
      <c r="D3262" s="1" t="s">
        <v>6524</v>
      </c>
      <c r="E3262" s="1" t="str">
        <f ca="1">IFERROR(__xludf.DUMMYFUNCTION("GOOGLETRANSLATE(A61 , ""tr"" , ""en"")"),"@drfahrettinkoca vaccine Make Alare We stopped on our health where our health is high blood pressure, heart multiplication ... https://t.co/joklwj013d")</f>
        <v>@drfahrettinkoca vaccine Make Alare We stopped on our health where our health is high blood pressure, heart multiplication ... https://t.co/joklwj013d</v>
      </c>
    </row>
    <row r="3263" spans="1:5" ht="15" customHeight="1" x14ac:dyDescent="0.2">
      <c r="A3263" s="1" t="s">
        <v>6525</v>
      </c>
      <c r="B3263" s="1">
        <v>1</v>
      </c>
      <c r="C3263" s="3">
        <v>44551.070081018515</v>
      </c>
      <c r="D3263" s="1" t="s">
        <v>6526</v>
      </c>
      <c r="E3263" s="1" t="str">
        <f ca="1">IFERROR(__xludf.DUMMYFUNCTION("GOOGLETRANSLATE(A62 , ""tr"" , ""en"")"),"@drfahrettinkoca has no problem like the reminder dose of those who have never been vaccinated ...")</f>
        <v>@drfahrettinkoca has no problem like the reminder dose of those who have never been vaccinated ...</v>
      </c>
    </row>
    <row r="3264" spans="1:5" ht="15" customHeight="1" x14ac:dyDescent="0.2">
      <c r="A3264" s="1" t="s">
        <v>6527</v>
      </c>
      <c r="B3264" s="1">
        <v>0</v>
      </c>
      <c r="C3264" s="3">
        <v>44551.063206018516</v>
      </c>
      <c r="D3264" s="1" t="s">
        <v>6528</v>
      </c>
      <c r="E3264" s="1" t="str">
        <f ca="1">IFERROR(__xludf.DUMMYFUNCTION("GOOGLETRANSLATE(A63 , ""tr"" , ""en"")"),"@drfahrettinkoca I never text me in vain Never I'm Never Liquid Liquid")</f>
        <v>@drfahrettinkoca I never text me in vain Never I'm Never Liquid Liquid</v>
      </c>
    </row>
    <row r="3265" spans="1:5" ht="15" customHeight="1" x14ac:dyDescent="0.2">
      <c r="A3265" s="1" t="s">
        <v>6529</v>
      </c>
      <c r="B3265" s="1">
        <v>3</v>
      </c>
      <c r="C3265" s="3">
        <v>44551.062476851854</v>
      </c>
      <c r="D3265" s="1" t="s">
        <v>6530</v>
      </c>
      <c r="E3265" s="1" t="str">
        <f ca="1">IFERROR(__xludf.DUMMYFUNCTION("GOOGLETRANSLATE(A64 , ""tr"" , ""en"")"),"@drfahrettinkoca quit #cataroglundanonlineli")</f>
        <v>@drfahrettinkoca quit #cataroglundanonlineli</v>
      </c>
    </row>
    <row r="3266" spans="1:5" ht="15" customHeight="1" x14ac:dyDescent="0.2">
      <c r="A3266" s="1" t="s">
        <v>6531</v>
      </c>
      <c r="B3266" s="1">
        <v>0</v>
      </c>
      <c r="C3266" s="3">
        <v>44551.022939814815</v>
      </c>
      <c r="D3266" s="1" t="s">
        <v>6532</v>
      </c>
      <c r="E3266" s="1" t="str">
        <f ca="1">IFERROR(__xludf.DUMMYFUNCTION("GOOGLETRANSLATE(A65 , ""tr"" , ""en"")"),"@drfahrettinka we will make an appointment and make the reminder dose, even if the virus figure changes in 2022 4. and 5.Doses")</f>
        <v>@drfahrettinka we will make an appointment and make the reminder dose, even if the virus figure changes in 2022 4. and 5.Doses</v>
      </c>
    </row>
    <row r="3267" spans="1:5" ht="15" customHeight="1" x14ac:dyDescent="0.2">
      <c r="A3267" s="1" t="s">
        <v>6533</v>
      </c>
      <c r="B3267" s="1">
        <v>0</v>
      </c>
      <c r="C3267" s="3">
        <v>44551.006122685183</v>
      </c>
      <c r="D3267" s="1" t="s">
        <v>6534</v>
      </c>
      <c r="E3267" s="1" t="str">
        <f ca="1">IFERROR(__xludf.DUMMYFUNCTION("GOOGLETRANSLATE(A66 , ""tr"" , ""en"")"),"@drfahrettinkoca we want the figures of deaths from the vaccine, and severe side effects from heavy! Cover ... https://t.co/p6hflxqv5w")</f>
        <v>@drfahrettinkoca we want the figures of deaths from the vaccine, and severe side effects from heavy! Cover ... https://t.co/p6hflxqv5w</v>
      </c>
    </row>
    <row r="3268" spans="1:5" ht="15" customHeight="1" x14ac:dyDescent="0.2">
      <c r="A3268" s="1" t="s">
        <v>6535</v>
      </c>
      <c r="B3268" s="1">
        <v>0</v>
      </c>
      <c r="C3268" s="3">
        <v>44551.662037037036</v>
      </c>
      <c r="D3268" s="1" t="s">
        <v>6536</v>
      </c>
      <c r="E3268" s="1" t="str">
        <f ca="1">IFERROR(__xludf.DUMMYFUNCTION("GOOGLETRANSLATE(A67 , ""tr"" , ""en"")"),"@drfahrettinkoca on me my nose broke the court gave 5 thousand TL delayed in custody Bi night stayed in the night Law in the law in the year ... https://t.co/k9amncd8kh")</f>
        <v>@drfahrettinkoca on me my nose broke the court gave 5 thousand TL delayed in custody Bi night stayed in the night Law in the law in the year ... https://t.co/k9amncd8kh</v>
      </c>
    </row>
    <row r="3269" spans="1:5" ht="15" customHeight="1" x14ac:dyDescent="0.2">
      <c r="A3269" s="1" t="s">
        <v>6537</v>
      </c>
      <c r="B3269" s="1">
        <v>0</v>
      </c>
      <c r="C3269" s="3">
        <v>44551.65216435185</v>
      </c>
      <c r="D3269" s="1" t="s">
        <v>6538</v>
      </c>
      <c r="E3269" s="1" t="str">
        <f ca="1">IFERROR(__xludf.DUMMYFUNCTION("GOOGLETRANSLATE(A68 , ""tr"" , ""en"")"),"@drfahrettinkoca My son SMA Medicine I want a single one of you is a baby's love in love sake a baby's love ... https://t.co/uwemnedxb2")</f>
        <v>@drfahrettinkoca My son SMA Medicine I want a single one of you is a baby's love in love sake a baby's love ... https://t.co/uwemnedxb2</v>
      </c>
    </row>
    <row r="3270" spans="1:5" ht="15" customHeight="1" x14ac:dyDescent="0.2">
      <c r="A3270" s="1" t="s">
        <v>6539</v>
      </c>
      <c r="B3270" s="1">
        <v>1</v>
      </c>
      <c r="C3270" s="3">
        <v>44551.638935185183</v>
      </c>
      <c r="D3270" s="1" t="s">
        <v>6540</v>
      </c>
      <c r="E3270" s="1" t="str">
        <f ca="1">IFERROR(__xludf.DUMMYFUNCTION("GOOGLETRANSLATE(A69 , ""tr"" , ""en"")"),"@drfahrettinkoca Look at the oven new output, showing show shows We are killed https://t.co/cyqvuyidn2")</f>
        <v>@drfahrettinkoca Look at the oven new output, showing show shows We are killed https://t.co/cyqvuyidn2</v>
      </c>
    </row>
    <row r="3271" spans="1:5" ht="15" customHeight="1" x14ac:dyDescent="0.2">
      <c r="A3271" s="1" t="s">
        <v>6541</v>
      </c>
      <c r="B3271" s="1">
        <v>0</v>
      </c>
      <c r="C3271" s="3">
        <v>44551.586041666669</v>
      </c>
      <c r="D3271" s="1" t="s">
        <v>6542</v>
      </c>
      <c r="E3271" s="1" t="str">
        <f ca="1">IFERROR(__xludf.DUMMYFUNCTION("GOOGLETRANSLATE(A70 , ""tr"" , ""en"")"),"@drfahrettinkoca Hear our voice HuseYeyveziyaicinadalet.")</f>
        <v>@drfahrettinkoca Hear our voice HuseYeyveziyaicinadalet.</v>
      </c>
    </row>
    <row r="3272" spans="1:5" ht="15" customHeight="1" x14ac:dyDescent="0.2">
      <c r="A3272" s="1" t="s">
        <v>6543</v>
      </c>
      <c r="B3272" s="1">
        <v>0</v>
      </c>
      <c r="C3272" s="3">
        <v>44551.496620370373</v>
      </c>
      <c r="D3272" s="1" t="s">
        <v>6544</v>
      </c>
      <c r="E3272" s="1" t="str">
        <f ca="1">IFERROR(__xludf.DUMMYFUNCTION("GOOGLETRANSLATE(A71 , ""tr"" , ""en"")"),"@drfahrettinkoca One of every 3 people is a patient Covidi flu traveling in each other mingled arm do the necessary precautions ... https://t.co/6wfxai9xof")</f>
        <v>@drfahrettinkoca One of every 3 people is a patient Covidi flu traveling in each other mingled arm do the necessary precautions ... https://t.co/6wfxai9xof</v>
      </c>
    </row>
    <row r="3273" spans="1:5" ht="15" customHeight="1" x14ac:dyDescent="0.2">
      <c r="A3273" s="1" t="s">
        <v>6545</v>
      </c>
      <c r="B3273" s="1">
        <v>0</v>
      </c>
      <c r="C3273" s="3">
        <v>44551.496562499997</v>
      </c>
      <c r="D3273" s="1" t="s">
        <v>6546</v>
      </c>
      <c r="E3273" s="1" t="str">
        <f ca="1">IFERROR(__xludf.DUMMYFUNCTION("GOOGLETRANSLATE(A72 , ""tr"" , ""en"")"),"@drfahrettinkoca One of every 3 people is taking care of the patient covidi flu, taking the mingled arm of each other ... https://t.co/fhn0gcrvkI")</f>
        <v>@drfahrettinkoca One of every 3 people is taking care of the patient covidi flu, taking the mingled arm of each other ... https://t.co/fhn0gcrvkI</v>
      </c>
    </row>
    <row r="3274" spans="1:5" ht="15" customHeight="1" x14ac:dyDescent="0.2">
      <c r="A3274" s="1" t="s">
        <v>6547</v>
      </c>
      <c r="B3274" s="1">
        <v>0</v>
      </c>
      <c r="C3274" s="3">
        <v>44551.496018518519</v>
      </c>
      <c r="D3274" s="1" t="s">
        <v>6548</v>
      </c>
      <c r="E3274" s="1" t="str">
        <f ca="1">IFERROR(__xludf.DUMMYFUNCTION("GOOGLETRANSLATE(A73 , ""tr"" , ""en"")"),"@drfahrettinkoca Each 3 people are taking the patient Covidi flu traveling the mingled arm now don't take the necessary measures ... https://t.co/1ffvxdbjkk")</f>
        <v>@drfahrettinkoca Each 3 people are taking the patient Covidi flu traveling the mingled arm now don't take the necessary measures ... https://t.co/1ffvxdbjkk</v>
      </c>
    </row>
    <row r="3275" spans="1:5" ht="15" customHeight="1" x14ac:dyDescent="0.2">
      <c r="A3275" s="1" t="s">
        <v>6549</v>
      </c>
      <c r="B3275" s="1">
        <v>0</v>
      </c>
      <c r="C3275" s="3">
        <v>44551.317986111113</v>
      </c>
      <c r="D3275" s="1" t="s">
        <v>6550</v>
      </c>
      <c r="E3275" s="1" t="str">
        <f ca="1">IFERROR(__xludf.DUMMYFUNCTION("GOOGLETRANSLATE(A74 , ""tr"" , ""en"")"),"@drfahrettinkoca man is already keen. Come on I passed him too people are killed in the killers that don't lie in the inside ... https://t.co/ffs1adchta")</f>
        <v>@drfahrettinkoca man is already keen. Come on I passed him too people are killed in the killers that don't lie in the inside ... https://t.co/ffs1adchta</v>
      </c>
    </row>
    <row r="3276" spans="1:5" ht="15" customHeight="1" x14ac:dyDescent="0.2">
      <c r="A3276" s="1" t="s">
        <v>6551</v>
      </c>
      <c r="B3276" s="1">
        <v>0</v>
      </c>
      <c r="C3276" s="3">
        <v>44551.317245370374</v>
      </c>
      <c r="D3276" s="1" t="s">
        <v>6552</v>
      </c>
      <c r="E3276" s="1" t="str">
        <f ca="1">IFERROR(__xludf.DUMMYFUNCTION("GOOGLETRANSLATE(A75 , ""tr"" , ""en"")"),"@drfahrettinkoca justice from Twitter.")</f>
        <v>@drfahrettinkoca justice from Twitter.</v>
      </c>
    </row>
    <row r="3277" spans="1:5" ht="15" customHeight="1" x14ac:dyDescent="0.2">
      <c r="A3277" s="1" t="s">
        <v>6553</v>
      </c>
      <c r="B3277" s="1">
        <v>1</v>
      </c>
      <c r="C3277" s="3">
        <v>44551.25953703704</v>
      </c>
      <c r="D3277" s="1" t="s">
        <v>6554</v>
      </c>
      <c r="E3277" s="1" t="str">
        <f ca="1">IFERROR(__xludf.DUMMYFUNCTION("GOOGLETRANSLATE(A76 , ""tr"" , ""en"")"),"@drfahrettinkoca sn.bakan is fixed / postpone in physical assault crimes in physical assault crimes against health workers ... https://t.co/5mmjkzbg5z")</f>
        <v>@drfahrettinkoca sn.bakan is fixed / postpone in physical assault crimes in physical assault crimes against health workers ... https://t.co/5mmjkzbg5z</v>
      </c>
    </row>
    <row r="3278" spans="1:5" ht="15" customHeight="1" x14ac:dyDescent="0.2">
      <c r="A3278" s="1" t="s">
        <v>6555</v>
      </c>
      <c r="B3278" s="1">
        <v>0</v>
      </c>
      <c r="C3278" s="3">
        <v>44551.255370370367</v>
      </c>
      <c r="D3278" s="1" t="s">
        <v>6556</v>
      </c>
      <c r="E3278" s="1" t="str">
        <f ca="1">IFERROR(__xludf.DUMMYFUNCTION("GOOGLETRANSLATE(A77 , ""tr"" , ""en"")"),"@drfahrettinka said that I had known in the past; ""A woman of the state is to be seen if you are living in Turkey ... https://t.co/t8qzigummg")</f>
        <v>@drfahrettinka said that I had known in the past; "A woman of the state is to be seen if you are living in Turkey ... https://t.co/t8qzigummg</v>
      </c>
    </row>
    <row r="3279" spans="1:5" ht="15" customHeight="1" x14ac:dyDescent="0.2">
      <c r="A3279" s="1" t="s">
        <v>6557</v>
      </c>
      <c r="B3279" s="1">
        <v>0</v>
      </c>
      <c r="C3279" s="3">
        <v>44551.254664351851</v>
      </c>
      <c r="D3279" s="1" t="s">
        <v>6558</v>
      </c>
      <c r="E3279" s="1" t="str">
        <f ca="1">IFERROR(__xludf.DUMMYFUNCTION("GOOGLETRANSLATE(A78 , ""tr"" , ""en"")"),"@drfahrettinkoca Summary: Those who work in my ministry do not do wrong, they can't, do, do untoors ... https://t.co/hfstp2xuhx")</f>
        <v>@drfahrettinkoca Summary: Those who work in my ministry do not do wrong, they can't, do, do untoors ... https://t.co/hfstp2xuhx</v>
      </c>
    </row>
    <row r="3280" spans="1:5" ht="15" customHeight="1" x14ac:dyDescent="0.2">
      <c r="A3280" s="1" t="s">
        <v>6559</v>
      </c>
      <c r="B3280" s="1">
        <v>0</v>
      </c>
      <c r="C3280" s="3">
        <v>44551.224988425929</v>
      </c>
      <c r="D3280" s="1" t="s">
        <v>6560</v>
      </c>
      <c r="E3280" s="1" t="str">
        <f ca="1">IFERROR(__xludf.DUMMYFUNCTION("GOOGLETRANSLATE(A79 , ""tr"" , ""en"")"),"@drfahrettinka https://t.co/zsjlmhzxxx")</f>
        <v>@drfahrettinka https://t.co/zsjlmhzxxx</v>
      </c>
    </row>
    <row r="3281" spans="1:5" ht="15" customHeight="1" x14ac:dyDescent="0.2">
      <c r="A3281" s="1" t="s">
        <v>6561</v>
      </c>
      <c r="B3281" s="1">
        <v>0</v>
      </c>
      <c r="C3281" s="3">
        <v>44551.496099537035</v>
      </c>
      <c r="D3281" s="1" t="s">
        <v>6562</v>
      </c>
      <c r="E3281" s="1" t="str">
        <f ca="1">IFERROR(__xludf.DUMMYFUNCTION("GOOGLETRANSLATE(A80 , ""tr"" , ""en"")"),"@drfahrettinkoca EVERY 3 PEOPLE SICK COVIDi flu traveling in each other mingled arm do the necessary measures ... https://t.co/b8vnzm6lgw")</f>
        <v>@drfahrettinkoca EVERY 3 PEOPLE SICK COVIDi flu traveling in each other mingled arm do the necessary measures ... https://t.co/b8vnzm6lgw</v>
      </c>
    </row>
    <row r="3282" spans="1:5" ht="15" customHeight="1" x14ac:dyDescent="0.2">
      <c r="A3282" s="1" t="s">
        <v>6437</v>
      </c>
      <c r="B3282" s="1">
        <v>0</v>
      </c>
      <c r="C3282" s="3">
        <v>44551.486296296294</v>
      </c>
      <c r="D3282" s="1" t="s">
        <v>6563</v>
      </c>
      <c r="E3282" s="1" t="str">
        <f ca="1">IFERROR(__xludf.DUMMYFUNCTION("GOOGLETRANSLATE(A81 , ""tr"" , ""en"")"),"@drfahrettinka https://t.co/klsqdtfxge")</f>
        <v>@drfahrettinka https://t.co/klsqdtfxge</v>
      </c>
    </row>
    <row r="3283" spans="1:5" ht="15" customHeight="1" x14ac:dyDescent="0.2">
      <c r="A3283" s="1" t="s">
        <v>6564</v>
      </c>
      <c r="B3283" s="1">
        <v>0</v>
      </c>
      <c r="C3283" s="3">
        <v>44551.382326388892</v>
      </c>
      <c r="D3283" s="1" t="s">
        <v>6565</v>
      </c>
      <c r="E3283" s="1" t="str">
        <f ca="1">IFERROR(__xludf.DUMMYFUNCTION("GOOGLETRANSLATE(A82 , ""tr"" , ""en"")"),"@drfahrettinka https://t.co/l6tg7cerhi")</f>
        <v>@drfahrettinka https://t.co/l6tg7cerhi</v>
      </c>
    </row>
    <row r="3284" spans="1:5" ht="15" customHeight="1" x14ac:dyDescent="0.2">
      <c r="A3284" s="1" t="s">
        <v>6566</v>
      </c>
      <c r="B3284" s="1">
        <v>0</v>
      </c>
      <c r="C3284" s="3">
        <v>44551.225057870368</v>
      </c>
      <c r="D3284" s="1" t="s">
        <v>6567</v>
      </c>
      <c r="E3284" s="1" t="str">
        <f ca="1">IFERROR(__xludf.DUMMYFUNCTION("GOOGLETRANSLATE(A83 , ""tr"" , ""en"")"),"@drfahrettinka https://t.co/gsyr0zu9m2")</f>
        <v>@drfahrettinka https://t.co/gsyr0zu9m2</v>
      </c>
    </row>
    <row r="3285" spans="1:5" ht="15" customHeight="1" x14ac:dyDescent="0.2">
      <c r="A3285" s="1" t="s">
        <v>6568</v>
      </c>
      <c r="B3285" s="1">
        <v>0</v>
      </c>
      <c r="C3285" s="3">
        <v>44551.627650462964</v>
      </c>
      <c r="D3285" s="1" t="s">
        <v>6569</v>
      </c>
      <c r="E3285" s="1" t="str">
        <f ca="1">IFERROR(__xludf.DUMMYFUNCTION("GOOGLETRANSLATE(A84 , ""tr"" , ""en"")"),"@drfahrettinkoca is nothing out of once Mr. Minister: P")</f>
        <v>@drfahrettinkoca is nothing out of once Mr. Minister: P</v>
      </c>
    </row>
    <row r="3286" spans="1:5" ht="15" customHeight="1" x14ac:dyDescent="0.2">
      <c r="A3286" s="1" t="s">
        <v>6570</v>
      </c>
      <c r="B3286" s="1">
        <v>0</v>
      </c>
      <c r="C3286" s="3">
        <v>44551.505497685182</v>
      </c>
      <c r="D3286" s="1" t="s">
        <v>6571</v>
      </c>
      <c r="E3286" s="1" t="str">
        <f ca="1">IFERROR(__xludf.DUMMYFUNCTION("GOOGLETRANSLATE(A85 , ""tr"" , ""en"")"),"@drfahrettinkoca needense hiiic amazmirmaadik diimi.pirasaa giibi kadiin doused bii geography stitched or injured ka ... https://t.co/zlxuqgdzco")</f>
        <v>@drfahrettinkoca needense hiiic amazmirmaadik diimi.pirasaa giibi kadiin doused bii geography stitched or injured ka ... https://t.co/zlxuqgdzco</v>
      </c>
    </row>
    <row r="3287" spans="1:5" ht="15" customHeight="1" x14ac:dyDescent="0.2">
      <c r="A3287" s="1" t="s">
        <v>6572</v>
      </c>
      <c r="B3287" s="1">
        <v>0</v>
      </c>
      <c r="C3287" s="3">
        <v>44551.496157407404</v>
      </c>
      <c r="D3287" s="1" t="s">
        <v>6573</v>
      </c>
      <c r="E3287" s="1" t="str">
        <f ca="1">IFERROR(__xludf.DUMMYFUNCTION("GOOGLETRANSLATE(A86 , ""tr"" , ""en"")"),"@drfahrettinkoca Each 3 people have a patient Covidi flu traveling mingled arm now don't take the measures ... https://t.co/x0gpa4xebv")</f>
        <v>@drfahrettinkoca Each 3 people have a patient Covidi flu traveling mingled arm now don't take the measures ... https://t.co/x0gpa4xebv</v>
      </c>
    </row>
    <row r="3288" spans="1:5" ht="15" customHeight="1" x14ac:dyDescent="0.2">
      <c r="A3288" s="1" t="s">
        <v>6574</v>
      </c>
      <c r="B3288" s="1">
        <v>0</v>
      </c>
      <c r="C3288" s="3">
        <v>44551.257627314815</v>
      </c>
      <c r="D3288" s="1" t="s">
        <v>6575</v>
      </c>
      <c r="E3288" s="1" t="str">
        <f ca="1">IFERROR(__xludf.DUMMYFUNCTION("GOOGLETRANSLATE(A87 , ""tr"" , ""en"")"),"@drfahrettinkoca on the street in the pursuit of the news in the pursuit of the news in the pursuit of the news, ned a problem to zar that releases ... https://t.co/gmxhhslylc")</f>
        <v>@drfahrettinkoca on the street in the pursuit of the news in the pursuit of the news in the pursuit of the news, ned a problem to zar that releases ... https://t.co/gmxhhslylc</v>
      </c>
    </row>
    <row r="3289" spans="1:5" ht="15" customHeight="1" x14ac:dyDescent="0.2">
      <c r="A3289" s="1" t="s">
        <v>6576</v>
      </c>
      <c r="B3289" s="1">
        <v>0</v>
      </c>
      <c r="C3289" s="3">
        <v>44551.235983796294</v>
      </c>
      <c r="D3289" s="1" t="s">
        <v>6577</v>
      </c>
      <c r="E3289" s="1" t="str">
        <f ca="1">IFERROR(__xludf.DUMMYFUNCTION("GOOGLETRANSLATE(A88 , ""tr"" , ""en"")"),"@drfahrettinkoca is embarrassing someone who makes it to health workers. Judgment Erdogan's hand ... https://t.co/xssoor61or")</f>
        <v>@drfahrettinkoca is embarrassing someone who makes it to health workers. Judgment Erdogan's hand ... https://t.co/xssoor61or</v>
      </c>
    </row>
    <row r="3290" spans="1:5" ht="15" customHeight="1" x14ac:dyDescent="0.2">
      <c r="A3290" s="1" t="s">
        <v>6578</v>
      </c>
      <c r="B3290" s="1">
        <v>0</v>
      </c>
      <c r="C3290" s="3">
        <v>44551.215011574073</v>
      </c>
      <c r="D3290" s="1" t="s">
        <v>6579</v>
      </c>
      <c r="E3290" s="1" t="str">
        <f ca="1">IFERROR(__xludf.DUMMYFUNCTION("GOOGLETRANSLATE(A89 , ""tr"" , ""en"")"),"@drfahrettinka Mr. Minister; Will you be a follower of the Health Workers who strike?")</f>
        <v>@drfahrettinka Mr. Minister; Will you be a follower of the Health Workers who strike?</v>
      </c>
    </row>
    <row r="3291" spans="1:5" ht="15" customHeight="1" x14ac:dyDescent="0.2">
      <c r="A3291" s="1" t="s">
        <v>6580</v>
      </c>
      <c r="B3291" s="1">
        <v>0</v>
      </c>
      <c r="C3291" s="3">
        <v>44551.496354166666</v>
      </c>
      <c r="D3291" s="1" t="s">
        <v>6581</v>
      </c>
      <c r="E3291" s="1" t="str">
        <f ca="1">IFERROR(__xludf.DUMMYFUNCTION("GOOGLETRANSLATE(A90 , ""tr"" , ""en"")"),"@drfahrettinkoca Each 3 people are taking the patient Covidi flu on the mingled arm of each other don't take the necessary measures ... https://t.co/ivbaq59zjh")</f>
        <v>@drfahrettinkoca Each 3 people are taking the patient Covidi flu on the mingled arm of each other don't take the necessary measures ... https://t.co/ivbaq59zjh</v>
      </c>
    </row>
    <row r="3292" spans="1:5" ht="15" customHeight="1" x14ac:dyDescent="0.2">
      <c r="A3292" s="1" t="s">
        <v>6582</v>
      </c>
      <c r="B3292" s="1">
        <v>0</v>
      </c>
      <c r="C3292" s="3">
        <v>44551.496261574073</v>
      </c>
      <c r="D3292" s="1" t="s">
        <v>6583</v>
      </c>
      <c r="E3292" s="1" t="str">
        <f ca="1">IFERROR(__xludf.DUMMYFUNCTION("GOOGLETRANSLATE(A91 , ""tr"" , ""en"")"),"@drfahrettinkoca EVERY 3 PEOPLE COVIDE GRANE IN SICK COVIDE ARRESTED INTEMPLY MUMPLY SEARCH MUSTAGES NEXT MEASURES ... HTTPS://T.CO/RYUMAL6TES")</f>
        <v>@drfahrettinkoca EVERY 3 PEOPLE COVIDE GRANE IN SICK COVIDE ARRESTED INTEMPLY MUMPLY SEARCH MUSTAGES NEXT MEASURES ... HTTPS://T.CO/RYUMAL6TES</v>
      </c>
    </row>
    <row r="3293" spans="1:5" ht="15" customHeight="1" x14ac:dyDescent="0.2">
      <c r="A3293" s="1" t="s">
        <v>6584</v>
      </c>
      <c r="B3293" s="1">
        <v>0</v>
      </c>
      <c r="C3293" s="3">
        <v>44551.078518518516</v>
      </c>
      <c r="D3293" s="1" t="s">
        <v>6585</v>
      </c>
      <c r="E3293" s="1" t="str">
        <f ca="1">IFERROR(__xludf.DUMMYFUNCTION("GOOGLETRANSLATE(A92 , ""tr"" , ""en"")"),"@drfahrettinkoca @saglikbakanligi Dear Ministry of Antalya Why Domestic Implant is not installed in Dental Hospital ... https://t.co/egkyutqynf")</f>
        <v>@drfahrettinkoca @saglikbakanligi Dear Ministry of Antalya Why Domestic Implant is not installed in Dental Hospital ... https://t.co/egkyutqynf</v>
      </c>
    </row>
    <row r="3294" spans="1:5" ht="15" customHeight="1" x14ac:dyDescent="0.2">
      <c r="A3294" s="1" t="s">
        <v>6586</v>
      </c>
      <c r="B3294" s="1">
        <v>0</v>
      </c>
      <c r="C3294" s="3">
        <v>44551.496967592589</v>
      </c>
      <c r="D3294" s="1" t="s">
        <v>6587</v>
      </c>
      <c r="E3294" s="1" t="str">
        <f ca="1">IFERROR(__xludf.DUMMYFUNCTION("GOOGLETRANSLATE(A93 , ""tr"" , ""en"")"),"@drfahrettinkoca EVERY 3 PEOPLE COVIDE ARRIVELY COVIDE ARRESTED INTEMPLY CRUSHING MUMPLIES NEXT MEASURES ... HTTPS://T.CO/7M9VGW2MXM")</f>
        <v>@drfahrettinkoca EVERY 3 PEOPLE COVIDE ARRIVELY COVIDE ARRESTED INTEMPLY CRUSHING MUMPLIES NEXT MEASURES ... HTTPS://T.CO/7M9VGW2MXM</v>
      </c>
    </row>
    <row r="3295" spans="1:5" ht="15" customHeight="1" x14ac:dyDescent="0.2">
      <c r="A3295" s="1" t="s">
        <v>6588</v>
      </c>
      <c r="B3295" s="1">
        <v>0</v>
      </c>
      <c r="C3295" s="3">
        <v>44551.496747685182</v>
      </c>
      <c r="D3295" s="1" t="s">
        <v>6589</v>
      </c>
      <c r="E3295" s="1" t="str">
        <f ca="1">IFERROR(__xludf.DUMMYFUNCTION("GOOGLETRANSLATE(A94 , ""tr"" , ""en"")"),"@drfahrettinkoca One of every 3 people is the patient Covidi flu traveling in each other mingled arm do the necessary measures ... https://t.co/mguhauffp")</f>
        <v>@drfahrettinkoca One of every 3 people is the patient Covidi flu traveling in each other mingled arm do the necessary measures ... https://t.co/mguhauffp</v>
      </c>
    </row>
    <row r="3296" spans="1:5" ht="15" customHeight="1" x14ac:dyDescent="0.2">
      <c r="A3296" s="1" t="s">
        <v>6590</v>
      </c>
      <c r="B3296" s="1">
        <v>0</v>
      </c>
      <c r="C3296" s="3">
        <v>44551.496828703705</v>
      </c>
      <c r="D3296" s="1" t="s">
        <v>6591</v>
      </c>
      <c r="E3296" s="1" t="str">
        <f ca="1">IFERROR(__xludf.DUMMYFUNCTION("GOOGLETRANSLATE(A95 , ""tr"" , ""en"")"),"@drfahrettinkoca EVERY 3 PEOPLE COVIDE PLACE ARRIVAL COVIDE GROUND MEMBER INTERFACE MEMBERS ARRAVING MEASURES ... HTTPS://T.CO/2GF58SR3QM")</f>
        <v>@drfahrettinkoca EVERY 3 PEOPLE COVIDE PLACE ARRIVAL COVIDE GROUND MEMBER INTERFACE MEMBERS ARRAVING MEASURES ... HTTPS://T.CO/2GF58SR3QM</v>
      </c>
    </row>
    <row r="3297" spans="1:5" ht="15" customHeight="1" x14ac:dyDescent="0.2">
      <c r="A3297" s="1" t="s">
        <v>6592</v>
      </c>
      <c r="B3297" s="1">
        <v>0</v>
      </c>
      <c r="C3297" s="3">
        <v>44551.497106481482</v>
      </c>
      <c r="D3297" s="1" t="s">
        <v>6593</v>
      </c>
      <c r="E3297" s="1" t="str">
        <f ca="1">IFERROR(__xludf.DUMMYFUNCTION("GOOGLETRANSLATE(A96 , ""tr"" , ""en"")"),"@drfahrettinkoca One of every 3 people is a patient Covidi flu traveling the mingled arm is no longer taking measures ... https://t.co/orz0iypn")</f>
        <v>@drfahrettinkoca One of every 3 people is a patient Covidi flu traveling the mingled arm is no longer taking measures ... https://t.co/orz0iypn</v>
      </c>
    </row>
    <row r="3298" spans="1:5" ht="15" customHeight="1" x14ac:dyDescent="0.2">
      <c r="A3298" s="1" t="s">
        <v>6594</v>
      </c>
      <c r="B3298" s="1">
        <v>0</v>
      </c>
      <c r="C3298" s="3">
        <v>44551.497175925928</v>
      </c>
      <c r="D3298" s="1" t="s">
        <v>6595</v>
      </c>
      <c r="E3298" s="1" t="str">
        <f ca="1">IFERROR(__xludf.DUMMYFUNCTION("GOOGLETRANSLATE(A97 , ""tr"" , ""en"")"),"@drfahrettinkoca One of every 3 people is taking care of the patient Covidi flu, do not take the measures to take the mingled arm ... https://t.co/hr8kfb1yl1")</f>
        <v>@drfahrettinkoca One of every 3 people is taking care of the patient Covidi flu, do not take the measures to take the mingled arm ... https://t.co/hr8kfb1yl1</v>
      </c>
    </row>
    <row r="3299" spans="1:5" ht="15" customHeight="1" x14ac:dyDescent="0.2">
      <c r="A3299" s="1" t="s">
        <v>6596</v>
      </c>
      <c r="B3299" s="1">
        <v>0</v>
      </c>
      <c r="C3299" s="3">
        <v>44551.49732638889</v>
      </c>
      <c r="D3299" s="1" t="s">
        <v>6597</v>
      </c>
      <c r="E3299" s="1" t="str">
        <f ca="1">IFERROR(__xludf.DUMMYFUNCTION("GOOGLETRANSLATE(A98 , ""tr"" , ""en"")"),"@drfahrettinkoca One of every 3 people is a patient Covidi flu traveling in each other mingled arm do the necessary measures ... https://t.co/urperg0urn")</f>
        <v>@drfahrettinkoca One of every 3 people is a patient Covidi flu traveling in each other mingled arm do the necessary measures ... https://t.co/urperg0urn</v>
      </c>
    </row>
    <row r="3300" spans="1:5" ht="15" customHeight="1" x14ac:dyDescent="0.2">
      <c r="A3300" s="1" t="s">
        <v>6598</v>
      </c>
      <c r="B3300" s="1">
        <v>1</v>
      </c>
      <c r="C3300" s="3">
        <v>44543.998136574075</v>
      </c>
      <c r="D3300" s="1" t="s">
        <v>6599</v>
      </c>
      <c r="E3300" s="1" t="str">
        <f ca="1">IFERROR(__xludf.DUMMYFUNCTION("GOOGLETRANSLATE(A99 , ""tr"" , ""en"")"),"@drfahrettinkoca I'm not Halal I'm a plaintiff in two jihands. May Allah do as he knows !!! 😡")</f>
        <v>@drfahrettinkoca I'm not Halal I'm a plaintiff in two jihands. May Allah do as he knows !!! 😡</v>
      </c>
    </row>
    <row r="3301" spans="1:5" ht="15" customHeight="1" x14ac:dyDescent="0.2">
      <c r="A3301" s="1" t="s">
        <v>6600</v>
      </c>
      <c r="B3301" s="1">
        <v>0</v>
      </c>
      <c r="C3301" s="3">
        <v>44543.996747685182</v>
      </c>
      <c r="D3301" s="1" t="s">
        <v>6601</v>
      </c>
      <c r="E3301" s="1" t="str">
        <f ca="1">IFERROR(__xludf.DUMMYFUNCTION("GOOGLETRANSLATE(A100 , ""tr"" , ""en"")"),"@drfahrettinkoca How many mistakes !! How many nuisance are they? In the authorities that you are sitting, this is honorable that makes you say, and ... https://t.co/vr7qpyqkklu")</f>
        <v>@drfahrettinkoca How many mistakes !! How many nuisance are they? In the authorities that you are sitting, this is honorable that makes you say, and ... https://t.co/vr7qpyqkklu</v>
      </c>
    </row>
    <row r="3302" spans="1:5" ht="15" customHeight="1" x14ac:dyDescent="0.2">
      <c r="A3302" s="1" t="s">
        <v>6602</v>
      </c>
      <c r="B3302" s="1">
        <v>1</v>
      </c>
      <c r="C3302" s="3">
        <v>44543.990763888891</v>
      </c>
      <c r="D3302" s="1" t="s">
        <v>6603</v>
      </c>
      <c r="E3302" s="1" t="str">
        <f ca="1">IFERROR(__xludf.DUMMYFUNCTION("GOOGLETRANSLATE(A101 , ""tr"" , ""en"")"),"@drfahrettinkoca there is no way you are responsible for SN: You are responsible for Minister .... Forced, printing and mobing ... https://t.co/pupdn21bca")</f>
        <v>@drfahrettinkoca there is no way you are responsible for SN: You are responsible for Minister .... Forced, printing and mobing ... https://t.co/pupdn21bca</v>
      </c>
    </row>
    <row r="3303" spans="1:5" ht="15" customHeight="1" x14ac:dyDescent="0.2">
      <c r="A3303" s="1" t="s">
        <v>6604</v>
      </c>
      <c r="B3303" s="1">
        <v>0</v>
      </c>
      <c r="C3303" s="3">
        <v>44543.987685185188</v>
      </c>
      <c r="D3303" s="1" t="s">
        <v>6605</v>
      </c>
      <c r="E3303" s="1" t="str">
        <f ca="1">IFERROR(__xludf.DUMMYFUNCTION("GOOGLETRANSLATE(A102 , ""tr"" , ""en"")"),"@drfahrettinkoca here is not your trial thread. Your ozel is not hospital. Your Ulkenin Canina OT Turns. Artik is ... https://t.co/GZIFIJTSAL")</f>
        <v>@drfahrettinkoca here is not your trial thread. Your ozel is not hospital. Your Ulkenin Canina OT Turns. Artik is ... https://t.co/GZIFIJTSAL</v>
      </c>
    </row>
    <row r="3304" spans="1:5" ht="15" customHeight="1" x14ac:dyDescent="0.2">
      <c r="A3304" s="1" t="s">
        <v>6606</v>
      </c>
      <c r="B3304" s="1">
        <v>4</v>
      </c>
      <c r="C3304" s="3">
        <v>44543.983124999999</v>
      </c>
      <c r="D3304" s="1" t="s">
        <v>6607</v>
      </c>
      <c r="E3304" s="1" t="str">
        <f ca="1">IFERROR(__xludf.DUMMYFUNCTION("GOOGLETRANSLATE(A103 , ""tr"" , ""en"")"),"@drfahrettinkoca Koskoca Türk Turkish Nation You made our guinea pigs, our teenagers, older biggies, hard to work ... https://t.co/fdutjddttao")</f>
        <v>@drfahrettinkoca Koskoca Türk Turkish Nation You made our guinea pigs, our teenagers, older biggies, hard to work ... https://t.co/fdutjddttao</v>
      </c>
    </row>
    <row r="3305" spans="1:5" ht="15" customHeight="1" x14ac:dyDescent="0.2">
      <c r="A3305" s="1" t="s">
        <v>6608</v>
      </c>
      <c r="B3305" s="1">
        <v>0</v>
      </c>
      <c r="C3305" s="3">
        <v>44543.980115740742</v>
      </c>
      <c r="D3305" s="1" t="s">
        <v>6609</v>
      </c>
      <c r="E3305" s="1" t="str">
        <f ca="1">IFERROR(__xludf.DUMMYFUNCTION("GOOGLETRANSLATE(A104 , ""tr"" , ""en"")"),"@drfahrettinkoca neeeeeeeeeeeeeeeeee")</f>
        <v>@drfahrettinkoca neeeeeeeeeeeeeeeeee</v>
      </c>
    </row>
    <row r="3306" spans="1:5" ht="15" customHeight="1" x14ac:dyDescent="0.2">
      <c r="A3306" s="1" t="s">
        <v>6610</v>
      </c>
      <c r="B3306" s="1">
        <v>0</v>
      </c>
      <c r="C3306" s="3">
        <v>44543.978217592594</v>
      </c>
      <c r="D3306" s="1" t="s">
        <v>6611</v>
      </c>
      <c r="E3306" s="1" t="str">
        <f ca="1">IFERROR(__xludf.DUMMYFUNCTION("GOOGLETRANSLATE(A105 , ""tr"" , ""en"")"),"@drfahrettinkoca I have Heards.")</f>
        <v>@drfahrettinkoca I have Heards.</v>
      </c>
    </row>
    <row r="3307" spans="1:5" ht="15" customHeight="1" x14ac:dyDescent="0.2">
      <c r="A3307" s="1" t="s">
        <v>6612</v>
      </c>
      <c r="B3307" s="1">
        <v>11</v>
      </c>
      <c r="C3307" s="3">
        <v>44543.975624999999</v>
      </c>
      <c r="D3307" s="1" t="s">
        <v>6613</v>
      </c>
      <c r="E3307" s="1" t="str">
        <f ca="1">IFERROR(__xludf.DUMMYFUNCTION("GOOGLETRANSLATE(A106 , ""tr"" , ""en"")"),"@drfahrettinkoca Iblis e worshipers A $$ I sizes, your medicines you have to drink your innocent citizens to you ... https://t.co/z9thavxkls")</f>
        <v>@drfahrettinkoca Iblis e worshipers A $$ I sizes, your medicines you have to drink your innocent citizens to you ... https://t.co/z9thavxkls</v>
      </c>
    </row>
    <row r="3308" spans="1:5" ht="15" customHeight="1" x14ac:dyDescent="0.2">
      <c r="A3308" s="1" t="s">
        <v>6614</v>
      </c>
      <c r="B3308" s="1">
        <v>3</v>
      </c>
      <c r="C3308" s="3">
        <v>44543.975231481483</v>
      </c>
      <c r="D3308" s="1" t="s">
        <v>6615</v>
      </c>
      <c r="E3308" s="1" t="str">
        <f ca="1">IFERROR(__xludf.DUMMYFUNCTION("GOOGLETRANSLATE(A107 , ""tr"" , ""en"")"),"@drfahrettinkoca you will be tried to be tried with the permission of Allah")</f>
        <v>@drfahrettinkoca you will be tried to be tried with the permission of Allah</v>
      </c>
    </row>
    <row r="3309" spans="1:5" ht="15" customHeight="1" x14ac:dyDescent="0.2">
      <c r="A3309" s="1" t="s">
        <v>6616</v>
      </c>
      <c r="B3309" s="1">
        <v>0</v>
      </c>
      <c r="C3309" s="3">
        <v>44543.974965277775</v>
      </c>
      <c r="D3309" s="1" t="s">
        <v>6617</v>
      </c>
      <c r="E3309" s="1" t="str">
        <f ca="1">IFERROR(__xludf.DUMMYFUNCTION("GOOGLETRANSLATE(A108 , ""tr"" , ""en"")"),"@drfahrettinkoca psychologist and seriously with the number of squads as well as the number of squads such as dietitian meat to us an injustice ... https://t.co/nxfhvlvbxh")</f>
        <v>@drfahrettinkoca psychologist and seriously with the number of squads as well as the number of squads such as dietitian meat to us an injustice ... https://t.co/nxfhvlvbxh</v>
      </c>
    </row>
    <row r="3310" spans="1:5" ht="15" customHeight="1" x14ac:dyDescent="0.2">
      <c r="A3310" s="1" t="s">
        <v>6618</v>
      </c>
      <c r="B3310" s="1">
        <v>4</v>
      </c>
      <c r="C3310" s="3">
        <v>44543.971747685187</v>
      </c>
      <c r="D3310" s="1" t="s">
        <v>6619</v>
      </c>
      <c r="E3310" s="1" t="str">
        <f ca="1">IFERROR(__xludf.DUMMYFUNCTION("GOOGLETRANSLATE(A109 , ""tr"" , ""en"")"),"@drfahrettinkoca you satan! ...")</f>
        <v>@drfahrettinkoca you satan! ...</v>
      </c>
    </row>
    <row r="3311" spans="1:5" ht="15" customHeight="1" x14ac:dyDescent="0.2">
      <c r="A3311" s="1" t="s">
        <v>6620</v>
      </c>
      <c r="B3311" s="1">
        <v>1</v>
      </c>
      <c r="C3311" s="3">
        <v>44543.97084490741</v>
      </c>
      <c r="D3311" s="1" t="s">
        <v>6621</v>
      </c>
      <c r="E3311" s="1" t="str">
        <f ca="1">IFERROR(__xludf.DUMMYFUNCTION("GOOGLETRANSLATE(A110 , ""tr"" , ""en"")"),"@drfahrettinkoca I wish to the Turkish nation, those who do this can also be decided to execute yaise!")</f>
        <v>@drfahrettinkoca I wish to the Turkish nation, those who do this can also be decided to execute yaise!</v>
      </c>
    </row>
    <row r="3312" spans="1:5" ht="15" customHeight="1" x14ac:dyDescent="0.2">
      <c r="A3312" s="1" t="s">
        <v>6622</v>
      </c>
      <c r="B3312" s="1">
        <v>0</v>
      </c>
      <c r="C3312" s="3">
        <v>44543.968877314815</v>
      </c>
      <c r="D3312" s="1" t="s">
        <v>6623</v>
      </c>
      <c r="E3312" s="1" t="str">
        <f ca="1">IFERROR(__xludf.DUMMYFUNCTION("GOOGLETRANSLATE(A111 , ""tr"" , ""en"")"),"@drfahrettinkoca All Bedduans come to you Allah you two jibling infamous Rüsva Sepli's About us is the Haram you will give an account of the one day")</f>
        <v>@drfahrettinkoca All Bedduans come to you Allah you two jibling infamous Rüsva Sepli's About us is the Haram you will give an account of the one day</v>
      </c>
    </row>
    <row r="3313" spans="1:5" ht="15" customHeight="1" x14ac:dyDescent="0.2">
      <c r="A3313" s="1" t="s">
        <v>6624</v>
      </c>
      <c r="B3313" s="1">
        <v>2</v>
      </c>
      <c r="C3313" s="3">
        <v>44543.967812499999</v>
      </c>
      <c r="D3313" s="1" t="s">
        <v>6625</v>
      </c>
      <c r="E3313" s="1" t="str">
        <f ca="1">IFERROR(__xludf.DUMMYFUNCTION("GOOGLETRANSLATE(A112 , ""tr"" , ""en"")"),"@drfahrettinkoca is not so simple; Planemia, community health lies, bullies, non-original diagnosis, ted ... https://t.co/tjutuoioza")</f>
        <v>@drfahrettinkoca is not so simple; Planemia, community health lies, bullies, non-original diagnosis, ted ... https://t.co/tjutuoioza</v>
      </c>
    </row>
    <row r="3314" spans="1:5" ht="15" customHeight="1" x14ac:dyDescent="0.2">
      <c r="A3314" s="1" t="s">
        <v>6626</v>
      </c>
      <c r="B3314" s="1">
        <v>0</v>
      </c>
      <c r="C3314" s="3">
        <v>44543.965081018519</v>
      </c>
      <c r="D3314" s="1" t="s">
        <v>6627</v>
      </c>
      <c r="E3314" s="1" t="str">
        <f ca="1">IFERROR(__xludf.DUMMYFUNCTION("GOOGLETRANSLATE(A113 , ""tr"" , ""en"")"),"@drfahrettinkoca 😪😪😪Hep We always told allah that all said from you ...")</f>
        <v>@drfahrettinkoca 😪😪😪Hep We always told allah that all said from you ...</v>
      </c>
    </row>
    <row r="3315" spans="1:5" ht="15" customHeight="1" x14ac:dyDescent="0.2">
      <c r="A3315" s="1" t="s">
        <v>6628</v>
      </c>
      <c r="B3315" s="1">
        <v>2</v>
      </c>
      <c r="C3315" s="3">
        <v>44543.96502314815</v>
      </c>
      <c r="D3315" s="1" t="s">
        <v>6629</v>
      </c>
      <c r="E3315" s="1" t="str">
        <f ca="1">IFERROR(__xludf.DUMMYFUNCTION("GOOGLETRANSLATE(A114 , ""tr"" , ""en"")"),"@drfahrettinkoca uses the incorrect medicine for an influenza treatment for 20 months, the economy is provided with the economy ... https://t.co/ba7pjkımeg")</f>
        <v>@drfahrettinkoca uses the incorrect medicine for an influenza treatment for 20 months, the economy is provided with the economy ... https://t.co/ba7pjkımeg</v>
      </c>
    </row>
    <row r="3316" spans="1:5" ht="15" customHeight="1" x14ac:dyDescent="0.2">
      <c r="A3316" s="1" t="s">
        <v>6630</v>
      </c>
      <c r="B3316" s="1">
        <v>3</v>
      </c>
      <c r="C3316" s="3">
        <v>44543.964745370373</v>
      </c>
      <c r="D3316" s="1" t="s">
        <v>6631</v>
      </c>
      <c r="E3316" s="1" t="str">
        <f ca="1">IFERROR(__xludf.DUMMYFUNCTION("GOOGLETRANSLATE(A115 , ""tr"" , ""en"")"),"@drfahrettinkoca I do not accept your affliction on behalf of my person. It does not accept your friends with Philan Fanned ... https://t.co/kzpuhaazig")</f>
        <v>@drfahrettinkoca I do not accept your affliction on behalf of my person. It does not accept your friends with Philan Fanned ... https://t.co/kzpuhaazig</v>
      </c>
    </row>
    <row r="3317" spans="1:5" ht="15" customHeight="1" x14ac:dyDescent="0.2">
      <c r="A3317" s="1" t="s">
        <v>6632</v>
      </c>
      <c r="B3317" s="1">
        <v>2</v>
      </c>
      <c r="C3317" s="3">
        <v>44543.963923611111</v>
      </c>
      <c r="D3317" s="1" t="s">
        <v>6633</v>
      </c>
      <c r="E3317" s="1" t="str">
        <f ca="1">IFERROR(__xludf.DUMMYFUNCTION("GOOGLETRANSLATE(A116 , ""tr"" , ""en"")"),"@drfahrettinkoca error as a result of a babe, the kovid vaccine, the error as a result of an error is 10 times shot in 1 days ... https://t.co/iIolgcwyqc")</f>
        <v>@drfahrettinkoca error as a result of a babe, the kovid vaccine, the error as a result of an error is 10 times shot in 1 days ... https://t.co/iIolgcwyqc</v>
      </c>
    </row>
    <row r="3318" spans="1:5" ht="15" customHeight="1" x14ac:dyDescent="0.2">
      <c r="A3318" s="1" t="s">
        <v>6634</v>
      </c>
      <c r="B3318" s="1">
        <v>0</v>
      </c>
      <c r="C3318" s="3">
        <v>44543.963692129626</v>
      </c>
      <c r="D3318" s="1" t="s">
        <v>6635</v>
      </c>
      <c r="E3318" s="1" t="str">
        <f ca="1">IFERROR(__xludf.DUMMYFUNCTION("GOOGLETRANSLATE(A117 , ""tr"" , ""en"")"),"@drfahrettinkoca We are Razı")</f>
        <v>@drfahrettinkoca We are Razı</v>
      </c>
    </row>
    <row r="3319" spans="1:5" ht="15" customHeight="1" x14ac:dyDescent="0.2">
      <c r="A3319" s="1" t="s">
        <v>6636</v>
      </c>
      <c r="B3319" s="1">
        <v>0</v>
      </c>
      <c r="C3319" s="3">
        <v>44543.961712962962</v>
      </c>
      <c r="D3319" s="1" t="s">
        <v>6637</v>
      </c>
      <c r="E3319" s="1" t="str">
        <f ca="1">IFERROR(__xludf.DUMMYFUNCTION("GOOGLETRANSLATE(A118 , ""tr"" , ""en"")"),"@drfahrettinkoca Would you like to be the Minister of Agriculture please 😊")</f>
        <v>@drfahrettinkoca Would you like to be the Minister of Agriculture please 😊</v>
      </c>
    </row>
    <row r="3320" spans="1:5" ht="15" customHeight="1" x14ac:dyDescent="0.2">
      <c r="A3320" s="1" t="s">
        <v>6638</v>
      </c>
      <c r="B3320" s="1">
        <v>9</v>
      </c>
      <c r="C3320" s="3">
        <v>44543.960266203707</v>
      </c>
      <c r="D3320" s="1" t="s">
        <v>6639</v>
      </c>
      <c r="E3320" s="1" t="str">
        <f ca="1">IFERROR(__xludf.DUMMYFUNCTION("GOOGLETRANSLATE(A119 , ""tr"" , ""en"")"),"@drfahrettinkoca you guys have been crumbed on the most valuable people in the world. All relative bonding you by saying distance ... https://t.co/jplcc8j7iz")</f>
        <v>@drfahrettinkoca you guys have been crumbed on the most valuable people in the world. All relative bonding you by saying distance ... https://t.co/jplcc8j7iz</v>
      </c>
    </row>
    <row r="3321" spans="1:5" ht="15" customHeight="1" x14ac:dyDescent="0.2">
      <c r="A3321" s="1" t="s">
        <v>6640</v>
      </c>
      <c r="B3321" s="1">
        <v>1</v>
      </c>
      <c r="C3321" s="3">
        <v>44543.95820601852</v>
      </c>
      <c r="D3321" s="1" t="s">
        <v>6641</v>
      </c>
      <c r="E3321" s="1" t="str">
        <f ca="1">IFERROR(__xludf.DUMMYFUNCTION("GOOGLETRANSLATE(A120 , ""tr"" , ""en"")"),"@drfahrettinkoca @saglikbakanligi @drfahrettinkoca waiting for the answer #shomitizing #sahteplandemi https://t.co/1zhfmvztqp")</f>
        <v>@drfahrettinkoca @saglikbakanligi @drfahrettinkoca waiting for the answer #shomitizing #sahteplandemi https://t.co/1zhfmvztqp</v>
      </c>
    </row>
    <row r="3322" spans="1:5" ht="15" customHeight="1" x14ac:dyDescent="0.2">
      <c r="A3322" s="1" t="s">
        <v>6642</v>
      </c>
      <c r="B3322" s="1">
        <v>0</v>
      </c>
      <c r="C3322" s="3">
        <v>44543.95753472222</v>
      </c>
      <c r="D3322" s="1" t="s">
        <v>6643</v>
      </c>
      <c r="E3322" s="1" t="str">
        <f ca="1">IFERROR(__xludf.DUMMYFUNCTION("GOOGLETRANSLATE(A121 , ""tr"" , ""en"")"),"@drfahrettinkoca is the correct one who has never been done to us where you left the nose with death with a side of the nose right ... https://t.co/yx6v34mnbr")</f>
        <v>@drfahrettinkoca is the correct one who has never been done to us where you left the nose with death with a side of the nose right ... https://t.co/yx6v34mnbr</v>
      </c>
    </row>
    <row r="3323" spans="1:5" ht="15" customHeight="1" x14ac:dyDescent="0.2">
      <c r="A3323" s="1" t="s">
        <v>6644</v>
      </c>
      <c r="B3323" s="1">
        <v>1</v>
      </c>
      <c r="C3323" s="3">
        <v>44543.957083333335</v>
      </c>
      <c r="D3323" s="1" t="s">
        <v>6645</v>
      </c>
      <c r="E3323" s="1" t="str">
        <f ca="1">IFERROR(__xludf.DUMMYFUNCTION("GOOGLETRANSLATE(A122 , ""tr"" , ""en"")"),"@drfahrettinkoca I don't halal my right now.")</f>
        <v>@drfahrettinkoca I don't halal my right now.</v>
      </c>
    </row>
    <row r="3324" spans="1:5" ht="15" customHeight="1" x14ac:dyDescent="0.2">
      <c r="A3324" s="1" t="s">
        <v>6646</v>
      </c>
      <c r="B3324" s="1">
        <v>41</v>
      </c>
      <c r="C3324" s="3">
        <v>44543.957002314812</v>
      </c>
      <c r="D3324" s="1" t="s">
        <v>6647</v>
      </c>
      <c r="E3324" s="1" t="str">
        <f ca="1">IFERROR(__xludf.DUMMYFUNCTION("GOOGLETRANSLATE(A123 , ""tr"" , ""en"")"),"@drfahrettinkoca People who restrict a monthly salaries of the people on the 3TE 1 salaries You have not been enough of the mask penalty ... https://t.co/elbb1uwzb9")</f>
        <v>@drfahrettinkoca People who restrict a monthly salaries of the people on the 3TE 1 salaries You have not been enough of the mask penalty ... https://t.co/elbb1uwzb9</v>
      </c>
    </row>
    <row r="3325" spans="1:5" ht="15" customHeight="1" x14ac:dyDescent="0.2">
      <c r="A3325" s="1" t="s">
        <v>6648</v>
      </c>
      <c r="B3325" s="1">
        <v>0</v>
      </c>
      <c r="C3325" s="3">
        <v>44543.956828703704</v>
      </c>
      <c r="D3325" s="1" t="s">
        <v>6649</v>
      </c>
      <c r="E3325" s="1" t="str">
        <f ca="1">IFERROR(__xludf.DUMMYFUNCTION("GOOGLETRANSLATE(A124 , ""tr"" , ""en"")"),"@drfahrettinkoca these people's right roving roving wick from their nose licker skip https://t.co/pvs47xphlx")</f>
        <v>@drfahrettinkoca these people's right roving roving wick from their nose licker skip https://t.co/pvs47xphlx</v>
      </c>
    </row>
    <row r="3326" spans="1:5" ht="15" customHeight="1" x14ac:dyDescent="0.2">
      <c r="A3326" s="1" t="s">
        <v>6650</v>
      </c>
      <c r="B3326" s="1">
        <v>2</v>
      </c>
      <c r="C3326" s="3">
        <v>44543.952430555553</v>
      </c>
      <c r="D3326" s="1" t="s">
        <v>6651</v>
      </c>
      <c r="E3326" s="1" t="str">
        <f ca="1">IFERROR(__xludf.DUMMYFUNCTION("GOOGLETRANSLATE(A125 , ""tr"" , ""en"")"),"For @drfahrettinkoca assignment for assignment, thank you in the crumper though it is missing though. At one of the following pandem tuta ... https://t.co/ve18hjronq")</f>
        <v>For @drfahrettinkoca assignment for assignment, thank you in the crumper though it is missing though. At one of the following pandem tuta ... https://t.co/ve18hjronq</v>
      </c>
    </row>
    <row r="3327" spans="1:5" ht="15" customHeight="1" x14ac:dyDescent="0.2">
      <c r="A3327" s="1" t="s">
        <v>6652</v>
      </c>
      <c r="B3327" s="1">
        <v>2</v>
      </c>
      <c r="C3327" s="3">
        <v>44543.95003472222</v>
      </c>
      <c r="D3327" s="1" t="s">
        <v>6653</v>
      </c>
      <c r="E3327" s="1" t="str">
        <f ca="1">IFERROR(__xludf.DUMMYFUNCTION("GOOGLETRANSLATE(A126 , ""tr"" , ""en"")"),"@drfahrettinka you knowingly and willfully tortured people don't do the innocent role in one of the things you do ... https://t.co/mv1nlhqrbv")</f>
        <v>@drfahrettinka you knowingly and willfully tortured people don't do the innocent role in one of the things you do ... https://t.co/mv1nlhqrbv</v>
      </c>
    </row>
    <row r="3328" spans="1:5" ht="15" customHeight="1" x14ac:dyDescent="0.2">
      <c r="A3328" s="1" t="s">
        <v>6654</v>
      </c>
      <c r="B3328" s="1">
        <v>0</v>
      </c>
      <c r="C3328" s="3">
        <v>44543.949733796297</v>
      </c>
      <c r="D3328" s="1" t="s">
        <v>6655</v>
      </c>
      <c r="E3328" s="1" t="str">
        <f ca="1">IFERROR(__xludf.DUMMYFUNCTION("GOOGLETRANSLATE(A127 , ""tr"" , ""en"")"),"@drfahrettinkoca is over the network, I'm getting out of tracking.")</f>
        <v>@drfahrettinkoca is over the network, I'm getting out of tracking.</v>
      </c>
    </row>
    <row r="3329" spans="1:5" ht="15" customHeight="1" x14ac:dyDescent="0.2">
      <c r="A3329" s="1" t="s">
        <v>6656</v>
      </c>
      <c r="B3329" s="1">
        <v>0</v>
      </c>
      <c r="C3329" s="3">
        <v>44543.946018518516</v>
      </c>
      <c r="D3329" s="1" t="s">
        <v>6657</v>
      </c>
      <c r="E3329" s="1" t="str">
        <f ca="1">IFERROR(__xludf.DUMMYFUNCTION("GOOGLETRANSLATE(A128 , ""tr"" , ""en"")"),"@drfahrettinkoca you will be judged from evils and willingly done to this country. #The pidely ... https://t.co/xfecfuyjdw")</f>
        <v>@drfahrettinkoca you will be judged from evils and willingly done to this country. #The pidely ... https://t.co/xfecfuyjdw</v>
      </c>
    </row>
    <row r="3330" spans="1:5" ht="15" customHeight="1" x14ac:dyDescent="0.2">
      <c r="A3330" s="1" t="s">
        <v>6658</v>
      </c>
      <c r="B3330" s="1">
        <v>0</v>
      </c>
      <c r="C3330" s="3">
        <v>44543.944837962961</v>
      </c>
      <c r="D3330" s="1" t="s">
        <v>6659</v>
      </c>
      <c r="E3330" s="1" t="str">
        <f ca="1">IFERROR(__xludf.DUMMYFUNCTION("GOOGLETRANSLATE(A129 , ""tr"" , ""en"")"),"@drfahrettinkoca If you can't be able to fuck Get a mistake An error Two bugs where you couldn't leave the pandemon process, you can make it possible to do.")</f>
        <v>@drfahrettinkoca If you can't be able to fuck Get a mistake An error Two bugs where you couldn't leave the pandemon process, you can make it possible to do.</v>
      </c>
    </row>
    <row r="3331" spans="1:5" ht="15" customHeight="1" x14ac:dyDescent="0.2">
      <c r="A3331" s="1" t="s">
        <v>6660</v>
      </c>
      <c r="B3331" s="1">
        <v>0</v>
      </c>
      <c r="C3331" s="3">
        <v>44543.943020833336</v>
      </c>
      <c r="D3331" s="1" t="s">
        <v>6661</v>
      </c>
      <c r="E3331" s="1" t="str">
        <f ca="1">IFERROR(__xludf.DUMMYFUNCTION("GOOGLETRANSLATE(A130 , ""tr"" , ""en"")"),"@drfahrettinka When you look forward to the comments, the vaccine has filled here. If there were no vaccines, how many people would die more.")</f>
        <v>@drfahrettinka When you look forward to the comments, the vaccine has filled here. If there were no vaccines, how many people would die more.</v>
      </c>
    </row>
    <row r="3332" spans="1:5" ht="15" customHeight="1" x14ac:dyDescent="0.2">
      <c r="A3332" s="1" t="s">
        <v>6662</v>
      </c>
      <c r="B3332" s="1">
        <v>0</v>
      </c>
      <c r="C3332" s="3">
        <v>44543.941527777781</v>
      </c>
      <c r="D3332" s="1" t="s">
        <v>6663</v>
      </c>
      <c r="E3332" s="1" t="str">
        <f ca="1">IFERROR(__xludf.DUMMYFUNCTION("GOOGLETRANSLATE(A131 , ""tr"" , ""en"")"),"@drfahrettinkoca you came to the end of the task. Pardon you from the wound. You got the Ahley of the Turkish nation. O innocent, g ... https://t.co/1aznusncgI")</f>
        <v>@drfahrettinkoca you came to the end of the task. Pardon you from the wound. You got the Ahley of the Turkish nation. O innocent, g ... https://t.co/1aznusncgI</v>
      </c>
    </row>
    <row r="3333" spans="1:5" ht="15" customHeight="1" x14ac:dyDescent="0.2">
      <c r="A3333" s="1" t="s">
        <v>6664</v>
      </c>
      <c r="B3333" s="1">
        <v>4</v>
      </c>
      <c r="C3333" s="3">
        <v>44543.939583333333</v>
      </c>
      <c r="D3333" s="1" t="s">
        <v>6665</v>
      </c>
      <c r="E3333" s="1" t="str">
        <f ca="1">IFERROR(__xludf.DUMMYFUNCTION("GOOGLETRANSLATE(A132 , ""tr"" , ""en"")"),"@drfahrettinkoca will be the most beautiful movement that suits you to quit. Fahrictin hubby quitting work Ehline Tesl ... https://t.co/opmoxepenı")</f>
        <v>@drfahrettinkoca will be the most beautiful movement that suits you to quit. Fahrictin hubby quitting work Ehline Tesl ... https://t.co/opmoxepenı</v>
      </c>
    </row>
    <row r="3334" spans="1:5" ht="15" customHeight="1" x14ac:dyDescent="0.2">
      <c r="A3334" s="1" t="s">
        <v>6666</v>
      </c>
      <c r="B3334" s="1">
        <v>0</v>
      </c>
      <c r="C3334" s="3">
        <v>44543.936400462961</v>
      </c>
      <c r="D3334" s="1" t="s">
        <v>6667</v>
      </c>
      <c r="E3334" s="1" t="str">
        <f ca="1">IFERROR(__xludf.DUMMYFUNCTION("GOOGLETRANSLATE(A133 , ""tr"" , ""en"")"),"@drfahrettinkoca What is the hes, PCR, vaccine, mask and closures are not the intentional? Are you taking a sin? Too ... https://t.co/kamsmxaayl")</f>
        <v>@drfahrettinkoca What is the hes, PCR, vaccine, mask and closures are not the intentional? Are you taking a sin? Too ... https://t.co/kamsmxaayl</v>
      </c>
    </row>
    <row r="3335" spans="1:5" ht="15" customHeight="1" x14ac:dyDescent="0.2">
      <c r="A3335" s="1" t="s">
        <v>6668</v>
      </c>
      <c r="B3335" s="1">
        <v>0</v>
      </c>
      <c r="C3335" s="3">
        <v>44543.931319444448</v>
      </c>
      <c r="D3335" s="1" t="s">
        <v>6669</v>
      </c>
      <c r="E3335" s="1" t="str">
        <f ca="1">IFERROR(__xludf.DUMMYFUNCTION("GOOGLETRANSLATE(A134 , ""tr"" , ""en"")"),"@drfahrettinkoca is a ministry like a lying machine, thank you ...")</f>
        <v>@drfahrettinkoca is a ministry like a lying machine, thank you ...</v>
      </c>
    </row>
    <row r="3336" spans="1:5" ht="15" customHeight="1" x14ac:dyDescent="0.2">
      <c r="A3336" s="1" t="s">
        <v>6670</v>
      </c>
      <c r="B3336" s="1">
        <v>1</v>
      </c>
      <c r="C3336" s="3">
        <v>44543.930844907409</v>
      </c>
      <c r="D3336" s="1" t="s">
        <v>6671</v>
      </c>
      <c r="E3336" s="1" t="str">
        <f ca="1">IFERROR(__xludf.DUMMYFUNCTION("GOOGLETRANSLATE(A135 , ""tr"" , ""en"")"),"@drfahrettinkoca How to go to the intentional killer you will be tried with the help of Allah C.c you will be tried in the world Ahi ... https://t.co/mw2f0z9dgr")</f>
        <v>@drfahrettinkoca How to go to the intentional killer you will be tried with the help of Allah C.c you will be tried in the world Ahi ... https://t.co/mw2f0z9dgr</v>
      </c>
    </row>
    <row r="3337" spans="1:5" ht="15" customHeight="1" x14ac:dyDescent="0.2">
      <c r="A3337" s="1" t="s">
        <v>6672</v>
      </c>
      <c r="B3337" s="1">
        <v>18</v>
      </c>
      <c r="C3337" s="3">
        <v>44543.930324074077</v>
      </c>
      <c r="D3337" s="1" t="s">
        <v>6673</v>
      </c>
      <c r="E3337" s="1" t="str">
        <f ca="1">IFERROR(__xludf.DUMMYFUNCTION("GOOGLETRANSLATE(A136 , ""tr"" , ""en"")"),"@drfahrettinka You have already passed the stages to be halalized.")</f>
        <v>@drfahrettinka You have already passed the stages to be halalized.</v>
      </c>
    </row>
    <row r="3338" spans="1:5" ht="15" customHeight="1" x14ac:dyDescent="0.2">
      <c r="A3338" s="1" t="s">
        <v>6674</v>
      </c>
      <c r="B3338" s="1">
        <v>0</v>
      </c>
      <c r="C3338" s="3">
        <v>44543.930289351854</v>
      </c>
      <c r="D3338" s="1" t="s">
        <v>6675</v>
      </c>
      <c r="E3338" s="1" t="str">
        <f ca="1">IFERROR(__xludf.DUMMYFUNCTION("GOOGLETRANSLATE(A137 , ""tr"" , ""en"")"),"@drfahrettinka has submitted to the owners of the new world order, the reliability of our people ca ... Https://t.co/dey30zbbjr")</f>
        <v>@drfahrettinka has submitted to the owners of the new world order, the reliability of our people ca ... Https://t.co/dey30zbbjr</v>
      </c>
    </row>
    <row r="3339" spans="1:5" ht="15" customHeight="1" x14ac:dyDescent="0.2">
      <c r="A3339" s="1" t="s">
        <v>6676</v>
      </c>
      <c r="B3339" s="1">
        <v>2</v>
      </c>
      <c r="C3339" s="3">
        <v>44543.928240740737</v>
      </c>
      <c r="D3339" s="1" t="s">
        <v>6677</v>
      </c>
      <c r="E3339" s="1" t="str">
        <f ca="1">IFERROR(__xludf.DUMMYFUNCTION("GOOGLETRANSLATE(A138 , ""tr"" , ""en"")"),"@drfahrettinka wish you're the fact that the account from Allah !!! 😠🤲")</f>
        <v>@drfahrettinka wish you're the fact that the account from Allah !!! 😠🤲</v>
      </c>
    </row>
    <row r="3340" spans="1:5" ht="15" customHeight="1" x14ac:dyDescent="0.2">
      <c r="A3340" s="1" t="s">
        <v>6678</v>
      </c>
      <c r="B3340" s="1">
        <v>0</v>
      </c>
      <c r="C3340" s="3">
        <v>44543.928148148145</v>
      </c>
      <c r="D3340" s="1" t="s">
        <v>6679</v>
      </c>
      <c r="E3340" s="1" t="str">
        <f ca="1">IFERROR(__xludf.DUMMYFUNCTION("GOOGLETRANSLATE(A139 , ""tr"" , ""en"")"),"@drfahrettinkoca is no place to bed. Don't GOD get us from this world without having to help us. God Raz from you ... https://t.co/eaz9sou4nm")</f>
        <v>@drfahrettinkoca is no place to bed. Don't GOD get us from this world without having to help us. God Raz from you ... https://t.co/eaz9sou4nm</v>
      </c>
    </row>
    <row r="3341" spans="1:5" ht="15" customHeight="1" x14ac:dyDescent="0.2">
      <c r="A3341" s="1" t="s">
        <v>6680</v>
      </c>
      <c r="B3341" s="1">
        <v>532</v>
      </c>
      <c r="C3341" s="3">
        <v>44543.92765046296</v>
      </c>
      <c r="D3341" s="1" t="s">
        <v>6681</v>
      </c>
      <c r="E3341" s="1" t="str">
        <f ca="1">IFERROR(__xludf.DUMMYFUNCTION("GOOGLETRANSLATE(A140 , ""tr"" , ""en"")"),"@drfahrettinkoca are you listening to her nation for her? Months are hundreds of citizens from the side effects of masks / vaccines ... https://t.co/r2b34xo3e7")</f>
        <v>@drfahrettinkoca are you listening to her nation for her? Months are hundreds of citizens from the side effects of masks / vaccines ... https://t.co/r2b34xo3e7</v>
      </c>
    </row>
    <row r="3342" spans="1:5" ht="15" customHeight="1" x14ac:dyDescent="0.2">
      <c r="A3342" s="1" t="s">
        <v>6682</v>
      </c>
      <c r="B3342" s="1">
        <v>0</v>
      </c>
      <c r="C3342" s="3">
        <v>44543.927256944444</v>
      </c>
      <c r="D3342" s="1" t="s">
        <v>6683</v>
      </c>
      <c r="E3342" s="1" t="str">
        <f ca="1">IFERROR(__xludf.DUMMYFUNCTION("GOOGLETRANSLATE(A141 , ""tr"" , ""en"")"),"@drfahrettinkoca is not the place of sinning place in Tbm!")</f>
        <v>@drfahrettinkoca is not the place of sinning place in Tbm!</v>
      </c>
    </row>
    <row r="3343" spans="1:5" ht="15" customHeight="1" x14ac:dyDescent="0.2">
      <c r="A3343" s="1" t="s">
        <v>6684</v>
      </c>
      <c r="B3343" s="1">
        <v>0</v>
      </c>
      <c r="C3343" s="3">
        <v>44543.92628472222</v>
      </c>
      <c r="D3343" s="1" t="s">
        <v>6685</v>
      </c>
      <c r="E3343" s="1" t="str">
        <f ca="1">IFERROR(__xludf.DUMMYFUNCTION("GOOGLETRANSLATE(A142 , ""tr"" , ""en"")"),"@drfahrettinka Ministry of Budget In talks The only one has not been in the interview of your Ministry. You've never been criticized. ... https://t.co/xor8pcq8kv")</f>
        <v>@drfahrettinka Ministry of Budget In talks The only one has not been in the interview of your Ministry. You've never been criticized. ... https://t.co/xor8pcq8kv</v>
      </c>
    </row>
    <row r="3344" spans="1:5" ht="15" customHeight="1" x14ac:dyDescent="0.2">
      <c r="A3344" s="1" t="s">
        <v>6686</v>
      </c>
      <c r="B3344" s="1">
        <v>0</v>
      </c>
      <c r="C3344" s="3">
        <v>44543.92528935185</v>
      </c>
      <c r="D3344" s="1" t="s">
        <v>6687</v>
      </c>
      <c r="E3344" s="1" t="str">
        <f ca="1">IFERROR(__xludf.DUMMYFUNCTION("GOOGLETRANSLATE(A143 , ""tr"" , ""en"")"),"@drfahrettinkoca ""What did he say he said? Didn't say the money?"" Is the intention ??? Even even the submissions are to everything !! Sugn ... https://t.co/vzoxmpe9gb")</f>
        <v>@drfahrettinkoca "What did he say he said? Didn't say the money?" Is the intention ??? Even even the submissions are to everything !! Sugn ... https://t.co/vzoxmpe9gb</v>
      </c>
    </row>
    <row r="3345" spans="1:5" ht="15" customHeight="1" x14ac:dyDescent="0.2">
      <c r="A3345" s="1" t="s">
        <v>6688</v>
      </c>
      <c r="B3345" s="1">
        <v>1</v>
      </c>
      <c r="C3345" s="3">
        <v>44543.925162037034</v>
      </c>
      <c r="D3345" s="1" t="s">
        <v>6689</v>
      </c>
      <c r="E3345" s="1" t="str">
        <f ca="1">IFERROR(__xludf.DUMMYFUNCTION("GOOGLETRANSLATE(A144 , ""tr"" , ""en"")"),"@drfahrettinkoca let us get haram!")</f>
        <v>@drfahrettinkoca let us get haram!</v>
      </c>
    </row>
    <row r="3346" spans="1:5" ht="15" customHeight="1" x14ac:dyDescent="0.2">
      <c r="A3346" s="1" t="s">
        <v>6690</v>
      </c>
      <c r="B3346" s="1">
        <v>0</v>
      </c>
      <c r="C3346" s="3">
        <v>44543.923055555555</v>
      </c>
      <c r="D3346" s="1" t="s">
        <v>6691</v>
      </c>
      <c r="E3346" s="1" t="str">
        <f ca="1">IFERROR(__xludf.DUMMYFUNCTION("GOOGLETRANSLATE(A145 , ""tr"" , ""en"")"),"@drfahrettinkoca What about tens of thousands of people who die because of the drugs you distribute your handful?")</f>
        <v>@drfahrettinkoca What about tens of thousands of people who die because of the drugs you distribute your handful?</v>
      </c>
    </row>
    <row r="3347" spans="1:5" ht="15" customHeight="1" x14ac:dyDescent="0.2">
      <c r="A3347" s="1" t="s">
        <v>6692</v>
      </c>
      <c r="B3347" s="1">
        <v>0</v>
      </c>
      <c r="C3347" s="3">
        <v>44543.92019675926</v>
      </c>
      <c r="D3347" s="1" t="s">
        <v>6693</v>
      </c>
      <c r="E3347" s="1" t="str">
        <f ca="1">IFERROR(__xludf.DUMMYFUNCTION("GOOGLETRANSLATE(A146 , ""tr"" , ""en"")"),"@drfahrettinkoca haram gets zikkim.")</f>
        <v>@drfahrettinkoca haram gets zikkim.</v>
      </c>
    </row>
    <row r="3348" spans="1:5" ht="15" customHeight="1" x14ac:dyDescent="0.2">
      <c r="A3348" s="1" t="s">
        <v>6694</v>
      </c>
      <c r="B3348" s="1">
        <v>134</v>
      </c>
      <c r="C3348" s="3">
        <v>44543.918877314813</v>
      </c>
      <c r="D3348" s="1" t="s">
        <v>6695</v>
      </c>
      <c r="E3348" s="1" t="str">
        <f ca="1">IFERROR(__xludf.DUMMYFUNCTION("GOOGLETRANSLATE(A147 , ""tr"" , ""en"")"),"@drfahrettinkoca has no af! If you're going to finish, go ... Treason pandemia! Horror pandemia! Lying pandemia! Operating PA ... https://t.co/wuvs2ldglb")</f>
        <v>@drfahrettinkoca has no af! If you're going to finish, go ... Treason pandemia! Horror pandemia! Lying pandemia! Operating PA ... https://t.co/wuvs2ldglb</v>
      </c>
    </row>
    <row r="3349" spans="1:5" ht="15" customHeight="1" x14ac:dyDescent="0.2">
      <c r="A3349" s="1" t="s">
        <v>6696</v>
      </c>
      <c r="B3349" s="1">
        <v>10</v>
      </c>
      <c r="C3349" s="3">
        <v>44543.916539351849</v>
      </c>
      <c r="D3349" s="1" t="s">
        <v>6697</v>
      </c>
      <c r="E3349" s="1" t="str">
        <f ca="1">IFERROR(__xludf.DUMMYFUNCTION("GOOGLETRANSLATE(A148 , ""tr"" , ""en"")"),"@drfahrettinkoca When you will get to the right what is the right one, I wonder how many my friend Corona was the dorms already Berba ... https://t.co/ow2dfcrwos")</f>
        <v>@drfahrettinkoca When you will get to the right what is the right one, I wonder how many my friend Corona was the dorms already Berba ... https://t.co/ow2dfcrwos</v>
      </c>
    </row>
    <row r="3350" spans="1:5" ht="15" customHeight="1" x14ac:dyDescent="0.2">
      <c r="A3350" s="1" t="s">
        <v>6698</v>
      </c>
      <c r="B3350" s="1">
        <v>0</v>
      </c>
      <c r="C3350" s="3">
        <v>44543.915069444447</v>
      </c>
      <c r="D3350" s="1" t="s">
        <v>6699</v>
      </c>
      <c r="E3350" s="1" t="str">
        <f ca="1">IFERROR(__xludf.DUMMYFUNCTION("GOOGLETRANSLATE(A149 , ""tr"" , ""en"")"),"@drfahrettinkoca You can't be your luxury to make mistakes! Is this kid's game? If you are unable to go, let someone else come! Y ... https://t.co/Ijyxq5jvvs")</f>
        <v>@drfahrettinkoca You can't be your luxury to make mistakes! Is this kid's game? If you are unable to go, let someone else come! Y ... https://t.co/Ijyxq5jvvs</v>
      </c>
    </row>
    <row r="3351" spans="1:5" ht="15" customHeight="1" x14ac:dyDescent="0.2">
      <c r="A3351" s="1" t="s">
        <v>6700</v>
      </c>
      <c r="B3351" s="1">
        <v>0</v>
      </c>
      <c r="C3351" s="3">
        <v>44543.914004629631</v>
      </c>
      <c r="D3351" s="1" t="s">
        <v>6701</v>
      </c>
      <c r="E3351" s="1" t="str">
        <f ca="1">IFERROR(__xludf.DUMMYFUNCTION("GOOGLETRANSLATE(A150 , ""tr"" , ""en"")"),"@drfahrettinkoca sec Minister 3 Sinovac people don't give biontec vaccines to people system, please urgently urgently to this ... https://t.co/1kskmzwmb0")</f>
        <v>@drfahrettinkoca sec Minister 3 Sinovac people don't give biontec vaccines to people system, please urgently urgently to this ... https://t.co/1kskmzwmb0</v>
      </c>
    </row>
    <row r="3352" spans="1:5" ht="15" customHeight="1" x14ac:dyDescent="0.2">
      <c r="A3352" s="1" t="s">
        <v>6702</v>
      </c>
      <c r="B3352" s="1">
        <v>92</v>
      </c>
      <c r="C3352" s="3">
        <v>44543.9137962963</v>
      </c>
      <c r="D3352" s="1" t="s">
        <v>6703</v>
      </c>
      <c r="E3352" s="1" t="str">
        <f ca="1">IFERROR(__xludf.DUMMYFUNCTION("GOOGLETRANSLATE(A151 , ""tr"" , ""en"")"),"@drfahrettinkoca is no errors without errors, but this is true however, you and your faulty decisions of human life ... https://t.co/8mxkkgzju9")</f>
        <v>@drfahrettinkoca is no errors without errors, but this is true however, you and your faulty decisions of human life ... https://t.co/8mxkkgzju9</v>
      </c>
    </row>
    <row r="3353" spans="1:5" ht="15" customHeight="1" x14ac:dyDescent="0.2">
      <c r="A3353" s="1" t="s">
        <v>6704</v>
      </c>
      <c r="B3353" s="1">
        <v>0</v>
      </c>
      <c r="C3353" s="3">
        <v>44543.91337962963</v>
      </c>
      <c r="D3353" s="1" t="s">
        <v>6705</v>
      </c>
      <c r="E3353" s="1" t="str">
        <f ca="1">IFERROR(__xludf.DUMMYFUNCTION("GOOGLETRANSLATE(A152 , ""tr"" , ""en"")"),"@drfahrettinkoca Your Soon Mr. Minister Absolutely Agree to Concrete Your Construction To Your Friends To Concrete Your Way ... https://t.co/njjhgfklr3")</f>
        <v>@drfahrettinkoca Your Soon Mr. Minister Absolutely Agree to Concrete Your Construction To Your Friends To Concrete Your Way ... https://t.co/njjhgfklr3</v>
      </c>
    </row>
    <row r="3354" spans="1:5" ht="15" customHeight="1" x14ac:dyDescent="0.2">
      <c r="A3354" s="1" t="s">
        <v>6706</v>
      </c>
      <c r="B3354" s="1">
        <v>1</v>
      </c>
      <c r="C3354" s="3">
        <v>44543.912858796299</v>
      </c>
      <c r="D3354" s="1" t="s">
        <v>6707</v>
      </c>
      <c r="E3354" s="1" t="str">
        <f ca="1">IFERROR(__xludf.DUMMYFUNCTION("GOOGLETRANSLATE(A153 , ""tr"" , ""en"")"),"@drfahrettinka https://t.co/Iomdutkyxo")</f>
        <v>@drfahrettinka https://t.co/Iomdutkyxo</v>
      </c>
    </row>
    <row r="3355" spans="1:5" ht="15" customHeight="1" x14ac:dyDescent="0.2">
      <c r="A3355" s="1" t="s">
        <v>6708</v>
      </c>
      <c r="B3355" s="1">
        <v>0</v>
      </c>
      <c r="C3355" s="3">
        <v>44543.911898148152</v>
      </c>
      <c r="D3355" s="1" t="s">
        <v>6709</v>
      </c>
      <c r="E3355" s="1" t="str">
        <f ca="1">IFERROR(__xludf.DUMMYFUNCTION("GOOGLETRANSLATE(A154 , ""tr"" , ""en"")"),"@drfahrettinkoca I don't Halal I'm Halal You Fahrettin Husband")</f>
        <v>@drfahrettinkoca I don't Halal I'm Halal You Fahrettin Husband</v>
      </c>
    </row>
    <row r="3356" spans="1:5" ht="15" customHeight="1" x14ac:dyDescent="0.2">
      <c r="A3356" s="1" t="s">
        <v>6710</v>
      </c>
      <c r="B3356" s="1">
        <v>1</v>
      </c>
      <c r="C3356" s="3">
        <v>44543.911678240744</v>
      </c>
      <c r="D3356" s="1" t="s">
        <v>6711</v>
      </c>
      <c r="E3356" s="1" t="str">
        <f ca="1">IFERROR(__xludf.DUMMYFUNCTION("GOOGLETRANSLATE(A155 , ""tr"" , ""en"")"),"Even @drfahrettinkoca even since when did you even do the error even if the mistake is getting yanlettin Beyy Beyy this Vebal burning")</f>
        <v>Even @drfahrettinkoca even since when did you even do the error even if the mistake is getting yanlettin Beyy Beyy this Vebal burning</v>
      </c>
    </row>
    <row r="3357" spans="1:5" ht="15" customHeight="1" x14ac:dyDescent="0.2">
      <c r="A3357" s="1" t="s">
        <v>6712</v>
      </c>
      <c r="B3357" s="1">
        <v>11</v>
      </c>
      <c r="C3357" s="3">
        <v>44543.911597222221</v>
      </c>
      <c r="D3357" s="1" t="s">
        <v>6713</v>
      </c>
      <c r="E3357" s="1" t="str">
        <f ca="1">IFERROR(__xludf.DUMMYFUNCTION("GOOGLETRANSLATE(A156 , ""tr"" , ""en"")"),"@drfahrettinkoca I am harm about me. See you in Court-i Cubra")</f>
        <v>@drfahrettinkoca I am harm about me. See you in Court-i Cubra</v>
      </c>
    </row>
    <row r="3358" spans="1:5" ht="15" customHeight="1" x14ac:dyDescent="0.2">
      <c r="A3358" s="1" t="s">
        <v>6714</v>
      </c>
      <c r="B3358" s="1">
        <v>9</v>
      </c>
      <c r="C3358" s="3">
        <v>44543.908935185187</v>
      </c>
      <c r="D3358" s="1" t="s">
        <v>6715</v>
      </c>
      <c r="E3358" s="1" t="str">
        <f ca="1">IFERROR(__xludf.DUMMYFUNCTION("GOOGLETRANSLATE(A157 , ""tr"" , ""en"")"),"@drfahrettinkoca you have given an example of injustice and injustice health management, do not open the staff, get the ruin")</f>
        <v>@drfahrettinkoca you have given an example of injustice and injustice health management, do not open the staff, get the ruin</v>
      </c>
    </row>
    <row r="3359" spans="1:5" ht="15" customHeight="1" x14ac:dyDescent="0.2">
      <c r="A3359" s="1" t="s">
        <v>6716</v>
      </c>
      <c r="B3359" s="1">
        <v>0</v>
      </c>
      <c r="C3359" s="3">
        <v>44543.908506944441</v>
      </c>
      <c r="D3359" s="1" t="s">
        <v>6717</v>
      </c>
      <c r="E3359" s="1" t="str">
        <f ca="1">IFERROR(__xludf.DUMMYFUNCTION("GOOGLETRANSLATE(A158 , ""tr"" , ""en"")"),"@drfahrettinkoca 🤣🤣🤣🤣🤣🤣🤣🤣🤣🤣🤣🤣🤣🤣🤣🤣😎")</f>
        <v>@drfahrettinkoca 🤣🤣🤣🤣🤣🤣🤣🤣🤣🤣🤣🤣🤣🤣🤣🤣😎</v>
      </c>
    </row>
    <row r="3360" spans="1:5" ht="15" customHeight="1" x14ac:dyDescent="0.2">
      <c r="A3360" s="1" t="s">
        <v>6718</v>
      </c>
      <c r="B3360" s="1">
        <v>2</v>
      </c>
      <c r="C3360" s="3">
        <v>44543.907696759263</v>
      </c>
      <c r="D3360" s="1" t="s">
        <v>6719</v>
      </c>
      <c r="E3360" s="1" t="str">
        <f ca="1">IFERROR(__xludf.DUMMYFUNCTION("GOOGLETRANSLATE(A159 , ""tr"" , ""en"")"),"@drfahrettinkoca millions of people have ahi on you .. Lord good Sabirli 😞🤲🏻")</f>
        <v>@drfahrettinkoca millions of people have ahi on you .. Lord good Sabirli 😞🤲🏻</v>
      </c>
    </row>
    <row r="3361" spans="1:5" ht="15" customHeight="1" x14ac:dyDescent="0.2">
      <c r="A3361" s="1" t="s">
        <v>6720</v>
      </c>
      <c r="B3361" s="1">
        <v>1</v>
      </c>
      <c r="C3361" s="3">
        <v>44543.906840277778</v>
      </c>
      <c r="D3361" s="1" t="s">
        <v>6721</v>
      </c>
      <c r="E3361" s="1" t="str">
        <f ca="1">IFERROR(__xludf.DUMMYFUNCTION("GOOGLETRANSLATE(A160 , ""tr"" , ""en"")"),"@drfahrettinkoca https://t.co/vyq0b1OUZ")</f>
        <v>@drfahrettinkoca https://t.co/vyq0b1OUZ</v>
      </c>
    </row>
    <row r="3362" spans="1:5" ht="15" customHeight="1" x14ac:dyDescent="0.2">
      <c r="A3362" s="1" t="s">
        <v>6722</v>
      </c>
      <c r="B3362" s="1">
        <v>1</v>
      </c>
      <c r="C3362" s="3">
        <v>44543.906435185185</v>
      </c>
      <c r="D3362" s="1" t="s">
        <v>6723</v>
      </c>
      <c r="E3362" s="1" t="str">
        <f ca="1">IFERROR(__xludf.DUMMYFUNCTION("GOOGLETRANSLATE(A161 , ""tr"" , ""en"")"),"@drfahrettinkoca You have got the Beddux of the human being that you have a very difficult Mr. Overlooking your behalf you really get sorry your name")</f>
        <v>@drfahrettinkoca You have got the Beddux of the human being that you have a very difficult Mr. Overlooking your behalf you really get sorry your name</v>
      </c>
    </row>
    <row r="3363" spans="1:5" ht="15" customHeight="1" x14ac:dyDescent="0.2">
      <c r="A3363" s="1" t="s">
        <v>6724</v>
      </c>
      <c r="B3363" s="1">
        <v>0</v>
      </c>
      <c r="C3363" s="3">
        <v>44543.906354166669</v>
      </c>
      <c r="D3363" s="1" t="s">
        <v>6725</v>
      </c>
      <c r="E3363" s="1" t="str">
        <f ca="1">IFERROR(__xludf.DUMMYFUNCTION("GOOGLETRANSLATE(A162 , ""tr"" , ""en"")"),"@drfahrettinkoca is the right to get haram. You are imposed on vaccine. You prolified people to fear. Look AUSTRIA YA. Played g ... https://t.co/8wizxoopqn")</f>
        <v>@drfahrettinkoca is the right to get haram. You are imposed on vaccine. You prolified people to fear. Look AUSTRIA YA. Played g ... https://t.co/8wizxoopqn</v>
      </c>
    </row>
    <row r="3364" spans="1:5" ht="15" customHeight="1" x14ac:dyDescent="0.2">
      <c r="A3364" s="1" t="s">
        <v>6726</v>
      </c>
      <c r="B3364" s="1">
        <v>2</v>
      </c>
      <c r="C3364" s="3">
        <v>44543.906307870369</v>
      </c>
      <c r="D3364" s="1" t="s">
        <v>6727</v>
      </c>
      <c r="E3364" s="1" t="str">
        <f ca="1">IFERROR(__xludf.DUMMYFUNCTION("GOOGLETRANSLATE(A163 , ""tr"" , ""en"")"),"@drfahrettinkoca According to the eye, you are persecuted, you are still being persecuted, after I cease to persist.")</f>
        <v>@drfahrettinkoca According to the eye, you are persecuted, you are still being persecuted, after I cease to persist.</v>
      </c>
    </row>
    <row r="3365" spans="1:5" ht="15" customHeight="1" x14ac:dyDescent="0.2">
      <c r="A3365" s="1" t="s">
        <v>6728</v>
      </c>
      <c r="B3365" s="1">
        <v>1</v>
      </c>
      <c r="C3365" s="3">
        <v>44543.905682870369</v>
      </c>
      <c r="D3365" s="1" t="s">
        <v>6729</v>
      </c>
      <c r="E3365" s="1" t="str">
        <f ca="1">IFERROR(__xludf.DUMMYFUNCTION("GOOGLETRANSLATE(A164 , ""tr"" , ""en"")"),"@drfahrettinka https://t.co/h1j9sy0s2t")</f>
        <v>@drfahrettinka https://t.co/h1j9sy0s2t</v>
      </c>
    </row>
    <row r="3366" spans="1:5" ht="15" customHeight="1" x14ac:dyDescent="0.2">
      <c r="A3366" s="1" t="s">
        <v>6730</v>
      </c>
      <c r="B3366" s="1">
        <v>0</v>
      </c>
      <c r="C3366" s="3">
        <v>44543.905069444445</v>
      </c>
      <c r="D3366" s="1" t="s">
        <v>6731</v>
      </c>
      <c r="E3366" s="1" t="str">
        <f ca="1">IFERROR(__xludf.DUMMYFUNCTION("GOOGLETRANSLATE(A165 , ""tr"" , ""en"")"),"@drfahrettinkoca Forty Lie Farettin WHO Settvy's Ambassador")</f>
        <v>@drfahrettinkoca Forty Lie Farettin WHO Settvy's Ambassador</v>
      </c>
    </row>
    <row r="3367" spans="1:5" ht="15" customHeight="1" x14ac:dyDescent="0.2">
      <c r="A3367" s="1" t="s">
        <v>6732</v>
      </c>
      <c r="B3367" s="1">
        <v>1</v>
      </c>
      <c r="C3367" s="3">
        <v>44543.904537037037</v>
      </c>
      <c r="D3367" s="1" t="s">
        <v>6733</v>
      </c>
      <c r="E3367" s="1" t="str">
        <f ca="1">IFERROR(__xludf.DUMMYFUNCTION("GOOGLETRANSLATE(A166 , ""tr"" , ""en"")"),"@drfahrettinkoca is the intention of this folks very well, they will also answer this in the chest.")</f>
        <v>@drfahrettinkoca is the intention of this folks very well, they will also answer this in the chest.</v>
      </c>
    </row>
    <row r="3368" spans="1:5" ht="15" customHeight="1" x14ac:dyDescent="0.2">
      <c r="A3368" s="1" t="s">
        <v>6734</v>
      </c>
      <c r="B3368" s="1">
        <v>5</v>
      </c>
      <c r="C3368" s="3">
        <v>44543.904120370367</v>
      </c>
      <c r="D3368" s="1" t="s">
        <v>6735</v>
      </c>
      <c r="E3368" s="1" t="str">
        <f ca="1">IFERROR(__xludf.DUMMYFUNCTION("GOOGLETRANSLATE(A167 , ""tr"" , ""en"")"),"@drfahrettinkoca administrative units are filled in a meritly manner while the graduates of the health management graduates g ... https://t.co/QVPGIWGBE9")</f>
        <v>@drfahrettinkoca administrative units are filled in a meritly manner while the graduates of the health management graduates g ... https://t.co/QVPGIWGBE9</v>
      </c>
    </row>
    <row r="3369" spans="1:5" ht="15" customHeight="1" x14ac:dyDescent="0.2">
      <c r="A3369" s="1" t="s">
        <v>6736</v>
      </c>
      <c r="B3369" s="1">
        <v>0</v>
      </c>
      <c r="C3369" s="3">
        <v>44543.903437499997</v>
      </c>
      <c r="D3369" s="1" t="s">
        <v>6737</v>
      </c>
      <c r="E3369" s="1" t="str">
        <f ca="1">IFERROR(__xludf.DUMMYFUNCTION("GOOGLETRANSLATE(A168 , ""tr"" , ""en"")"),"@drfahrettinkoca is not over counting your scientific outlets. Cup of tea in the tea cup Cup of drinks ASETO ... https://t.co/vyr0o89fkv")</f>
        <v>@drfahrettinkoca is not over counting your scientific outlets. Cup of tea in the tea cup Cup of drinks ASETO ... https://t.co/vyr0o89fkv</v>
      </c>
    </row>
    <row r="3370" spans="1:5" ht="15" customHeight="1" x14ac:dyDescent="0.2">
      <c r="A3370" s="1" t="s">
        <v>6738</v>
      </c>
      <c r="B3370" s="1">
        <v>2</v>
      </c>
      <c r="C3370" s="3">
        <v>44543.902013888888</v>
      </c>
      <c r="D3370" s="1" t="s">
        <v>6739</v>
      </c>
      <c r="E3370" s="1" t="str">
        <f ca="1">IFERROR(__xludf.DUMMYFUNCTION("GOOGLETRANSLATE(A169 , ""tr"" , ""en"")"),"@drfahrettinkoca Forty lying is the right .. Conscience.")</f>
        <v>@drfahrettinkoca Forty lying is the right .. Conscience.</v>
      </c>
    </row>
    <row r="3371" spans="1:5" ht="15" customHeight="1" x14ac:dyDescent="0.2">
      <c r="A3371" s="1" t="s">
        <v>6740</v>
      </c>
      <c r="B3371" s="1">
        <v>0</v>
      </c>
      <c r="C3371" s="3">
        <v>44543.901331018518</v>
      </c>
      <c r="D3371" s="1" t="s">
        <v>6741</v>
      </c>
      <c r="E3371" s="1" t="str">
        <f ca="1">IFERROR(__xludf.DUMMYFUNCTION("GOOGLETRANSLATE(A170 , ""tr"" , ""en"")"),"@drfahrettinkoca 666 Fahrettin You Bug on Genocide Do Diyosun https://t.co/r3eario96p")</f>
        <v>@drfahrettinkoca 666 Fahrettin You Bug on Genocide Do Diyosun https://t.co/r3eario96p</v>
      </c>
    </row>
    <row r="3372" spans="1:5" ht="15" customHeight="1" x14ac:dyDescent="0.2">
      <c r="A3372" s="1" t="s">
        <v>6742</v>
      </c>
      <c r="B3372" s="1">
        <v>11</v>
      </c>
      <c r="C3372" s="3">
        <v>44543.900717592594</v>
      </c>
      <c r="D3372" s="1" t="s">
        <v>6743</v>
      </c>
      <c r="E3372" s="1" t="str">
        <f ca="1">IFERROR(__xludf.DUMMYFUNCTION("GOOGLETRANSLATE(A171 , ""tr"" , ""en"")"),"@drfahrettinkoca resign @drfahrettinkoca! Our right is not halal! Go to avail and don't ask others because ... https://t.co/fxdcmatzfb")</f>
        <v>@drfahrettinkoca resign @drfahrettinkoca! Our right is not halal! Go to avail and don't ask others because ... https://t.co/fxdcmatzfb</v>
      </c>
    </row>
    <row r="3373" spans="1:5" ht="15" customHeight="1" x14ac:dyDescent="0.2">
      <c r="A3373" s="1" t="s">
        <v>6744</v>
      </c>
      <c r="B3373" s="1">
        <v>0</v>
      </c>
      <c r="C3373" s="3">
        <v>44543.900543981479</v>
      </c>
      <c r="D3373" s="1" t="s">
        <v>6745</v>
      </c>
      <c r="E3373" s="1" t="str">
        <f ca="1">IFERROR(__xludf.DUMMYFUNCTION("GOOGLETRANSLATE(A172 , ""tr"" , ""en"")"),"@drfahrettinkoca is the principal health. The rest excuse.")</f>
        <v>@drfahrettinkoca is the principal health. The rest excuse.</v>
      </c>
    </row>
    <row r="3374" spans="1:5" ht="15" customHeight="1" x14ac:dyDescent="0.2">
      <c r="A3374" s="1" t="s">
        <v>6746</v>
      </c>
      <c r="B3374" s="1">
        <v>1</v>
      </c>
      <c r="C3374" s="3">
        <v>44543.899085648147</v>
      </c>
      <c r="D3374" s="1" t="s">
        <v>6747</v>
      </c>
      <c r="E3374" s="1" t="str">
        <f ca="1">IFERROR(__xludf.DUMMYFUNCTION("GOOGLETRANSLATE(A173 , ""tr"" , ""en"")"),"@drfahrettinka https://t.co/xtnxyojf7w")</f>
        <v>@drfahrettinka https://t.co/xtnxyojf7w</v>
      </c>
    </row>
    <row r="3375" spans="1:5" ht="15" customHeight="1" x14ac:dyDescent="0.2">
      <c r="A3375" s="1" t="s">
        <v>6748</v>
      </c>
      <c r="B3375" s="1">
        <v>2</v>
      </c>
      <c r="C3375" s="3">
        <v>44543.898865740739</v>
      </c>
      <c r="D3375" s="1" t="s">
        <v>6749</v>
      </c>
      <c r="E3375" s="1" t="str">
        <f ca="1">IFERROR(__xludf.DUMMYFUNCTION("GOOGLETRANSLATE(A174 , ""tr"" , ""en"")"),"@drfahrettinka day produces excessive new lies and people's constitutional and legal rights of themselves in your own t ... https://t.co/r0cxkc7sm4")</f>
        <v>@drfahrettinka day produces excessive new lies and people's constitutional and legal rights of themselves in your own t ... https://t.co/r0cxkc7sm4</v>
      </c>
    </row>
    <row r="3376" spans="1:5" ht="15" customHeight="1" x14ac:dyDescent="0.2">
      <c r="A3376" s="1" t="s">
        <v>6750</v>
      </c>
      <c r="B3376" s="1">
        <v>0</v>
      </c>
      <c r="C3376" s="3">
        <v>44543.898541666669</v>
      </c>
      <c r="D3376" s="1" t="s">
        <v>6751</v>
      </c>
      <c r="E3376" s="1" t="str">
        <f ca="1">IFERROR(__xludf.DUMMYFUNCTION("GOOGLETRANSLATE(A175 , ""tr"" , ""en"")"),"@drfahrettinkoca will be asked @drfahrettinkoca")</f>
        <v>@drfahrettinkoca will be asked @drfahrettinkoca</v>
      </c>
    </row>
    <row r="3377" spans="1:5" ht="15" customHeight="1" x14ac:dyDescent="0.2">
      <c r="A3377" s="1" t="s">
        <v>6752</v>
      </c>
      <c r="B3377" s="1">
        <v>3</v>
      </c>
      <c r="C3377" s="3">
        <v>44543.898368055554</v>
      </c>
      <c r="D3377" s="1" t="s">
        <v>6753</v>
      </c>
      <c r="E3377" s="1" t="str">
        <f ca="1">IFERROR(__xludf.DUMMYFUNCTION("GOOGLETRANSLATE(A176 , ""tr"" , ""en"")"),"@drfahrettinka https://t.co/lskbyssuyd")</f>
        <v>@drfahrettinka https://t.co/lskbyssuyd</v>
      </c>
    </row>
    <row r="3378" spans="1:5" ht="15" customHeight="1" x14ac:dyDescent="0.2">
      <c r="A3378" s="1" t="s">
        <v>6754</v>
      </c>
      <c r="B3378" s="1">
        <v>1</v>
      </c>
      <c r="C3378" s="3">
        <v>44543.897650462961</v>
      </c>
      <c r="D3378" s="1" t="s">
        <v>6755</v>
      </c>
      <c r="E3378" s="1" t="str">
        <f ca="1">IFERROR(__xludf.DUMMYFUNCTION("GOOGLETRANSLATE(A177 , ""tr"" , ""en"")"),"@drfahrettinka https://t.co/jyf1cxlgn0")</f>
        <v>@drfahrettinka https://t.co/jyf1cxlgn0</v>
      </c>
    </row>
    <row r="3379" spans="1:5" ht="15" customHeight="1" x14ac:dyDescent="0.2">
      <c r="A3379" s="1" t="s">
        <v>6756</v>
      </c>
      <c r="B3379" s="1">
        <v>0</v>
      </c>
      <c r="C3379" s="3">
        <v>44543.89738425926</v>
      </c>
      <c r="D3379" s="1" t="s">
        <v>6757</v>
      </c>
      <c r="E3379" s="1" t="str">
        <f ca="1">IFERROR(__xludf.DUMMYFUNCTION("GOOGLETRANSLATE(A178 , ""tr"" , ""en"")"),"@drfahrettinkoca you have never been the smallest mistake in something you don't intentionally intentionally intentionally intentionally made the day ge ... https://t.co/injfnq1xyv")</f>
        <v>@drfahrettinkoca you have never been the smallest mistake in something you don't intentionally intentionally intentionally intentionally made the day ge ... https://t.co/injfnq1xyv</v>
      </c>
    </row>
    <row r="3380" spans="1:5" ht="15" customHeight="1" x14ac:dyDescent="0.2">
      <c r="A3380" s="1" t="s">
        <v>6758</v>
      </c>
      <c r="B3380" s="1">
        <v>0</v>
      </c>
      <c r="C3380" s="3">
        <v>44543.897175925929</v>
      </c>
      <c r="D3380" s="1" t="s">
        <v>6759</v>
      </c>
      <c r="E3380" s="1" t="str">
        <f ca="1">IFERROR(__xludf.DUMMYFUNCTION("GOOGLETRANSLATE(A179 , ""tr"" , ""en"")"),"@drfahrettinkoca remained little, you also count the day. We have received the victim. If you have the heart, it is naughty reading these comments ... https://t.co/gp8oa64iwe")</f>
        <v>@drfahrettinkoca remained little, you also count the day. We have received the victim. If you have the heart, it is naughty reading these comments ... https://t.co/gp8oa64iwe</v>
      </c>
    </row>
    <row r="3381" spans="1:5" ht="15" customHeight="1" x14ac:dyDescent="0.2">
      <c r="A3381" s="1" t="s">
        <v>6760</v>
      </c>
      <c r="B3381" s="1">
        <v>0</v>
      </c>
      <c r="C3381" s="3">
        <v>44543.897118055553</v>
      </c>
      <c r="D3381" s="1" t="s">
        <v>6761</v>
      </c>
      <c r="E3381" s="1" t="str">
        <f ca="1">IFERROR(__xludf.DUMMYFUNCTION("GOOGLETRANSLATE(A180 , ""tr"" , ""en"")"),"@drfahrettinkoca should be approved by 3 months to 3 months. 2 dose snovac + 1 dose biontect ones and ... https://t.co/8ww7vowssv")</f>
        <v>@drfahrettinkoca should be approved by 3 months to 3 months. 2 dose snovac + 1 dose biontect ones and ... https://t.co/8ww7vowssv</v>
      </c>
    </row>
    <row r="3382" spans="1:5" ht="15" customHeight="1" x14ac:dyDescent="0.2">
      <c r="A3382" s="1" t="s">
        <v>6762</v>
      </c>
      <c r="B3382" s="1">
        <v>2</v>
      </c>
      <c r="C3382" s="3">
        <v>44543.896655092591</v>
      </c>
      <c r="D3382" s="1" t="s">
        <v>6763</v>
      </c>
      <c r="E3382" s="1" t="str">
        <f ca="1">IFERROR(__xludf.DUMMYFUNCTION("GOOGLETRANSLATE(A181 , ""tr"" , ""en"")"),"@drfahrettinkoca no soo play the conscience. Everyone is when it's time to give your account.")</f>
        <v>@drfahrettinkoca no soo play the conscience. Everyone is when it's time to give your account.</v>
      </c>
    </row>
    <row r="3383" spans="1:5" ht="15" customHeight="1" x14ac:dyDescent="0.2">
      <c r="A3383" s="1" t="s">
        <v>6764</v>
      </c>
      <c r="B3383" s="1">
        <v>1</v>
      </c>
      <c r="C3383" s="3">
        <v>44543.896365740744</v>
      </c>
      <c r="D3383" s="1" t="s">
        <v>6765</v>
      </c>
      <c r="E3383" s="1" t="str">
        <f ca="1">IFERROR(__xludf.DUMMYFUNCTION("GOOGLETRANSLATE(A182 , ""tr"" , ""en"")"),"@drfahrettinkoca promptly quit meat @rterdogan")</f>
        <v>@drfahrettinkoca promptly quit meat @rterdogan</v>
      </c>
    </row>
    <row r="3384" spans="1:5" ht="15" customHeight="1" x14ac:dyDescent="0.2">
      <c r="A3384" s="1" t="s">
        <v>6766</v>
      </c>
      <c r="B3384" s="1">
        <v>4</v>
      </c>
      <c r="C3384" s="3">
        <v>44543.896180555559</v>
      </c>
      <c r="D3384" s="1" t="s">
        <v>6767</v>
      </c>
      <c r="E3384" s="1" t="str">
        <f ca="1">IFERROR(__xludf.DUMMYFUNCTION("GOOGLETRANSLATE(A183 , ""tr"" , ""en"")"),"@drfahrettinkoca for 20 months is the mistake to say mistake! Global Media and Medikâl Trusters' Pandemi ABA ... https://t.co/ehnbs://t.co/hnbs ://")</f>
        <v>@drfahrettinkoca for 20 months is the mistake to say mistake! Global Media and Medikâl Trusters' Pandemi ABA ... https://t.co/ehnbs://t.co/hnbs ://</v>
      </c>
    </row>
    <row r="3385" spans="1:5" ht="15" customHeight="1" x14ac:dyDescent="0.2">
      <c r="A3385" s="1" t="s">
        <v>6768</v>
      </c>
      <c r="B3385" s="1">
        <v>773</v>
      </c>
      <c r="C3385" s="3">
        <v>44543.895532407405</v>
      </c>
      <c r="D3385" s="1" t="s">
        <v>6769</v>
      </c>
      <c r="E3385" s="1" t="str">
        <f ca="1">IFERROR(__xludf.DUMMYFUNCTION("GOOGLETRANSLATE(A184 , ""tr"" , ""en"")"),"@drfahrettinkoca you have faulty diagnosis, inaccurate treatments and vaccines, from their job, from their job! Already ... https://t.co/pe1cf9gq7n")</f>
        <v>@drfahrettinkoca you have faulty diagnosis, inaccurate treatments and vaccines, from their job, from their job! Already ... https://t.co/pe1cf9gq7n</v>
      </c>
    </row>
    <row r="3386" spans="1:5" ht="15" customHeight="1" x14ac:dyDescent="0.2">
      <c r="A3386" s="1" t="s">
        <v>6770</v>
      </c>
      <c r="B3386" s="1">
        <v>0</v>
      </c>
      <c r="C3386" s="3">
        <v>44543.895138888889</v>
      </c>
      <c r="D3386" s="1" t="s">
        <v>6771</v>
      </c>
      <c r="E3386" s="1" t="str">
        <f ca="1">IFERROR(__xludf.DUMMYFUNCTION("GOOGLETRANSLATE(A185 , ""tr"" , ""en"")"),"If @drfahrettinkoca system is on the floor, is the mistake if they work with the correct leader in the place. If there is an error ... https://t.co/9zjzjnebig")</f>
        <v>If @drfahrettinkoca system is on the floor, is the mistake if they work with the correct leader in the place. If there is an error ... https://t.co/9zjzjnebig</v>
      </c>
    </row>
    <row r="3387" spans="1:5" ht="15" customHeight="1" x14ac:dyDescent="0.2">
      <c r="A3387" s="1" t="s">
        <v>6772</v>
      </c>
      <c r="B3387" s="1">
        <v>0</v>
      </c>
      <c r="C3387" s="3">
        <v>44543.894606481481</v>
      </c>
      <c r="D3387" s="1" t="s">
        <v>6773</v>
      </c>
      <c r="E3387" s="1" t="str">
        <f ca="1">IFERROR(__xludf.DUMMYFUNCTION("GOOGLETRANSLATE(A186 , ""tr"" , ""en"")"),"@drfahrettinkoca you are lying. If you are sincere you'll open Sabim 184 to complaints. Who died of the lie. ... https://t.co/gklxnziu1I")</f>
        <v>@drfahrettinkoca you are lying. If you are sincere you'll open Sabim 184 to complaints. Who died of the lie. ... https://t.co/gklxnziu1I</v>
      </c>
    </row>
    <row r="3388" spans="1:5" ht="15" customHeight="1" x14ac:dyDescent="0.2">
      <c r="A3388" s="1" t="s">
        <v>6774</v>
      </c>
      <c r="B3388" s="1">
        <v>7</v>
      </c>
      <c r="C3388" s="3">
        <v>44543.894525462965</v>
      </c>
      <c r="D3388" s="1" t="s">
        <v>6775</v>
      </c>
      <c r="E3388" s="1" t="str">
        <f ca="1">IFERROR(__xludf.DUMMYFUNCTION("GOOGLETRANSLATE(A187 , ""tr"" , ""en"")"),"@drfahrettinkoca you have very cruelty with this vaccine and PCR imposition")</f>
        <v>@drfahrettinkoca you have very cruelty with this vaccine and PCR imposition</v>
      </c>
    </row>
    <row r="3389" spans="1:5" ht="15" customHeight="1" x14ac:dyDescent="0.2">
      <c r="A3389" s="1" t="s">
        <v>6776</v>
      </c>
      <c r="B3389" s="1">
        <v>0</v>
      </c>
      <c r="C3389" s="3">
        <v>44543.892268518517</v>
      </c>
      <c r="D3389" s="1" t="s">
        <v>6777</v>
      </c>
      <c r="E3389" s="1" t="str">
        <f ca="1">IFERROR(__xludf.DUMMYFUNCTION("GOOGLETRANSLATE(A188 , ""tr"" , ""en"")"),"@drfahrettinkoca CEK Git Uyutrrr")</f>
        <v>@drfahrettinkoca CEK Git Uyutrrr</v>
      </c>
    </row>
    <row r="3390" spans="1:5" ht="15" customHeight="1" x14ac:dyDescent="0.2">
      <c r="A3390" s="1" t="s">
        <v>6778</v>
      </c>
      <c r="B3390" s="1">
        <v>1</v>
      </c>
      <c r="C3390" s="3">
        <v>44543.89203703704</v>
      </c>
      <c r="D3390" s="1" t="s">
        <v>6779</v>
      </c>
      <c r="E3390" s="1" t="str">
        <f ca="1">IFERROR(__xludf.DUMMYFUNCTION("GOOGLETRANSLATE(A189 , ""tr"" , ""en"")"),"@drfahrettinkoca Science of Science Değil Bill on the road to go on the road, the education, health, economy Berbart ... https://t.co/kx3gvagbet")</f>
        <v>@drfahrettinkoca Science of Science Değil Bill on the road to go on the road, the education, health, economy Berbart ... https://t.co/kx3gvagbet</v>
      </c>
    </row>
    <row r="3391" spans="1:5" ht="15" customHeight="1" x14ac:dyDescent="0.2">
      <c r="A3391" s="1" t="s">
        <v>6780</v>
      </c>
      <c r="B3391" s="1">
        <v>0</v>
      </c>
      <c r="C3391" s="3">
        <v>44543.892002314817</v>
      </c>
      <c r="D3391" s="1" t="s">
        <v>6781</v>
      </c>
      <c r="E3391" s="1" t="str">
        <f ca="1">IFERROR(__xludf.DUMMYFUNCTION("GOOGLETRANSLATE(A190 , ""tr"" , ""en"")"),"@drfahrettinkoca you didn't even want to ask for the desire to put on the Lord to the Hereafter you have received the AHINI of every person")</f>
        <v>@drfahrettinkoca you didn't even want to ask for the desire to put on the Lord to the Hereafter you have received the AHINI of every person</v>
      </c>
    </row>
    <row r="3392" spans="1:5" ht="15" customHeight="1" x14ac:dyDescent="0.2">
      <c r="A3392" s="1" t="s">
        <v>6782</v>
      </c>
      <c r="B3392" s="1">
        <v>0</v>
      </c>
      <c r="C3392" s="3">
        <v>44543.891793981478</v>
      </c>
      <c r="D3392" s="1" t="s">
        <v>6783</v>
      </c>
      <c r="E3392" s="1" t="str">
        <f ca="1">IFERROR(__xludf.DUMMYFUNCTION("GOOGLETRANSLATE(A191 , ""tr"" , ""en"")"),"@drfahrettinkoca Is that Is this. was in the Muslarum. I knew the repentance. But those who died and sak ... https://t.co/xciYrh6kqd")</f>
        <v>@drfahrettinkoca Is that Is this. was in the Muslarum. I knew the repentance. But those who died and sak ... https://t.co/xciYrh6kqd</v>
      </c>
    </row>
    <row r="3393" spans="1:5" ht="15" customHeight="1" x14ac:dyDescent="0.2">
      <c r="A3393" s="1" t="s">
        <v>6784</v>
      </c>
      <c r="B3393" s="1">
        <v>0</v>
      </c>
      <c r="C3393" s="3">
        <v>44543.891053240739</v>
      </c>
      <c r="D3393" s="1" t="s">
        <v>6785</v>
      </c>
      <c r="E3393" s="1" t="str">
        <f ca="1">IFERROR(__xludf.DUMMYFUNCTION("GOOGLETRANSLATE(A192 , ""tr"" , ""en"")"),"@drfahrettinkoca hand to participate in the vaccine program secretly without allowing their families to their families, people ... https://t.co/tqfraay8tm")</f>
        <v>@drfahrettinkoca hand to participate in the vaccine program secretly without allowing their families to their families, people ... https://t.co/tqfraay8tm</v>
      </c>
    </row>
    <row r="3394" spans="1:5" ht="15" customHeight="1" x14ac:dyDescent="0.2">
      <c r="A3394" s="1" t="s">
        <v>6786</v>
      </c>
      <c r="B3394" s="1">
        <v>0</v>
      </c>
      <c r="C3394" s="3">
        <v>44543.890960648147</v>
      </c>
      <c r="D3394" s="1" t="s">
        <v>6787</v>
      </c>
      <c r="E3394" s="1" t="str">
        <f ca="1">IFERROR(__xludf.DUMMYFUNCTION("GOOGLETRANSLATE(A193 , ""tr"" , ""en"")"),"@drfahrettinkoca pardon the pardon no longer funny it's not even forgot enough to laugh I don't accept me")</f>
        <v>@drfahrettinkoca pardon the pardon no longer funny it's not even forgot enough to laugh I don't accept me</v>
      </c>
    </row>
    <row r="3395" spans="1:5" ht="15" customHeight="1" x14ac:dyDescent="0.2">
      <c r="A3395" s="1" t="s">
        <v>6788</v>
      </c>
      <c r="B3395" s="1">
        <v>2</v>
      </c>
      <c r="C3395" s="3">
        <v>44543.890914351854</v>
      </c>
      <c r="D3395" s="1" t="s">
        <v>6789</v>
      </c>
      <c r="E3395" s="1" t="str">
        <f ca="1">IFERROR(__xludf.DUMMYFUNCTION("GOOGLETRANSLATE(A194 , ""tr"" , ""en"")"),"@drfahrettinkoca what nationi is thin of the neck against Erdogan")</f>
        <v>@drfahrettinkoca what nationi is thin of the neck against Erdogan</v>
      </c>
    </row>
    <row r="3396" spans="1:5" ht="15" customHeight="1" x14ac:dyDescent="0.2">
      <c r="A3396" s="1" t="s">
        <v>6790</v>
      </c>
      <c r="B3396" s="1">
        <v>7</v>
      </c>
      <c r="C3396" s="3">
        <v>44543.8903587963</v>
      </c>
      <c r="D3396" s="1" t="s">
        <v>6791</v>
      </c>
      <c r="E3396" s="1" t="str">
        <f ca="1">IFERROR(__xludf.DUMMYFUNCTION("GOOGLETRANSLATE(A195 , ""tr"" , ""en"")"),"@drfahrettinkoca joke like fancy people like durlet after came apologize fleet is so dying folks")</f>
        <v>@drfahrettinkoca joke like fancy people like durlet after came apologize fleet is so dying folks</v>
      </c>
    </row>
    <row r="3397" spans="1:5" ht="15" customHeight="1" x14ac:dyDescent="0.2">
      <c r="A3397" s="1" t="s">
        <v>6792</v>
      </c>
      <c r="B3397" s="1">
        <v>6</v>
      </c>
      <c r="C3397" s="3">
        <v>44543.889791666668</v>
      </c>
      <c r="D3397" s="1" t="s">
        <v>6793</v>
      </c>
      <c r="E3397" s="1" t="str">
        <f ca="1">IFERROR(__xludf.DUMMYFUNCTION("GOOGLETRANSLATE(A196 , ""tr"" , ""en"")"),"@drfahrettinkoca What was the necks that trust you on the land to the land? You and the team will be the vaccine ... https://t.co/lnndfjaoj9")</f>
        <v>@drfahrettinkoca What was the necks that trust you on the land to the land? You and the team will be the vaccine ... https://t.co/lnndfjaoj9</v>
      </c>
    </row>
    <row r="3398" spans="1:5" ht="15" customHeight="1" x14ac:dyDescent="0.2">
      <c r="A3398" s="1" t="s">
        <v>6794</v>
      </c>
      <c r="B3398" s="1">
        <v>0</v>
      </c>
      <c r="C3398" s="3">
        <v>44543.888506944444</v>
      </c>
      <c r="D3398" s="1" t="s">
        <v>6795</v>
      </c>
      <c r="E3398" s="1" t="str">
        <f ca="1">IFERROR(__xludf.DUMMYFUNCTION("GOOGLETRANSLATE(A197 , ""tr"" , ""en"")"),"@drfahrettinka haram get poison zikkım. You get out of your major to @drfahrettinkoca @saglikbakanligi Science Board")</f>
        <v>@drfahrettinka haram get poison zikkım. You get out of your major to @drfahrettinkoca @saglikbakanligi Science Board</v>
      </c>
    </row>
    <row r="3399" spans="1:5" ht="15" customHeight="1" x14ac:dyDescent="0.2">
      <c r="A3399" s="1" t="s">
        <v>6796</v>
      </c>
      <c r="B3399" s="1">
        <v>0</v>
      </c>
      <c r="C3399" s="3">
        <v>44543.888113425928</v>
      </c>
      <c r="D3399" s="1" t="s">
        <v>6797</v>
      </c>
      <c r="E3399" s="1" t="str">
        <f ca="1">IFERROR(__xludf.DUMMYFUNCTION("GOOGLETRANSLATE(A198 , ""tr"" , ""en"")"),"@drfahrettinkoca is not bad to admit the mistakes to admit.")</f>
        <v>@drfahrettinkoca is not bad to admit the mistakes to admit.</v>
      </c>
    </row>
    <row r="3400" spans="1:5" ht="15" customHeight="1" x14ac:dyDescent="0.2">
      <c r="A3400" s="1" t="s">
        <v>6798</v>
      </c>
      <c r="B3400" s="1">
        <v>0</v>
      </c>
      <c r="C3400" s="3">
        <v>44543.88784722222</v>
      </c>
      <c r="D3400" s="1" t="s">
        <v>6799</v>
      </c>
      <c r="E3400" s="1" t="str">
        <f ca="1">IFERROR(__xludf.DUMMYFUNCTION("GOOGLETRANSLATE(A199 , ""tr"" , ""en"")"),"@drfahrettinkoca you and every person in power are even vote and haunts you to those who haunts you are haram")</f>
        <v>@drfahrettinkoca you and every person in power are even vote and haunts you to those who haunts you are haram</v>
      </c>
    </row>
    <row r="3401" spans="1:5" ht="15" customHeight="1" x14ac:dyDescent="0.2">
      <c r="A3401" s="1" t="s">
        <v>6800</v>
      </c>
      <c r="B3401" s="1">
        <v>1</v>
      </c>
      <c r="C3401" s="3">
        <v>44543.887199074074</v>
      </c>
      <c r="D3401" s="1" t="s">
        <v>6801</v>
      </c>
      <c r="E3401" s="1" t="str">
        <f ca="1">IFERROR(__xludf.DUMMYFUNCTION("GOOGLETRANSLATE(A200 , ""tr"" , ""en"")"),"@drfahrettinkoca Valla You will give an account of Allaha. Science in Science you said Allahu Teenager of the Kuranda Hiking ... https://t.co/53vk3n0frz")</f>
        <v>@drfahrettinkoca Valla You will give an account of Allaha. Science in Science you said Allahu Teenager of the Kuranda Hiking ... https://t.co/53vk3n0frz</v>
      </c>
    </row>
    <row r="3402" spans="1:5" ht="15" customHeight="1" x14ac:dyDescent="0.2">
      <c r="A3402" s="1" t="s">
        <v>6802</v>
      </c>
      <c r="B3402" s="1">
        <v>0</v>
      </c>
      <c r="C3402" s="3">
        <v>44543.886608796296</v>
      </c>
      <c r="D3402" s="1" t="s">
        <v>6803</v>
      </c>
      <c r="E3402" s="1" t="str">
        <f ca="1">IFERROR(__xludf.DUMMYFUNCTION("GOOGLETRANSLATE(A201 , ""tr"" , ""en"")"),"@drfahrettinkoca you have been missing but have not received the lesson to the minister @drfahrettinkoca still our measures missing vaccine vaccine ... https://t.co/ctybfhkxji")</f>
        <v>@drfahrettinkoca you have been missing but have not received the lesson to the minister @drfahrettinkoca still our measures missing vaccine vaccine ... https://t.co/ctybfhkxji</v>
      </c>
    </row>
    <row r="3403" spans="1:5" ht="15" customHeight="1" x14ac:dyDescent="0.2">
      <c r="A3403" s="1" t="s">
        <v>6804</v>
      </c>
      <c r="B3403" s="1">
        <v>0</v>
      </c>
      <c r="C3403" s="3">
        <v>44543.884363425925</v>
      </c>
      <c r="D3403" s="1" t="s">
        <v>6805</v>
      </c>
      <c r="E3403" s="1" t="str">
        <f ca="1">IFERROR(__xludf.DUMMYFUNCTION("GOOGLETRANSLATE(A202 , ""tr"" , ""en"")"),"@drfahrettinkoca right not Halal Allah Sorsun account in this world in this world")</f>
        <v>@drfahrettinkoca right not Halal Allah Sorsun account in this world in this world</v>
      </c>
    </row>
    <row r="3404" spans="1:5" ht="15" customHeight="1" x14ac:dyDescent="0.2">
      <c r="A3404" s="1" t="s">
        <v>6806</v>
      </c>
      <c r="B3404" s="1">
        <v>0</v>
      </c>
      <c r="C3404" s="3">
        <v>44543.883796296293</v>
      </c>
      <c r="D3404" s="1" t="s">
        <v>6807</v>
      </c>
      <c r="E3404" s="1" t="str">
        <f ca="1">IFERROR(__xludf.DUMMYFUNCTION("GOOGLETRANSLATE(A203 , ""tr"" , ""en"")"),"@drfahrettinkoca We are to Razis from you as well as the greater of you")</f>
        <v>@drfahrettinkoca We are to Razis from you as well as the greater of you</v>
      </c>
    </row>
    <row r="3405" spans="1:5" ht="15" customHeight="1" x14ac:dyDescent="0.2">
      <c r="A3405" s="1" t="s">
        <v>6808</v>
      </c>
      <c r="B3405" s="1">
        <v>0</v>
      </c>
      <c r="C3405" s="3">
        <v>44543.882638888892</v>
      </c>
      <c r="D3405" s="1" t="s">
        <v>6809</v>
      </c>
      <c r="E3405" s="1" t="str">
        <f ca="1">IFERROR(__xludf.DUMMYFUNCTION("GOOGLETRANSLATE(A204 , ""tr"" , ""en"")"),"@drfahrettinkoca cries cried to this very taken care")</f>
        <v>@drfahrettinkoca cries cried to this very taken care</v>
      </c>
    </row>
    <row r="3406" spans="1:5" ht="15" customHeight="1" x14ac:dyDescent="0.2">
      <c r="A3406" s="1" t="s">
        <v>6810</v>
      </c>
      <c r="B3406" s="1">
        <v>0</v>
      </c>
      <c r="C3406" s="3">
        <v>44543.882418981484</v>
      </c>
      <c r="D3406" s="1" t="s">
        <v>6811</v>
      </c>
      <c r="E3406" s="1" t="str">
        <f ca="1">IFERROR(__xludf.DUMMYFUNCTION("GOOGLETRANSLATE(A205 , ""tr"" , ""en"")"),"@drfahrettinkoca Mr. Ministry You can't be your luxury to make your mistake You are not a normal person 84 million of 84 million ... https://t.co/cmylkyragy")</f>
        <v>@drfahrettinkoca Mr. Ministry You can't be your luxury to make your mistake You are not a normal person 84 million of 84 million ... https://t.co/cmylkyragy</v>
      </c>
    </row>
    <row r="3407" spans="1:5" ht="15" customHeight="1" x14ac:dyDescent="0.2">
      <c r="A3407" s="1" t="s">
        <v>6812</v>
      </c>
      <c r="B3407" s="1">
        <v>6</v>
      </c>
      <c r="C3407" s="3">
        <v>44543.88175925926</v>
      </c>
      <c r="D3407" s="1" t="s">
        <v>6813</v>
      </c>
      <c r="E3407" s="1" t="str">
        <f ca="1">IFERROR(__xludf.DUMMYFUNCTION("GOOGLETRANSLATE(A206 , ""tr"" , ""en"")"),"@drfahrettinkoca Although not believe in the day of the Hereafter there will be asked the right of people https://t.co/lbzotpsjks")</f>
        <v>@drfahrettinkoca Although not believe in the day of the Hereafter there will be asked the right of people https://t.co/lbzotpsjks</v>
      </c>
    </row>
    <row r="3408" spans="1:5" ht="15" customHeight="1" x14ac:dyDescent="0.2">
      <c r="A3408" s="1" t="s">
        <v>6814</v>
      </c>
      <c r="B3408" s="1">
        <v>0</v>
      </c>
      <c r="C3408" s="3">
        <v>44543.881527777776</v>
      </c>
      <c r="D3408" s="1" t="s">
        <v>6815</v>
      </c>
      <c r="E3408" s="1" t="str">
        <f ca="1">IFERROR(__xludf.DUMMYFUNCTION("GOOGLETRANSLATE(A207 , ""tr"" , ""en"")"),"@drfahrettinkoca Life I think you're talking about the human life I remind you of a construction site of construction site")</f>
        <v>@drfahrettinkoca Life I think you're talking about the human life I remind you of a construction site of construction site</v>
      </c>
    </row>
    <row r="3409" spans="1:5" ht="15" customHeight="1" x14ac:dyDescent="0.2">
      <c r="A3409" s="1" t="s">
        <v>6816</v>
      </c>
      <c r="B3409" s="1">
        <v>1</v>
      </c>
      <c r="C3409" s="3">
        <v>44543.881284722222</v>
      </c>
      <c r="D3409" s="1" t="s">
        <v>6817</v>
      </c>
      <c r="E3409" s="1" t="str">
        <f ca="1">IFERROR(__xludf.DUMMYFUNCTION("GOOGLETRANSLATE(A208 , ""tr"" , ""en"")"),"@drfahrettinkoca If you say the nation and I want you to resign immediately tomorrow if I have a fertilize this nation. S ... https://t.co/xluayalaep")</f>
        <v>@drfahrettinkoca If you say the nation and I want you to resign immediately tomorrow if I have a fertilize this nation. S ... https://t.co/xluayalaep</v>
      </c>
    </row>
    <row r="3410" spans="1:5" ht="15" customHeight="1" x14ac:dyDescent="0.2">
      <c r="A3410" s="1" t="s">
        <v>6818</v>
      </c>
      <c r="B3410" s="1">
        <v>0</v>
      </c>
      <c r="C3410" s="3">
        <v>44543.880740740744</v>
      </c>
      <c r="D3410" s="1" t="s">
        <v>6819</v>
      </c>
      <c r="E3410" s="1" t="str">
        <f ca="1">IFERROR(__xludf.DUMMYFUNCTION("GOOGLETRANSLATE(A209 , ""tr"" , ""en"")"),"@drfahrettinkoca Read well #Fahrettinkca you will be judged. https://t.co/qhnqkkpjjw")</f>
        <v>@drfahrettinkoca Read well #Fahrettinkca you will be judged. https://t.co/qhnqkkpjjw</v>
      </c>
    </row>
    <row r="3411" spans="1:5" ht="15" customHeight="1" x14ac:dyDescent="0.2">
      <c r="A3411" s="1" t="s">
        <v>6820</v>
      </c>
      <c r="B3411" s="1">
        <v>1</v>
      </c>
      <c r="C3411" s="3">
        <v>44543.879166666666</v>
      </c>
      <c r="D3411" s="1" t="s">
        <v>6821</v>
      </c>
      <c r="E3411" s="1" t="str">
        <f ca="1">IFERROR(__xludf.DUMMYFUNCTION("GOOGLETRANSLATE(A210 , ""tr"" , ""en"")"),"@drfahrettinka https://t.co/kxi3jhd8kw")</f>
        <v>@drfahrettinka https://t.co/kxi3jhd8kw</v>
      </c>
    </row>
    <row r="3412" spans="1:5" ht="15" customHeight="1" x14ac:dyDescent="0.2">
      <c r="A3412" s="1" t="s">
        <v>6822</v>
      </c>
      <c r="B3412" s="1">
        <v>0</v>
      </c>
      <c r="C3412" s="3">
        <v>44543.877997685187</v>
      </c>
      <c r="D3412" s="1" t="s">
        <v>6823</v>
      </c>
      <c r="E3412" s="1" t="str">
        <f ca="1">IFERROR(__xludf.DUMMYFUNCTION("GOOGLETRANSLATE(A211 , ""tr"" , ""en"")"),"@drfahrettinkoca are you kidding my hoca")</f>
        <v>@drfahrettinkoca are you kidding my hoca</v>
      </c>
    </row>
    <row r="3413" spans="1:5" ht="15" customHeight="1" x14ac:dyDescent="0.2">
      <c r="A3413" s="1" t="s">
        <v>6824</v>
      </c>
      <c r="B3413" s="1">
        <v>0</v>
      </c>
      <c r="C3413" s="3">
        <v>44543.877766203703</v>
      </c>
      <c r="D3413" s="1" t="s">
        <v>6825</v>
      </c>
      <c r="E3413" s="1" t="str">
        <f ca="1">IFERROR(__xludf.DUMMYFUNCTION("GOOGLETRANSLATE(A212 , ""tr"" , ""en"")"),"@drfahrettinka https://t.co/lazz1ymiIJ")</f>
        <v>@drfahrettinka https://t.co/lazz1ymiIJ</v>
      </c>
    </row>
    <row r="3414" spans="1:5" ht="15" customHeight="1" x14ac:dyDescent="0.2">
      <c r="A3414" s="1" t="s">
        <v>6826</v>
      </c>
      <c r="B3414" s="1">
        <v>0</v>
      </c>
      <c r="C3414" s="3">
        <v>44543.877430555556</v>
      </c>
      <c r="D3414" s="1" t="s">
        <v>6827</v>
      </c>
      <c r="E3414" s="1" t="str">
        <f ca="1">IFERROR(__xludf.DUMMYFUNCTION("GOOGLETRANSLATE(A213 , ""tr"" , ""en"")"),"@drfahrettinka Mr. Minister Looking is your faults Malisaf 8 + 8 I can tell me my knowledge ..")</f>
        <v>@drfahrettinka Mr. Minister Looking is your faults Malisaf 8 + 8 I can tell me my knowledge ..</v>
      </c>
    </row>
    <row r="3415" spans="1:5" ht="15" customHeight="1" x14ac:dyDescent="0.2">
      <c r="A3415" s="1" t="s">
        <v>6828</v>
      </c>
      <c r="B3415" s="1">
        <v>0</v>
      </c>
      <c r="C3415" s="3">
        <v>44543.877291666664</v>
      </c>
      <c r="D3415" s="1" t="s">
        <v>6829</v>
      </c>
      <c r="E3415" s="1" t="str">
        <f ca="1">IFERROR(__xludf.DUMMYFUNCTION("GOOGLETRANSLATE(A214 , ""tr"" , ""en"")"),"@drfahrettinka https://t.co/agcmxvkzhq")</f>
        <v>@drfahrettinka https://t.co/agcmxvkzhq</v>
      </c>
    </row>
    <row r="3416" spans="1:5" ht="15" customHeight="1" x14ac:dyDescent="0.2">
      <c r="A3416" s="1" t="s">
        <v>6830</v>
      </c>
      <c r="B3416" s="1">
        <v>29</v>
      </c>
      <c r="C3416" s="3">
        <v>44543.876875000002</v>
      </c>
      <c r="D3416" s="1" t="s">
        <v>6831</v>
      </c>
      <c r="E3416" s="1" t="str">
        <f ca="1">IFERROR(__xludf.DUMMYFUNCTION("GOOGLETRANSLATE(A215 , ""tr"" , ""en"")"),"@drfahrettinkoca is the light of science when taking the kolkola maskless photo in your team's bulk dining organizations ... https://t.co/z6yenuugeh")</f>
        <v>@drfahrettinkoca is the light of science when taking the kolkola maskless photo in your team's bulk dining organizations ... https://t.co/z6yenuugeh</v>
      </c>
    </row>
    <row r="3417" spans="1:5" ht="15" customHeight="1" x14ac:dyDescent="0.2">
      <c r="A3417" s="1" t="s">
        <v>6832</v>
      </c>
      <c r="B3417" s="1">
        <v>0</v>
      </c>
      <c r="C3417" s="3">
        <v>44543.876655092594</v>
      </c>
      <c r="D3417" s="1" t="s">
        <v>6833</v>
      </c>
      <c r="E3417" s="1" t="str">
        <f ca="1">IFERROR(__xludf.DUMMYFUNCTION("GOOGLETRANSLATE(A216 , ""tr"" , ""en"")"),"@drfahrettinkoca life error Nonfiri Won't SMA LI What did you do for children? All of the vebali on you.")</f>
        <v>@drfahrettinkoca life error Nonfiri Won't SMA LI What did you do for children? All of the vebali on you.</v>
      </c>
    </row>
    <row r="3418" spans="1:5" ht="15" customHeight="1" x14ac:dyDescent="0.2">
      <c r="A3418" s="1" t="s">
        <v>6834</v>
      </c>
      <c r="B3418" s="1">
        <v>8</v>
      </c>
      <c r="C3418" s="3">
        <v>44543.876469907409</v>
      </c>
      <c r="D3418" s="1" t="s">
        <v>6835</v>
      </c>
      <c r="E3418" s="1" t="str">
        <f ca="1">IFERROR(__xludf.DUMMYFUNCTION("GOOGLETRANSLATE(A217 , ""tr"" , ""en"")"),"@drfahrettinkoca hand until my kids are 6, 7 hours mask daily because of the prints of your team in primary school rows ... https://t.co/ihjrvjxww8")</f>
        <v>@drfahrettinkoca hand until my kids are 6, 7 hours mask daily because of the prints of your team in primary school rows ... https://t.co/ihjrvjxww8</v>
      </c>
    </row>
    <row r="3419" spans="1:5" ht="15" customHeight="1" x14ac:dyDescent="0.2">
      <c r="A3419" s="1" t="s">
        <v>6836</v>
      </c>
      <c r="B3419" s="1">
        <v>7</v>
      </c>
      <c r="C3419" s="3">
        <v>44543.875740740739</v>
      </c>
      <c r="D3419" s="1" t="s">
        <v>6837</v>
      </c>
      <c r="E3419" s="1" t="str">
        <f ca="1">IFERROR(__xludf.DUMMYFUNCTION("GOOGLETRANSLATE(A218 , ""tr"" , ""en"")"),"@drfahrettinkoca gradually AF Wishing, Has the work done at the discretion of the people or something did not have no matter?")</f>
        <v>@drfahrettinkoca gradually AF Wishing, Has the work done at the discretion of the people or something did not have no matter?</v>
      </c>
    </row>
    <row r="3420" spans="1:5" ht="15" customHeight="1" x14ac:dyDescent="0.2">
      <c r="A3420" s="1" t="s">
        <v>6838</v>
      </c>
      <c r="B3420" s="1">
        <v>0</v>
      </c>
      <c r="C3420" s="3">
        <v>44543.873206018521</v>
      </c>
      <c r="D3420" s="1" t="s">
        <v>6839</v>
      </c>
      <c r="E3420" s="1" t="str">
        <f ca="1">IFERROR(__xludf.DUMMYFUNCTION("GOOGLETRANSLATE(A219 , ""tr"" , ""en"")"),"@drfahrettinka is not possible to halal for you and you are not personal because the matter isn't personal.")</f>
        <v>@drfahrettinka is not possible to halal for you and you are not personal because the matter isn't personal.</v>
      </c>
    </row>
    <row r="3421" spans="1:5" ht="15" customHeight="1" x14ac:dyDescent="0.2">
      <c r="A3421" s="1" t="s">
        <v>6840</v>
      </c>
      <c r="B3421" s="1">
        <v>8</v>
      </c>
      <c r="C3421" s="3">
        <v>44543.873067129629</v>
      </c>
      <c r="D3421" s="1" t="s">
        <v>6841</v>
      </c>
      <c r="E3421" s="1" t="str">
        <f ca="1">IFERROR(__xludf.DUMMYFUNCTION("GOOGLETRANSLATE(A220 , ""tr"" , ""en"")"),"@drfahrettinkoca right not halal.")</f>
        <v>@drfahrettinkoca right not halal.</v>
      </c>
    </row>
    <row r="3422" spans="1:5" ht="15" customHeight="1" x14ac:dyDescent="0.2">
      <c r="A3422" s="1" t="s">
        <v>6842</v>
      </c>
      <c r="B3422" s="1">
        <v>1</v>
      </c>
      <c r="C3422" s="3">
        <v>44543.871458333335</v>
      </c>
      <c r="D3422" s="1" t="s">
        <v>6843</v>
      </c>
      <c r="E3422" s="1" t="str">
        <f ca="1">IFERROR(__xludf.DUMMYFUNCTION("GOOGLETRANSLATE(A221 , ""tr"" , ""en"")"),"@drfahrettinka https://t.co/d4zjp4xwa0")</f>
        <v>@drfahrettinka https://t.co/d4zjp4xwa0</v>
      </c>
    </row>
    <row r="3423" spans="1:5" ht="15" customHeight="1" x14ac:dyDescent="0.2">
      <c r="A3423" s="1" t="s">
        <v>6844</v>
      </c>
      <c r="B3423" s="1">
        <v>0</v>
      </c>
      <c r="C3423" s="3">
        <v>44543.870833333334</v>
      </c>
      <c r="D3423" s="1" t="s">
        <v>6845</v>
      </c>
      <c r="E3423" s="1" t="str">
        <f ca="1">IFERROR(__xludf.DUMMYFUNCTION("GOOGLETRANSLATE(A222 , ""tr"" , ""en"")"),"@drfahrettinkoca allah cc descendry buildlah munafik yezid")</f>
        <v>@drfahrettinkoca allah cc descendry buildlah munafik yezid</v>
      </c>
    </row>
    <row r="3424" spans="1:5" ht="15" customHeight="1" x14ac:dyDescent="0.2">
      <c r="A3424" s="1" t="s">
        <v>6846</v>
      </c>
      <c r="B3424" s="1">
        <v>7</v>
      </c>
      <c r="C3424" s="3">
        <v>44543.870324074072</v>
      </c>
      <c r="D3424" s="1" t="s">
        <v>6847</v>
      </c>
      <c r="E3424" s="1" t="str">
        <f ca="1">IFERROR(__xludf.DUMMYFUNCTION("GOOGLETRANSLATE(A223 , ""tr"" , ""en"")"),"@drfahrettinkoca Health Management Department Why is not given an assignment is a deliberal?")</f>
        <v>@drfahrettinkoca Health Management Department Why is not given an assignment is a deliberal?</v>
      </c>
    </row>
    <row r="3425" spans="1:5" ht="15" customHeight="1" x14ac:dyDescent="0.2">
      <c r="A3425" s="1" t="s">
        <v>6848</v>
      </c>
      <c r="B3425" s="1">
        <v>3</v>
      </c>
      <c r="C3425" s="3">
        <v>44543.870162037034</v>
      </c>
      <c r="D3425" s="1" t="s">
        <v>6849</v>
      </c>
      <c r="E3425" s="1" t="str">
        <f ca="1">IFERROR(__xludf.DUMMYFUNCTION("GOOGLETRANSLATE(A224 , ""tr"" , ""en"")"),"@drfahrettinkoca Health Management You cannot ignore the Mr. Minister")</f>
        <v>@drfahrettinkoca Health Management You cannot ignore the Mr. Minister</v>
      </c>
    </row>
    <row r="3426" spans="1:5" ht="15" customHeight="1" x14ac:dyDescent="0.2">
      <c r="A3426" s="1" t="s">
        <v>6850</v>
      </c>
      <c r="B3426" s="1">
        <v>0</v>
      </c>
      <c r="C3426" s="3">
        <v>44543.86986111111</v>
      </c>
      <c r="D3426" s="1" t="s">
        <v>6851</v>
      </c>
      <c r="E3426" s="1" t="str">
        <f ca="1">IFERROR(__xludf.DUMMYFUNCTION("GOOGLETRANSLATE(A225 , ""tr"" , ""en"")"),"@drfahrettinkoca let us get haram get abundant")</f>
        <v>@drfahrettinkoca let us get haram get abundant</v>
      </c>
    </row>
    <row r="3427" spans="1:5" ht="15" customHeight="1" x14ac:dyDescent="0.2">
      <c r="A3427" s="1" t="s">
        <v>6852</v>
      </c>
      <c r="B3427" s="1">
        <v>9</v>
      </c>
      <c r="C3427" s="3">
        <v>44543.869745370372</v>
      </c>
      <c r="D3427" s="1" t="s">
        <v>6853</v>
      </c>
      <c r="E3427" s="1" t="str">
        <f ca="1">IFERROR(__xludf.DUMMYFUNCTION("GOOGLETRANSLATE(A226 , ""tr"" , ""en"")"),"@drfahrettinkoca couldn't give anyone of your and science board anyone giving this country.")</f>
        <v>@drfahrettinkoca couldn't give anyone of your and science board anyone giving this country.</v>
      </c>
    </row>
    <row r="3428" spans="1:5" ht="15" customHeight="1" x14ac:dyDescent="0.2">
      <c r="A3428" s="1" t="s">
        <v>6854</v>
      </c>
      <c r="B3428" s="1">
        <v>105</v>
      </c>
      <c r="C3428" s="3">
        <v>44543.868946759256</v>
      </c>
      <c r="D3428" s="1" t="s">
        <v>6855</v>
      </c>
      <c r="E3428" s="1" t="str">
        <f ca="1">IFERROR(__xludf.DUMMYFUNCTION("GOOGLETRANSLATE(A227 , ""tr"" , ""en"")"),"@drfahrettinkoca we don't forgive!")</f>
        <v>@drfahrettinkoca we don't forgive!</v>
      </c>
    </row>
    <row r="3429" spans="1:5" ht="15" customHeight="1" x14ac:dyDescent="0.2">
      <c r="A3429" s="1" t="s">
        <v>6856</v>
      </c>
      <c r="B3429" s="1">
        <v>24</v>
      </c>
      <c r="C3429" s="3">
        <v>44543.868518518517</v>
      </c>
      <c r="D3429" s="1" t="s">
        <v>6857</v>
      </c>
      <c r="E3429" s="1" t="str">
        <f ca="1">IFERROR(__xludf.DUMMYFUNCTION("GOOGLETRANSLATE(A228 , ""tr"" , ""en"")"),"@drfahrettinkoca that mistake deflocked what they say is what they say is maal yiki..mi household")</f>
        <v>@drfahrettinkoca that mistake deflocked what they say is what they say is maal yiki..mi household</v>
      </c>
    </row>
    <row r="3430" spans="1:5" ht="15" customHeight="1" x14ac:dyDescent="0.2">
      <c r="A3430" s="1" t="s">
        <v>6858</v>
      </c>
      <c r="B3430" s="1">
        <v>2</v>
      </c>
      <c r="C3430" s="3">
        <v>44543.868495370371</v>
      </c>
      <c r="D3430" s="1" t="s">
        <v>6859</v>
      </c>
      <c r="E3430" s="1" t="str">
        <f ca="1">IFERROR(__xludf.DUMMYFUNCTION("GOOGLETRANSLATE(A229 , ""tr"" , ""en"")"),"@drfahrettinkoca I guess I guess you learned what your nation thinks about you #fahrettinkca world ... https://t.co/yqbnf6rmao")</f>
        <v>@drfahrettinkoca I guess I guess you learned what your nation thinks about you #fahrettinkca world ... https://t.co/yqbnf6rmao</v>
      </c>
    </row>
    <row r="3431" spans="1:5" ht="15" customHeight="1" x14ac:dyDescent="0.2">
      <c r="A3431" s="1" t="s">
        <v>6860</v>
      </c>
      <c r="B3431" s="1">
        <v>0</v>
      </c>
      <c r="C3431" s="3">
        <v>44543.868217592593</v>
      </c>
      <c r="D3431" s="1" t="s">
        <v>6861</v>
      </c>
      <c r="E3431" s="1" t="str">
        <f ca="1">IFERROR(__xludf.DUMMYFUNCTION("GOOGLETRANSLATE(A230 , ""tr"" , ""en"")"),"@drfahrettinkoca Bored to see you, Banned")</f>
        <v>@drfahrettinkoca Bored to see you, Banned</v>
      </c>
    </row>
    <row r="3432" spans="1:5" ht="15" customHeight="1" x14ac:dyDescent="0.2">
      <c r="A3432" s="1" t="s">
        <v>6862</v>
      </c>
      <c r="B3432" s="1">
        <v>8</v>
      </c>
      <c r="C3432" s="3">
        <v>44543.866967592592</v>
      </c>
      <c r="D3432" s="1" t="s">
        <v>6863</v>
      </c>
      <c r="E3432" s="1" t="str">
        <f ca="1">IFERROR(__xludf.DUMMYFUNCTION("GOOGLETRANSLATE(A231 , ""tr"" , ""en"")"),"@drfahrettinkoca No one positive comment. Request forgiveness, no longer from our dream side.")</f>
        <v>@drfahrettinkoca No one positive comment. Request forgiveness, no longer from our dream side.</v>
      </c>
    </row>
    <row r="3433" spans="1:5" ht="15" customHeight="1" x14ac:dyDescent="0.2">
      <c r="A3433" s="1" t="s">
        <v>6864</v>
      </c>
      <c r="B3433" s="1">
        <v>4</v>
      </c>
      <c r="C3433" s="3">
        <v>44543.866886574076</v>
      </c>
      <c r="D3433" s="1" t="s">
        <v>6865</v>
      </c>
      <c r="E3433" s="1" t="str">
        <f ca="1">IFERROR(__xludf.DUMMYFUNCTION("GOOGLETRANSLATE(A232 , ""tr"" , ""en"")"),"@drfahrettinkoca We have said that you have doubted you that you are no longer your bona fi fi ed disease ... https://t.co/thrw6fdmut")</f>
        <v>@drfahrettinkoca We have said that you have doubted you that you are no longer your bona fi fi ed disease ... https://t.co/thrw6fdmut</v>
      </c>
    </row>
    <row r="3434" spans="1:5" ht="15" customHeight="1" x14ac:dyDescent="0.2">
      <c r="A3434" s="1" t="s">
        <v>6866</v>
      </c>
      <c r="B3434" s="1">
        <v>0</v>
      </c>
      <c r="C3434" s="3">
        <v>44543.866875</v>
      </c>
      <c r="D3434" s="1" t="s">
        <v>6867</v>
      </c>
      <c r="E3434" s="1" t="str">
        <f ca="1">IFERROR(__xludf.DUMMYFUNCTION("GOOGLETRANSLATE(A233 , ""tr"" , ""en"")"),"When will @drfahrettinkoca PCR nonsense be last")</f>
        <v>When will @drfahrettinkoca PCR nonsense be last</v>
      </c>
    </row>
    <row r="3435" spans="1:5" ht="15" customHeight="1" x14ac:dyDescent="0.2">
      <c r="A3435" s="1" t="s">
        <v>6868</v>
      </c>
      <c r="B3435" s="1">
        <v>0</v>
      </c>
      <c r="C3435" s="3">
        <v>44543.866655092592</v>
      </c>
      <c r="D3435" s="1" t="s">
        <v>6869</v>
      </c>
      <c r="E3435" s="1" t="str">
        <f ca="1">IFERROR(__xludf.DUMMYFUNCTION("GOOGLETRANSLATE(A234 , ""tr"" , ""en"")"),"@drfahrettinkoca Lan Kapnma CeleplayaAaaAaa We will die Malmisan What is the man")</f>
        <v>@drfahrettinkoca Lan Kapnma CeleplayaAaaAaa We will die Malmisan What is the man</v>
      </c>
    </row>
    <row r="3436" spans="1:5" ht="15" customHeight="1" x14ac:dyDescent="0.2">
      <c r="A3436" s="1" t="s">
        <v>6870</v>
      </c>
      <c r="B3436" s="1">
        <v>6</v>
      </c>
      <c r="C3436" s="3">
        <v>44543.866319444445</v>
      </c>
      <c r="D3436" s="1" t="s">
        <v>6871</v>
      </c>
      <c r="E3436" s="1" t="str">
        <f ca="1">IFERROR(__xludf.DUMMYFUNCTION("GOOGLETRANSLATE(A235 , ""tr"" , ""en"")"),"@drfahrettinkoca Hear our voice We want online education due to obligation Not From our pleasure @RterDogan @ TCMEB ... https://t.co/yn2wt3qo5u")</f>
        <v>@drfahrettinkoca Hear our voice We want online education due to obligation Not From our pleasure @RterDogan @ TCMEB ... https://t.co/yn2wt3qo5u</v>
      </c>
    </row>
    <row r="3437" spans="1:5" ht="15" customHeight="1" x14ac:dyDescent="0.2">
      <c r="A3437" s="1" t="s">
        <v>6872</v>
      </c>
      <c r="B3437" s="1">
        <v>0</v>
      </c>
      <c r="C3437" s="3">
        <v>44543.86546296296</v>
      </c>
      <c r="D3437" s="1" t="s">
        <v>6873</v>
      </c>
      <c r="E3437" s="1" t="str">
        <f ca="1">IFERROR(__xludf.DUMMYFUNCTION("GOOGLETRANSLATE(A236 , ""tr"" , ""en"")"),"@drfahrettinkoca has faulted, defected your mistake defects in this country with 70 thousand people died in this country so much ... https://t.co/lgz7ia5cgc")</f>
        <v>@drfahrettinkoca has faulted, defected your mistake defects in this country with 70 thousand people died in this country so much ... https://t.co/lgz7ia5cgc</v>
      </c>
    </row>
    <row r="3438" spans="1:5" ht="15" customHeight="1" x14ac:dyDescent="0.2">
      <c r="A3438" s="1" t="s">
        <v>6874</v>
      </c>
      <c r="B3438" s="1">
        <v>0</v>
      </c>
      <c r="C3438" s="3">
        <v>44543.863136574073</v>
      </c>
      <c r="D3438" s="1" t="s">
        <v>6875</v>
      </c>
      <c r="E3438" s="1" t="str">
        <f ca="1">IFERROR(__xludf.DUMMYFUNCTION("GOOGLETRANSLATE(A237 , ""tr"" , ""en"")"),"@drfahrettinkoca error has been mistaken of this country WHO and you delivered to vaccine firms Cobby on Vaccine V ... https://t.co/ygzwkembir")</f>
        <v>@drfahrettinkoca error has been mistaken of this country WHO and you delivered to vaccine firms Cobby on Vaccine V ... https://t.co/ygzwkembir</v>
      </c>
    </row>
    <row r="3439" spans="1:5" ht="15" customHeight="1" x14ac:dyDescent="0.2">
      <c r="A3439" s="1" t="s">
        <v>6876</v>
      </c>
      <c r="B3439" s="1">
        <v>0</v>
      </c>
      <c r="C3439" s="3">
        <v>44543.862905092596</v>
      </c>
      <c r="D3439" s="1" t="s">
        <v>6877</v>
      </c>
      <c r="E3439" s="1" t="str">
        <f ca="1">IFERROR(__xludf.DUMMYFUNCTION("GOOGLETRANSLATE(A238 , ""tr"" , ""en"")"),"@drfahrettinkoca Good Sallion AA thing I'm playing aa I'm playing 16 years I'm saying I'm saying I'm not believing you are coming out after ... https://t.co/ijfjdm3yku")</f>
        <v>@drfahrettinkoca Good Sallion AA thing I'm playing aa I'm playing 16 years I'm saying I'm saying I'm not believing you are coming out after ... https://t.co/ijfjdm3yku</v>
      </c>
    </row>
    <row r="3440" spans="1:5" ht="15" customHeight="1" x14ac:dyDescent="0.2">
      <c r="A3440" s="1" t="s">
        <v>6878</v>
      </c>
      <c r="B3440" s="1">
        <v>0</v>
      </c>
      <c r="C3440" s="3">
        <v>44543.86241898148</v>
      </c>
      <c r="D3440" s="1" t="s">
        <v>6879</v>
      </c>
      <c r="E3440" s="1" t="str">
        <f ca="1">IFERROR(__xludf.DUMMYFUNCTION("GOOGLETRANSLATE(A239 , ""tr"" , ""en"")"),"@drfahrettinkoca these are criminals when they are genocide.")</f>
        <v>@drfahrettinkoca these are criminals when they are genocide.</v>
      </c>
    </row>
    <row r="3441" spans="1:5" ht="15" customHeight="1" x14ac:dyDescent="0.2">
      <c r="A3441" s="1" t="s">
        <v>6880</v>
      </c>
      <c r="B3441" s="1">
        <v>19</v>
      </c>
      <c r="C3441" s="3">
        <v>44543.860879629632</v>
      </c>
      <c r="D3441" s="1" t="s">
        <v>6881</v>
      </c>
      <c r="E3441" s="1" t="str">
        <f ca="1">IFERROR(__xludf.DUMMYFUNCTION("GOOGLETRANSLATE(A240 , ""tr"" , ""en"")"),"@drfahrettinkoca Remove anymore Mandatory PCR tests you apologize to both your nationality and Printing is continuing Mr. Minister")</f>
        <v>@drfahrettinkoca Remove anymore Mandatory PCR tests you apologize to both your nationality and Printing is continuing Mr. Minister</v>
      </c>
    </row>
    <row r="3442" spans="1:5" ht="15" customHeight="1" x14ac:dyDescent="0.2">
      <c r="A3442" s="1" t="s">
        <v>6882</v>
      </c>
      <c r="B3442" s="1">
        <v>0</v>
      </c>
      <c r="C3442" s="3">
        <v>44543.860706018517</v>
      </c>
      <c r="D3442" s="1" t="s">
        <v>6883</v>
      </c>
      <c r="E3442" s="1" t="str">
        <f ca="1">IFERROR(__xludf.DUMMYFUNCTION("GOOGLETRANSLATE(A241 , ""tr"" , ""en"")"),"@drfahrettinkoca I'm harm about my name ... and I'm looking forward to the fact that")</f>
        <v>@drfahrettinkoca I'm harm about my name ... and I'm looking forward to the fact that</v>
      </c>
    </row>
    <row r="3443" spans="1:5" ht="15" customHeight="1" x14ac:dyDescent="0.2">
      <c r="A3443" s="1" t="s">
        <v>6884</v>
      </c>
      <c r="B3443" s="1">
        <v>0</v>
      </c>
      <c r="C3443" s="3">
        <v>44543.860243055555</v>
      </c>
      <c r="D3443" s="1" t="s">
        <v>6885</v>
      </c>
      <c r="E3443" s="1" t="str">
        <f ca="1">IFERROR(__xludf.DUMMYFUNCTION("GOOGLETRANSLATE(A242 , ""tr"" , ""en"")"),"@drfahrettinka you stoke the crisis of the country with a health pretense in a way. This success is your praise")</f>
        <v>@drfahrettinka you stoke the crisis of the country with a health pretense in a way. This success is your praise</v>
      </c>
    </row>
    <row r="3444" spans="1:5" ht="15" customHeight="1" x14ac:dyDescent="0.2">
      <c r="A3444" s="1" t="s">
        <v>6886</v>
      </c>
      <c r="B3444" s="1">
        <v>15</v>
      </c>
      <c r="C3444" s="3">
        <v>44543.860046296293</v>
      </c>
      <c r="D3444" s="1" t="s">
        <v>6887</v>
      </c>
      <c r="E3444" s="1" t="str">
        <f ca="1">IFERROR(__xludf.DUMMYFUNCTION("GOOGLETRANSLATE(A243 , ""tr"" , ""en"")"),"@drfahrettinka If you are back from your mistake, you will then ask for halality. Schools are still face. Justification Falling Case ... HTTPS://T.CO/QYHJKI1R0D")</f>
        <v>@drfahrettinka If you are back from your mistake, you will then ask for halality. Schools are still face. Justification Falling Case ... HTTPS://T.CO/QYHJKI1R0D</v>
      </c>
    </row>
    <row r="3445" spans="1:5" ht="15" customHeight="1" x14ac:dyDescent="0.2">
      <c r="A3445" s="1" t="s">
        <v>6888</v>
      </c>
      <c r="B3445" s="1">
        <v>0</v>
      </c>
      <c r="C3445" s="3">
        <v>44543.856574074074</v>
      </c>
      <c r="D3445" s="1" t="s">
        <v>6889</v>
      </c>
      <c r="E3445" s="1" t="str">
        <f ca="1">IFERROR(__xludf.DUMMYFUNCTION("GOOGLETRANSLATE(A244 , ""tr"" , ""en"")"),"@drfahrettinkoca Mr. Ministry OK Say No intentions .. Thousands of different views, reviews, tweet eyes, ... https://t.co/xrtpbdik8y")</f>
        <v>@drfahrettinkoca Mr. Ministry OK Say No intentions .. Thousands of different views, reviews, tweet eyes, ... https://t.co/xrtpbdik8y</v>
      </c>
    </row>
    <row r="3446" spans="1:5" ht="15" customHeight="1" x14ac:dyDescent="0.2">
      <c r="A3446" s="1" t="s">
        <v>6890</v>
      </c>
      <c r="B3446" s="1">
        <v>0</v>
      </c>
      <c r="C3446" s="3">
        <v>44543.856203703705</v>
      </c>
      <c r="D3446" s="1" t="s">
        <v>6891</v>
      </c>
      <c r="E3446" s="1" t="str">
        <f ca="1">IFERROR(__xludf.DUMMYFUNCTION("GOOGLETRANSLATE(A245 , ""tr"" , ""en"")"),"@drfahrettinkoca Shortly after the sentences ending in command of orders. What I lie to go progress enormous.")</f>
        <v>@drfahrettinkoca Shortly after the sentences ending in command of orders. What I lie to go progress enormous.</v>
      </c>
    </row>
    <row r="3447" spans="1:5" ht="15" customHeight="1" x14ac:dyDescent="0.2">
      <c r="A3447" s="1" t="s">
        <v>6892</v>
      </c>
      <c r="B3447" s="1">
        <v>1</v>
      </c>
      <c r="C3447" s="3">
        <v>44543.85560185185</v>
      </c>
      <c r="D3447" s="1" t="s">
        <v>6893</v>
      </c>
      <c r="E3447" s="1" t="str">
        <f ca="1">IFERROR(__xludf.DUMMYFUNCTION("GOOGLETRANSLATE(A246 , ""tr"" , ""en"")"),"@drfahrettinkoca your defects, we wrote your imperfections here but we have not found the addressee.")</f>
        <v>@drfahrettinkoca your defects, we wrote your imperfections here but we have not found the addressee.</v>
      </c>
    </row>
    <row r="3448" spans="1:5" ht="15" customHeight="1" x14ac:dyDescent="0.2">
      <c r="A3448" s="1" t="s">
        <v>6894</v>
      </c>
      <c r="B3448" s="1">
        <v>4</v>
      </c>
      <c r="C3448" s="3">
        <v>44543.854143518518</v>
      </c>
      <c r="D3448" s="1" t="s">
        <v>6895</v>
      </c>
      <c r="E3448" s="1" t="str">
        <f ca="1">IFERROR(__xludf.DUMMYFUNCTION("GOOGLETRANSLATE(A247 , ""tr"" , ""en"")"),"@drfahrettinkoca bugs do you fitting you repeatedly, they kill drugs, causing new variants, causing new variants ... https://t.co/ncvbcj5do2")</f>
        <v>@drfahrettinkoca bugs do you fitting you repeatedly, they kill drugs, causing new variants, causing new variants ... https://t.co/ncvbcj5do2</v>
      </c>
    </row>
    <row r="3449" spans="1:5" ht="15" customHeight="1" x14ac:dyDescent="0.2">
      <c r="A3449" s="1" t="s">
        <v>6896</v>
      </c>
      <c r="B3449" s="1">
        <v>0</v>
      </c>
      <c r="C3449" s="3">
        <v>44543.852372685185</v>
      </c>
      <c r="D3449" s="1" t="s">
        <v>6897</v>
      </c>
      <c r="E3449" s="1" t="str">
        <f ca="1">IFERROR(__xludf.DUMMYFUNCTION("GOOGLETRANSLATE(A248 , ""tr"" , ""en"")"),"@drfahrettinkoca you have no right to make mistakes or defects; Don't you have respect to the deceased people?")</f>
        <v>@drfahrettinkoca you have no right to make mistakes or defects; Don't you have respect to the deceased people?</v>
      </c>
    </row>
    <row r="3450" spans="1:5" ht="15" customHeight="1" x14ac:dyDescent="0.2">
      <c r="A3450" s="1" t="s">
        <v>6898</v>
      </c>
      <c r="B3450" s="1">
        <v>3</v>
      </c>
      <c r="C3450" s="3">
        <v>44543.850729166668</v>
      </c>
      <c r="D3450" s="1" t="s">
        <v>6899</v>
      </c>
      <c r="E3450" s="1" t="str">
        <f ca="1">IFERROR(__xludf.DUMMYFUNCTION("GOOGLETRANSLATE(A249 , ""tr"" , ""en"")"),"@drfahrettinkoca is not gambling over human life.")</f>
        <v>@drfahrettinkoca is not gambling over human life.</v>
      </c>
    </row>
    <row r="3451" spans="1:5" ht="15" customHeight="1" x14ac:dyDescent="0.2">
      <c r="A3451" s="1" t="s">
        <v>6900</v>
      </c>
      <c r="B3451" s="1">
        <v>0</v>
      </c>
      <c r="C3451" s="3">
        <v>44543.850092592591</v>
      </c>
      <c r="D3451" s="1" t="s">
        <v>6901</v>
      </c>
      <c r="E3451" s="1" t="str">
        <f ca="1">IFERROR(__xludf.DUMMYFUNCTION("GOOGLETRANSLATE(A250 , ""tr"" , ""en"")"),"@drfahrettinkoca nurse, pharmacist, dietitian low salaries from flat municipal officer respond to this before @haluklevent")</f>
        <v>@drfahrettinkoca nurse, pharmacist, dietitian low salaries from flat municipal officer respond to this before @haluklevent</v>
      </c>
    </row>
    <row r="3452" spans="1:5" ht="15" customHeight="1" x14ac:dyDescent="0.2">
      <c r="A3452" s="1" t="s">
        <v>6902</v>
      </c>
      <c r="B3452" s="1">
        <v>0</v>
      </c>
      <c r="C3452" s="3">
        <v>44543.849733796298</v>
      </c>
      <c r="D3452" s="1" t="s">
        <v>6903</v>
      </c>
      <c r="E3452" s="1" t="str">
        <f ca="1">IFERROR(__xludf.DUMMYFUNCTION("GOOGLETRANSLATE(A251 , ""tr"" , ""en"")"),"@drfahrettinkoca Let's know how many thousand people died from the wrong treatment lets you know that the fact that you can't get to mind with these conversations")</f>
        <v>@drfahrettinkoca Let's know how many thousand people died from the wrong treatment lets you know that the fact that you can't get to mind with these conversations</v>
      </c>
    </row>
    <row r="3453" spans="1:5" ht="15" customHeight="1" x14ac:dyDescent="0.2">
      <c r="A3453" s="1" t="s">
        <v>6904</v>
      </c>
      <c r="B3453" s="1">
        <v>0</v>
      </c>
      <c r="C3453" s="3">
        <v>44543.849618055552</v>
      </c>
      <c r="D3453" s="1" t="s">
        <v>6905</v>
      </c>
      <c r="E3453" s="1" t="str">
        <f ca="1">IFERROR(__xludf.DUMMYFUNCTION("GOOGLETRANSLATE(A252 , ""tr"" , ""en"")"),"@drfahrettinkoca If you give us a very appreciation of the Ministry ... It is not the mistake of promise ... Remember that too")</f>
        <v>@drfahrettinkoca If you give us a very appreciation of the Ministry ... It is not the mistake of promise ... Remember that too</v>
      </c>
    </row>
    <row r="3454" spans="1:5" ht="15" customHeight="1" x14ac:dyDescent="0.2">
      <c r="A3454" s="1" t="s">
        <v>6906</v>
      </c>
      <c r="B3454" s="1">
        <v>26</v>
      </c>
      <c r="C3454" s="3">
        <v>44543.849398148152</v>
      </c>
      <c r="D3454" s="1" t="s">
        <v>6907</v>
      </c>
      <c r="E3454" s="1" t="str">
        <f ca="1">IFERROR(__xludf.DUMMYFUNCTION("GOOGLETRANSLATE(A253 , ""tr"" , ""en"")"),"@drfahrettinkoca kids have breathed in the hygienic setting last year, they trained in the hygienic environment very nice ... https://t.co/qmwwbwshs3")</f>
        <v>@drfahrettinkoca kids have breathed in the hygienic setting last year, they trained in the hygienic environment very nice ... https://t.co/qmwwbwshs3</v>
      </c>
    </row>
    <row r="3455" spans="1:5" ht="15" customHeight="1" x14ac:dyDescent="0.2">
      <c r="A3455" s="1" t="s">
        <v>6908</v>
      </c>
      <c r="B3455" s="1">
        <v>1</v>
      </c>
      <c r="C3455" s="3">
        <v>44543.848391203705</v>
      </c>
      <c r="D3455" s="1" t="s">
        <v>6909</v>
      </c>
      <c r="E3455" s="1" t="str">
        <f ca="1">IFERROR(__xludf.DUMMYFUNCTION("GOOGLETRANSLATE(A254 , ""tr"" , ""en"")"),"@drfahrettinka https://t.co/se7IVVV5RBV")</f>
        <v>@drfahrettinka https://t.co/se7IVVV5RBV</v>
      </c>
    </row>
    <row r="3456" spans="1:5" ht="15" customHeight="1" x14ac:dyDescent="0.2">
      <c r="A3456" s="1" t="s">
        <v>6910</v>
      </c>
      <c r="B3456" s="1">
        <v>15</v>
      </c>
      <c r="C3456" s="3">
        <v>44543.84752314815</v>
      </c>
      <c r="D3456" s="1" t="s">
        <v>6911</v>
      </c>
      <c r="E3456" s="1" t="str">
        <f ca="1">IFERROR(__xludf.DUMMYFUNCTION("GOOGLETRANSLATE(A255 , ""tr"" , ""en"")"),"@drfahrettinkoca Your Conscience is comfortable Sleeping comfortable? Kids Teenagers Educators Corona is only a patient ... https://t.co/otldpglu5r")</f>
        <v>@drfahrettinkoca Your Conscience is comfortable Sleeping comfortable? Kids Teenagers Educators Corona is only a patient ... https://t.co/otldpglu5r</v>
      </c>
    </row>
    <row r="3457" spans="1:5" ht="15" customHeight="1" x14ac:dyDescent="0.2">
      <c r="A3457" s="1" t="s">
        <v>6912</v>
      </c>
      <c r="B3457" s="1">
        <v>9</v>
      </c>
      <c r="C3457" s="3">
        <v>44543.846296296295</v>
      </c>
      <c r="D3457" s="1" t="s">
        <v>6913</v>
      </c>
      <c r="E3457" s="1" t="str">
        <f ca="1">IFERROR(__xludf.DUMMYFUNCTION("GOOGLETRANSLATE(A256 , ""tr"" , ""en"")"),"@drfahrettinka https://t.co/g4hsj6tbcp")</f>
        <v>@drfahrettinka https://t.co/g4hsj6tbcp</v>
      </c>
    </row>
    <row r="3458" spans="1:5" ht="15" customHeight="1" x14ac:dyDescent="0.2">
      <c r="A3458" s="1" t="s">
        <v>6914</v>
      </c>
      <c r="B3458" s="1">
        <v>2</v>
      </c>
      <c r="C3458" s="3">
        <v>44543.846238425926</v>
      </c>
      <c r="D3458" s="1" t="s">
        <v>6915</v>
      </c>
      <c r="E3458" s="1" t="str">
        <f ca="1">IFERROR(__xludf.DUMMYFUNCTION("GOOGLETRANSLATE(A257 , ""tr"" , ""en"")"),"@drfahrettinkoca I don't halic you about you.")</f>
        <v>@drfahrettinkoca I don't halic you about you.</v>
      </c>
    </row>
    <row r="3459" spans="1:5" ht="15" customHeight="1" x14ac:dyDescent="0.2">
      <c r="A3459" s="1" t="s">
        <v>6916</v>
      </c>
      <c r="B3459" s="1">
        <v>0</v>
      </c>
      <c r="C3459" s="3">
        <v>44543.845960648148</v>
      </c>
      <c r="D3459" s="1" t="s">
        <v>6917</v>
      </c>
      <c r="E3459" s="1" t="str">
        <f ca="1">IFERROR(__xludf.DUMMYFUNCTION("GOOGLETRANSLATE(A258 , ""tr"" , ""en"")"),"@drfahrettinka https://t.co/ch9bgwxxep")</f>
        <v>@drfahrettinka https://t.co/ch9bgwxxep</v>
      </c>
    </row>
    <row r="3460" spans="1:5" ht="15" customHeight="1" x14ac:dyDescent="0.2">
      <c r="A3460" s="1" t="s">
        <v>6918</v>
      </c>
      <c r="B3460" s="1">
        <v>41</v>
      </c>
      <c r="C3460" s="3">
        <v>44543.845625000002</v>
      </c>
      <c r="D3460" s="1" t="s">
        <v>6919</v>
      </c>
      <c r="E3460" s="1" t="str">
        <f ca="1">IFERROR(__xludf.DUMMYFUNCTION("GOOGLETRANSLATE(A259 , ""tr"" , ""en"")"),"@drfahrettinkoca I don't halal my right to you and all politics")</f>
        <v>@drfahrettinkoca I don't halal my right to you and all politics</v>
      </c>
    </row>
    <row r="3461" spans="1:5" ht="15" customHeight="1" x14ac:dyDescent="0.2">
      <c r="A3461" s="1" t="s">
        <v>6920</v>
      </c>
      <c r="B3461" s="1">
        <v>1</v>
      </c>
      <c r="C3461" s="3">
        <v>44543.845034722224</v>
      </c>
      <c r="D3461" s="1" t="s">
        <v>6921</v>
      </c>
      <c r="E3461" s="1" t="str">
        <f ca="1">IFERROR(__xludf.DUMMYFUNCTION("GOOGLETRANSLATE(A260 , ""tr"" , ""en"")"),"@drfahrettinkoca A Health Minister, I couldn't love both of the National Education Minister.")</f>
        <v>@drfahrettinkoca A Health Minister, I couldn't love both of the National Education Minister.</v>
      </c>
    </row>
    <row r="3462" spans="1:5" ht="15" customHeight="1" x14ac:dyDescent="0.2">
      <c r="A3462" s="1" t="s">
        <v>6922</v>
      </c>
      <c r="B3462" s="1">
        <v>11</v>
      </c>
      <c r="C3462" s="3">
        <v>44543.845023148147</v>
      </c>
      <c r="D3462" s="1" t="s">
        <v>6923</v>
      </c>
      <c r="E3462" s="1" t="str">
        <f ca="1">IFERROR(__xludf.DUMMYFUNCTION("GOOGLETRANSLATE(A261 , ""tr"" , ""en"")"),"@drfahrettinkoca people are everyone's fault that is the fact that it is not to compensate for the minister. @drfahrettinkoca")</f>
        <v>@drfahrettinkoca people are everyone's fault that is the fact that it is not to compensate for the minister. @drfahrettinkoca</v>
      </c>
    </row>
    <row r="3463" spans="1:5" ht="15" customHeight="1" x14ac:dyDescent="0.2">
      <c r="A3463" s="1" t="s">
        <v>6924</v>
      </c>
      <c r="B3463" s="1">
        <v>4</v>
      </c>
      <c r="C3463" s="3">
        <v>44543.844780092593</v>
      </c>
      <c r="D3463" s="1" t="s">
        <v>6925</v>
      </c>
      <c r="E3463" s="1" t="str">
        <f ca="1">IFERROR(__xludf.DUMMYFUNCTION("GOOGLETRANSLATE(A262 , ""tr"" , ""en"")"),"@drfahrettinkoca I'm not halal definitely")</f>
        <v>@drfahrettinkoca I'm not halal definitely</v>
      </c>
    </row>
    <row r="3464" spans="1:5" ht="15" customHeight="1" x14ac:dyDescent="0.2">
      <c r="A3464" s="1" t="s">
        <v>6926</v>
      </c>
      <c r="B3464" s="1">
        <v>16</v>
      </c>
      <c r="C3464" s="3">
        <v>44543.844594907408</v>
      </c>
      <c r="D3464" s="1" t="s">
        <v>6927</v>
      </c>
      <c r="E3464" s="1" t="str">
        <f ca="1">IFERROR(__xludf.DUMMYFUNCTION("GOOGLETRANSLATE(A263 , ""tr"" , ""en"")"),"@drfahrettinkoca we were fed up in the year we were exhausted. We cannot protect the health of our children as parents ... https://t.co/tfgo3aajsp")</f>
        <v>@drfahrettinkoca we were fed up in the year we were exhausted. We cannot protect the health of our children as parents ... https://t.co/tfgo3aajsp</v>
      </c>
    </row>
    <row r="3465" spans="1:5" ht="15" customHeight="1" x14ac:dyDescent="0.2">
      <c r="A3465" s="1" t="s">
        <v>6928</v>
      </c>
      <c r="B3465" s="1">
        <v>0</v>
      </c>
      <c r="C3465" s="3">
        <v>44543.844571759262</v>
      </c>
      <c r="D3465" s="1" t="s">
        <v>6929</v>
      </c>
      <c r="E3465" s="1" t="str">
        <f ca="1">IFERROR(__xludf.DUMMYFUNCTION("GOOGLETRANSLATE(A264 , ""tr"" , ""en"")"),"@drfahrettinkoca Fahrettin Bey Akpnin boasted the bragging to the sky I can't fit the sky.")</f>
        <v>@drfahrettinkoca Fahrettin Bey Akpnin boasted the bragging to the sky I can't fit the sky.</v>
      </c>
    </row>
    <row r="3466" spans="1:5" ht="15" customHeight="1" x14ac:dyDescent="0.2">
      <c r="A3466" s="1" t="s">
        <v>6930</v>
      </c>
      <c r="B3466" s="1">
        <v>1</v>
      </c>
      <c r="C3466" s="3">
        <v>44543.843877314815</v>
      </c>
      <c r="D3466" s="1" t="s">
        <v>6931</v>
      </c>
      <c r="E3466" s="1" t="str">
        <f ca="1">IFERROR(__xludf.DUMMYFUNCTION("GOOGLETRANSLATE(A265 , ""tr"" , ""en"")"),"@drfahrettinkoca Who is missing in this video? Bill Gates from ASR's pharaohs, vaccine investment 1 to 1 20 gains say https://t.co/yji1dsno5w")</f>
        <v>@drfahrettinkoca Who is missing in this video? Bill Gates from ASR's pharaohs, vaccine investment 1 to 1 20 gains say https://t.co/yji1dsno5w</v>
      </c>
    </row>
    <row r="3467" spans="1:5" ht="15" customHeight="1" x14ac:dyDescent="0.2">
      <c r="A3467" s="1" t="s">
        <v>6932</v>
      </c>
      <c r="B3467" s="1">
        <v>4</v>
      </c>
      <c r="C3467" s="3">
        <v>44543.843645833331</v>
      </c>
      <c r="D3467" s="1" t="s">
        <v>6933</v>
      </c>
      <c r="E3467" s="1" t="str">
        <f ca="1">IFERROR(__xludf.DUMMYFUNCTION("GOOGLETRANSLATE(A266 , ""tr"" , ""en"")"),"@drfahrettinkoca is the most promising conversation of two years. It's even nice to think about going.")</f>
        <v>@drfahrettinkoca is the most promising conversation of two years. It's even nice to think about going.</v>
      </c>
    </row>
    <row r="3468" spans="1:5" ht="15" customHeight="1" x14ac:dyDescent="0.2">
      <c r="A3468" s="1" t="s">
        <v>6934</v>
      </c>
      <c r="B3468" s="1">
        <v>23</v>
      </c>
      <c r="C3468" s="3">
        <v>44543.843368055554</v>
      </c>
      <c r="D3468" s="1" t="s">
        <v>6935</v>
      </c>
      <c r="E3468" s="1" t="str">
        <f ca="1">IFERROR(__xludf.DUMMYFUNCTION("GOOGLETRANSLATE(A267 , ""tr"" , ""en"")"),"@drfahrettinkoca I hope you're reading, it doesn't die. Halality")</f>
        <v>@drfahrettinkoca I hope you're reading, it doesn't die. Halality</v>
      </c>
    </row>
    <row r="3469" spans="1:5" ht="15" customHeight="1" x14ac:dyDescent="0.2">
      <c r="A3469" s="1" t="s">
        <v>6936</v>
      </c>
      <c r="B3469" s="1">
        <v>16</v>
      </c>
      <c r="C3469" s="3">
        <v>44543.843206018515</v>
      </c>
      <c r="D3469" s="1" t="s">
        <v>6937</v>
      </c>
      <c r="E3469" s="1" t="str">
        <f ca="1">IFERROR(__xludf.DUMMYFUNCTION("GOOGLETRANSLATE(A268 , ""tr"" , ""en"")"),"@drfahrettinkoca Rights get haram .... 🇹🇷🇹🇷🇹")</f>
        <v>@drfahrettinkoca Rights get haram .... 🇹🇷🇹🇷🇹</v>
      </c>
    </row>
    <row r="3470" spans="1:5" ht="15" customHeight="1" x14ac:dyDescent="0.2">
      <c r="A3470" s="1" t="s">
        <v>6938</v>
      </c>
      <c r="B3470" s="1">
        <v>10</v>
      </c>
      <c r="C3470" s="3">
        <v>44543.842523148145</v>
      </c>
      <c r="D3470" s="1" t="s">
        <v>6939</v>
      </c>
      <c r="E3470" s="1" t="str">
        <f ca="1">IFERROR(__xludf.DUMMYFUNCTION("GOOGLETRANSLATE(A269 , ""tr"" , ""en"")"),"@drfahrettinkoca @saglikbakanligi is the mistake while carrying out the job, the mistake can be defect, the principal is not intentional. Devle ... https://t.co/eh6vgvgldg")</f>
        <v>@drfahrettinkoca @saglikbakanligi is the mistake while carrying out the job, the mistake can be defect, the principal is not intentional. Devle ... https://t.co/eh6vgvgldg</v>
      </c>
    </row>
    <row r="3471" spans="1:5" ht="15" customHeight="1" x14ac:dyDescent="0.2">
      <c r="A3471" s="1" t="s">
        <v>6940</v>
      </c>
      <c r="B3471" s="1">
        <v>0</v>
      </c>
      <c r="C3471" s="3">
        <v>44543.842037037037</v>
      </c>
      <c r="D3471" s="1" t="s">
        <v>6941</v>
      </c>
      <c r="E3471" s="1" t="str">
        <f ca="1">IFERROR(__xludf.DUMMYFUNCTION("GOOGLETRANSLATE(A270 , ""tr"" , ""en"")"),"@drfahrettinkoca You have members of this state, you have been to this Nation Saint. Allah Azze and Celle are two jihans in the ...")</f>
        <v>@drfahrettinkoca You have members of this state, you have been to this Nation Saint. Allah Azze and Celle are two jihans in the ...</v>
      </c>
    </row>
    <row r="3472" spans="1:5" ht="15" customHeight="1" x14ac:dyDescent="0.2">
      <c r="A3472" s="1" t="s">
        <v>6942</v>
      </c>
      <c r="B3472" s="1">
        <v>222</v>
      </c>
      <c r="C3472" s="3">
        <v>44543.841724537036</v>
      </c>
      <c r="D3472" s="1" t="s">
        <v>6943</v>
      </c>
      <c r="E3472" s="1" t="str">
        <f ca="1">IFERROR(__xludf.DUMMYFUNCTION("GOOGLETRANSLATE(A271 , ""tr"" , ""en"")"),"@drfahrettinkoca has no mistake, there is no wrongdoing intention. Means are favipiravir, we fitted, intubate unnecessary, vitam ... https://t.co/4x4v37bm9n")</f>
        <v>@drfahrettinkoca has no mistake, there is no wrongdoing intention. Means are favipiravir, we fitted, intubate unnecessary, vitam ... https://t.co/4x4v37bm9n</v>
      </c>
    </row>
    <row r="3473" spans="1:5" ht="15" customHeight="1" x14ac:dyDescent="0.2">
      <c r="A3473" s="1" t="s">
        <v>6944</v>
      </c>
      <c r="B3473" s="1">
        <v>0</v>
      </c>
      <c r="C3473" s="3">
        <v>44543.841053240743</v>
      </c>
      <c r="D3473" s="1" t="s">
        <v>6945</v>
      </c>
      <c r="E3473" s="1" t="str">
        <f ca="1">IFERROR(__xludf.DUMMYFUNCTION("GOOGLETRANSLATE(A272 , ""tr"" , ""en"")"),"@drfahrettinkoca Allah give the trouble. You don't die without making what you do in insallah.")</f>
        <v>@drfahrettinkoca Allah give the trouble. You don't die without making what you do in insallah.</v>
      </c>
    </row>
    <row r="3474" spans="1:5" ht="15" customHeight="1" x14ac:dyDescent="0.2">
      <c r="A3474" s="1" t="s">
        <v>6946</v>
      </c>
      <c r="B3474" s="1">
        <v>1</v>
      </c>
      <c r="C3474" s="3">
        <v>44543.840752314813</v>
      </c>
      <c r="D3474" s="1" t="s">
        <v>6947</v>
      </c>
      <c r="E3474" s="1" t="str">
        <f ca="1">IFERROR(__xludf.DUMMYFUNCTION("GOOGLETRANSLATE(A273 , ""tr"" , ""en"")"),"@drfahrettinkoca Allah you don't bring together two burns. You find you make it. I'm the right of the Haram it gets. Lying is a salg ... https://t.co/ysmqkrnxbs")</f>
        <v>@drfahrettinkoca Allah you don't bring together two burns. You find you make it. I'm the right of the Haram it gets. Lying is a salg ... https://t.co/ysmqkrnxbs</v>
      </c>
    </row>
    <row r="3475" spans="1:5" ht="15" customHeight="1" x14ac:dyDescent="0.2">
      <c r="A3475" s="1" t="s">
        <v>6948</v>
      </c>
      <c r="B3475" s="1">
        <v>0</v>
      </c>
      <c r="C3475" s="3">
        <v>44543.840717592589</v>
      </c>
      <c r="D3475" s="1" t="s">
        <v>6949</v>
      </c>
      <c r="E3475" s="1" t="str">
        <f ca="1">IFERROR(__xludf.DUMMYFUNCTION("GOOGLETRANSLATE(A274 , ""tr"" , ""en"")"),"@drfahrettinkoca #fahrettinkocatutlan you #fahrettinkocatutlan you #fahrettinkocatutlan #nurnberg2 #nurembergkodex")</f>
        <v>@drfahrettinkoca #fahrettinkocatutlan you #fahrettinkocatutlan you #fahrettinkocatutlan #nurnberg2 #nurembergkodex</v>
      </c>
    </row>
    <row r="3476" spans="1:5" ht="15" customHeight="1" x14ac:dyDescent="0.2">
      <c r="A3476" s="1" t="s">
        <v>6950</v>
      </c>
      <c r="B3476" s="1">
        <v>8</v>
      </c>
      <c r="C3476" s="3">
        <v>44543.839988425927</v>
      </c>
      <c r="D3476" s="1" t="s">
        <v>6951</v>
      </c>
      <c r="E3476" s="1" t="str">
        <f ca="1">IFERROR(__xludf.DUMMYFUNCTION("GOOGLETRANSLATE(A275 , ""tr"" , ""en"")"),"@drfahrettinkoca Sinning Session This is the pastor")</f>
        <v>@drfahrettinkoca Sinning Session This is the pastor</v>
      </c>
    </row>
    <row r="3477" spans="1:5" ht="15" customHeight="1" x14ac:dyDescent="0.2">
      <c r="A3477" s="1" t="s">
        <v>6952</v>
      </c>
      <c r="B3477" s="1">
        <v>25</v>
      </c>
      <c r="C3477" s="3">
        <v>44543.839606481481</v>
      </c>
      <c r="D3477" s="1" t="s">
        <v>6953</v>
      </c>
      <c r="E3477" s="1" t="str">
        <f ca="1">IFERROR(__xludf.DUMMYFUNCTION("GOOGLETRANSLATE(A276 , ""tr"" , ""en"")"),"@drfahrettinkoca About Us Get Haram Good Win with Private Hospitals. The vaccine guests will end in the doses of avoidance.")</f>
        <v>@drfahrettinkoca About Us Get Haram Good Win with Private Hospitals. The vaccine guests will end in the doses of avoidance.</v>
      </c>
    </row>
    <row r="3478" spans="1:5" ht="15" customHeight="1" x14ac:dyDescent="0.2">
      <c r="A3478" s="1" t="s">
        <v>6954</v>
      </c>
      <c r="B3478" s="1">
        <v>27</v>
      </c>
      <c r="C3478" s="3">
        <v>44543.83898148148</v>
      </c>
      <c r="D3478" s="1" t="s">
        <v>6955</v>
      </c>
      <c r="E3478" s="1" t="str">
        <f ca="1">IFERROR(__xludf.DUMMYFUNCTION("GOOGLETRANSLATE(A277 , ""tr"" , ""en"")"),"@drfahrettinkoca DSÖyu and Treatment You are imposed on the nation where they are imposed on the nation, you are fired without testing, sorrow ... https://t.co/kqyv0bekor")</f>
        <v>@drfahrettinkoca DSÖyu and Treatment You are imposed on the nation where they are imposed on the nation, you are fired without testing, sorrow ... https://t.co/kqyv0bekor</v>
      </c>
    </row>
    <row r="3479" spans="1:5" ht="15" customHeight="1" x14ac:dyDescent="0.2">
      <c r="A3479" s="1" t="s">
        <v>6956</v>
      </c>
      <c r="B3479" s="1">
        <v>0</v>
      </c>
      <c r="C3479" s="3">
        <v>44543.83871527778</v>
      </c>
      <c r="D3479" s="1" t="s">
        <v>6957</v>
      </c>
      <c r="E3479" s="1" t="str">
        <f ca="1">IFERROR(__xludf.DUMMYFUNCTION("GOOGLETRANSLATE(A278 , ""tr"" , ""en"")"),"@drfahrettinka you will also be judged! This is the only one you will account to the nation!")</f>
        <v>@drfahrettinka you will also be judged! This is the only one you will account to the nation!</v>
      </c>
    </row>
    <row r="3480" spans="1:5" ht="15" customHeight="1" x14ac:dyDescent="0.2">
      <c r="A3480" s="1" t="s">
        <v>6958</v>
      </c>
      <c r="B3480" s="1">
        <v>0</v>
      </c>
      <c r="C3480" s="3">
        <v>44543.837337962963</v>
      </c>
      <c r="D3480" s="1" t="s">
        <v>6959</v>
      </c>
      <c r="E3480" s="1" t="str">
        <f ca="1">IFERROR(__xludf.DUMMYFUNCTION("GOOGLETRANSLATE(A279 , ""tr"" , ""en"")"),"@drfahrettinkoca you are haram of us! You have entered a very large vebale.")</f>
        <v>@drfahrettinkoca you are haram of us! You have entered a very large vebale.</v>
      </c>
    </row>
    <row r="3481" spans="1:5" ht="15" customHeight="1" x14ac:dyDescent="0.2">
      <c r="A3481" s="1" t="s">
        <v>6960</v>
      </c>
      <c r="B3481" s="1">
        <v>0</v>
      </c>
      <c r="C3481" s="3">
        <v>44543.835405092592</v>
      </c>
      <c r="D3481" s="1" t="s">
        <v>6961</v>
      </c>
      <c r="E3481" s="1" t="str">
        <f ca="1">IFERROR(__xludf.DUMMYFUNCTION("GOOGLETRANSLATE(A280 , ""tr"" , ""en"")"),"@drfahrettinkoca hocam Healthparts are doing action. Don't have two chins on them. What will be the end of this job")</f>
        <v>@drfahrettinkoca hocam Healthparts are doing action. Don't have two chins on them. What will be the end of this job</v>
      </c>
    </row>
    <row r="3482" spans="1:5" ht="15" customHeight="1" x14ac:dyDescent="0.2">
      <c r="A3482" s="1" t="s">
        <v>6962</v>
      </c>
      <c r="B3482" s="1">
        <v>0</v>
      </c>
      <c r="C3482" s="3">
        <v>44543.834861111114</v>
      </c>
      <c r="D3482" s="1" t="s">
        <v>6963</v>
      </c>
      <c r="E3482" s="1" t="str">
        <f ca="1">IFERROR(__xludf.DUMMYFUNCTION("GOOGLETRANSLATE(A281 , ""tr"" , ""en"")"),"@drfahrettinkoca quit Ettt ... Our children aren't your toy ... # SchoolsonLine")</f>
        <v>@drfahrettinkoca quit Ettt ... Our children aren't your toy ... # SchoolsonLine</v>
      </c>
    </row>
    <row r="3483" spans="1:5" ht="15" customHeight="1" x14ac:dyDescent="0.2">
      <c r="A3483" s="1" t="s">
        <v>6964</v>
      </c>
      <c r="B3483" s="1">
        <v>114</v>
      </c>
      <c r="C3483" s="3">
        <v>44543.834756944445</v>
      </c>
      <c r="D3483" s="1" t="s">
        <v>6965</v>
      </c>
      <c r="E3483" s="1" t="str">
        <f ca="1">IFERROR(__xludf.DUMMYFUNCTION("GOOGLETRANSLATE(A282 , ""tr"" , ""en"")"),"@drfahrettinkoca I have passed every children to be vaccinated to be vaccinated to be vaccinated, you didn't even go to Cropy Maybe this ... https://t.co/kas5zzcnw8")</f>
        <v>@drfahrettinkoca I have passed every children to be vaccinated to be vaccinated to be vaccinated, you didn't even go to Cropy Maybe this ... https://t.co/kas5zzcnw8</v>
      </c>
    </row>
    <row r="3484" spans="1:5" ht="15" customHeight="1" x14ac:dyDescent="0.2">
      <c r="A3484" s="1" t="s">
        <v>6966</v>
      </c>
      <c r="B3484" s="1">
        <v>6</v>
      </c>
      <c r="C3484" s="3">
        <v>44543.834641203706</v>
      </c>
      <c r="D3484" s="1" t="s">
        <v>6967</v>
      </c>
      <c r="E3484" s="1" t="str">
        <f ca="1">IFERROR(__xludf.DUMMYFUNCTION("GOOGLETRANSLATE(A283 , ""tr"" , ""en"")"),"@drfahrettinkoca If you want to sin Go to church Faho I don't Halal me right")</f>
        <v>@drfahrettinkoca If you want to sin Go to church Faho I don't Halal me right</v>
      </c>
    </row>
    <row r="3485" spans="1:5" ht="15" customHeight="1" x14ac:dyDescent="0.2">
      <c r="A3485" s="1" t="s">
        <v>6968</v>
      </c>
      <c r="B3485" s="1">
        <v>4</v>
      </c>
      <c r="C3485" s="3">
        <v>44543.834004629629</v>
      </c>
      <c r="D3485" s="1" t="s">
        <v>6969</v>
      </c>
      <c r="E3485" s="1" t="str">
        <f ca="1">IFERROR(__xludf.DUMMYFUNCTION("GOOGLETRANSLATE(A284 , ""tr"" , ""en"")"),"@drfahrettinkoca I don't halic my right to my person's name.")</f>
        <v>@drfahrettinkoca I don't halic my right to my person's name.</v>
      </c>
    </row>
    <row r="3486" spans="1:5" ht="15" customHeight="1" x14ac:dyDescent="0.2">
      <c r="A3486" s="1" t="s">
        <v>6970</v>
      </c>
      <c r="B3486" s="1">
        <v>1</v>
      </c>
      <c r="C3486" s="3">
        <v>44543.83353009259</v>
      </c>
      <c r="D3486" s="1" t="s">
        <v>6971</v>
      </c>
      <c r="E3486" s="1" t="str">
        <f ca="1">IFERROR(__xludf.DUMMYFUNCTION("GOOGLETRANSLATE(A285 , ""tr"" , ""en"")"),"@drfahrettinkoca hiiiic asshole noding faho This saints Turkish nation have underestimated with your collaborators ... https://t.co/asgeq2fsod")</f>
        <v>@drfahrettinkoca hiiiic asshole noding faho This saints Turkish nation have underestimated with your collaborators ... https://t.co/asgeq2fsod</v>
      </c>
    </row>
    <row r="3487" spans="1:5" ht="15" customHeight="1" x14ac:dyDescent="0.2">
      <c r="A3487" s="1" t="s">
        <v>6972</v>
      </c>
      <c r="B3487" s="1">
        <v>4</v>
      </c>
      <c r="C3487" s="3">
        <v>44543.832928240743</v>
      </c>
      <c r="D3487" s="1" t="s">
        <v>6973</v>
      </c>
      <c r="E3487" s="1" t="str">
        <f ca="1">IFERROR(__xludf.DUMMYFUNCTION("GOOGLETRANSLATE(A286 , ""tr"" , ""en"")"),"@drfahrettinkoca Science Assembly You entered the wrong output in the halvalization air.")</f>
        <v>@drfahrettinkoca Science Assembly You entered the wrong output in the halvalization air.</v>
      </c>
    </row>
    <row r="3488" spans="1:5" ht="15" customHeight="1" x14ac:dyDescent="0.2">
      <c r="A3488" s="1" t="s">
        <v>6974</v>
      </c>
      <c r="B3488" s="1">
        <v>3</v>
      </c>
      <c r="C3488" s="3">
        <v>44543.832511574074</v>
      </c>
      <c r="D3488" s="1" t="s">
        <v>6975</v>
      </c>
      <c r="E3488" s="1" t="str">
        <f ca="1">IFERROR(__xludf.DUMMYFUNCTION("GOOGLETRANSLATE(A287 , ""tr"" , ""en"")"),"@drfahrettinka https://t.co/axwpvs5xut")</f>
        <v>@drfahrettinka https://t.co/axwpvs5xut</v>
      </c>
    </row>
    <row r="3489" spans="1:5" ht="15" customHeight="1" x14ac:dyDescent="0.2">
      <c r="A3489" s="1" t="s">
        <v>6976</v>
      </c>
      <c r="B3489" s="1">
        <v>10</v>
      </c>
      <c r="C3489" s="3">
        <v>44543.832118055558</v>
      </c>
      <c r="D3489" s="1" t="s">
        <v>6977</v>
      </c>
      <c r="E3489" s="1" t="str">
        <f ca="1">IFERROR(__xludf.DUMMYFUNCTION("GOOGLETRANSLATE(A288 , ""tr"" , ""en"")"),"@drfahrettinkoca Because of your imposition I've been to my job on September 6 I don't forget my economy is the lower top of my economy ... https://t.co/Q5ZZICXZP4")</f>
        <v>@drfahrettinkoca Because of your imposition I've been to my job on September 6 I don't forget my economy is the lower top of my economy ... https://t.co/Q5ZZICXZP4</v>
      </c>
    </row>
    <row r="3490" spans="1:5" ht="15" customHeight="1" x14ac:dyDescent="0.2">
      <c r="A3490" s="1" t="s">
        <v>6978</v>
      </c>
      <c r="B3490" s="1">
        <v>11</v>
      </c>
      <c r="C3490" s="3">
        <v>44543.832094907404</v>
      </c>
      <c r="D3490" s="1" t="s">
        <v>6979</v>
      </c>
      <c r="E3490" s="1" t="str">
        <f ca="1">IFERROR(__xludf.DUMMYFUNCTION("GOOGLETRANSLATE(A289 , ""tr"" , ""en"")"),"@drfahrettinkoca Dad 85 Yasinde Covid Hastasi 3 Gundur İlstur İlçılılılım I will send me the hosts?!")</f>
        <v>@drfahrettinkoca Dad 85 Yasinde Covid Hastasi 3 Gundur İlstur İlçılılılım I will send me the hosts?!</v>
      </c>
    </row>
    <row r="3491" spans="1:5" ht="15" customHeight="1" x14ac:dyDescent="0.2">
      <c r="A3491" s="1" t="s">
        <v>6980</v>
      </c>
      <c r="B3491" s="1">
        <v>2</v>
      </c>
      <c r="C3491" s="3">
        <v>44543.831701388888</v>
      </c>
      <c r="D3491" s="1" t="s">
        <v>6981</v>
      </c>
      <c r="E3491" s="1" t="str">
        <f ca="1">IFERROR(__xludf.DUMMYFUNCTION("GOOGLETRANSLATE(A290 , ""tr"" , ""en"")"),"@drfahrettinkoca We do not halal about us.Bilin")</f>
        <v>@drfahrettinkoca We do not halal about us.Bilin</v>
      </c>
    </row>
    <row r="3492" spans="1:5" ht="15" customHeight="1" x14ac:dyDescent="0.2">
      <c r="A3492" s="1" t="s">
        <v>6982</v>
      </c>
      <c r="B3492" s="1">
        <v>0</v>
      </c>
      <c r="C3492" s="3">
        <v>44543.831550925926</v>
      </c>
      <c r="D3492" s="1" t="s">
        <v>6983</v>
      </c>
      <c r="E3492" s="1" t="str">
        <f ca="1">IFERROR(__xludf.DUMMYFUNCTION("GOOGLETRANSLATE(A291 , ""tr"" , ""en"")"),"@drfahrettinkoca When do you increase?")</f>
        <v>@drfahrettinkoca When do you increase?</v>
      </c>
    </row>
    <row r="3493" spans="1:5" ht="15" customHeight="1" x14ac:dyDescent="0.2">
      <c r="A3493" s="1" t="s">
        <v>6984</v>
      </c>
      <c r="B3493" s="1">
        <v>0</v>
      </c>
      <c r="C3493" s="3">
        <v>44543.831284722219</v>
      </c>
      <c r="D3493" s="1" t="s">
        <v>6985</v>
      </c>
      <c r="E3493" s="1" t="str">
        <f ca="1">IFERROR(__xludf.DUMMYFUNCTION("GOOGLETRANSLATE(A292 , ""tr"" , ""en"")"),"@drfahrettinkoca Never Halal I Don't Halal Your Tiny Kids IMPROVING MAKE MAKE AND MISSE TREATMENTS ... HTTPS://T.CO/UACIFBSKK5")</f>
        <v>@drfahrettinkoca Never Halal I Don't Halal Your Tiny Kids IMPROVING MAKE MAKE AND MISSE TREATMENTS ... HTTPS://T.CO/UACIFBSKK5</v>
      </c>
    </row>
    <row r="3494" spans="1:5" ht="15" customHeight="1" x14ac:dyDescent="0.2">
      <c r="A3494" s="1" t="s">
        <v>6986</v>
      </c>
      <c r="B3494" s="1">
        <v>0</v>
      </c>
      <c r="C3494" s="3">
        <v>44543.829814814817</v>
      </c>
      <c r="D3494" s="1" t="s">
        <v>6987</v>
      </c>
      <c r="E3494" s="1" t="str">
        <f ca="1">IFERROR(__xludf.DUMMYFUNCTION("GOOGLETRANSLATE(A293 , ""tr"" , ""en"")"),"@drfahrettinka Mr. Fahrettin husband, for 2 years he has been intubated twice in a last year living in bed, and oxygen ... https://t.co/kyqsxhjbgk")</f>
        <v>@drfahrettinka Mr. Fahrettin husband, for 2 years he has been intubated twice in a last year living in bed, and oxygen ... https://t.co/kyqsxhjbgk</v>
      </c>
    </row>
    <row r="3495" spans="1:5" ht="15" customHeight="1" x14ac:dyDescent="0.2">
      <c r="A3495" s="1" t="s">
        <v>6988</v>
      </c>
      <c r="B3495" s="1">
        <v>4</v>
      </c>
      <c r="C3495" s="3">
        <v>44543.827928240738</v>
      </c>
      <c r="D3495" s="1" t="s">
        <v>6989</v>
      </c>
      <c r="E3495" s="1" t="str">
        <f ca="1">IFERROR(__xludf.DUMMYFUNCTION("GOOGLETRANSLATE(A294 , ""tr"" , ""en"")"),"@drfahrettinkoca oooo Do you think that you have been with other closed halalities? 'Come with the right' said '")</f>
        <v>@drfahrettinkoca oooo Do you think that you have been with other closed halalities? 'Come with the right' said '</v>
      </c>
    </row>
    <row r="3496" spans="1:5" ht="15" customHeight="1" x14ac:dyDescent="0.2">
      <c r="A3496" s="1" t="s">
        <v>6990</v>
      </c>
      <c r="B3496" s="1">
        <v>1</v>
      </c>
      <c r="C3496" s="3">
        <v>44543.826793981483</v>
      </c>
      <c r="D3496" s="1" t="s">
        <v>6991</v>
      </c>
      <c r="E3496" s="1" t="str">
        <f ca="1">IFERROR(__xludf.DUMMYFUNCTION("GOOGLETRANSLATE(A295 , ""tr"" , ""en"")"),"@drfahrettinkoca everyone makes the mistake but you are looking wrong")</f>
        <v>@drfahrettinkoca everyone makes the mistake but you are looking wrong</v>
      </c>
    </row>
    <row r="3497" spans="1:5" ht="15" customHeight="1" x14ac:dyDescent="0.2">
      <c r="A3497" s="1" t="s">
        <v>6992</v>
      </c>
      <c r="B3497" s="1">
        <v>0</v>
      </c>
      <c r="C3497" s="3">
        <v>44543.826504629629</v>
      </c>
      <c r="D3497" s="1" t="s">
        <v>6993</v>
      </c>
      <c r="E3497" s="1" t="str">
        <f ca="1">IFERROR(__xludf.DUMMYFUNCTION("GOOGLETRANSLATE(A296 , ""tr"" , ""en"")"),"@drfahrettinkoca howful is your friend who is going to be a friend Single head 😂 Bi didn't end anggna")</f>
        <v>@drfahrettinkoca howful is your friend who is going to be a friend Single head 😂 Bi didn't end anggna</v>
      </c>
    </row>
    <row r="3498" spans="1:5" ht="15" customHeight="1" x14ac:dyDescent="0.2">
      <c r="A3498" s="1" t="s">
        <v>6994</v>
      </c>
      <c r="B3498" s="1">
        <v>0</v>
      </c>
      <c r="C3498" s="3">
        <v>44543.825937499998</v>
      </c>
      <c r="D3498" s="1" t="s">
        <v>6995</v>
      </c>
      <c r="E3498" s="1" t="str">
        <f ca="1">IFERROR(__xludf.DUMMYFUNCTION("GOOGLETRANSLATE(A297 , ""tr"" , ""en"")"),"@drfahrettinka us when we are opposed as doctors, when we say that when we are opposite it, we have a mistake in us ... https://t.co/px4l7uag1y")</f>
        <v>@drfahrettinka us when we are opposed as doctors, when we say that when we are opposite it, we have a mistake in us ... https://t.co/px4l7uag1y</v>
      </c>
    </row>
    <row r="3499" spans="1:5" ht="15" customHeight="1" x14ac:dyDescent="0.2">
      <c r="A3499" s="1" t="s">
        <v>6996</v>
      </c>
      <c r="B3499" s="1">
        <v>1</v>
      </c>
      <c r="C3499" s="3">
        <v>44543.825833333336</v>
      </c>
      <c r="D3499" s="1" t="s">
        <v>6997</v>
      </c>
      <c r="E3499" s="1" t="str">
        <f ca="1">IFERROR(__xludf.DUMMYFUNCTION("GOOGLETRANSLATE(A298 , ""tr"" , ""en"")"),"@drfahrettinkoca Error 1 times happens the bugs chain you can be pulled ...")</f>
        <v>@drfahrettinkoca Error 1 times happens the bugs chain you can be pulled ...</v>
      </c>
    </row>
    <row r="3500" spans="1:5" ht="15" customHeight="1" x14ac:dyDescent="0.2">
      <c r="A3500" s="1" t="s">
        <v>6998</v>
      </c>
      <c r="B3500" s="1">
        <v>16</v>
      </c>
      <c r="C3500" s="3">
        <v>44543.825636574074</v>
      </c>
      <c r="D3500" s="1" t="s">
        <v>6999</v>
      </c>
      <c r="E3500" s="1" t="str">
        <f ca="1">IFERROR(__xludf.DUMMYFUNCTION("GOOGLETRANSLATE(A299 , ""tr"" , ""en"")"),"@drfahrettinka Mr. Ministry Ministry of Health Subcontracting in your hospitals in your hospitals only HBYS computing plays ... https://t.co/pgdbwxlntk")</f>
        <v>@drfahrettinka Mr. Ministry Ministry of Health Subcontracting in your hospitals in your hospitals only HBYS computing plays ... https://t.co/pgdbwxlntk</v>
      </c>
    </row>
    <row r="3501" spans="1:5" ht="15" customHeight="1" x14ac:dyDescent="0.2">
      <c r="A3501" s="1" t="s">
        <v>7000</v>
      </c>
      <c r="B3501" s="1">
        <v>5</v>
      </c>
      <c r="C3501" s="3">
        <v>44543.825578703705</v>
      </c>
      <c r="D3501" s="1" t="s">
        <v>7001</v>
      </c>
      <c r="E3501" s="1" t="str">
        <f ca="1">IFERROR(__xludf.DUMMYFUNCTION("GOOGLETRANSLATE(A300 , ""tr"" , ""en"")"),"@drfahrettinkoca Error and Nexpensive Atamaci Don't give it to the bolums that are not done.")</f>
        <v>@drfahrettinkoca Error and Nexpensive Atamaci Don't give it to the bolums that are not done.</v>
      </c>
    </row>
    <row r="3502" spans="1:5" ht="15" customHeight="1" x14ac:dyDescent="0.2">
      <c r="A3502" s="1" t="s">
        <v>7002</v>
      </c>
      <c r="B3502" s="1">
        <v>16</v>
      </c>
      <c r="C3502" s="3">
        <v>44543.825196759259</v>
      </c>
      <c r="D3502" s="1" t="s">
        <v>7003</v>
      </c>
      <c r="E3502" s="1" t="str">
        <f ca="1">IFERROR(__xludf.DUMMYFUNCTION("GOOGLETRANSLATE(A301 , ""tr"" , ""en"")"),"@drfahrettinkoca I don't halal my right. I will ask both the chest and other world in the other world. Separate for each PCR ... https://t.co/vuhqthas5l")</f>
        <v>@drfahrettinkoca I don't halal my right. I will ask both the chest and other world in the other world. Separate for each PCR ... https://t.co/vuhqthas5l</v>
      </c>
    </row>
    <row r="3503" spans="1:5" ht="15" customHeight="1" x14ac:dyDescent="0.2">
      <c r="A3503" s="1" t="s">
        <v>7004</v>
      </c>
      <c r="B3503" s="1">
        <v>17</v>
      </c>
      <c r="C3503" s="3">
        <v>44543.824942129628</v>
      </c>
      <c r="D3503" s="1" t="s">
        <v>7005</v>
      </c>
      <c r="E3503" s="1" t="str">
        <f ca="1">IFERROR(__xludf.DUMMYFUNCTION("GOOGLETRANSLATE(A302 , ""tr"" , ""en"")"),"@drfahrettinka Mr. Minister Hbys - Hospital Computing Personals Nin staffing the promise of the staff and deficiency ... https://t.co/z0ncambawy")</f>
        <v>@drfahrettinka Mr. Minister Hbys - Hospital Computing Personals Nin staffing the promise of the staff and deficiency ... https://t.co/z0ncambawy</v>
      </c>
    </row>
    <row r="3504" spans="1:5" ht="15" customHeight="1" x14ac:dyDescent="0.2">
      <c r="A3504" s="1" t="s">
        <v>7006</v>
      </c>
      <c r="B3504" s="1">
        <v>0</v>
      </c>
      <c r="C3504" s="3">
        <v>44543.824606481481</v>
      </c>
      <c r="D3504" s="1" t="s">
        <v>7007</v>
      </c>
      <c r="E3504" s="1" t="str">
        <f ca="1">IFERROR(__xludf.DUMMYFUNCTION("GOOGLETRANSLATE(A303 , ""tr"" , ""en"")"),"@drfahrettinkoca is a crime to kill the man with taxir.")</f>
        <v>@drfahrettinkoca is a crime to kill the man with taxir.</v>
      </c>
    </row>
    <row r="3505" spans="1:5" ht="15" customHeight="1" x14ac:dyDescent="0.2">
      <c r="A3505" s="1" t="s">
        <v>7008</v>
      </c>
      <c r="B3505" s="1">
        <v>145</v>
      </c>
      <c r="C3505" s="3">
        <v>44543.82440972222</v>
      </c>
      <c r="D3505" s="1" t="s">
        <v>7009</v>
      </c>
      <c r="E3505" s="1" t="str">
        <f ca="1">IFERROR(__xludf.DUMMYFUNCTION("GOOGLETRANSLATE(A304 , ""tr"" , ""en"")"),"See @drfahrettinka Look Fdain, Pfizer MRNA vaccine is used in the first month; 160,000 side effects, 1223 deaths. 270 children fall ... https://t.co/ghftewtaj5")</f>
        <v>See @drfahrettinka Look Fdain, Pfizer MRNA vaccine is used in the first month; 160,000 side effects, 1223 deaths. 270 children fall ... https://t.co/ghftewtaj5</v>
      </c>
    </row>
    <row r="3506" spans="1:5" ht="15" customHeight="1" x14ac:dyDescent="0.2">
      <c r="A3506" s="1" t="s">
        <v>7010</v>
      </c>
      <c r="B3506" s="1">
        <v>0</v>
      </c>
      <c r="C3506" s="3">
        <v>44543.823206018518</v>
      </c>
      <c r="D3506" s="1" t="s">
        <v>7011</v>
      </c>
      <c r="E3506" s="1" t="str">
        <f ca="1">IFERROR(__xludf.DUMMYFUNCTION("GOOGLETRANSLATE(A305 , ""tr"" , ""en"")"),"@drfahrettinkoca Your imperfection is a lot of minister")</f>
        <v>@drfahrettinkoca Your imperfection is a lot of minister</v>
      </c>
    </row>
    <row r="3507" spans="1:5" ht="15" customHeight="1" x14ac:dyDescent="0.2">
      <c r="A3507" s="1" t="s">
        <v>7012</v>
      </c>
      <c r="B3507" s="1">
        <v>0</v>
      </c>
      <c r="C3507" s="3">
        <v>44543.823020833333</v>
      </c>
      <c r="D3507" s="1" t="s">
        <v>7013</v>
      </c>
      <c r="E3507" s="1" t="str">
        <f ca="1">IFERROR(__xludf.DUMMYFUNCTION("GOOGLETRANSLATE(A306 , ""tr"" , ""en"")"),"@drfahrettinka Mr. Minister. I will offer you a very important proposition to make it right. Now in Istanbul in Istanbul ... https://t.co/DP6VIIWUY1")</f>
        <v>@drfahrettinka Mr. Minister. I will offer you a very important proposition to make it right. Now in Istanbul in Istanbul ... https://t.co/DP6VIIWUY1</v>
      </c>
    </row>
    <row r="3508" spans="1:5" ht="15" customHeight="1" x14ac:dyDescent="0.2">
      <c r="A3508" s="1" t="s">
        <v>7014</v>
      </c>
      <c r="B3508" s="1">
        <v>3</v>
      </c>
      <c r="C3508" s="3">
        <v>44543.822789351849</v>
      </c>
      <c r="D3508" s="1" t="s">
        <v>7015</v>
      </c>
      <c r="E3508" s="1" t="str">
        <f ca="1">IFERROR(__xludf.DUMMYFUNCTION("GOOGLETRANSLATE(A307 , ""tr"" , ""en"")"),"@drfahrettinka writer what did he mean here. Where do you have made an error ???")</f>
        <v>@drfahrettinka writer what did he mean here. Where do you have made an error ???</v>
      </c>
    </row>
    <row r="3509" spans="1:5" ht="15" customHeight="1" x14ac:dyDescent="0.2">
      <c r="A3509" s="1" t="s">
        <v>7016</v>
      </c>
      <c r="B3509" s="1">
        <v>8</v>
      </c>
      <c r="C3509" s="3">
        <v>44543.822569444441</v>
      </c>
      <c r="D3509" s="1" t="s">
        <v>7017</v>
      </c>
      <c r="E3509" s="1" t="str">
        <f ca="1">IFERROR(__xludf.DUMMYFUNCTION("GOOGLETRANSLATE(A308 , ""tr"" , ""en"")"),"@drfahrettinkoca HBYS The staff were not given to your staff staff. Mr. Minister is qualified with our featured unit ... https://t.co/etf4ngwkrx")</f>
        <v>@drfahrettinkoca HBYS The staff were not given to your staff staff. Mr. Minister is qualified with our featured unit ... https://t.co/etf4ngwkrx</v>
      </c>
    </row>
    <row r="3510" spans="1:5" ht="15" customHeight="1" x14ac:dyDescent="0.2">
      <c r="A3510" s="1" t="s">
        <v>7018</v>
      </c>
      <c r="B3510" s="1">
        <v>3</v>
      </c>
      <c r="C3510" s="3">
        <v>44543.822418981479</v>
      </c>
      <c r="D3510" s="1" t="s">
        <v>7019</v>
      </c>
      <c r="E3510" s="1" t="str">
        <f ca="1">IFERROR(__xludf.DUMMYFUNCTION("GOOGLETRANSLATE(A309 , ""tr"" , ""en"")"),"@drfahrettinkoca Our goal is to come to the world Everyone is responsible for their own tekamüm I hope your conscience is comfortable.")</f>
        <v>@drfahrettinkoca Our goal is to come to the world Everyone is responsible for their own tekamüm I hope your conscience is comfortable.</v>
      </c>
    </row>
    <row r="3511" spans="1:5" ht="15" customHeight="1" x14ac:dyDescent="0.2">
      <c r="A3511" s="1" t="s">
        <v>7020</v>
      </c>
      <c r="B3511" s="1">
        <v>0</v>
      </c>
      <c r="C3511" s="3">
        <v>44543.82234953704</v>
      </c>
      <c r="D3511" s="1" t="s">
        <v>7021</v>
      </c>
      <c r="E3511" s="1" t="str">
        <f ca="1">IFERROR(__xludf.DUMMYFUNCTION("GOOGLETRANSLATE(A310 , ""tr"" , ""en"")"),"@drfahrettinkoca Hocam HELLE Meat Pandemide COK OK LESTS FLOCKS FROM THE MEMBERSHIP")</f>
        <v>@drfahrettinkoca Hocam HELLE Meat Pandemide COK OK LESTS FLOCKS FROM THE MEMBERSHIP</v>
      </c>
    </row>
    <row r="3512" spans="1:5" ht="15" customHeight="1" x14ac:dyDescent="0.2">
      <c r="A3512" s="1" t="s">
        <v>7022</v>
      </c>
      <c r="B3512" s="1">
        <v>0</v>
      </c>
      <c r="C3512" s="3">
        <v>44543.820428240739</v>
      </c>
      <c r="D3512" s="1" t="s">
        <v>7023</v>
      </c>
      <c r="E3512" s="1" t="str">
        <f ca="1">IFERROR(__xludf.DUMMYFUNCTION("GOOGLETRANSLATE(A311 , ""tr"" , ""en"")"),"@drfahrettinkoca is a husband on top of this nation.")</f>
        <v>@drfahrettinkoca is a husband on top of this nation.</v>
      </c>
    </row>
    <row r="3513" spans="1:5" ht="15" customHeight="1" x14ac:dyDescent="0.2">
      <c r="A3513" s="1" t="s">
        <v>7024</v>
      </c>
      <c r="B3513" s="1">
        <v>3</v>
      </c>
      <c r="C3513" s="3">
        <v>44543.820231481484</v>
      </c>
      <c r="D3513" s="1" t="s">
        <v>7025</v>
      </c>
      <c r="E3513" s="1" t="str">
        <f ca="1">IFERROR(__xludf.DUMMYFUNCTION("GOOGLETRANSLATE(A312 , ""tr"" , ""en"")"),"@drfahrettinkoca 2 years 300-400 dietitians in 2 years can be assigned to thousands of graduates in 2 years Business ... https://t.co/ylub3sd8mb")</f>
        <v>@drfahrettinkoca 2 years 300-400 dietitians in 2 years can be assigned to thousands of graduates in 2 years Business ... https://t.co/ylub3sd8mb</v>
      </c>
    </row>
    <row r="3514" spans="1:5" ht="15" customHeight="1" x14ac:dyDescent="0.2">
      <c r="A3514" s="1" t="s">
        <v>7026</v>
      </c>
      <c r="B3514" s="1">
        <v>0</v>
      </c>
      <c r="C3514" s="3">
        <v>44543.819780092592</v>
      </c>
      <c r="D3514" s="1" t="s">
        <v>7027</v>
      </c>
      <c r="E3514" s="1" t="str">
        <f ca="1">IFERROR(__xludf.DUMMYFUNCTION("GOOGLETRANSLATE(A313 , ""tr"" , ""en"")"),"@drfahrettinkoca One is fooled another is the unintentional intentionless favripave ...")</f>
        <v>@drfahrettinkoca One is fooled another is the unintentional intentionless favripave ...</v>
      </c>
    </row>
    <row r="3515" spans="1:5" ht="15" customHeight="1" x14ac:dyDescent="0.2">
      <c r="A3515" s="1" t="s">
        <v>7028</v>
      </c>
      <c r="B3515" s="1">
        <v>4</v>
      </c>
      <c r="C3515" s="3">
        <v>44543.819652777776</v>
      </c>
      <c r="D3515" s="1" t="s">
        <v>7029</v>
      </c>
      <c r="E3515" s="1" t="str">
        <f ca="1">IFERROR(__xludf.DUMMYFUNCTION("GOOGLETRANSLATE(A314 , ""tr"" , ""en"")"),"@drfahrettinkoca yeah you have had a lot of lack of you and you're not even to solve one")</f>
        <v>@drfahrettinkoca yeah you have had a lot of lack of you and you're not even to solve one</v>
      </c>
    </row>
    <row r="3516" spans="1:5" ht="15" customHeight="1" x14ac:dyDescent="0.2">
      <c r="A3516" s="1" t="s">
        <v>7030</v>
      </c>
      <c r="B3516" s="1">
        <v>0</v>
      </c>
      <c r="C3516" s="3">
        <v>44543.819328703707</v>
      </c>
      <c r="D3516" s="1" t="s">
        <v>7031</v>
      </c>
      <c r="E3516" s="1" t="str">
        <f ca="1">IFERROR(__xludf.DUMMYFUNCTION("GOOGLETRANSLATE(A315 , ""tr"" , ""en"")"),"@drfahrettinkoca We want our children in https://t.co/wtya2mcwfi.")</f>
        <v>@drfahrettinkoca We want our children in https://t.co/wtya2mcwfi.</v>
      </c>
    </row>
    <row r="3517" spans="1:5" ht="15" customHeight="1" x14ac:dyDescent="0.2">
      <c r="A3517" s="1" t="s">
        <v>7032</v>
      </c>
      <c r="B3517" s="1">
        <v>12</v>
      </c>
      <c r="C3517" s="3">
        <v>44543.818923611114</v>
      </c>
      <c r="D3517" s="1" t="s">
        <v>7033</v>
      </c>
      <c r="E3517" s="1" t="str">
        <f ca="1">IFERROR(__xludf.DUMMYFUNCTION("GOOGLETRANSLATE(A316 , ""tr"" , ""en"")"),"@drfahrettinkoca Mr. Ministry There is no error-free handle, however we are all people in 2018 only in 2018 ministerial transfer ... https://t.co/93mtlcbdty")</f>
        <v>@drfahrettinkoca Mr. Ministry There is no error-free handle, however we are all people in 2018 only in 2018 ministerial transfer ... https://t.co/93mtlcbdty</v>
      </c>
    </row>
    <row r="3518" spans="1:5" ht="15" customHeight="1" x14ac:dyDescent="0.2">
      <c r="A3518" s="1" t="s">
        <v>7034</v>
      </c>
      <c r="B3518" s="1">
        <v>0</v>
      </c>
      <c r="C3518" s="3">
        <v>44543.818437499998</v>
      </c>
      <c r="D3518" s="1" t="s">
        <v>7035</v>
      </c>
      <c r="E3518" s="1" t="str">
        <f ca="1">IFERROR(__xludf.DUMMYFUNCTION("GOOGLETRANSLATE(A317 , ""tr"" , ""en"")"),"@drfahrettinkoca has no escape from judgment.")</f>
        <v>@drfahrettinkoca has no escape from judgment.</v>
      </c>
    </row>
    <row r="3519" spans="1:5" ht="15" customHeight="1" x14ac:dyDescent="0.2">
      <c r="A3519" s="1" t="s">
        <v>7036</v>
      </c>
      <c r="B3519" s="1">
        <v>0</v>
      </c>
      <c r="C3519" s="3">
        <v>44543.817939814813</v>
      </c>
      <c r="D3519" s="1" t="s">
        <v>7037</v>
      </c>
      <c r="E3519" s="1" t="str">
        <f ca="1">IFERROR(__xludf.DUMMYFUNCTION("GOOGLETRANSLATE(A318 , ""tr"" , ""en"")"),"@drfahrettinkoca but you will not be stretching so simple for the virus and everything that is harmful. The front of the people ... https://t.co/cxwtlnhjzv")</f>
        <v>@drfahrettinkoca but you will not be stretching so simple for the virus and everything that is harmful. The front of the people ... https://t.co/cxwtlnhjzv</v>
      </c>
    </row>
    <row r="3520" spans="1:5" ht="15" customHeight="1" x14ac:dyDescent="0.2">
      <c r="A3520" s="1" t="s">
        <v>7038</v>
      </c>
      <c r="B3520" s="1">
        <v>0</v>
      </c>
      <c r="C3520" s="3">
        <v>44543.817604166667</v>
      </c>
      <c r="D3520" s="1" t="s">
        <v>7039</v>
      </c>
      <c r="E3520" s="1" t="str">
        <f ca="1">IFERROR(__xludf.DUMMYFUNCTION("GOOGLETRANSLATE(A319 , ""tr"" , ""en"")"),"Information about @drfahrettinkoca geese │ We have prepared forage to our geese !!! │ and our first shooting experience with New Go Pro. https://t.co/dbk4nu3t8v")</f>
        <v>Information about @drfahrettinkoca geese │ We have prepared forage to our geese !!! │ and our first shooting experience with New Go Pro. https://t.co/dbk4nu3t8v</v>
      </c>
    </row>
    <row r="3521" spans="1:5" ht="15" customHeight="1" x14ac:dyDescent="0.2">
      <c r="A3521" s="1" t="s">
        <v>7040</v>
      </c>
      <c r="B3521" s="1">
        <v>0</v>
      </c>
      <c r="C3521" s="3">
        <v>44543.816967592589</v>
      </c>
      <c r="D3521" s="1" t="s">
        <v>7041</v>
      </c>
      <c r="E3521" s="1" t="str">
        <f ca="1">IFERROR(__xludf.DUMMYFUNCTION("GOOGLETRANSLATE(A320 , ""tr"" , ""en"")"),"@drfahrettinkoca Mr. Minister As a result, they will be able to take the neglected rights, which they deserve, not took the physicians ... https://t.co/nfslpcuwot")</f>
        <v>@drfahrettinkoca Mr. Minister As a result, they will be able to take the neglected rights, which they deserve, not took the physicians ... https://t.co/nfslpcuwot</v>
      </c>
    </row>
    <row r="3522" spans="1:5" ht="15" customHeight="1" x14ac:dyDescent="0.2">
      <c r="A3522" s="1" t="s">
        <v>7042</v>
      </c>
      <c r="B3522" s="1">
        <v>12</v>
      </c>
      <c r="C3522" s="3">
        <v>44543.815925925926</v>
      </c>
      <c r="D3522" s="1" t="s">
        <v>7043</v>
      </c>
      <c r="E3522" s="1" t="str">
        <f ca="1">IFERROR(__xludf.DUMMYFUNCTION("GOOGLETRANSLATE(A321 , ""tr"" , ""en"")"),"@drfahrettinkoca Is it even wrong with things done even? Anyway the day revenue transfer returns what's the power on your back? ... https://t.co/z9mnmtlpbq")</f>
        <v>@drfahrettinkoca Is it even wrong with things done even? Anyway the day revenue transfer returns what's the power on your back? ... https://t.co/z9mnmtlpbq</v>
      </c>
    </row>
    <row r="3523" spans="1:5" ht="15" customHeight="1" x14ac:dyDescent="0.2">
      <c r="A3523" s="1" t="s">
        <v>7044</v>
      </c>
      <c r="B3523" s="1">
        <v>0</v>
      </c>
      <c r="C3523" s="3">
        <v>44543.815798611111</v>
      </c>
      <c r="D3523" s="1" t="s">
        <v>7045</v>
      </c>
      <c r="E3523" s="1" t="str">
        <f ca="1">IFERROR(__xludf.DUMMYFUNCTION("GOOGLETRANSLATE(A322 , ""tr"" , ""en"")"),"@drfahrettinka Mr. Minister of Mr. The Victim of Allah is yours. @drfahrettinkoca")</f>
        <v>@drfahrettinka Mr. Minister of Mr. The Victim of Allah is yours. @drfahrettinkoca</v>
      </c>
    </row>
    <row r="3524" spans="1:5" ht="15" customHeight="1" x14ac:dyDescent="0.2">
      <c r="A3524" s="1" t="s">
        <v>7046</v>
      </c>
      <c r="B3524" s="1">
        <v>0</v>
      </c>
      <c r="C3524" s="3">
        <v>44543.815798611111</v>
      </c>
      <c r="D3524" s="1" t="s">
        <v>7047</v>
      </c>
      <c r="E3524" s="1" t="str">
        <f ca="1">IFERROR(__xludf.DUMMYFUNCTION("GOOGLETRANSLATE(A323 , ""tr"" , ""en"")"),"@drfahrettinkoca error happens to be forgiven but I insist on the mistake and even using the mistake of his mistake ... https://t.co/lj2sc2touh")</f>
        <v>@drfahrettinkoca error happens to be forgiven but I insist on the mistake and even using the mistake of his mistake ... https://t.co/lj2sc2touh</v>
      </c>
    </row>
    <row r="3525" spans="1:5" ht="15" customHeight="1" x14ac:dyDescent="0.2">
      <c r="A3525" s="1" t="s">
        <v>7048</v>
      </c>
      <c r="B3525" s="1">
        <v>1</v>
      </c>
      <c r="C3525" s="3">
        <v>44543.815729166665</v>
      </c>
      <c r="D3525" s="1" t="s">
        <v>7049</v>
      </c>
      <c r="E3525" s="1" t="str">
        <f ca="1">IFERROR(__xludf.DUMMYFUNCTION("GOOGLETRANSLATE(A324 , ""tr"" , ""en"")"),"@drfahrettinkoca last husband with lies and conclusion; 1: Economic Depression 2: Psychological Depression 3: Social Anger ... https://t.co/ifjvvsufqj")</f>
        <v>@drfahrettinkoca last husband with lies and conclusion; 1: Economic Depression 2: Psychological Depression 3: Social Anger ... https://t.co/ifjvvsufqj</v>
      </c>
    </row>
    <row r="3526" spans="1:5" ht="15" customHeight="1" x14ac:dyDescent="0.2">
      <c r="A3526" s="1" t="s">
        <v>7050</v>
      </c>
      <c r="B3526" s="1">
        <v>0</v>
      </c>
      <c r="C3526" s="3">
        <v>44543.815706018519</v>
      </c>
      <c r="D3526" s="1" t="s">
        <v>7051</v>
      </c>
      <c r="E3526" s="1" t="str">
        <f ca="1">IFERROR(__xludf.DUMMYFUNCTION("GOOGLETRANSLATE(A325 , ""tr"" , ""en"")"),"@drfahrettinkoca Congratulations lovely talk. 👏👏👏")</f>
        <v>@drfahrettinkoca Congratulations lovely talk. 👏👏👏</v>
      </c>
    </row>
    <row r="3527" spans="1:5" ht="15" customHeight="1" x14ac:dyDescent="0.2">
      <c r="A3527" s="1" t="s">
        <v>7052</v>
      </c>
      <c r="B3527" s="1">
        <v>1</v>
      </c>
      <c r="C3527" s="3">
        <v>44543.815694444442</v>
      </c>
      <c r="D3527" s="1" t="s">
        <v>7053</v>
      </c>
      <c r="E3527" s="1" t="str">
        <f ca="1">IFERROR(__xludf.DUMMYFUNCTION("GOOGLETRANSLATE(A326 , ""tr"" , ""en"")"),"@drfahrettinka https://t.co/bqr8l019wa")</f>
        <v>@drfahrettinka https://t.co/bqr8l019wa</v>
      </c>
    </row>
    <row r="3528" spans="1:5" ht="15" customHeight="1" x14ac:dyDescent="0.2">
      <c r="A3528" s="1" t="s">
        <v>7054</v>
      </c>
      <c r="B3528" s="1">
        <v>7</v>
      </c>
      <c r="C3528" s="3">
        <v>44543.815451388888</v>
      </c>
      <c r="D3528" s="1" t="s">
        <v>7055</v>
      </c>
      <c r="E3528" s="1" t="str">
        <f ca="1">IFERROR(__xludf.DUMMYFUNCTION("GOOGLETRANSLATE(A327 , ""tr"" , ""en"")"),"@drfahrettinka dietitians with high scores and many more professions of professionals do not think mous ... https://t.co/tsjdbvnbgv")</f>
        <v>@drfahrettinka dietitians with high scores and many more professions of professionals do not think mous ... https://t.co/tsjdbvnbgv</v>
      </c>
    </row>
    <row r="3529" spans="1:5" ht="15" customHeight="1" x14ac:dyDescent="0.2">
      <c r="A3529" s="1" t="s">
        <v>7056</v>
      </c>
      <c r="B3529" s="1">
        <v>0</v>
      </c>
      <c r="C3529" s="3">
        <v>44543.815393518518</v>
      </c>
      <c r="D3529" s="1" t="s">
        <v>7057</v>
      </c>
      <c r="E3529" s="1" t="str">
        <f ca="1">IFERROR(__xludf.DUMMYFUNCTION("GOOGLETRANSLATE(A328 , ""tr"" , ""en"")"),"@drfahrettinka Mr. Ministry of Hospital Information Processors are still waiting staff.")</f>
        <v>@drfahrettinka Mr. Ministry of Hospital Information Processors are still waiting staff.</v>
      </c>
    </row>
    <row r="3530" spans="1:5" ht="15" customHeight="1" x14ac:dyDescent="0.2">
      <c r="A3530" s="1" t="s">
        <v>7058</v>
      </c>
      <c r="B3530" s="1">
        <v>1</v>
      </c>
      <c r="C3530" s="3">
        <v>44543.815289351849</v>
      </c>
      <c r="D3530" s="1" t="s">
        <v>7059</v>
      </c>
      <c r="E3530" s="1" t="str">
        <f ca="1">IFERROR(__xludf.DUMMYFUNCTION("GOOGLETRANSLATE(A329 , ""tr"" , ""en"")"),"@drfahrettinkoca you talk empty you don't believe you listen to the nation you have been listening to you repeatedly b ... https://t.co/4a2q0affrx")</f>
        <v>@drfahrettinkoca you talk empty you don't believe you listen to the nation you have been listening to you repeatedly b ... https://t.co/4a2q0affrx</v>
      </c>
    </row>
    <row r="3531" spans="1:5" ht="15" customHeight="1" x14ac:dyDescent="0.2">
      <c r="A3531" s="1" t="s">
        <v>7060</v>
      </c>
      <c r="B3531" s="1">
        <v>1</v>
      </c>
      <c r="C3531" s="3">
        <v>44543.815034722225</v>
      </c>
      <c r="D3531" s="1" t="s">
        <v>7061</v>
      </c>
      <c r="E3531" s="1" t="str">
        <f ca="1">IFERROR(__xludf.DUMMYFUNCTION("GOOGLETRANSLATE(A330 , ""tr"" , ""en"")"),"@drfahrettinkoca go no longer.")</f>
        <v>@drfahrettinkoca go no longer.</v>
      </c>
    </row>
    <row r="3532" spans="1:5" ht="15" customHeight="1" x14ac:dyDescent="0.2">
      <c r="A3532" s="1" t="s">
        <v>7062</v>
      </c>
      <c r="B3532" s="1">
        <v>10</v>
      </c>
      <c r="C3532" s="3">
        <v>44543.814629629633</v>
      </c>
      <c r="D3532" s="1" t="s">
        <v>7063</v>
      </c>
      <c r="E3532" s="1" t="str">
        <f ca="1">IFERROR(__xludf.DUMMYFUNCTION("GOOGLETRANSLATE(A331 , ""tr"" , ""en"")"),"@drfahrettinkoca We should understand that you are writing on these Twit TE repeatedly read, as if they are made all of the people Https://t.co/hvqbvut4nl")</f>
        <v>@drfahrettinkoca We should understand that you are writing on these Twit TE repeatedly read, as if they are made all of the people Https://t.co/hvqbvut4nl</v>
      </c>
    </row>
    <row r="3533" spans="1:5" ht="15" customHeight="1" x14ac:dyDescent="0.2">
      <c r="A3533" s="1" t="s">
        <v>7064</v>
      </c>
      <c r="B3533" s="1">
        <v>0</v>
      </c>
      <c r="C3533" s="3">
        <v>44543.813854166663</v>
      </c>
      <c r="D3533" s="1" t="s">
        <v>7065</v>
      </c>
      <c r="E3533" s="1" t="str">
        <f ca="1">IFERROR(__xludf.DUMMYFUNCTION("GOOGLETRANSLATE(A332 , ""tr"" , ""en"")"),"@drfahrettinkoca folks are starting to wake up Mr. Minister, let's see what :)")</f>
        <v>@drfahrettinkoca folks are starting to wake up Mr. Minister, let's see what :)</v>
      </c>
    </row>
    <row r="3534" spans="1:5" ht="15" customHeight="1" x14ac:dyDescent="0.2">
      <c r="A3534" s="1" t="s">
        <v>7066</v>
      </c>
      <c r="B3534" s="1">
        <v>2</v>
      </c>
      <c r="C3534" s="3">
        <v>44543.813437500001</v>
      </c>
      <c r="D3534" s="1" t="s">
        <v>7067</v>
      </c>
      <c r="E3534" s="1" t="str">
        <f ca="1">IFERROR(__xludf.DUMMYFUNCTION("GOOGLETRANSLATE(A333 , ""tr"" , ""en"")"),"@drfahrettinkoca Errors are living easy to forgiveness is not easy")</f>
        <v>@drfahrettinkoca Errors are living easy to forgiveness is not easy</v>
      </c>
    </row>
    <row r="3535" spans="1:5" ht="15" customHeight="1" x14ac:dyDescent="0.2">
      <c r="A3535" s="1" t="s">
        <v>7068</v>
      </c>
      <c r="B3535" s="1">
        <v>75</v>
      </c>
      <c r="C3535" s="3">
        <v>44543.813321759262</v>
      </c>
      <c r="D3535" s="1" t="s">
        <v>7069</v>
      </c>
      <c r="E3535" s="1" t="str">
        <f ca="1">IFERROR(__xludf.DUMMYFUNCTION("GOOGLETRANSLATE(A334 , ""tr"" , ""en"")"),"@drfahrettinkoca we suggest you re-check what you have said from the beginning in order, always lifes the previous ... https://t.co/an7bbrkfnp")</f>
        <v>@drfahrettinkoca we suggest you re-check what you have said from the beginning in order, always lifes the previous ... https://t.co/an7bbrkfnp</v>
      </c>
    </row>
    <row r="3536" spans="1:5" ht="15" customHeight="1" x14ac:dyDescent="0.2">
      <c r="A3536" s="1" t="s">
        <v>7070</v>
      </c>
      <c r="B3536" s="1">
        <v>6</v>
      </c>
      <c r="C3536" s="3">
        <v>44543.813310185185</v>
      </c>
      <c r="D3536" s="1" t="s">
        <v>7071</v>
      </c>
      <c r="E3536" s="1" t="str">
        <f ca="1">IFERROR(__xludf.DUMMYFUNCTION("GOOGLETRANSLATE(A335 , ""tr"" , ""en"")"),"@drfahrettinkoca #hbys 596khkda excluded information personnel who are working with a tender 4d Explain the continuous staff ... https://t.co/wigzwqme9h")</f>
        <v>@drfahrettinkoca #hbys 596khkda excluded information personnel who are working with a tender 4d Explain the continuous staff ... https://t.co/wigzwqme9h</v>
      </c>
    </row>
    <row r="3537" spans="1:5" ht="15" customHeight="1" x14ac:dyDescent="0.2">
      <c r="A3537" s="1" t="s">
        <v>7072</v>
      </c>
      <c r="B3537" s="1">
        <v>0</v>
      </c>
      <c r="C3537" s="3">
        <v>44543.813206018516</v>
      </c>
      <c r="D3537" s="1" t="s">
        <v>7073</v>
      </c>
      <c r="E3537" s="1" t="str">
        <f ca="1">IFERROR(__xludf.DUMMYFUNCTION("GOOGLETRANSLATE(A336 , ""tr"" , ""en"")"),"@drfahrettinkoca bi words so dogruki. I think we are the most Dogru Safe Minister ever. I find the bem very friendly ... https://t.co/8qkqqtkrwk")</f>
        <v>@drfahrettinkoca bi words so dogruki. I think we are the most Dogru Safe Minister ever. I find the bem very friendly ... https://t.co/8qkqqtkrwk</v>
      </c>
    </row>
    <row r="3538" spans="1:5" ht="15" customHeight="1" x14ac:dyDescent="0.2">
      <c r="A3538" s="1" t="s">
        <v>7074</v>
      </c>
      <c r="B3538" s="1">
        <v>15</v>
      </c>
      <c r="C3538" s="3">
        <v>44543.812476851854</v>
      </c>
      <c r="D3538" s="1" t="s">
        <v>7075</v>
      </c>
      <c r="E3538" s="1" t="str">
        <f ca="1">IFERROR(__xludf.DUMMYFUNCTION("GOOGLETRANSLATE(A337 , ""tr"" , ""en"")"),"@drfahrettinkoca Error Our whole business has cost our lives to deteriorate our order to deteriorate our order ... https://t.co/flablvmjys")</f>
        <v>@drfahrettinkoca Error Our whole business has cost our lives to deteriorate our order to deteriorate our order ... https://t.co/flablvmjys</v>
      </c>
    </row>
    <row r="3539" spans="1:5" ht="15" customHeight="1" x14ac:dyDescent="0.2">
      <c r="A3539" s="1" t="s">
        <v>7076</v>
      </c>
      <c r="B3539" s="1">
        <v>7</v>
      </c>
      <c r="C3539" s="3">
        <v>44543.811631944445</v>
      </c>
      <c r="D3539" s="1" t="s">
        <v>7077</v>
      </c>
      <c r="E3539" s="1" t="str">
        <f ca="1">IFERROR(__xludf.DUMMYFUNCTION("GOOGLETRANSLATE(A338 , ""tr"" , ""en"")"),"@drfahrettinkoca you don't have a shout, you have a bilacice phase. So much betrayal to the nation.")</f>
        <v>@drfahrettinkoca you don't have a shout, you have a bilacice phase. So much betrayal to the nation.</v>
      </c>
    </row>
    <row r="3540" spans="1:5" ht="15" customHeight="1" x14ac:dyDescent="0.2">
      <c r="A3540" s="1" t="s">
        <v>7078</v>
      </c>
      <c r="B3540" s="1">
        <v>1</v>
      </c>
      <c r="C3540" s="3">
        <v>44543.811168981483</v>
      </c>
      <c r="D3540" s="1" t="s">
        <v>7079</v>
      </c>
      <c r="E3540" s="1" t="str">
        <f ca="1">IFERROR(__xludf.DUMMYFUNCTION("GOOGLETRANSLATE(A339 , ""tr"" , ""en"")"),"@drfahrettinkoca people are the wrong is ok too should be the roglus")</f>
        <v>@drfahrettinkoca people are the wrong is ok too should be the roglus</v>
      </c>
    </row>
    <row r="3541" spans="1:5" ht="15" customHeight="1" x14ac:dyDescent="0.2">
      <c r="A3541" s="1" t="s">
        <v>7080</v>
      </c>
      <c r="B3541" s="1">
        <v>104</v>
      </c>
      <c r="C3541" s="3">
        <v>44543.810648148145</v>
      </c>
      <c r="D3541" s="1" t="s">
        <v>7081</v>
      </c>
      <c r="E3541" s="1" t="str">
        <f ca="1">IFERROR(__xludf.DUMMYFUNCTION("GOOGLETRANSLATE(A340 , ""tr"" , ""en"")"),"@drfahrettinkoca let us get haram !! Allah ask you the right to each child you are wearing masks! Quit and account to the nation.")</f>
        <v>@drfahrettinkoca let us get haram !! Allah ask you the right to each child you are wearing masks! Quit and account to the nation.</v>
      </c>
    </row>
    <row r="3542" spans="1:5" ht="15" customHeight="1" x14ac:dyDescent="0.2">
      <c r="A3542" s="1" t="s">
        <v>7082</v>
      </c>
      <c r="B3542" s="1">
        <v>0</v>
      </c>
      <c r="C3542" s="3">
        <v>44543.810023148151</v>
      </c>
      <c r="D3542" s="1" t="s">
        <v>7083</v>
      </c>
      <c r="E3542" s="1" t="str">
        <f ca="1">IFERROR(__xludf.DUMMYFUNCTION("GOOGLETRANSLATE(A341 , ""tr"" , ""en"")"),"@drfahrettinkoca SHIFE Our Minister of Health You have quite us we are always with you always transmitting my endless regards ... https://t.co/3zuuspc3uw")</f>
        <v>@drfahrettinkoca SHIFE Our Minister of Health You have quite us we are always with you always transmitting my endless regards ... https://t.co/3zuuspc3uw</v>
      </c>
    </row>
    <row r="3543" spans="1:5" ht="15" customHeight="1" x14ac:dyDescent="0.2">
      <c r="A3543" s="1" t="s">
        <v>7084</v>
      </c>
      <c r="B3543" s="1">
        <v>1</v>
      </c>
      <c r="C3543" s="3">
        <v>44543.80982638889</v>
      </c>
      <c r="D3543" s="1" t="s">
        <v>7085</v>
      </c>
      <c r="E3543" s="1" t="str">
        <f ca="1">IFERROR(__xludf.DUMMYFUNCTION("GOOGLETRANSLATE(A342 , ""tr"" , ""en"")"),"@drfahrettinkoca yarin hekimlwr is birakiyoe")</f>
        <v>@drfahrettinkoca yarin hekimlwr is birakiyoe</v>
      </c>
    </row>
    <row r="3544" spans="1:5" ht="15" customHeight="1" x14ac:dyDescent="0.2">
      <c r="A3544" s="1" t="s">
        <v>7086</v>
      </c>
      <c r="B3544" s="1">
        <v>13</v>
      </c>
      <c r="C3544" s="3">
        <v>44543.808738425927</v>
      </c>
      <c r="D3544" s="1" t="s">
        <v>7087</v>
      </c>
      <c r="E3544" s="1" t="str">
        <f ca="1">IFERROR(__xludf.DUMMYFUNCTION("GOOGLETRANSLATE(A343 , ""tr"" , ""en"")"),"@drfahrettinka https://t.co/mnsi3xnmc0")</f>
        <v>@drfahrettinka https://t.co/mnsi3xnmc0</v>
      </c>
    </row>
    <row r="3545" spans="1:5" ht="15" customHeight="1" x14ac:dyDescent="0.2">
      <c r="A3545" s="1" t="s">
        <v>7088</v>
      </c>
      <c r="B3545" s="1">
        <v>4</v>
      </c>
      <c r="C3545" s="3">
        <v>44543.808217592596</v>
      </c>
      <c r="D3545" s="1" t="s">
        <v>7089</v>
      </c>
      <c r="E3545" s="1" t="str">
        <f ca="1">IFERROR(__xludf.DUMMYFUNCTION("GOOGLETRANSLATE(A344 , ""tr"" , ""en"")"),"@drfahrettinkoca is done 1 or 2 expeditions that you call it. You have made our main family, you have broken our grandparents. ... https://t.co/jnaroxgc6t")</f>
        <v>@drfahrettinkoca is done 1 or 2 expeditions that you call it. You have made our main family, you have broken our grandparents. ... https://t.co/jnaroxgc6t</v>
      </c>
    </row>
    <row r="3546" spans="1:5" ht="15" customHeight="1" x14ac:dyDescent="0.2">
      <c r="A3546" s="1" t="s">
        <v>7090</v>
      </c>
      <c r="B3546" s="1">
        <v>0</v>
      </c>
      <c r="C3546" s="3">
        <v>44543.807835648149</v>
      </c>
      <c r="D3546" s="1" t="s">
        <v>7091</v>
      </c>
      <c r="E3546" s="1" t="str">
        <f ca="1">IFERROR(__xludf.DUMMYFUNCTION("GOOGLETRANSLATE(A345 , ""tr"" , ""en"")"),"@drfahrettinka Ministry of your resignation Look close to your resignation and also comes to a Birkac month.")</f>
        <v>@drfahrettinka Ministry of your resignation Look close to your resignation and also comes to a Birkac month.</v>
      </c>
    </row>
    <row r="3547" spans="1:5" ht="15" customHeight="1" x14ac:dyDescent="0.2">
      <c r="A3547" s="1" t="s">
        <v>7092</v>
      </c>
      <c r="B3547" s="1">
        <v>2</v>
      </c>
      <c r="C3547" s="3">
        <v>44543.807546296295</v>
      </c>
      <c r="D3547" s="1" t="s">
        <v>7093</v>
      </c>
      <c r="E3547" s="1" t="str">
        <f ca="1">IFERROR(__xludf.DUMMYFUNCTION("GOOGLETRANSLATE(A346 , ""tr"" , ""en"")"),"@drfahrettinkoca you still say jobs olsn on the floor vs vs vs my friend is my friend too late with you getting measures already ... https://t.co/f1mobvc5gg")</f>
        <v>@drfahrettinkoca you still say jobs olsn on the floor vs vs vs my friend is my friend too late with you getting measures already ... https://t.co/f1mobvc5gg</v>
      </c>
    </row>
    <row r="3548" spans="1:5" ht="15" customHeight="1" x14ac:dyDescent="0.2">
      <c r="A3548" s="1" t="s">
        <v>7094</v>
      </c>
      <c r="B3548" s="1">
        <v>0</v>
      </c>
      <c r="C3548" s="3">
        <v>44543.804664351854</v>
      </c>
      <c r="D3548" s="1" t="s">
        <v>7095</v>
      </c>
      <c r="E3548" s="1" t="str">
        <f ca="1">IFERROR(__xludf.DUMMYFUNCTION("GOOGLETRANSLATE(A347 , ""tr"" , ""en"")"),"@drfahrettinkoca is a git no longer yahu.")</f>
        <v>@drfahrettinkoca is a git no longer yahu.</v>
      </c>
    </row>
    <row r="3549" spans="1:5" ht="15" customHeight="1" x14ac:dyDescent="0.2">
      <c r="A3549" s="1" t="s">
        <v>7096</v>
      </c>
      <c r="B3549" s="1">
        <v>17</v>
      </c>
      <c r="C3549" s="3">
        <v>44543.804097222222</v>
      </c>
      <c r="D3549" s="1" t="s">
        <v>7097</v>
      </c>
      <c r="E3549" s="1" t="str">
        <f ca="1">IFERROR(__xludf.DUMMYFUNCTION("GOOGLETRANSLATE(A348 , ""tr"" , ""en"")"),"@drfahrettinka Mr. Husband. Brain team working in hospitals Words in HBBS Computing / Software experts ... HTTPS://T.CO/5WLDMGXIBE")</f>
        <v>@drfahrettinka Mr. Husband. Brain team working in hospitals Words in HBBS Computing / Software experts ... HTTPS://T.CO/5WLDMGXIBE</v>
      </c>
    </row>
    <row r="3550" spans="1:5" ht="15" customHeight="1" x14ac:dyDescent="0.2">
      <c r="A3550" s="1" t="s">
        <v>7098</v>
      </c>
      <c r="B3550" s="1">
        <v>0</v>
      </c>
      <c r="C3550" s="3">
        <v>44543.803900462961</v>
      </c>
      <c r="D3550" s="1" t="s">
        <v>7099</v>
      </c>
      <c r="E3550" s="1" t="str">
        <f ca="1">IFERROR(__xludf.DUMMYFUNCTION("GOOGLETRANSLATE(A349 , ""tr"" , ""en"")"),"@drfahrettinkoca Ulan I'm very feeling Being go and vaccine olucam 😂")</f>
        <v>@drfahrettinkoca Ulan I'm very feeling Being go and vaccine olucam 😂</v>
      </c>
    </row>
    <row r="3551" spans="1:5" ht="15" customHeight="1" x14ac:dyDescent="0.2">
      <c r="A3551" s="1" t="s">
        <v>7100</v>
      </c>
      <c r="B3551" s="1">
        <v>0</v>
      </c>
      <c r="C3551" s="3">
        <v>44543.80327546296</v>
      </c>
      <c r="D3551" s="1" t="s">
        <v>7101</v>
      </c>
      <c r="E3551" s="1" t="str">
        <f ca="1">IFERROR(__xludf.DUMMYFUNCTION("GOOGLETRANSLATE(A350 , ""tr"" , ""en"")"),"@drfahrettinkoca people are dying, you haven't said blind https://t.co/nzxbbgh3jq")</f>
        <v>@drfahrettinkoca people are dying, you haven't said blind https://t.co/nzxbbgh3jq</v>
      </c>
    </row>
    <row r="3552" spans="1:5" ht="15" customHeight="1" x14ac:dyDescent="0.2">
      <c r="A3552" s="1" t="s">
        <v>7102</v>
      </c>
      <c r="B3552" s="1">
        <v>8</v>
      </c>
      <c r="C3552" s="3">
        <v>44543.803055555552</v>
      </c>
      <c r="D3552" s="1" t="s">
        <v>7103</v>
      </c>
      <c r="E3552" s="1" t="str">
        <f ca="1">IFERROR(__xludf.DUMMYFUNCTION("GOOGLETRANSLATE(A351 , ""tr"" , ""en"")"),"@drfahrettinkoca is as ASHI because he wants or not the PCR test, even if he wants or wants to ask for each week ... https://t.co/ad4gvjojtv")</f>
        <v>@drfahrettinkoca is as ASHI because he wants or not the PCR test, even if he wants or wants to ask for each week ... https://t.co/ad4gvjojtv</v>
      </c>
    </row>
    <row r="3553" spans="1:5" ht="15" customHeight="1" x14ac:dyDescent="0.2">
      <c r="A3553" s="1" t="s">
        <v>7104</v>
      </c>
      <c r="B3553" s="1">
        <v>8</v>
      </c>
      <c r="C3553" s="3">
        <v>44543.802719907406</v>
      </c>
      <c r="D3553" s="1" t="s">
        <v>7105</v>
      </c>
      <c r="E3553" s="1" t="str">
        <f ca="1">IFERROR(__xludf.DUMMYFUNCTION("GOOGLETRANSLATE(A352 , ""tr"" , ""en"")"),"@drfahrettinkoca Mr. Minister Hbys Health Workers Hospitals Running Squads Daytime Day Night Day 7/24 ... https://t.co/2if5yznvpb")</f>
        <v>@drfahrettinkoca Mr. Minister Hbys Health Workers Hospitals Running Squads Daytime Day Night Day 7/24 ... https://t.co/2if5yznvpb</v>
      </c>
    </row>
    <row r="3554" spans="1:5" ht="15" customHeight="1" x14ac:dyDescent="0.2">
      <c r="A3554" s="1" t="s">
        <v>7106</v>
      </c>
      <c r="B3554" s="1">
        <v>12</v>
      </c>
      <c r="C3554" s="3">
        <v>44543.80265046296</v>
      </c>
      <c r="D3554" s="1" t="s">
        <v>7107</v>
      </c>
      <c r="E3554" s="1" t="str">
        <f ca="1">IFERROR(__xludf.DUMMYFUNCTION("GOOGLETRANSLATE(A353 , ""tr"" , ""en"")"),"@drfahrettinkoca HBYS staff promise and do not also give you the deficiency of your staff.")</f>
        <v>@drfahrettinkoca HBYS staff promise and do not also give you the deficiency of your staff.</v>
      </c>
    </row>
    <row r="3555" spans="1:5" ht="15" customHeight="1" x14ac:dyDescent="0.2">
      <c r="A3555" s="1" t="s">
        <v>7108</v>
      </c>
      <c r="B3555" s="1">
        <v>0</v>
      </c>
      <c r="C3555" s="3">
        <v>44543.801064814812</v>
      </c>
      <c r="D3555" s="1" t="s">
        <v>7109</v>
      </c>
      <c r="E3555" s="1" t="str">
        <f ca="1">IFERROR(__xludf.DUMMYFUNCTION("GOOGLETRANSLATE(A354 , ""tr"" , ""en"")"),"@drfahrettinkoca Mr. Mr. Paying the Labor of our Labor's People I'm leaving the conscience to the conscience, the reviewers here ... https://t.co/aqbj1pwutu")</f>
        <v>@drfahrettinkoca Mr. Mr. Paying the Labor of our Labor's People I'm leaving the conscience to the conscience, the reviewers here ... https://t.co/aqbj1pwutu</v>
      </c>
    </row>
    <row r="3556" spans="1:5" ht="15" customHeight="1" x14ac:dyDescent="0.2">
      <c r="A3556" s="1" t="s">
        <v>7110</v>
      </c>
      <c r="B3556" s="1">
        <v>25</v>
      </c>
      <c r="C3556" s="3">
        <v>44543.80091435185</v>
      </c>
      <c r="D3556" s="1" t="s">
        <v>7111</v>
      </c>
      <c r="E3556" s="1" t="str">
        <f ca="1">IFERROR(__xludf.DUMMYFUNCTION("GOOGLETRANSLATE(A355 , ""tr"" , ""en"")"),"@drfahrettinka is our appreciation of our appreciation of your and the film board immediately.")</f>
        <v>@drfahrettinka is our appreciation of our appreciation of your and the film board immediately.</v>
      </c>
    </row>
    <row r="3557" spans="1:5" ht="15" customHeight="1" x14ac:dyDescent="0.2">
      <c r="A3557" s="1" t="s">
        <v>7112</v>
      </c>
      <c r="B3557" s="1">
        <v>1</v>
      </c>
      <c r="C3557" s="3">
        <v>44543.800821759258</v>
      </c>
      <c r="D3557" s="1" t="s">
        <v>7113</v>
      </c>
      <c r="E3557" s="1" t="str">
        <f ca="1">IFERROR(__xludf.DUMMYFUNCTION("GOOGLETRANSLATE(A356 , ""tr"" , ""en"")"),"@drfahrettinkoca can't be so many mistakes")</f>
        <v>@drfahrettinkoca can't be so many mistakes</v>
      </c>
    </row>
    <row r="3558" spans="1:5" ht="15" customHeight="1" x14ac:dyDescent="0.2">
      <c r="A3558" s="1" t="s">
        <v>7114</v>
      </c>
      <c r="B3558" s="1">
        <v>0</v>
      </c>
      <c r="C3558" s="3">
        <v>44543.800729166665</v>
      </c>
      <c r="D3558" s="1" t="s">
        <v>7115</v>
      </c>
      <c r="E3558" s="1" t="str">
        <f ca="1">IFERROR(__xludf.DUMMYFUNCTION("GOOGLETRANSLATE(A357 , ""tr"" , ""en"")"),"@drfahrettinkoca vaccine error was the apology I figured I")</f>
        <v>@drfahrettinkoca vaccine error was the apology I figured I</v>
      </c>
    </row>
    <row r="3559" spans="1:5" ht="15" customHeight="1" x14ac:dyDescent="0.2">
      <c r="A3559" s="1" t="s">
        <v>7116</v>
      </c>
      <c r="B3559" s="1">
        <v>2</v>
      </c>
      <c r="C3559" s="3">
        <v>44543.800659722219</v>
      </c>
      <c r="D3559" s="1" t="s">
        <v>7117</v>
      </c>
      <c r="E3559" s="1" t="str">
        <f ca="1">IFERROR(__xludf.DUMMYFUNCTION("GOOGLETRANSLATE(A358 , ""tr"" , ""en"")"),"@drfahrettinkoca gets the revenues in the ciktins, all of them take revenge from you.")</f>
        <v>@drfahrettinkoca gets the revenues in the ciktins, all of them take revenge from you.</v>
      </c>
    </row>
    <row r="3560" spans="1:5" ht="15" customHeight="1" x14ac:dyDescent="0.2">
      <c r="A3560" s="1" t="s">
        <v>7118</v>
      </c>
      <c r="B3560" s="1">
        <v>10</v>
      </c>
      <c r="C3560" s="3">
        <v>44543.799444444441</v>
      </c>
      <c r="D3560" s="1" t="s">
        <v>7119</v>
      </c>
      <c r="E3560" s="1" t="str">
        <f ca="1">IFERROR(__xludf.DUMMYFUNCTION("GOOGLETRANSLATE(A359 , ""tr"" , ""en"")"),"@drfahrettinka so how are you going to get the helm of the wrong treatment?")</f>
        <v>@drfahrettinka so how are you going to get the helm of the wrong treatment?</v>
      </c>
    </row>
    <row r="3561" spans="1:5" ht="15" customHeight="1" x14ac:dyDescent="0.2">
      <c r="A3561" s="1" t="s">
        <v>7120</v>
      </c>
      <c r="B3561" s="1">
        <v>11</v>
      </c>
      <c r="C3561" s="3">
        <v>44543.799224537041</v>
      </c>
      <c r="D3561" s="1" t="s">
        <v>7121</v>
      </c>
      <c r="E3561" s="1" t="str">
        <f ca="1">IFERROR(__xludf.DUMMYFUNCTION("GOOGLETRANSLATE(A360 , ""tr"" , ""en"")"),"@drfahrettinkoca yaw happens, we have never seen your right.")</f>
        <v>@drfahrettinkoca yaw happens, we have never seen your right.</v>
      </c>
    </row>
    <row r="3562" spans="1:5" ht="15" customHeight="1" x14ac:dyDescent="0.2">
      <c r="A3562" s="1" t="s">
        <v>7122</v>
      </c>
      <c r="B3562" s="1">
        <v>6</v>
      </c>
      <c r="C3562" s="3">
        <v>44543.798993055556</v>
      </c>
      <c r="D3562" s="1" t="s">
        <v>7123</v>
      </c>
      <c r="E3562" s="1" t="str">
        <f ca="1">IFERROR(__xludf.DUMMYFUNCTION("GOOGLETRANSLATE(A361 , ""tr"" , ""en"")"),"@drfahrettinkoca Error taa itself is intentionally intentional you do not have any other spokes ridiculously fake secretion ... https://t.co/ocjmonlrpt")</f>
        <v>@drfahrettinkoca Error taa itself is intentionally intentional you do not have any other spokes ridiculously fake secretion ... https://t.co/ocjmonlrpt</v>
      </c>
    </row>
    <row r="3563" spans="1:5" ht="15" customHeight="1" x14ac:dyDescent="0.2">
      <c r="A3563" s="1" t="s">
        <v>7124</v>
      </c>
      <c r="B3563" s="1">
        <v>0</v>
      </c>
      <c r="C3563" s="3">
        <v>44543.798796296294</v>
      </c>
      <c r="D3563" s="1" t="s">
        <v>7125</v>
      </c>
      <c r="E3563" s="1" t="str">
        <f ca="1">IFERROR(__xludf.DUMMYFUNCTION("GOOGLETRANSLATE(A362 , ""tr"" , ""en"")"),"@drfahrettinkoca humanitarian description. Which party can say it other than without.")</f>
        <v>@drfahrettinkoca humanitarian description. Which party can say it other than without.</v>
      </c>
    </row>
    <row r="3564" spans="1:5" ht="15" customHeight="1" x14ac:dyDescent="0.2">
      <c r="A3564" s="1" t="s">
        <v>7126</v>
      </c>
      <c r="B3564" s="1">
        <v>0</v>
      </c>
      <c r="C3564" s="3">
        <v>44543.798356481479</v>
      </c>
      <c r="D3564" s="1" t="s">
        <v>7127</v>
      </c>
      <c r="E3564" s="1" t="str">
        <f ca="1">IFERROR(__xludf.DUMMYFUNCTION("GOOGLETRANSLATE(A363 , ""tr"" , ""en"")"),"@drfahrettinka is the fantasy of the doctor for the physicians.")</f>
        <v>@drfahrettinka is the fantasy of the doctor for the physicians.</v>
      </c>
    </row>
    <row r="3565" spans="1:5" ht="15" customHeight="1" x14ac:dyDescent="0.2">
      <c r="A3565" s="1" t="s">
        <v>7128</v>
      </c>
      <c r="B3565" s="1">
        <v>12</v>
      </c>
      <c r="C3565" s="3">
        <v>44543.797384259262</v>
      </c>
      <c r="D3565" s="1" t="s">
        <v>7129</v>
      </c>
      <c r="E3565" s="1" t="str">
        <f ca="1">IFERROR(__xludf.DUMMYFUNCTION("GOOGLETRANSLATE(A364 , ""tr"" , ""en"")"),"@drfahrettinka for many years HBYS computing personnel missing Missing Minister. @vedatbilgn https://t.co/pyqko0pljo")</f>
        <v>@drfahrettinka for many years HBYS computing personnel missing Missing Minister. @vedatbilgn https://t.co/pyqko0pljo</v>
      </c>
    </row>
    <row r="3566" spans="1:5" ht="15" customHeight="1" x14ac:dyDescent="0.2">
      <c r="A3566" s="1" t="s">
        <v>7130</v>
      </c>
      <c r="B3566" s="1">
        <v>1</v>
      </c>
      <c r="C3566" s="3">
        <v>44543.797071759262</v>
      </c>
      <c r="D3566" s="1" t="s">
        <v>7131</v>
      </c>
      <c r="E3566" s="1" t="str">
        <f ca="1">IFERROR(__xludf.DUMMYFUNCTION("GOOGLETRANSLATE(A365 , ""tr"" , ""en"")"),"@drfahrettinkoca has been doing work ... nation to instill?")</f>
        <v>@drfahrettinkoca has been doing work ... nation to instill?</v>
      </c>
    </row>
    <row r="3567" spans="1:5" ht="15" customHeight="1" x14ac:dyDescent="0.2">
      <c r="A3567" s="1" t="s">
        <v>7132</v>
      </c>
      <c r="B3567" s="1">
        <v>4</v>
      </c>
      <c r="C3567" s="3">
        <v>44543.796539351853</v>
      </c>
      <c r="D3567" s="1" t="s">
        <v>7133</v>
      </c>
      <c r="E3567" s="1" t="str">
        <f ca="1">IFERROR(__xludf.DUMMYFUNCTION("GOOGLETRANSLATE(A366 , ""tr"" , ""en"")"),"@drfahrettinkoca Yes the mistake of the human being. It is the intention that matters. But, no power, ""at all for a reason"", never ... https://t.co/0jku8MF9GI")</f>
        <v>@drfahrettinkoca Yes the mistake of the human being. It is the intention that matters. But, no power, "at all for a reason", never ... https://t.co/0jku8MF9GI</v>
      </c>
    </row>
    <row r="3568" spans="1:5" ht="15" customHeight="1" x14ac:dyDescent="0.2">
      <c r="A3568" s="1" t="s">
        <v>7134</v>
      </c>
      <c r="B3568" s="1">
        <v>1</v>
      </c>
      <c r="C3568" s="3">
        <v>44543.795995370368</v>
      </c>
      <c r="D3568" s="1" t="s">
        <v>7135</v>
      </c>
      <c r="E3568" s="1" t="str">
        <f ca="1">IFERROR(__xludf.DUMMYFUNCTION("GOOGLETRANSLATE(A367 , ""tr"" , ""en"")"),"@drfahrettinkoca is nothing to be acceptable with health equipment and drug equipment or disruption or deprivation. ... https://t.co/mt9r0cf5ji")</f>
        <v>@drfahrettinkoca is nothing to be acceptable with health equipment and drug equipment or disruption or deprivation. ... https://t.co/mt9r0cf5ji</v>
      </c>
    </row>
    <row r="3569" spans="1:5" ht="15" customHeight="1" x14ac:dyDescent="0.2">
      <c r="A3569" s="1" t="s">
        <v>7136</v>
      </c>
      <c r="B3569" s="1">
        <v>0</v>
      </c>
      <c r="C3569" s="3">
        <v>44543.795092592591</v>
      </c>
      <c r="D3569" s="1" t="s">
        <v>7137</v>
      </c>
      <c r="E3569" s="1" t="str">
        <f ca="1">IFERROR(__xludf.DUMMYFUNCTION("GOOGLETRANSLATE(A368 , ""tr"" , ""en"")"),"@drfahrettinka look you are still muscle. They don't eat fahrettin don't eat. Not the mistake is not deficit. Alenen intentionally ... https://t.co/9oq0xI5nt")</f>
        <v>@drfahrettinka look you are still muscle. They don't eat fahrettin don't eat. Not the mistake is not deficit. Alenen intentionally ... https://t.co/9oq0xI5nt</v>
      </c>
    </row>
    <row r="3570" spans="1:5" ht="15" customHeight="1" x14ac:dyDescent="0.2">
      <c r="A3570" s="1" t="s">
        <v>7138</v>
      </c>
      <c r="B3570" s="1">
        <v>0</v>
      </c>
      <c r="C3570" s="3">
        <v>44543.979421296295</v>
      </c>
      <c r="D3570" s="1" t="s">
        <v>7139</v>
      </c>
      <c r="E3570" s="1" t="str">
        <f ca="1">IFERROR(__xludf.DUMMYFUNCTION("GOOGLETRANSLATE(A369 , ""tr"" , ""en"")"),"@drfahrettinkoca every day goes close to 200 to how accurate the room is because no data shared with the locals have no data. HTTPS://T.CO/FW6FISBFOW")</f>
        <v>@drfahrettinkoca every day goes close to 200 to how accurate the room is because no data shared with the locals have no data. HTTPS://T.CO/FW6FISBFOW</v>
      </c>
    </row>
    <row r="3571" spans="1:5" ht="15" customHeight="1" x14ac:dyDescent="0.2">
      <c r="A3571" s="1" t="s">
        <v>7140</v>
      </c>
      <c r="B3571" s="1">
        <v>3</v>
      </c>
      <c r="C3571" s="3">
        <v>44543.975740740738</v>
      </c>
      <c r="D3571" s="1" t="s">
        <v>7141</v>
      </c>
      <c r="E3571" s="1" t="str">
        <f ca="1">IFERROR(__xludf.DUMMYFUNCTION("GOOGLETRANSLATE(A370 , ""tr"" , ""en"")"),"@drfahrettinkoca disease that you are going to be vaccinating in the mild night ... so is security ... https://t.co/ud3hyvrghp")</f>
        <v>@drfahrettinkoca disease that you are going to be vaccinating in the mild night ... so is security ... https://t.co/ud3hyvrghp</v>
      </c>
    </row>
    <row r="3572" spans="1:5" ht="15" customHeight="1" x14ac:dyDescent="0.2">
      <c r="A3572" s="1" t="s">
        <v>7142</v>
      </c>
      <c r="B3572" s="1">
        <v>1</v>
      </c>
      <c r="C3572" s="3">
        <v>44543.974490740744</v>
      </c>
      <c r="D3572" s="1" t="s">
        <v>7143</v>
      </c>
      <c r="E3572" s="1" t="str">
        <f ca="1">IFERROR(__xludf.DUMMYFUNCTION("GOOGLETRANSLATE(A371 , ""tr"" , ""en"")"),"@drfahrettinkoca Abi Memory Either YA BAKTIC HAS OR COVIDİMA ALLAHİM SAHIT 90 YASİME 88 YA ... HTTPS://T.CO/O0M4JSDEPE")</f>
        <v>@drfahrettinkoca Abi Memory Either YA BAKTIC HAS OR COVIDİMA ALLAHİM SAHIT 90 YASİME 88 YA ... HTTPS://T.CO/O0M4JSDEPE</v>
      </c>
    </row>
    <row r="3573" spans="1:5" ht="15" customHeight="1" x14ac:dyDescent="0.2">
      <c r="A3573" s="1" t="s">
        <v>7144</v>
      </c>
      <c r="B3573" s="1">
        <v>1</v>
      </c>
      <c r="C3573" s="3">
        <v>44543.971134259256</v>
      </c>
      <c r="D3573" s="1" t="s">
        <v>7145</v>
      </c>
      <c r="E3573" s="1" t="str">
        <f ca="1">IFERROR(__xludf.DUMMYFUNCTION("GOOGLETRANSLATE(A372 , ""tr"" , ""en"")"),"@drfahrettinkoca healthy people to force this zikkima to force it !! People can't read calisamasi..This plague ... https://t.co/mn08ormxcg")</f>
        <v>@drfahrettinkoca healthy people to force this zikkima to force it !! People can't read calisamasi..This plague ... https://t.co/mn08ormxcg</v>
      </c>
    </row>
    <row r="3574" spans="1:5" ht="15" customHeight="1" x14ac:dyDescent="0.2">
      <c r="A3574" s="1" t="s">
        <v>7146</v>
      </c>
      <c r="B3574" s="1">
        <v>7</v>
      </c>
      <c r="C3574" s="3">
        <v>44543.964421296296</v>
      </c>
      <c r="D3574" s="1" t="s">
        <v>7147</v>
      </c>
      <c r="E3574" s="1" t="str">
        <f ca="1">IFERROR(__xludf.DUMMYFUNCTION("GOOGLETRANSLATE(A373 , ""tr"" , ""en"")"),"@drfahrettinka 1.doses; You have made people intimidated, (56million) 2.doses; People with their job, retention ... https://t.co/fio0gufxt5")</f>
        <v>@drfahrettinka 1.doses; You have made people intimidated, (56million) 2.doses; People with their job, retention ... https://t.co/fio0gufxt5</v>
      </c>
    </row>
    <row r="3575" spans="1:5" ht="15" customHeight="1" x14ac:dyDescent="0.2">
      <c r="A3575" s="1" t="s">
        <v>7148</v>
      </c>
      <c r="B3575" s="1">
        <v>0</v>
      </c>
      <c r="C3575" s="3">
        <v>44543.954317129632</v>
      </c>
      <c r="D3575" s="1" t="s">
        <v>7149</v>
      </c>
      <c r="E3575" s="1" t="str">
        <f ca="1">IFERROR(__xludf.DUMMYFUNCTION("GOOGLETRANSLATE(A374 , ""tr"" , ""en"")"),"@drfahrettinkoca is ok")</f>
        <v>@drfahrettinkoca is ok</v>
      </c>
    </row>
    <row r="3576" spans="1:5" ht="15" customHeight="1" x14ac:dyDescent="0.2">
      <c r="A3576" s="1" t="s">
        <v>7150</v>
      </c>
      <c r="B3576" s="1">
        <v>1</v>
      </c>
      <c r="C3576" s="3">
        <v>44543.952951388892</v>
      </c>
      <c r="D3576" s="1" t="s">
        <v>7151</v>
      </c>
      <c r="E3576" s="1" t="str">
        <f ca="1">IFERROR(__xludf.DUMMYFUNCTION("GOOGLETRANSLATE(A375 , ""tr"" , ""en"")"),"@drfahrettinkoca hahaha ... I will laugh at no funny, seriously and will be taken seriously as to be taken seriously.")</f>
        <v>@drfahrettinkoca hahaha ... I will laugh at no funny, seriously and will be taken seriously as to be taken seriously.</v>
      </c>
    </row>
    <row r="3577" spans="1:5" ht="15" customHeight="1" x14ac:dyDescent="0.2">
      <c r="A3577" s="1" t="s">
        <v>7152</v>
      </c>
      <c r="B3577" s="1">
        <v>7</v>
      </c>
      <c r="C3577" s="3">
        <v>44543.952534722222</v>
      </c>
      <c r="D3577" s="1" t="s">
        <v>7153</v>
      </c>
      <c r="E3577" s="1" t="str">
        <f ca="1">IFERROR(__xludf.DUMMYFUNCTION("GOOGLETRANSLATE(A376 , ""tr"" , ""en"")"),"@drfahrettinkoca last year Covid Number of deaths 15000, up to this year over 80000. What is the difference? The difference is on the map ...")</f>
        <v>@drfahrettinkoca last year Covid Number of deaths 15000, up to this year over 80000. What is the difference? The difference is on the map ...</v>
      </c>
    </row>
    <row r="3578" spans="1:5" ht="15" customHeight="1" x14ac:dyDescent="0.2">
      <c r="A3578" s="1" t="s">
        <v>7154</v>
      </c>
      <c r="B3578" s="1">
        <v>1</v>
      </c>
      <c r="C3578" s="3">
        <v>44543.947118055556</v>
      </c>
      <c r="D3578" s="1" t="s">
        <v>7155</v>
      </c>
      <c r="E3578" s="1" t="str">
        <f ca="1">IFERROR(__xludf.DUMMYFUNCTION("GOOGLETRANSLATE(A377 , ""tr"" , ""en"")"),"@drfahrettinka read the comments, I say goodness to have goodness people who wake up anymore.")</f>
        <v>@drfahrettinka read the comments, I say goodness to have goodness people who wake up anymore.</v>
      </c>
    </row>
    <row r="3579" spans="1:5" ht="15" customHeight="1" x14ac:dyDescent="0.2">
      <c r="A3579" s="1" t="s">
        <v>7156</v>
      </c>
      <c r="B3579" s="1">
        <v>0</v>
      </c>
      <c r="C3579" s="3">
        <v>44543.946111111109</v>
      </c>
      <c r="D3579" s="1" t="s">
        <v>7157</v>
      </c>
      <c r="E3579" s="1" t="str">
        <f ca="1">IFERROR(__xludf.DUMMYFUNCTION("GOOGLETRANSLATE(A378 , ""tr"" , ""en"")"),"@drfahrettinkoca who died from the lie. Watch out fahrettin master my nose will extend.")</f>
        <v>@drfahrettinkoca who died from the lie. Watch out fahrettin master my nose will extend.</v>
      </c>
    </row>
    <row r="3580" spans="1:5" ht="15" customHeight="1" x14ac:dyDescent="0.2">
      <c r="A3580" s="1" t="s">
        <v>7158</v>
      </c>
      <c r="B3580" s="1">
        <v>0</v>
      </c>
      <c r="C3580" s="3">
        <v>44543.941481481481</v>
      </c>
      <c r="D3580" s="1" t="s">
        <v>7159</v>
      </c>
      <c r="E3580" s="1" t="str">
        <f ca="1">IFERROR(__xludf.DUMMYFUNCTION("GOOGLETRANSLATE(A379 , ""tr"" , ""en"")"),"@drfahrettinkoca this dwarf trusted from her")</f>
        <v>@drfahrettinkoca this dwarf trusted from her</v>
      </c>
    </row>
    <row r="3581" spans="1:5" ht="15" customHeight="1" x14ac:dyDescent="0.2">
      <c r="A3581" s="1" t="s">
        <v>7160</v>
      </c>
      <c r="B3581" s="1">
        <v>0</v>
      </c>
      <c r="C3581" s="3">
        <v>44543.935706018521</v>
      </c>
      <c r="D3581" s="1" t="s">
        <v>7161</v>
      </c>
      <c r="E3581" s="1" t="str">
        <f ca="1">IFERROR(__xludf.DUMMYFUNCTION("GOOGLETRANSLATE(A380 , ""tr"" , ""en"")"),"@drfahrettinkoca Omicronada Unable to complete the Ugur Completion of the Asi, says that the folks are more than 3 dose. Money a ... https://t.co/xpzvskeenn")</f>
        <v>@drfahrettinkoca Omicronada Unable to complete the Ugur Completion of the Asi, says that the folks are more than 3 dose. Money a ... https://t.co/xpzvskeenn</v>
      </c>
    </row>
    <row r="3582" spans="1:5" ht="15" customHeight="1" x14ac:dyDescent="0.2">
      <c r="A3582" s="1" t="s">
        <v>7162</v>
      </c>
      <c r="B3582" s="1">
        <v>3</v>
      </c>
      <c r="C3582" s="3">
        <v>44543.935300925928</v>
      </c>
      <c r="D3582" s="1" t="s">
        <v>7163</v>
      </c>
      <c r="E3582" s="1" t="str">
        <f ca="1">IFERROR(__xludf.DUMMYFUNCTION("GOOGLETRANSLATE(A381 , ""tr"" , ""en"")"),"@drfahrettinkoca Death Numbers The same HTTPS://T.CO/N4KEisskw7 as the same https://t.co/n4keisskw7 says the number of these deaths ... https://t.co/rusaj5oei4")</f>
        <v>@drfahrettinkoca Death Numbers The same HTTPS://T.CO/N4KEisskw7 as the same https://t.co/n4keisskw7 says the number of these deaths ... https://t.co/rusaj5oei4</v>
      </c>
    </row>
    <row r="3583" spans="1:5" ht="15" customHeight="1" x14ac:dyDescent="0.2">
      <c r="A3583" s="1" t="s">
        <v>7164</v>
      </c>
      <c r="B3583" s="1">
        <v>0</v>
      </c>
      <c r="C3583" s="3">
        <v>44543.935196759259</v>
      </c>
      <c r="D3583" s="1" t="s">
        <v>7165</v>
      </c>
      <c r="E3583" s="1" t="str">
        <f ca="1">IFERROR(__xludf.DUMMYFUNCTION("GOOGLETRANSLATE(A382 , ""tr"" , ""en"")"),"@drfahrettinkoca is the incomplete intentionally, no matter what you have a dose biontech ??")</f>
        <v>@drfahrettinkoca is the incomplete intentionally, no matter what you have a dose biontech ??</v>
      </c>
    </row>
    <row r="3584" spans="1:5" ht="15" customHeight="1" x14ac:dyDescent="0.2">
      <c r="A3584" s="1" t="s">
        <v>7166</v>
      </c>
      <c r="B3584" s="1">
        <v>0</v>
      </c>
      <c r="C3584" s="3">
        <v>44543.935034722221</v>
      </c>
      <c r="D3584" s="1" t="s">
        <v>7167</v>
      </c>
      <c r="E3584" s="1" t="str">
        <f ca="1">IFERROR(__xludf.DUMMYFUNCTION("GOOGLETRANSLATE(A383 , ""tr"" , ""en"")"),"@drfahrettinkca doesn't fit that you say a saying, still insistent in the vaccine, the blaval is that your fear of God, honor, Https://t.co/j66os373dd")</f>
        <v>@drfahrettinkca doesn't fit that you say a saying, still insistent in the vaccine, the blaval is that your fear of God, honor, Https://t.co/j66os373dd</v>
      </c>
    </row>
    <row r="3585" spans="1:5" ht="15" customHeight="1" x14ac:dyDescent="0.2">
      <c r="A3585" s="1" t="s">
        <v>7168</v>
      </c>
      <c r="B3585" s="1">
        <v>0</v>
      </c>
      <c r="C3585" s="3">
        <v>44543.931817129633</v>
      </c>
      <c r="D3585" s="1" t="s">
        <v>7169</v>
      </c>
      <c r="E3585" s="1" t="str">
        <f ca="1">IFERROR(__xludf.DUMMYFUNCTION("GOOGLETRANSLATE(A384 , ""tr"" , ""en"")"),"@drfahrettinkoca @saglikbakanligi Covit19 is not as bad as we fear. Insect in the criminal house ... https://t.co/QI74f7rywi")</f>
        <v>@drfahrettinkoca @saglikbakanligi Covit19 is not as bad as we fear. Insect in the criminal house ... https://t.co/QI74f7rywi</v>
      </c>
    </row>
    <row r="3586" spans="1:5" ht="15" customHeight="1" x14ac:dyDescent="0.2">
      <c r="A3586" s="1" t="s">
        <v>7170</v>
      </c>
      <c r="B3586" s="1">
        <v>1</v>
      </c>
      <c r="C3586" s="3">
        <v>44543.931701388887</v>
      </c>
      <c r="D3586" s="1" t="s">
        <v>7171</v>
      </c>
      <c r="E3586" s="1" t="str">
        <f ca="1">IFERROR(__xludf.DUMMYFUNCTION("GOOGLETRANSLATE(A385 , ""tr"" , ""en"")"),"@drfahrettinkoca Allah don't get your life without living the break! This is the only prayer and my wish is from Allah ..")</f>
        <v>@drfahrettinkoca Allah don't get your life without living the break! This is the only prayer and my wish is from Allah ..</v>
      </c>
    </row>
    <row r="3587" spans="1:5" ht="15" customHeight="1" x14ac:dyDescent="0.2">
      <c r="A3587" s="1" t="s">
        <v>7172</v>
      </c>
      <c r="B3587" s="1">
        <v>6</v>
      </c>
      <c r="C3587" s="3">
        <v>44543.930069444446</v>
      </c>
      <c r="D3587" s="1" t="s">
        <v>7173</v>
      </c>
      <c r="E3587" s="1" t="str">
        <f ca="1">IFERROR(__xludf.DUMMYFUNCTION("GOOGLETRANSLATE(A386 , ""tr"" , ""en"")"),"@drfahrettinkoca why are you always getting sick today in the sight of the sights called daughtered-in-law in the mother-in-lawyers and daughter all ... https://t.co/gw0qglh6jf")</f>
        <v>@drfahrettinkoca why are you always getting sick today in the sight of the sights called daughtered-in-law in the mother-in-lawyers and daughter all ... https://t.co/gw0qglh6jf</v>
      </c>
    </row>
    <row r="3588" spans="1:5" ht="15" customHeight="1" x14ac:dyDescent="0.2">
      <c r="A3588" s="1" t="s">
        <v>7174</v>
      </c>
      <c r="B3588" s="1">
        <v>0</v>
      </c>
      <c r="C3588" s="3">
        <v>44543.927002314813</v>
      </c>
      <c r="D3588" s="1" t="s">
        <v>7175</v>
      </c>
      <c r="E3588" s="1" t="str">
        <f ca="1">IFERROR(__xludf.DUMMYFUNCTION("GOOGLETRANSLATE(A387 , ""tr"" , ""en"")"),"@drfahrettinkoca no vaccine did not have in death whereas everyday in our country losing the life of 300 people because of cigarette ... https://t.co/8vdvaqatyv")</f>
        <v>@drfahrettinkoca no vaccine did not have in death whereas everyday in our country losing the life of 300 people because of cigarette ... https://t.co/8vdvaqatyv</v>
      </c>
    </row>
    <row r="3589" spans="1:5" ht="15" customHeight="1" x14ac:dyDescent="0.2">
      <c r="A3589" s="1" t="s">
        <v>7176</v>
      </c>
      <c r="B3589" s="1">
        <v>4</v>
      </c>
      <c r="C3589" s="3">
        <v>44543.92391203704</v>
      </c>
      <c r="D3589" s="1" t="s">
        <v>7177</v>
      </c>
      <c r="E3589" s="1" t="str">
        <f ca="1">IFERROR(__xludf.DUMMYFUNCTION("GOOGLETRANSLATE(A388 , ""tr"" , ""en"")"),"@drfahrettinkoca Injection decreases as death and the number of cases falling in the paşallah. Why?")</f>
        <v>@drfahrettinkoca Injection decreases as death and the number of cases falling in the paşallah. Why?</v>
      </c>
    </row>
    <row r="3590" spans="1:5" ht="15" customHeight="1" x14ac:dyDescent="0.2">
      <c r="A3590" s="1" t="s">
        <v>7178</v>
      </c>
      <c r="B3590" s="1">
        <v>0</v>
      </c>
      <c r="C3590" s="3">
        <v>44543.918171296296</v>
      </c>
      <c r="D3590" s="1" t="s">
        <v>7179</v>
      </c>
      <c r="E3590" s="1" t="str">
        <f ca="1">IFERROR(__xludf.DUMMYFUNCTION("GOOGLETRANSLATE(A389 , ""tr"" , ""en"")"),"@drfahrettinkoca Omicon took place from the first death to Turkey I guess you come to Turkey You get so measure that the death of death is to take such precursors ... https://t.co/9kzvwwfcwm")</f>
        <v>@drfahrettinkoca Omicon took place from the first death to Turkey I guess you come to Turkey You get so measure that the death of death is to take such precursors ... https://t.co/9kzvwwfcwm</v>
      </c>
    </row>
    <row r="3591" spans="1:5" ht="15" customHeight="1" x14ac:dyDescent="0.2">
      <c r="A3591" s="1" t="s">
        <v>7180</v>
      </c>
      <c r="B3591" s="1">
        <v>1</v>
      </c>
      <c r="C3591" s="3">
        <v>44543.91815972222</v>
      </c>
      <c r="D3591" s="1" t="s">
        <v>7181</v>
      </c>
      <c r="E3591" s="1" t="str">
        <f ca="1">IFERROR(__xludf.DUMMYFUNCTION("GOOGLETRANSLATE(A390 , ""tr"" , ""en"")"),"@drfahrettinkoca is still your pocket enough not enough! Enough enough! I'm so solemn TVites manufactured! Ahh Ahh! ... https://t.co/1ytytygoquv6")</f>
        <v>@drfahrettinkoca is still your pocket enough not enough! Enough enough! I'm so solemn TVites manufactured! Ahh Ahh! ... https://t.co/1ytytygoquv6</v>
      </c>
    </row>
    <row r="3592" spans="1:5" ht="15" customHeight="1" x14ac:dyDescent="0.2">
      <c r="A3592" s="1" t="s">
        <v>7182</v>
      </c>
      <c r="B3592" s="1">
        <v>0</v>
      </c>
      <c r="C3592" s="3">
        <v>44543.912893518522</v>
      </c>
      <c r="D3592" s="1" t="s">
        <v>7183</v>
      </c>
      <c r="E3592" s="1" t="str">
        <f ca="1">IFERROR(__xludf.DUMMYFUNCTION("GOOGLETRANSLATE(A391 , ""tr"" , ""en"")"),"@drfahrettinka https://t.co/uymHX5RHI4")</f>
        <v>@drfahrettinka https://t.co/uymHX5RHI4</v>
      </c>
    </row>
    <row r="3593" spans="1:5" ht="15" customHeight="1" x14ac:dyDescent="0.2">
      <c r="A3593" s="1" t="s">
        <v>7184</v>
      </c>
      <c r="B3593" s="1">
        <v>0</v>
      </c>
      <c r="C3593" s="3">
        <v>44543.909687500003</v>
      </c>
      <c r="D3593" s="1" t="s">
        <v>7185</v>
      </c>
      <c r="E3593" s="1" t="str">
        <f ca="1">IFERROR(__xludf.DUMMYFUNCTION("GOOGLETRANSLATE(A392 , ""tr"" , ""en"")"),"@drfahrettinkoca people if they don't take precautions")</f>
        <v>@drfahrettinkoca people if they don't take precautions</v>
      </c>
    </row>
    <row r="3594" spans="1:5" ht="15" customHeight="1" x14ac:dyDescent="0.2">
      <c r="A3594" s="1" t="s">
        <v>7186</v>
      </c>
      <c r="B3594" s="1">
        <v>0</v>
      </c>
      <c r="C3594" s="3">
        <v>44543.906886574077</v>
      </c>
      <c r="D3594" s="1" t="s">
        <v>7187</v>
      </c>
      <c r="E3594" s="1" t="str">
        <f ca="1">IFERROR(__xludf.DUMMYFUNCTION("GOOGLETRANSLATE(A393 , ""tr"" , ""en"")"),"@drfahrettinkoca https://t.co/rwzxnef1wu")</f>
        <v>@drfahrettinkoca https://t.co/rwzxnef1wu</v>
      </c>
    </row>
    <row r="3595" spans="1:5" ht="15" customHeight="1" x14ac:dyDescent="0.2">
      <c r="A3595" s="1" t="s">
        <v>7188</v>
      </c>
      <c r="B3595" s="1">
        <v>0</v>
      </c>
      <c r="C3595" s="3">
        <v>44543.906875000001</v>
      </c>
      <c r="D3595" s="1" t="s">
        <v>7189</v>
      </c>
      <c r="E3595" s="1" t="str">
        <f ca="1">IFERROR(__xludf.DUMMYFUNCTION("GOOGLETRANSLATE(A394 , ""tr"" , ""en"")"),"@drfahrettinkoca You ignore the health workers who make vaccine, you ate the ability to be theft")</f>
        <v>@drfahrettinkoca You ignore the health workers who make vaccine, you ate the ability to be theft</v>
      </c>
    </row>
    <row r="3596" spans="1:5" ht="15" customHeight="1" x14ac:dyDescent="0.2">
      <c r="A3596" s="1" t="s">
        <v>7190</v>
      </c>
      <c r="B3596" s="1">
        <v>0</v>
      </c>
      <c r="C3596" s="3">
        <v>44543.906643518516</v>
      </c>
      <c r="D3596" s="1" t="s">
        <v>7191</v>
      </c>
      <c r="E3596" s="1" t="str">
        <f ca="1">IFERROR(__xludf.DUMMYFUNCTION("GOOGLETRANSLATE(A395 , ""tr"" , ""en"")"),"@drfahrettinkca If you think so much of the nation, find the remedy to the poverty you prone first. In vaccine so called ... https://t.co/dgptmvfsb2")</f>
        <v>@drfahrettinkca If you think so much of the nation, find the remedy to the poverty you prone first. In vaccine so called ... https://t.co/dgptmvfsb2</v>
      </c>
    </row>
    <row r="3597" spans="1:5" ht="15" customHeight="1" x14ac:dyDescent="0.2">
      <c r="A3597" s="1" t="s">
        <v>7192</v>
      </c>
      <c r="B3597" s="1">
        <v>0</v>
      </c>
      <c r="C3597" s="3">
        <v>44543.905729166669</v>
      </c>
      <c r="D3597" s="1" t="s">
        <v>7193</v>
      </c>
      <c r="E3597" s="1" t="str">
        <f ca="1">IFERROR(__xludf.DUMMYFUNCTION("GOOGLETRANSLATE(A396 , ""tr"" , ""en"")"),"@drfahrettinka https://t.co/beaqk9jwo7")</f>
        <v>@drfahrettinka https://t.co/beaqk9jwo7</v>
      </c>
    </row>
    <row r="3598" spans="1:5" ht="15" customHeight="1" x14ac:dyDescent="0.2">
      <c r="A3598" s="1" t="s">
        <v>7194</v>
      </c>
      <c r="B3598" s="1">
        <v>0</v>
      </c>
      <c r="C3598" s="3">
        <v>44543.90148148148</v>
      </c>
      <c r="D3598" s="1" t="s">
        <v>7195</v>
      </c>
      <c r="E3598" s="1" t="str">
        <f ca="1">IFERROR(__xludf.DUMMYFUNCTION("GOOGLETRANSLATE(A397 , ""tr"" , ""en"")"),"@drfahrettinkoca I haven't been vaccinated Covit I've got a mildly skipt without using drugs Is there an impact on the vaccine?")</f>
        <v>@drfahrettinkoca I haven't been vaccinated Covit I've got a mildly skipt without using drugs Is there an impact on the vaccine?</v>
      </c>
    </row>
    <row r="3599" spans="1:5" ht="15" customHeight="1" x14ac:dyDescent="0.2">
      <c r="A3599" s="1" t="s">
        <v>7196</v>
      </c>
      <c r="B3599" s="1">
        <v>0</v>
      </c>
      <c r="C3599" s="3">
        <v>44543.899131944447</v>
      </c>
      <c r="D3599" s="1" t="s">
        <v>7197</v>
      </c>
      <c r="E3599" s="1" t="str">
        <f ca="1">IFERROR(__xludf.DUMMYFUNCTION("GOOGLETRANSLATE(A398 , ""tr"" , ""en"")"),"@drfahrettinka https://t.co/ITaro5y3rm")</f>
        <v>@drfahrettinka https://t.co/ITaro5y3rm</v>
      </c>
    </row>
    <row r="3600" spans="1:5" ht="15" customHeight="1" x14ac:dyDescent="0.2">
      <c r="A3600" s="1" t="s">
        <v>7198</v>
      </c>
      <c r="B3600" s="1">
        <v>0</v>
      </c>
      <c r="C3600" s="3">
        <v>44543.898622685185</v>
      </c>
      <c r="D3600" s="1" t="s">
        <v>7199</v>
      </c>
      <c r="E3600" s="1" t="str">
        <f ca="1">IFERROR(__xludf.DUMMYFUNCTION("GOOGLETRANSLATE(A399 , ""tr"" , ""en"")"),"@drfahrettinkoca forty lying on the broadcast of the Farettin Ireland Department of Health, we will see you publish. https://t.co/8sfaiaubbc")</f>
        <v>@drfahrettinkoca forty lying on the broadcast of the Farettin Ireland Department of Health, we will see you publish. https://t.co/8sfaiaubbc</v>
      </c>
    </row>
    <row r="3601" spans="1:5" ht="15" customHeight="1" x14ac:dyDescent="0.2">
      <c r="A3601" s="1" t="s">
        <v>7200</v>
      </c>
      <c r="B3601" s="1">
        <v>0</v>
      </c>
      <c r="C3601" s="3">
        <v>44543.898402777777</v>
      </c>
      <c r="D3601" s="1" t="s">
        <v>7201</v>
      </c>
      <c r="E3601" s="1" t="str">
        <f ca="1">IFERROR(__xludf.DUMMYFUNCTION("GOOGLETRANSLATE(A400 , ""tr"" , ""en"")"),"@drfahrettinka https://t.co/ctxa1ocvvn")</f>
        <v>@drfahrettinka https://t.co/ctxa1ocvvn</v>
      </c>
    </row>
    <row r="3602" spans="1:5" ht="15" customHeight="1" x14ac:dyDescent="0.2">
      <c r="A3602" s="1" t="s">
        <v>7202</v>
      </c>
      <c r="B3602" s="1">
        <v>0</v>
      </c>
      <c r="C3602" s="3">
        <v>44543.898032407407</v>
      </c>
      <c r="D3602" s="1" t="s">
        <v>7203</v>
      </c>
      <c r="E3602" s="1" t="str">
        <f ca="1">IFERROR(__xludf.DUMMYFUNCTION("GOOGLETRANSLATE(A401 , ""tr"" , ""en"")"),"@drfahrettinkoca Konusma Style Dikkwt. Fancy")</f>
        <v>@drfahrettinkoca Konusma Style Dikkwt. Fancy</v>
      </c>
    </row>
    <row r="3603" spans="1:5" ht="15" customHeight="1" x14ac:dyDescent="0.2">
      <c r="A3603" s="1" t="s">
        <v>7204</v>
      </c>
      <c r="B3603" s="1">
        <v>0</v>
      </c>
      <c r="C3603" s="3">
        <v>44543.897696759261</v>
      </c>
      <c r="D3603" s="1" t="s">
        <v>7205</v>
      </c>
      <c r="E3603" s="1" t="str">
        <f ca="1">IFERROR(__xludf.DUMMYFUNCTION("GOOGLETRANSLATE(A402 , ""tr"" , ""en"")"),"@drfahrettinka https://t.co/rxad4zgz8k")</f>
        <v>@drfahrettinka https://t.co/rxad4zgz8k</v>
      </c>
    </row>
    <row r="3604" spans="1:5" ht="15" customHeight="1" x14ac:dyDescent="0.2">
      <c r="A3604" s="1" t="s">
        <v>7206</v>
      </c>
      <c r="B3604" s="1">
        <v>0</v>
      </c>
      <c r="C3604" s="3">
        <v>44543.896863425929</v>
      </c>
      <c r="D3604" s="1" t="s">
        <v>7207</v>
      </c>
      <c r="E3604" s="1" t="str">
        <f ca="1">IFERROR(__xludf.DUMMYFUNCTION("GOOGLETRANSLATE(A403 , ""tr"" , ""en"")"),"@drfahrettinkoca Because of you my Pisikohology is broken BI quit you if you don't bother to you 😂")</f>
        <v>@drfahrettinkoca Because of you my Pisikohology is broken BI quit you if you don't bother to you 😂</v>
      </c>
    </row>
    <row r="3605" spans="1:5" ht="15" customHeight="1" x14ac:dyDescent="0.2">
      <c r="A3605" s="1" t="s">
        <v>7208</v>
      </c>
      <c r="B3605" s="1">
        <v>0</v>
      </c>
      <c r="C3605" s="3">
        <v>44543.894571759258</v>
      </c>
      <c r="D3605" s="1" t="s">
        <v>7209</v>
      </c>
      <c r="E3605" s="1" t="str">
        <f ca="1">IFERROR(__xludf.DUMMYFUNCTION("GOOGLETRANSLATE(A404 , ""tr"" , ""en"")"),"@drfahrettinkoca Minister than those who are non-revelers")</f>
        <v>@drfahrettinkoca Minister than those who are non-revelers</v>
      </c>
    </row>
    <row r="3606" spans="1:5" ht="15" customHeight="1" x14ac:dyDescent="0.2">
      <c r="A3606" s="1" t="s">
        <v>7210</v>
      </c>
      <c r="B3606" s="1">
        <v>52</v>
      </c>
      <c r="C3606" s="3">
        <v>44543.893564814818</v>
      </c>
      <c r="D3606" s="1" t="s">
        <v>7211</v>
      </c>
      <c r="E3606" s="1" t="str">
        <f ca="1">IFERROR(__xludf.DUMMYFUNCTION("GOOGLETRANSLATE(A405 , ""tr"" , ""en"")"),"@drfahrettinkoca Mr. Minister, I'm looking for, I'm begging; People's outdoors, in his car, in the rain, ... https://t.co/ebqb3y5waj")</f>
        <v>@drfahrettinkoca Mr. Minister, I'm looking for, I'm begging; People's outdoors, in his car, in the rain, ... https://t.co/ebqb3y5waj</v>
      </c>
    </row>
    <row r="3607" spans="1:5" ht="15" customHeight="1" x14ac:dyDescent="0.2">
      <c r="A3607" s="1" t="s">
        <v>7212</v>
      </c>
      <c r="B3607" s="1">
        <v>4</v>
      </c>
      <c r="C3607" s="3">
        <v>44543.889374999999</v>
      </c>
      <c r="D3607" s="1" t="s">
        <v>7213</v>
      </c>
      <c r="E3607" s="1" t="str">
        <f ca="1">IFERROR(__xludf.DUMMYFUNCTION("GOOGLETRANSLATE(A406 , ""tr"" , ""en"")"),"@drfahrettinkoca forty lies in which vaccination. My father's eyes 2ay blood otday left eye is thoroughly bad to be bad ... https://t.co/t7bkekzkm7")</f>
        <v>@drfahrettinkoca forty lies in which vaccination. My father's eyes 2ay blood otday left eye is thoroughly bad to be bad ... https://t.co/t7bkekzkm7</v>
      </c>
    </row>
    <row r="3608" spans="1:5" ht="15" customHeight="1" x14ac:dyDescent="0.2">
      <c r="A3608" s="1" t="s">
        <v>7214</v>
      </c>
      <c r="B3608" s="1">
        <v>0</v>
      </c>
      <c r="C3608" s="3">
        <v>44543.887939814813</v>
      </c>
      <c r="D3608" s="1" t="s">
        <v>7215</v>
      </c>
      <c r="E3608" s="1" t="str">
        <f ca="1">IFERROR(__xludf.DUMMYFUNCTION("GOOGLETRANSLATE(A407 , ""tr"" , ""en"")"),"@drfahrettinkoca why. There was no already you have made up https://t.co/wkoo5lfzdr")</f>
        <v>@drfahrettinkoca why. There was no already you have made up https://t.co/wkoo5lfzdr</v>
      </c>
    </row>
    <row r="3609" spans="1:5" ht="15" customHeight="1" x14ac:dyDescent="0.2">
      <c r="A3609" s="1" t="s">
        <v>7216</v>
      </c>
      <c r="B3609" s="1">
        <v>0</v>
      </c>
      <c r="C3609" s="3">
        <v>44543.887708333335</v>
      </c>
      <c r="D3609" s="1" t="s">
        <v>7217</v>
      </c>
      <c r="E3609" s="1" t="str">
        <f ca="1">IFERROR(__xludf.DUMMYFUNCTION("GOOGLETRANSLATE(A408 , ""tr"" , ""en"")"),"@drfahrettinka contents found in graphene and told the devils all day lying in the tongs all day ... https://t.co/h6pr2hoyjx")</f>
        <v>@drfahrettinka contents found in graphene and told the devils all day lying in the tongs all day ... https://t.co/h6pr2hoyjx</v>
      </c>
    </row>
    <row r="3610" spans="1:5" ht="15" customHeight="1" x14ac:dyDescent="0.2">
      <c r="A3610" s="1" t="s">
        <v>7218</v>
      </c>
      <c r="B3610" s="1">
        <v>0</v>
      </c>
      <c r="C3610" s="3">
        <v>44543.887337962966</v>
      </c>
      <c r="D3610" s="1" t="s">
        <v>7219</v>
      </c>
      <c r="E3610" s="1" t="str">
        <f ca="1">IFERROR(__xludf.DUMMYFUNCTION("GOOGLETRANSLATE(A409 , ""tr"" , ""en"")"),"@drfahrettinkoca What is the epidemic in these kids?")</f>
        <v>@drfahrettinkoca What is the epidemic in these kids?</v>
      </c>
    </row>
    <row r="3611" spans="1:5" ht="15" customHeight="1" x14ac:dyDescent="0.2">
      <c r="A3611" s="1" t="s">
        <v>7220</v>
      </c>
      <c r="B3611" s="1">
        <v>0</v>
      </c>
      <c r="C3611" s="3">
        <v>44543.886145833334</v>
      </c>
      <c r="D3611" s="1" t="s">
        <v>7221</v>
      </c>
      <c r="E3611" s="1" t="str">
        <f ca="1">IFERROR(__xludf.DUMMYFUNCTION("GOOGLETRANSLATE(A410 , ""tr"" , ""en"")"),"@drfahrettinkoca difference what is your talmer is deceptive we already knew we have finally seen in most of the people ... https://t.co/u2o9wqfe5r")</f>
        <v>@drfahrettinkoca difference what is your talmer is deceptive we already knew we have finally seen in most of the people ... https://t.co/u2o9wqfe5r</v>
      </c>
    </row>
    <row r="3612" spans="1:5" ht="15" customHeight="1" x14ac:dyDescent="0.2">
      <c r="A3612" s="1" t="s">
        <v>7222</v>
      </c>
      <c r="B3612" s="1">
        <v>0</v>
      </c>
      <c r="C3612" s="3">
        <v>44543.884733796294</v>
      </c>
      <c r="D3612" s="1" t="s">
        <v>7223</v>
      </c>
      <c r="E3612" s="1" t="str">
        <f ca="1">IFERROR(__xludf.DUMMYFUNCTION("GOOGLETRANSLATE(A411 , ""tr"" , ""en"")"),"@drfahrettinkoca dead number (rate) why increased then a ... Q ...")</f>
        <v>@drfahrettinkoca dead number (rate) why increased then a ... Q ...</v>
      </c>
    </row>
    <row r="3613" spans="1:5" ht="15" customHeight="1" x14ac:dyDescent="0.2">
      <c r="A3613" s="1" t="s">
        <v>7224</v>
      </c>
      <c r="B3613" s="1">
        <v>0</v>
      </c>
      <c r="C3613" s="3">
        <v>44543.883958333332</v>
      </c>
      <c r="D3613" s="1" t="s">
        <v>7225</v>
      </c>
      <c r="E3613" s="1" t="str">
        <f ca="1">IFERROR(__xludf.DUMMYFUNCTION("GOOGLETRANSLATE(A412 , ""tr"" , ""en"")"),"@drfahrettinkoca 2- What is the difference? Bin golden milk with 6,5 pounds last week This week is 9.5 lira ... people either Covit ... https://t.co/jlocw9xak4")</f>
        <v>@drfahrettinkoca 2- What is the difference? Bin golden milk with 6,5 pounds last week This week is 9.5 lira ... people either Covit ... https://t.co/jlocw9xak4</v>
      </c>
    </row>
    <row r="3614" spans="1:5" ht="15" customHeight="1" x14ac:dyDescent="0.2">
      <c r="A3614" s="1" t="s">
        <v>7226</v>
      </c>
      <c r="B3614" s="1">
        <v>0</v>
      </c>
      <c r="C3614" s="3">
        <v>44543.879652777781</v>
      </c>
      <c r="D3614" s="1" t="s">
        <v>7227</v>
      </c>
      <c r="E3614" s="1" t="str">
        <f ca="1">IFERROR(__xludf.DUMMYFUNCTION("GOOGLETRANSLATE(A413 , ""tr"" , ""en"")"),"@drfahrettinkca wasn't already the majority wasn't at the beginning from the beginning? Even most people show the symptomy ... https://t.co/xqzkd7rori")</f>
        <v>@drfahrettinkca wasn't already the majority wasn't at the beginning from the beginning? Even most people show the symptomy ... https://t.co/xqzkd7rori</v>
      </c>
    </row>
    <row r="3615" spans="1:5" ht="15" customHeight="1" x14ac:dyDescent="0.2">
      <c r="A3615" s="1" t="s">
        <v>7228</v>
      </c>
      <c r="B3615" s="1">
        <v>0</v>
      </c>
      <c r="C3615" s="3">
        <v>44543.879212962966</v>
      </c>
      <c r="D3615" s="1" t="s">
        <v>7229</v>
      </c>
      <c r="E3615" s="1" t="str">
        <f ca="1">IFERROR(__xludf.DUMMYFUNCTION("GOOGLETRANSLATE(A414 , ""tr"" , ""en"")"),"@drfahrettinka https://t.co/p9kzd8wtnb")</f>
        <v>@drfahrettinka https://t.co/p9kzd8wtnb</v>
      </c>
    </row>
    <row r="3616" spans="1:5" ht="15" customHeight="1" x14ac:dyDescent="0.2">
      <c r="A3616" s="1" t="s">
        <v>7230</v>
      </c>
      <c r="B3616" s="1">
        <v>0</v>
      </c>
      <c r="C3616" s="3">
        <v>44543.877789351849</v>
      </c>
      <c r="D3616" s="1" t="s">
        <v>7231</v>
      </c>
      <c r="E3616" s="1" t="str">
        <f ca="1">IFERROR(__xludf.DUMMYFUNCTION("GOOGLETRANSLATE(A415 , ""tr"" , ""en"")"),"@drfahrettinka https://t.co/lazabs09f9")</f>
        <v>@drfahrettinka https://t.co/lazabs09f9</v>
      </c>
    </row>
    <row r="3617" spans="1:5" ht="15" customHeight="1" x14ac:dyDescent="0.2">
      <c r="A3617" s="1" t="s">
        <v>7232</v>
      </c>
      <c r="B3617" s="1">
        <v>0</v>
      </c>
      <c r="C3617" s="3">
        <v>44543.874062499999</v>
      </c>
      <c r="D3617" s="1" t="s">
        <v>7233</v>
      </c>
      <c r="E3617" s="1" t="str">
        <f ca="1">IFERROR(__xludf.DUMMYFUNCTION("GOOGLETRANSLATE(A416 , ""tr"" , ""en"")"),"@drfahrettinkoca ""I did but why did I ask Bi"" Şener Şen. This replicit came my mind")</f>
        <v>@drfahrettinkoca "I did but why did I ask Bi" Şener Şen. This replicit came my mind</v>
      </c>
    </row>
    <row r="3618" spans="1:5" ht="15" customHeight="1" x14ac:dyDescent="0.2">
      <c r="A3618" s="1" t="s">
        <v>7234</v>
      </c>
      <c r="B3618" s="1">
        <v>0</v>
      </c>
      <c r="C3618" s="3">
        <v>44543.873807870368</v>
      </c>
      <c r="D3618" s="1" t="s">
        <v>7235</v>
      </c>
      <c r="E3618" s="1" t="str">
        <f ca="1">IFERROR(__xludf.DUMMYFUNCTION("GOOGLETRANSLATE(A417 , ""tr"" , ""en"")"),"@drfahrettinka https://t.co/c4lqwqe0I6")</f>
        <v>@drfahrettinka https://t.co/c4lqwqe0I6</v>
      </c>
    </row>
    <row r="3619" spans="1:5" ht="15" customHeight="1" x14ac:dyDescent="0.2">
      <c r="A3619" s="1" t="s">
        <v>7236</v>
      </c>
      <c r="B3619" s="1">
        <v>0</v>
      </c>
      <c r="C3619" s="3">
        <v>44543.872557870367</v>
      </c>
      <c r="D3619" s="1" t="s">
        <v>7237</v>
      </c>
      <c r="E3619" s="1" t="str">
        <f ca="1">IFERROR(__xludf.DUMMYFUNCTION("GOOGLETRANSLATE(A418 , ""tr"" , ""en"")"),"@drfahrettinkoca hospital guest at home waiting for pc Basinda hospital appointment at home waiting for a f ... https://t.co/vst9kfhpen")</f>
        <v>@drfahrettinkoca hospital guest at home waiting for pc Basinda hospital appointment at home waiting for a f ... https://t.co/vst9kfhpen</v>
      </c>
    </row>
    <row r="3620" spans="1:5" ht="15" customHeight="1" x14ac:dyDescent="0.2">
      <c r="A3620" s="1" t="s">
        <v>7238</v>
      </c>
      <c r="B3620" s="1">
        <v>0</v>
      </c>
      <c r="C3620" s="3">
        <v>44543.871851851851</v>
      </c>
      <c r="D3620" s="1" t="s">
        <v>7239</v>
      </c>
      <c r="E3620" s="1" t="str">
        <f ca="1">IFERROR(__xludf.DUMMYFUNCTION("GOOGLETRANSLATE(A419 , ""tr"" , ""en"")"),"@drfahrettinkoca because no one is using the pills you give now.")</f>
        <v>@drfahrettinkoca because no one is using the pills you give now.</v>
      </c>
    </row>
    <row r="3621" spans="1:5" ht="15" customHeight="1" x14ac:dyDescent="0.2">
      <c r="A3621" s="1" t="s">
        <v>7240</v>
      </c>
      <c r="B3621" s="1">
        <v>0</v>
      </c>
      <c r="C3621" s="3">
        <v>44543.870138888888</v>
      </c>
      <c r="D3621" s="1" t="s">
        <v>7241</v>
      </c>
      <c r="E3621" s="1" t="str">
        <f ca="1">IFERROR(__xludf.DUMMYFUNCTION("GOOGLETRANSLATE(A420 , ""tr"" , ""en"")"),"@drfahrettinka 3.doses are you acar?")</f>
        <v>@drfahrettinka 3.doses are you acar?</v>
      </c>
    </row>
    <row r="3622" spans="1:5" ht="15" customHeight="1" x14ac:dyDescent="0.2">
      <c r="A3622" s="1" t="s">
        <v>7242</v>
      </c>
      <c r="B3622" s="1">
        <v>0</v>
      </c>
      <c r="C3622" s="3">
        <v>44543.86855324074</v>
      </c>
      <c r="D3622" s="1" t="s">
        <v>7243</v>
      </c>
      <c r="E3622" s="1" t="str">
        <f ca="1">IFERROR(__xludf.DUMMYFUNCTION("GOOGLETRANSLATE(A421 , ""tr"" , ""en"")"),"@drfahrettinkoca rockla is already forgets the history of folks. Complete 1 year ago Case and Death Rates in these dates N ... https://t.co/y9k3gfvjm6")</f>
        <v>@drfahrettinkoca rockla is already forgets the history of folks. Complete 1 year ago Case and Death Rates in these dates N ... https://t.co/y9k3gfvjm6</v>
      </c>
    </row>
    <row r="3623" spans="1:5" ht="15" customHeight="1" x14ac:dyDescent="0.2">
      <c r="A3623" s="1" t="s">
        <v>7244</v>
      </c>
      <c r="B3623" s="1">
        <v>0</v>
      </c>
      <c r="C3623" s="3">
        <v>44543.867083333331</v>
      </c>
      <c r="D3623" s="1" t="s">
        <v>7245</v>
      </c>
      <c r="E3623" s="1" t="str">
        <f ca="1">IFERROR(__xludf.DUMMYFUNCTION("GOOGLETRANSLATE(A422 , ""tr"" , ""en"")"),"@drfahrettinkoca paikology the lower top of the lower top, what to give 2 days to get a PCR cruelty Beddua, question ... HTTPS://T.CO/KMGTYTKGI4")</f>
        <v>@drfahrettinkoca paikology the lower top of the lower top, what to give 2 days to get a PCR cruelty Beddua, question ... HTTPS://T.CO/KMGTYTKGI4</v>
      </c>
    </row>
    <row r="3624" spans="1:5" ht="15" customHeight="1" x14ac:dyDescent="0.2">
      <c r="A3624" s="1" t="s">
        <v>7246</v>
      </c>
      <c r="B3624" s="1">
        <v>1</v>
      </c>
      <c r="C3624" s="3">
        <v>44543.866655092592</v>
      </c>
      <c r="D3624" s="1" t="s">
        <v>7247</v>
      </c>
      <c r="E3624" s="1" t="str">
        <f ca="1">IFERROR(__xludf.DUMMYFUNCTION("GOOGLETRANSLATE(A423 , ""tr"" , ""en"")"),"@drfahrettinkca Would you like to tell you what do you kill over 150 people every day do you kill?")</f>
        <v>@drfahrettinkca Would you like to tell you what do you kill over 150 people every day do you kill?</v>
      </c>
    </row>
    <row r="3625" spans="1:5" ht="15" customHeight="1" x14ac:dyDescent="0.2">
      <c r="A3625" s="1" t="s">
        <v>7248</v>
      </c>
      <c r="B3625" s="1">
        <v>0</v>
      </c>
      <c r="C3625" s="3">
        <v>44543.865405092591</v>
      </c>
      <c r="D3625" s="1" t="s">
        <v>7249</v>
      </c>
      <c r="E3625" s="1" t="str">
        <f ca="1">IFERROR(__xludf.DUMMYFUNCTION("GOOGLETRANSLATE(A424 , ""tr"" , ""en"")"),"@drfahrettinkoca is healthy while you are PCR 3 times a week to get to work, can you explain this, Müslimana Gavu ... https://t.co/xe4gwpuux0")</f>
        <v>@drfahrettinkoca is healthy while you are PCR 3 times a week to get to work, can you explain this, Müslimana Gavu ... https://t.co/xe4gwpuux0</v>
      </c>
    </row>
    <row r="3626" spans="1:5" ht="15" customHeight="1" x14ac:dyDescent="0.2">
      <c r="A3626" s="1" t="s">
        <v>7250</v>
      </c>
      <c r="B3626" s="1">
        <v>0</v>
      </c>
      <c r="C3626" s="3">
        <v>44543.864074074074</v>
      </c>
      <c r="D3626" s="1" t="s">
        <v>7251</v>
      </c>
      <c r="E3626" s="1" t="str">
        <f ca="1">IFERROR(__xludf.DUMMYFUNCTION("GOOGLETRANSLATE(A425 , ""tr"" , ""en"")"),"@drfahrettinkoca 666 Full of your vaccines like Fahri Dog, why you ask that your liquids have never full time ... https://t.co/6z2oery5pf")</f>
        <v>@drfahrettinkoca 666 Full of your vaccines like Fahri Dog, why you ask that your liquids have never full time ... https://t.co/6z2oery5pf</v>
      </c>
    </row>
    <row r="3627" spans="1:5" ht="15" customHeight="1" x14ac:dyDescent="0.2">
      <c r="A3627" s="1" t="s">
        <v>7252</v>
      </c>
      <c r="B3627" s="1">
        <v>2</v>
      </c>
      <c r="C3627" s="3">
        <v>44543.86136574074</v>
      </c>
      <c r="D3627" s="1" t="s">
        <v>7253</v>
      </c>
      <c r="E3627" s="1" t="str">
        <f ca="1">IFERROR(__xludf.DUMMYFUNCTION("GOOGLETRANSLATE(A426 , ""tr"" , ""en"")"),"@drfahrettinkoca microsoftun owner softwareer at the same time infection diseases expert Prof Diy Bill Gates DIY ... https://t.co/q0xrzsbdd4")</f>
        <v>@drfahrettinkoca microsoftun owner softwareer at the same time infection diseases expert Prof Diy Bill Gates DIY ... https://t.co/q0xrzsbdd4</v>
      </c>
    </row>
    <row r="3628" spans="1:5" ht="15" customHeight="1" x14ac:dyDescent="0.2">
      <c r="A3628" s="1" t="s">
        <v>7254</v>
      </c>
      <c r="B3628" s="1">
        <v>0</v>
      </c>
      <c r="C3628" s="3">
        <v>44543.860115740739</v>
      </c>
      <c r="D3628" s="1" t="s">
        <v>7255</v>
      </c>
      <c r="E3628" s="1" t="str">
        <f ca="1">IFERROR(__xludf.DUMMYFUNCTION("GOOGLETRANSLATE(A427 , ""tr"" , ""en"")"),"@drfahrettinkoca why are you hiding the vaccine dies you always dies in the ASIS you will not be the Digmi Fahrettin Bey")</f>
        <v>@drfahrettinkoca why are you hiding the vaccine dies you always dies in the ASIS you will not be the Digmi Fahrettin Bey</v>
      </c>
    </row>
    <row r="3629" spans="1:5" ht="15" customHeight="1" x14ac:dyDescent="0.2">
      <c r="A3629" s="1" t="s">
        <v>7256</v>
      </c>
      <c r="B3629" s="1">
        <v>0</v>
      </c>
      <c r="C3629" s="3">
        <v>44543.86005787037</v>
      </c>
      <c r="D3629" s="1" t="s">
        <v>7257</v>
      </c>
      <c r="E3629" s="1" t="str">
        <f ca="1">IFERROR(__xludf.DUMMYFUNCTION("GOOGLETRANSLATE(A428 , ""tr"" , ""en"")"),"@drfahrettinka pity crazy")</f>
        <v>@drfahrettinka pity crazy</v>
      </c>
    </row>
    <row r="3630" spans="1:5" ht="15" customHeight="1" x14ac:dyDescent="0.2">
      <c r="A3630" s="1" t="s">
        <v>7258</v>
      </c>
      <c r="B3630" s="1">
        <v>0</v>
      </c>
      <c r="C3630" s="3">
        <v>44543.853460648148</v>
      </c>
      <c r="D3630" s="1" t="s">
        <v>7259</v>
      </c>
      <c r="E3630" s="1" t="str">
        <f ca="1">IFERROR(__xludf.DUMMYFUNCTION("GOOGLETRANSLATE(A429 , ""tr"" , ""en"")"),"Why @drfahrettinkoca is the reason why reason")</f>
        <v>Why @drfahrettinkoca is the reason why reason</v>
      </c>
    </row>
    <row r="3631" spans="1:5" ht="15" customHeight="1" x14ac:dyDescent="0.2">
      <c r="A3631" s="1" t="s">
        <v>7260</v>
      </c>
      <c r="B3631" s="1">
        <v>0</v>
      </c>
      <c r="C3631" s="3">
        <v>44543.851435185185</v>
      </c>
      <c r="D3631" s="1" t="s">
        <v>7261</v>
      </c>
      <c r="E3631" s="1" t="str">
        <f ca="1">IFERROR(__xludf.DUMMYFUNCTION("GOOGLETRANSLATE(A430 , ""tr"" , ""en"")"),"@drfahrettinkoca has a fatal situation and have vaccines against it.")</f>
        <v>@drfahrettinkoca has a fatal situation and have vaccines against it.</v>
      </c>
    </row>
    <row r="3632" spans="1:5" ht="15" customHeight="1" x14ac:dyDescent="0.2">
      <c r="A3632" s="1" t="s">
        <v>7262</v>
      </c>
      <c r="B3632" s="1">
        <v>3</v>
      </c>
      <c r="C3632" s="3">
        <v>44543.850162037037</v>
      </c>
      <c r="D3632" s="1" t="s">
        <v>7263</v>
      </c>
      <c r="E3632" s="1" t="str">
        <f ca="1">IFERROR(__xludf.DUMMYFUNCTION("GOOGLETRANSLATE(A431 , ""tr"" , ""en"")"),"@drfahrettinkoca I am writing the formula of the full vaccination. N + 1 = Full graft (n number of vaccines that you are shot) will be helpful if you cannot calculate.")</f>
        <v>@drfahrettinkoca I am writing the formula of the full vaccination. N + 1 = Full graft (n number of vaccines that you are shot) will be helpful if you cannot calculate.</v>
      </c>
    </row>
    <row r="3633" spans="1:5" ht="15" customHeight="1" x14ac:dyDescent="0.2">
      <c r="A3633" s="1" t="s">
        <v>7264</v>
      </c>
      <c r="B3633" s="1">
        <v>0</v>
      </c>
      <c r="C3633" s="3">
        <v>44543.849930555552</v>
      </c>
      <c r="D3633" s="1" t="s">
        <v>7265</v>
      </c>
      <c r="E3633" s="1" t="str">
        <f ca="1">IFERROR(__xludf.DUMMYFUNCTION("GOOGLETRANSLATE(A432 , ""tr"" , ""en"")"),"@drfahrettinkoca you will ask yourself and you won't answer yourself! Why, answer; Your fear pandem is over! People sleep ... https://t.co/fhdhijrh1j")</f>
        <v>@drfahrettinkoca you will ask yourself and you won't answer yourself! Why, answer; Your fear pandem is over! People sleep ... https://t.co/fhdhijrh1j</v>
      </c>
    </row>
    <row r="3634" spans="1:5" ht="15" customHeight="1" x14ac:dyDescent="0.2">
      <c r="A3634" s="1" t="s">
        <v>6908</v>
      </c>
      <c r="B3634" s="1">
        <v>0</v>
      </c>
      <c r="C3634" s="3">
        <v>44543.848483796297</v>
      </c>
      <c r="D3634" s="1" t="s">
        <v>7266</v>
      </c>
      <c r="E3634" s="1" t="str">
        <f ca="1">IFERROR(__xludf.DUMMYFUNCTION("GOOGLETRANSLATE(A433 , ""tr"" , ""en"")"),"@drfahrettinka https://t.co/se7IVVV5RBV")</f>
        <v>@drfahrettinka https://t.co/se7IVVV5RBV</v>
      </c>
    </row>
    <row r="3635" spans="1:5" ht="15" customHeight="1" x14ac:dyDescent="0.2">
      <c r="A3635" s="1" t="s">
        <v>7267</v>
      </c>
      <c r="B3635" s="1">
        <v>0</v>
      </c>
      <c r="C3635" s="3">
        <v>44543.847395833334</v>
      </c>
      <c r="D3635" s="1" t="s">
        <v>7268</v>
      </c>
      <c r="E3635" s="1" t="str">
        <f ca="1">IFERROR(__xludf.DUMMYFUNCTION("GOOGLETRANSLATE(A434 , ""tr"" , ""en"")"),"@drfahrettinkoca I'm sure that you don't even believe that you are saying")</f>
        <v>@drfahrettinkoca I'm sure that you don't even believe that you are saying</v>
      </c>
    </row>
    <row r="3636" spans="1:5" ht="15" customHeight="1" x14ac:dyDescent="0.2">
      <c r="A3636" s="1" t="s">
        <v>7269</v>
      </c>
      <c r="B3636" s="1">
        <v>0</v>
      </c>
      <c r="C3636" s="3">
        <v>44543.846377314818</v>
      </c>
      <c r="D3636" s="1" t="s">
        <v>7270</v>
      </c>
      <c r="E3636" s="1" t="str">
        <f ca="1">IFERROR(__xludf.DUMMYFUNCTION("GOOGLETRANSLATE(A435 , ""tr"" , ""en"")"),"@drfahrettinkoca I'm not complete !! I'm not vaccinated? Your objection !! You repeat the same thing as the broken plaque !!")</f>
        <v>@drfahrettinkoca I'm not complete !! I'm not vaccinated? Your objection !! You repeat the same thing as the broken plaque !!</v>
      </c>
    </row>
    <row r="3637" spans="1:5" ht="15" customHeight="1" x14ac:dyDescent="0.2">
      <c r="A3637" s="1" t="s">
        <v>7271</v>
      </c>
      <c r="B3637" s="1">
        <v>0</v>
      </c>
      <c r="C3637" s="3">
        <v>44543.845625000002</v>
      </c>
      <c r="D3637" s="1" t="s">
        <v>7272</v>
      </c>
      <c r="E3637" s="1" t="str">
        <f ca="1">IFERROR(__xludf.DUMMYFUNCTION("GOOGLETRANSLATE(A436 , ""tr"" , ""en"")"),"@drfahrettinkoca İstanbul Sarimi? 😯😲😳")</f>
        <v>@drfahrettinkoca İstanbul Sarimi? 😯😲😳</v>
      </c>
    </row>
    <row r="3638" spans="1:5" ht="15" customHeight="1" x14ac:dyDescent="0.2">
      <c r="A3638" s="1" t="s">
        <v>7273</v>
      </c>
      <c r="B3638" s="1">
        <v>0</v>
      </c>
      <c r="C3638" s="3">
        <v>44543.844722222224</v>
      </c>
      <c r="D3638" s="1" t="s">
        <v>7274</v>
      </c>
      <c r="E3638" s="1" t="str">
        <f ca="1">IFERROR(__xludf.DUMMYFUNCTION("GOOGLETRANSLATE(A437 , ""tr"" , ""en"")"),"@drfahrettinkoca Fahrettin 6 months ago 70% for community immunity showing enough of you on the table 82% you ... https://t.co/d5piuzzvwb")</f>
        <v>@drfahrettinkoca Fahrettin 6 months ago 70% for community immunity showing enough of you on the table 82% you ... https://t.co/d5piuzzvwb</v>
      </c>
    </row>
    <row r="3639" spans="1:5" ht="15" customHeight="1" x14ac:dyDescent="0.2">
      <c r="A3639" s="1" t="s">
        <v>7275</v>
      </c>
      <c r="B3639" s="1">
        <v>0</v>
      </c>
      <c r="C3639" s="3">
        <v>44543.844212962962</v>
      </c>
      <c r="D3639" s="1" t="s">
        <v>7276</v>
      </c>
      <c r="E3639" s="1" t="str">
        <f ca="1">IFERROR(__xludf.DUMMYFUNCTION("GOOGLETRANSLATE(A438 , ""tr"" , ""en"")"),"@drfahrettinkoca 4. Dosage when Dear husband")</f>
        <v>@drfahrettinkoca 4. Dosage when Dear husband</v>
      </c>
    </row>
    <row r="3640" spans="1:5" ht="15" customHeight="1" x14ac:dyDescent="0.2">
      <c r="A3640" s="1" t="s">
        <v>7277</v>
      </c>
      <c r="B3640" s="1">
        <v>0</v>
      </c>
      <c r="C3640" s="3">
        <v>44543.844085648147</v>
      </c>
      <c r="D3640" s="1" t="s">
        <v>7278</v>
      </c>
      <c r="E3640" s="1" t="str">
        <f ca="1">IFERROR(__xludf.DUMMYFUNCTION("GOOGLETRANSLATE(A439 , ""tr"" , ""en"")"),"@drfahrettinkoca who believed in the number of these cases in this case is 30 40 thousands without opening the number of schools now we are in the middle of winter school ... https://t.co/v0wceajefh")</f>
        <v>@drfahrettinkoca who believed in the number of these cases in this case is 30 40 thousands without opening the number of schools now we are in the middle of winter school ... https://t.co/v0wceajefh</v>
      </c>
    </row>
    <row r="3641" spans="1:5" ht="15" customHeight="1" x14ac:dyDescent="0.2">
      <c r="A3641" s="1" t="s">
        <v>7279</v>
      </c>
      <c r="B3641" s="1">
        <v>2</v>
      </c>
      <c r="C3641" s="3">
        <v>44543.843298611115</v>
      </c>
      <c r="D3641" s="1" t="s">
        <v>7280</v>
      </c>
      <c r="E3641" s="1" t="str">
        <f ca="1">IFERROR(__xludf.DUMMYFUNCTION("GOOGLETRANSLATE(A440 , ""tr"" , ""en"")"),"@drfahrettinkoca If you want to see the difference over there Look where you go out")</f>
        <v>@drfahrettinkoca If you want to see the difference over there Look where you go out</v>
      </c>
    </row>
    <row r="3642" spans="1:5" ht="15" customHeight="1" x14ac:dyDescent="0.2">
      <c r="A3642" s="1" t="s">
        <v>7281</v>
      </c>
      <c r="B3642" s="1">
        <v>2</v>
      </c>
      <c r="C3642" s="3">
        <v>44543.840486111112</v>
      </c>
      <c r="D3642" s="1" t="s">
        <v>7282</v>
      </c>
      <c r="E3642" s="1" t="str">
        <f ca="1">IFERROR(__xludf.DUMMYFUNCTION("GOOGLETRANSLATE(A441 , ""tr"" , ""en"")"),"@drfahrettinkoca Ulan You say more you will be gbley All allah don't stay with the AHI allah")</f>
        <v>@drfahrettinkoca Ulan You say more you will be gbley All allah don't stay with the AHI allah</v>
      </c>
    </row>
    <row r="3643" spans="1:5" ht="15" customHeight="1" x14ac:dyDescent="0.2">
      <c r="A3643" s="1" t="s">
        <v>7283</v>
      </c>
      <c r="B3643" s="1">
        <v>0</v>
      </c>
      <c r="C3643" s="3">
        <v>44543.840486111112</v>
      </c>
      <c r="D3643" s="1" t="s">
        <v>7284</v>
      </c>
      <c r="E3643" s="1" t="str">
        <f ca="1">IFERROR(__xludf.DUMMYFUNCTION("GOOGLETRANSLATE(A442 , ""tr"" , ""en"")"),"@drfahrettinkoca I wish I was on the nose like Pinocchio. I wonder where Mr. The Minister's nose would have enough!")</f>
        <v>@drfahrettinkoca I wish I was on the nose like Pinocchio. I wonder where Mr. The Minister's nose would have enough!</v>
      </c>
    </row>
    <row r="3644" spans="1:5" ht="15" customHeight="1" x14ac:dyDescent="0.2">
      <c r="A3644" s="1" t="s">
        <v>7285</v>
      </c>
      <c r="B3644" s="1">
        <v>0</v>
      </c>
      <c r="C3644" s="3">
        <v>44543.840231481481</v>
      </c>
      <c r="D3644" s="1" t="s">
        <v>7286</v>
      </c>
      <c r="E3644" s="1" t="str">
        <f ca="1">IFERROR(__xludf.DUMMYFUNCTION("GOOGLETRANSLATE(A443 , ""tr"" , ""en"")"),"@drfahrettinkoca folks hungry dehydrated askari fee how much is the greater how much of the minister is still in vaccination in vaccination in vaccine ... https://t.co/b1jsx3hnsp")</f>
        <v>@drfahrettinkoca folks hungry dehydrated askari fee how much is the greater how much of the minister is still in vaccination in vaccination in vaccine ... https://t.co/b1jsx3hnsp</v>
      </c>
    </row>
    <row r="3645" spans="1:5" ht="15" customHeight="1" x14ac:dyDescent="0.2">
      <c r="A3645" s="1" t="s">
        <v>7287</v>
      </c>
      <c r="B3645" s="1">
        <v>1</v>
      </c>
      <c r="C3645" s="3">
        <v>44543.838495370372</v>
      </c>
      <c r="D3645" s="1" t="s">
        <v>7288</v>
      </c>
      <c r="E3645" s="1" t="str">
        <f ca="1">IFERROR(__xludf.DUMMYFUNCTION("GOOGLETRANSLATE(A444 , ""tr"" , ""en"")"),"@drfahrettinkoca Mr. Minister, my business my friend was all the insisters of 3.Doz MRNA vaccine. It's been a full month yourself ... https://t.co/a744uwrxoz")</f>
        <v>@drfahrettinkoca Mr. Minister, my business my friend was all the insisters of 3.Doz MRNA vaccine. It's been a full month yourself ... https://t.co/a744uwrxoz</v>
      </c>
    </row>
    <row r="3646" spans="1:5" ht="15" customHeight="1" x14ac:dyDescent="0.2">
      <c r="A3646" s="1" t="s">
        <v>7289</v>
      </c>
      <c r="B3646" s="1">
        <v>0</v>
      </c>
      <c r="C3646" s="3">
        <v>44543.838229166664</v>
      </c>
      <c r="D3646" s="1" t="s">
        <v>7290</v>
      </c>
      <c r="E3646" s="1" t="str">
        <f ca="1">IFERROR(__xludf.DUMMYFUNCTION("GOOGLETRANSLATE(A445 , ""tr"" , ""en"")"),"@drfahrettinkoca because the nation began to see the lie lies is looking for disaster strands and not believes")</f>
        <v>@drfahrettinkoca because the nation began to see the lie lies is looking for disaster strands and not believes</v>
      </c>
    </row>
    <row r="3647" spans="1:5" ht="15" customHeight="1" x14ac:dyDescent="0.2">
      <c r="A3647" s="1" t="s">
        <v>7291</v>
      </c>
      <c r="B3647" s="1">
        <v>0</v>
      </c>
      <c r="C3647" s="3">
        <v>44543.838136574072</v>
      </c>
      <c r="D3647" s="1" t="s">
        <v>7292</v>
      </c>
      <c r="E3647" s="1" t="str">
        <f ca="1">IFERROR(__xludf.DUMMYFUNCTION("GOOGLETRANSLATE(A446 , ""tr"" , ""en"")"),"@drfahrettinkoca What is the difference? Covid-19 is the release of the epidemic and no difference in the early this year today ... Https://t.co/fu0oyzzfh9")</f>
        <v>@drfahrettinkoca What is the difference? Covid-19 is the release of the epidemic and no difference in the early this year today ... Https://t.co/fu0oyzzfh9</v>
      </c>
    </row>
    <row r="3648" spans="1:5" ht="15" customHeight="1" x14ac:dyDescent="0.2">
      <c r="A3648" s="1" t="s">
        <v>7293</v>
      </c>
      <c r="B3648" s="1">
        <v>0</v>
      </c>
      <c r="C3648" s="3">
        <v>44543.835451388892</v>
      </c>
      <c r="D3648" s="1" t="s">
        <v>7294</v>
      </c>
      <c r="E3648" s="1" t="str">
        <f ca="1">IFERROR(__xludf.DUMMYFUNCTION("GOOGLETRANSLATE(A447 , ""tr"" , ""en"")"),"@drfahrettinkoca you have become a patient. We've also made up the slight lying lie. 90% ""you have been overrated. And ... https://t.co/ujyhkes6ca")</f>
        <v>@drfahrettinkoca you have become a patient. We've also made up the slight lying lie. 90% "you have been overrated. And ... https://t.co/ujyhkes6ca</v>
      </c>
    </row>
    <row r="3649" spans="1:5" ht="15" customHeight="1" x14ac:dyDescent="0.2">
      <c r="A3649" s="1" t="s">
        <v>7295</v>
      </c>
      <c r="B3649" s="1">
        <v>12</v>
      </c>
      <c r="C3649" s="3">
        <v>44543.833715277775</v>
      </c>
      <c r="D3649" s="1" t="s">
        <v>7296</v>
      </c>
      <c r="E3649" s="1" t="str">
        <f ca="1">IFERROR(__xludf.DUMMYFUNCTION("GOOGLETRANSLATE(A448 , ""tr"" , ""en"")"),"@drfahrettinkoca I have never been a kovid. Why ? Because I didn't wear a mask because I didn't distance with people because I haven't been distance because ... https://t.co/c9yd7dprqb")</f>
        <v>@drfahrettinkoca I have never been a kovid. Why ? Because I didn't wear a mask because I didn't distance with people because I haven't been distance because ... https://t.co/c9yd7dprqb</v>
      </c>
    </row>
    <row r="3650" spans="1:5" ht="15" customHeight="1" x14ac:dyDescent="0.2">
      <c r="A3650" s="1" t="s">
        <v>7297</v>
      </c>
      <c r="B3650" s="1">
        <v>0</v>
      </c>
      <c r="C3650" s="3">
        <v>44543.833344907405</v>
      </c>
      <c r="D3650" s="1" t="s">
        <v>7298</v>
      </c>
      <c r="E3650" s="1" t="str">
        <f ca="1">IFERROR(__xludf.DUMMYFUNCTION("GOOGLETRANSLATE(A449 , ""tr"" , ""en"")"),"@drfahrettinkoca belkide doesn't give a damn so much no longer (it will cause)")</f>
        <v>@drfahrettinkoca belkide doesn't give a damn so much no longer (it will cause)</v>
      </c>
    </row>
    <row r="3651" spans="1:5" ht="15" customHeight="1" x14ac:dyDescent="0.2">
      <c r="A3651" s="1" t="s">
        <v>7299</v>
      </c>
      <c r="B3651" s="1">
        <v>0</v>
      </c>
      <c r="C3651" s="3">
        <v>44543.833043981482</v>
      </c>
      <c r="D3651" s="1" t="s">
        <v>7300</v>
      </c>
      <c r="E3651" s="1" t="str">
        <f ca="1">IFERROR(__xludf.DUMMYFUNCTION("GOOGLETRANSLATE(A450 , ""tr"" , ""en"")"),"@drfahrettinkoca Maintenance Take care for myself Fahrettin neglecting drugs, Cell also stop, careful traffic ... https://t.co/csdvgknxwy")</f>
        <v>@drfahrettinkoca Maintenance Take care for myself Fahrettin neglecting drugs, Cell also stop, careful traffic ... https://t.co/csdvgknxwy</v>
      </c>
    </row>
    <row r="3652" spans="1:5" ht="15" customHeight="1" x14ac:dyDescent="0.2">
      <c r="A3652" s="1" t="s">
        <v>7301</v>
      </c>
      <c r="B3652" s="1">
        <v>0</v>
      </c>
      <c r="C3652" s="3">
        <v>44543.832881944443</v>
      </c>
      <c r="D3652" s="1" t="s">
        <v>7302</v>
      </c>
      <c r="E3652" s="1" t="str">
        <f ca="1">IFERROR(__xludf.DUMMYFUNCTION("GOOGLETRANSLATE(A451 , ""tr"" , ""en"")"),"@drfahrettinkoca why are you sharing a lying table")</f>
        <v>@drfahrettinkoca why are you sharing a lying table</v>
      </c>
    </row>
    <row r="3653" spans="1:5" ht="15" customHeight="1" x14ac:dyDescent="0.2">
      <c r="A3653" s="1" t="s">
        <v>7303</v>
      </c>
      <c r="B3653" s="1">
        <v>1</v>
      </c>
      <c r="C3653" s="3">
        <v>44543.83258101852</v>
      </c>
      <c r="D3653" s="1" t="s">
        <v>7304</v>
      </c>
      <c r="E3653" s="1" t="str">
        <f ca="1">IFERROR(__xludf.DUMMYFUNCTION("GOOGLETRANSLATE(A452 , ""tr"" , ""en"")"),"@drfahrettinka https://t.co/f4pwq4w8tv")</f>
        <v>@drfahrettinka https://t.co/f4pwq4w8tv</v>
      </c>
    </row>
    <row r="3654" spans="1:5" ht="15" customHeight="1" x14ac:dyDescent="0.2">
      <c r="A3654" s="1" t="s">
        <v>7305</v>
      </c>
      <c r="B3654" s="1">
        <v>1</v>
      </c>
      <c r="C3654" s="3">
        <v>44543.832361111112</v>
      </c>
      <c r="D3654" s="1" t="s">
        <v>7306</v>
      </c>
      <c r="E3654" s="1" t="str">
        <f ca="1">IFERROR(__xludf.DUMMYFUNCTION("GOOGLETRANSLATE(A453 , ""tr"" , ""en"")"),"@drfahrettinkoca Mr. Minister not confident in you. Ask your affliction as other ministers now.")</f>
        <v>@drfahrettinkoca Mr. Minister not confident in you. Ask your affliction as other ministers now.</v>
      </c>
    </row>
    <row r="3655" spans="1:5" ht="15" customHeight="1" x14ac:dyDescent="0.2">
      <c r="A3655" s="1" t="s">
        <v>7307</v>
      </c>
      <c r="B3655" s="1">
        <v>3</v>
      </c>
      <c r="C3655" s="3">
        <v>44543.831805555557</v>
      </c>
      <c r="D3655" s="1" t="s">
        <v>7308</v>
      </c>
      <c r="E3655" s="1" t="str">
        <f ca="1">IFERROR(__xludf.DUMMYFUNCTION("GOOGLETRANSLATE(A454 , ""tr"" , ""en"")"),"@drfahrettinka Mr. Husband. You rely on the vaccine so much so much. So those who are hospitalized by the corona ... https://t.co/zj3qpwp3cr")</f>
        <v>@drfahrettinka Mr. Husband. You rely on the vaccine so much so much. So those who are hospitalized by the corona ... https://t.co/zj3qpwp3cr</v>
      </c>
    </row>
    <row r="3656" spans="1:5" ht="15" customHeight="1" x14ac:dyDescent="0.2">
      <c r="A3656" s="1" t="s">
        <v>7309</v>
      </c>
      <c r="B3656" s="1">
        <v>1</v>
      </c>
      <c r="C3656" s="3">
        <v>44543.831435185188</v>
      </c>
      <c r="D3656" s="1" t="s">
        <v>7310</v>
      </c>
      <c r="E3656" s="1" t="str">
        <f ca="1">IFERROR(__xludf.DUMMYFUNCTION("GOOGLETRANSLATE(A455 , ""tr"" , ""en"")"),"@drfahrettinkoca because there is no pandemy and because there is no non-license and the phase phase is nothing completed.")</f>
        <v>@drfahrettinkoca because there is no pandemy and because there is no non-license and the phase phase is nothing completed.</v>
      </c>
    </row>
    <row r="3657" spans="1:5" ht="15" customHeight="1" x14ac:dyDescent="0.2">
      <c r="A3657" s="1" t="s">
        <v>7311</v>
      </c>
      <c r="B3657" s="1">
        <v>0</v>
      </c>
      <c r="C3657" s="3">
        <v>44543.830868055556</v>
      </c>
      <c r="D3657" s="1" t="s">
        <v>7312</v>
      </c>
      <c r="E3657" s="1" t="str">
        <f ca="1">IFERROR(__xludf.DUMMYFUNCTION("GOOGLETRANSLATE(A456 , ""tr"" , ""en"")"),"@drfahrettinkoca schools, although you are opened uncontrolled, you do not identify the right to our children under 12 years, why? !!")</f>
        <v>@drfahrettinkoca schools, although you are opened uncontrolled, you do not identify the right to our children under 12 years, why? !!</v>
      </c>
    </row>
    <row r="3658" spans="1:5" ht="15" customHeight="1" x14ac:dyDescent="0.2">
      <c r="A3658" s="1" t="s">
        <v>7313</v>
      </c>
      <c r="B3658" s="1">
        <v>8</v>
      </c>
      <c r="C3658" s="3">
        <v>44543.830057870371</v>
      </c>
      <c r="D3658" s="1" t="s">
        <v>7314</v>
      </c>
      <c r="E3658" s="1" t="str">
        <f ca="1">IFERROR(__xludf.DUMMYFUNCTION("GOOGLETRANSLATE(A457 , ""tr"" , ""en"")"),"@drfahrettinka Consider the little country of release of vaccine companies. They find the vaccine one another. Mortality Rate Vaccine Lead ... https://t.co/dpme8pwjlx")</f>
        <v>@drfahrettinka Consider the little country of release of vaccine companies. They find the vaccine one another. Mortality Rate Vaccine Lead ... https://t.co/dpme8pwjlx</v>
      </c>
    </row>
    <row r="3659" spans="1:5" ht="15" customHeight="1" x14ac:dyDescent="0.2">
      <c r="A3659" s="1" t="s">
        <v>7315</v>
      </c>
      <c r="B3659" s="1">
        <v>0</v>
      </c>
      <c r="C3659" s="3">
        <v>44543.829513888886</v>
      </c>
      <c r="D3659" s="1" t="s">
        <v>7316</v>
      </c>
      <c r="E3659" s="1" t="str">
        <f ca="1">IFERROR(__xludf.DUMMYFUNCTION("GOOGLETRANSLATE(A458 , ""tr"" , ""en"")"),"@drfahrettinkoca people die why? Why do deaths make ceiling? :))")</f>
        <v>@drfahrettinkoca people die why? Why do deaths make ceiling? :))</v>
      </c>
    </row>
    <row r="3660" spans="1:5" ht="15" customHeight="1" x14ac:dyDescent="0.2">
      <c r="A3660" s="1" t="s">
        <v>7317</v>
      </c>
      <c r="B3660" s="1">
        <v>0</v>
      </c>
      <c r="C3660" s="3">
        <v>44543.829398148147</v>
      </c>
      <c r="D3660" s="1" t="s">
        <v>7318</v>
      </c>
      <c r="E3660" s="1" t="str">
        <f ca="1">IFERROR(__xludf.DUMMYFUNCTION("GOOGLETRANSLATE(A459 , ""tr"" , ""en"")"),"While you open @drfahrettinkoca schools uncontrollably, you do not define the right to vaccine with children under 12 years, why?")</f>
        <v>While you open @drfahrettinkoca schools uncontrollably, you do not define the right to vaccine with children under 12 years, why?</v>
      </c>
    </row>
    <row r="3661" spans="1:5" ht="15" customHeight="1" x14ac:dyDescent="0.2">
      <c r="A3661" s="1" t="s">
        <v>7319</v>
      </c>
      <c r="B3661" s="1">
        <v>0</v>
      </c>
      <c r="C3661" s="3">
        <v>44543.828773148147</v>
      </c>
      <c r="D3661" s="1" t="s">
        <v>7320</v>
      </c>
      <c r="E3661" s="1" t="str">
        <f ca="1">IFERROR(__xludf.DUMMYFUNCTION("GOOGLETRANSLATE(A460 , ""tr"" , ""en"")"),"@drfahrettinka ozaman ozaman omicronga frightening not frightening this is a dream that we went past went to say they are done soon")</f>
        <v>@drfahrettinka ozaman ozaman omicronga frightening not frightening this is a dream that we went past went to say they are done soon</v>
      </c>
    </row>
    <row r="3662" spans="1:5" ht="15" customHeight="1" x14ac:dyDescent="0.2">
      <c r="A3662" s="1" t="s">
        <v>7321</v>
      </c>
      <c r="B3662" s="1">
        <v>1</v>
      </c>
      <c r="C3662" s="3">
        <v>44543.828414351854</v>
      </c>
      <c r="D3662" s="1" t="s">
        <v>7322</v>
      </c>
      <c r="E3662" s="1" t="str">
        <f ca="1">IFERROR(__xludf.DUMMYFUNCTION("GOOGLETRANSLATE(A461 , ""tr"" , ""en"")"),"@drfahrettinkoca has been yours who falsify social life. I'd like to remind the prohibitions geld ... https://t.co/jIzq6b5jwo")</f>
        <v>@drfahrettinkoca has been yours who falsify social life. I'd like to remind the prohibitions geld ... https://t.co/jIzq6b5jwo</v>
      </c>
    </row>
    <row r="3663" spans="1:5" ht="15" customHeight="1" x14ac:dyDescent="0.2">
      <c r="A3663" s="1" t="s">
        <v>7323</v>
      </c>
      <c r="B3663" s="1">
        <v>0</v>
      </c>
      <c r="C3663" s="3">
        <v>44543.825798611113</v>
      </c>
      <c r="D3663" s="1" t="s">
        <v>7324</v>
      </c>
      <c r="E3663" s="1" t="str">
        <f ca="1">IFERROR(__xludf.DUMMYFUNCTION("GOOGLETRANSLATE(A462 , ""tr"" , ""en"")"),"@drfahrettinkoca difference is no longer the fact that the facts of people do not finish the number of dose of vaccine, ie not to work ...")</f>
        <v>@drfahrettinkoca difference is no longer the fact that the facts of people do not finish the number of dose of vaccine, ie not to work ...</v>
      </c>
    </row>
    <row r="3664" spans="1:5" ht="15" customHeight="1" x14ac:dyDescent="0.2">
      <c r="A3664" s="1" t="s">
        <v>7325</v>
      </c>
      <c r="B3664" s="1">
        <v>7</v>
      </c>
      <c r="C3664" s="3">
        <v>44543.824212962965</v>
      </c>
      <c r="D3664" s="1" t="s">
        <v>7326</v>
      </c>
      <c r="E3664" s="1" t="str">
        <f ca="1">IFERROR(__xludf.DUMMYFUNCTION("GOOGLETRANSLATE(A463 , ""tr"" , ""en"")"),"The members of @drfahrettinkoca Covid's religion are generally made up of intelligence. https://t.co/gdvoonbzup")</f>
        <v>The members of @drfahrettinkoca Covid's religion are generally made up of intelligence. https://t.co/gdvoonbzup</v>
      </c>
    </row>
    <row r="3665" spans="1:5" ht="15" customHeight="1" x14ac:dyDescent="0.2">
      <c r="A3665" s="1" t="s">
        <v>7327</v>
      </c>
      <c r="B3665" s="1">
        <v>0</v>
      </c>
      <c r="C3665" s="3">
        <v>44543.823888888888</v>
      </c>
      <c r="D3665" s="1" t="s">
        <v>7328</v>
      </c>
      <c r="E3665" s="1" t="str">
        <f ca="1">IFERROR(__xludf.DUMMYFUNCTION("GOOGLETRANSLATE(A464 , ""tr"" , ""en"")"),"@drfahrettinkoca null-making vaccine trader quit")</f>
        <v>@drfahrettinkoca null-making vaccine trader quit</v>
      </c>
    </row>
    <row r="3666" spans="1:5" ht="15" customHeight="1" x14ac:dyDescent="0.2">
      <c r="A3666" s="1" t="s">
        <v>7329</v>
      </c>
      <c r="B3666" s="1">
        <v>3</v>
      </c>
      <c r="C3666" s="3">
        <v>44543.82371527778</v>
      </c>
      <c r="D3666" s="1" t="s">
        <v>7330</v>
      </c>
      <c r="E3666" s="1" t="str">
        <f ca="1">IFERROR(__xludf.DUMMYFUNCTION("GOOGLETRANSLATE(A465 , ""tr"" , ""en"")"),"@drfahrettinka no vaccine I also have a mask distance right. I have never been sick I'm like the radish maşallah. Allah you don't drop in your hands")</f>
        <v>@drfahrettinka no vaccine I also have a mask distance right. I have never been sick I'm like the radish maşallah. Allah you don't drop in your hands</v>
      </c>
    </row>
    <row r="3667" spans="1:5" ht="15" customHeight="1" x14ac:dyDescent="0.2">
      <c r="A3667" s="1" t="s">
        <v>7331</v>
      </c>
      <c r="B3667" s="1">
        <v>0</v>
      </c>
      <c r="C3667" s="3">
        <v>44543.822905092595</v>
      </c>
      <c r="D3667" s="1" t="s">
        <v>7332</v>
      </c>
      <c r="E3667" s="1" t="str">
        <f ca="1">IFERROR(__xludf.DUMMYFUNCTION("GOOGLETRANSLATE(A466 , ""tr"" , ""en"")"),"@drfahrettinkoca we are dealing with the pawns of gods of gods https://t.co/jn3uih6y7c")</f>
        <v>@drfahrettinkoca we are dealing with the pawns of gods of gods https://t.co/jn3uih6y7c</v>
      </c>
    </row>
    <row r="3668" spans="1:5" ht="15" customHeight="1" x14ac:dyDescent="0.2">
      <c r="A3668" s="1" t="s">
        <v>7333</v>
      </c>
      <c r="B3668" s="1">
        <v>0</v>
      </c>
      <c r="C3668" s="3">
        <v>44543.822141203702</v>
      </c>
      <c r="D3668" s="1" t="s">
        <v>7334</v>
      </c>
      <c r="E3668" s="1" t="str">
        <f ca="1">IFERROR(__xludf.DUMMYFUNCTION("GOOGLETRANSLATE(A467 , ""tr"" , ""en"")"),"@drfahrettinkoca why. Because this is a sacmalik because people are no longer wearing a job because it is a job in liquids ... https://t.co/scspg3udl8")</f>
        <v>@drfahrettinkoca why. Because this is a sacmalik because people are no longer wearing a job because it is a job in liquids ... https://t.co/scspg3udl8</v>
      </c>
    </row>
    <row r="3669" spans="1:5" ht="15" customHeight="1" x14ac:dyDescent="0.2">
      <c r="A3669" s="1" t="s">
        <v>7335</v>
      </c>
      <c r="B3669" s="1">
        <v>0</v>
      </c>
      <c r="C3669" s="3">
        <v>44543.82104166667</v>
      </c>
      <c r="D3669" s="1" t="s">
        <v>7336</v>
      </c>
      <c r="E3669" s="1" t="str">
        <f ca="1">IFERROR(__xludf.DUMMYFUNCTION("GOOGLETRANSLATE(A468 , ""tr"" , ""en"")"),"@drfahrettinkoca had to go to the front of the Ministry of Health and throw a box of mask at the door, but now we stopped Neza ... https://t.co/qed8jpahz4")</f>
        <v>@drfahrettinkoca had to go to the front of the Ministry of Health and throw a box of mask at the door, but now we stopped Neza ... https://t.co/qed8jpahz4</v>
      </c>
    </row>
    <row r="3670" spans="1:5" ht="15" customHeight="1" x14ac:dyDescent="0.2">
      <c r="A3670" s="1" t="s">
        <v>7337</v>
      </c>
      <c r="B3670" s="1">
        <v>0</v>
      </c>
      <c r="C3670" s="3">
        <v>44543.819571759261</v>
      </c>
      <c r="D3670" s="1" t="s">
        <v>7338</v>
      </c>
      <c r="E3670" s="1" t="str">
        <f ca="1">IFERROR(__xludf.DUMMYFUNCTION("GOOGLETRANSLATE(A469 , ""tr"" , ""en"")"),"@drfahrettinkoca DNA Those who want to break DNA, those who want to throw a clot to the brain and want to pass the heart attack AC ... https://t.co/txz7svyotm")</f>
        <v>@drfahrettinkoca DNA Those who want to break DNA, those who want to throw a clot to the brain and want to pass the heart attack AC ... https://t.co/txz7svyotm</v>
      </c>
    </row>
    <row r="3671" spans="1:5" ht="15" customHeight="1" x14ac:dyDescent="0.2">
      <c r="A3671" s="1" t="s">
        <v>7339</v>
      </c>
      <c r="B3671" s="1">
        <v>5</v>
      </c>
      <c r="C3671" s="3">
        <v>44543.81931712963</v>
      </c>
      <c r="D3671" s="1" t="s">
        <v>7340</v>
      </c>
      <c r="E3671" s="1" t="str">
        <f ca="1">IFERROR(__xludf.DUMMYFUNCTION("GOOGLETRANSLATE(A470 , ""tr"" , ""en"")"),"@drfahrettinkoca currently says the vaccine either #TBMMSticikinonlinelivery")</f>
        <v>@drfahrettinkoca currently says the vaccine either #TBMMSticikinonlinelivery</v>
      </c>
    </row>
    <row r="3672" spans="1:5" ht="15" customHeight="1" x14ac:dyDescent="0.2">
      <c r="A3672" s="1" t="s">
        <v>7341</v>
      </c>
      <c r="B3672" s="1">
        <v>0</v>
      </c>
      <c r="C3672" s="3">
        <v>44543.819027777776</v>
      </c>
      <c r="D3672" s="1" t="s">
        <v>7342</v>
      </c>
      <c r="E3672" s="1" t="str">
        <f ca="1">IFERROR(__xludf.DUMMYFUNCTION("GOOGLETRANSLATE(A471 , ""tr"" , ""en"")"),"@drfahrettinkoca Mr. Minister The 12-age Altina vaccine is still absent but we want online education until the face of the facial education is the compulsory vaccine")</f>
        <v>@drfahrettinkoca Mr. Minister The 12-age Altina vaccine is still absent but we want online education until the face of the facial education is the compulsory vaccine</v>
      </c>
    </row>
    <row r="3673" spans="1:5" ht="15" customHeight="1" x14ac:dyDescent="0.2">
      <c r="A3673" s="1" t="s">
        <v>7038</v>
      </c>
      <c r="B3673" s="1">
        <v>0</v>
      </c>
      <c r="C3673" s="3">
        <v>44543.818310185183</v>
      </c>
      <c r="D3673" s="1" t="s">
        <v>7343</v>
      </c>
      <c r="E3673" s="1" t="str">
        <f ca="1">IFERROR(__xludf.DUMMYFUNCTION("GOOGLETRANSLATE(A472 , ""tr"" , ""en"")"),"Information about @drfahrettinkoca geese │ We have prepared forage to our geese !!! │ and our first shooting experience with New Go Pro. https://t.co/dbk4nu3t8v")</f>
        <v>Information about @drfahrettinkoca geese │ We have prepared forage to our geese !!! │ and our first shooting experience with New Go Pro. https://t.co/dbk4nu3t8v</v>
      </c>
    </row>
    <row r="3674" spans="1:5" ht="15" customHeight="1" x14ac:dyDescent="0.2">
      <c r="A3674" s="1" t="s">
        <v>7344</v>
      </c>
      <c r="B3674" s="1">
        <v>0</v>
      </c>
      <c r="C3674" s="3">
        <v>44543.817847222221</v>
      </c>
      <c r="D3674" s="1" t="s">
        <v>7345</v>
      </c>
      <c r="E3674" s="1" t="str">
        <f ca="1">IFERROR(__xludf.DUMMYFUNCTION("GOOGLETRANSLATE(A473 , ""tr"" , ""en"")"),"@drfahrettinkoca you cannot protect our children")</f>
        <v>@drfahrettinkoca you cannot protect our children</v>
      </c>
    </row>
    <row r="3675" spans="1:5" ht="15" customHeight="1" x14ac:dyDescent="0.2">
      <c r="A3675" s="1" t="s">
        <v>7346</v>
      </c>
      <c r="B3675" s="1">
        <v>0</v>
      </c>
      <c r="C3675" s="3">
        <v>44543.817523148151</v>
      </c>
      <c r="D3675" s="1" t="s">
        <v>7347</v>
      </c>
      <c r="E3675" s="1" t="str">
        <f ca="1">IFERROR(__xludf.DUMMYFUNCTION("GOOGLETRANSLATE(A474 , ""tr"" , ""en"")"),"@drfahrettinkoca you have slightly spend, and then you have the side diseases that have been and will be.")</f>
        <v>@drfahrettinkoca you have slightly spend, and then you have the side diseases that have been and will be.</v>
      </c>
    </row>
    <row r="3676" spans="1:5" ht="15" customHeight="1" x14ac:dyDescent="0.2">
      <c r="A3676" s="1" t="s">
        <v>7348</v>
      </c>
      <c r="B3676" s="1">
        <v>1</v>
      </c>
      <c r="C3676" s="3">
        <v>44543.816446759258</v>
      </c>
      <c r="D3676" s="1" t="s">
        <v>7349</v>
      </c>
      <c r="E3676" s="1" t="str">
        <f ca="1">IFERROR(__xludf.DUMMYFUNCTION("GOOGLETRANSLATE(A475 , ""tr"" , ""en"")"),"@drfahrettinkoca society What your science assembly has never been any reputation.")</f>
        <v>@drfahrettinkoca society What your science assembly has never been any reputation.</v>
      </c>
    </row>
    <row r="3677" spans="1:5" ht="15" customHeight="1" x14ac:dyDescent="0.2">
      <c r="A3677" s="1" t="s">
        <v>7350</v>
      </c>
      <c r="B3677" s="1">
        <v>0</v>
      </c>
      <c r="C3677" s="3">
        <v>44543.814375000002</v>
      </c>
      <c r="D3677" s="1" t="s">
        <v>7351</v>
      </c>
      <c r="E3677" s="1" t="str">
        <f ca="1">IFERROR(__xludf.DUMMYFUNCTION("GOOGLETRANSLATE(A476 , ""tr"" , ""en"")"),"@drfahrettinkoca i'm running right away")</f>
        <v>@drfahrettinkoca i'm running right away</v>
      </c>
    </row>
    <row r="3678" spans="1:5" ht="15" customHeight="1" x14ac:dyDescent="0.2">
      <c r="A3678" s="1" t="s">
        <v>7352</v>
      </c>
      <c r="B3678" s="1">
        <v>0</v>
      </c>
      <c r="C3678" s="3">
        <v>44543.813773148147</v>
      </c>
      <c r="D3678" s="1" t="s">
        <v>7353</v>
      </c>
      <c r="E3678" s="1" t="str">
        <f ca="1">IFERROR(__xludf.DUMMYFUNCTION("GOOGLETRANSLATE(A477 , ""tr"" , ""en"")"),"@drfahrettinkoca was dying 23 people while there was no vaccine, while the vaccine is 170 how vaccinated is useful")</f>
        <v>@drfahrettinkoca was dying 23 people while there was no vaccine, while the vaccine is 170 how vaccinated is useful</v>
      </c>
    </row>
    <row r="3679" spans="1:5" ht="15" customHeight="1" x14ac:dyDescent="0.2">
      <c r="A3679" s="1" t="s">
        <v>7354</v>
      </c>
      <c r="B3679" s="1">
        <v>3</v>
      </c>
      <c r="C3679" s="3">
        <v>44543.813125000001</v>
      </c>
      <c r="D3679" s="1" t="s">
        <v>7355</v>
      </c>
      <c r="E3679" s="1" t="str">
        <f ca="1">IFERROR(__xludf.DUMMYFUNCTION("GOOGLETRANSLATE(A478 , ""tr"" , ""en"")"),"Why @drfahrettinkoca why ?? Everyone started to understand the vaccine game, there is no vaccination if there is no death!")</f>
        <v>Why @drfahrettinkoca why ?? Everyone started to understand the vaccine game, there is no vaccination if there is no death!</v>
      </c>
    </row>
    <row r="3680" spans="1:5" ht="15" customHeight="1" x14ac:dyDescent="0.2">
      <c r="A3680" s="1" t="s">
        <v>7356</v>
      </c>
      <c r="B3680" s="1">
        <v>0</v>
      </c>
      <c r="C3680" s="3">
        <v>44543.8124537037</v>
      </c>
      <c r="D3680" s="1" t="s">
        <v>7357</v>
      </c>
      <c r="E3680" s="1" t="str">
        <f ca="1">IFERROR(__xludf.DUMMYFUNCTION("GOOGLETRANSLATE(A479 , ""tr"" , ""en"")"),"@drfahrettinka Mr. Asi Minister DSO DEN DISPLAY?")</f>
        <v>@drfahrettinka Mr. Asi Minister DSO DEN DISPLAY?</v>
      </c>
    </row>
    <row r="3681" spans="1:5" ht="15" customHeight="1" x14ac:dyDescent="0.2">
      <c r="A3681" s="1" t="s">
        <v>7358</v>
      </c>
      <c r="B3681" s="1">
        <v>0</v>
      </c>
      <c r="C3681" s="3">
        <v>44543.812245370369</v>
      </c>
      <c r="D3681" s="1" t="s">
        <v>7359</v>
      </c>
      <c r="E3681" s="1" t="str">
        <f ca="1">IFERROR(__xludf.DUMMYFUNCTION("GOOGLETRANSLATE(A480 , ""tr"" , ""en"")"),"@drfahrettinkoca 3. Are you not going to reduce dosage?")</f>
        <v>@drfahrettinkoca 3. Are you not going to reduce dosage?</v>
      </c>
    </row>
    <row r="3682" spans="1:5" ht="15" customHeight="1" x14ac:dyDescent="0.2">
      <c r="A3682" s="1" t="s">
        <v>7360</v>
      </c>
      <c r="B3682" s="1">
        <v>0</v>
      </c>
      <c r="C3682" s="3">
        <v>44543.812222222223</v>
      </c>
      <c r="D3682" s="1" t="s">
        <v>7361</v>
      </c>
      <c r="E3682" s="1" t="str">
        <f ca="1">IFERROR(__xludf.DUMMYFUNCTION("GOOGLETRANSLATE(A481 , ""tr"" , ""en"")"),"@drfahrettinka vaccine would be a day that you don't say?")</f>
        <v>@drfahrettinka vaccine would be a day that you don't say?</v>
      </c>
    </row>
    <row r="3683" spans="1:5" ht="15" customHeight="1" x14ac:dyDescent="0.2">
      <c r="A3683" s="1" t="s">
        <v>7362</v>
      </c>
      <c r="B3683" s="1">
        <v>0</v>
      </c>
      <c r="C3683" s="3">
        <v>44543.808680555558</v>
      </c>
      <c r="D3683" s="1" t="s">
        <v>7363</v>
      </c>
      <c r="E3683" s="1" t="str">
        <f ca="1">IFERROR(__xludf.DUMMYFUNCTION("GOOGLETRANSLATE(A482 , ""tr"" , ""en"")"),"@drfahrettinkoca husband is a lie is cooquently we are using nesi drugs we spend it like grip")</f>
        <v>@drfahrettinkoca husband is a lie is cooquently we are using nesi drugs we spend it like grip</v>
      </c>
    </row>
    <row r="3684" spans="1:5" ht="15" customHeight="1" x14ac:dyDescent="0.2">
      <c r="A3684" s="1" t="s">
        <v>7364</v>
      </c>
      <c r="B3684" s="1">
        <v>0</v>
      </c>
      <c r="C3684" s="3">
        <v>44543.808668981481</v>
      </c>
      <c r="D3684" s="1" t="s">
        <v>7365</v>
      </c>
      <c r="E3684" s="1" t="str">
        <f ca="1">IFERROR(__xludf.DUMMYFUNCTION("GOOGLETRANSLATE(A483 , ""tr"" , ""en"")"),"@drfahrettinkoca Covid The tests of people showing symptoms began to come negative. Why? Nobody plug mask ... https://t.co/wysh4cnlhd")</f>
        <v>@drfahrettinkoca Covid The tests of people showing symptoms began to come negative. Why? Nobody plug mask ... https://t.co/wysh4cnlhd</v>
      </c>
    </row>
    <row r="3685" spans="1:5" ht="15" customHeight="1" x14ac:dyDescent="0.2">
      <c r="A3685" s="1" t="s">
        <v>7366</v>
      </c>
      <c r="B3685" s="1">
        <v>0</v>
      </c>
      <c r="C3685" s="3">
        <v>44543.807523148149</v>
      </c>
      <c r="D3685" s="1" t="s">
        <v>7367</v>
      </c>
      <c r="E3685" s="1" t="str">
        <f ca="1">IFERROR(__xludf.DUMMYFUNCTION("GOOGLETRANSLATE(A484 , ""tr"" , ""en"")"),"@drfahrettinkoca kids also increased epidemics not tested Case number of cases not reliable Please take precautions please")</f>
        <v>@drfahrettinkoca kids also increased epidemics not tested Case number of cases not reliable Please take precautions please</v>
      </c>
    </row>
    <row r="3686" spans="1:5" ht="15" customHeight="1" x14ac:dyDescent="0.2">
      <c r="A3686" s="1" t="s">
        <v>7368</v>
      </c>
      <c r="B3686" s="1">
        <v>3</v>
      </c>
      <c r="C3686" s="3">
        <v>44543.805706018517</v>
      </c>
      <c r="D3686" s="1" t="s">
        <v>7369</v>
      </c>
      <c r="E3686" s="1" t="str">
        <f ca="1">IFERROR(__xludf.DUMMYFUNCTION("GOOGLETRANSLATE(A485 , ""tr"" , ""en"")"),"@drfahrettinkoca number overlooking these cases nobody believes in this cases there are Tum Dunyada Pandemia and shutdowns in your universt ... https://t.co/8do8gm1w2m")</f>
        <v>@drfahrettinkoca number overlooking these cases nobody believes in this cases there are Tum Dunyada Pandemia and shutdowns in your universt ... https://t.co/8do8gm1w2m</v>
      </c>
    </row>
    <row r="3687" spans="1:5" ht="15" customHeight="1" x14ac:dyDescent="0.2">
      <c r="A3687" s="1" t="s">
        <v>7370</v>
      </c>
      <c r="B3687" s="1">
        <v>5</v>
      </c>
      <c r="C3687" s="3">
        <v>44543.805381944447</v>
      </c>
      <c r="D3687" s="1" t="s">
        <v>7371</v>
      </c>
      <c r="E3687" s="1" t="str">
        <f ca="1">IFERROR(__xludf.DUMMYFUNCTION("GOOGLETRANSLATE(A486 , ""tr"" , ""en"")"),"@drfahrettinkoca I'm not Hic and HiC I wonder if it could be this reason? HTTPS://t.co/gh2uez2km3")</f>
        <v>@drfahrettinkoca I'm not Hic and HiC I wonder if it could be this reason? HTTPS://t.co/gh2uez2km3</v>
      </c>
    </row>
    <row r="3688" spans="1:5" ht="15" customHeight="1" x14ac:dyDescent="0.2">
      <c r="A3688" s="1" t="s">
        <v>7372</v>
      </c>
      <c r="B3688" s="1">
        <v>0</v>
      </c>
      <c r="C3688" s="3">
        <v>44543.805</v>
      </c>
      <c r="D3688" s="1" t="s">
        <v>7373</v>
      </c>
      <c r="E3688" s="1" t="str">
        <f ca="1">IFERROR(__xludf.DUMMYFUNCTION("GOOGLETRANSLATE(A487 , ""tr"" , ""en"")"),"@drfahrettinka Mr. Ministry is going to 171 per day this is not an intense figure that is intense of virus ... https://t.co/DW8JPW9oIi")</f>
        <v>@drfahrettinka Mr. Ministry is going to 171 per day this is not an intense figure that is intense of virus ... https://t.co/DW8JPW9oIi</v>
      </c>
    </row>
    <row r="3689" spans="1:5" ht="15" customHeight="1" x14ac:dyDescent="0.2">
      <c r="A3689" s="1" t="s">
        <v>7374</v>
      </c>
      <c r="B3689" s="1">
        <v>0</v>
      </c>
      <c r="C3689" s="3">
        <v>44543.804548611108</v>
      </c>
      <c r="D3689" s="1" t="s">
        <v>7375</v>
      </c>
      <c r="E3689" s="1" t="str">
        <f ca="1">IFERROR(__xludf.DUMMYFUNCTION("GOOGLETRANSLATE(A488 , ""tr"" , ""en"")"),"@drfahrettinkoca Simdy You are an overlooking us as we expect us to eat this answer This answer is that the saddle s ... https://t.co/3a2qyvfojd")</f>
        <v>@drfahrettinkoca Simdy You are an overlooking us as we expect us to eat this answer This answer is that the saddle s ... https://t.co/3a2qyvfojd</v>
      </c>
    </row>
    <row r="3690" spans="1:5" ht="15" customHeight="1" x14ac:dyDescent="0.2">
      <c r="A3690" s="1" t="s">
        <v>7376</v>
      </c>
      <c r="B3690" s="1">
        <v>0</v>
      </c>
      <c r="C3690" s="3">
        <v>44543.803541666668</v>
      </c>
      <c r="D3690" s="1" t="s">
        <v>7377</v>
      </c>
      <c r="E3690" s="1" t="str">
        <f ca="1">IFERROR(__xludf.DUMMYFUNCTION("GOOGLETRANSLATE(A489 , ""tr"" , ""en"")"),"@drfahrettinkoca no place to bed no nationality psychology sociology economics have not left patience.")</f>
        <v>@drfahrettinkoca no place to bed no nationality psychology sociology economics have not left patience.</v>
      </c>
    </row>
    <row r="3691" spans="1:5" ht="15" customHeight="1" x14ac:dyDescent="0.2">
      <c r="A3691" s="1" t="s">
        <v>7378</v>
      </c>
      <c r="B3691" s="1">
        <v>15</v>
      </c>
      <c r="C3691" s="3">
        <v>44543.803252314814</v>
      </c>
      <c r="D3691" s="1" t="s">
        <v>7379</v>
      </c>
      <c r="E3691" s="1" t="str">
        <f ca="1">IFERROR(__xludf.DUMMYFUNCTION("GOOGLETRANSLATE(A490 , ""tr"" , ""en"")"),"@drfahrettinka you are passing her. If you trust these no one is vaccinated. https://t.co/gbtw1nfyns")</f>
        <v>@drfahrettinka you are passing her. If you trust these no one is vaccinated. https://t.co/gbtw1nfyns</v>
      </c>
    </row>
    <row r="3692" spans="1:5" ht="15" customHeight="1" x14ac:dyDescent="0.2">
      <c r="A3692" s="1" t="s">
        <v>7380</v>
      </c>
      <c r="B3692" s="1">
        <v>0</v>
      </c>
      <c r="C3692" s="3">
        <v>44543.802812499998</v>
      </c>
      <c r="D3692" s="1" t="s">
        <v>7381</v>
      </c>
      <c r="E3692" s="1" t="str">
        <f ca="1">IFERROR(__xludf.DUMMYFUNCTION("GOOGLETRANSLATE(A491 , ""tr"" , ""en"")"),"@drfahrettinka let us kill us according to the eye #the vaccine is the biological weapon.")</f>
        <v>@drfahrettinka let us kill us according to the eye #the vaccine is the biological weapon.</v>
      </c>
    </row>
    <row r="3693" spans="1:5" ht="15" customHeight="1" x14ac:dyDescent="0.2">
      <c r="A3693" s="1" t="s">
        <v>7382</v>
      </c>
      <c r="B3693" s="1">
        <v>0</v>
      </c>
      <c r="C3693" s="3">
        <v>44543.801851851851</v>
      </c>
      <c r="D3693" s="1" t="s">
        <v>7383</v>
      </c>
      <c r="E3693" s="1" t="str">
        <f ca="1">IFERROR(__xludf.DUMMYFUNCTION("GOOGLETRANSLATE(A492 , ""tr"" , ""en"")"),"@drfahrettinka https://t.co/0yd9jex29e")</f>
        <v>@drfahrettinka https://t.co/0yd9jex29e</v>
      </c>
    </row>
    <row r="3694" spans="1:5" ht="15" customHeight="1" x14ac:dyDescent="0.2">
      <c r="A3694" s="1" t="s">
        <v>7384</v>
      </c>
      <c r="B3694" s="1">
        <v>7</v>
      </c>
      <c r="C3694" s="3">
        <v>44543.796284722222</v>
      </c>
      <c r="D3694" s="1" t="s">
        <v>7385</v>
      </c>
      <c r="E3694" s="1" t="str">
        <f ca="1">IFERROR(__xludf.DUMMYFUNCTION("GOOGLETRANSLATE(A493 , ""tr"" , ""en"")"),"@drfahrettinkoca is still YAA still ??? You're the beaten the head you are the slave of the devil what we say is the empty allah correction ... https://t.co/nj6h8og6f1")</f>
        <v>@drfahrettinkoca is still YAA still ??? You're the beaten the head you are the slave of the devil what we say is the empty allah correction ... https://t.co/nj6h8og6f1</v>
      </c>
    </row>
    <row r="3695" spans="1:5" ht="15" customHeight="1" x14ac:dyDescent="0.2">
      <c r="A3695" s="1" t="s">
        <v>7386</v>
      </c>
      <c r="B3695" s="1">
        <v>0</v>
      </c>
      <c r="C3695" s="3">
        <v>44543.795578703706</v>
      </c>
      <c r="D3695" s="1" t="s">
        <v>7387</v>
      </c>
      <c r="E3695" s="1" t="str">
        <f ca="1">IFERROR(__xludf.DUMMYFUNCTION("GOOGLETRANSLATE(A494 , ""tr"" , ""en"")"),"@drfahrettinkoca missing vaccines as if the dog is exceeded.")</f>
        <v>@drfahrettinkoca missing vaccines as if the dog is exceeded.</v>
      </c>
    </row>
    <row r="3696" spans="1:5" ht="15" customHeight="1" x14ac:dyDescent="0.2">
      <c r="A3696" s="1" t="s">
        <v>7388</v>
      </c>
      <c r="B3696" s="1">
        <v>0</v>
      </c>
      <c r="C3696" s="3">
        <v>44543.794594907406</v>
      </c>
      <c r="D3696" s="1" t="s">
        <v>7389</v>
      </c>
      <c r="E3696" s="1" t="str">
        <f ca="1">IFERROR(__xludf.DUMMYFUNCTION("GOOGLETRANSLATE(A495 , ""tr"" , ""en"")"),"@drfahrettinkoca allows the cases in Europe when the cases increased, it started to fall on one. Who do you fool?")</f>
        <v>@drfahrettinkoca allows the cases in Europe when the cases increased, it started to fall on one. Who do you fool?</v>
      </c>
    </row>
    <row r="3697" spans="1:5" ht="15" customHeight="1" x14ac:dyDescent="0.2">
      <c r="A3697" s="1" t="s">
        <v>7390</v>
      </c>
      <c r="B3697" s="1">
        <v>0</v>
      </c>
      <c r="C3697" s="3">
        <v>44543.961678240739</v>
      </c>
      <c r="D3697" s="1" t="s">
        <v>7391</v>
      </c>
      <c r="E3697" s="1" t="str">
        <f ca="1">IFERROR(__xludf.DUMMYFUNCTION("GOOGLETRANSLATE(A496 , ""tr"" , ""en"")"),"@drfahrettinkoca is that the workers you will receive before that famously t. A tried to go to the place, represented that they grow up ... https://t.co/qrcxpdajvb")</f>
        <v>@drfahrettinkoca is that the workers you will receive before that famously t. A tried to go to the place, represented that they grow up ... https://t.co/qrcxpdajvb</v>
      </c>
    </row>
    <row r="3698" spans="1:5" ht="15" customHeight="1" x14ac:dyDescent="0.2">
      <c r="A3698" s="1" t="s">
        <v>7392</v>
      </c>
      <c r="B3698" s="1">
        <v>2</v>
      </c>
      <c r="C3698" s="3">
        <v>44543.919120370374</v>
      </c>
      <c r="D3698" s="1" t="s">
        <v>7393</v>
      </c>
      <c r="E3698" s="1" t="str">
        <f ca="1">IFERROR(__xludf.DUMMYFUNCTION("GOOGLETRANSLATE(A497 , ""tr"" , ""en"")"),"@drfahrettinkoca HBYS Subcontractor to Subcontracters Mentioned House where where is it where?")</f>
        <v>@drfahrettinkoca HBYS Subcontractor to Subcontracters Mentioned House where where is it where?</v>
      </c>
    </row>
    <row r="3699" spans="1:5" ht="15" customHeight="1" x14ac:dyDescent="0.2">
      <c r="A3699" s="1" t="s">
        <v>7394</v>
      </c>
      <c r="B3699" s="1">
        <v>0</v>
      </c>
      <c r="C3699" s="3">
        <v>44543.866631944446</v>
      </c>
      <c r="D3699" s="1" t="s">
        <v>7395</v>
      </c>
      <c r="E3699" s="1" t="str">
        <f ca="1">IFERROR(__xludf.DUMMYFUNCTION("GOOGLETRANSLATE(A498 , ""tr"" , ""en"")"),"@drfahrettinkoca worker do you have kpss requirement")</f>
        <v>@drfahrettinkoca worker do you have kpss requirement</v>
      </c>
    </row>
    <row r="3700" spans="1:5" ht="15" customHeight="1" x14ac:dyDescent="0.2">
      <c r="A3700" s="1" t="s">
        <v>7396</v>
      </c>
      <c r="B3700" s="1">
        <v>0</v>
      </c>
      <c r="C3700" s="3">
        <v>44543.865578703706</v>
      </c>
      <c r="D3700" s="1" t="s">
        <v>7397</v>
      </c>
      <c r="E3700" s="1" t="str">
        <f ca="1">IFERROR(__xludf.DUMMYFUNCTION("GOOGLETRANSLATE(A499 , ""tr"" , ""en"")"),"@drfahrettinkoca minister what happens is the latest mourning 40")</f>
        <v>@drfahrettinkoca minister what happens is the latest mourning 40</v>
      </c>
    </row>
    <row r="3701" spans="1:5" ht="15" customHeight="1" x14ac:dyDescent="0.2">
      <c r="A3701" s="1" t="s">
        <v>7398</v>
      </c>
      <c r="B3701" s="1">
        <v>0</v>
      </c>
      <c r="C3701" s="3">
        <v>44543.797442129631</v>
      </c>
      <c r="D3701" s="1" t="s">
        <v>7399</v>
      </c>
      <c r="E3701" s="1" t="str">
        <f ca="1">IFERROR(__xludf.DUMMYFUNCTION("GOOGLETRANSLATE(A500 , ""tr"" , ""en"")"),"@drfahrettinkoca kpss without clinical support and patient elderly care element will be in this purchase")</f>
        <v>@drfahrettinkoca kpss without clinical support and patient elderly care element will be in this purchase</v>
      </c>
    </row>
    <row r="3702" spans="1:5" ht="15" customHeight="1" x14ac:dyDescent="0.2">
      <c r="A3702" s="1" t="s">
        <v>7400</v>
      </c>
      <c r="B3702" s="1">
        <v>0</v>
      </c>
      <c r="C3702" s="3">
        <v>44543.926377314812</v>
      </c>
      <c r="D3702" s="1" t="s">
        <v>7401</v>
      </c>
      <c r="E3702" s="1" t="str">
        <f ca="1">IFERROR(__xludf.DUMMYFUNCTION("GOOGLETRANSLATE(A501 , ""tr"" , ""en"")"),"@drfahrettinka you guide published we don't have our name if we don't have any steps #saglency gorev definition and assignment")</f>
        <v>@drfahrettinka you guide published we don't have our name if we don't have any steps #saglency gorev definition and assignment</v>
      </c>
    </row>
    <row r="3703" spans="1:5" ht="15" customHeight="1" x14ac:dyDescent="0.2">
      <c r="A3703" s="1" t="s">
        <v>7402</v>
      </c>
      <c r="B3703" s="1">
        <v>0</v>
      </c>
      <c r="C3703" s="3">
        <v>44543.866493055553</v>
      </c>
      <c r="D3703" s="1" t="s">
        <v>7403</v>
      </c>
      <c r="E3703" s="1" t="str">
        <f ca="1">IFERROR(__xludf.DUMMYFUNCTION("GOOGLETRANSLATE(A502 , ""tr"" , ""en"")"),"@drfahrettinkoca mourning nerve 40 get 40")</f>
        <v>@drfahrettinkoca mourning nerve 40 get 40</v>
      </c>
    </row>
    <row r="3704" spans="1:5" ht="15" customHeight="1" x14ac:dyDescent="0.2">
      <c r="A3704" s="1" t="s">
        <v>7404</v>
      </c>
      <c r="B3704" s="1">
        <v>0</v>
      </c>
      <c r="C3704" s="3">
        <v>44543.957037037035</v>
      </c>
      <c r="D3704" s="1" t="s">
        <v>7405</v>
      </c>
      <c r="E3704" s="1" t="str">
        <f ca="1">IFERROR(__xludf.DUMMYFUNCTION("GOOGLETRANSLATE(A503 , ""tr"" , ""en"")"),"@drfahrettinkoca @apolatduzgun Our dreams of our dreams We want AF as the strong ten million inmate families together ... https://t.co/wydxrx2bn0")</f>
        <v>@drfahrettinkoca @apolatduzgun Our dreams of our dreams We want AF as the strong ten million inmate families together ... https://t.co/wydxrx2bn0</v>
      </c>
    </row>
    <row r="3705" spans="1:5" ht="15" customHeight="1" x14ac:dyDescent="0.2">
      <c r="A3705" s="1" t="s">
        <v>7406</v>
      </c>
      <c r="B3705" s="1">
        <v>20</v>
      </c>
      <c r="C3705" s="3">
        <v>44543.936145833337</v>
      </c>
      <c r="D3705" s="1" t="s">
        <v>7407</v>
      </c>
      <c r="E3705" s="1" t="str">
        <f ca="1">IFERROR(__xludf.DUMMYFUNCTION("GOOGLETRANSLATE(A504 , ""tr"" , ""en"")"),"@drfahrettinkoca Nobody to stupid but the largest pity dietitian, physiotherapist, and psychologists are made to the yearl ... https://t.co/pr0k0ai2be")</f>
        <v>@drfahrettinkoca Nobody to stupid but the largest pity dietitian, physiotherapist, and psychologists are made to the yearl ... https://t.co/pr0k0ai2be</v>
      </c>
    </row>
    <row r="3706" spans="1:5" ht="15" customHeight="1" x14ac:dyDescent="0.2">
      <c r="A3706" s="1" t="s">
        <v>7408</v>
      </c>
      <c r="B3706" s="1">
        <v>0</v>
      </c>
      <c r="C3706" s="3">
        <v>44543.925057870372</v>
      </c>
      <c r="D3706" s="1" t="s">
        <v>7409</v>
      </c>
      <c r="E3706" s="1" t="str">
        <f ca="1">IFERROR(__xludf.DUMMYFUNCTION("GOOGLETRANSLATE(A505 , ""tr"" , ""en"")"),"@drfahrettinkoca Mr. President @rterdogan If you do this you do this you will see us see our victimization ... https://t.co/TBX2UM0ZIQ")</f>
        <v>@drfahrettinkoca Mr. President @rterdogan If you do this you do this you will see us see our victimization ... https://t.co/TBX2UM0ZIQ</v>
      </c>
    </row>
    <row r="3707" spans="1:5" ht="15" customHeight="1" x14ac:dyDescent="0.2">
      <c r="A3707" s="1" t="s">
        <v>7410</v>
      </c>
      <c r="B3707" s="1">
        <v>0</v>
      </c>
      <c r="C3707" s="3">
        <v>44543.923020833332</v>
      </c>
      <c r="D3707" s="1" t="s">
        <v>7411</v>
      </c>
      <c r="E3707" s="1" t="str">
        <f ca="1">IFERROR(__xludf.DUMMYFUNCTION("GOOGLETRANSLATE(A506 , ""tr"" , ""en"")"),"@drfahrettinkoca Code of Quota In License Sections Why don't we have step 4 in them they have given 4 years ... https://t.co/4dlsvqqq3jy")</f>
        <v>@drfahrettinkoca Code of Quota In License Sections Why don't we have step 4 in them they have given 4 years ... https://t.co/4dlsvqqq3jy</v>
      </c>
    </row>
    <row r="3708" spans="1:5" ht="15" customHeight="1" x14ac:dyDescent="0.2">
      <c r="A3708" s="1" t="s">
        <v>7412</v>
      </c>
      <c r="B3708" s="1">
        <v>0</v>
      </c>
      <c r="C3708" s="3">
        <v>44543.9215625</v>
      </c>
      <c r="D3708" s="1" t="s">
        <v>7413</v>
      </c>
      <c r="E3708" s="1" t="str">
        <f ca="1">IFERROR(__xludf.DUMMYFUNCTION("GOOGLETRANSLATE(A507 , ""tr"" , ""en"")"),"@drfahrettinkoca we sit in the morning, if we are empty on the morning you ignore us the #Saglency section See this now")</f>
        <v>@drfahrettinkoca we sit in the morning, if we are empty on the morning you ignore us the #Saglency section See this now</v>
      </c>
    </row>
    <row r="3709" spans="1:5" ht="15" customHeight="1" x14ac:dyDescent="0.2">
      <c r="A3709" s="1" t="s">
        <v>7414</v>
      </c>
      <c r="B3709" s="1">
        <v>0</v>
      </c>
      <c r="C3709" s="3">
        <v>44543.920254629629</v>
      </c>
      <c r="D3709" s="1" t="s">
        <v>7415</v>
      </c>
      <c r="E3709" s="1" t="str">
        <f ca="1">IFERROR(__xludf.DUMMYFUNCTION("GOOGLETRANSLATE(A508 , ""tr"" , ""en"")"),"@drfahrettinkoca @rterdogan you give you staff and if you see us if you see us then we will be able to assign it then he ... https://t.co/9m3hmx9tzw")</f>
        <v>@drfahrettinkoca @rterdogan you give you staff and if you see us if you see us then we will be able to assign it then he ... https://t.co/9m3hmx9tzw</v>
      </c>
    </row>
    <row r="3710" spans="1:5" ht="15" customHeight="1" x14ac:dyDescent="0.2">
      <c r="A3710" s="1" t="s">
        <v>7416</v>
      </c>
      <c r="B3710" s="1">
        <v>0</v>
      </c>
      <c r="C3710" s="3">
        <v>44543.918252314812</v>
      </c>
      <c r="D3710" s="1" t="s">
        <v>7417</v>
      </c>
      <c r="E3710" s="1" t="str">
        <f ca="1">IFERROR(__xludf.DUMMYFUNCTION("GOOGLETRANSLATE(A509 , ""tr"" , ""en"")"),"@drfahrettinkoca #saglency see section because you have lost us as you don't see us too ... https://t.co/wbyjg0sjfa")</f>
        <v>@drfahrettinkoca #saglency see section because you have lost us as you don't see us too ... https://t.co/wbyjg0sjfa</v>
      </c>
    </row>
    <row r="3711" spans="1:5" ht="15" customHeight="1" x14ac:dyDescent="0.2">
      <c r="A3711" s="1" t="s">
        <v>7418</v>
      </c>
      <c r="B3711" s="1">
        <v>1</v>
      </c>
      <c r="C3711" s="3">
        <v>44543.915995370371</v>
      </c>
      <c r="D3711" s="1" t="s">
        <v>7419</v>
      </c>
      <c r="E3711" s="1" t="str">
        <f ca="1">IFERROR(__xludf.DUMMYFUNCTION("GOOGLETRANSLATE(A510 , ""tr"" , ""en"")"),"@drfahrettinkoca 10K What is the nurse what I mean not to throw the profession but the other branches are so few. ... https://t.co/tfowmcxqlk")</f>
        <v>@drfahrettinkoca 10K What is the nurse what I mean not to throw the profession but the other branches are so few. ... https://t.co/tfowmcxqlk</v>
      </c>
    </row>
    <row r="3712" spans="1:5" ht="15" customHeight="1" x14ac:dyDescent="0.2">
      <c r="A3712" s="1" t="s">
        <v>7420</v>
      </c>
      <c r="B3712" s="1">
        <v>1</v>
      </c>
      <c r="C3712" s="3">
        <v>44543.915486111109</v>
      </c>
      <c r="D3712" s="1" t="s">
        <v>7421</v>
      </c>
      <c r="E3712" s="1" t="str">
        <f ca="1">IFERROR(__xludf.DUMMYFUNCTION("GOOGLETRANSLATE(A511 , ""tr"" , ""en"")"),"@drfahrettinka niye #Saglency Department No purchase from the section we read")</f>
        <v>@drfahrettinka niye #Saglency Department No purchase from the section we read</v>
      </c>
    </row>
    <row r="3713" spans="1:5" ht="15" customHeight="1" x14ac:dyDescent="0.2">
      <c r="A3713" s="1" t="s">
        <v>7422</v>
      </c>
      <c r="B3713" s="1">
        <v>2</v>
      </c>
      <c r="C3713" s="3">
        <v>44543.915277777778</v>
      </c>
      <c r="D3713" s="1" t="s">
        <v>7423</v>
      </c>
      <c r="E3713" s="1" t="str">
        <f ca="1">IFERROR(__xludf.DUMMYFUNCTION("GOOGLETRANSLATE(A512 , ""tr"" , ""en"")"),"@drfahrettinkoca If you get high in 30 thoushers as a dietitian, get high in 30 thousand KPSS get the labor I labor ... https://t.co/ozheszcewj")</f>
        <v>@drfahrettinkoca If you get high in 30 thoushers as a dietitian, get high in 30 thousand KPSS get the labor I labor ... https://t.co/ozheszcewj</v>
      </c>
    </row>
    <row r="3714" spans="1:5" ht="15" customHeight="1" x14ac:dyDescent="0.2">
      <c r="A3714" s="1" t="s">
        <v>7424</v>
      </c>
      <c r="B3714" s="1">
        <v>0</v>
      </c>
      <c r="C3714" s="3">
        <v>44543.875347222223</v>
      </c>
      <c r="D3714" s="1" t="s">
        <v>7425</v>
      </c>
      <c r="E3714" s="1" t="str">
        <f ca="1">IFERROR(__xludf.DUMMYFUNCTION("GOOGLETRANSLATE(A513 , ""tr"" , ""en"")"),"@drfahrettinkoca is the excessive fairly seriously you are wonderful 👏🏼👏🏼👏🏼")</f>
        <v>@drfahrettinkoca is the excessive fairly seriously you are wonderful 👏🏼👏🏼👏🏼</v>
      </c>
    </row>
    <row r="3715" spans="1:5" ht="15" customHeight="1" x14ac:dyDescent="0.2">
      <c r="A3715" s="1" t="s">
        <v>7426</v>
      </c>
      <c r="B3715" s="1">
        <v>0</v>
      </c>
      <c r="C3715" s="3">
        <v>44543.873854166668</v>
      </c>
      <c r="D3715" s="1" t="s">
        <v>7427</v>
      </c>
      <c r="E3715" s="1" t="str">
        <f ca="1">IFERROR(__xludf.DUMMYFUNCTION("GOOGLETRANSLATE(A514 , ""tr"" , ""en"")"),"@drfahrettinkoca How to consume how to break the hope of human; bknz")</f>
        <v>@drfahrettinkoca How to consume how to break the hope of human; bknz</v>
      </c>
    </row>
    <row r="3716" spans="1:5" ht="15" customHeight="1" x14ac:dyDescent="0.2">
      <c r="A3716" s="1" t="s">
        <v>7428</v>
      </c>
      <c r="B3716" s="1">
        <v>0</v>
      </c>
      <c r="C3716" s="3">
        <v>44543.837534722225</v>
      </c>
      <c r="D3716" s="1" t="s">
        <v>7429</v>
      </c>
      <c r="E3716" s="1" t="str">
        <f ca="1">IFERROR(__xludf.DUMMYFUNCTION("GOOGLETRANSLATE(A515 , ""tr"" , ""en"")"),"@drfahrettinkoca Fair Distribution You said 40 thousand you said we have said that we have said that we have given the importance to each occupation ...")</f>
        <v>@drfahrettinkoca Fair Distribution You said 40 thousand you said we have said that we have said that we have given the importance to each occupation ...</v>
      </c>
    </row>
    <row r="3717" spans="1:5" ht="15" customHeight="1" x14ac:dyDescent="0.2">
      <c r="A3717" s="1" t="s">
        <v>7430</v>
      </c>
      <c r="B3717" s="1">
        <v>0</v>
      </c>
      <c r="C3717" s="3">
        <v>44543.881307870368</v>
      </c>
      <c r="D3717" s="1" t="s">
        <v>7431</v>
      </c>
      <c r="E3717" s="1" t="str">
        <f ca="1">IFERROR(__xludf.DUMMYFUNCTION("GOOGLETRANSLATE(A516 , ""tr"" , ""en"")"),"@drfahrettinkoca you have all of us stated us all. Hereafter has the Hesire")</f>
        <v>@drfahrettinkoca you have all of us stated us all. Hereafter has the Hesire</v>
      </c>
    </row>
    <row r="3718" spans="1:5" ht="15" customHeight="1" x14ac:dyDescent="0.2">
      <c r="A3718" s="1" t="s">
        <v>7432</v>
      </c>
      <c r="B3718" s="1">
        <v>0</v>
      </c>
      <c r="C3718" s="3">
        <v>44543.961840277778</v>
      </c>
      <c r="D3718" s="1" t="s">
        <v>7433</v>
      </c>
      <c r="E3718" s="1" t="str">
        <f ca="1">IFERROR(__xludf.DUMMYFUNCTION("GOOGLETRANSLATE(A517 , ""tr"" , ""en"")"),"@drfahrettinkoca where you were so far where you are in a ruling that sucks the blood of Mr. facing healthcareists, a diya living welfare ... https://t.co/q7rtyqsl6d")</f>
        <v>@drfahrettinkoca where you were so far where you are in a ruling that sucks the blood of Mr. facing healthcareists, a diya living welfare ... https://t.co/q7rtyqsl6d</v>
      </c>
    </row>
    <row r="3719" spans="1:5" ht="15" customHeight="1" x14ac:dyDescent="0.2">
      <c r="A3719" s="1" t="s">
        <v>7434</v>
      </c>
      <c r="B3719" s="1">
        <v>0</v>
      </c>
      <c r="C3719" s="3">
        <v>44543.946319444447</v>
      </c>
      <c r="D3719" s="1" t="s">
        <v>7435</v>
      </c>
      <c r="E3719" s="1" t="str">
        <f ca="1">IFERROR(__xludf.DUMMYFUNCTION("GOOGLETRANSLATE(A518 , ""tr"" , ""en"")"),"@drfahrettinkoca hocam. If you are familiar to the familiar, let's take the bride, then you have said to take it as always. Dunya SIR ... https://t.co/sf4cgkwef3")</f>
        <v>@drfahrettinkoca hocam. If you are familiar to the familiar, let's take the bride, then you have said to take it as always. Dunya SIR ... https://t.co/sf4cgkwef3</v>
      </c>
    </row>
    <row r="3720" spans="1:5" ht="15" customHeight="1" x14ac:dyDescent="0.2">
      <c r="A3720" s="1" t="s">
        <v>7436</v>
      </c>
      <c r="B3720" s="1">
        <v>0</v>
      </c>
      <c r="C3720" s="3">
        <v>44543.941874999997</v>
      </c>
      <c r="D3720" s="1" t="s">
        <v>7437</v>
      </c>
      <c r="E3720" s="1" t="str">
        <f ca="1">IFERROR(__xludf.DUMMYFUNCTION("GOOGLETRANSLATE(A519 , ""tr"" , ""en"")"),"@drfahrettinkoca bird shuts with the mouth, they can't be sorry again to our nation vows seeks to the services made on the bidet")</f>
        <v>@drfahrettinkoca bird shuts with the mouth, they can't be sorry again to our nation vows seeks to the services made on the bidet</v>
      </c>
    </row>
    <row r="3721" spans="1:5" ht="15" customHeight="1" x14ac:dyDescent="0.2">
      <c r="A3721" s="1" t="s">
        <v>7438</v>
      </c>
      <c r="B3721" s="1">
        <v>0</v>
      </c>
      <c r="C3721" s="3">
        <v>44543.925983796296</v>
      </c>
      <c r="D3721" s="1" t="s">
        <v>7439</v>
      </c>
      <c r="E3721" s="1" t="str">
        <f ca="1">IFERROR(__xludf.DUMMYFUNCTION("GOOGLETRANSLATE(A520 , ""tr"" , ""en"")"),"@drfahrettinkoca that's so cadro county Provincial Presidents will not expire by the list to the future ... Https://t.co/jx1ljpaden")</f>
        <v>@drfahrettinkoca that's so cadro county Provincial Presidents will not expire by the list to the future ... Https://t.co/jx1ljpaden</v>
      </c>
    </row>
    <row r="3722" spans="1:5" ht="15" customHeight="1" x14ac:dyDescent="0.2">
      <c r="A3722" s="1" t="s">
        <v>7440</v>
      </c>
      <c r="B3722" s="1">
        <v>0</v>
      </c>
      <c r="C3722" s="3">
        <v>44543.924479166664</v>
      </c>
      <c r="D3722" s="1" t="s">
        <v>7441</v>
      </c>
      <c r="E3722" s="1" t="str">
        <f ca="1">IFERROR(__xludf.DUMMYFUNCTION("GOOGLETRANSLATE(A521 , ""tr"" , ""en"")"),"@drfahrettinka Mr. Minister. Auxiliary Health Care to your staff and the agency where 3000-4000 works and the agency ... https://t.co/obgfjae7ca")</f>
        <v>@drfahrettinka Mr. Minister. Auxiliary Health Care to your staff and the agency where 3000-4000 works and the agency ... https://t.co/obgfjae7ca</v>
      </c>
    </row>
    <row r="3723" spans="1:5" ht="15" customHeight="1" x14ac:dyDescent="0.2">
      <c r="A3723" s="1" t="s">
        <v>7442</v>
      </c>
      <c r="B3723" s="1">
        <v>0</v>
      </c>
      <c r="C3723" s="3">
        <v>44543.92291666667</v>
      </c>
      <c r="D3723" s="1" t="s">
        <v>7443</v>
      </c>
      <c r="E3723" s="1" t="str">
        <f ca="1">IFERROR(__xludf.DUMMYFUNCTION("GOOGLETRANSLATE(A522 , ""tr"" , ""en"")"),"@drfahrettinkoca @sibermnt")</f>
        <v>@drfahrettinkoca @sibermnt</v>
      </c>
    </row>
    <row r="3724" spans="1:5" ht="15" customHeight="1" x14ac:dyDescent="0.2">
      <c r="A3724" s="1" t="s">
        <v>7444</v>
      </c>
      <c r="B3724" s="1">
        <v>0</v>
      </c>
      <c r="C3724" s="3">
        <v>44543.920416666668</v>
      </c>
      <c r="D3724" s="1" t="s">
        <v>7445</v>
      </c>
      <c r="E3724" s="1" t="str">
        <f ca="1">IFERROR(__xludf.DUMMYFUNCTION("GOOGLETRANSLATE(A523 , ""tr"" , ""en"")"),"@drfahrettinkoca Mr. Ministry My Level Of Your Allah Give you the place in Bi staff I'm tired of Https://t.co/bm6gewrlwc")</f>
        <v>@drfahrettinkoca Mr. Ministry My Level Of Your Allah Give you the place in Bi staff I'm tired of Https://t.co/bm6gewrlwc</v>
      </c>
    </row>
    <row r="3725" spans="1:5" ht="15" customHeight="1" x14ac:dyDescent="0.2">
      <c r="A3725" s="1" t="s">
        <v>7446</v>
      </c>
      <c r="B3725" s="1">
        <v>0</v>
      </c>
      <c r="C3725" s="3">
        <v>44543.90315972222</v>
      </c>
      <c r="D3725" s="1" t="s">
        <v>7447</v>
      </c>
      <c r="E3725" s="1" t="str">
        <f ca="1">IFERROR(__xludf.DUMMYFUNCTION("GOOGLETRANSLATE(A524 , ""tr"" , ""en"")"),"@drfahrettinkoca Open the 3000 5000 Kontejan 3000 5000 on the mouth and dental health technicians. There are 30,000 graduates")</f>
        <v>@drfahrettinkoca Open the 3000 5000 Kontejan 3000 5000 on the mouth and dental health technicians. There are 30,000 graduates</v>
      </c>
    </row>
    <row r="3726" spans="1:5" ht="15" customHeight="1" x14ac:dyDescent="0.2">
      <c r="A3726" s="1" t="s">
        <v>7448</v>
      </c>
      <c r="B3726" s="1">
        <v>0</v>
      </c>
      <c r="C3726" s="3">
        <v>44543.901134259257</v>
      </c>
      <c r="D3726" s="1" t="s">
        <v>7449</v>
      </c>
      <c r="E3726" s="1" t="str">
        <f ca="1">IFERROR(__xludf.DUMMYFUNCTION("GOOGLETRANSLATE(A525 , ""tr"" , ""en"")"),"@drfahrettinkoca What is 1600 midwives What I have the blessings at my hand I need moisture")</f>
        <v>@drfahrettinkoca What is 1600 midwives What I have the blessings at my hand I need moisture</v>
      </c>
    </row>
    <row r="3727" spans="1:5" ht="15" customHeight="1" x14ac:dyDescent="0.2">
      <c r="A3727" s="1" t="s">
        <v>7450</v>
      </c>
      <c r="B3727" s="1">
        <v>0</v>
      </c>
      <c r="C3727" s="3">
        <v>44543.899363425924</v>
      </c>
      <c r="D3727" s="1" t="s">
        <v>7451</v>
      </c>
      <c r="E3727" s="1" t="str">
        <f ca="1">IFERROR(__xludf.DUMMYFUNCTION("GOOGLETRANSLATE(A526 , ""tr"" , ""en"")"),"@drfahrettinkoca get out of dishonest")</f>
        <v>@drfahrettinkoca get out of dishonest</v>
      </c>
    </row>
    <row r="3728" spans="1:5" ht="15" customHeight="1" x14ac:dyDescent="0.2">
      <c r="A3728" s="1" t="s">
        <v>7452</v>
      </c>
      <c r="B3728" s="1">
        <v>0</v>
      </c>
      <c r="C3728" s="3">
        <v>44543.898761574077</v>
      </c>
      <c r="D3728" s="1" t="s">
        <v>7453</v>
      </c>
      <c r="E3728" s="1" t="str">
        <f ca="1">IFERROR(__xludf.DUMMYFUNCTION("GOOGLETRANSLATE(A527 , ""tr"" , ""en"")"),"@drfahrettinkoca Mr. Ministry, I hope to expect a disabled personnel in order to the population number of provinces within 10 thousand workers staffs.")</f>
        <v>@drfahrettinkoca Mr. Ministry, I hope to expect a disabled personnel in order to the population number of provinces within 10 thousand workers staffs.</v>
      </c>
    </row>
    <row r="3729" spans="1:5" ht="15" customHeight="1" x14ac:dyDescent="0.2">
      <c r="A3729" s="1" t="s">
        <v>7454</v>
      </c>
      <c r="B3729" s="1">
        <v>2</v>
      </c>
      <c r="C3729" s="3">
        <v>44543.890381944446</v>
      </c>
      <c r="D3729" s="1" t="s">
        <v>7455</v>
      </c>
      <c r="E3729" s="1" t="str">
        <f ca="1">IFERROR(__xludf.DUMMYFUNCTION("GOOGLETRANSLATE(A528 , ""tr"" , ""en"")"),"@drfahrettinka Mr. Ministry, ""10 thousand contracted medical staff assignments to be assigned. This is how business? One hand number ... https://t.co/cujsxs9ner")</f>
        <v>@drfahrettinka Mr. Ministry, "10 thousand contracted medical staff assignments to be assigned. This is how business? One hand number ... https://t.co/cujsxs9ner</v>
      </c>
    </row>
    <row r="3730" spans="1:5" ht="15" customHeight="1" x14ac:dyDescent="0.2">
      <c r="A3730" s="1" t="s">
        <v>7456</v>
      </c>
      <c r="B3730" s="1">
        <v>1</v>
      </c>
      <c r="C3730" s="3">
        <v>44543.886423611111</v>
      </c>
      <c r="D3730" s="1" t="s">
        <v>7457</v>
      </c>
      <c r="E3730" s="1" t="str">
        <f ca="1">IFERROR(__xludf.DUMMYFUNCTION("GOOGLETRANSLATE(A529 , ""tr"" , ""en"")"),"@drfahrettinkoca Mr. facing continuous information gulcellanis need to make 30-year-old nurses and young ... https://t.co/drwckzpwsv")</f>
        <v>@drfahrettinkoca Mr. facing continuous information gulcellanis need to make 30-year-old nurses and young ... https://t.co/drwckzpwsv</v>
      </c>
    </row>
    <row r="3731" spans="1:5" ht="15" customHeight="1" x14ac:dyDescent="0.2">
      <c r="A3731" s="1" t="s">
        <v>7458</v>
      </c>
      <c r="B3731" s="1">
        <v>0</v>
      </c>
      <c r="C3731" s="3">
        <v>44543.883912037039</v>
      </c>
      <c r="D3731" s="1">
        <v>1.47050199434752E+18</v>
      </c>
      <c r="E3731" s="1" t="str">
        <f ca="1">IFERROR(__xludf.DUMMYFUNCTION("GOOGLETRANSLATE(A530 , ""tr"" , ""en"")"),"@drfahrettinkoca is now in the hospitals in hospitals in hospitals in Hospitals Töwbe Hağbe, what questions are to ask ... https://t.co/09shtk5xn0")</f>
        <v>@drfahrettinkoca is now in the hospitals in hospitals in hospitals in Hospitals Töwbe Hağbe, what questions are to ask ... https://t.co/09shtk5xn0</v>
      </c>
    </row>
    <row r="3732" spans="1:5" ht="15" customHeight="1" x14ac:dyDescent="0.2">
      <c r="A3732" s="1" t="s">
        <v>7459</v>
      </c>
      <c r="B3732" s="1">
        <v>0</v>
      </c>
      <c r="C3732" s="3">
        <v>44543.876458333332</v>
      </c>
      <c r="D3732" s="1" t="s">
        <v>7460</v>
      </c>
      <c r="E3732" s="1" t="str">
        <f ca="1">IFERROR(__xludf.DUMMYFUNCTION("GOOGLETRANSLATE(A531 , ""tr"" , ""en"")"),"@drfahrettinka is announced to the freshwater leftists in the somrrrr is the same teraneee didn't take us to hired their own guys")</f>
        <v>@drfahrettinka is announced to the freshwater leftists in the somrrrr is the same teraneee didn't take us to hired their own guys</v>
      </c>
    </row>
    <row r="3733" spans="1:5" ht="15" customHeight="1" x14ac:dyDescent="0.2">
      <c r="A3733" s="1" t="s">
        <v>7461</v>
      </c>
      <c r="B3733" s="1">
        <v>0</v>
      </c>
      <c r="C3733" s="3">
        <v>44543.875590277778</v>
      </c>
      <c r="D3733" s="1" t="s">
        <v>7462</v>
      </c>
      <c r="E3733" s="1" t="str">
        <f ca="1">IFERROR(__xludf.DUMMYFUNCTION("GOOGLETRANSLATE(A532 , ""tr"" , ""en"")"),"@drfahrettinkoca you are replaced by those who are at all those who are available.")</f>
        <v>@drfahrettinkoca you are replaced by those who are at all those who are available.</v>
      </c>
    </row>
    <row r="3734" spans="1:5" ht="15" customHeight="1" x14ac:dyDescent="0.2">
      <c r="A3734" s="1" t="s">
        <v>7463</v>
      </c>
      <c r="B3734" s="1">
        <v>0</v>
      </c>
      <c r="C3734" s="3">
        <v>44543.869895833333</v>
      </c>
      <c r="D3734" s="1" t="s">
        <v>7464</v>
      </c>
      <c r="E3734" s="1" t="str">
        <f ca="1">IFERROR(__xludf.DUMMYFUNCTION("GOOGLETRANSLATE(A533 , ""tr"" , ""en"")"),"@drfahrettinka indefinitely 4BLs are waiting for squads")</f>
        <v>@drfahrettinka indefinitely 4BLs are waiting for squads</v>
      </c>
    </row>
    <row r="3735" spans="1:5" ht="15" customHeight="1" x14ac:dyDescent="0.2">
      <c r="A3735" s="1" t="s">
        <v>7465</v>
      </c>
      <c r="B3735" s="1">
        <v>1</v>
      </c>
      <c r="C3735" s="3">
        <v>44543.86923611111</v>
      </c>
      <c r="D3735" s="1" t="s">
        <v>7466</v>
      </c>
      <c r="E3735" s="1" t="str">
        <f ca="1">IFERROR(__xludf.DUMMYFUNCTION("GOOGLETRANSLATE(A534 , ""tr"" , ""en"")"),"@drfahrettinkoca your diyos you have a bit over the ÖSYM ??")</f>
        <v>@drfahrettinkoca your diyos you have a bit over the ÖSYM ??</v>
      </c>
    </row>
    <row r="3736" spans="1:5" ht="15" customHeight="1" x14ac:dyDescent="0.2">
      <c r="A3736" s="1" t="s">
        <v>7467</v>
      </c>
      <c r="B3736" s="1">
        <v>0</v>
      </c>
      <c r="C3736" s="3">
        <v>44543.846250000002</v>
      </c>
      <c r="D3736" s="1" t="s">
        <v>7468</v>
      </c>
      <c r="E3736" s="1" t="str">
        <f ca="1">IFERROR(__xludf.DUMMYFUNCTION("GOOGLETRANSLATE(A535 , ""tr"" , ""en"")"),"@drfahrettinkoca We don't believe you.")</f>
        <v>@drfahrettinkoca We don't believe you.</v>
      </c>
    </row>
    <row r="3737" spans="1:5" ht="15" customHeight="1" x14ac:dyDescent="0.2">
      <c r="A3737" s="1" t="s">
        <v>7469</v>
      </c>
      <c r="B3737" s="1">
        <v>0</v>
      </c>
      <c r="C3737" s="3">
        <v>44543.843414351853</v>
      </c>
      <c r="D3737" s="1" t="s">
        <v>7470</v>
      </c>
      <c r="E3737" s="1" t="str">
        <f ca="1">IFERROR(__xludf.DUMMYFUNCTION("GOOGLETRANSLATE(A536 , ""tr"" , ""en"")"),"@drfahrettinkoca you will get from Syrians, the Turkish physicians gradually leave Mobing, Mobing, Darp Hersey is in the country.")</f>
        <v>@drfahrettinkoca you will get from Syrians, the Turkish physicians gradually leave Mobing, Mobing, Darp Hersey is in the country.</v>
      </c>
    </row>
    <row r="3738" spans="1:5" ht="15" customHeight="1" x14ac:dyDescent="0.2">
      <c r="A3738" s="1" t="s">
        <v>7471</v>
      </c>
      <c r="B3738" s="1">
        <v>0</v>
      </c>
      <c r="C3738" s="3">
        <v>44543.818784722222</v>
      </c>
      <c r="D3738" s="1" t="s">
        <v>7472</v>
      </c>
      <c r="E3738" s="1" t="str">
        <f ca="1">IFERROR(__xludf.DUMMYFUNCTION("GOOGLETRANSLATE(A537 , ""tr"" , ""en"")"),"@drfahrettinkoca tm to nobody give to anyone to doctors in barsht docs are such ungrateful clause you are ahsjdjjf")</f>
        <v>@drfahrettinkoca tm to nobody give to anyone to doctors in barsht docs are such ungrateful clause you are ahsjdjjf</v>
      </c>
    </row>
    <row r="3739" spans="1:5" ht="15" customHeight="1" x14ac:dyDescent="0.2">
      <c r="A3739" s="1" t="s">
        <v>7473</v>
      </c>
      <c r="B3739" s="1">
        <v>2</v>
      </c>
      <c r="C3739" s="3">
        <v>44543.805115740739</v>
      </c>
      <c r="D3739" s="1" t="s">
        <v>7474</v>
      </c>
      <c r="E3739" s="1" t="str">
        <f ca="1">IFERROR(__xludf.DUMMYFUNCTION("GOOGLETRANSLATE(A538 , ""tr"" , ""en"")"),"@drfahrettinka Mr. Ministry @drfahrettinkoca now this staff distribution is fair or to be assigned to thousands of people ... https://t.co/j5lrkgb5po")</f>
        <v>@drfahrettinka Mr. Ministry @drfahrettinkoca now this staff distribution is fair or to be assigned to thousands of people ... https://t.co/j5lrkgb5po</v>
      </c>
    </row>
    <row r="3740" spans="1:5" ht="15" customHeight="1" x14ac:dyDescent="0.2">
      <c r="A3740" s="1" t="s">
        <v>7475</v>
      </c>
      <c r="B3740" s="1">
        <v>0</v>
      </c>
      <c r="C3740" s="3">
        <v>44543.800254629627</v>
      </c>
      <c r="D3740" s="1" t="s">
        <v>7476</v>
      </c>
      <c r="E3740" s="1" t="str">
        <f ca="1">IFERROR(__xludf.DUMMYFUNCTION("GOOGLETRANSLATE(A539 , ""tr"" , ""en"")"),"@drfahrettinkoca @drfahrettinkoca @saglikbakanligi Hocam eagle Grace Kırdar Hospital Anestical Service What's going on in the service ... https://t.co/5ppxnqdxp5")</f>
        <v>@drfahrettinkoca @drfahrettinkoca @saglikbakanligi Hocam eagle Grace Kırdar Hospital Anestical Service What's going on in the service ... https://t.co/5ppxnqdxp5</v>
      </c>
    </row>
    <row r="3741" spans="1:5" ht="15" customHeight="1" x14ac:dyDescent="0.2">
      <c r="A3741" s="1" t="s">
        <v>7477</v>
      </c>
      <c r="B3741" s="1">
        <v>0</v>
      </c>
      <c r="C3741" s="3">
        <v>44543.799317129633</v>
      </c>
      <c r="D3741" s="1" t="s">
        <v>7478</v>
      </c>
      <c r="E3741" s="1" t="str">
        <f ca="1">IFERROR(__xludf.DUMMYFUNCTION("GOOGLETRANSLATE(A540 , ""tr"" , ""en"")"),"@drfahrettinkoca treasure does not remain in the treasure as well as every katroya minimum wage li deak officers are taken all these assignments ... https://t.co/tqzo2dgvqs")</f>
        <v>@drfahrettinkoca treasure does not remain in the treasure as well as every katroya minimum wage li deak officers are taken all these assignments ... https://t.co/tqzo2dgvqs</v>
      </c>
    </row>
    <row r="3742" spans="1:5" ht="15" customHeight="1" x14ac:dyDescent="0.2">
      <c r="A3742" s="1" t="s">
        <v>7479</v>
      </c>
      <c r="B3742" s="1">
        <v>0</v>
      </c>
      <c r="C3742" s="3">
        <v>44543.996574074074</v>
      </c>
      <c r="D3742" s="1" t="s">
        <v>7480</v>
      </c>
      <c r="E3742" s="1" t="str">
        <f ca="1">IFERROR(__xludf.DUMMYFUNCTION("GOOGLETRANSLATE(A541 , ""tr"" , ""en"")"),"@drfahrettinka you tell the judiciary after your duty time is expired Fahrettin Bey 😤")</f>
        <v>@drfahrettinka you tell the judiciary after your duty time is expired Fahrettin Bey 😤</v>
      </c>
    </row>
    <row r="3743" spans="1:5" ht="15" customHeight="1" x14ac:dyDescent="0.2">
      <c r="A3743" s="1" t="s">
        <v>7481</v>
      </c>
      <c r="B3743" s="1">
        <v>0</v>
      </c>
      <c r="C3743" s="3">
        <v>44543.957557870373</v>
      </c>
      <c r="D3743" s="1" t="s">
        <v>7482</v>
      </c>
      <c r="E3743" s="1" t="str">
        <f ca="1">IFERROR(__xludf.DUMMYFUNCTION("GOOGLETRANSLATE(A542 , ""tr"" , ""en"")"),"@drfahrettinkoca you killed")</f>
        <v>@drfahrettinkoca you killed</v>
      </c>
    </row>
    <row r="3744" spans="1:5" ht="15" customHeight="1" x14ac:dyDescent="0.2">
      <c r="A3744" s="1" t="s">
        <v>7483</v>
      </c>
      <c r="B3744" s="1">
        <v>0</v>
      </c>
      <c r="C3744" s="3">
        <v>44543.95616898148</v>
      </c>
      <c r="D3744" s="1" t="s">
        <v>7484</v>
      </c>
      <c r="E3744" s="1" t="str">
        <f ca="1">IFERROR(__xludf.DUMMYFUNCTION("GOOGLETRANSLATE(A543 , ""tr"" , ""en"")"),"@drfahrettinkoca is the mistake of human being, so 0 people (!) = 0 Error ✔️")</f>
        <v>@drfahrettinkoca is the mistake of human being, so 0 people (!) = 0 Error ✔️</v>
      </c>
    </row>
    <row r="3745" spans="1:5" ht="15" customHeight="1" x14ac:dyDescent="0.2">
      <c r="A3745" s="1" t="s">
        <v>7485</v>
      </c>
      <c r="B3745" s="1">
        <v>0</v>
      </c>
      <c r="C3745" s="3">
        <v>44543.954409722224</v>
      </c>
      <c r="D3745" s="1" t="s">
        <v>7486</v>
      </c>
      <c r="E3745" s="1" t="str">
        <f ca="1">IFERROR(__xludf.DUMMYFUNCTION("GOOGLETRANSLATE(A544 , ""tr"" , ""en"")"),"@drfahrettinkoca allah let your truth")</f>
        <v>@drfahrettinkoca allah let your truth</v>
      </c>
    </row>
    <row r="3746" spans="1:5" ht="15" customHeight="1" x14ac:dyDescent="0.2">
      <c r="A3746" s="1" t="s">
        <v>7487</v>
      </c>
      <c r="B3746" s="1">
        <v>0</v>
      </c>
      <c r="C3746" s="3">
        <v>44543.946689814817</v>
      </c>
      <c r="D3746" s="1" t="s">
        <v>7488</v>
      </c>
      <c r="E3746" s="1" t="str">
        <f ca="1">IFERROR(__xludf.DUMMYFUNCTION("GOOGLETRANSLATE(A545 , ""tr"" , ""en"")"),"@drfahrettinkoca Bug in health will not be imperfection. The vaccines that you don't know the results of the Hani are incapable of using drugs ... https://t.co/jnwgotj94n")</f>
        <v>@drfahrettinkoca Bug in health will not be imperfection. The vaccines that you don't know the results of the Hani are incapable of using drugs ... https://t.co/jnwgotj94n</v>
      </c>
    </row>
    <row r="3747" spans="1:5" ht="15" customHeight="1" x14ac:dyDescent="0.2">
      <c r="A3747" s="1" t="s">
        <v>7489</v>
      </c>
      <c r="B3747" s="1">
        <v>0</v>
      </c>
      <c r="C3747" s="3">
        <v>44543.938206018516</v>
      </c>
      <c r="D3747" s="1" t="s">
        <v>7490</v>
      </c>
      <c r="E3747" s="1" t="str">
        <f ca="1">IFERROR(__xludf.DUMMYFUNCTION("GOOGLETRANSLATE(A546 , ""tr"" , ""en"")"),"@drfahrettinkoca If on behalf of medicine is to be good after this time is a well-established understanding change. Because Modern TIB ... https://t.co/az5ylılzvz")</f>
        <v>@drfahrettinkoca If on behalf of medicine is to be good after this time is a well-established understanding change. Because Modern TIB ... https://t.co/az5ylılzvz</v>
      </c>
    </row>
    <row r="3748" spans="1:5" ht="15" customHeight="1" x14ac:dyDescent="0.2">
      <c r="A3748" s="1" t="s">
        <v>7491</v>
      </c>
      <c r="B3748" s="1">
        <v>2</v>
      </c>
      <c r="C3748" s="3">
        <v>44543.936469907407</v>
      </c>
      <c r="D3748" s="1" t="s">
        <v>7492</v>
      </c>
      <c r="E3748" s="1" t="str">
        <f ca="1">IFERROR(__xludf.DUMMYFUNCTION("GOOGLETRANSLATE(A547 , ""tr"" , ""en"")"),"@drfahrettinka you didn't follow the science, rocker.feller medicine have obeyed what you have imposed on you. Be ... https://t.co/9b0kezq96x")</f>
        <v>@drfahrettinka you didn't follow the science, rocker.feller medicine have obeyed what you have imposed on you. Be ... https://t.co/9b0kezq96x</v>
      </c>
    </row>
    <row r="3749" spans="1:5" ht="15" customHeight="1" x14ac:dyDescent="0.2">
      <c r="A3749" s="1" t="s">
        <v>7493</v>
      </c>
      <c r="B3749" s="1">
        <v>0</v>
      </c>
      <c r="C3749" s="3">
        <v>44543.936203703706</v>
      </c>
      <c r="D3749" s="1" t="s">
        <v>7494</v>
      </c>
      <c r="E3749" s="1" t="str">
        <f ca="1">IFERROR(__xludf.DUMMYFUNCTION("GOOGLETRANSLATE(A548 , ""tr"" , ""en"")"),"@drfahrettinkoca muscle nation no need to bend to other substance")</f>
        <v>@drfahrettinkoca muscle nation no need to bend to other substance</v>
      </c>
    </row>
    <row r="3750" spans="1:5" ht="15" customHeight="1" x14ac:dyDescent="0.2">
      <c r="A3750" s="1" t="s">
        <v>7495</v>
      </c>
      <c r="B3750" s="1">
        <v>0</v>
      </c>
      <c r="C3750" s="3">
        <v>44543.935104166667</v>
      </c>
      <c r="D3750" s="1" t="s">
        <v>7496</v>
      </c>
      <c r="E3750" s="1" t="str">
        <f ca="1">IFERROR(__xludf.DUMMYFUNCTION("GOOGLETRANSLATE(A549 , ""tr"" , ""en"")"),"@drfahrettinkoca is both sad and beautiful to say that. However, it is an error in the place that happens to be thanks since the beginning ... https://t.co/pcjxxlqpbb")</f>
        <v>@drfahrettinkoca is both sad and beautiful to say that. However, it is an error in the place that happens to be thanks since the beginning ... https://t.co/pcjxxlqpbb</v>
      </c>
    </row>
    <row r="3751" spans="1:5" ht="15" customHeight="1" x14ac:dyDescent="0.2">
      <c r="A3751" s="1" t="s">
        <v>7497</v>
      </c>
      <c r="B3751" s="1">
        <v>0</v>
      </c>
      <c r="C3751" s="3">
        <v>44543.91269675926</v>
      </c>
      <c r="D3751" s="1" t="s">
        <v>7498</v>
      </c>
      <c r="E3751" s="1" t="str">
        <f ca="1">IFERROR(__xludf.DUMMYFUNCTION("GOOGLETRANSLATE(A550 , ""tr"" , ""en"")"),"@drfahrettinkoca for Allah Rizasi; Bosver don't get halality from 85 million. Yataga Inserted Consciently with Conscience ... https://t.co/ujzckpujfo")</f>
        <v>@drfahrettinkoca for Allah Rizasi; Bosver don't get halality from 85 million. Yataga Inserted Consciently with Conscience ... https://t.co/ujzckpujfo</v>
      </c>
    </row>
    <row r="3752" spans="1:5" ht="15" customHeight="1" x14ac:dyDescent="0.2">
      <c r="A3752" s="1" t="s">
        <v>7499</v>
      </c>
      <c r="B3752" s="1">
        <v>0</v>
      </c>
      <c r="C3752" s="3">
        <v>44543.897824074076</v>
      </c>
      <c r="D3752" s="1" t="s">
        <v>7500</v>
      </c>
      <c r="E3752" s="1" t="str">
        <f ca="1">IFERROR(__xludf.DUMMYFUNCTION("GOOGLETRANSLATE(A551 , ""tr"" , ""en"")"),"@drfahrettinkoca is also a pardon say and ask for halality. Let's see how many people get Halal ..")</f>
        <v>@drfahrettinkoca is also a pardon say and ask for halality. Let's see how many people get Halal ..</v>
      </c>
    </row>
    <row r="3753" spans="1:5" ht="15" customHeight="1" x14ac:dyDescent="0.2">
      <c r="A3753" s="1" t="s">
        <v>7501</v>
      </c>
      <c r="B3753" s="1">
        <v>1</v>
      </c>
      <c r="C3753" s="3">
        <v>44543.897685185184</v>
      </c>
      <c r="D3753" s="1" t="s">
        <v>7502</v>
      </c>
      <c r="E3753" s="1" t="str">
        <f ca="1">IFERROR(__xludf.DUMMYFUNCTION("GOOGLETRANSLATE(A552 , ""tr"" , ""en"")"),"@drfahrettinkoca you didn't miss hic on the hic, you have not missed the most Guzel you have done, ENFLED COVIDE YO ... https://t.co/bfca6kl9jz")</f>
        <v>@drfahrettinkoca you didn't miss hic on the hic, you have not missed the most Guzel you have done, ENFLED COVIDE YO ... https://t.co/bfca6kl9jz</v>
      </c>
    </row>
    <row r="3754" spans="1:5" ht="15" customHeight="1" x14ac:dyDescent="0.2">
      <c r="A3754" s="1" t="s">
        <v>7503</v>
      </c>
      <c r="B3754" s="1">
        <v>7</v>
      </c>
      <c r="C3754" s="3">
        <v>44543.896539351852</v>
      </c>
      <c r="D3754" s="1" t="s">
        <v>7504</v>
      </c>
      <c r="E3754" s="1" t="str">
        <f ca="1">IFERROR(__xludf.DUMMYFUNCTION("GOOGLETRANSLATE(A553 , ""tr"" , ""en"")"),"@drfahrettinkoca people who don't live without living people are burying or without anyone else finding even the soil to be burying noone rotten aminnn🤲🏻")</f>
        <v>@drfahrettinkoca people who don't live without living people are burying or without anyone else finding even the soil to be burying noone rotten aminnn🤲🏻</v>
      </c>
    </row>
    <row r="3755" spans="1:5" ht="15" customHeight="1" x14ac:dyDescent="0.2">
      <c r="A3755" s="1" t="s">
        <v>7505</v>
      </c>
      <c r="B3755" s="1">
        <v>3</v>
      </c>
      <c r="C3755" s="3">
        <v>44543.892222222225</v>
      </c>
      <c r="D3755" s="1" t="s">
        <v>7506</v>
      </c>
      <c r="E3755" s="1" t="str">
        <f ca="1">IFERROR(__xludf.DUMMYFUNCTION("GOOGLETRANSLATE(A554 , ""tr"" , ""en"")"),"@drfahrettinkoca allah witness, there is intention to the end from the beginning and will be two hands on account day.")</f>
        <v>@drfahrettinkoca allah witness, there is intention to the end from the beginning and will be two hands on account day.</v>
      </c>
    </row>
    <row r="3756" spans="1:5" ht="15" customHeight="1" x14ac:dyDescent="0.2">
      <c r="A3756" s="1" t="s">
        <v>7507</v>
      </c>
      <c r="B3756" s="1">
        <v>0</v>
      </c>
      <c r="C3756" s="3">
        <v>44543.878530092596</v>
      </c>
      <c r="D3756" s="1" t="s">
        <v>7508</v>
      </c>
      <c r="E3756" s="1" t="str">
        <f ca="1">IFERROR(__xludf.DUMMYFUNCTION("GOOGLETRANSLATE(A555 , ""tr"" , ""en"")"),"@drfahrettinkoca @drfahrettinkoca I'm not halic of you right and in the Hereafter I grabbed you. And I hope this du ... https://t.co/1j5egj2o0q")</f>
        <v>@drfahrettinkoca @drfahrettinkoca I'm not halic of you right and in the Hereafter I grabbed you. And I hope this du ... https://t.co/1j5egj2o0q</v>
      </c>
    </row>
    <row r="3757" spans="1:5" ht="15" customHeight="1" x14ac:dyDescent="0.2">
      <c r="A3757" s="1" t="s">
        <v>7509</v>
      </c>
      <c r="B3757" s="1">
        <v>2</v>
      </c>
      <c r="C3757" s="3">
        <v>44543.867199074077</v>
      </c>
      <c r="D3757" s="1" t="s">
        <v>7510</v>
      </c>
      <c r="E3757" s="1" t="str">
        <f ca="1">IFERROR(__xludf.DUMMYFUNCTION("GOOGLETRANSLATE(A556 , ""tr"" , ""en"")"),"@drfahrettinkoca intentional did not have a more epidemic start with the DSO. DSO's Sal ... https://t.co/hasg4cıj1z")</f>
        <v>@drfahrettinkoca intentional did not have a more epidemic start with the DSO. DSO's Sal ... https://t.co/hasg4cıj1z</v>
      </c>
    </row>
    <row r="3758" spans="1:5" ht="15" customHeight="1" x14ac:dyDescent="0.2">
      <c r="A3758" s="1" t="s">
        <v>7511</v>
      </c>
      <c r="B3758" s="1">
        <v>0</v>
      </c>
      <c r="C3758" s="3">
        <v>44543.863449074073</v>
      </c>
      <c r="D3758" s="1" t="s">
        <v>7512</v>
      </c>
      <c r="E3758" s="1" t="str">
        <f ca="1">IFERROR(__xludf.DUMMYFUNCTION("GOOGLETRANSLATE(A557 , ""tr"" , ""en"")"),"@drfahrettinkoca zzztt erenköy ...")</f>
        <v>@drfahrettinkoca zzztt erenköy ...</v>
      </c>
    </row>
    <row r="3759" spans="1:5" ht="15" customHeight="1" x14ac:dyDescent="0.2">
      <c r="A3759" s="1" t="s">
        <v>7513</v>
      </c>
      <c r="B3759" s="1">
        <v>0</v>
      </c>
      <c r="C3759" s="3">
        <v>44543.862060185187</v>
      </c>
      <c r="D3759" s="1" t="s">
        <v>7514</v>
      </c>
      <c r="E3759" s="1" t="str">
        <f ca="1">IFERROR(__xludf.DUMMYFUNCTION("GOOGLETRANSLATE(A558 , ""tr"" , ""en"")"),"@drfahrettinkoca I guess you're a little late.")</f>
        <v>@drfahrettinkoca I guess you're a little late.</v>
      </c>
    </row>
    <row r="3760" spans="1:5" ht="15" customHeight="1" x14ac:dyDescent="0.2">
      <c r="A3760" s="1" t="s">
        <v>7515</v>
      </c>
      <c r="B3760" s="1">
        <v>1</v>
      </c>
      <c r="C3760" s="3">
        <v>44543.861493055556</v>
      </c>
      <c r="D3760" s="1" t="s">
        <v>7516</v>
      </c>
      <c r="E3760" s="1" t="str">
        <f ca="1">IFERROR(__xludf.DUMMYFUNCTION("GOOGLETRANSLATE(A559 , ""tr"" , ""en"")"),"@drfahrettinkoca heaven is the word Sultan 4. Murad Han. This is very clear and Dai ... https://t.co/lutpuyfhaw")</f>
        <v>@drfahrettinkoca heaven is the word Sultan 4. Murad Han. This is very clear and Dai ... https://t.co/lutpuyfhaw</v>
      </c>
    </row>
    <row r="3761" spans="1:5" ht="15" customHeight="1" x14ac:dyDescent="0.2">
      <c r="A3761" s="1" t="s">
        <v>7517</v>
      </c>
      <c r="B3761" s="1">
        <v>3</v>
      </c>
      <c r="C3761" s="3">
        <v>44543.859479166669</v>
      </c>
      <c r="D3761" s="1" t="s">
        <v>7518</v>
      </c>
      <c r="E3761" s="1" t="str">
        <f ca="1">IFERROR(__xludf.DUMMYFUNCTION("GOOGLETRANSLATE(A560 , ""tr"" , ""en"")"),"@drfahrettinkoca you will be judged")</f>
        <v>@drfahrettinkoca you will be judged</v>
      </c>
    </row>
    <row r="3762" spans="1:5" ht="15" customHeight="1" x14ac:dyDescent="0.2">
      <c r="A3762" s="1" t="s">
        <v>7519</v>
      </c>
      <c r="B3762" s="1">
        <v>0</v>
      </c>
      <c r="C3762" s="3">
        <v>44543.856979166667</v>
      </c>
      <c r="D3762" s="1" t="s">
        <v>7520</v>
      </c>
      <c r="E3762" s="1" t="str">
        <f ca="1">IFERROR(__xludf.DUMMYFUNCTION("GOOGLETRANSLATE(A561 , ""tr"" , ""en"")"),"@drfahrettinkoca halan is not being blunting Mr. Minister. The decisions you give from above are inquired in the public in the people ... https://t.co/nbcahvp5q7")</f>
        <v>@drfahrettinkoca halan is not being blunting Mr. Minister. The decisions you give from above are inquired in the public in the people ... https://t.co/nbcahvp5q7</v>
      </c>
    </row>
    <row r="3763" spans="1:5" ht="15" customHeight="1" x14ac:dyDescent="0.2">
      <c r="A3763" s="1" t="s">
        <v>7521</v>
      </c>
      <c r="B3763" s="1">
        <v>1</v>
      </c>
      <c r="C3763" s="3">
        <v>44543.856759259259</v>
      </c>
      <c r="D3763" s="1" t="s">
        <v>7522</v>
      </c>
      <c r="E3763" s="1" t="str">
        <f ca="1">IFERROR(__xludf.DUMMYFUNCTION("GOOGLETRANSLATE(A562 , ""tr"" , ""en"")"),"@drfahrettinkoca I don't think you do the mistake you made sure to make sure and consciously.")</f>
        <v>@drfahrettinkoca I don't think you do the mistake you made sure to make sure and consciously.</v>
      </c>
    </row>
    <row r="3764" spans="1:5" ht="15" customHeight="1" x14ac:dyDescent="0.2">
      <c r="A3764" s="1" t="s">
        <v>7523</v>
      </c>
      <c r="B3764" s="1">
        <v>0</v>
      </c>
      <c r="C3764" s="3">
        <v>44543.854375000003</v>
      </c>
      <c r="D3764" s="1" t="s">
        <v>7524</v>
      </c>
      <c r="E3764" s="1" t="str">
        <f ca="1">IFERROR(__xludf.DUMMYFUNCTION("GOOGLETRANSLATE(A563 , ""tr"" , ""en"")"),"@drfahrettinkoca yes Mr. Minister .. You have started to sin, pardon! Tell the mistakes you make ... https://t.co/3zpjz1kuqw")</f>
        <v>@drfahrettinkoca yes Mr. Minister .. You have started to sin, pardon! Tell the mistakes you make ... https://t.co/3zpjz1kuqw</v>
      </c>
    </row>
    <row r="3765" spans="1:5" ht="15" customHeight="1" x14ac:dyDescent="0.2">
      <c r="A3765" s="1" t="s">
        <v>6908</v>
      </c>
      <c r="B3765" s="1">
        <v>0</v>
      </c>
      <c r="C3765" s="3">
        <v>44543.848240740743</v>
      </c>
      <c r="D3765" s="1" t="s">
        <v>7525</v>
      </c>
      <c r="E3765" s="1" t="str">
        <f ca="1">IFERROR(__xludf.DUMMYFUNCTION("GOOGLETRANSLATE(A564 , ""tr"" , ""en"")"),"@drfahrettinka https://t.co/se7IVVV5RBV")</f>
        <v>@drfahrettinka https://t.co/se7IVVV5RBV</v>
      </c>
    </row>
    <row r="3766" spans="1:5" ht="15" customHeight="1" x14ac:dyDescent="0.2">
      <c r="A3766" s="1" t="s">
        <v>7526</v>
      </c>
      <c r="B3766" s="1">
        <v>0</v>
      </c>
      <c r="C3766" s="3">
        <v>44543.847430555557</v>
      </c>
      <c r="D3766" s="1" t="s">
        <v>7527</v>
      </c>
      <c r="E3766" s="1" t="str">
        <f ca="1">IFERROR(__xludf.DUMMYFUNCTION("GOOGLETRANSLATE(A565 , ""tr"" , ""en"")"),"@drfahrettinka day revenue account returns. Public conscience.")</f>
        <v>@drfahrettinka day revenue account returns. Public conscience.</v>
      </c>
    </row>
    <row r="3767" spans="1:5" ht="15" customHeight="1" x14ac:dyDescent="0.2">
      <c r="A3767" s="1" t="s">
        <v>7528</v>
      </c>
      <c r="B3767" s="1">
        <v>0</v>
      </c>
      <c r="C3767" s="3">
        <v>44543.847268518519</v>
      </c>
      <c r="D3767" s="1" t="s">
        <v>7529</v>
      </c>
      <c r="E3767" s="1" t="str">
        <f ca="1">IFERROR(__xludf.DUMMYFUNCTION("GOOGLETRANSLATE(A566 , ""tr"" , ""en"")"),"@drfahrettinkoca personally my right is haram whether it's the troubles of your face in this world is your creep in this world ... https://t.co/oatwfhzecu")</f>
        <v>@drfahrettinkoca personally my right is haram whether it's the troubles of your face in this world is your creep in this world ... https://t.co/oatwfhzecu</v>
      </c>
    </row>
    <row r="3768" spans="1:5" ht="15" customHeight="1" x14ac:dyDescent="0.2">
      <c r="A3768" s="1" t="s">
        <v>7530</v>
      </c>
      <c r="B3768" s="1">
        <v>3</v>
      </c>
      <c r="C3768" s="3">
        <v>44543.846238425926</v>
      </c>
      <c r="D3768" s="1" t="s">
        <v>7531</v>
      </c>
      <c r="E3768" s="1" t="str">
        <f ca="1">IFERROR(__xludf.DUMMYFUNCTION("GOOGLETRANSLATE(A567 , ""tr"" , ""en"")"),"@drfahrettinkoca https://t.co/xqkgu9ugmp Description of Vanity Fair magazine")</f>
        <v>@drfahrettinkoca https://t.co/xqkgu9ugmp Description of Vanity Fair magazine</v>
      </c>
    </row>
    <row r="3769" spans="1:5" ht="15" customHeight="1" x14ac:dyDescent="0.2">
      <c r="A3769" s="1" t="s">
        <v>7532</v>
      </c>
      <c r="B3769" s="1">
        <v>0</v>
      </c>
      <c r="C3769" s="3">
        <v>44543.846076388887</v>
      </c>
      <c r="D3769" s="1" t="s">
        <v>7533</v>
      </c>
      <c r="E3769" s="1" t="str">
        <f ca="1">IFERROR(__xludf.DUMMYFUNCTION("GOOGLETRANSLATE(A568 , ""tr"" , ""en"")"),"@drfahrettinkoca ooohhh What GUZEL is on the way to science")</f>
        <v>@drfahrettinkoca ooohhh What GUZEL is on the way to science</v>
      </c>
    </row>
    <row r="3770" spans="1:5" ht="15" customHeight="1" x14ac:dyDescent="0.2">
      <c r="A3770" s="1" t="s">
        <v>7534</v>
      </c>
      <c r="B3770" s="1">
        <v>0</v>
      </c>
      <c r="C3770" s="3">
        <v>44543.839085648149</v>
      </c>
      <c r="D3770" s="1" t="s">
        <v>7535</v>
      </c>
      <c r="E3770" s="1" t="str">
        <f ca="1">IFERROR(__xludf.DUMMYFUNCTION("GOOGLETRANSLATE(A569 , ""tr"" , ""en"")"),"@drfahrettinkoca hocam you quit meat tardic time came over come on abi")</f>
        <v>@drfahrettinkoca hocam you quit meat tardic time came over come on abi</v>
      </c>
    </row>
    <row r="3771" spans="1:5" ht="15" customHeight="1" x14ac:dyDescent="0.2">
      <c r="A3771" s="1" t="s">
        <v>7536</v>
      </c>
      <c r="B3771" s="1">
        <v>1</v>
      </c>
      <c r="C3771" s="3">
        <v>44543.838807870372</v>
      </c>
      <c r="D3771" s="1" t="s">
        <v>7537</v>
      </c>
      <c r="E3771" s="1" t="str">
        <f ca="1">IFERROR(__xludf.DUMMYFUNCTION("GOOGLETRANSLATE(A570 , ""tr"" , ""en"")"),"@drfahrettinkoca is called wrong without knowing; Yours are intentionally and willingly made evils, you made ... https://t.co/Iervnd3mgn")</f>
        <v>@drfahrettinkoca is called wrong without knowing; Yours are intentionally and willingly made evils, you made ... https://t.co/Iervnd3mgn</v>
      </c>
    </row>
    <row r="3772" spans="1:5" ht="15" customHeight="1" x14ac:dyDescent="0.2">
      <c r="A3772" s="1" t="s">
        <v>7538</v>
      </c>
      <c r="B3772" s="1">
        <v>0</v>
      </c>
      <c r="C3772" s="3">
        <v>44543.838738425926</v>
      </c>
      <c r="D3772" s="1" t="s">
        <v>7539</v>
      </c>
      <c r="E3772" s="1" t="str">
        <f ca="1">IFERROR(__xludf.DUMMYFUNCTION("GOOGLETRANSLATE(A571 , ""tr"" , ""en"")"),"@drfahrettinkoca Your deficiencies DI DI have made your task anymore where you had orders no longer the right to give a ... https://t.co/vbpavfnyii")</f>
        <v>@drfahrettinkoca Your deficiencies DI DI have made your task anymore where you had orders no longer the right to give a ... https://t.co/vbpavfnyii</v>
      </c>
    </row>
    <row r="3773" spans="1:5" ht="15" customHeight="1" x14ac:dyDescent="0.2">
      <c r="A3773" s="1" t="s">
        <v>7540</v>
      </c>
      <c r="B3773" s="1">
        <v>0</v>
      </c>
      <c r="C3773" s="3">
        <v>44543.829097222224</v>
      </c>
      <c r="D3773" s="1" t="s">
        <v>7541</v>
      </c>
      <c r="E3773" s="1" t="str">
        <f ca="1">IFERROR(__xludf.DUMMYFUNCTION("GOOGLETRANSLATE(A572 , ""tr"" , ""en"")"),"@drfahrettinkoca that mistake is in my mind if you have a pardon? Squeeze a human to a human being puzzled for a pardon ... https://t.co/xbk3f7gw6u")</f>
        <v>@drfahrettinkoca that mistake is in my mind if you have a pardon? Squeeze a human to a human being puzzled for a pardon ... https://t.co/xbk3f7gw6u</v>
      </c>
    </row>
    <row r="3774" spans="1:5" ht="15" customHeight="1" x14ac:dyDescent="0.2">
      <c r="A3774" s="1" t="s">
        <v>7542</v>
      </c>
      <c r="B3774" s="1">
        <v>0</v>
      </c>
      <c r="C3774" s="3">
        <v>44543.821469907409</v>
      </c>
      <c r="D3774" s="1" t="s">
        <v>7543</v>
      </c>
      <c r="E3774" s="1" t="str">
        <f ca="1">IFERROR(__xludf.DUMMYFUNCTION("GOOGLETRANSLATE(A573 , ""tr"" , ""en"")"),"@drfahrettinkoca I say didn't want to be?")</f>
        <v>@drfahrettinkoca I say didn't want to be?</v>
      </c>
    </row>
    <row r="3775" spans="1:5" ht="15" customHeight="1" x14ac:dyDescent="0.2">
      <c r="A3775" s="1" t="s">
        <v>7544</v>
      </c>
      <c r="B3775" s="1">
        <v>0</v>
      </c>
      <c r="C3775" s="3">
        <v>44543.817858796298</v>
      </c>
      <c r="D3775" s="1" t="s">
        <v>7545</v>
      </c>
      <c r="E3775" s="1" t="str">
        <f ca="1">IFERROR(__xludf.DUMMYFUNCTION("GOOGLETRANSLATE(A574 , ""tr"" , ""en"")"),"@drfahrettinkoca I don't Halal I'm not Halal Babami You received our loved ones from us from us to my Lord's account ... HTTPS://T.CO/CRROBQDUI4")</f>
        <v>@drfahrettinkoca I don't Halal I'm not Halal Babami You received our loved ones from us from us to my Lord's account ... HTTPS://T.CO/CRROBQDUI4</v>
      </c>
    </row>
    <row r="3776" spans="1:5" ht="15" customHeight="1" x14ac:dyDescent="0.2">
      <c r="A3776" s="1" t="s">
        <v>7546</v>
      </c>
      <c r="B3776" s="1">
        <v>0</v>
      </c>
      <c r="C3776" s="3">
        <v>44543.808888888889</v>
      </c>
      <c r="D3776" s="1" t="s">
        <v>7547</v>
      </c>
      <c r="E3776" s="1" t="str">
        <f ca="1">IFERROR(__xludf.DUMMYFUNCTION("GOOGLETRANSLATE(A575 , ""tr"" , ""en"")"),"If @drfahrettinkoca is not intentionally, you are unless you are gafe and the community health is to be left to the gaffles. Pandemi Yala ... https://t.co/wsnv1w1scj")</f>
        <v>If @drfahrettinkoca is not intentionally, you are unless you are gafe and the community health is to be left to the gaffles. Pandemi Yala ... https://t.co/wsnv1w1scj</v>
      </c>
    </row>
    <row r="3777" spans="1:5" ht="15" customHeight="1" x14ac:dyDescent="0.2">
      <c r="A3777" s="1" t="s">
        <v>7548</v>
      </c>
      <c r="B3777" s="1">
        <v>8</v>
      </c>
      <c r="C3777" s="3">
        <v>44543.808530092596</v>
      </c>
      <c r="D3777" s="1" t="s">
        <v>7549</v>
      </c>
      <c r="E3777" s="1" t="str">
        <f ca="1">IFERROR(__xludf.DUMMYFUNCTION("GOOGLETRANSLATE(A576 , ""tr"" , ""en"")"),"@drfahrettinkoca you describe your o ""mistake"", but it is fine, even the time you agree to request ... https://t.co/lx8yovphlb")</f>
        <v>@drfahrettinkoca you describe your o "mistake", but it is fine, even the time you agree to request ... https://t.co/lx8yovphlb</v>
      </c>
    </row>
    <row r="3778" spans="1:5" ht="15" customHeight="1" x14ac:dyDescent="0.2">
      <c r="A3778" s="1" t="s">
        <v>7550</v>
      </c>
      <c r="B3778" s="1">
        <v>11</v>
      </c>
      <c r="C3778" s="3">
        <v>44543.807187500002</v>
      </c>
      <c r="D3778" s="1" t="s">
        <v>7551</v>
      </c>
      <c r="E3778" s="1" t="str">
        <f ca="1">IFERROR(__xludf.DUMMYFUNCTION("GOOGLETRANSLATE(A577 , ""tr"" , ""en"")"),"@drfahrettinkoca We are not forgiving about us Haram Kıram")</f>
        <v>@drfahrettinkoca We are not forgiving about us Haram Kıram</v>
      </c>
    </row>
    <row r="3779" spans="1:5" ht="15" customHeight="1" x14ac:dyDescent="0.2">
      <c r="A3779" s="1" t="s">
        <v>7552</v>
      </c>
      <c r="B3779" s="1">
        <v>0</v>
      </c>
      <c r="C3779" s="3">
        <v>44543.806307870371</v>
      </c>
      <c r="D3779" s="1" t="s">
        <v>7553</v>
      </c>
      <c r="E3779" s="1" t="str">
        <f ca="1">IFERROR(__xludf.DUMMYFUNCTION("GOOGLETRANSLATE(A578 , ""tr"" , ""en"")"),"@drfahrettinkoca first health minister tell us allah's grace of Allah. I followed more carefully.")</f>
        <v>@drfahrettinkoca first health minister tell us allah's grace of Allah. I followed more carefully.</v>
      </c>
    </row>
    <row r="3780" spans="1:5" ht="15" customHeight="1" x14ac:dyDescent="0.2">
      <c r="A3780" s="1" t="s">
        <v>7554</v>
      </c>
      <c r="B3780" s="1">
        <v>0</v>
      </c>
      <c r="C3780" s="3">
        <v>44543.805983796294</v>
      </c>
      <c r="D3780" s="1" t="s">
        <v>7555</v>
      </c>
      <c r="E3780" s="1" t="str">
        <f ca="1">IFERROR(__xludf.DUMMYFUNCTION("GOOGLETRANSLATE(A579 , ""tr"" , ""en"")"),"@drfahrettinkoca you are asking for the fluids you have made of the drugs you have to drink !!!")</f>
        <v>@drfahrettinkoca you are asking for the fluids you have made of the drugs you have to drink !!!</v>
      </c>
    </row>
    <row r="3781" spans="1:5" ht="15" customHeight="1" x14ac:dyDescent="0.2">
      <c r="A3781" s="1" t="s">
        <v>7556</v>
      </c>
      <c r="B3781" s="1">
        <v>0</v>
      </c>
      <c r="C3781" s="3">
        <v>44543.800405092596</v>
      </c>
      <c r="D3781" s="1" t="s">
        <v>7557</v>
      </c>
      <c r="E3781" s="1" t="str">
        <f ca="1">IFERROR(__xludf.DUMMYFUNCTION("GOOGLETRANSLATE(A580 , ""tr"" , ""en"")"),"@drfahrettinka https://t.co/64jrlwfqug")</f>
        <v>@drfahrettinka https://t.co/64jrlwfqug</v>
      </c>
    </row>
    <row r="3782" spans="1:5" ht="15" customHeight="1" x14ac:dyDescent="0.2">
      <c r="A3782" s="1" t="s">
        <v>7558</v>
      </c>
      <c r="B3782" s="1">
        <v>1</v>
      </c>
      <c r="C3782" s="3">
        <v>44543.796516203707</v>
      </c>
      <c r="D3782" s="1" t="s">
        <v>7559</v>
      </c>
      <c r="E3782" s="1" t="str">
        <f ca="1">IFERROR(__xludf.DUMMYFUNCTION("GOOGLETRANSLATE(A581 , ""tr"" , ""en"")"),"@drfahrettinkoca I have remaided you to allah on your sin of so many people, Lord is neither in this world neither in this world ... https://t.co/0f9ayq1np8")</f>
        <v>@drfahrettinkoca I have remaided you to allah on your sin of so many people, Lord is neither in this world neither in this world ... https://t.co/0f9ayq1np8</v>
      </c>
    </row>
    <row r="3783" spans="1:5" ht="15" customHeight="1" x14ac:dyDescent="0.2">
      <c r="A3783" s="1" t="s">
        <v>7560</v>
      </c>
      <c r="B3783" s="1">
        <v>0</v>
      </c>
      <c r="C3783" s="3">
        <v>44542.998553240737</v>
      </c>
      <c r="D3783" s="1" t="s">
        <v>7561</v>
      </c>
      <c r="E3783" s="1" t="str">
        <f ca="1">IFERROR(__xludf.DUMMYFUNCTION("GOOGLETRANSLATE(A582 , ""tr"" , ""en"")"),"@drfahrettinkoca my nenem was because of these impositions from the hospital she went on the hospital she is from the deadly medicine ... https://t.co/n0evef42yf")</f>
        <v>@drfahrettinkoca my nenem was because of these impositions from the hospital she went on the hospital she is from the deadly medicine ... https://t.co/n0evef42yf</v>
      </c>
    </row>
    <row r="3784" spans="1:5" ht="15" customHeight="1" x14ac:dyDescent="0.2">
      <c r="A3784" s="1" t="s">
        <v>7562</v>
      </c>
      <c r="B3784" s="1">
        <v>0</v>
      </c>
      <c r="C3784" s="3">
        <v>44542.982858796298</v>
      </c>
      <c r="D3784" s="1" t="s">
        <v>7563</v>
      </c>
      <c r="E3784" s="1" t="str">
        <f ca="1">IFERROR(__xludf.DUMMYFUNCTION("GOOGLETRANSLATE(A583 , ""tr"" , ""en"")"),"@drfahrettinka Minister please don't make empty. We are aware of the production to continue accompanied by the necessary measures but students ... https://t.co/11xxbdpf5e")</f>
        <v>@drfahrettinka Minister please don't make empty. We are aware of the production to continue accompanied by the necessary measures but students ... https://t.co/11xxbdpf5e</v>
      </c>
    </row>
    <row r="3785" spans="1:5" ht="15" customHeight="1" x14ac:dyDescent="0.2">
      <c r="A3785" s="1" t="s">
        <v>7564</v>
      </c>
      <c r="B3785" s="1">
        <v>0</v>
      </c>
      <c r="C3785" s="3">
        <v>44542.981840277775</v>
      </c>
      <c r="D3785" s="1" t="s">
        <v>7565</v>
      </c>
      <c r="E3785" s="1" t="str">
        <f ca="1">IFERROR(__xludf.DUMMYFUNCTION("GOOGLETRANSLATE(A584 , ""tr"" , ""en"")"),"@drfahrettinkoca trying to figure it is what is comfortable what is comfortable.")</f>
        <v>@drfahrettinkoca trying to figure it is what is comfortable what is comfortable.</v>
      </c>
    </row>
    <row r="3786" spans="1:5" ht="15" customHeight="1" x14ac:dyDescent="0.2">
      <c r="A3786" s="1" t="s">
        <v>7566</v>
      </c>
      <c r="B3786" s="1">
        <v>4</v>
      </c>
      <c r="C3786" s="3">
        <v>44542.98033564815</v>
      </c>
      <c r="D3786" s="1" t="s">
        <v>7567</v>
      </c>
      <c r="E3786" s="1" t="str">
        <f ca="1">IFERROR(__xludf.DUMMYFUNCTION("GOOGLETRANSLATE(A585 , ""tr"" , ""en"")"),"@drfahrettinkoca court says? Aklima Mast Historic History Of Eight Aksam Eight Given Pavripiravirler came. Ha ... https://t.co/pyballndxj")</f>
        <v>@drfahrettinkoca court says? Aklima Mast Historic History Of Eight Aksam Eight Given Pavripiravirler came. Ha ... https://t.co/pyballndxj</v>
      </c>
    </row>
    <row r="3787" spans="1:5" ht="15" customHeight="1" x14ac:dyDescent="0.2">
      <c r="A3787" s="1" t="s">
        <v>7568</v>
      </c>
      <c r="B3787" s="1">
        <v>0</v>
      </c>
      <c r="C3787" s="3">
        <v>44542.973680555559</v>
      </c>
      <c r="D3787" s="1" t="s">
        <v>7569</v>
      </c>
      <c r="E3787" s="1" t="str">
        <f ca="1">IFERROR(__xludf.DUMMYFUNCTION("GOOGLETRANSLATE(A586 , ""tr"" , ""en"")"),"@drfahrettinkoca intention if no residual resend, you should resign immediately after plowing our heads to our heads")</f>
        <v>@drfahrettinkoca intention if no residual resend, you should resign immediately after plowing our heads to our heads</v>
      </c>
    </row>
    <row r="3788" spans="1:5" ht="15" customHeight="1" x14ac:dyDescent="0.2">
      <c r="A3788" s="1" t="s">
        <v>7570</v>
      </c>
      <c r="B3788" s="1">
        <v>0</v>
      </c>
      <c r="C3788" s="3">
        <v>44542.973194444443</v>
      </c>
      <c r="D3788" s="1" t="s">
        <v>7571</v>
      </c>
      <c r="E3788" s="1" t="str">
        <f ca="1">IFERROR(__xludf.DUMMYFUNCTION("GOOGLETRANSLATE(A587 , ""tr"" , ""en"")"),"@drfahrettinkoca Abord Mr. Minister You can't be stripped so easy, you will be judged ...")</f>
        <v>@drfahrettinkoca Abord Mr. Minister You can't be stripped so easy, you will be judged ...</v>
      </c>
    </row>
    <row r="3789" spans="1:5" ht="15" customHeight="1" x14ac:dyDescent="0.2">
      <c r="A3789" s="1" t="s">
        <v>7572</v>
      </c>
      <c r="B3789" s="1">
        <v>0</v>
      </c>
      <c r="C3789" s="3">
        <v>44542.973090277781</v>
      </c>
      <c r="D3789" s="1" t="s">
        <v>7573</v>
      </c>
      <c r="E3789" s="1" t="str">
        <f ca="1">IFERROR(__xludf.DUMMYFUNCTION("GOOGLETRANSLATE(A588 , ""tr"" , ""en"")"),"@drfahrettinkoca gene is he will be judged !!!")</f>
        <v>@drfahrettinkoca gene is he will be judged !!!</v>
      </c>
    </row>
    <row r="3790" spans="1:5" ht="15" customHeight="1" x14ac:dyDescent="0.2">
      <c r="A3790" s="1" t="s">
        <v>7574</v>
      </c>
      <c r="B3790" s="1">
        <v>0</v>
      </c>
      <c r="C3790" s="3">
        <v>44542.969988425924</v>
      </c>
      <c r="D3790" s="1" t="s">
        <v>7575</v>
      </c>
      <c r="E3790" s="1" t="str">
        <f ca="1">IFERROR(__xludf.DUMMYFUNCTION("GOOGLETRANSLATE(A589 , ""tr"" , ""en"")"),"@drfahrettinkoca 23 April kids are coming in my mind, your lokback but you don't have any entitlement")</f>
        <v>@drfahrettinkoca 23 April kids are coming in my mind, your lokback but you don't have any entitlement</v>
      </c>
    </row>
    <row r="3791" spans="1:5" ht="15" customHeight="1" x14ac:dyDescent="0.2">
      <c r="A3791" s="1" t="s">
        <v>7576</v>
      </c>
      <c r="B3791" s="1">
        <v>104</v>
      </c>
      <c r="C3791" s="3">
        <v>44542.969409722224</v>
      </c>
      <c r="D3791" s="1" t="s">
        <v>7577</v>
      </c>
      <c r="E3791" s="1" t="str">
        <f ca="1">IFERROR(__xludf.DUMMYFUNCTION("GOOGLETRANSLATE(A590 , ""tr"" , ""en"")"),"What error is @drfahrettinkoca")</f>
        <v>What error is @drfahrettinkoca</v>
      </c>
    </row>
    <row r="3792" spans="1:5" ht="15" customHeight="1" x14ac:dyDescent="0.2">
      <c r="A3792" s="1" t="s">
        <v>7578</v>
      </c>
      <c r="B3792" s="1">
        <v>0</v>
      </c>
      <c r="C3792" s="3">
        <v>44542.965486111112</v>
      </c>
      <c r="D3792" s="1" t="s">
        <v>7579</v>
      </c>
      <c r="E3792" s="1" t="str">
        <f ca="1">IFERROR(__xludf.DUMMYFUNCTION("GOOGLETRANSLATE(A591 , ""tr"" , ""en"")"),"@drfahrettinkoca Tactiri Do you bore my nation? About me Halal, you have finished us, no mask, None HES code, Bi ... https://t.co/wimkjvhh7h")</f>
        <v>@drfahrettinkoca Tactiri Do you bore my nation? About me Halal, you have finished us, no mask, None HES code, Bi ... https://t.co/wimkjvhh7h</v>
      </c>
    </row>
    <row r="3793" spans="1:5" ht="15" customHeight="1" x14ac:dyDescent="0.2">
      <c r="A3793" s="1" t="s">
        <v>7580</v>
      </c>
      <c r="B3793" s="1">
        <v>0</v>
      </c>
      <c r="C3793" s="3">
        <v>44542.959768518522</v>
      </c>
      <c r="D3793" s="1" t="s">
        <v>7581</v>
      </c>
      <c r="E3793" s="1" t="str">
        <f ca="1">IFERROR(__xludf.DUMMYFUNCTION("GOOGLETRANSLATE(A592 , ""tr"" , ""en"")"),"@drfahrettinka Minister Bey You folded the capital 3 E perhaps 4 as of now. Cavit 19 my uncle is normal that you love so much.")</f>
        <v>@drfahrettinka Minister Bey You folded the capital 3 E perhaps 4 as of now. Cavit 19 my uncle is normal that you love so much.</v>
      </c>
    </row>
    <row r="3794" spans="1:5" ht="15" customHeight="1" x14ac:dyDescent="0.2">
      <c r="A3794" s="1" t="s">
        <v>7582</v>
      </c>
      <c r="B3794" s="1">
        <v>0</v>
      </c>
      <c r="C3794" s="3">
        <v>44542.956967592596</v>
      </c>
      <c r="D3794" s="1" t="s">
        <v>7583</v>
      </c>
      <c r="E3794" s="1" t="str">
        <f ca="1">IFERROR(__xludf.DUMMYFUNCTION("GOOGLETRANSLATE(A593 , ""tr"" , ""en"")"),"@drfahrettinkoca 13 months Assignment as someone waiting for my life I never forget you in my way to call you")</f>
        <v>@drfahrettinkoca 13 months Assignment as someone waiting for my life I never forget you in my way to call you</v>
      </c>
    </row>
    <row r="3795" spans="1:5" ht="15" customHeight="1" x14ac:dyDescent="0.2">
      <c r="A3795" s="1" t="s">
        <v>7584</v>
      </c>
      <c r="B3795" s="1">
        <v>0</v>
      </c>
      <c r="C3795" s="3">
        <v>44542.952881944446</v>
      </c>
      <c r="D3795" s="1" t="s">
        <v>7585</v>
      </c>
      <c r="E3795" s="1" t="str">
        <f ca="1">IFERROR(__xludf.DUMMYFUNCTION("GOOGLETRANSLATE(A594 , ""tr"" , ""en"")"),"@drfahrettinkoca Put your hand on your conscience please contact schools in online education cases every day in dorms. ... https://t.co/jperqtlsda")</f>
        <v>@drfahrettinkoca Put your hand on your conscience please contact schools in online education cases every day in dorms. ... https://t.co/jperqtlsda</v>
      </c>
    </row>
    <row r="3796" spans="1:5" ht="15" customHeight="1" x14ac:dyDescent="0.2">
      <c r="A3796" s="1" t="s">
        <v>7586</v>
      </c>
      <c r="B3796" s="1">
        <v>37</v>
      </c>
      <c r="C3796" s="3">
        <v>44542.95212962963</v>
      </c>
      <c r="D3796" s="1" t="s">
        <v>7587</v>
      </c>
      <c r="E3796" s="1" t="str">
        <f ca="1">IFERROR(__xludf.DUMMYFUNCTION("GOOGLETRANSLATE(A595 , ""tr"" , ""en"")"),"@drfahrettinkoca deliberately without scientific study for mandatory vaccination and mask obligation, the word ... https://t.co/zcpt0hov5l")</f>
        <v>@drfahrettinkoca deliberately without scientific study for mandatory vaccination and mask obligation, the word ... https://t.co/zcpt0hov5l</v>
      </c>
    </row>
    <row r="3797" spans="1:5" ht="15" customHeight="1" x14ac:dyDescent="0.2">
      <c r="A3797" s="1" t="s">
        <v>7588</v>
      </c>
      <c r="B3797" s="1">
        <v>0</v>
      </c>
      <c r="C3797" s="3">
        <v>44542.951111111113</v>
      </c>
      <c r="D3797" s="1" t="s">
        <v>7589</v>
      </c>
      <c r="E3797" s="1" t="str">
        <f ca="1">IFERROR(__xludf.DUMMYFUNCTION("GOOGLETRANSLATE(A596 , ""tr"" , ""en"")"),"@drfahrettinkoca you will account for both Allah to the Supreme Turkish Nation. Injured with the drugs given ... https://t.co/n0ksntfazr")</f>
        <v>@drfahrettinkoca you will account for both Allah to the Supreme Turkish Nation. Injured with the drugs given ... https://t.co/n0ksntfazr</v>
      </c>
    </row>
    <row r="3798" spans="1:5" ht="15" customHeight="1" x14ac:dyDescent="0.2">
      <c r="A3798" s="1" t="s">
        <v>7590</v>
      </c>
      <c r="B3798" s="1">
        <v>0</v>
      </c>
      <c r="C3798" s="3">
        <v>44542.949942129628</v>
      </c>
      <c r="D3798" s="1" t="s">
        <v>7591</v>
      </c>
      <c r="E3798" s="1" t="str">
        <f ca="1">IFERROR(__xludf.DUMMYFUNCTION("GOOGLETRANSLATE(A597 , ""tr"" , ""en"")"),"@drfahrettinkoca first times though errors are acceptable but this is the history over time ... https://t.co/hmıifemo6d")</f>
        <v>@drfahrettinkoca first times though errors are acceptable but this is the history over time ... https://t.co/hmıifemo6d</v>
      </c>
    </row>
    <row r="3799" spans="1:5" ht="15" customHeight="1" x14ac:dyDescent="0.2">
      <c r="A3799" s="1" t="s">
        <v>7592</v>
      </c>
      <c r="B3799" s="1">
        <v>0</v>
      </c>
      <c r="C3799" s="3">
        <v>44542.946759259263</v>
      </c>
      <c r="D3799" s="1" t="s">
        <v>7593</v>
      </c>
      <c r="E3799" s="1" t="str">
        <f ca="1">IFERROR(__xludf.DUMMYFUNCTION("GOOGLETRANSLATE(A598 , ""tr"" , ""en"")"),"@drfahrettinkoca bi sus bi sus bi shut up, may allah give")</f>
        <v>@drfahrettinkoca bi sus bi sus bi shut up, may allah give</v>
      </c>
    </row>
    <row r="3800" spans="1:5" ht="15" customHeight="1" x14ac:dyDescent="0.2">
      <c r="A3800" s="1" t="s">
        <v>7594</v>
      </c>
      <c r="B3800" s="1">
        <v>0</v>
      </c>
      <c r="C3800" s="3">
        <v>44542.945069444446</v>
      </c>
      <c r="D3800" s="1" t="s">
        <v>7595</v>
      </c>
      <c r="E3800" s="1" t="str">
        <f ca="1">IFERROR(__xludf.DUMMYFUNCTION("GOOGLETRANSLATE(A599 , ""tr"" , ""en"")"),"@drfahrettinkoca Corona virus started to be disease of the fact that my child is unstuded from the opened hospital? Why?")</f>
        <v>@drfahrettinkoca Corona virus started to be disease of the fact that my child is unstuded from the opened hospital? Why?</v>
      </c>
    </row>
    <row r="3801" spans="1:5" ht="15" customHeight="1" x14ac:dyDescent="0.2">
      <c r="A3801" s="1" t="s">
        <v>7596</v>
      </c>
      <c r="B3801" s="1">
        <v>1</v>
      </c>
      <c r="C3801" s="3">
        <v>44542.94326388889</v>
      </c>
      <c r="D3801" s="1" t="s">
        <v>7597</v>
      </c>
      <c r="E3801" s="1" t="str">
        <f ca="1">IFERROR(__xludf.DUMMYFUNCTION("GOOGLETRANSLATE(A600 , ""tr"" , ""en"")"),"@drfahrettinkoca is more than a student who has been awarded our classroom teacher today, is a student who has been infected in the classroom. Https://t.co/r3opiqvhub")</f>
        <v>@drfahrettinkoca is more than a student who has been awarded our classroom teacher today, is a student who has been infected in the classroom. Https://t.co/r3opiqvhub</v>
      </c>
    </row>
    <row r="3802" spans="1:5" ht="15" customHeight="1" x14ac:dyDescent="0.2">
      <c r="A3802" s="1" t="s">
        <v>7598</v>
      </c>
      <c r="B3802" s="1">
        <v>0</v>
      </c>
      <c r="C3802" s="3">
        <v>44542.940069444441</v>
      </c>
      <c r="D3802" s="1" t="s">
        <v>7599</v>
      </c>
      <c r="E3802" s="1" t="str">
        <f ca="1">IFERROR(__xludf.DUMMYFUNCTION("GOOGLETRANSLATE(A601 , ""tr"" , ""en"")"),"@drfahrettinkoca is the mistake that happens in the place, it is missing what you are missing what I wish I wish the Ministry of Malpractics is also included in Malpractic ... https://t.co/fansguxylc")</f>
        <v>@drfahrettinkoca is the mistake that happens in the place, it is missing what you are missing what I wish I wish the Ministry of Malpractics is also included in Malpractic ... https://t.co/fansguxylc</v>
      </c>
    </row>
    <row r="3803" spans="1:5" ht="15" customHeight="1" x14ac:dyDescent="0.2">
      <c r="A3803" s="1" t="s">
        <v>7600</v>
      </c>
      <c r="B3803" s="1">
        <v>0</v>
      </c>
      <c r="C3803" s="3">
        <v>44542.93959490741</v>
      </c>
      <c r="D3803" s="1" t="s">
        <v>7601</v>
      </c>
      <c r="E3803" s="1" t="str">
        <f ca="1">IFERROR(__xludf.DUMMYFUNCTION("GOOGLETRANSLATE(A602 , ""tr"" , ""en"")"),"@drfahrettinkoca Fahrettin Save resign meat Save the sail ship sinking. And turn between the people of")</f>
        <v>@drfahrettinkoca Fahrettin Save resign meat Save the sail ship sinking. And turn between the people of</v>
      </c>
    </row>
    <row r="3804" spans="1:5" ht="15" customHeight="1" x14ac:dyDescent="0.2">
      <c r="A3804" s="1" t="s">
        <v>7602</v>
      </c>
      <c r="B3804" s="1">
        <v>0</v>
      </c>
      <c r="C3804" s="3">
        <v>44542.93959490741</v>
      </c>
      <c r="D3804" s="1" t="s">
        <v>7603</v>
      </c>
      <c r="E3804" s="1" t="str">
        <f ca="1">IFERROR(__xludf.DUMMYFUNCTION("GOOGLETRANSLATE(A603 , ""tr"" , ""en"")"),"@drfahrettinka as the institution that makes your job best. https://t.co/bpqse6z7ol")</f>
        <v>@drfahrettinka as the institution that makes your job best. https://t.co/bpqse6z7ol</v>
      </c>
    </row>
    <row r="3805" spans="1:5" ht="15" customHeight="1" x14ac:dyDescent="0.2">
      <c r="A3805" s="1" t="s">
        <v>7604</v>
      </c>
      <c r="B3805" s="1">
        <v>1</v>
      </c>
      <c r="C3805" s="3">
        <v>44542.937268518515</v>
      </c>
      <c r="D3805" s="1" t="s">
        <v>7605</v>
      </c>
      <c r="E3805" s="1" t="str">
        <f ca="1">IFERROR(__xludf.DUMMYFUNCTION("GOOGLETRANSLATE(A604 , ""tr"" , ""en"")"),"@drfahrettinkaAfave Hee he")</f>
        <v>@drfahrettinkaAfave Hee he</v>
      </c>
    </row>
    <row r="3806" spans="1:5" ht="15" customHeight="1" x14ac:dyDescent="0.2">
      <c r="A3806" s="1" t="s">
        <v>7606</v>
      </c>
      <c r="B3806" s="1">
        <v>0</v>
      </c>
      <c r="C3806" s="3">
        <v>44542.935729166667</v>
      </c>
      <c r="D3806" s="1" t="s">
        <v>7607</v>
      </c>
      <c r="E3806" s="1" t="str">
        <f ca="1">IFERROR(__xludf.DUMMYFUNCTION("GOOGLETRANSLATE(A605 , ""tr"" , ""en"")"),"@drfahrettinkoca 'Drop Now I will say that I will call the @drfahrettinkoca, but I'm going to say empty ... https://t.co/j2zzwxrkjo")</f>
        <v>@drfahrettinkoca 'Drop Now I will say that I will call the @drfahrettinkoca, but I'm going to say empty ... https://t.co/j2zzwxrkjo</v>
      </c>
    </row>
    <row r="3807" spans="1:5" ht="15" customHeight="1" x14ac:dyDescent="0.2">
      <c r="A3807" s="1" t="s">
        <v>7608</v>
      </c>
      <c r="B3807" s="1">
        <v>2</v>
      </c>
      <c r="C3807" s="3">
        <v>44542.934467592589</v>
      </c>
      <c r="D3807" s="1" t="s">
        <v>7609</v>
      </c>
      <c r="E3807" s="1" t="str">
        <f ca="1">IFERROR(__xludf.DUMMYFUNCTION("GOOGLETRANSLATE(A606 , ""tr"" , ""en"")"),"@drfahrettinkoca Health is called Malpractis when the health is called Malpractice, there is also a place in law")</f>
        <v>@drfahrettinkoca Health is called Malpractis when the health is called Malpractice, there is also a place in law</v>
      </c>
    </row>
    <row r="3808" spans="1:5" ht="15" customHeight="1" x14ac:dyDescent="0.2">
      <c r="A3808" s="1" t="s">
        <v>7610</v>
      </c>
      <c r="B3808" s="1">
        <v>28</v>
      </c>
      <c r="C3808" s="3">
        <v>44542.934340277781</v>
      </c>
      <c r="D3808" s="1" t="s">
        <v>7611</v>
      </c>
      <c r="E3808" s="1" t="str">
        <f ca="1">IFERROR(__xludf.DUMMYFUNCTION("GOOGLETRANSLATE(A607 , ""tr"" , ""en"")"),"@drfahrettinkoca Humans have forced the choice between bread and experimental fluid. Wow sir has been our mistakes too ... https://t.co/ulsu0g673c")</f>
        <v>@drfahrettinkoca Humans have forced the choice between bread and experimental fluid. Wow sir has been our mistakes too ... https://t.co/ulsu0g673c</v>
      </c>
    </row>
    <row r="3809" spans="1:5" ht="15" customHeight="1" x14ac:dyDescent="0.2">
      <c r="A3809" s="1" t="s">
        <v>7612</v>
      </c>
      <c r="B3809" s="1">
        <v>0</v>
      </c>
      <c r="C3809" s="3">
        <v>44542.933078703703</v>
      </c>
      <c r="D3809" s="1" t="s">
        <v>7613</v>
      </c>
      <c r="E3809" s="1" t="str">
        <f ca="1">IFERROR(__xludf.DUMMYFUNCTION("GOOGLETRANSLATE(A608 , ""tr"" , ""en"")"),"@drfahrettinkoca zerre if I have the right to be haram. Bill Gates is not going to be the liquid, in the bread ... https://t.co/dhzdvmepq8")</f>
        <v>@drfahrettinkoca zerre if I have the right to be haram. Bill Gates is not going to be the liquid, in the bread ... https://t.co/dhzdvmepq8</v>
      </c>
    </row>
    <row r="3810" spans="1:5" ht="15" customHeight="1" x14ac:dyDescent="0.2">
      <c r="A3810" s="1" t="s">
        <v>7614</v>
      </c>
      <c r="B3810" s="1">
        <v>0</v>
      </c>
      <c r="C3810" s="3">
        <v>44542.931250000001</v>
      </c>
      <c r="D3810" s="1" t="s">
        <v>7615</v>
      </c>
      <c r="E3810" s="1" t="str">
        <f ca="1">IFERROR(__xludf.DUMMYFUNCTION("GOOGLETRANSLATE(A609 , ""tr"" , ""en"")"),"@drfahrettinkoca intention is already betrayal!")</f>
        <v>@drfahrettinkoca intention is already betrayal!</v>
      </c>
    </row>
    <row r="3811" spans="1:5" ht="15" customHeight="1" x14ac:dyDescent="0.2">
      <c r="A3811" s="1" t="s">
        <v>7616</v>
      </c>
      <c r="B3811" s="1">
        <v>0</v>
      </c>
      <c r="C3811" s="3">
        <v>44542.930844907409</v>
      </c>
      <c r="D3811" s="1" t="s">
        <v>7617</v>
      </c>
      <c r="E3811" s="1" t="str">
        <f ca="1">IFERROR(__xludf.DUMMYFUNCTION("GOOGLETRANSLATE(A610 , ""tr"" , ""en"")"),"@drfahrettinkoca job that happens in the place where the human is the mistake that happens in the place where the issue is ""Health"" is not perfectly in the perfect mistake ... https://t.co/h3n2z79nqg")</f>
        <v>@drfahrettinkoca job that happens in the place where the human is the mistake that happens in the place where the issue is "Health" is not perfectly in the perfect mistake ... https://t.co/h3n2z79nqg</v>
      </c>
    </row>
    <row r="3812" spans="1:5" ht="15" customHeight="1" x14ac:dyDescent="0.2">
      <c r="A3812" s="1" t="s">
        <v>7618</v>
      </c>
      <c r="B3812" s="1">
        <v>1</v>
      </c>
      <c r="C3812" s="3">
        <v>44542.929143518515</v>
      </c>
      <c r="D3812" s="1" t="s">
        <v>7619</v>
      </c>
      <c r="E3812" s="1" t="str">
        <f ca="1">IFERROR(__xludf.DUMMYFUNCTION("GOOGLETRANSLATE(A611 , ""tr"" , ""en"")"),"@drfahrettinkoca you said that they are sick in olancs you said in vaccines emitted disease.")</f>
        <v>@drfahrettinkoca you said that they are sick in olancs you said in vaccines emitted disease.</v>
      </c>
    </row>
    <row r="3813" spans="1:5" ht="15" customHeight="1" x14ac:dyDescent="0.2">
      <c r="A3813" s="1" t="s">
        <v>7620</v>
      </c>
      <c r="B3813" s="1">
        <v>0</v>
      </c>
      <c r="C3813" s="3">
        <v>44542.926076388889</v>
      </c>
      <c r="D3813" s="1" t="s">
        <v>7621</v>
      </c>
      <c r="E3813" s="1" t="str">
        <f ca="1">IFERROR(__xludf.DUMMYFUNCTION("GOOGLETRANSLATE(A612 , ""tr"" , ""en"")"),"@drfahrettinkoca HoCam is available to protect the people, don't go to kill your people if you don't go to the Https://t.co/wmmn1rz5km")</f>
        <v>@drfahrettinkoca HoCam is available to protect the people, don't go to kill your people if you don't go to the Https://t.co/wmmn1rz5km</v>
      </c>
    </row>
    <row r="3814" spans="1:5" ht="15" customHeight="1" x14ac:dyDescent="0.2">
      <c r="A3814" s="1" t="s">
        <v>7622</v>
      </c>
      <c r="B3814" s="1">
        <v>0</v>
      </c>
      <c r="C3814" s="3">
        <v>44542.924722222226</v>
      </c>
      <c r="D3814" s="1" t="s">
        <v>7623</v>
      </c>
      <c r="E3814" s="1" t="str">
        <f ca="1">IFERROR(__xludf.DUMMYFUNCTION("GOOGLETRANSLATE(A613 , ""tr"" , ""en"")"),"@drfahrettinkoca ey goes .. https://t.co/r6qeuzbmbb")</f>
        <v>@drfahrettinkoca ey goes .. https://t.co/r6qeuzbmbb</v>
      </c>
    </row>
    <row r="3815" spans="1:5" ht="15" customHeight="1" x14ac:dyDescent="0.2">
      <c r="A3815" s="1" t="s">
        <v>7624</v>
      </c>
      <c r="B3815" s="1">
        <v>0</v>
      </c>
      <c r="C3815" s="3">
        <v>44542.923657407409</v>
      </c>
      <c r="D3815" s="1" t="s">
        <v>7625</v>
      </c>
      <c r="E3815" s="1" t="str">
        <f ca="1">IFERROR(__xludf.DUMMYFUNCTION("GOOGLETRANSLATE(A614 , ""tr"" , ""en"")"),"@drfahrettinkoca # Mahmutörünocullaronline is sufficiently hosted. Close the following fucking schools. 1 in for you ... https://t.co/gknipd640a")</f>
        <v>@drfahrettinkoca # Mahmutörünocullaronline is sufficiently hosted. Close the following fucking schools. 1 in for you ... https://t.co/gknipd640a</v>
      </c>
    </row>
    <row r="3816" spans="1:5" ht="15" customHeight="1" x14ac:dyDescent="0.2">
      <c r="A3816" s="1" t="s">
        <v>7626</v>
      </c>
      <c r="B3816" s="1">
        <v>0</v>
      </c>
      <c r="C3816" s="3">
        <v>44542.920358796298</v>
      </c>
      <c r="D3816" s="1" t="s">
        <v>7627</v>
      </c>
      <c r="E3816" s="1" t="str">
        <f ca="1">IFERROR(__xludf.DUMMYFUNCTION("GOOGLETRANSLATE(A615 , ""tr"" , ""en"")"),"@drfahrettinkoca is guilty of my conscience. You drown the people of my country to medicine and vaccine and we were poisoned ...")</f>
        <v>@drfahrettinkoca is guilty of my conscience. You drown the people of my country to medicine and vaccine and we were poisoned ...</v>
      </c>
    </row>
    <row r="3817" spans="1:5" ht="15" customHeight="1" x14ac:dyDescent="0.2">
      <c r="A3817" s="1" t="s">
        <v>7628</v>
      </c>
      <c r="B3817" s="1">
        <v>1</v>
      </c>
      <c r="C3817" s="3">
        <v>44542.918622685182</v>
      </c>
      <c r="D3817" s="1" t="s">
        <v>7629</v>
      </c>
      <c r="E3817" s="1" t="str">
        <f ca="1">IFERROR(__xludf.DUMMYFUNCTION("GOOGLETRANSLATE(A616 , ""tr"" , ""en"")"),"@drfahrettinkoca is the Court-i Cubra ... Your hands, your feet, your eyes and ears against your eyes ... https://t.co/5rynyrmbzd")</f>
        <v>@drfahrettinkoca is the Court-i Cubra ... Your hands, your feet, your eyes and ears against your eyes ... https://t.co/5rynyrmbzd</v>
      </c>
    </row>
    <row r="3818" spans="1:5" ht="15" customHeight="1" x14ac:dyDescent="0.2">
      <c r="A3818" s="1" t="s">
        <v>7630</v>
      </c>
      <c r="B3818" s="1">
        <v>0</v>
      </c>
      <c r="C3818" s="3">
        <v>44542.918275462966</v>
      </c>
      <c r="D3818" s="1" t="s">
        <v>7631</v>
      </c>
      <c r="E3818" s="1" t="str">
        <f ca="1">IFERROR(__xludf.DUMMYFUNCTION("GOOGLETRANSLATE(A617 , ""tr"" , ""en"")"),"@drfahrettinkoca we are sure that it is intentional but!.")</f>
        <v>@drfahrettinkoca we are sure that it is intentional but!.</v>
      </c>
    </row>
    <row r="3819" spans="1:5" ht="15" customHeight="1" x14ac:dyDescent="0.2">
      <c r="A3819" s="1" t="s">
        <v>7632</v>
      </c>
      <c r="B3819" s="1">
        <v>97</v>
      </c>
      <c r="C3819" s="3">
        <v>44542.918136574073</v>
      </c>
      <c r="D3819" s="1" t="s">
        <v>7633</v>
      </c>
      <c r="E3819" s="1" t="str">
        <f ca="1">IFERROR(__xludf.DUMMYFUNCTION("GOOGLETRANSLATE(A618 , ""tr"" , ""en"")"),"@drfahrettinkoca Dolls have made guinea pig mouse. Victory Current You did not even remove the dismissal. HTTPS://t.co/molh6rr3d8")</f>
        <v>@drfahrettinkoca Dolls have made guinea pig mouse. Victory Current You did not even remove the dismissal. HTTPS://t.co/molh6rr3d8</v>
      </c>
    </row>
    <row r="3820" spans="1:5" ht="15" customHeight="1" x14ac:dyDescent="0.2">
      <c r="A3820" s="1" t="s">
        <v>7634</v>
      </c>
      <c r="B3820" s="1">
        <v>2</v>
      </c>
      <c r="C3820" s="3">
        <v>44542.917233796295</v>
      </c>
      <c r="D3820" s="1" t="s">
        <v>7635</v>
      </c>
      <c r="E3820" s="1" t="str">
        <f ca="1">IFERROR(__xludf.DUMMYFUNCTION("GOOGLETRANSLATE(A619 , ""tr"" , ""en"")"),"@drfahrettinkoca you made every Seyi intentional Children's guinea pig in schools")</f>
        <v>@drfahrettinkoca you made every Seyi intentional Children's guinea pig in schools</v>
      </c>
    </row>
    <row r="3821" spans="1:5" ht="15" customHeight="1" x14ac:dyDescent="0.2">
      <c r="A3821" s="1" t="s">
        <v>7636</v>
      </c>
      <c r="B3821" s="1">
        <v>26</v>
      </c>
      <c r="C3821" s="3">
        <v>44542.916967592595</v>
      </c>
      <c r="D3821" s="1" t="s">
        <v>7637</v>
      </c>
      <c r="E3821" s="1" t="str">
        <f ca="1">IFERROR(__xludf.DUMMYFUNCTION("GOOGLETRANSLATE(A620 , ""tr"" , ""en"")"),"@drfahrettinkoca I can't see anything right in a long time.")</f>
        <v>@drfahrettinkoca I can't see anything right in a long time.</v>
      </c>
    </row>
    <row r="3822" spans="1:5" ht="15" customHeight="1" x14ac:dyDescent="0.2">
      <c r="A3822" s="1" t="s">
        <v>7638</v>
      </c>
      <c r="B3822" s="1">
        <v>1</v>
      </c>
      <c r="C3822" s="3">
        <v>44542.916342592594</v>
      </c>
      <c r="D3822" s="1" t="s">
        <v>7639</v>
      </c>
      <c r="E3822" s="1" t="str">
        <f ca="1">IFERROR(__xludf.DUMMYFUNCTION("GOOGLETRANSLATE(A621 , ""tr"" , ""en"")"),"@drfahrettinkoca Measure Immission Taking Onlem Taking Children 9 Hour Mask in Schools with poison with 9 hours but no intention to be a pinkin")</f>
        <v>@drfahrettinkoca Measure Immission Taking Onlem Taking Children 9 Hour Mask in Schools with poison with 9 hours but no intention to be a pinkin</v>
      </c>
    </row>
    <row r="3823" spans="1:5" ht="15" customHeight="1" x14ac:dyDescent="0.2">
      <c r="A3823" s="1" t="s">
        <v>7640</v>
      </c>
      <c r="B3823" s="1">
        <v>0</v>
      </c>
      <c r="C3823" s="3">
        <v>44542.915416666663</v>
      </c>
      <c r="D3823" s="1" t="s">
        <v>7641</v>
      </c>
      <c r="E3823" s="1" t="str">
        <f ca="1">IFERROR(__xludf.DUMMYFUNCTION("GOOGLETRANSLATE(A622 , ""tr"" , ""en"")"),"@drfahrettinkoca we don't halic us ...")</f>
        <v>@drfahrettinkoca we don't halic us ...</v>
      </c>
    </row>
    <row r="3824" spans="1:5" ht="15" customHeight="1" x14ac:dyDescent="0.2">
      <c r="A3824" s="1" t="s">
        <v>7642</v>
      </c>
      <c r="B3824" s="1">
        <v>10</v>
      </c>
      <c r="C3824" s="3">
        <v>44542.913611111115</v>
      </c>
      <c r="D3824" s="1" t="s">
        <v>7643</v>
      </c>
      <c r="E3824" s="1" t="str">
        <f ca="1">IFERROR(__xludf.DUMMYFUNCTION("GOOGLETRANSLATE(A623 , ""tr"" , ""en"")"),"@drfahrettinkoca deliberction error cannot be af, unfortunately, you have death in the tip, if you ask the child in elementary school he even knows what ka ... https://t.co/kqcujpcmlc")</f>
        <v>@drfahrettinkoca deliberction error cannot be af, unfortunately, you have death in the tip, if you ask the child in elementary school he even knows what ka ... https://t.co/kqcujpcmlc</v>
      </c>
    </row>
    <row r="3825" spans="1:5" ht="15" customHeight="1" x14ac:dyDescent="0.2">
      <c r="A3825" s="1" t="s">
        <v>7644</v>
      </c>
      <c r="B3825" s="1">
        <v>4</v>
      </c>
      <c r="C3825" s="3">
        <v>44542.913287037038</v>
      </c>
      <c r="D3825" s="1" t="s">
        <v>7645</v>
      </c>
      <c r="E3825" s="1" t="str">
        <f ca="1">IFERROR(__xludf.DUMMYFUNCTION("GOOGLETRANSLATE(A624 , ""tr"" , ""en"")"),"@drfahrettinkoca kids wear 8 hours mask. You cut their breaths. I remit to the Lord ...")</f>
        <v>@drfahrettinkoca kids wear 8 hours mask. You cut their breaths. I remit to the Lord ...</v>
      </c>
    </row>
    <row r="3826" spans="1:5" ht="15" customHeight="1" x14ac:dyDescent="0.2">
      <c r="A3826" s="1" t="s">
        <v>7646</v>
      </c>
      <c r="B3826" s="1">
        <v>0</v>
      </c>
      <c r="C3826" s="3">
        <v>44542.910891203705</v>
      </c>
      <c r="D3826" s="1" t="s">
        <v>7647</v>
      </c>
      <c r="E3826" s="1" t="str">
        <f ca="1">IFERROR(__xludf.DUMMYFUNCTION("GOOGLETRANSLATE(A625 , ""tr"" , ""en"")"),"@drfahrettinkoca intention is where to know where to know")</f>
        <v>@drfahrettinkoca intention is where to know where to know</v>
      </c>
    </row>
    <row r="3827" spans="1:5" ht="15" customHeight="1" x14ac:dyDescent="0.2">
      <c r="A3827" s="1" t="s">
        <v>7648</v>
      </c>
      <c r="B3827" s="1">
        <v>0</v>
      </c>
      <c r="C3827" s="3">
        <v>44542.910196759258</v>
      </c>
      <c r="D3827" s="1" t="s">
        <v>7649</v>
      </c>
      <c r="E3827" s="1" t="str">
        <f ca="1">IFERROR(__xludf.DUMMYFUNCTION("GOOGLETRANSLATE(A626 , ""tr"" , ""en"")"),"@drfahrettinkoca Drop it this @drfahrettinka why @drfahrettinkoca why @Ercumentovali why did you silence what you have gown ... https://t.co/c0pmxhbzjs")</f>
        <v>@drfahrettinkoca Drop it this @drfahrettinka why @drfahrettinkoca why @Ercumentovali why did you silence what you have gown ... https://t.co/c0pmxhbzjs</v>
      </c>
    </row>
    <row r="3828" spans="1:5" ht="15" customHeight="1" x14ac:dyDescent="0.2">
      <c r="A3828" s="1" t="s">
        <v>7650</v>
      </c>
      <c r="B3828" s="1">
        <v>15</v>
      </c>
      <c r="C3828" s="3">
        <v>44542.910115740742</v>
      </c>
      <c r="D3828" s="1" t="s">
        <v>7651</v>
      </c>
      <c r="E3828" s="1" t="str">
        <f ca="1">IFERROR(__xludf.DUMMYFUNCTION("GOOGLETRANSLATE(A627 , ""tr"" , ""en"")"),"@drfahrettinkoca is a $ I in the one that is not as much. And if the PCR test is only required from the non-point, here the subject in ... https://t.co/zrihovivib")</f>
        <v>@drfahrettinkoca is a $ I in the one that is not as much. And if the PCR test is only required from the non-point, here the subject in ... https://t.co/zrihovivib</v>
      </c>
    </row>
    <row r="3829" spans="1:5" ht="15" customHeight="1" x14ac:dyDescent="0.2">
      <c r="A3829" s="1" t="s">
        <v>7652</v>
      </c>
      <c r="B3829" s="1">
        <v>0</v>
      </c>
      <c r="C3829" s="3">
        <v>44542.909791666665</v>
      </c>
      <c r="D3829" s="1" t="s">
        <v>7653</v>
      </c>
      <c r="E3829" s="1" t="str">
        <f ca="1">IFERROR(__xludf.DUMMYFUNCTION("GOOGLETRANSLATE(A628 , ""tr"" , ""en"")"),"@drfahrettinkoca what happened to the man experimenting on dolls")</f>
        <v>@drfahrettinkoca what happened to the man experimenting on dolls</v>
      </c>
    </row>
    <row r="3830" spans="1:5" ht="15" customHeight="1" x14ac:dyDescent="0.2">
      <c r="A3830" s="1" t="s">
        <v>7654</v>
      </c>
      <c r="B3830" s="1">
        <v>0</v>
      </c>
      <c r="C3830" s="3">
        <v>44542.909490740742</v>
      </c>
      <c r="D3830" s="1" t="s">
        <v>7655</v>
      </c>
      <c r="E3830" s="1" t="str">
        <f ca="1">IFERROR(__xludf.DUMMYFUNCTION("GOOGLETRANSLATE(A629 , ""tr"" , ""en"")"),"@drfahrettinkoca during the summer of municipalities racing a one who gave the concerts holiday places no forbidden ... https://t.co/27ew8ILOXJ")</f>
        <v>@drfahrettinkoca during the summer of municipalities racing a one who gave the concerts holiday places no forbidden ... https://t.co/27ew8ILOXJ</v>
      </c>
    </row>
    <row r="3831" spans="1:5" ht="15" customHeight="1" x14ac:dyDescent="0.2">
      <c r="A3831" s="1" t="s">
        <v>7656</v>
      </c>
      <c r="B3831" s="1">
        <v>0</v>
      </c>
      <c r="C3831" s="3">
        <v>44542.907465277778</v>
      </c>
      <c r="D3831" s="1" t="s">
        <v>7657</v>
      </c>
      <c r="E3831" s="1" t="str">
        <f ca="1">IFERROR(__xludf.DUMMYFUNCTION("GOOGLETRANSLATE(A630 , ""tr"" , ""en"")"),"@drfahrettinkoca Globalists don't have any letters that they say")</f>
        <v>@drfahrettinkoca Globalists don't have any letters that they say</v>
      </c>
    </row>
    <row r="3832" spans="1:5" ht="15" customHeight="1" x14ac:dyDescent="0.2">
      <c r="A3832" s="1" t="s">
        <v>7658</v>
      </c>
      <c r="B3832" s="1">
        <v>1</v>
      </c>
      <c r="C3832" s="3">
        <v>44542.907407407409</v>
      </c>
      <c r="D3832" s="1" t="s">
        <v>7659</v>
      </c>
      <c r="E3832" s="1" t="str">
        <f ca="1">IFERROR(__xludf.DUMMYFUNCTION("GOOGLETRANSLATE(A631 , ""tr"" , ""en"")"),"@drfahrettinkoca let your stay at https://t.co/zm37aek4a5")</f>
        <v>@drfahrettinkoca let your stay at https://t.co/zm37aek4a5</v>
      </c>
    </row>
    <row r="3833" spans="1:5" ht="15" customHeight="1" x14ac:dyDescent="0.2">
      <c r="A3833" s="1" t="s">
        <v>7660</v>
      </c>
      <c r="B3833" s="1">
        <v>29</v>
      </c>
      <c r="C3833" s="3">
        <v>44542.906689814816</v>
      </c>
      <c r="D3833" s="1" t="s">
        <v>7661</v>
      </c>
      <c r="E3833" s="1" t="str">
        <f ca="1">IFERROR(__xludf.DUMMYFUNCTION("GOOGLETRANSLATE(A632 , ""tr"" , ""en"")"),"@drfahrettinkoca Currently asking me who don't want to be in place in the world I'd say you.")</f>
        <v>@drfahrettinkoca Currently asking me who don't want to be in place in the world I'd say you.</v>
      </c>
    </row>
    <row r="3834" spans="1:5" ht="15" customHeight="1" x14ac:dyDescent="0.2">
      <c r="A3834" s="1" t="s">
        <v>7662</v>
      </c>
      <c r="B3834" s="1">
        <v>0</v>
      </c>
      <c r="C3834" s="3">
        <v>44542.906388888892</v>
      </c>
      <c r="D3834" s="1" t="s">
        <v>7663</v>
      </c>
      <c r="E3834" s="1" t="str">
        <f ca="1">IFERROR(__xludf.DUMMYFUNCTION("GOOGLETRANSLATE(A633 , ""tr"" , ""en"")"),"@drfahrettinkoca quit meat no more")</f>
        <v>@drfahrettinkoca quit meat no more</v>
      </c>
    </row>
    <row r="3835" spans="1:5" ht="15" customHeight="1" x14ac:dyDescent="0.2">
      <c r="A3835" s="1" t="s">
        <v>7664</v>
      </c>
      <c r="B3835" s="1">
        <v>5</v>
      </c>
      <c r="C3835" s="3">
        <v>44542.906307870369</v>
      </c>
      <c r="D3835" s="1" t="s">
        <v>7665</v>
      </c>
      <c r="E3835" s="1" t="str">
        <f ca="1">IFERROR(__xludf.DUMMYFUNCTION("GOOGLETRANSLATE(A634 , ""tr"" , ""en"")"),"@drfahrettinkoca pardon You also moved with your own mind? Thinking job Devredip to DSO, you also command ... https://t.co/xvvnx9dprd")</f>
        <v>@drfahrettinkoca pardon You also moved with your own mind? Thinking job Devredip to DSO, you also command ... https://t.co/xvvnx9dprd</v>
      </c>
    </row>
    <row r="3836" spans="1:5" ht="15" customHeight="1" x14ac:dyDescent="0.2">
      <c r="A3836" s="1" t="s">
        <v>7666</v>
      </c>
      <c r="B3836" s="1">
        <v>8</v>
      </c>
      <c r="C3836" s="3">
        <v>44542.905787037038</v>
      </c>
      <c r="D3836" s="1" t="s">
        <v>7667</v>
      </c>
      <c r="E3836" s="1" t="str">
        <f ca="1">IFERROR(__xludf.DUMMYFUNCTION("GOOGLETRANSLATE(A635 , ""tr"" , ""en"")"),"@drfahrettinkoca TURKEY has 6 Omicron cases seen ... What do you understand with the thermometer? Om above the virus ... https://t.co/cqlrdlatoc")</f>
        <v>@drfahrettinkoca TURKEY has 6 Omicron cases seen ... What do you understand with the thermometer? Om above the virus ... https://t.co/cqlrdlatoc</v>
      </c>
    </row>
    <row r="3837" spans="1:5" ht="15" customHeight="1" x14ac:dyDescent="0.2">
      <c r="A3837" s="1" t="s">
        <v>7668</v>
      </c>
      <c r="B3837" s="1">
        <v>0</v>
      </c>
      <c r="C3837" s="3">
        <v>44542.905439814815</v>
      </c>
      <c r="D3837" s="1" t="s">
        <v>7669</v>
      </c>
      <c r="E3837" s="1" t="str">
        <f ca="1">IFERROR(__xludf.DUMMYFUNCTION("GOOGLETRANSLATE(A636 , ""tr"" , ""en"")"),"@drfahrettinkoca .. https://t.co/uhaeo9vwfx")</f>
        <v>@drfahrettinkoca .. https://t.co/uhaeo9vwfx</v>
      </c>
    </row>
    <row r="3838" spans="1:5" ht="15" customHeight="1" x14ac:dyDescent="0.2">
      <c r="A3838" s="1" t="s">
        <v>7670</v>
      </c>
      <c r="B3838" s="1">
        <v>0</v>
      </c>
      <c r="C3838" s="3">
        <v>44542.905081018522</v>
      </c>
      <c r="D3838" s="1" t="s">
        <v>7671</v>
      </c>
      <c r="E3838" s="1" t="str">
        <f ca="1">IFERROR(__xludf.DUMMYFUNCTION("GOOGLETRANSLATE(A637 , ""tr"" , ""en"")"),"@drfahrettinkoca faho Hereafter has account")</f>
        <v>@drfahrettinkoca faho Hereafter has account</v>
      </c>
    </row>
    <row r="3839" spans="1:5" ht="15" customHeight="1" x14ac:dyDescent="0.2">
      <c r="A3839" s="1" t="s">
        <v>7672</v>
      </c>
      <c r="B3839" s="1">
        <v>1</v>
      </c>
      <c r="C3839" s="3">
        <v>44542.905034722222</v>
      </c>
      <c r="D3839" s="1" t="s">
        <v>7673</v>
      </c>
      <c r="E3839" s="1" t="str">
        <f ca="1">IFERROR(__xludf.DUMMYFUNCTION("GOOGLETRANSLATE(A638 , ""tr"" , ""en"")"),"@drfahrettinkoca Mr. Overlooking This person if the doctor is the doctor and after this sharing is still not open to the duty investigation ... https://t.co/cf5rp1IIQA")</f>
        <v>@drfahrettinkoca Mr. Overlooking This person if the doctor is the doctor and after this sharing is still not open to the duty investigation ... https://t.co/cf5rp1IIQA</v>
      </c>
    </row>
    <row r="3840" spans="1:5" ht="15" customHeight="1" x14ac:dyDescent="0.2">
      <c r="A3840" s="1" t="s">
        <v>7674</v>
      </c>
      <c r="B3840" s="1">
        <v>0</v>
      </c>
      <c r="C3840" s="3">
        <v>44542.901782407411</v>
      </c>
      <c r="D3840" s="1" t="s">
        <v>7675</v>
      </c>
      <c r="E3840" s="1" t="str">
        <f ca="1">IFERROR(__xludf.DUMMYFUNCTION("GOOGLETRANSLATE(A639 , ""tr"" , ""en"")"),"@drfahrettinka I'm writing these but I'm changing in your care of my marriage.")</f>
        <v>@drfahrettinka I'm writing these but I'm changing in your care of my marriage.</v>
      </c>
    </row>
    <row r="3841" spans="1:5" ht="15" customHeight="1" x14ac:dyDescent="0.2">
      <c r="A3841" s="1" t="s">
        <v>7676</v>
      </c>
      <c r="B3841" s="1">
        <v>0</v>
      </c>
      <c r="C3841" s="3">
        <v>44542.901354166665</v>
      </c>
      <c r="D3841" s="1" t="s">
        <v>7677</v>
      </c>
      <c r="E3841" s="1" t="str">
        <f ca="1">IFERROR(__xludf.DUMMYFUNCTION("GOOGLETRANSLATE(A640 , ""tr"" , ""en"")"),"@drfahrettinkoca people are dying")</f>
        <v>@drfahrettinkoca people are dying</v>
      </c>
    </row>
    <row r="3842" spans="1:5" ht="15" customHeight="1" x14ac:dyDescent="0.2">
      <c r="A3842" s="1" t="s">
        <v>7678</v>
      </c>
      <c r="B3842" s="1">
        <v>0</v>
      </c>
      <c r="C3842" s="3">
        <v>44542.900370370371</v>
      </c>
      <c r="D3842" s="1" t="s">
        <v>7679</v>
      </c>
      <c r="E3842" s="1" t="str">
        <f ca="1">IFERROR(__xludf.DUMMYFUNCTION("GOOGLETRANSLATE(A641 , ""tr"" , ""en"")"),"@drfahrettinkoca Look at the people who are dying of people ... that status has no luxury of mistake")</f>
        <v>@drfahrettinkoca Look at the people who are dying of people ... that status has no luxury of mistake</v>
      </c>
    </row>
    <row r="3843" spans="1:5" ht="15" customHeight="1" x14ac:dyDescent="0.2">
      <c r="A3843" s="1" t="s">
        <v>7680</v>
      </c>
      <c r="B3843" s="1">
        <v>0</v>
      </c>
      <c r="C3843" s="3">
        <v>44542.900034722225</v>
      </c>
      <c r="D3843" s="1" t="s">
        <v>7681</v>
      </c>
      <c r="E3843" s="1" t="str">
        <f ca="1">IFERROR(__xludf.DUMMYFUNCTION("GOOGLETRANSLATE(A642 , ""tr"" , ""en"")"),"@drfahrettinkoca plan by planning and creating outbreaks by designing.")</f>
        <v>@drfahrettinkoca plan by planning and creating outbreaks by designing.</v>
      </c>
    </row>
    <row r="3844" spans="1:5" ht="15" customHeight="1" x14ac:dyDescent="0.2">
      <c r="A3844" s="1" t="s">
        <v>7682</v>
      </c>
      <c r="B3844" s="1">
        <v>1</v>
      </c>
      <c r="C3844" s="3">
        <v>44542.899652777778</v>
      </c>
      <c r="D3844" s="1" t="s">
        <v>7683</v>
      </c>
      <c r="E3844" s="1" t="str">
        <f ca="1">IFERROR(__xludf.DUMMYFUNCTION("GOOGLETRANSLATE(A643 , ""tr"" , ""en"")"),"@drfahrettinka https://t.co/iI2srexxei")</f>
        <v>@drfahrettinka https://t.co/iI2srexxei</v>
      </c>
    </row>
    <row r="3845" spans="1:5" ht="15" customHeight="1" x14ac:dyDescent="0.2">
      <c r="A3845" s="1" t="s">
        <v>7684</v>
      </c>
      <c r="B3845" s="1">
        <v>1</v>
      </c>
      <c r="C3845" s="3">
        <v>44542.898784722223</v>
      </c>
      <c r="D3845" s="1" t="s">
        <v>7685</v>
      </c>
      <c r="E3845" s="1" t="str">
        <f ca="1">IFERROR(__xludf.DUMMYFUNCTION("GOOGLETRANSLATE(A644 , ""tr"" , ""en"")"),"@drfahrettinkoca Didn't hospitalize my child because of your PCR test. Hast 10 hours coughed in the mouth ... https://t.co/o1agsqdcli")</f>
        <v>@drfahrettinkoca Didn't hospitalize my child because of your PCR test. Hast 10 hours coughed in the mouth ... https://t.co/o1agsqdcli</v>
      </c>
    </row>
    <row r="3846" spans="1:5" ht="15" customHeight="1" x14ac:dyDescent="0.2">
      <c r="A3846" s="1" t="s">
        <v>7686</v>
      </c>
      <c r="B3846" s="1">
        <v>12</v>
      </c>
      <c r="C3846" s="3">
        <v>44542.898611111108</v>
      </c>
      <c r="D3846" s="1" t="s">
        <v>7687</v>
      </c>
      <c r="E3846" s="1" t="str">
        <f ca="1">IFERROR(__xludf.DUMMYFUNCTION("GOOGLETRANSLATE(A645 , ""tr"" , ""en"")"),"@drfahrettinkoca Topic of the Subicunity of the Subicunity We are not at the science you are finished with the doctor who gets power from you ... https://t.co/4w3nzdno8n")</f>
        <v>@drfahrettinkoca Topic of the Subicunity of the Subicunity We are not at the science you are finished with the doctor who gets power from you ... https://t.co/4w3nzdno8n</v>
      </c>
    </row>
    <row r="3847" spans="1:5" ht="15" customHeight="1" x14ac:dyDescent="0.2">
      <c r="A3847" s="1" t="s">
        <v>7688</v>
      </c>
      <c r="B3847" s="1">
        <v>0</v>
      </c>
      <c r="C3847" s="3">
        <v>44542.895937499998</v>
      </c>
      <c r="D3847" s="1" t="s">
        <v>7689</v>
      </c>
      <c r="E3847" s="1" t="str">
        <f ca="1">IFERROR(__xludf.DUMMYFUNCTION("GOOGLETRANSLATE(A646 , ""tr"" , ""en"")"),"@drfahrettinkoca overlooking Bey A difficult process you can do your best in your hand can make it better together ... https://t.co/ykji2xh9qv")</f>
        <v>@drfahrettinkoca overlooking Bey A difficult process you can do your best in your hand can make it better together ... https://t.co/ykji2xh9qv</v>
      </c>
    </row>
    <row r="3848" spans="1:5" ht="15" customHeight="1" x14ac:dyDescent="0.2">
      <c r="A3848" s="1" t="s">
        <v>7690</v>
      </c>
      <c r="B3848" s="1">
        <v>0</v>
      </c>
      <c r="C3848" s="3">
        <v>44542.895798611113</v>
      </c>
      <c r="D3848" s="1" t="s">
        <v>7691</v>
      </c>
      <c r="E3848" s="1" t="str">
        <f ca="1">IFERROR(__xludf.DUMMYFUNCTION("GOOGLETRANSLATE(A647 , ""tr"" , ""en"")"),"@drfahrettinkoca Mr. Fahrettin Leave the husbands Leave these tales to us the Cavit vaccine most recently do dose 10 ... https://t.co/VRIOFVZFW8")</f>
        <v>@drfahrettinkoca Mr. Fahrettin Leave the husbands Leave these tales to us the Cavit vaccine most recently do dose 10 ... https://t.co/VRIOFVZFW8</v>
      </c>
    </row>
    <row r="3849" spans="1:5" ht="15" customHeight="1" x14ac:dyDescent="0.2">
      <c r="A3849" s="1" t="s">
        <v>7692</v>
      </c>
      <c r="B3849" s="1">
        <v>0</v>
      </c>
      <c r="C3849" s="3">
        <v>44542.893831018519</v>
      </c>
      <c r="D3849" s="1" t="s">
        <v>7693</v>
      </c>
      <c r="E3849" s="1" t="str">
        <f ca="1">IFERROR(__xludf.DUMMYFUNCTION("GOOGLETRANSLATE(A648 , ""tr"" , ""en"")"),"@drfahrettinkoca AF MAF no https://t.co/BQNIDX43RTHAKTA if we have passed About us.Allah CC in this world ... https://t.co/don7udvfjv")</f>
        <v>@drfahrettinkoca AF MAF no https://t.co/BQNIDX43RTHAKTA if we have passed About us.Allah CC in this world ... https://t.co/don7udvfjv</v>
      </c>
    </row>
    <row r="3850" spans="1:5" ht="15" customHeight="1" x14ac:dyDescent="0.2">
      <c r="A3850" s="1" t="s">
        <v>7694</v>
      </c>
      <c r="B3850" s="1">
        <v>0</v>
      </c>
      <c r="C3850" s="3">
        <v>44542.893171296295</v>
      </c>
      <c r="D3850" s="1" t="s">
        <v>7695</v>
      </c>
      <c r="E3850" s="1" t="str">
        <f ca="1">IFERROR(__xludf.DUMMYFUNCTION("GOOGLETRANSLATE(A649 , ""tr"" , ""en"")"),"@drfahrettinkoca I don't Halal to you and your organization")</f>
        <v>@drfahrettinkoca I don't Halal to you and your organization</v>
      </c>
    </row>
    <row r="3851" spans="1:5" ht="15" customHeight="1" x14ac:dyDescent="0.2">
      <c r="A3851" s="1" t="s">
        <v>7696</v>
      </c>
      <c r="B3851" s="1">
        <v>0</v>
      </c>
      <c r="C3851" s="3">
        <v>44542.892152777778</v>
      </c>
      <c r="D3851" s="1" t="s">
        <v>7697</v>
      </c>
      <c r="E3851" s="1" t="str">
        <f ca="1">IFERROR(__xludf.DUMMYFUNCTION("GOOGLETRANSLATE(A650 , ""tr"" , ""en"")"),"Don't turn off @drfahrettinka but take new precautions Our children are more than the subject of the subject of subjects! ... https://t.co/sjjo79nged")</f>
        <v>Don't turn off @drfahrettinka but take new precautions Our children are more than the subject of the subject of subjects! ... https://t.co/sjjo79nged</v>
      </c>
    </row>
    <row r="3852" spans="1:5" ht="15" customHeight="1" x14ac:dyDescent="0.2">
      <c r="A3852" s="1" t="s">
        <v>7698</v>
      </c>
      <c r="B3852" s="1">
        <v>0</v>
      </c>
      <c r="C3852" s="3">
        <v>44542.892025462963</v>
      </c>
      <c r="D3852" s="1" t="s">
        <v>7699</v>
      </c>
      <c r="E3852" s="1" t="str">
        <f ca="1">IFERROR(__xludf.DUMMYFUNCTION("GOOGLETRANSLATE(A651 , ""tr"" , ""en"")"),"Don't turn off @drfahrettinka but new precautions Our children are anymore of the subject of subjects of subjects! ... https://t.co/ex6vg0HFEI")</f>
        <v>Don't turn off @drfahrettinka but new precautions Our children are anymore of the subject of subjects of subjects! ... https://t.co/ex6vg0HFEI</v>
      </c>
    </row>
    <row r="3853" spans="1:5" ht="15" customHeight="1" x14ac:dyDescent="0.2">
      <c r="A3853" s="1" t="s">
        <v>7700</v>
      </c>
      <c r="B3853" s="1">
        <v>8</v>
      </c>
      <c r="C3853" s="3">
        <v>44542.891979166663</v>
      </c>
      <c r="D3853" s="1" t="s">
        <v>7701</v>
      </c>
      <c r="E3853" s="1" t="str">
        <f ca="1">IFERROR(__xludf.DUMMYFUNCTION("GOOGLETRANSLATE(A652 , ""tr"" , ""en"")"),"@drfahrettinkoca Computer We have been convicted in the internet age, the computer in the middle of a deadly global epidemic ... https://t.co/8ms5cjkebh")</f>
        <v>@drfahrettinkoca Computer We have been convicted in the internet age, the computer in the middle of a deadly global epidemic ... https://t.co/8ms5cjkebh</v>
      </c>
    </row>
    <row r="3854" spans="1:5" ht="15" customHeight="1" x14ac:dyDescent="0.2">
      <c r="A3854" s="1" t="s">
        <v>7702</v>
      </c>
      <c r="B3854" s="1">
        <v>0</v>
      </c>
      <c r="C3854" s="3">
        <v>44542.891944444447</v>
      </c>
      <c r="D3854" s="1" t="s">
        <v>7703</v>
      </c>
      <c r="E3854" s="1" t="str">
        <f ca="1">IFERROR(__xludf.DUMMYFUNCTION("GOOGLETRANSLATE(A653 , ""tr"" , ""en"")"),"@drfahrettinkoca National Education Do not turn off the Ministry but take new precautions Our children subjected toddler ... https://t.co/dw2ueu6ouz")</f>
        <v>@drfahrettinkoca National Education Do not turn off the Ministry but take new precautions Our children subjected toddler ... https://t.co/dw2ueu6ouz</v>
      </c>
    </row>
    <row r="3855" spans="1:5" ht="15" customHeight="1" x14ac:dyDescent="0.2">
      <c r="A3855" s="1" t="s">
        <v>7704</v>
      </c>
      <c r="B3855" s="1">
        <v>0</v>
      </c>
      <c r="C3855" s="3">
        <v>44542.891875000001</v>
      </c>
      <c r="D3855" s="1" t="s">
        <v>7705</v>
      </c>
      <c r="E3855" s="1" t="str">
        <f ca="1">IFERROR(__xludf.DUMMYFUNCTION("GOOGLETRANSLATE(A654 , ""tr"" , ""en"")"),"@drfahrettinkoca National Education Do not turn off the Ministry of Education but take new precautions Our children subjected toddler ... https://t.co/t2ntx66e6w")</f>
        <v>@drfahrettinkoca National Education Do not turn off the Ministry of Education but take new precautions Our children subjected toddler ... https://t.co/t2ntx66e6w</v>
      </c>
    </row>
    <row r="3856" spans="1:5" ht="15" customHeight="1" x14ac:dyDescent="0.2">
      <c r="A3856" s="1" t="s">
        <v>7706</v>
      </c>
      <c r="B3856" s="1">
        <v>25</v>
      </c>
      <c r="C3856" s="3">
        <v>44542.89162037037</v>
      </c>
      <c r="D3856" s="1" t="s">
        <v>7707</v>
      </c>
      <c r="E3856" s="1" t="str">
        <f ca="1">IFERROR(__xludf.DUMMYFUNCTION("GOOGLETRANSLATE(A655 , ""tr"" , ""en"")"),"@drfahrettinkoca ""Ayyyyy Pardon Gunde 16 we sent your village village with 16 pills and my science drugs. Vaccination is ... https://t.co/equtu9uwuo")</f>
        <v>@drfahrettinkoca "Ayyyyy Pardon Gunde 16 we sent your village village with 16 pills and my science drugs. Vaccination is ... https://t.co/equtu9uwuo</v>
      </c>
    </row>
    <row r="3857" spans="1:5" ht="15" customHeight="1" x14ac:dyDescent="0.2">
      <c r="A3857" s="1" t="s">
        <v>7708</v>
      </c>
      <c r="B3857" s="1">
        <v>0</v>
      </c>
      <c r="C3857" s="3">
        <v>44542.890821759262</v>
      </c>
      <c r="D3857" s="1" t="s">
        <v>7709</v>
      </c>
      <c r="E3857" s="1" t="str">
        <f ca="1">IFERROR(__xludf.DUMMYFUNCTION("GOOGLETRANSLATE(A656 , ""tr"" , ""en"")"),"@drfahrettinkoca right to halal degil too also to your organizations in scientists !!")</f>
        <v>@drfahrettinkoca right to halal degil too also to your organizations in scientists !!</v>
      </c>
    </row>
    <row r="3858" spans="1:5" ht="15" customHeight="1" x14ac:dyDescent="0.2">
      <c r="A3858" s="1" t="s">
        <v>7710</v>
      </c>
      <c r="B3858" s="1">
        <v>0</v>
      </c>
      <c r="C3858" s="3">
        <v>44542.890081018515</v>
      </c>
      <c r="D3858" s="1" t="s">
        <v>7711</v>
      </c>
      <c r="E3858" s="1" t="str">
        <f ca="1">IFERROR(__xludf.DUMMYFUNCTION("GOOGLETRANSLATE(A657 , ""tr"" , ""en"")"),"@drfahrettinkoca you should quit. Please take and go to the Board of Epid.")</f>
        <v>@drfahrettinkoca you should quit. Please take and go to the Board of Epid.</v>
      </c>
    </row>
    <row r="3859" spans="1:5" ht="15" customHeight="1" x14ac:dyDescent="0.2">
      <c r="A3859" s="1" t="s">
        <v>7712</v>
      </c>
      <c r="B3859" s="1">
        <v>0</v>
      </c>
      <c r="C3859" s="3">
        <v>44542.888368055559</v>
      </c>
      <c r="D3859" s="1" t="s">
        <v>7713</v>
      </c>
      <c r="E3859" s="1" t="str">
        <f ca="1">IFERROR(__xludf.DUMMYFUNCTION("GOOGLETRANSLATE(A658 , ""tr"" , ""en"")"),"@drfahrettinka you even want to ask for everything. As given in Favirapir, proof that still has no effect on corona patients ..")</f>
        <v>@drfahrettinka you even want to ask for everything. As given in Favirapir, proof that still has no effect on corona patients ..</v>
      </c>
    </row>
    <row r="3860" spans="1:5" ht="15" customHeight="1" x14ac:dyDescent="0.2">
      <c r="A3860" s="1" t="s">
        <v>7714</v>
      </c>
      <c r="B3860" s="1">
        <v>0</v>
      </c>
      <c r="C3860" s="3">
        <v>44542.88790509259</v>
      </c>
      <c r="D3860" s="1" t="s">
        <v>7715</v>
      </c>
      <c r="E3860" s="1" t="str">
        <f ca="1">IFERROR(__xludf.DUMMYFUNCTION("GOOGLETRANSLATE(A659 , ""tr"" , ""en"")"),"@drfahrettinkoca Turkey's science in science https://t.co/UF5IDTD3FU still says that science science is not funny. A ... https://t.co/3fwuj0f4kn")</f>
        <v>@drfahrettinkoca Turkey's science in science https://t.co/UF5IDTD3FU still says that science science is not funny. A ... https://t.co/3fwuj0f4kn</v>
      </c>
    </row>
    <row r="3861" spans="1:5" ht="15" customHeight="1" x14ac:dyDescent="0.2">
      <c r="A3861" s="1" t="s">
        <v>7716</v>
      </c>
      <c r="B3861" s="1">
        <v>19</v>
      </c>
      <c r="C3861" s="3">
        <v>44542.88784722222</v>
      </c>
      <c r="D3861" s="1" t="s">
        <v>7717</v>
      </c>
      <c r="E3861" s="1" t="str">
        <f ca="1">IFERROR(__xludf.DUMMYFUNCTION("GOOGLETRANSLATE(A660 , ""tr"" , ""en"")"),"@drfahrettinkoca If you ask the elementary school child he even knows the more there is so many variants, SN Ba ... https://t.co/vxcz2wl3dh")</f>
        <v>@drfahrettinkoca If you ask the elementary school child he even knows the more there is so many variants, SN Ba ... https://t.co/vxcz2wl3dh</v>
      </c>
    </row>
    <row r="3862" spans="1:5" ht="15" customHeight="1" x14ac:dyDescent="0.2">
      <c r="A3862" s="1" t="s">
        <v>7718</v>
      </c>
      <c r="B3862" s="1">
        <v>2</v>
      </c>
      <c r="C3862" s="3">
        <v>44542.886956018519</v>
      </c>
      <c r="D3862" s="1" t="s">
        <v>7719</v>
      </c>
      <c r="E3862" s="1" t="str">
        <f ca="1">IFERROR(__xludf.DUMMYFUNCTION("GOOGLETRANSLATE(A661 , ""tr"" , ""en"")"),"@drfahrettinkoca Dying of the liquids, you still still have not explained the damages in a transparent manner. Is this mistake? Nexpensiveness? is the intentional?")</f>
        <v>@drfahrettinkoca Dying of the liquids, you still still have not explained the damages in a transparent manner. Is this mistake? Nexpensiveness? is the intentional?</v>
      </c>
    </row>
    <row r="3863" spans="1:5" ht="15" customHeight="1" x14ac:dyDescent="0.2">
      <c r="A3863" s="1" t="s">
        <v>7720</v>
      </c>
      <c r="B3863" s="1">
        <v>0</v>
      </c>
      <c r="C3863" s="3">
        <v>44542.886817129627</v>
      </c>
      <c r="D3863" s="1" t="s">
        <v>7721</v>
      </c>
      <c r="E3863" s="1" t="str">
        <f ca="1">IFERROR(__xludf.DUMMYFUNCTION("GOOGLETRANSLATE(A662 , ""tr"" , ""en"")"),"@drfahrettinkoca These days are obviously who tried to close, who has opened the door behind the soze we are in the frosty. H ... https://t.co/mtw98qb1rb")</f>
        <v>@drfahrettinkoca These days are obviously who tried to close, who has opened the door behind the soze we are in the frosty. H ... https://t.co/mtw98qb1rb</v>
      </c>
    </row>
    <row r="3864" spans="1:5" ht="15" customHeight="1" x14ac:dyDescent="0.2">
      <c r="A3864" s="1" t="s">
        <v>7722</v>
      </c>
      <c r="B3864" s="1">
        <v>0</v>
      </c>
      <c r="C3864" s="3">
        <v>44542.886388888888</v>
      </c>
      <c r="D3864" s="1" t="s">
        <v>7723</v>
      </c>
      <c r="E3864" s="1" t="str">
        <f ca="1">IFERROR(__xludf.DUMMYFUNCTION("GOOGLETRANSLATE(A663 , ""tr"" , ""en"")"),"@drfahrettinkoca is no longer convincing your words ....")</f>
        <v>@drfahrettinkoca is no longer convincing your words ....</v>
      </c>
    </row>
    <row r="3865" spans="1:5" ht="15" customHeight="1" x14ac:dyDescent="0.2">
      <c r="A3865" s="1" t="s">
        <v>7724</v>
      </c>
      <c r="B3865" s="1">
        <v>0</v>
      </c>
      <c r="C3865" s="3">
        <v>44542.885567129626</v>
      </c>
      <c r="D3865" s="1" t="s">
        <v>7725</v>
      </c>
      <c r="E3865" s="1" t="str">
        <f ca="1">IFERROR(__xludf.DUMMYFUNCTION("GOOGLETRANSLATE(A664 , ""tr"" , ""en"")"),"@drfahrettinkoca Don't Wish I Wish I Don't Halal My Right")</f>
        <v>@drfahrettinkoca Don't Wish I Wish I Don't Halal My Right</v>
      </c>
    </row>
    <row r="3866" spans="1:5" ht="15" customHeight="1" x14ac:dyDescent="0.2">
      <c r="A3866" s="1" t="s">
        <v>7726</v>
      </c>
      <c r="B3866" s="1">
        <v>12</v>
      </c>
      <c r="C3866" s="3">
        <v>44542.885023148148</v>
      </c>
      <c r="D3866" s="1" t="s">
        <v>7727</v>
      </c>
      <c r="E3866" s="1" t="str">
        <f ca="1">IFERROR(__xludf.DUMMYFUNCTION("GOOGLETRANSLATE(A665 , ""tr"" , ""en"")"),"@drfahrettinkoca yahu how are you guys wonder? The more infected you haven't called the more variant ... https://t.co/Izzlpaxo4x")</f>
        <v>@drfahrettinkoca yahu how are you guys wonder? The more infected you haven't called the more variant ... https://t.co/Izzlpaxo4x</v>
      </c>
    </row>
    <row r="3867" spans="1:5" ht="15" customHeight="1" x14ac:dyDescent="0.2">
      <c r="A3867" s="1" t="s">
        <v>7728</v>
      </c>
      <c r="B3867" s="1">
        <v>0</v>
      </c>
      <c r="C3867" s="3">
        <v>44542.884317129632</v>
      </c>
      <c r="D3867" s="1" t="s">
        <v>7729</v>
      </c>
      <c r="E3867" s="1" t="str">
        <f ca="1">IFERROR(__xludf.DUMMYFUNCTION("GOOGLETRANSLATE(A666 , ""tr"" , ""en"")"),"@drfahrettinkoca you said you check with the thermal camera when the first virus comes out but did not scan the thermal camera virus deliberately")</f>
        <v>@drfahrettinkoca you said you check with the thermal camera when the first virus comes out but did not scan the thermal camera virus deliberately</v>
      </c>
    </row>
    <row r="3868" spans="1:5" ht="15" customHeight="1" x14ac:dyDescent="0.2">
      <c r="A3868" s="1" t="s">
        <v>7730</v>
      </c>
      <c r="B3868" s="1">
        <v>3</v>
      </c>
      <c r="C3868" s="3">
        <v>44542.884062500001</v>
      </c>
      <c r="D3868" s="1" t="s">
        <v>7731</v>
      </c>
      <c r="E3868" s="1" t="str">
        <f ca="1">IFERROR(__xludf.DUMMYFUNCTION("GOOGLETRANSLATE(A667 , ""tr"" , ""en"")"),"@drfahrettinka https://t.co/LKXTANEI1O")</f>
        <v>@drfahrettinka https://t.co/LKXTANEI1O</v>
      </c>
    </row>
    <row r="3869" spans="1:5" ht="15" customHeight="1" x14ac:dyDescent="0.2">
      <c r="A3869" s="1" t="s">
        <v>7732</v>
      </c>
      <c r="B3869" s="1">
        <v>3</v>
      </c>
      <c r="C3869" s="3">
        <v>44542.882638888892</v>
      </c>
      <c r="D3869" s="1" t="s">
        <v>7733</v>
      </c>
      <c r="E3869" s="1" t="str">
        <f ca="1">IFERROR(__xludf.DUMMYFUNCTION("GOOGLETRANSLATE(A668 , ""tr"" , ""en"")"),"@drfahrettinkoca valla You have not taken seriously yazilani Yükilani You don't even make mistakes Even you say Lades ... https://t.co/ctx7h2oxzv")</f>
        <v>@drfahrettinkoca valla You have not taken seriously yazilani Yükilani You don't even make mistakes Even you say Lades ... https://t.co/ctx7h2oxzv</v>
      </c>
    </row>
    <row r="3870" spans="1:5" ht="15" customHeight="1" x14ac:dyDescent="0.2">
      <c r="A3870" s="1" t="s">
        <v>7734</v>
      </c>
      <c r="B3870" s="1">
        <v>11</v>
      </c>
      <c r="C3870" s="3">
        <v>44542.882615740738</v>
      </c>
      <c r="D3870" s="1" t="s">
        <v>7735</v>
      </c>
      <c r="E3870" s="1" t="str">
        <f ca="1">IFERROR(__xludf.DUMMYFUNCTION("GOOGLETRANSLATE(A669 , ""tr"" , ""en"")"),"@drfahrettinkoca you have made vaccination and PCR persecution, killed 16 dose medicines, vaccinated to babies, exiting the babies ... https://t.co/hvcojjdpoI")</f>
        <v>@drfahrettinkoca you have made vaccination and PCR persecution, killed 16 dose medicines, vaccinated to babies, exiting the babies ... https://t.co/hvcojjdpoI</v>
      </c>
    </row>
    <row r="3871" spans="1:5" ht="15" customHeight="1" x14ac:dyDescent="0.2">
      <c r="A3871" s="1" t="s">
        <v>7736</v>
      </c>
      <c r="B3871" s="1">
        <v>0</v>
      </c>
      <c r="C3871" s="3">
        <v>44542.882118055553</v>
      </c>
      <c r="D3871" s="1" t="s">
        <v>7737</v>
      </c>
      <c r="E3871" s="1" t="str">
        <f ca="1">IFERROR(__xludf.DUMMYFUNCTION("GOOGLETRANSLATE(A670 , ""tr"" , ""en"")"),"Why @drfahrettinkoca 3 dose sinovac is passing the last vaccine with the last vaccine 6 Why would it be able to exceed the 4th ... https://t.co/iac4fwi0wn")</f>
        <v>Why @drfahrettinkoca 3 dose sinovac is passing the last vaccine with the last vaccine 6 Why would it be able to exceed the 4th ... https://t.co/iac4fwi0wn</v>
      </c>
    </row>
    <row r="3872" spans="1:5" ht="15" customHeight="1" x14ac:dyDescent="0.2">
      <c r="A3872" s="1" t="s">
        <v>7738</v>
      </c>
      <c r="B3872" s="1">
        <v>0</v>
      </c>
      <c r="C3872" s="3">
        <v>44542.88175925926</v>
      </c>
      <c r="D3872" s="1" t="s">
        <v>7739</v>
      </c>
      <c r="E3872" s="1" t="str">
        <f ca="1">IFERROR(__xludf.DUMMYFUNCTION("GOOGLETRANSLATE(A671 , ""tr"" , ""en"")"),"@drfahrettinkoca @drfahrettinkoca after the vaccination of chest pains increasing and the heart crisis of the relatives of the heart crisis ... https://t.co/h0qmfoIwnj")</f>
        <v>@drfahrettinkoca @drfahrettinkoca after the vaccination of chest pains increasing and the heart crisis of the relatives of the heart crisis ... https://t.co/h0qmfoIwnj</v>
      </c>
    </row>
    <row r="3873" spans="1:5" ht="15" customHeight="1" x14ac:dyDescent="0.2">
      <c r="A3873" s="1" t="s">
        <v>7740</v>
      </c>
      <c r="B3873" s="1">
        <v>5</v>
      </c>
      <c r="C3873" s="3">
        <v>44542.881342592591</v>
      </c>
      <c r="D3873" s="1" t="s">
        <v>7741</v>
      </c>
      <c r="E3873" s="1" t="str">
        <f ca="1">IFERROR(__xludf.DUMMYFUNCTION("GOOGLETRANSLATE(A672 , ""tr"" , ""en"")"),"@drfahrettinkoca FavicoViri you didn't deliberate yourself in front of you yani 😣")</f>
        <v>@drfahrettinkoca FavicoViri you didn't deliberate yourself in front of you yani 😣</v>
      </c>
    </row>
    <row r="3874" spans="1:5" ht="15" customHeight="1" x14ac:dyDescent="0.2">
      <c r="A3874" s="1" t="s">
        <v>7742</v>
      </c>
      <c r="B3874" s="1">
        <v>0</v>
      </c>
      <c r="C3874" s="3">
        <v>44542.880879629629</v>
      </c>
      <c r="D3874" s="1" t="s">
        <v>7743</v>
      </c>
      <c r="E3874" s="1" t="str">
        <f ca="1">IFERROR(__xludf.DUMMYFUNCTION("GOOGLETRANSLATE(A673 , ""tr"" , ""en"")"),"@drfahrettinkoca You haven't done the mistake You don't inadvertently made you wrong that you did this ring even if you don't want to ask now ... https://t.co/ikn2jxqkei")</f>
        <v>@drfahrettinkoca You haven't done the mistake You don't inadvertently made you wrong that you did this ring even if you don't want to ask now ... https://t.co/ikn2jxqkei</v>
      </c>
    </row>
    <row r="3875" spans="1:5" ht="15" customHeight="1" x14ac:dyDescent="0.2">
      <c r="A3875" s="1" t="s">
        <v>7744</v>
      </c>
      <c r="B3875" s="1">
        <v>0</v>
      </c>
      <c r="C3875" s="3">
        <v>44542.880810185183</v>
      </c>
      <c r="D3875" s="1" t="s">
        <v>7745</v>
      </c>
      <c r="E3875" s="1" t="str">
        <f ca="1">IFERROR(__xludf.DUMMYFUNCTION("GOOGLETRANSLATE(A674 , ""tr"" , ""en"")"),"@drfahrettinkoca How to do no intentions You will be tried to kill people, you are going to be judged, you can not manage ... https://t.co/r5r6se60h5")</f>
        <v>@drfahrettinkoca How to do no intentions You will be tried to kill people, you are going to be judged, you can not manage ... https://t.co/r5r6se60h5</v>
      </c>
    </row>
    <row r="3876" spans="1:5" ht="15" customHeight="1" x14ac:dyDescent="0.2">
      <c r="A3876" s="1" t="s">
        <v>7746</v>
      </c>
      <c r="B3876" s="1">
        <v>0</v>
      </c>
      <c r="C3876" s="3">
        <v>44542.880289351851</v>
      </c>
      <c r="D3876" s="1" t="s">
        <v>7747</v>
      </c>
      <c r="E3876" s="1" t="str">
        <f ca="1">IFERROR(__xludf.DUMMYFUNCTION("GOOGLETRANSLATE(A675 , ""tr"" , ""en"")"),"@drfahrettinkoca Dose of Dose to Smoke Let's Vaccinate Everyone")</f>
        <v>@drfahrettinkoca Dose of Dose to Smoke Let's Vaccinate Everyone</v>
      </c>
    </row>
    <row r="3877" spans="1:5" ht="15" customHeight="1" x14ac:dyDescent="0.2">
      <c r="A3877" s="1" t="s">
        <v>7748</v>
      </c>
      <c r="B3877" s="1">
        <v>6</v>
      </c>
      <c r="C3877" s="3">
        <v>44542.879189814812</v>
      </c>
      <c r="D3877" s="1" t="s">
        <v>7749</v>
      </c>
      <c r="E3877" s="1" t="str">
        <f ca="1">IFERROR(__xludf.DUMMYFUNCTION("GOOGLETRANSLATE(A676 , ""tr"" , ""en"")"),"@drfahrettinkoca We've seen what we see what we have seen we've seen allah A Hawale ...")</f>
        <v>@drfahrettinkoca We've seen what we see what we have seen we've seen allah A Hawale ...</v>
      </c>
    </row>
    <row r="3878" spans="1:5" ht="15" customHeight="1" x14ac:dyDescent="0.2">
      <c r="A3878" s="1" t="s">
        <v>7750</v>
      </c>
      <c r="B3878" s="1">
        <v>0</v>
      </c>
      <c r="C3878" s="3">
        <v>44542.879120370373</v>
      </c>
      <c r="D3878" s="1" t="s">
        <v>7751</v>
      </c>
      <c r="E3878" s="1" t="str">
        <f ca="1">IFERROR(__xludf.DUMMYFUNCTION("GOOGLETRANSLATE(A677 , ""tr"" , ""en"")"),"@drfahrettinkoca vaccination reaches outbreaks when you reach 80% ... Fahrettin husband !!!! Why isn't it over? End ... https://t.co/svw1sdza9p")</f>
        <v>@drfahrettinkoca vaccination reaches outbreaks when you reach 80% ... Fahrettin husband !!!! Why isn't it over? End ... https://t.co/svw1sdza9p</v>
      </c>
    </row>
    <row r="3879" spans="1:5" ht="15" customHeight="1" x14ac:dyDescent="0.2">
      <c r="A3879" s="1" t="s">
        <v>7752</v>
      </c>
      <c r="B3879" s="1">
        <v>1</v>
      </c>
      <c r="C3879" s="3">
        <v>44542.878692129627</v>
      </c>
      <c r="D3879" s="1" t="s">
        <v>7753</v>
      </c>
      <c r="E3879" s="1" t="str">
        <f ca="1">IFERROR(__xludf.DUMMYFUNCTION("GOOGLETRANSLATE(A678 , ""tr"" , ""en"")"),"@drfahrettinkoca What will be explaining the damage to the damages under the name of the vaccine.")</f>
        <v>@drfahrettinkoca What will be explaining the damage to the damages under the name of the vaccine.</v>
      </c>
    </row>
    <row r="3880" spans="1:5" ht="15" customHeight="1" x14ac:dyDescent="0.2">
      <c r="A3880" s="1" t="s">
        <v>7754</v>
      </c>
      <c r="B3880" s="1">
        <v>3</v>
      </c>
      <c r="C3880" s="3">
        <v>44542.878101851849</v>
      </c>
      <c r="D3880" s="1" t="s">
        <v>7755</v>
      </c>
      <c r="E3880" s="1" t="str">
        <f ca="1">IFERROR(__xludf.DUMMYFUNCTION("GOOGLETRANSLATE(A679 , ""tr"" , ""en"")"),"@drfahrettinkoca is no intention in this? Just gets a little bit of the answers written to you and not in advance ... https://t.co/jlcecxxrgz")</f>
        <v>@drfahrettinkoca is no intention in this? Just gets a little bit of the answers written to you and not in advance ... https://t.co/jlcecxxrgz</v>
      </c>
    </row>
    <row r="3881" spans="1:5" ht="15" customHeight="1" x14ac:dyDescent="0.2">
      <c r="A3881" s="1" t="s">
        <v>7756</v>
      </c>
      <c r="B3881" s="1">
        <v>1</v>
      </c>
      <c r="C3881" s="3">
        <v>44542.876643518517</v>
      </c>
      <c r="D3881" s="1" t="s">
        <v>7757</v>
      </c>
      <c r="E3881" s="1" t="str">
        <f ca="1">IFERROR(__xludf.DUMMYFUNCTION("GOOGLETRANSLATE(A680 , ""tr"" , ""en"")"),"@drfahrettinkoca DSÖ Throwing the extensions of the global aspects of the Global Mountain of the DSÖ, with the science board seeming, right ... https://t.co/1ry4fqxylk")</f>
        <v>@drfahrettinkoca DSÖ Throwing the extensions of the global aspects of the Global Mountain of the DSÖ, with the science board seeming, right ... https://t.co/1ry4fqxylk</v>
      </c>
    </row>
    <row r="3882" spans="1:5" ht="15" customHeight="1" x14ac:dyDescent="0.2">
      <c r="A3882" s="1" t="s">
        <v>7758</v>
      </c>
      <c r="B3882" s="1">
        <v>0</v>
      </c>
      <c r="C3882" s="3">
        <v>44542.875844907408</v>
      </c>
      <c r="D3882" s="1" t="s">
        <v>7759</v>
      </c>
      <c r="E3882" s="1" t="str">
        <f ca="1">IFERROR(__xludf.DUMMYFUNCTION("GOOGLETRANSLATE(A681 , ""tr"" , ""en"")"),"@drfahrettinkoca This naive attitudes do not have a meaning of Mr. Minister. People who can notice that this attitude is the tasty ... https://t.co/ec2cqutv0r")</f>
        <v>@drfahrettinkoca This naive attitudes do not have a meaning of Mr. Minister. People who can notice that this attitude is the tasty ... https://t.co/ec2cqutv0r</v>
      </c>
    </row>
    <row r="3883" spans="1:5" ht="15" customHeight="1" x14ac:dyDescent="0.2">
      <c r="A3883" s="1" t="s">
        <v>7760</v>
      </c>
      <c r="B3883" s="1">
        <v>0</v>
      </c>
      <c r="C3883" s="3">
        <v>44542.875439814816</v>
      </c>
      <c r="D3883" s="1" t="s">
        <v>7761</v>
      </c>
      <c r="E3883" s="1" t="str">
        <f ca="1">IFERROR(__xludf.DUMMYFUNCTION("GOOGLETRANSLATE(A682 , ""tr"" , ""en"")"),"@drfahrettinkoca is no intentionally? 🙂")</f>
        <v>@drfahrettinkoca is no intentionally? 🙂</v>
      </c>
    </row>
    <row r="3884" spans="1:5" ht="15" customHeight="1" x14ac:dyDescent="0.2">
      <c r="A3884" s="1" t="s">
        <v>7762</v>
      </c>
      <c r="B3884" s="1">
        <v>0</v>
      </c>
      <c r="C3884" s="3">
        <v>44542.875104166669</v>
      </c>
      <c r="D3884" s="1" t="s">
        <v>7763</v>
      </c>
      <c r="E3884" s="1" t="str">
        <f ca="1">IFERROR(__xludf.DUMMYFUNCTION("GOOGLETRANSLATE(A683 , ""tr"" , ""en"")"),"@drfahrettinka you say the vaccine, the Türkovac is still out. When are millions of people waiting in vaccines to start?")</f>
        <v>@drfahrettinka you say the vaccine, the Türkovac is still out. When are millions of people waiting in vaccines to start?</v>
      </c>
    </row>
    <row r="3885" spans="1:5" ht="15" customHeight="1" x14ac:dyDescent="0.2">
      <c r="A3885" s="1" t="s">
        <v>7764</v>
      </c>
      <c r="B3885" s="1">
        <v>0</v>
      </c>
      <c r="C3885" s="3">
        <v>44542.874363425923</v>
      </c>
      <c r="D3885" s="1" t="s">
        <v>7765</v>
      </c>
      <c r="E3885" s="1" t="str">
        <f ca="1">IFERROR(__xludf.DUMMYFUNCTION("GOOGLETRANSLATE(A684 , ""tr"" , ""en"")"),"@drfahrettinkoca By the end of this conversation I wish you quit")</f>
        <v>@drfahrettinkoca By the end of this conversation I wish you quit</v>
      </c>
    </row>
    <row r="3886" spans="1:5" ht="15" customHeight="1" x14ac:dyDescent="0.2">
      <c r="A3886" s="1" t="s">
        <v>7766</v>
      </c>
      <c r="B3886" s="1">
        <v>0</v>
      </c>
      <c r="C3886" s="3">
        <v>44542.871990740743</v>
      </c>
      <c r="D3886" s="1" t="s">
        <v>7767</v>
      </c>
      <c r="E3886" s="1" t="str">
        <f ca="1">IFERROR(__xludf.DUMMYFUNCTION("GOOGLETRANSLATE(A685 , ""tr"" , ""en"")"),"@drfahrettinkoca Dieticians are welcome to assign the assignment to the dietitians The minister is still the agencies with 90 above points")</f>
        <v>@drfahrettinkoca Dieticians are welcome to assign the assignment to the dietitians The minister is still the agencies with 90 above points</v>
      </c>
    </row>
    <row r="3887" spans="1:5" ht="15" customHeight="1" x14ac:dyDescent="0.2">
      <c r="A3887" s="1" t="s">
        <v>7768</v>
      </c>
      <c r="B3887" s="1">
        <v>0</v>
      </c>
      <c r="C3887" s="3">
        <v>44542.871840277781</v>
      </c>
      <c r="D3887" s="1" t="s">
        <v>7769</v>
      </c>
      <c r="E3887" s="1" t="str">
        <f ca="1">IFERROR(__xludf.DUMMYFUNCTION("GOOGLETRANSLATE(A686 , ""tr"" , ""en"")"),"@drfahrettinkoca Dieticians are looking forward to the assignment")</f>
        <v>@drfahrettinkoca Dieticians are looking forward to the assignment</v>
      </c>
    </row>
    <row r="3888" spans="1:5" ht="15" customHeight="1" x14ac:dyDescent="0.2">
      <c r="A3888" s="1" t="s">
        <v>7770</v>
      </c>
      <c r="B3888" s="1">
        <v>0</v>
      </c>
      <c r="C3888" s="3">
        <v>44542.871689814812</v>
      </c>
      <c r="D3888" s="1" t="s">
        <v>7771</v>
      </c>
      <c r="E3888" s="1" t="str">
        <f ca="1">IFERROR(__xludf.DUMMYFUNCTION("GOOGLETRANSLATE(A687 , ""tr"" , ""en"")"),"@drfahrettinkoca dietitians are welcomed to assign the assignment to the dietitians Sayin Minister 91 Score of Cardiacy Still Acikta")</f>
        <v>@drfahrettinkoca dietitians are welcomed to assign the assignment to the dietitians Sayin Minister 91 Score of Cardiacy Still Acikta</v>
      </c>
    </row>
    <row r="3889" spans="1:5" ht="15" customHeight="1" x14ac:dyDescent="0.2">
      <c r="A3889" s="1" t="s">
        <v>7772</v>
      </c>
      <c r="B3889" s="1">
        <v>0</v>
      </c>
      <c r="C3889" s="3">
        <v>44542.871354166666</v>
      </c>
      <c r="D3889" s="1" t="s">
        <v>7773</v>
      </c>
      <c r="E3889" s="1" t="str">
        <f ca="1">IFERROR(__xludf.DUMMYFUNCTION("GOOGLETRANSLATE(A688 , ""tr"" , ""en"")"),"@drfahrettinkoca Started apologies let's see 🤔")</f>
        <v>@drfahrettinkoca Started apologies let's see 🤔</v>
      </c>
    </row>
    <row r="3890" spans="1:5" ht="15" customHeight="1" x14ac:dyDescent="0.2">
      <c r="A3890" s="1" t="s">
        <v>7774</v>
      </c>
      <c r="B3890" s="1">
        <v>0</v>
      </c>
      <c r="C3890" s="3">
        <v>44542.871076388888</v>
      </c>
      <c r="D3890" s="1" t="s">
        <v>7775</v>
      </c>
      <c r="E3890" s="1" t="str">
        <f ca="1">IFERROR(__xludf.DUMMYFUNCTION("GOOGLETRANSLATE(A689 , ""tr"" , ""en"")"),"@drfahrettinkoca is the day counting day account time will come")</f>
        <v>@drfahrettinkoca is the day counting day account time will come</v>
      </c>
    </row>
    <row r="3891" spans="1:5" ht="15" customHeight="1" x14ac:dyDescent="0.2">
      <c r="A3891" s="1" t="s">
        <v>7776</v>
      </c>
      <c r="B3891" s="1">
        <v>0</v>
      </c>
      <c r="C3891" s="3">
        <v>44542.869895833333</v>
      </c>
      <c r="D3891" s="1" t="s">
        <v>7777</v>
      </c>
      <c r="E3891" s="1" t="str">
        <f ca="1">IFERROR(__xludf.DUMMYFUNCTION("GOOGLETRANSLATE(A690 , ""tr"" , ""en"")"),"@drfahrettinkoca If you have any incorrect and deficiency when fulfilling such critical task is separated from that duty ... https://t.co/p1diwlgrxl")</f>
        <v>@drfahrettinkoca If you have any incorrect and deficiency when fulfilling such critical task is separated from that duty ... https://t.co/p1diwlgrxl</v>
      </c>
    </row>
    <row r="3892" spans="1:5" ht="15" customHeight="1" x14ac:dyDescent="0.2">
      <c r="A3892" s="1" t="s">
        <v>7778</v>
      </c>
      <c r="B3892" s="1">
        <v>0</v>
      </c>
      <c r="C3892" s="3">
        <v>44542.869791666664</v>
      </c>
      <c r="D3892" s="1" t="s">
        <v>7779</v>
      </c>
      <c r="E3892" s="1" t="str">
        <f ca="1">IFERROR(__xludf.DUMMYFUNCTION("GOOGLETRANSLATE(A691 , ""tr"" , ""en"")"),"@drfahrettinkoca 👏👍🇹🇷")</f>
        <v>@drfahrettinkoca 👏👍🇹🇷</v>
      </c>
    </row>
    <row r="3893" spans="1:5" ht="15" customHeight="1" x14ac:dyDescent="0.2">
      <c r="A3893" s="1" t="s">
        <v>7780</v>
      </c>
      <c r="B3893" s="1">
        <v>0</v>
      </c>
      <c r="C3893" s="3">
        <v>44542.867858796293</v>
      </c>
      <c r="D3893" s="1" t="s">
        <v>7781</v>
      </c>
      <c r="E3893" s="1" t="str">
        <f ca="1">IFERROR(__xludf.DUMMYFUNCTION("GOOGLETRANSLATE(A692 , ""tr"" , ""en"")"),"@drfahrettinka I attend. Publish the vaccine rates over the total population. Scare yours. Very relaxes, ignorant ...")</f>
        <v>@drfahrettinka I attend. Publish the vaccine rates over the total population. Scare yours. Very relaxes, ignorant ...</v>
      </c>
    </row>
    <row r="3894" spans="1:5" ht="15" customHeight="1" x14ac:dyDescent="0.2">
      <c r="A3894" s="1" t="s">
        <v>7782</v>
      </c>
      <c r="B3894" s="1">
        <v>0</v>
      </c>
      <c r="C3894" s="3">
        <v>44542.867002314815</v>
      </c>
      <c r="D3894" s="1" t="s">
        <v>7783</v>
      </c>
      <c r="E3894" s="1" t="str">
        <f ca="1">IFERROR(__xludf.DUMMYFUNCTION("GOOGLETRANSLATE(A693 , ""tr"" , ""en"")"),"@drfahrettinkoca ozaman quit every honorable person as it needs to do, people are not cheap cheap")</f>
        <v>@drfahrettinkoca ozaman quit every honorable person as it needs to do, people are not cheap cheap</v>
      </c>
    </row>
    <row r="3895" spans="1:5" ht="15" customHeight="1" x14ac:dyDescent="0.2">
      <c r="A3895" s="1" t="s">
        <v>7784</v>
      </c>
      <c r="B3895" s="1">
        <v>0</v>
      </c>
      <c r="C3895" s="3">
        <v>44542.866585648146</v>
      </c>
      <c r="D3895" s="1" t="s">
        <v>7785</v>
      </c>
      <c r="E3895" s="1" t="str">
        <f ca="1">IFERROR(__xludf.DUMMYFUNCTION("GOOGLETRANSLATE(A694 , ""tr"" , ""en"")"),"@drfahrettinkoca Dear Teachers Minister 3. When will the dose vaccine be? 2. We have the overdose in July. Standby SU ... https://t.co/mtafnrw5dc")</f>
        <v>@drfahrettinkoca Dear Teachers Minister 3. When will the dose vaccine be? 2. We have the overdose in July. Standby SU ... https://t.co/mtafnrw5dc</v>
      </c>
    </row>
    <row r="3896" spans="1:5" ht="15" customHeight="1" x14ac:dyDescent="0.2">
      <c r="A3896" s="1" t="s">
        <v>7786</v>
      </c>
      <c r="B3896" s="1">
        <v>0</v>
      </c>
      <c r="C3896" s="3">
        <v>44542.864270833335</v>
      </c>
      <c r="D3896" s="1" t="s">
        <v>7787</v>
      </c>
      <c r="E3896" s="1" t="str">
        <f ca="1">IFERROR(__xludf.DUMMYFUNCTION("GOOGLETRANSLATE(A695 , ""tr"" , ""en"")"),"@drfahrettinkoca I thought all of your actions were intentional, if there is no intentional, then you are very ignorant that you are very ignorant that 🤔 https://t.co/zt9lksdchy")</f>
        <v>@drfahrettinkoca I thought all of your actions were intentional, if there is no intentional, then you are very ignorant that you are very ignorant that 🤔 https://t.co/zt9lksdchy</v>
      </c>
    </row>
    <row r="3897" spans="1:5" ht="15" customHeight="1" x14ac:dyDescent="0.2">
      <c r="A3897" s="1" t="s">
        <v>7788</v>
      </c>
      <c r="B3897" s="1">
        <v>0</v>
      </c>
      <c r="C3897" s="3">
        <v>44542.863819444443</v>
      </c>
      <c r="D3897" s="1" t="s">
        <v>7789</v>
      </c>
      <c r="E3897" s="1" t="str">
        <f ca="1">IFERROR(__xludf.DUMMYFUNCTION("GOOGLETRANSLATE(A696 , ""tr"" , ""en"")"),"@drfahrettinkoca Dear Sir husbands Please resign the thesis time ...")</f>
        <v>@drfahrettinkoca Dear Sir husbands Please resign the thesis time ...</v>
      </c>
    </row>
    <row r="3898" spans="1:5" ht="15" customHeight="1" x14ac:dyDescent="0.2">
      <c r="A3898" s="1" t="s">
        <v>7790</v>
      </c>
      <c r="B3898" s="1">
        <v>4</v>
      </c>
      <c r="C3898" s="3">
        <v>44542.861863425926</v>
      </c>
      <c r="D3898" s="1" t="s">
        <v>7791</v>
      </c>
      <c r="E3898" s="1" t="str">
        <f ca="1">IFERROR(__xludf.DUMMYFUNCTION("GOOGLETRANSLATE(A697 , ""tr"" , ""en"")"),"@drfahrettinka you really get a lot of people in danger hazki hazki cekeki pupils me ... https://t.co/1eoxxkpkkq")</f>
        <v>@drfahrettinka you really get a lot of people in danger hazki hazki cekeki pupils me ... https://t.co/1eoxxkpkkq</v>
      </c>
    </row>
    <row r="3899" spans="1:5" ht="15" customHeight="1" x14ac:dyDescent="0.2">
      <c r="A3899" s="1" t="s">
        <v>7792</v>
      </c>
      <c r="B3899" s="1">
        <v>1</v>
      </c>
      <c r="C3899" s="3">
        <v>44542.861111111109</v>
      </c>
      <c r="D3899" s="1" t="s">
        <v>7793</v>
      </c>
      <c r="E3899" s="1" t="str">
        <f ca="1">IFERROR(__xludf.DUMMYFUNCTION("GOOGLETRANSLATE(A698 , ""tr"" , ""en"")"),"@drfahrettinkoca even even there is even our lives.")</f>
        <v>@drfahrettinkoca even even there is even our lives.</v>
      </c>
    </row>
    <row r="3900" spans="1:5" ht="15" customHeight="1" x14ac:dyDescent="0.2">
      <c r="A3900" s="1" t="s">
        <v>7794</v>
      </c>
      <c r="B3900" s="1">
        <v>0</v>
      </c>
      <c r="C3900" s="3">
        <v>44542.860648148147</v>
      </c>
      <c r="D3900" s="1" t="s">
        <v>7795</v>
      </c>
      <c r="E3900" s="1" t="str">
        <f ca="1">IFERROR(__xludf.DUMMYFUNCTION("GOOGLETRANSLATE(A699 , ""tr"" , ""en"")"),"@drfahrettinkoca Dear Minister You are right in the job if you don't have no intention of the job, there is no crime in the crime is missing a gorevi ic ... https://t.co/spegw0pmzd")</f>
        <v>@drfahrettinkoca Dear Minister You are right in the job if you don't have no intention of the job, there is no crime in the crime is missing a gorevi ic ... https://t.co/spegw0pmzd</v>
      </c>
    </row>
    <row r="3901" spans="1:5" ht="15" customHeight="1" x14ac:dyDescent="0.2">
      <c r="A3901" s="1" t="s">
        <v>7796</v>
      </c>
      <c r="B3901" s="1">
        <v>1</v>
      </c>
      <c r="C3901" s="3">
        <v>44542.859282407408</v>
      </c>
      <c r="D3901" s="1" t="s">
        <v>7797</v>
      </c>
      <c r="E3901" s="1" t="str">
        <f ca="1">IFERROR(__xludf.DUMMYFUNCTION("GOOGLETRANSLATE(A700 , ""tr"" , ""en"")"),"@drfahrettinkoca Mr. Ministry My mother died I will not compensate with some errors from my mind that is passing everything.")</f>
        <v>@drfahrettinkoca Mr. Ministry My mother died I will not compensate with some errors from my mind that is passing everything.</v>
      </c>
    </row>
    <row r="3902" spans="1:5" ht="15" customHeight="1" x14ac:dyDescent="0.2">
      <c r="A3902" s="1" t="s">
        <v>7798</v>
      </c>
      <c r="B3902" s="1">
        <v>0</v>
      </c>
      <c r="C3902" s="3">
        <v>44542.858240740738</v>
      </c>
      <c r="D3902" s="1" t="s">
        <v>7799</v>
      </c>
      <c r="E3902" s="1" t="str">
        <f ca="1">IFERROR(__xludf.DUMMYFUNCTION("GOOGLETRANSLATE(A701 , ""tr"" , ""en"")"),"@drfahrettinkoca Leave these Issiii Hospitals Full Bi Rezillikkkk Associate Professor People People Human BakmiyoOo Asi ... https://t.co/ovtl0kshfy")</f>
        <v>@drfahrettinkoca Leave these Issiii Hospitals Full Bi Rezillikkkk Associate Professor People People Human BakmiyoOo Asi ... https://t.co/ovtl0kshfy</v>
      </c>
    </row>
    <row r="3903" spans="1:5" ht="15" customHeight="1" x14ac:dyDescent="0.2">
      <c r="A3903" s="1" t="s">
        <v>7800</v>
      </c>
      <c r="B3903" s="1">
        <v>11</v>
      </c>
      <c r="C3903" s="3">
        <v>44542.857418981483</v>
      </c>
      <c r="D3903" s="1" t="s">
        <v>7801</v>
      </c>
      <c r="E3903" s="1" t="str">
        <f ca="1">IFERROR(__xludf.DUMMYFUNCTION("GOOGLETRANSLATE(A702 , ""tr"" , ""en"")"),"@drfahrettinkoca is enough to die Syn. Fahrettin husband is our voice to sound and urgently online training! #Mahmutoezerocullaronline")</f>
        <v>@drfahrettinkoca is enough to die Syn. Fahrettin husband is our voice to sound and urgently online training! #Mahmutoezerocullaronline</v>
      </c>
    </row>
    <row r="3904" spans="1:5" ht="15" customHeight="1" x14ac:dyDescent="0.2">
      <c r="A3904" s="1" t="s">
        <v>7802</v>
      </c>
      <c r="B3904" s="1">
        <v>0</v>
      </c>
      <c r="C3904" s="3">
        <v>44542.856620370374</v>
      </c>
      <c r="D3904" s="1" t="s">
        <v>7803</v>
      </c>
      <c r="E3904" s="1" t="str">
        <f ca="1">IFERROR(__xludf.DUMMYFUNCTION("GOOGLETRANSLATE(A703 , ""tr"" , ""en"")"),"@drfahrettinkoca driver's license and liak when attention is observed in the 21st century Turkish century, if not complied with, a disaster ... https://t.co/5r3aurjhxx")</f>
        <v>@drfahrettinkoca driver's license and liak when attention is observed in the 21st century Turkish century, if not complied with, a disaster ... https://t.co/5r3aurjhxx</v>
      </c>
    </row>
    <row r="3905" spans="1:5" ht="15" customHeight="1" x14ac:dyDescent="0.2">
      <c r="A3905" s="1" t="s">
        <v>7804</v>
      </c>
      <c r="B3905" s="1">
        <v>1</v>
      </c>
      <c r="C3905" s="3">
        <v>44542.854699074072</v>
      </c>
      <c r="D3905" s="1" t="s">
        <v>7805</v>
      </c>
      <c r="E3905" s="1" t="str">
        <f ca="1">IFERROR(__xludf.DUMMYFUNCTION("GOOGLETRANSLATE(A704 , ""tr"" , ""en"")"),"@drfahrettinkoca I wish you had a turn and stared in when we rise the screams ... We're going to be clear! Did the minister is not late?")</f>
        <v>@drfahrettinkoca I wish you had a turn and stared in when we rise the screams ... We're going to be clear! Did the minister is not late?</v>
      </c>
    </row>
    <row r="3906" spans="1:5" ht="15" customHeight="1" x14ac:dyDescent="0.2">
      <c r="A3906" s="1" t="s">
        <v>7806</v>
      </c>
      <c r="B3906" s="1">
        <v>10</v>
      </c>
      <c r="C3906" s="3">
        <v>44542.854502314818</v>
      </c>
      <c r="D3906" s="1" t="s">
        <v>7807</v>
      </c>
      <c r="E3906" s="1" t="str">
        <f ca="1">IFERROR(__xludf.DUMMYFUNCTION("GOOGLETRANSLATE(A705 , ""tr"" , ""en"")"),"@drfahrettinkoca ... they made up. #Fatiherbakan https://t.co/f87dzmfphp")</f>
        <v>@drfahrettinkoca ... they made up. #Fatiherbakan https://t.co/f87dzmfphp</v>
      </c>
    </row>
    <row r="3907" spans="1:5" ht="15" customHeight="1" x14ac:dyDescent="0.2">
      <c r="A3907" s="1" t="s">
        <v>7808</v>
      </c>
      <c r="B3907" s="1">
        <v>3</v>
      </c>
      <c r="C3907" s="3">
        <v>44542.853009259263</v>
      </c>
      <c r="D3907" s="1" t="s">
        <v>7809</v>
      </c>
      <c r="E3907" s="1" t="str">
        <f ca="1">IFERROR(__xludf.DUMMYFUNCTION("GOOGLETRANSLATE(A706 , ""tr"" , ""en"")"),"@drfahrettinka https://t.co/y8637ogynw")</f>
        <v>@drfahrettinka https://t.co/y8637ogynw</v>
      </c>
    </row>
    <row r="3908" spans="1:5" ht="15" customHeight="1" x14ac:dyDescent="0.2">
      <c r="A3908" s="1" t="s">
        <v>7810</v>
      </c>
      <c r="B3908" s="1">
        <v>0</v>
      </c>
      <c r="C3908" s="3">
        <v>44542.852685185186</v>
      </c>
      <c r="D3908" s="1" t="s">
        <v>7811</v>
      </c>
      <c r="E3908" s="1" t="str">
        <f ca="1">IFERROR(__xludf.DUMMYFUNCTION("GOOGLETRANSLATE(A707 , ""tr"" , ""en"")"),"@drfahrettinka Mr. The Ministry of Mr. This is like you are talking to you. If I have something so you are your post La ... https://t.co/xioy2f6zlc")</f>
        <v>@drfahrettinka Mr. The Ministry of Mr. This is like you are talking to you. If I have something so you are your post La ... https://t.co/xioy2f6zlc</v>
      </c>
    </row>
    <row r="3909" spans="1:5" ht="15" customHeight="1" x14ac:dyDescent="0.2">
      <c r="A3909" s="1" t="s">
        <v>7812</v>
      </c>
      <c r="B3909" s="1">
        <v>0</v>
      </c>
      <c r="C3909" s="3">
        <v>44542.85193287037</v>
      </c>
      <c r="D3909" s="1" t="s">
        <v>7813</v>
      </c>
      <c r="E3909" s="1" t="str">
        <f ca="1">IFERROR(__xludf.DUMMYFUNCTION("GOOGLETRANSLATE(A708 , ""tr"" , ""en"")"),"@drfahrettinkoca Mask Where is Fahrettin")</f>
        <v>@drfahrettinkoca Mask Where is Fahrettin</v>
      </c>
    </row>
    <row r="3910" spans="1:5" ht="15" customHeight="1" x14ac:dyDescent="0.2">
      <c r="A3910" s="1" t="s">
        <v>7814</v>
      </c>
      <c r="B3910" s="1">
        <v>1</v>
      </c>
      <c r="C3910" s="3">
        <v>44542.851712962962</v>
      </c>
      <c r="D3910" s="1" t="s">
        <v>7815</v>
      </c>
      <c r="E3910" s="1" t="str">
        <f ca="1">IFERROR(__xludf.DUMMYFUNCTION("GOOGLETRANSLATE(A709 , ""tr"" , ""en"")"),"@drfahrettinkoca Ministry Why still don't come to the official announcement how much will we wait? @drfahrettinkoca @gozdekirisciogl @halis_aygun")</f>
        <v>@drfahrettinkoca Ministry Why still don't come to the official announcement how much will we wait? @drfahrettinkoca @gozdekirisciogl @halis_aygun</v>
      </c>
    </row>
    <row r="3911" spans="1:5" ht="15" customHeight="1" x14ac:dyDescent="0.2">
      <c r="A3911" s="1" t="s">
        <v>7816</v>
      </c>
      <c r="B3911" s="1">
        <v>0</v>
      </c>
      <c r="C3911" s="3">
        <v>44542.850891203707</v>
      </c>
      <c r="D3911" s="1" t="s">
        <v>7817</v>
      </c>
      <c r="E3911" s="1" t="str">
        <f ca="1">IFERROR(__xludf.DUMMYFUNCTION("GOOGLETRANSLATE(A710 , ""tr"" , ""en"")"),"@drfahrettinkoca Even damage to the breath you received")</f>
        <v>@drfahrettinkoca Even damage to the breath you received</v>
      </c>
    </row>
    <row r="3912" spans="1:5" ht="15" customHeight="1" x14ac:dyDescent="0.2">
      <c r="A3912" s="1" t="s">
        <v>7818</v>
      </c>
      <c r="B3912" s="1">
        <v>0</v>
      </c>
      <c r="C3912" s="3">
        <v>44542.85087962963</v>
      </c>
      <c r="D3912" s="1" t="s">
        <v>7819</v>
      </c>
      <c r="E3912" s="1" t="str">
        <f ca="1">IFERROR(__xludf.DUMMYFUNCTION("GOOGLETRANSLATE(A711 , ""tr"" , ""en"")"),"@drfahrettinkoca Medipol hospitals don't pay - when will you look at the stewardship and invoices. Invoice in ... https://t.co/oe2rywh8ur")</f>
        <v>@drfahrettinkoca Medipol hospitals don't pay - when will you look at the stewardship and invoices. Invoice in ... https://t.co/oe2rywh8ur</v>
      </c>
    </row>
    <row r="3913" spans="1:5" ht="15" customHeight="1" x14ac:dyDescent="0.2">
      <c r="A3913" s="1" t="s">
        <v>7820</v>
      </c>
      <c r="B3913" s="1">
        <v>1</v>
      </c>
      <c r="C3913" s="3">
        <v>44542.850439814814</v>
      </c>
      <c r="D3913" s="1" t="s">
        <v>7821</v>
      </c>
      <c r="E3913" s="1" t="str">
        <f ca="1">IFERROR(__xludf.DUMMYFUNCTION("GOOGLETRANSLATE(A712 , ""tr"" , ""en"")"),"@drfahrettinkoca Yoo Hikaklima Ole Calls Not Coming Direct. Lied Comes Comes We have lost our belief in Artic Asiya vi ... https://t.co/8s9k3thfzo")</f>
        <v>@drfahrettinkoca Yoo Hikaklima Ole Calls Not Coming Direct. Lied Comes Comes We have lost our belief in Artic Asiya vi ... https://t.co/8s9k3thfzo</v>
      </c>
    </row>
    <row r="3914" spans="1:5" ht="15" customHeight="1" x14ac:dyDescent="0.2">
      <c r="A3914" s="1" t="s">
        <v>7822</v>
      </c>
      <c r="B3914" s="1">
        <v>3</v>
      </c>
      <c r="C3914" s="3">
        <v>44542.84815972222</v>
      </c>
      <c r="D3914" s="1" t="s">
        <v>7823</v>
      </c>
      <c r="E3914" s="1" t="str">
        <f ca="1">IFERROR(__xludf.DUMMYFUNCTION("GOOGLETRANSLATE(A713 , ""tr"" , ""en"")"),"@drfahrettinkoca you didn't get the dead number of the deadlifts didn't you have pityed the vaccines")</f>
        <v>@drfahrettinkoca you didn't get the dead number of the deadlifts didn't you have pityed the vaccines</v>
      </c>
    </row>
    <row r="3915" spans="1:5" ht="15" customHeight="1" x14ac:dyDescent="0.2">
      <c r="A3915" s="1" t="s">
        <v>7824</v>
      </c>
      <c r="B3915" s="1">
        <v>1</v>
      </c>
      <c r="C3915" s="3">
        <v>44542.847777777781</v>
      </c>
      <c r="D3915" s="1" t="s">
        <v>7825</v>
      </c>
      <c r="E3915" s="1" t="str">
        <f ca="1">IFERROR(__xludf.DUMMYFUNCTION("GOOGLETRANSLATE(A714 , ""tr"" , ""en"")"),"@drfahrettinkoca you are very wait for your honor.")</f>
        <v>@drfahrettinkoca you are very wait for your honor.</v>
      </c>
    </row>
    <row r="3916" spans="1:5" ht="15" customHeight="1" x14ac:dyDescent="0.2">
      <c r="A3916" s="1" t="s">
        <v>7826</v>
      </c>
      <c r="B3916" s="1">
        <v>1</v>
      </c>
      <c r="C3916" s="3">
        <v>44542.847650462965</v>
      </c>
      <c r="D3916" s="1" t="s">
        <v>7827</v>
      </c>
      <c r="E3916" s="1" t="str">
        <f ca="1">IFERROR(__xludf.DUMMYFUNCTION("GOOGLETRANSLATE(A715 , ""tr"" , ""en"")"),"@drfahrettinkoca @drfahrettinkoca Dear Ministry of DRFAHRETTINKA DAY DRF Fatih Kid 10 thousand TL took me Lutfen help P ... https://t.co/7xjmrmxswd")</f>
        <v>@drfahrettinkoca @drfahrettinkoca Dear Ministry of DRFAHRETTINKA DAY DRF Fatih Kid 10 thousand TL took me Lutfen help P ... https://t.co/7xjmrmxswd</v>
      </c>
    </row>
    <row r="3917" spans="1:5" ht="15" customHeight="1" x14ac:dyDescent="0.2">
      <c r="A3917" s="1" t="s">
        <v>7828</v>
      </c>
      <c r="B3917" s="1">
        <v>0</v>
      </c>
      <c r="C3917" s="3">
        <v>44542.847256944442</v>
      </c>
      <c r="D3917" s="1" t="s">
        <v>7829</v>
      </c>
      <c r="E3917" s="1" t="str">
        <f ca="1">IFERROR(__xludf.DUMMYFUNCTION("GOOGLETRANSLATE(A716 , ""tr"" , ""en"")"),"@drfahrettinkoca Allah is very likely to settle from us to the minister. Thanks to yours, we are now in the hospital ... https://t.co/6ZTTKI36J1")</f>
        <v>@drfahrettinkoca Allah is very likely to settle from us to the minister. Thanks to yours, we are now in the hospital ... https://t.co/6ZTTKI36J1</v>
      </c>
    </row>
    <row r="3918" spans="1:5" ht="15" customHeight="1" x14ac:dyDescent="0.2">
      <c r="A3918" s="1" t="s">
        <v>7830</v>
      </c>
      <c r="B3918" s="1">
        <v>1</v>
      </c>
      <c r="C3918" s="3">
        <v>44542.847175925926</v>
      </c>
      <c r="D3918" s="1" t="s">
        <v>7831</v>
      </c>
      <c r="E3918" s="1" t="str">
        <f ca="1">IFERROR(__xludf.DUMMYFUNCTION("GOOGLETRANSLATE(A717 , ""tr"" , ""en"")"),"@drfahrettinkoca is what it means is now slowly going to the master of sinizing.")</f>
        <v>@drfahrettinkoca is what it means is now slowly going to the master of sinizing.</v>
      </c>
    </row>
    <row r="3919" spans="1:5" ht="15" customHeight="1" x14ac:dyDescent="0.2">
      <c r="A3919" s="1" t="s">
        <v>7832</v>
      </c>
      <c r="B3919" s="1">
        <v>6</v>
      </c>
      <c r="C3919" s="3">
        <v>44542.846782407411</v>
      </c>
      <c r="D3919" s="1" t="s">
        <v>7833</v>
      </c>
      <c r="E3919" s="1" t="str">
        <f ca="1">IFERROR(__xludf.DUMMYFUNCTION("GOOGLETRANSLATE(A718 , ""tr"" , ""en"")"),"@drfahrettinkoca allah of allah you and all globalists say that the pagans say they say! Amîn 🇹🇷 🇹🇷 🇹🇷")</f>
        <v>@drfahrettinkoca allah of allah you and all globalists say that the pagans say they say! Amîn 🇹🇷 🇹🇷 🇹🇷</v>
      </c>
    </row>
    <row r="3920" spans="1:5" ht="15" customHeight="1" x14ac:dyDescent="0.2">
      <c r="A3920" s="1" t="s">
        <v>7834</v>
      </c>
      <c r="B3920" s="1">
        <v>163</v>
      </c>
      <c r="C3920" s="3">
        <v>44542.845300925925</v>
      </c>
      <c r="D3920" s="1" t="s">
        <v>7835</v>
      </c>
      <c r="E3920" s="1" t="str">
        <f ca="1">IFERROR(__xludf.DUMMYFUNCTION("GOOGLETRANSLATE(A719 , ""tr"" , ""en"")"),"@drfahrettinkoca from the beginning to finish the intention of intentionally from the beginning !! Don't try to strip thousands of information B ... https://t.co/0fggyzhuxf")</f>
        <v>@drfahrettinkoca from the beginning to finish the intention of intentionally from the beginning !! Don't try to strip thousands of information B ... https://t.co/0fggyzhuxf</v>
      </c>
    </row>
    <row r="3921" spans="1:5" ht="15" customHeight="1" x14ac:dyDescent="0.2">
      <c r="A3921" s="1" t="s">
        <v>7836</v>
      </c>
      <c r="B3921" s="1">
        <v>0</v>
      </c>
      <c r="C3921" s="3">
        <v>44542.845011574071</v>
      </c>
      <c r="D3921" s="1" t="s">
        <v>7837</v>
      </c>
      <c r="E3921" s="1" t="str">
        <f ca="1">IFERROR(__xludf.DUMMYFUNCTION("GOOGLETRANSLATE(A720 , ""tr"" , ""en"")"),"@drfahrettinkoca is the largest lack of nurses in university hospitals")</f>
        <v>@drfahrettinkoca is the largest lack of nurses in university hospitals</v>
      </c>
    </row>
    <row r="3922" spans="1:5" ht="15" customHeight="1" x14ac:dyDescent="0.2">
      <c r="A3922" s="1" t="s">
        <v>7838</v>
      </c>
      <c r="B3922" s="1">
        <v>0</v>
      </c>
      <c r="C3922" s="3">
        <v>44542.843865740739</v>
      </c>
      <c r="D3922" s="1" t="s">
        <v>7839</v>
      </c>
      <c r="E3922" s="1" t="str">
        <f ca="1">IFERROR(__xludf.DUMMYFUNCTION("GOOGLETRANSLATE(A721 , ""tr"" , ""en"")"),"@drfahrettinkoca my organization says ya 😂 began to talk as thoroughly owner.")</f>
        <v>@drfahrettinkoca my organization says ya 😂 began to talk as thoroughly owner.</v>
      </c>
    </row>
    <row r="3923" spans="1:5" ht="15" customHeight="1" x14ac:dyDescent="0.2">
      <c r="A3923" s="1" t="s">
        <v>7840</v>
      </c>
      <c r="B3923" s="1">
        <v>0</v>
      </c>
      <c r="C3923" s="3">
        <v>44542.843668981484</v>
      </c>
      <c r="D3923" s="1" t="s">
        <v>7841</v>
      </c>
      <c r="E3923" s="1" t="str">
        <f ca="1">IFERROR(__xludf.DUMMYFUNCTION("GOOGLETRANSLATE(A722 , ""tr"" , ""en"")"),"@drfahrettinkoca What science is what a pardon? What is your business? Is the place overlook?")</f>
        <v>@drfahrettinkoca What science is what a pardon? What is your business? Is the place overlook?</v>
      </c>
    </row>
    <row r="3924" spans="1:5" ht="15" customHeight="1" x14ac:dyDescent="0.2">
      <c r="A3924" s="1" t="s">
        <v>7842</v>
      </c>
      <c r="B3924" s="1">
        <v>1</v>
      </c>
      <c r="C3924" s="3">
        <v>44542.843090277776</v>
      </c>
      <c r="D3924" s="1" t="s">
        <v>7843</v>
      </c>
      <c r="E3924" s="1" t="str">
        <f ca="1">IFERROR(__xludf.DUMMYFUNCTION("GOOGLETRANSLATE(A723 , ""tr"" , ""en"")"),"@drfahrettinkoca professional definitions missing and deficiency has been made as the Ministry and are not given rights to the right ... HTTPS://T.CO/8YLICOLSEA")</f>
        <v>@drfahrettinkoca professional definitions missing and deficiency has been made as the Ministry and are not given rights to the right ... HTTPS://T.CO/8YLICOLSEA</v>
      </c>
    </row>
    <row r="3925" spans="1:5" ht="15" customHeight="1" x14ac:dyDescent="0.2">
      <c r="A3925" s="1" t="s">
        <v>7844</v>
      </c>
      <c r="B3925" s="1">
        <v>0</v>
      </c>
      <c r="C3925" s="3">
        <v>44542.843009259261</v>
      </c>
      <c r="D3925" s="1" t="s">
        <v>7845</v>
      </c>
      <c r="E3925" s="1" t="str">
        <f ca="1">IFERROR(__xludf.DUMMYFUNCTION("GOOGLETRANSLATE(A724 , ""tr"" , ""en"")"),"@drfahrettinkoca is formally feathered ... We have not installed daily number of people average 200. These deaths are during the war ... https://t.co/Iifzzq7rmn")</f>
        <v>@drfahrettinkoca is formally feathered ... We have not installed daily number of people average 200. These deaths are during the war ... https://t.co/Iifzzq7rmn</v>
      </c>
    </row>
    <row r="3926" spans="1:5" ht="15" customHeight="1" x14ac:dyDescent="0.2">
      <c r="A3926" s="1" t="s">
        <v>7846</v>
      </c>
      <c r="B3926" s="1">
        <v>0</v>
      </c>
      <c r="C3926" s="3">
        <v>44542.84175925926</v>
      </c>
      <c r="D3926" s="1" t="s">
        <v>7847</v>
      </c>
      <c r="E3926" s="1" t="str">
        <f ca="1">IFERROR(__xludf.DUMMYFUNCTION("GOOGLETRANSLATE(A725 , ""tr"" , ""en"")"),"@drfahrettinka you have me in this critical period in this critical period how many days have you been in bed i have been in bed to your face ... https://t.co/a2iuy4llu3")</f>
        <v>@drfahrettinka you have me in this critical period in this critical period how many days have you been in bed i have been in bed to your face ... https://t.co/a2iuy4llu3</v>
      </c>
    </row>
    <row r="3927" spans="1:5" ht="15" customHeight="1" x14ac:dyDescent="0.2">
      <c r="A3927" s="1" t="s">
        <v>7848</v>
      </c>
      <c r="B3927" s="1">
        <v>1</v>
      </c>
      <c r="C3927" s="3">
        <v>44542.841516203705</v>
      </c>
      <c r="D3927" s="1" t="s">
        <v>7849</v>
      </c>
      <c r="E3927" s="1" t="str">
        <f ca="1">IFERROR(__xludf.DUMMYFUNCTION("GOOGLETRANSLATE(A726 , ""tr"" , ""en"")"),"@drfahrettinkoca O humanity is still more than believing in the Planist of Biangians who served global demons and to them ... https://t.co/vrdoeeeeak")</f>
        <v>@drfahrettinkoca O humanity is still more than believing in the Planist of Biangians who served global demons and to them ... https://t.co/vrdoeeeeak</v>
      </c>
    </row>
    <row r="3928" spans="1:5" ht="15" customHeight="1" x14ac:dyDescent="0.2">
      <c r="A3928" s="1" t="s">
        <v>7850</v>
      </c>
      <c r="B3928" s="1">
        <v>0</v>
      </c>
      <c r="C3928" s="3">
        <v>44542.838622685187</v>
      </c>
      <c r="D3928" s="1" t="s">
        <v>7851</v>
      </c>
      <c r="E3928" s="1" t="str">
        <f ca="1">IFERROR(__xludf.DUMMYFUNCTION("GOOGLETRANSLATE(A727 , ""tr"" , ""en"")"),"@drfahrettinkoca you are CIKARAN KAŞİMEN's AMINDA Jew of my code")</f>
        <v>@drfahrettinkoca you are CIKARAN KAŞİMEN's AMINDA Jew of my code</v>
      </c>
    </row>
    <row r="3929" spans="1:5" ht="15" customHeight="1" x14ac:dyDescent="0.2">
      <c r="A3929" s="1" t="s">
        <v>7852</v>
      </c>
      <c r="B3929" s="1">
        <v>12</v>
      </c>
      <c r="C3929" s="3">
        <v>44542.838020833333</v>
      </c>
      <c r="D3929" s="1" t="s">
        <v>7853</v>
      </c>
      <c r="E3929" s="1" t="str">
        <f ca="1">IFERROR(__xludf.DUMMYFUNCTION("GOOGLETRANSLATE(A728 , ""tr"" , ""en"")"),"@drfahrettinkoca 11 s been revealing, back gear preparation Do you mine minister? But the subject in this country is the human life ... https://t.co/z3zmvf7z8n")</f>
        <v>@drfahrettinkoca 11 s been revealing, back gear preparation Do you mine minister? But the subject in this country is the human life ... https://t.co/z3zmvf7z8n</v>
      </c>
    </row>
    <row r="3930" spans="1:5" ht="15" customHeight="1" x14ac:dyDescent="0.2">
      <c r="A3930" s="1" t="s">
        <v>7854</v>
      </c>
      <c r="B3930" s="1">
        <v>0</v>
      </c>
      <c r="C3930" s="3">
        <v>44542.83797453704</v>
      </c>
      <c r="D3930" s="1" t="s">
        <v>7855</v>
      </c>
      <c r="E3930" s="1" t="str">
        <f ca="1">IFERROR(__xludf.DUMMYFUNCTION("GOOGLETRANSLATE(A729 , ""tr"" , ""en"")"),"@drfahrettinkoca hocam The problem has something that has different deliberate saying that you can have sooths not to say that it is not your job ... https://t.co/qzvtvmıvgj")</f>
        <v>@drfahrettinkoca hocam The problem has something that has different deliberate saying that you can have sooths not to say that it is not your job ... https://t.co/qzvtvmıvgj</v>
      </c>
    </row>
    <row r="3931" spans="1:5" ht="15" customHeight="1" x14ac:dyDescent="0.2">
      <c r="A3931" s="1" t="s">
        <v>7856</v>
      </c>
      <c r="B3931" s="1">
        <v>1</v>
      </c>
      <c r="C3931" s="3">
        <v>44542.837187500001</v>
      </c>
      <c r="D3931" s="1" t="s">
        <v>7857</v>
      </c>
      <c r="E3931" s="1" t="str">
        <f ca="1">IFERROR(__xludf.DUMMYFUNCTION("GOOGLETRANSLATE(A730 , ""tr"" , ""en"")"),"@drfahrettinkoca people died, the families will say that he was miserable after this time you will call. The mercy is a little bit.")</f>
        <v>@drfahrettinkoca people died, the families will say that he was miserable after this time you will call. The mercy is a little bit.</v>
      </c>
    </row>
    <row r="3932" spans="1:5" ht="15" customHeight="1" x14ac:dyDescent="0.2">
      <c r="A3932" s="1" t="s">
        <v>7858</v>
      </c>
      <c r="B3932" s="1">
        <v>0</v>
      </c>
      <c r="C3932" s="3">
        <v>44542.83666666667</v>
      </c>
      <c r="D3932" s="1" t="s">
        <v>7859</v>
      </c>
      <c r="E3932" s="1" t="str">
        <f ca="1">IFERROR(__xludf.DUMMYFUNCTION("GOOGLETRANSLATE(A731 , ""tr"" , ""en"")"),"@drfahrettinkoca Your diots of your diots ie Halal of your entitlement ............................................................................................................................................")</f>
        <v>@drfahrettinkoca Your diots of your diots ie Halal of your entitlement ............................................................................................................................................</v>
      </c>
    </row>
    <row r="3933" spans="1:5" ht="15" customHeight="1" x14ac:dyDescent="0.2">
      <c r="A3933" s="1" t="s">
        <v>7860</v>
      </c>
      <c r="B3933" s="1">
        <v>24</v>
      </c>
      <c r="C3933" s="3">
        <v>44542.835590277777</v>
      </c>
      <c r="D3933" s="1" t="s">
        <v>7861</v>
      </c>
      <c r="E3933" s="1" t="str">
        <f ca="1">IFERROR(__xludf.DUMMYFUNCTION("GOOGLETRANSLATE(A732 , ""tr"" , ""en"")"),"@drfahrettinkoca then you need to look at the comments that write at the bottom @drfahrettinkoca but where ....")</f>
        <v>@drfahrettinkoca then you need to look at the comments that write at the bottom @drfahrettinkoca but where ....</v>
      </c>
    </row>
    <row r="3934" spans="1:5" ht="15" customHeight="1" x14ac:dyDescent="0.2">
      <c r="A3934" s="1" t="s">
        <v>7862</v>
      </c>
      <c r="B3934" s="1">
        <v>105</v>
      </c>
      <c r="C3934" s="3">
        <v>44542.835081018522</v>
      </c>
      <c r="D3934" s="1" t="s">
        <v>7863</v>
      </c>
      <c r="E3934" s="1" t="str">
        <f ca="1">IFERROR(__xludf.DUMMYFUNCTION("GOOGLETRANSLATE(A733 , ""tr"" , ""en"")"),"@drfahrettinkoca Meanwhile the 6-month babies are asked to ask when the Covid fluids made accidentally accidentally accidentally.")</f>
        <v>@drfahrettinkoca Meanwhile the 6-month babies are asked to ask when the Covid fluids made accidentally accidentally accidentally.</v>
      </c>
    </row>
    <row r="3935" spans="1:5" ht="15" customHeight="1" x14ac:dyDescent="0.2">
      <c r="A3935" s="1" t="s">
        <v>7864</v>
      </c>
      <c r="B3935" s="1">
        <v>0</v>
      </c>
      <c r="C3935" s="3">
        <v>44542.835069444445</v>
      </c>
      <c r="D3935" s="1" t="s">
        <v>7865</v>
      </c>
      <c r="E3935" s="1" t="str">
        <f ca="1">IFERROR(__xludf.DUMMYFUNCTION("GOOGLETRANSLATE(A734 , ""tr"" , ""en"")"),"@drfahrettinkoca shameless immoral name @drfahrettinkoca")</f>
        <v>@drfahrettinkoca shameless immoral name @drfahrettinkoca</v>
      </c>
    </row>
    <row r="3936" spans="1:5" ht="15" customHeight="1" x14ac:dyDescent="0.2">
      <c r="A3936" s="1" t="s">
        <v>7866</v>
      </c>
      <c r="B3936" s="1">
        <v>0</v>
      </c>
      <c r="C3936" s="3">
        <v>44542.834849537037</v>
      </c>
      <c r="D3936" s="1" t="s">
        <v>7867</v>
      </c>
      <c r="E3936" s="1" t="str">
        <f ca="1">IFERROR(__xludf.DUMMYFUNCTION("GOOGLETRANSLATE(A735 , ""tr"" , ""en"")"),"@drfahrettinkoca ahaaaa comes in god also forgive us in our people")</f>
        <v>@drfahrettinkoca ahaaaa comes in god also forgive us in our people</v>
      </c>
    </row>
    <row r="3937" spans="1:5" ht="15" customHeight="1" x14ac:dyDescent="0.2">
      <c r="A3937" s="1" t="s">
        <v>7868</v>
      </c>
      <c r="B3937" s="1">
        <v>0</v>
      </c>
      <c r="C3937" s="3">
        <v>44542.834687499999</v>
      </c>
      <c r="D3937" s="1" t="s">
        <v>7869</v>
      </c>
      <c r="E3937" s="1" t="str">
        <f ca="1">IFERROR(__xludf.DUMMYFUNCTION("GOOGLETRANSLATE(A736 , ""tr"" , ""en"")"),"@drfahrettinkoca knows the truth and intentions of the Almighty Lord.")</f>
        <v>@drfahrettinkoca knows the truth and intentions of the Almighty Lord.</v>
      </c>
    </row>
    <row r="3938" spans="1:5" ht="15" customHeight="1" x14ac:dyDescent="0.2">
      <c r="A3938" s="1" t="s">
        <v>7870</v>
      </c>
      <c r="B3938" s="1">
        <v>11</v>
      </c>
      <c r="C3938" s="3">
        <v>44542.83421296296</v>
      </c>
      <c r="D3938" s="1" t="s">
        <v>7871</v>
      </c>
      <c r="E3938" s="1" t="str">
        <f ca="1">IFERROR(__xludf.DUMMYFUNCTION("GOOGLETRANSLATE(A737 , ""tr"" , ""en"")"),"@drfahrettinkoca Your mistakes exceeded the arch. You have turned the world to hell. Your insatiable cost 85 million's life ... https://t.co/jtz5uo4woc")</f>
        <v>@drfahrettinkoca Your mistakes exceeded the arch. You have turned the world to hell. Your insatiable cost 85 million's life ... https://t.co/jtz5uo4woc</v>
      </c>
    </row>
    <row r="3939" spans="1:5" ht="15" customHeight="1" x14ac:dyDescent="0.2">
      <c r="A3939" s="1" t="s">
        <v>7872</v>
      </c>
      <c r="B3939" s="1">
        <v>0</v>
      </c>
      <c r="C3939" s="3">
        <v>44542.833587962959</v>
      </c>
      <c r="D3939" s="1" t="s">
        <v>7873</v>
      </c>
      <c r="E3939" s="1" t="str">
        <f ca="1">IFERROR(__xludf.DUMMYFUNCTION("GOOGLETRANSLATE(A738 , ""tr"" , ""en"")"),"@drfahrettinkoca The immune system cannot do anything to the powerful What did you do nothing in the nation What is the immune system ... https://t.co/leyjcikr45")</f>
        <v>@drfahrettinkoca The immune system cannot do anything to the powerful What did you do nothing in the nation What is the immune system ... https://t.co/leyjcikr45</v>
      </c>
    </row>
    <row r="3940" spans="1:5" ht="15" customHeight="1" x14ac:dyDescent="0.2">
      <c r="A3940" s="1" t="s">
        <v>7874</v>
      </c>
      <c r="B3940" s="1">
        <v>1</v>
      </c>
      <c r="C3940" s="3">
        <v>44542.833067129628</v>
      </c>
      <c r="D3940" s="1" t="s">
        <v>7875</v>
      </c>
      <c r="E3940" s="1" t="str">
        <f ca="1">IFERROR(__xludf.DUMMYFUNCTION("GOOGLETRANSLATE(A739 , ""tr"" , ""en"")"),"@drfahrettinkoca Mr. @rterdogan What says, the guide is the crow's nose is not crap. You scan pharmaceutical firms ... https://t.co/jfvxvw5RIY")</f>
        <v>@drfahrettinkoca Mr. @rterdogan What says, the guide is the crow's nose is not crap. You scan pharmaceutical firms ... https://t.co/jfvxvw5RIY</v>
      </c>
    </row>
    <row r="3941" spans="1:5" ht="15" customHeight="1" x14ac:dyDescent="0.2">
      <c r="A3941" s="1" t="s">
        <v>7876</v>
      </c>
      <c r="B3941" s="1">
        <v>0</v>
      </c>
      <c r="C3941" s="3">
        <v>44542.831099537034</v>
      </c>
      <c r="D3941" s="1" t="s">
        <v>7877</v>
      </c>
      <c r="E3941" s="1" t="str">
        <f ca="1">IFERROR(__xludf.DUMMYFUNCTION("GOOGLETRANSLATE(A740 , ""tr"" , ""en"")"),"@drfahrettinkoca I'm not forgiving!")</f>
        <v>@drfahrettinkoca I'm not forgiving!</v>
      </c>
    </row>
    <row r="3942" spans="1:5" ht="15" customHeight="1" x14ac:dyDescent="0.2">
      <c r="A3942" s="1" t="s">
        <v>7878</v>
      </c>
      <c r="B3942" s="1">
        <v>0</v>
      </c>
      <c r="C3942" s="3">
        <v>44542.831006944441</v>
      </c>
      <c r="D3942" s="1" t="s">
        <v>7879</v>
      </c>
      <c r="E3942" s="1" t="str">
        <f ca="1">IFERROR(__xludf.DUMMYFUNCTION("GOOGLETRANSLATE(A741 , ""tr"" , ""en"")"),"@drfahrettinkoca logic is. Experiment experiment")</f>
        <v>@drfahrettinkoca logic is. Experiment experiment</v>
      </c>
    </row>
    <row r="3943" spans="1:5" ht="15" customHeight="1" x14ac:dyDescent="0.2">
      <c r="A3943" s="1" t="s">
        <v>7880</v>
      </c>
      <c r="B3943" s="1">
        <v>137</v>
      </c>
      <c r="C3943" s="3">
        <v>44542.830868055556</v>
      </c>
      <c r="D3943" s="1" t="s">
        <v>7881</v>
      </c>
      <c r="E3943" s="1" t="str">
        <f ca="1">IFERROR(__xludf.DUMMYFUNCTION("GOOGLETRANSLATE(A742 , ""tr"" , ""en"")"),"Discard @drfahrettinkoca WHO from the country. Cancel all agreements. Fancy the Board of Directions. They are on your face ... https://t.co/n0u5npevpn")</f>
        <v>Discard @drfahrettinkoca WHO from the country. Cancel all agreements. Fancy the Board of Directions. They are on your face ... https://t.co/n0u5npevpn</v>
      </c>
    </row>
    <row r="3944" spans="1:5" ht="15" customHeight="1" x14ac:dyDescent="0.2">
      <c r="A3944" s="1" t="s">
        <v>7882</v>
      </c>
      <c r="B3944" s="1">
        <v>1</v>
      </c>
      <c r="C3944" s="3">
        <v>44542.83053240741</v>
      </c>
      <c r="D3944" s="1" t="s">
        <v>7883</v>
      </c>
      <c r="E3944" s="1" t="str">
        <f ca="1">IFERROR(__xludf.DUMMYFUNCTION("GOOGLETRANSLATE(A743 , ""tr"" , ""en"")"),"@drfahrettinka you kill 200 people every day with drugs under virus name and can be errors already d ... https://t.co/rg7rbyj8m0")</f>
        <v>@drfahrettinka you kill 200 people every day with drugs under virus name and can be errors already d ... https://t.co/rg7rbyj8m0</v>
      </c>
    </row>
    <row r="3945" spans="1:5" ht="15" customHeight="1" x14ac:dyDescent="0.2">
      <c r="A3945" s="1" t="s">
        <v>7884</v>
      </c>
      <c r="B3945" s="1">
        <v>0</v>
      </c>
      <c r="C3945" s="3">
        <v>44542.830520833333</v>
      </c>
      <c r="D3945" s="1" t="s">
        <v>7885</v>
      </c>
      <c r="E3945" s="1" t="str">
        <f ca="1">IFERROR(__xludf.DUMMYFUNCTION("GOOGLETRANSLATE(A744 , ""tr"" , ""en"")"),"@drfahrettinkoca has been resigned as explanation")</f>
        <v>@drfahrettinkoca has been resigned as explanation</v>
      </c>
    </row>
    <row r="3946" spans="1:5" ht="15" customHeight="1" x14ac:dyDescent="0.2">
      <c r="A3946" s="1" t="s">
        <v>7886</v>
      </c>
      <c r="B3946" s="1">
        <v>0</v>
      </c>
      <c r="C3946" s="3">
        <v>44542.830300925925</v>
      </c>
      <c r="D3946" s="1" t="s">
        <v>7887</v>
      </c>
      <c r="E3946" s="1" t="str">
        <f ca="1">IFERROR(__xludf.DUMMYFUNCTION("GOOGLETRANSLATE(A745 , ""tr"" , ""en"")"),"@drfahrettinkoca not eaten deyyyarının dont eaten in front of the cameras is that it is almost the doctor to be the doctor ... https://t.co/u36nwc2spk")</f>
        <v>@drfahrettinkoca not eaten deyyyarının dont eaten in front of the cameras is that it is almost the doctor to be the doctor ... https://t.co/u36nwc2spk</v>
      </c>
    </row>
    <row r="3947" spans="1:5" ht="15" customHeight="1" x14ac:dyDescent="0.2">
      <c r="A3947" s="1" t="s">
        <v>7888</v>
      </c>
      <c r="B3947" s="1">
        <v>2</v>
      </c>
      <c r="C3947" s="3">
        <v>44542.829745370371</v>
      </c>
      <c r="D3947" s="1" t="s">
        <v>7889</v>
      </c>
      <c r="E3947" s="1" t="str">
        <f ca="1">IFERROR(__xludf.DUMMYFUNCTION("GOOGLETRANSLATE(A746 , ""tr"" , ""en"")"),"@drfahrettinkoca nation have done experimental fluids no intentionally in my mind in my mind is well intentioned in your mind ... https://t.co/c8o6eiy9q2")</f>
        <v>@drfahrettinkoca nation have done experimental fluids no intentionally in my mind in my mind is well intentioned in your mind ... https://t.co/c8o6eiy9q2</v>
      </c>
    </row>
    <row r="3948" spans="1:5" ht="15" customHeight="1" x14ac:dyDescent="0.2">
      <c r="A3948" s="1" t="s">
        <v>7890</v>
      </c>
      <c r="B3948" s="1">
        <v>0</v>
      </c>
      <c r="C3948" s="3">
        <v>44542.829733796294</v>
      </c>
      <c r="D3948" s="1" t="s">
        <v>7891</v>
      </c>
      <c r="E3948" s="1" t="str">
        <f ca="1">IFERROR(__xludf.DUMMYFUNCTION("GOOGLETRANSLATE(A747 , ""tr"" , ""en"")"),"@drfahrettinkoca said the human being could not be faulted by the fault of the minister.")</f>
        <v>@drfahrettinkoca said the human being could not be faulted by the fault of the minister.</v>
      </c>
    </row>
    <row r="3949" spans="1:5" ht="15" customHeight="1" x14ac:dyDescent="0.2">
      <c r="A3949" s="1" t="s">
        <v>7892</v>
      </c>
      <c r="B3949" s="1">
        <v>0</v>
      </c>
      <c r="C3949" s="3">
        <v>44542.829652777778</v>
      </c>
      <c r="D3949" s="1" t="s">
        <v>7893</v>
      </c>
      <c r="E3949" s="1" t="str">
        <f ca="1">IFERROR(__xludf.DUMMYFUNCTION("GOOGLETRANSLATE(A748 , ""tr"" , ""en"")"),"@drfahrettinkoca science, if you have gained God in God, and leave the path in which God has not showed ... https://t.co/ofvdrbrkgj")</f>
        <v>@drfahrettinkoca science, if you have gained God in God, and leave the path in which God has not showed ... https://t.co/ofvdrbrkgj</v>
      </c>
    </row>
    <row r="3950" spans="1:5" ht="15" customHeight="1" x14ac:dyDescent="0.2">
      <c r="A3950" s="1" t="s">
        <v>7894</v>
      </c>
      <c r="B3950" s="1">
        <v>0</v>
      </c>
      <c r="C3950" s="3">
        <v>44542.829351851855</v>
      </c>
      <c r="D3950" s="1" t="s">
        <v>7895</v>
      </c>
      <c r="E3950" s="1" t="str">
        <f ca="1">IFERROR(__xludf.DUMMYFUNCTION("GOOGLETRANSLATE(A749 , ""tr"" , ""en"")"),"@drfahrettinkoca I swear I couldn't find the only word to say !!!!!")</f>
        <v>@drfahrettinkoca I swear I couldn't find the only word to say !!!!!</v>
      </c>
    </row>
    <row r="3951" spans="1:5" ht="15" customHeight="1" x14ac:dyDescent="0.2">
      <c r="A3951" s="1" t="s">
        <v>7896</v>
      </c>
      <c r="B3951" s="1">
        <v>83</v>
      </c>
      <c r="C3951" s="3">
        <v>44542.828263888892</v>
      </c>
      <c r="D3951" s="1" t="s">
        <v>7897</v>
      </c>
      <c r="E3951" s="1" t="str">
        <f ca="1">IFERROR(__xludf.DUMMYFUNCTION("GOOGLETRANSLATE(A750 , ""tr"" , ""en"")"),"@drfahrettinkca we have entrusted our nation to the conscience of our nation.")</f>
        <v>@drfahrettinkca we have entrusted our nation to the conscience of our nation.</v>
      </c>
    </row>
    <row r="3952" spans="1:5" ht="15" customHeight="1" x14ac:dyDescent="0.2">
      <c r="A3952" s="1" t="s">
        <v>7898</v>
      </c>
      <c r="B3952" s="1">
        <v>9</v>
      </c>
      <c r="C3952" s="3">
        <v>44542.8278587963</v>
      </c>
      <c r="D3952" s="1" t="s">
        <v>7899</v>
      </c>
      <c r="E3952" s="1" t="str">
        <f ca="1">IFERROR(__xludf.DUMMYFUNCTION("GOOGLETRANSLATE(A751 , ""tr"" , ""en"")"),"@drfahrettinkoca ensar is melting in front of our eyes to day, please share our voice by sharing ... https://t.co/i8UICZTJQL")</f>
        <v>@drfahrettinkoca ensar is melting in front of our eyes to day, please share our voice by sharing ... https://t.co/i8UICZTJQL</v>
      </c>
    </row>
    <row r="3953" spans="1:5" ht="15" customHeight="1" x14ac:dyDescent="0.2">
      <c r="A3953" s="1" t="s">
        <v>7900</v>
      </c>
      <c r="B3953" s="1">
        <v>0</v>
      </c>
      <c r="C3953" s="3">
        <v>44542.827407407407</v>
      </c>
      <c r="D3953" s="1" t="s">
        <v>7901</v>
      </c>
      <c r="E3953" s="1" t="str">
        <f ca="1">IFERROR(__xludf.DUMMYFUNCTION("GOOGLETRANSLATE(A752 , ""tr"" , ""en"")"),"@drfahrettinkoca We're losing about 200 people every day. My Ministry, I wanted to remind ... The rest is teferruat.")</f>
        <v>@drfahrettinkoca We're losing about 200 people every day. My Ministry, I wanted to remind ... The rest is teferruat.</v>
      </c>
    </row>
    <row r="3954" spans="1:5" ht="15" customHeight="1" x14ac:dyDescent="0.2">
      <c r="A3954" s="1" t="s">
        <v>7902</v>
      </c>
      <c r="B3954" s="1">
        <v>0</v>
      </c>
      <c r="C3954" s="3">
        <v>44542.827245370368</v>
      </c>
      <c r="D3954" s="1" t="s">
        <v>7903</v>
      </c>
      <c r="E3954" s="1" t="str">
        <f ca="1">IFERROR(__xludf.DUMMYFUNCTION("GOOGLETRANSLATE(A753 , ""tr"" , ""en"")"),"@drfahrettinkoca Minister How many days are 200 people dying How many teachers have been killed on how many teachers were killed their account ... https://t.co/ovrdhlzcn5")</f>
        <v>@drfahrettinkoca Minister How many days are 200 people dying How many teachers have been killed on how many teachers were killed their account ... https://t.co/ovrdhlzcn5</v>
      </c>
    </row>
    <row r="3955" spans="1:5" ht="15" customHeight="1" x14ac:dyDescent="0.2">
      <c r="A3955" s="1" t="s">
        <v>7904</v>
      </c>
      <c r="B3955" s="1">
        <v>0</v>
      </c>
      <c r="C3955" s="3">
        <v>44542.82675925926</v>
      </c>
      <c r="D3955" s="1" t="s">
        <v>7905</v>
      </c>
      <c r="E3955" s="1" t="str">
        <f ca="1">IFERROR(__xludf.DUMMYFUNCTION("GOOGLETRANSLATE(A754 , ""tr"" , ""en"")"),"@drfahrettinkoca Don't make the mistake of luxury What do you mean your health?")</f>
        <v>@drfahrettinkoca Don't make the mistake of luxury What do you mean your health?</v>
      </c>
    </row>
    <row r="3956" spans="1:5" ht="15" customHeight="1" x14ac:dyDescent="0.2">
      <c r="A3956" s="1" t="s">
        <v>7906</v>
      </c>
      <c r="B3956" s="1">
        <v>0</v>
      </c>
      <c r="C3956" s="3">
        <v>44542.826469907406</v>
      </c>
      <c r="D3956" s="1" t="s">
        <v>7907</v>
      </c>
      <c r="E3956" s="1" t="str">
        <f ca="1">IFERROR(__xludf.DUMMYFUNCTION("GOOGLETRANSLATE(A755 , ""tr"" , ""en"")"),"@drfahrettinkoca time to stop pleading tourists and keep the input output tight, such deaths do not increase ... https://t.co/kw9yjknkrn")</f>
        <v>@drfahrettinkoca time to stop pleading tourists and keep the input output tight, such deaths do not increase ... https://t.co/kw9yjknkrn</v>
      </c>
    </row>
    <row r="3957" spans="1:5" ht="15" customHeight="1" x14ac:dyDescent="0.2">
      <c r="A3957" s="1" t="s">
        <v>7908</v>
      </c>
      <c r="B3957" s="1">
        <v>0</v>
      </c>
      <c r="C3957" s="3">
        <v>44542.826261574075</v>
      </c>
      <c r="D3957" s="1" t="s">
        <v>7909</v>
      </c>
      <c r="E3957" s="1" t="str">
        <f ca="1">IFERROR(__xludf.DUMMYFUNCTION("GOOGLETRANSLATE(A756 , ""tr"" , ""en"")"),"@drfahrettinkoca We are victimized by the words we are enclosing with our brans 87 86 The purchase is close to the fair distribution https://t.co/1bdvp2rkga")</f>
        <v>@drfahrettinkoca We are victimized by the words we are enclosing with our brans 87 86 The purchase is close to the fair distribution https://t.co/1bdvp2rkga</v>
      </c>
    </row>
    <row r="3958" spans="1:5" ht="15" customHeight="1" x14ac:dyDescent="0.2">
      <c r="A3958" s="1" t="s">
        <v>7910</v>
      </c>
      <c r="B3958" s="1">
        <v>1</v>
      </c>
      <c r="C3958" s="3">
        <v>44542.826122685183</v>
      </c>
      <c r="D3958" s="1" t="s">
        <v>7911</v>
      </c>
      <c r="E3958" s="1" t="str">
        <f ca="1">IFERROR(__xludf.DUMMYFUNCTION("GOOGLETRANSLATE(A757 , ""tr"" , ""en"")"),"@drfahrettinkoca what does this mean now? We killed in the wrong treatment or immune fog ... https://t.co/8mrdzemvv6")</f>
        <v>@drfahrettinkoca what does this mean now? We killed in the wrong treatment or immune fog ... https://t.co/8mrdzemvv6</v>
      </c>
    </row>
    <row r="3959" spans="1:5" ht="15" customHeight="1" x14ac:dyDescent="0.2">
      <c r="A3959" s="1" t="s">
        <v>7912</v>
      </c>
      <c r="B3959" s="1">
        <v>0</v>
      </c>
      <c r="C3959" s="3">
        <v>44542.82608796296</v>
      </c>
      <c r="D3959" s="1" t="s">
        <v>7913</v>
      </c>
      <c r="E3959" s="1" t="str">
        <f ca="1">IFERROR(__xludf.DUMMYFUNCTION("GOOGLETRANSLATE(A758 , ""tr"" , ""en"")"),"If @drfahrettinkoca no intention, doctors do not listen to the bass bass shouting vaccines as it increases the variant?")</f>
        <v>If @drfahrettinkoca no intention, doctors do not listen to the bass bass shouting vaccines as it increases the variant?</v>
      </c>
    </row>
    <row r="3960" spans="1:5" ht="15" customHeight="1" x14ac:dyDescent="0.2">
      <c r="A3960" s="1" t="s">
        <v>7914</v>
      </c>
      <c r="B3960" s="1">
        <v>0</v>
      </c>
      <c r="C3960" s="3">
        <v>44542.825335648151</v>
      </c>
      <c r="D3960" s="1" t="s">
        <v>7915</v>
      </c>
      <c r="E3960" s="1" t="str">
        <f ca="1">IFERROR(__xludf.DUMMYFUNCTION("GOOGLETRANSLATE(A759 , ""tr"" , ""en"")"),"@drfahrettinka https://t.co/uuqp1aj4n8")</f>
        <v>@drfahrettinka https://t.co/uuqp1aj4n8</v>
      </c>
    </row>
    <row r="3961" spans="1:5" ht="15" customHeight="1" x14ac:dyDescent="0.2">
      <c r="A3961" s="1" t="s">
        <v>7916</v>
      </c>
      <c r="B3961" s="1">
        <v>0</v>
      </c>
      <c r="C3961" s="3">
        <v>44542.825208333335</v>
      </c>
      <c r="D3961" s="1" t="s">
        <v>7917</v>
      </c>
      <c r="E3961" s="1" t="str">
        <f ca="1">IFERROR(__xludf.DUMMYFUNCTION("GOOGLETRANSLATE(A760 , ""tr"" , ""en"")"),"@drfahrettinka https://t.co/zj49edk2sk")</f>
        <v>@drfahrettinka https://t.co/zj49edk2sk</v>
      </c>
    </row>
    <row r="3962" spans="1:5" ht="15" customHeight="1" x14ac:dyDescent="0.2">
      <c r="A3962" s="1" t="s">
        <v>7918</v>
      </c>
      <c r="B3962" s="1">
        <v>0</v>
      </c>
      <c r="C3962" s="3">
        <v>44542.825023148151</v>
      </c>
      <c r="D3962" s="1" t="s">
        <v>7919</v>
      </c>
      <c r="E3962" s="1" t="str">
        <f ca="1">IFERROR(__xludf.DUMMYFUNCTION("GOOGLETRANSLATE(A761 , ""tr"" , ""en"")"),"@drfahrettinka https://t.co/lı3omkjky5")</f>
        <v>@drfahrettinka https://t.co/lı3omkjky5</v>
      </c>
    </row>
    <row r="3963" spans="1:5" ht="15" customHeight="1" x14ac:dyDescent="0.2">
      <c r="A3963" s="1" t="s">
        <v>7920</v>
      </c>
      <c r="B3963" s="1">
        <v>0</v>
      </c>
      <c r="C3963" s="3">
        <v>44542.824884259258</v>
      </c>
      <c r="D3963" s="1" t="s">
        <v>7921</v>
      </c>
      <c r="E3963" s="1" t="str">
        <f ca="1">IFERROR(__xludf.DUMMYFUNCTION("GOOGLETRANSLATE(A762 , ""tr"" , ""en"")"),"@drfahrettinka https://t.co/u74nlwb2hl")</f>
        <v>@drfahrettinka https://t.co/u74nlwb2hl</v>
      </c>
    </row>
    <row r="3964" spans="1:5" ht="15" customHeight="1" x14ac:dyDescent="0.2">
      <c r="A3964" s="1" t="s">
        <v>7922</v>
      </c>
      <c r="B3964" s="1">
        <v>0</v>
      </c>
      <c r="C3964" s="3">
        <v>44542.824733796297</v>
      </c>
      <c r="D3964" s="1" t="s">
        <v>7923</v>
      </c>
      <c r="E3964" s="1" t="str">
        <f ca="1">IFERROR(__xludf.DUMMYFUNCTION("GOOGLETRANSLATE(A763 , ""tr"" , ""en"")"),"@drfahrettinka https://t.co/lbatmcpyqj")</f>
        <v>@drfahrettinka https://t.co/lbatmcpyqj</v>
      </c>
    </row>
    <row r="3965" spans="1:5" ht="15" customHeight="1" x14ac:dyDescent="0.2">
      <c r="A3965" s="1" t="s">
        <v>7924</v>
      </c>
      <c r="B3965" s="1">
        <v>0</v>
      </c>
      <c r="C3965" s="3">
        <v>44542.824699074074</v>
      </c>
      <c r="D3965" s="1" t="s">
        <v>7925</v>
      </c>
      <c r="E3965" s="1" t="str">
        <f ca="1">IFERROR(__xludf.DUMMYFUNCTION("GOOGLETRANSLATE(A764 , ""tr"" , ""en"")"),"@drfahrettinka https://t.co/tplilhjbol")</f>
        <v>@drfahrettinka https://t.co/tplilhjbol</v>
      </c>
    </row>
    <row r="3966" spans="1:5" ht="15" customHeight="1" x14ac:dyDescent="0.2">
      <c r="A3966" s="1" t="s">
        <v>7926</v>
      </c>
      <c r="B3966" s="1">
        <v>0</v>
      </c>
      <c r="C3966" s="3">
        <v>44542.824641203704</v>
      </c>
      <c r="D3966" s="1" t="s">
        <v>7927</v>
      </c>
      <c r="E3966" s="1" t="str">
        <f ca="1">IFERROR(__xludf.DUMMYFUNCTION("GOOGLETRANSLATE(A765 , ""tr"" , ""en"")"),"@drfahrettinka https://t.co/xjt8p3ldv9")</f>
        <v>@drfahrettinka https://t.co/xjt8p3ldv9</v>
      </c>
    </row>
    <row r="3967" spans="1:5" ht="15" customHeight="1" x14ac:dyDescent="0.2">
      <c r="A3967" s="1" t="s">
        <v>7928</v>
      </c>
      <c r="B3967" s="1">
        <v>9</v>
      </c>
      <c r="C3967" s="3">
        <v>44542.823969907404</v>
      </c>
      <c r="D3967" s="1" t="s">
        <v>7929</v>
      </c>
      <c r="E3967" s="1" t="str">
        <f ca="1">IFERROR(__xludf.DUMMYFUNCTION("GOOGLETRANSLATE(A766 , ""tr"" , ""en"")"),"@drfahrettinkoca COK is an interesting twit, an interesting conversation. As much as it says from me ⁉⁉🤔")</f>
        <v>@drfahrettinkoca COK is an interesting twit, an interesting conversation. As much as it says from me ⁉⁉🤔</v>
      </c>
    </row>
    <row r="3968" spans="1:5" ht="15" customHeight="1" x14ac:dyDescent="0.2">
      <c r="A3968" s="1" t="s">
        <v>7930</v>
      </c>
      <c r="B3968" s="1">
        <v>0</v>
      </c>
      <c r="C3968" s="3">
        <v>44542.823750000003</v>
      </c>
      <c r="D3968" s="1" t="s">
        <v>7931</v>
      </c>
      <c r="E3968" s="1" t="str">
        <f ca="1">IFERROR(__xludf.DUMMYFUNCTION("GOOGLETRANSLATE(A767 , ""tr"" , ""en"")"),"@drfahrettinkoca Istifan Us is the favors that you get rid of us")</f>
        <v>@drfahrettinkoca Istifan Us is the favors that you get rid of us</v>
      </c>
    </row>
    <row r="3969" spans="1:5" ht="15" customHeight="1" x14ac:dyDescent="0.2">
      <c r="A3969" s="1" t="s">
        <v>7932</v>
      </c>
      <c r="B3969" s="1">
        <v>3</v>
      </c>
      <c r="C3969" s="3">
        <v>44542.822974537034</v>
      </c>
      <c r="D3969" s="1" t="s">
        <v>7933</v>
      </c>
      <c r="E3969" s="1" t="str">
        <f ca="1">IFERROR(__xludf.DUMMYFUNCTION("GOOGLETRANSLATE(A768 , ""tr"" , ""en"")"),"@DRFAHRETTINKA Mr. Ministry of Ministry # Medical Firms Fix Vital Status for us simple for you waiting for your payment ..")</f>
        <v>@DRFAHRETTINKA Mr. Ministry of Ministry # Medical Firms Fix Vital Status for us simple for you waiting for your payment ..</v>
      </c>
    </row>
    <row r="3970" spans="1:5" ht="15" customHeight="1" x14ac:dyDescent="0.2">
      <c r="A3970" s="1" t="s">
        <v>7934</v>
      </c>
      <c r="B3970" s="1">
        <v>0</v>
      </c>
      <c r="C3970" s="3">
        <v>44542.821701388886</v>
      </c>
      <c r="D3970" s="1" t="s">
        <v>7935</v>
      </c>
      <c r="E3970" s="1" t="str">
        <f ca="1">IFERROR(__xludf.DUMMYFUNCTION("GOOGLETRANSLATE(A769 , ""tr"" , ""en"")"),"@drfahrettinka vaccines have achieved i guess")</f>
        <v>@drfahrettinka vaccines have achieved i guess</v>
      </c>
    </row>
    <row r="3971" spans="1:5" ht="15" customHeight="1" x14ac:dyDescent="0.2">
      <c r="A3971" s="1" t="s">
        <v>7936</v>
      </c>
      <c r="B3971" s="1">
        <v>0</v>
      </c>
      <c r="C3971" s="3">
        <v>44542.821689814817</v>
      </c>
      <c r="D3971" s="1" t="s">
        <v>7937</v>
      </c>
      <c r="E3971" s="1" t="str">
        <f ca="1">IFERROR(__xludf.DUMMYFUNCTION("GOOGLETRANSLATE(A770 , ""tr"" , ""en"")"),"@drfahrettinkoca anymore decision-making time precautions are obtained from the relatives of the immediate retrieved dies. Hertps://t.co/ncs9femnij")</f>
        <v>@drfahrettinkoca anymore decision-making time precautions are obtained from the relatives of the immediate retrieved dies. Hertps://t.co/ncs9femnij</v>
      </c>
    </row>
    <row r="3972" spans="1:5" ht="15" customHeight="1" x14ac:dyDescent="0.2">
      <c r="A3972" s="1" t="s">
        <v>7938</v>
      </c>
      <c r="B3972" s="1">
        <v>1</v>
      </c>
      <c r="C3972" s="3">
        <v>44542.82</v>
      </c>
      <c r="D3972" s="1" t="s">
        <v>7939</v>
      </c>
      <c r="E3972" s="1" t="str">
        <f ca="1">IFERROR(__xludf.DUMMYFUNCTION("GOOGLETRANSLATE(A771 , ""tr"" , ""en"")"),"@drfahrettinkoca is the virtue of resignation!")</f>
        <v>@drfahrettinkoca is the virtue of resignation!</v>
      </c>
    </row>
    <row r="3973" spans="1:5" ht="15" customHeight="1" x14ac:dyDescent="0.2">
      <c r="A3973" s="1" t="s">
        <v>7940</v>
      </c>
      <c r="B3973" s="1">
        <v>0</v>
      </c>
      <c r="C3973" s="3">
        <v>44542.819849537038</v>
      </c>
      <c r="D3973" s="1" t="s">
        <v>7941</v>
      </c>
      <c r="E3973" s="1" t="str">
        <f ca="1">IFERROR(__xludf.DUMMYFUNCTION("GOOGLETRANSLATE(A772 , ""tr"" , ""en"")"),"@drfahrettinkoca @saglikbakanligi Covid Minister..SSK Hospital Appointment Drug Received Fees. SSK ... https://t.co/7zvir63pra")</f>
        <v>@drfahrettinkoca @saglikbakanligi Covid Minister..SSK Hospital Appointment Drug Received Fees. SSK ... https://t.co/7zvir63pra</v>
      </c>
    </row>
    <row r="3974" spans="1:5" ht="15" customHeight="1" x14ac:dyDescent="0.2">
      <c r="A3974" s="1" t="s">
        <v>7942</v>
      </c>
      <c r="B3974" s="1">
        <v>38</v>
      </c>
      <c r="C3974" s="3">
        <v>44542.819849537038</v>
      </c>
      <c r="D3974" s="1" t="s">
        <v>7943</v>
      </c>
      <c r="E3974" s="1" t="str">
        <f ca="1">IFERROR(__xludf.DUMMYFUNCTION("GOOGLETRANSLATE(A773 , ""tr"" , ""en"")"),"@drfahrettinkoca In Europe, when you are prohibited in America in America in America, you continued to use the drug.8 + 8 days past ... https://t.co/wo5fdcuvob")</f>
        <v>@drfahrettinkoca In Europe, when you are prohibited in America in America in America, you continued to use the drug.8 + 8 days past ... https://t.co/wo5fdcuvob</v>
      </c>
    </row>
    <row r="3975" spans="1:5" ht="15" customHeight="1" x14ac:dyDescent="0.2">
      <c r="A3975" s="1" t="s">
        <v>7944</v>
      </c>
      <c r="B3975" s="1">
        <v>2</v>
      </c>
      <c r="C3975" s="3">
        <v>44542.819606481484</v>
      </c>
      <c r="D3975" s="1" t="s">
        <v>7945</v>
      </c>
      <c r="E3975" s="1" t="str">
        <f ca="1">IFERROR(__xludf.DUMMYFUNCTION("GOOGLETRANSLATE(A774 , ""tr"" , ""en"")"),"@drfahrettinkoca Your Affola took the defects you say ..")</f>
        <v>@drfahrettinkoca Your Affola took the defects you say ..</v>
      </c>
    </row>
    <row r="3976" spans="1:5" ht="15" customHeight="1" x14ac:dyDescent="0.2">
      <c r="A3976" s="1" t="s">
        <v>7946</v>
      </c>
      <c r="B3976" s="1">
        <v>0</v>
      </c>
      <c r="C3976" s="3">
        <v>44542.819432870368</v>
      </c>
      <c r="D3976" s="1" t="s">
        <v>7947</v>
      </c>
      <c r="E3976" s="1" t="str">
        <f ca="1">IFERROR(__xludf.DUMMYFUNCTION("GOOGLETRANSLATE(A775 , ""tr"" , ""en"")"),"@drfahrettinkoca You are talking to the people you will never believe in you as a bad note of history.")</f>
        <v>@drfahrettinkoca You are talking to the people you will never believe in you as a bad note of history.</v>
      </c>
    </row>
    <row r="3977" spans="1:5" ht="15" customHeight="1" x14ac:dyDescent="0.2">
      <c r="A3977" s="1" t="s">
        <v>7948</v>
      </c>
      <c r="B3977" s="1">
        <v>0</v>
      </c>
      <c r="C3977" s="3">
        <v>44542.818796296298</v>
      </c>
      <c r="D3977" s="1" t="s">
        <v>7949</v>
      </c>
      <c r="E3977" s="1" t="str">
        <f ca="1">IFERROR(__xludf.DUMMYFUNCTION("GOOGLETRANSLATE(A776 , ""tr"" , ""en"")"),"@drfahrettinkoca You couldn't be a step ahead of autonomously under Cigarettes of Ozer. This is the reason for deaths, the cause of death ... https://t.co/ogmfhvz2vz")</f>
        <v>@drfahrettinkoca You couldn't be a step ahead of autonomously under Cigarettes of Ozer. This is the reason for deaths, the cause of death ... https://t.co/ogmfhvz2vz</v>
      </c>
    </row>
    <row r="3978" spans="1:5" ht="15" customHeight="1" x14ac:dyDescent="0.2">
      <c r="A3978" s="1" t="s">
        <v>7950</v>
      </c>
      <c r="B3978" s="1">
        <v>0</v>
      </c>
      <c r="C3978" s="3">
        <v>44542.817430555559</v>
      </c>
      <c r="D3978" s="1" t="s">
        <v>7951</v>
      </c>
      <c r="E3978" s="1" t="str">
        <f ca="1">IFERROR(__xludf.DUMMYFUNCTION("GOOGLETRANSLATE(A777 , ""tr"" , ""en"")"),"@drfahrettinka we see intentional. We entrusted the state to you. You are instructions from Globalist Barons from DSO ... https://t.co/kctagiljdk")</f>
        <v>@drfahrettinka we see intentional. We entrusted the state to you. You are instructions from Globalist Barons from DSO ... https://t.co/kctagiljdk</v>
      </c>
    </row>
    <row r="3979" spans="1:5" ht="15" customHeight="1" x14ac:dyDescent="0.2">
      <c r="A3979" s="1" t="s">
        <v>7952</v>
      </c>
      <c r="B3979" s="1">
        <v>0</v>
      </c>
      <c r="C3979" s="3">
        <v>44542.817384259259</v>
      </c>
      <c r="D3979" s="1" t="s">
        <v>7953</v>
      </c>
      <c r="E3979" s="1" t="str">
        <f ca="1">IFERROR(__xludf.DUMMYFUNCTION("GOOGLETRANSLATE(A778 , ""tr"" , ""en"")"),"@drfahrettinkoca you are late .. you have done .. you have never taken the subject.")</f>
        <v>@drfahrettinkoca you are late .. you have done .. you have never taken the subject.</v>
      </c>
    </row>
    <row r="3980" spans="1:5" ht="15" customHeight="1" x14ac:dyDescent="0.2">
      <c r="A3980" s="1" t="s">
        <v>7954</v>
      </c>
      <c r="B3980" s="1">
        <v>0</v>
      </c>
      <c r="C3980" s="3">
        <v>44542.815648148149</v>
      </c>
      <c r="D3980" s="1" t="s">
        <v>7955</v>
      </c>
      <c r="E3980" s="1" t="str">
        <f ca="1">IFERROR(__xludf.DUMMYFUNCTION("GOOGLETRANSLATE(A779 , ""tr"" , ""en"")"),"@drfahrettinkoca Nothing right in the right, quit your grandchildren Love the money")</f>
        <v>@drfahrettinkoca Nothing right in the right, quit your grandchildren Love the money</v>
      </c>
    </row>
    <row r="3981" spans="1:5" ht="15" customHeight="1" x14ac:dyDescent="0.2">
      <c r="A3981" s="1" t="s">
        <v>7956</v>
      </c>
      <c r="B3981" s="1">
        <v>36</v>
      </c>
      <c r="C3981" s="3">
        <v>44542.813171296293</v>
      </c>
      <c r="D3981" s="1" t="s">
        <v>7957</v>
      </c>
      <c r="E3981" s="1" t="str">
        <f ca="1">IFERROR(__xludf.DUMMYFUNCTION("GOOGLETRANSLATE(A780 , ""tr"" , ""en"")"),"@drfahrettinkoca Even the seat you are sitting will be the plaintiff of your honor ..")</f>
        <v>@drfahrettinkoca Even the seat you are sitting will be the plaintiff of your honor ..</v>
      </c>
    </row>
    <row r="3982" spans="1:5" ht="15" customHeight="1" x14ac:dyDescent="0.2">
      <c r="A3982" s="1" t="s">
        <v>7958</v>
      </c>
      <c r="B3982" s="1">
        <v>0</v>
      </c>
      <c r="C3982" s="3">
        <v>44542.812708333331</v>
      </c>
      <c r="D3982" s="1" t="s">
        <v>7959</v>
      </c>
      <c r="E3982" s="1" t="str">
        <f ca="1">IFERROR(__xludf.DUMMYFUNCTION("GOOGLETRANSLATE(A781 , ""tr"" , ""en"")"),"@drfahrettinkoca deliberately no so? Then according to the eye according to the eye of the Economy Students to the schools to the schools to the schools ... https://t.co/b4kzalpn5t")</f>
        <v>@drfahrettinkoca deliberately no so? Then according to the eye according to the eye of the Economy Students to the schools to the schools to the schools ... https://t.co/b4kzalpn5t</v>
      </c>
    </row>
    <row r="3983" spans="1:5" ht="15" customHeight="1" x14ac:dyDescent="0.2">
      <c r="A3983" s="1" t="s">
        <v>7960</v>
      </c>
      <c r="B3983" s="1">
        <v>75</v>
      </c>
      <c r="C3983" s="3">
        <v>44542.812395833331</v>
      </c>
      <c r="D3983" s="1" t="s">
        <v>7961</v>
      </c>
      <c r="E3983" s="1" t="str">
        <f ca="1">IFERROR(__xludf.DUMMYFUNCTION("GOOGLETRANSLATE(A782 , ""tr"" , ""en"")"),"@drfahrettinkoca We didn't say that you did the mistake or wrong. We have even served global forces to ask you. Mi ... https://t.co/xvsvgmafsr")</f>
        <v>@drfahrettinkoca We didn't say that you did the mistake or wrong. We have even served global forces to ask you. Mi ... https://t.co/xvsvgmafsr</v>
      </c>
    </row>
    <row r="3984" spans="1:5" ht="15" customHeight="1" x14ac:dyDescent="0.2">
      <c r="A3984" s="1" t="s">
        <v>7962</v>
      </c>
      <c r="B3984" s="1">
        <v>0</v>
      </c>
      <c r="C3984" s="3">
        <v>44542.81150462963</v>
      </c>
      <c r="D3984" s="1" t="s">
        <v>7963</v>
      </c>
      <c r="E3984" s="1" t="str">
        <f ca="1">IFERROR(__xludf.DUMMYFUNCTION("GOOGLETRANSLATE(A783 , ""tr"" , ""en"")"),"If @drfahrettinka has been biased by diploma, errors are inevitable.")</f>
        <v>If @drfahrettinka has been biased by diploma, errors are inevitable.</v>
      </c>
    </row>
    <row r="3985" spans="1:5" ht="15" customHeight="1" x14ac:dyDescent="0.2">
      <c r="A3985" s="1" t="s">
        <v>7964</v>
      </c>
      <c r="B3985" s="1">
        <v>0</v>
      </c>
      <c r="C3985" s="3">
        <v>44542.811469907407</v>
      </c>
      <c r="D3985" s="1" t="s">
        <v>7965</v>
      </c>
      <c r="E3985" s="1" t="str">
        <f ca="1">IFERROR(__xludf.DUMMYFUNCTION("GOOGLETRANSLATE(A784 , ""tr"" , ""en"")"),"@drfahrettinkoca arkada Kork, PCR is a minimum, to work as you have saved PCR to the healthy person ... https://t.co/qgyrudwnww")</f>
        <v>@drfahrettinkoca arkada Kork, PCR is a minimum, to work as you have saved PCR to the healthy person ... https://t.co/qgyrudwnww</v>
      </c>
    </row>
    <row r="3986" spans="1:5" ht="15" customHeight="1" x14ac:dyDescent="0.2">
      <c r="A3986" s="1" t="s">
        <v>7966</v>
      </c>
      <c r="B3986" s="1">
        <v>0</v>
      </c>
      <c r="C3986" s="3">
        <v>44542.811273148145</v>
      </c>
      <c r="D3986" s="1" t="s">
        <v>7967</v>
      </c>
      <c r="E3986" s="1" t="str">
        <f ca="1">IFERROR(__xludf.DUMMYFUNCTION("GOOGLETRANSLATE(A785 , ""tr"" , ""en"")"),"@drfahrettinkoca omicron came to the country when you came to the country when it came in the winter comes hard to work in the mornings 😀😃")</f>
        <v>@drfahrettinkoca omicron came to the country when you came to the country when it came in the winter comes hard to work in the mornings 😀😃</v>
      </c>
    </row>
    <row r="3987" spans="1:5" ht="15" customHeight="1" x14ac:dyDescent="0.2">
      <c r="A3987" s="1" t="s">
        <v>7968</v>
      </c>
      <c r="B3987" s="1">
        <v>0</v>
      </c>
      <c r="C3987" s="3">
        <v>44542.811099537037</v>
      </c>
      <c r="D3987" s="1" t="s">
        <v>7969</v>
      </c>
      <c r="E3987" s="1" t="str">
        <f ca="1">IFERROR(__xludf.DUMMYFUNCTION("GOOGLETRANSLATE(A786 , ""tr"" , ""en"")"),"@drfahrettinkoca is not intentionally excluded tiny babies. The camel asked why the neck is curved, b ... https://t.co/hzx0gızje8")</f>
        <v>@drfahrettinkoca is not intentionally excluded tiny babies. The camel asked why the neck is curved, b ... https://t.co/hzx0gızje8</v>
      </c>
    </row>
    <row r="3988" spans="1:5" ht="15" customHeight="1" x14ac:dyDescent="0.2">
      <c r="A3988" s="1" t="s">
        <v>7970</v>
      </c>
      <c r="B3988" s="1">
        <v>4</v>
      </c>
      <c r="C3988" s="3">
        <v>44542.808761574073</v>
      </c>
      <c r="D3988" s="1" t="s">
        <v>7971</v>
      </c>
      <c r="E3988" s="1" t="str">
        <f ca="1">IFERROR(__xludf.DUMMYFUNCTION("GOOGLETRANSLATE(A787 , ""tr"" , ""en"")"),"@drfahrettinka you said that you didn't say other IIs. Are you minister of epidemic?")</f>
        <v>@drfahrettinka you said that you didn't say other IIs. Are you minister of epidemic?</v>
      </c>
    </row>
    <row r="3989" spans="1:5" ht="15" customHeight="1" x14ac:dyDescent="0.2">
      <c r="A3989" s="1" t="s">
        <v>7972</v>
      </c>
      <c r="B3989" s="1">
        <v>0</v>
      </c>
      <c r="C3989" s="3">
        <v>44542.808611111112</v>
      </c>
      <c r="D3989" s="1" t="s">
        <v>7973</v>
      </c>
      <c r="E3989" s="1" t="str">
        <f ca="1">IFERROR(__xludf.DUMMYFUNCTION("GOOGLETRANSLATE(A788 , ""tr"" , ""en"")"),"@drfahrettinka is scheduled for closures for omicron.")</f>
        <v>@drfahrettinka is scheduled for closures for omicron.</v>
      </c>
    </row>
    <row r="3990" spans="1:5" ht="15" customHeight="1" x14ac:dyDescent="0.2">
      <c r="A3990" s="1" t="s">
        <v>7974</v>
      </c>
      <c r="B3990" s="1">
        <v>0</v>
      </c>
      <c r="C3990" s="3">
        <v>44542.808587962965</v>
      </c>
      <c r="D3990" s="1" t="s">
        <v>7975</v>
      </c>
      <c r="E3990" s="1" t="str">
        <f ca="1">IFERROR(__xludf.DUMMYFUNCTION("GOOGLETRANSLATE(A789 , ""tr"" , ""en"")"),"If you are doing according to @drfahrettinkoca eye? If the Science Board had an independent statement from you.")</f>
        <v>If you are doing according to @drfahrettinkoca eye? If the Science Board had an independent statement from you.</v>
      </c>
    </row>
    <row r="3991" spans="1:5" ht="15" customHeight="1" x14ac:dyDescent="0.2">
      <c r="A3991" s="1" t="s">
        <v>7976</v>
      </c>
      <c r="B3991" s="1">
        <v>3</v>
      </c>
      <c r="C3991" s="3">
        <v>44542.808518518519</v>
      </c>
      <c r="D3991" s="1" t="s">
        <v>7977</v>
      </c>
      <c r="E3991" s="1" t="str">
        <f ca="1">IFERROR(__xludf.DUMMYFUNCTION("GOOGLETRANSLATE(A790 , ""tr"" , ""en"")"),"@drfahrettinkoca PCR With my darling life with this you took 3 times per week I will be shouted in the Anahta ... https://t.co/2exnvncv8w")</f>
        <v>@drfahrettinkoca PCR With my darling life with this you took 3 times per week I will be shouted in the Anahta ... https://t.co/2exnvncv8w</v>
      </c>
    </row>
    <row r="3992" spans="1:5" ht="15" customHeight="1" x14ac:dyDescent="0.2">
      <c r="A3992" s="1" t="s">
        <v>7978</v>
      </c>
      <c r="B3992" s="1">
        <v>34</v>
      </c>
      <c r="C3992" s="3">
        <v>44542.808379629627</v>
      </c>
      <c r="D3992" s="1" t="s">
        <v>7979</v>
      </c>
      <c r="E3992" s="1" t="str">
        <f ca="1">IFERROR(__xludf.DUMMYFUNCTION("GOOGLETRANSLATE(A791 , ""tr"" , ""en"")"),"@drfahrettinkoca ohoo Don't end counting 2 years You have made your ministry to DSO You have made your guinea pig ... https://t.co/7hfgnk7bek")</f>
        <v>@drfahrettinkoca ohoo Don't end counting 2 years You have made your ministry to DSO You have made your guinea pig ... https://t.co/7hfgnk7bek</v>
      </c>
    </row>
    <row r="3993" spans="1:5" ht="15" customHeight="1" x14ac:dyDescent="0.2">
      <c r="A3993" s="1" t="s">
        <v>7980</v>
      </c>
      <c r="B3993" s="1">
        <v>8</v>
      </c>
      <c r="C3993" s="3">
        <v>44542.807847222219</v>
      </c>
      <c r="D3993" s="1" t="s">
        <v>7981</v>
      </c>
      <c r="E3993" s="1" t="str">
        <f ca="1">IFERROR(__xludf.DUMMYFUNCTION("GOOGLETRANSLATE(A792 , ""tr"" , ""en"")"),"@drfahrettinkoca you are sending relevant circular with MHRS You do not shake up the MHRS unit of MHRS unit, does not apply the circuit ... https://t.co/m5mqkrgh82")</f>
        <v>@drfahrettinkoca you are sending relevant circular with MHRS You do not shake up the MHRS unit of MHRS unit, does not apply the circuit ... https://t.co/m5mqkrgh82</v>
      </c>
    </row>
    <row r="3994" spans="1:5" ht="15" customHeight="1" x14ac:dyDescent="0.2">
      <c r="A3994" s="1" t="s">
        <v>7982</v>
      </c>
      <c r="B3994" s="1">
        <v>0</v>
      </c>
      <c r="C3994" s="3">
        <v>44542.806944444441</v>
      </c>
      <c r="D3994" s="1" t="s">
        <v>7983</v>
      </c>
      <c r="E3994" s="1" t="str">
        <f ca="1">IFERROR(__xludf.DUMMYFUNCTION("GOOGLETRANSLATE(A793 , ""tr"" , ""en"")"),"@drfahrettinkoca 3 Month to passers the 3rd dose is to be opened at the moment Omicron can ache our head")</f>
        <v>@drfahrettinkoca 3 Month to passers the 3rd dose is to be opened at the moment Omicron can ache our head</v>
      </c>
    </row>
    <row r="3995" spans="1:5" ht="15" customHeight="1" x14ac:dyDescent="0.2">
      <c r="A3995" s="1" t="s">
        <v>7984</v>
      </c>
      <c r="B3995" s="1">
        <v>45</v>
      </c>
      <c r="C3995" s="3">
        <v>44542.806851851848</v>
      </c>
      <c r="D3995" s="1" t="s">
        <v>7985</v>
      </c>
      <c r="E3995" s="1" t="str">
        <f ca="1">IFERROR(__xludf.DUMMYFUNCTION("GOOGLETRANSLATE(A794 , ""tr"" , ""en"")"),"@drfahrettinkoca you came to the task that did not come across this day to this day the last two years with an epidemic of the last two years ... https://t.co/ancqwu8c1d")</f>
        <v>@drfahrettinkoca you came to the task that did not come across this day to this day the last two years with an epidemic of the last two years ... https://t.co/ancqwu8c1d</v>
      </c>
    </row>
    <row r="3996" spans="1:5" ht="15" customHeight="1" x14ac:dyDescent="0.2">
      <c r="A3996" s="1" t="s">
        <v>7986</v>
      </c>
      <c r="B3996" s="1">
        <v>0</v>
      </c>
      <c r="C3996" s="3">
        <v>44542.806041666663</v>
      </c>
      <c r="D3996" s="1" t="s">
        <v>7987</v>
      </c>
      <c r="E3996" s="1" t="str">
        <f ca="1">IFERROR(__xludf.DUMMYFUNCTION("GOOGLETRANSLATE(A795 , ""tr"" , ""en"")"),"@drfahrettinkoca This is an emergency help twit. @ Eslemfatmasma1 You can reach from account https://t.co/wd0msqhxwl")</f>
        <v>@drfahrettinkoca This is an emergency help twit. @ Eslemfatmasma1 You can reach from account https://t.co/wd0msqhxwl</v>
      </c>
    </row>
    <row r="3997" spans="1:5" ht="15" customHeight="1" x14ac:dyDescent="0.2">
      <c r="A3997" s="1" t="s">
        <v>7988</v>
      </c>
      <c r="B3997" s="1">
        <v>93</v>
      </c>
      <c r="C3997" s="3">
        <v>44542.805902777778</v>
      </c>
      <c r="D3997" s="1" t="s">
        <v>7989</v>
      </c>
      <c r="E3997" s="1" t="str">
        <f ca="1">IFERROR(__xludf.DUMMYFUNCTION("GOOGLETRANSLATE(A796 , ""tr"" , ""en"")"),"@drfahrettinkoca you have never done wrong in anywhere. You have applied if your command center is called. Si ... https://t.co/6a6lmyfdw5")</f>
        <v>@drfahrettinkoca you have never done wrong in anywhere. You have applied if your command center is called. Si ... https://t.co/6a6lmyfdw5</v>
      </c>
    </row>
    <row r="3998" spans="1:5" ht="15" customHeight="1" x14ac:dyDescent="0.2">
      <c r="A3998" s="1" t="s">
        <v>7990</v>
      </c>
      <c r="B3998" s="1">
        <v>0</v>
      </c>
      <c r="C3998" s="3">
        <v>44542.805613425924</v>
      </c>
      <c r="D3998" s="1" t="s">
        <v>7991</v>
      </c>
      <c r="E3998" s="1" t="str">
        <f ca="1">IFERROR(__xludf.DUMMYFUNCTION("GOOGLETRANSLATE(A797 , ""tr"" , ""en"")"),"@drfahrettinka schools close my oglum 9 days grip1 sick AQ")</f>
        <v>@drfahrettinka schools close my oglum 9 days grip1 sick AQ</v>
      </c>
    </row>
    <row r="3999" spans="1:5" ht="15" customHeight="1" x14ac:dyDescent="0.2">
      <c r="A3999" s="1" t="s">
        <v>7992</v>
      </c>
      <c r="B3999" s="1">
        <v>0</v>
      </c>
      <c r="C3999" s="3">
        <v>44542.80541666667</v>
      </c>
      <c r="D3999" s="1" t="s">
        <v>7993</v>
      </c>
      <c r="E3999" s="1" t="str">
        <f ca="1">IFERROR(__xludf.DUMMYFUNCTION("GOOGLETRANSLATE(A798 , ""tr"" , ""en"")"),"@drfahrettinkoca Minister You don't talk about any matter.")</f>
        <v>@drfahrettinkoca Minister You don't talk about any matter.</v>
      </c>
    </row>
    <row r="4000" spans="1:5" ht="15" customHeight="1" x14ac:dyDescent="0.2">
      <c r="A4000" s="1" t="s">
        <v>7994</v>
      </c>
      <c r="B4000" s="1">
        <v>0</v>
      </c>
      <c r="C4000" s="3">
        <v>44542.805254629631</v>
      </c>
      <c r="D4000" s="1" t="s">
        <v>7995</v>
      </c>
      <c r="E4000" s="1" t="str">
        <f ca="1">IFERROR(__xludf.DUMMYFUNCTION("GOOGLETRANSLATE(A799 , ""tr"" , ""en"")"),"@drfahrettinkoca are deliberately doing fanchor. You don't change the intentional treatment protocol")</f>
        <v>@drfahrettinkoca are deliberately doing fanchor. You don't change the intentional treatment protocol</v>
      </c>
    </row>
    <row r="4001" spans="1:5" ht="15" customHeight="1" x14ac:dyDescent="0.2">
      <c r="A4001" s="1" t="s">
        <v>7996</v>
      </c>
      <c r="B4001" s="1">
        <v>7</v>
      </c>
      <c r="C4001" s="3">
        <v>44542.804918981485</v>
      </c>
      <c r="D4001" s="1" t="s">
        <v>7997</v>
      </c>
      <c r="E4001" s="1" t="str">
        <f ca="1">IFERROR(__xludf.DUMMYFUNCTION("GOOGLETRANSLATE(A800 , ""tr"" , ""en"")"),"@drfahrettinkoca people are applying the treatment protocol that they ordered. People are dying . Geties occur soon")</f>
        <v>@drfahrettinkoca people are applying the treatment protocol that they ordered. People are dying . Geties occur soon</v>
      </c>
    </row>
    <row r="4002" spans="1:5" ht="15" customHeight="1" x14ac:dyDescent="0.2">
      <c r="A4002" s="1" t="s">
        <v>7998</v>
      </c>
      <c r="B4002" s="1">
        <v>0</v>
      </c>
      <c r="C4002" s="3">
        <v>44542.804699074077</v>
      </c>
      <c r="D4002" s="1" t="s">
        <v>7999</v>
      </c>
      <c r="E4002" s="1" t="str">
        <f ca="1">IFERROR(__xludf.DUMMYFUNCTION("GOOGLETRANSLATE(A801 , ""tr"" , ""en"")"),"@drfahrettinkoca I assign my signature signature on assignment, get pity.")</f>
        <v>@drfahrettinkoca I assign my signature signature on assignment, get pity.</v>
      </c>
    </row>
    <row r="4003" spans="1:5" ht="15" customHeight="1" x14ac:dyDescent="0.2">
      <c r="A4003" s="1" t="s">
        <v>8000</v>
      </c>
      <c r="B4003" s="1">
        <v>5</v>
      </c>
      <c r="C4003" s="3">
        <v>44542.804444444446</v>
      </c>
      <c r="D4003" s="1" t="s">
        <v>8001</v>
      </c>
      <c r="E4003" s="1" t="str">
        <f ca="1">IFERROR(__xludf.DUMMYFUNCTION("GOOGLETRANSLATE(A802 , ""tr"" , ""en"")"),"@drfahrettinkoca no missing late carelessness or as you say in the end as you say there is intention")</f>
        <v>@drfahrettinkoca no missing late carelessness or as you say in the end as you say there is intention</v>
      </c>
    </row>
    <row r="4004" spans="1:5" ht="15" customHeight="1" x14ac:dyDescent="0.2">
      <c r="A4004" s="1" t="s">
        <v>8002</v>
      </c>
      <c r="B4004" s="1">
        <v>0</v>
      </c>
      <c r="C4004" s="3">
        <v>44542.804155092592</v>
      </c>
      <c r="D4004" s="1" t="s">
        <v>8003</v>
      </c>
      <c r="E4004" s="1" t="str">
        <f ca="1">IFERROR(__xludf.DUMMYFUNCTION("GOOGLETRANSLATE(A803 , ""tr"" , ""en"")"),"@drfahrettinkoca compensation of your work plan; the quantity of order to be given for 3.Doses; Patient after schools are turned on ... https://t.co/ktwliisj0p")</f>
        <v>@drfahrettinkoca compensation of your work plan; the quantity of order to be given for 3.Doses; Patient after schools are turned on ... https://t.co/ktwliisj0p</v>
      </c>
    </row>
    <row r="4005" spans="1:5" ht="15" customHeight="1" x14ac:dyDescent="0.2">
      <c r="A4005" s="1" t="s">
        <v>8004</v>
      </c>
      <c r="B4005" s="1">
        <v>27</v>
      </c>
      <c r="C4005" s="3">
        <v>44542.80400462963</v>
      </c>
      <c r="D4005" s="1" t="s">
        <v>8005</v>
      </c>
      <c r="E4005" s="1" t="str">
        <f ca="1">IFERROR(__xludf.DUMMYFUNCTION("GOOGLETRANSLATE(A804 , ""tr"" , ""en"")"),"@drfahrettinkoca are the patients with this omicron are grafted or no out of? Though you have destroyed the world now, though you had no interest. Be noose ... https://t.co/ebyuilqjr4")</f>
        <v>@drfahrettinkoca are the patients with this omicron are grafted or no out of? Though you have destroyed the world now, though you had no interest. Be noose ... https://t.co/ebyuilqjr4</v>
      </c>
    </row>
    <row r="4006" spans="1:5" ht="15" customHeight="1" x14ac:dyDescent="0.2">
      <c r="A4006" s="1" t="s">
        <v>8006</v>
      </c>
      <c r="B4006" s="1">
        <v>0</v>
      </c>
      <c r="C4006" s="3">
        <v>44542.803796296299</v>
      </c>
      <c r="D4006" s="1" t="s">
        <v>8007</v>
      </c>
      <c r="E4006" s="1" t="str">
        <f ca="1">IFERROR(__xludf.DUMMYFUNCTION("GOOGLETRANSLATE(A805 , ""tr"" , ""en"")"),"@drfahrettinkoca death has been death not your affidescent baby subject was that you have begun the nation that would not be on the nation ... https://t.co/koqg1uf2pl")</f>
        <v>@drfahrettinkoca death has been death not your affidescent baby subject was that you have begun the nation that would not be on the nation ... https://t.co/koqg1uf2pl</v>
      </c>
    </row>
    <row r="4007" spans="1:5" ht="15" customHeight="1" x14ac:dyDescent="0.2">
      <c r="A4007" s="1" t="s">
        <v>8008</v>
      </c>
      <c r="B4007" s="1">
        <v>11</v>
      </c>
      <c r="C4007" s="3">
        <v>44542.80332175926</v>
      </c>
      <c r="D4007" s="1" t="s">
        <v>8009</v>
      </c>
      <c r="E4007" s="1" t="str">
        <f ca="1">IFERROR(__xludf.DUMMYFUNCTION("GOOGLETRANSLATE(A806 , ""tr"" , ""en"")"),"@drfahrettinkoca has not been the minister, the doctors have turned your colleagues to the Samrooğlı .. Non-hike i ... https://t.co/gun1dkosgs")</f>
        <v>@drfahrettinkoca has not been the minister, the doctors have turned your colleagues to the Samrooğlı .. Non-hike i ... https://t.co/gun1dkosgs</v>
      </c>
    </row>
    <row r="4008" spans="1:5" ht="15" customHeight="1" x14ac:dyDescent="0.2">
      <c r="A4008" s="1" t="s">
        <v>8010</v>
      </c>
      <c r="B4008" s="1">
        <v>0</v>
      </c>
      <c r="C4008" s="3">
        <v>44542.802916666667</v>
      </c>
      <c r="D4008" s="1" t="s">
        <v>8011</v>
      </c>
      <c r="E4008" s="1" t="str">
        <f ca="1">IFERROR(__xludf.DUMMYFUNCTION("GOOGLETRANSLATE(A807 , ""tr"" , ""en"")"),"@drfahrettinkoca About Haram Zikkim Get to you")</f>
        <v>@drfahrettinkoca About Haram Zikkim Get to you</v>
      </c>
    </row>
    <row r="4009" spans="1:5" ht="15" customHeight="1" x14ac:dyDescent="0.2">
      <c r="A4009" s="1" t="s">
        <v>8012</v>
      </c>
      <c r="B4009" s="1">
        <v>0</v>
      </c>
      <c r="C4009" s="3">
        <v>44542.802789351852</v>
      </c>
      <c r="D4009" s="1" t="s">
        <v>8013</v>
      </c>
      <c r="E4009" s="1" t="str">
        <f ca="1">IFERROR(__xludf.DUMMYFUNCTION("GOOGLETRANSLATE(A808 , ""tr"" , ""en"")"),"@drfahrettinka make schools online")</f>
        <v>@drfahrettinka make schools online</v>
      </c>
    </row>
    <row r="4010" spans="1:5" ht="15" customHeight="1" x14ac:dyDescent="0.2">
      <c r="A4010" s="1" t="s">
        <v>8014</v>
      </c>
      <c r="B4010" s="1">
        <v>0</v>
      </c>
      <c r="C4010" s="3">
        <v>44542.800138888888</v>
      </c>
      <c r="D4010" s="1" t="s">
        <v>8015</v>
      </c>
      <c r="E4010" s="1" t="str">
        <f ca="1">IFERROR(__xludf.DUMMYFUNCTION("GOOGLETRANSLATE(A809 , ""tr"" , ""en"")"),"@drfahrettinkoca 84 We can't be assigned 85 points 13 months You don't get bought for 2 YEA Boluyos BUSPULY ina ... https://t.co/i8n7ughylc")</f>
        <v>@drfahrettinkoca 84 We can't be assigned 85 points 13 months You don't get bought for 2 YEA Boluyos BUSPULY ina ... https://t.co/i8n7ughylc</v>
      </c>
    </row>
    <row r="4011" spans="1:5" ht="15" customHeight="1" x14ac:dyDescent="0.2">
      <c r="A4011" s="1" t="s">
        <v>8016</v>
      </c>
      <c r="B4011" s="1">
        <v>1</v>
      </c>
      <c r="C4011" s="3">
        <v>44542.799675925926</v>
      </c>
      <c r="D4011" s="1" t="s">
        <v>8017</v>
      </c>
      <c r="E4011" s="1" t="str">
        <f ca="1">IFERROR(__xludf.DUMMYFUNCTION("GOOGLETRANSLATE(A810 , ""tr"" , ""en"")"),"@drfahrettinkoca bismillahirahmanirahim Eûzu Billahi Mine'san-Sati'r-Racim Shirts Keep Calmun Alanya ... https://t.co/kgbnbwfygr")</f>
        <v>@drfahrettinkoca bismillahirahmanirahim Eûzu Billahi Mine'san-Sati'r-Racim Shirts Keep Calmun Alanya ... https://t.co/kgbnbwfygr</v>
      </c>
    </row>
    <row r="4012" spans="1:5" ht="15" customHeight="1" x14ac:dyDescent="0.2">
      <c r="A4012" s="1" t="s">
        <v>8018</v>
      </c>
      <c r="B4012" s="1">
        <v>0</v>
      </c>
      <c r="C4012" s="3">
        <v>44542.79928240741</v>
      </c>
      <c r="D4012" s="1" t="s">
        <v>8019</v>
      </c>
      <c r="E4012" s="1" t="str">
        <f ca="1">IFERROR(__xludf.DUMMYFUNCTION("GOOGLETRANSLATE(A811 , ""tr"" , ""en"")"),"@drfahrettinkoca or don't do a job without uneasy us or answer quick questions this biontec ... https://t.co/uw5wxhqaja")</f>
        <v>@drfahrettinkoca or don't do a job without uneasy us or answer quick questions this biontec ... https://t.co/uw5wxhqaja</v>
      </c>
    </row>
    <row r="4013" spans="1:5" ht="15" customHeight="1" x14ac:dyDescent="0.2">
      <c r="A4013" s="1" t="s">
        <v>8020</v>
      </c>
      <c r="B4013" s="1">
        <v>0</v>
      </c>
      <c r="C4013" s="3">
        <v>44542.798668981479</v>
      </c>
      <c r="D4013" s="1" t="s">
        <v>8021</v>
      </c>
      <c r="E4013" s="1" t="str">
        <f ca="1">IFERROR(__xludf.DUMMYFUNCTION("GOOGLETRANSLATE(A812 , ""tr"" , ""en"")"),"@drfahrettinkoca If there is no intent, you will make urgently schools online in this epidemic environment HEALEDE New Variant exit ... https://t.co/smismfbcau")</f>
        <v>@drfahrettinkoca If there is no intent, you will make urgently schools online in this epidemic environment HEALEDE New Variant exit ... https://t.co/smismfbcau</v>
      </c>
    </row>
    <row r="4014" spans="1:5" ht="15" customHeight="1" x14ac:dyDescent="0.2">
      <c r="A4014" s="1" t="s">
        <v>8022</v>
      </c>
      <c r="B4014" s="1">
        <v>0</v>
      </c>
      <c r="C4014" s="3">
        <v>44542.79792824074</v>
      </c>
      <c r="D4014" s="1" t="s">
        <v>8023</v>
      </c>
      <c r="E4014" s="1" t="str">
        <f ca="1">IFERROR(__xludf.DUMMYFUNCTION("GOOGLETRANSLATE(A813 , ""tr"" , ""en"")"),"@drfahrettinkoca is Erdogan in the most important factor")</f>
        <v>@drfahrettinkoca is Erdogan in the most important factor</v>
      </c>
    </row>
    <row r="4015" spans="1:5" ht="15" customHeight="1" x14ac:dyDescent="0.2">
      <c r="A4015" s="1" t="s">
        <v>8024</v>
      </c>
      <c r="B4015" s="1">
        <v>0</v>
      </c>
      <c r="C4015" s="3">
        <v>44542.796655092592</v>
      </c>
      <c r="D4015" s="1" t="s">
        <v>8025</v>
      </c>
      <c r="E4015" s="1" t="str">
        <f ca="1">IFERROR(__xludf.DUMMYFUNCTION("GOOGLETRANSLATE(A814 , ""tr"" , ""en"")"),"@drfahrettinkoca Health Minister If I'm the Minister of Health I have thrown under the guide of the guide to the guide of the health penny ... https://t.co/kjqbjcs5ab")</f>
        <v>@drfahrettinkoca Health Minister If I'm the Minister of Health I have thrown under the guide of the guide to the guide of the health penny ... https://t.co/kjqbjcs5ab</v>
      </c>
    </row>
    <row r="4016" spans="1:5" ht="15" customHeight="1" x14ac:dyDescent="0.2">
      <c r="A4016" s="1" t="s">
        <v>8026</v>
      </c>
      <c r="B4016" s="1">
        <v>0</v>
      </c>
      <c r="C4016" s="3">
        <v>44542.796446759261</v>
      </c>
      <c r="D4016" s="1" t="s">
        <v>8027</v>
      </c>
      <c r="E4016" s="1" t="str">
        <f ca="1">IFERROR(__xludf.DUMMYFUNCTION("GOOGLETRANSLATE(A815 , ""tr"" , ""en"")"),"@drfahrettinkoca babies with the knowledge and consent of their family ""mistaken"" and high-dose Covid vaccines ... https://t.co/4clknqkrt3")</f>
        <v>@drfahrettinkoca babies with the knowledge and consent of their family "mistaken" and high-dose Covid vaccines ... https://t.co/4clknqkrt3</v>
      </c>
    </row>
    <row r="4017" spans="1:5" ht="15" customHeight="1" x14ac:dyDescent="0.2">
      <c r="A4017" s="1" t="s">
        <v>8028</v>
      </c>
      <c r="B4017" s="1">
        <v>1</v>
      </c>
      <c r="C4017" s="3">
        <v>44542.79614583333</v>
      </c>
      <c r="D4017" s="1" t="s">
        <v>8029</v>
      </c>
      <c r="E4017" s="1" t="str">
        <f ca="1">IFERROR(__xludf.DUMMYFUNCTION("GOOGLETRANSLATE(A816 , ""tr"" , ""en"")"),"@drfahrettinka Mr. Minister: The MHRS system has crashed in months. Unable to make an appointment from any hospital! Either that SE ... https://t.co/Izgt8i1be1")</f>
        <v>@drfahrettinka Mr. Minister: The MHRS system has crashed in months. Unable to make an appointment from any hospital! Either that SE ... https://t.co/Izgt8i1be1</v>
      </c>
    </row>
    <row r="4018" spans="1:5" ht="15" customHeight="1" x14ac:dyDescent="0.2">
      <c r="A4018" s="1" t="s">
        <v>8030</v>
      </c>
      <c r="B4018" s="1">
        <v>5</v>
      </c>
      <c r="C4018" s="3">
        <v>44542.795370370368</v>
      </c>
      <c r="D4018" s="1" t="s">
        <v>8031</v>
      </c>
      <c r="E4018" s="1" t="str">
        <f ca="1">IFERROR(__xludf.DUMMYFUNCTION("GOOGLETRANSLATE(A817 , ""tr"" , ""en"")"),"@drfahrettinkoca dies with favirapir Due to the release of the Vebali to the Vebali.")</f>
        <v>@drfahrettinkoca dies with favirapir Due to the release of the Vebali to the Vebali.</v>
      </c>
    </row>
    <row r="4019" spans="1:5" ht="15" customHeight="1" x14ac:dyDescent="0.2">
      <c r="A4019" s="1" t="s">
        <v>8032</v>
      </c>
      <c r="B4019" s="1">
        <v>0</v>
      </c>
      <c r="C4019" s="3">
        <v>44542.794537037036</v>
      </c>
      <c r="D4019" s="1" t="s">
        <v>8033</v>
      </c>
      <c r="E4019" s="1" t="str">
        <f ca="1">IFERROR(__xludf.DUMMYFUNCTION("GOOGLETRANSLATE(A818 , ""tr"" , ""en"")"),"@drfahrettinkoca mulky husband a lie")</f>
        <v>@drfahrettinkoca mulky husband a lie</v>
      </c>
    </row>
    <row r="4020" spans="1:5" ht="15" customHeight="1" x14ac:dyDescent="0.2">
      <c r="A4020" s="1" t="s">
        <v>8034</v>
      </c>
      <c r="B4020" s="1">
        <v>14</v>
      </c>
      <c r="C4020" s="3">
        <v>44542.793553240743</v>
      </c>
      <c r="D4020" s="1" t="s">
        <v>8035</v>
      </c>
      <c r="E4020" s="1" t="str">
        <f ca="1">IFERROR(__xludf.DUMMYFUNCTION("GOOGLETRANSLATE(A819 , ""tr"" , ""en"")"),"@drfahrettinkoca has just been missing and all intentionally. #AccountsManding Wooden")</f>
        <v>@drfahrettinkoca has just been missing and all intentionally. #AccountsManding Wooden</v>
      </c>
    </row>
    <row r="4021" spans="1:5" ht="15" customHeight="1" x14ac:dyDescent="0.2">
      <c r="A4021" s="1" t="s">
        <v>8036</v>
      </c>
      <c r="B4021" s="1">
        <v>0</v>
      </c>
      <c r="C4021" s="3">
        <v>44542.792546296296</v>
      </c>
      <c r="D4021" s="1" t="s">
        <v>8037</v>
      </c>
      <c r="E4021" s="1" t="str">
        <f ca="1">IFERROR(__xludf.DUMMYFUNCTION("GOOGLETRANSLATE(A820 , ""tr"" , ""en"")"),"@drfahrettinkoca Father 20 TL Specifications What Etcen 20 TL Yi 10 TL Neyine Yetmiyo Al Water 5 Lyrian")</f>
        <v>@drfahrettinkoca Father 20 TL Specifications What Etcen 20 TL Yi 10 TL Neyine Yetmiyo Al Water 5 Lyrian</v>
      </c>
    </row>
    <row r="4022" spans="1:5" ht="15" customHeight="1" x14ac:dyDescent="0.2">
      <c r="A4022" s="1" t="s">
        <v>8038</v>
      </c>
      <c r="B4022" s="1">
        <v>0</v>
      </c>
      <c r="C4022" s="3">
        <v>44542.792187500003</v>
      </c>
      <c r="D4022" s="1" t="s">
        <v>8039</v>
      </c>
      <c r="E4022" s="1" t="str">
        <f ca="1">IFERROR(__xludf.DUMMYFUNCTION("GOOGLETRANSLATE(A821 , ""tr"" , ""en"")"),"@drfahrettinkoca will resign iliba 😆")</f>
        <v>@drfahrettinkoca will resign iliba 😆</v>
      </c>
    </row>
    <row r="4023" spans="1:5" ht="15" customHeight="1" x14ac:dyDescent="0.2">
      <c r="A4023" s="1" t="s">
        <v>8040</v>
      </c>
      <c r="B4023" s="1">
        <v>0</v>
      </c>
      <c r="C4023" s="3">
        <v>44542.790370370371</v>
      </c>
      <c r="D4023" s="1" t="s">
        <v>8041</v>
      </c>
      <c r="E4023" s="1" t="str">
        <f ca="1">IFERROR(__xludf.DUMMYFUNCTION("GOOGLETRANSLATE(A822 , ""tr"" , ""en"")"),"@drfahrettinkoca There is no place in health Mr. Minister. There is no chance to compensate for pardon in health")</f>
        <v>@drfahrettinkoca There is no place in health Mr. Minister. There is no chance to compensate for pardon in health</v>
      </c>
    </row>
    <row r="4024" spans="1:5" ht="15" customHeight="1" x14ac:dyDescent="0.2">
      <c r="A4024" s="1" t="s">
        <v>8042</v>
      </c>
      <c r="B4024" s="1">
        <v>0</v>
      </c>
      <c r="C4024" s="3">
        <v>44542.789861111109</v>
      </c>
      <c r="D4024" s="1" t="s">
        <v>8043</v>
      </c>
      <c r="E4024" s="1" t="str">
        <f ca="1">IFERROR(__xludf.DUMMYFUNCTION("GOOGLETRANSLATE(A823 , ""tr"" , ""en"")"),"@drfahrettinkoca is the most beautiful resignation.")</f>
        <v>@drfahrettinkoca is the most beautiful resignation.</v>
      </c>
    </row>
    <row r="4025" spans="1:5" ht="15" customHeight="1" x14ac:dyDescent="0.2">
      <c r="A4025" s="1" t="s">
        <v>8044</v>
      </c>
      <c r="B4025" s="1">
        <v>4</v>
      </c>
      <c r="C4025" s="3">
        <v>44542.788668981484</v>
      </c>
      <c r="D4025" s="1" t="s">
        <v>8045</v>
      </c>
      <c r="E4025" s="1" t="str">
        <f ca="1">IFERROR(__xludf.DUMMYFUNCTION("GOOGLETRANSLATE(A824 , ""tr"" , ""en"")"),"@drfahrettinkoca If you don't have no intentions in this epidemic environment you do urgently schools online in the landed new variant ... https://t.co/ke811vgwev")</f>
        <v>@drfahrettinkoca If you don't have no intentions in this epidemic environment you do urgently schools online in the landed new variant ... https://t.co/ke811vgwev</v>
      </c>
    </row>
    <row r="4026" spans="1:5" ht="15" customHeight="1" x14ac:dyDescent="0.2">
      <c r="A4026" s="1" t="s">
        <v>8046</v>
      </c>
      <c r="B4026" s="1">
        <v>1</v>
      </c>
      <c r="C4026" s="3">
        <v>44542.788182870368</v>
      </c>
      <c r="D4026" s="1" t="s">
        <v>8047</v>
      </c>
      <c r="E4026" s="1" t="str">
        <f ca="1">IFERROR(__xludf.DUMMYFUNCTION("GOOGLETRANSLATE(A825 , ""tr"" , ""en"")"),"@drfahrettinkoca favipiravir medicine deliberately for people who have dried to people passed by 1.5 years, you understand ... https://t.co/zdbzx1alg3")</f>
        <v>@drfahrettinkoca favipiravir medicine deliberately for people who have dried to people passed by 1.5 years, you understand ... https://t.co/zdbzx1alg3</v>
      </c>
    </row>
    <row r="4027" spans="1:5" ht="15" customHeight="1" x14ac:dyDescent="0.2">
      <c r="A4027" s="1" t="s">
        <v>8048</v>
      </c>
      <c r="B4027" s="1">
        <v>1</v>
      </c>
      <c r="C4027" s="3">
        <v>44542.787835648145</v>
      </c>
      <c r="D4027" s="1" t="s">
        <v>8049</v>
      </c>
      <c r="E4027" s="1" t="str">
        <f ca="1">IFERROR(__xludf.DUMMYFUNCTION("GOOGLETRANSLATE(A826 , ""tr"" , ""en"")"),"@drfahrettinkoca Some things are not missing rather than missing. For example, there are no assignments for 13 months. A continuous ... https://t.co/6xpoe8waob")</f>
        <v>@drfahrettinkoca Some things are not missing rather than missing. For example, there are no assignments for 13 months. A continuous ... https://t.co/6xpoe8waob</v>
      </c>
    </row>
    <row r="4028" spans="1:5" ht="15" customHeight="1" x14ac:dyDescent="0.2">
      <c r="A4028" s="1" t="s">
        <v>8050</v>
      </c>
      <c r="B4028" s="1">
        <v>1</v>
      </c>
      <c r="C4028" s="3">
        <v>44542.786840277775</v>
      </c>
      <c r="D4028" s="1" t="s">
        <v>8051</v>
      </c>
      <c r="E4028" s="1" t="str">
        <f ca="1">IFERROR(__xludf.DUMMYFUNCTION("GOOGLETRANSLATE(A827 , ""tr"" , ""en"")"),"@drfahrettinkoca enough supervision for the implementation of rules, non-cooperation, continuity without continuity d ... https://t.co/pa5f2kbvms")</f>
        <v>@drfahrettinkoca enough supervision for the implementation of rules, non-cooperation, continuity without continuity d ... https://t.co/pa5f2kbvms</v>
      </c>
    </row>
    <row r="4029" spans="1:5" ht="15" customHeight="1" x14ac:dyDescent="0.2">
      <c r="A4029" s="1" t="s">
        <v>8052</v>
      </c>
      <c r="B4029" s="1">
        <v>1</v>
      </c>
      <c r="C4029" s="3">
        <v>44542.785740740743</v>
      </c>
      <c r="D4029" s="1" t="s">
        <v>8053</v>
      </c>
      <c r="E4029" s="1" t="str">
        <f ca="1">IFERROR(__xludf.DUMMYFUNCTION("GOOGLETRANSLATE(A828 , ""tr"" , ""en"")"),"@drfahrettinkoca minister, so that the schools still don't get on to online education?")</f>
        <v>@drfahrettinkoca minister, so that the schools still don't get on to online education?</v>
      </c>
    </row>
    <row r="4030" spans="1:5" ht="15" customHeight="1" x14ac:dyDescent="0.2">
      <c r="A4030" s="1" t="s">
        <v>8054</v>
      </c>
      <c r="B4030" s="1">
        <v>0</v>
      </c>
      <c r="C4030" s="3">
        <v>44542.785601851851</v>
      </c>
      <c r="D4030" s="1" t="s">
        <v>8055</v>
      </c>
      <c r="E4030" s="1" t="str">
        <f ca="1">IFERROR(__xludf.DUMMYFUNCTION("GOOGLETRANSLATE(A829 , ""tr"" , ""en"")"),"@drfahrettinkoca 13 months assignment as a missing such as an assignment? Hundred thousands of people's dreams of feelings one by one ... https://t.co/0k1lgqpxc5")</f>
        <v>@drfahrettinkoca 13 months assignment as a missing such as an assignment? Hundred thousands of people's dreams of feelings one by one ... https://t.co/0k1lgqpxc5</v>
      </c>
    </row>
    <row r="4031" spans="1:5" ht="15" customHeight="1" x14ac:dyDescent="0.2">
      <c r="A4031" s="1" t="s">
        <v>8056</v>
      </c>
      <c r="B4031" s="1">
        <v>1</v>
      </c>
      <c r="C4031" s="3">
        <v>44542.785474537035</v>
      </c>
      <c r="D4031" s="1" t="s">
        <v>8057</v>
      </c>
      <c r="E4031" s="1" t="str">
        <f ca="1">IFERROR(__xludf.DUMMYFUNCTION("GOOGLETRANSLATE(A830 , ""tr"" , ""en"")"),"@drfahrettinkoca intention is that if there is no mention of intention, if the treatment protocols are deliberately incorrectly incorrect ...... Akli ... https://t.co/q8zgpg2xrh")</f>
        <v>@drfahrettinkoca intention is that if there is no mention of intention, if the treatment protocols are deliberately incorrectly incorrect ...... Akli ... https://t.co/q8zgpg2xrh</v>
      </c>
    </row>
    <row r="4032" spans="1:5" ht="15" customHeight="1" x14ac:dyDescent="0.2">
      <c r="A4032" s="1" t="s">
        <v>8058</v>
      </c>
      <c r="B4032" s="1">
        <v>201</v>
      </c>
      <c r="C4032" s="3">
        <v>44542.783136574071</v>
      </c>
      <c r="D4032" s="1" t="s">
        <v>8059</v>
      </c>
      <c r="E4032" s="1" t="str">
        <f ca="1">IFERROR(__xludf.DUMMYFUNCTION("GOOGLETRANSLATE(A831 , ""tr"" , ""en"")"),"@drfahrettinkoca is not a caste? Despite so much warning you, the science board and the vaccination prints of your ries ... https://t.co/cpc0wc342r")</f>
        <v>@drfahrettinkoca is not a caste? Despite so much warning you, the science board and the vaccination prints of your ries ... https://t.co/cpc0wc342r</v>
      </c>
    </row>
    <row r="4033" spans="1:5" ht="15" customHeight="1" x14ac:dyDescent="0.2">
      <c r="A4033" s="1" t="s">
        <v>8060</v>
      </c>
      <c r="B4033" s="1">
        <v>0</v>
      </c>
      <c r="C4033" s="3">
        <v>44542.783009259256</v>
      </c>
      <c r="D4033" s="1" t="s">
        <v>8061</v>
      </c>
      <c r="E4033" s="1" t="str">
        <f ca="1">IFERROR(__xludf.DUMMYFUNCTION("GOOGLETRANSLATE(A832 , ""tr"" , ""en"")"),"@drfahrettinkoca our appreciation")</f>
        <v>@drfahrettinkoca our appreciation</v>
      </c>
    </row>
    <row r="4034" spans="1:5" ht="15" customHeight="1" x14ac:dyDescent="0.2">
      <c r="A4034" s="1" t="s">
        <v>8062</v>
      </c>
      <c r="B4034" s="1">
        <v>0</v>
      </c>
      <c r="C4034" s="3">
        <v>44542.780277777776</v>
      </c>
      <c r="D4034" s="1" t="s">
        <v>8063</v>
      </c>
      <c r="E4034" s="1" t="str">
        <f ca="1">IFERROR(__xludf.DUMMYFUNCTION("GOOGLETRANSLATE(A833 , ""tr"" , ""en"")"),"@drfahrettinka Ditto compensate to know the missing that is important")</f>
        <v>@drfahrettinka Ditto compensate to know the missing that is important</v>
      </c>
    </row>
    <row r="4035" spans="1:5" ht="15" customHeight="1" x14ac:dyDescent="0.2">
      <c r="A4035" s="1" t="s">
        <v>8064</v>
      </c>
      <c r="B4035" s="1">
        <v>0</v>
      </c>
      <c r="C4035" s="3">
        <v>44542.780277777776</v>
      </c>
      <c r="D4035" s="1" t="s">
        <v>8065</v>
      </c>
      <c r="E4035" s="1" t="str">
        <f ca="1">IFERROR(__xludf.DUMMYFUNCTION("GOOGLETRANSLATE(A834 , ""tr"" , ""en"")"),"@drfahrettinka is no, regret hurried soul, if you saw the end of the road? Non-delimacing Sleeping Arm ... https://t.co/axjsyybtp4")</f>
        <v>@drfahrettinka is no, regret hurried soul, if you saw the end of the road? Non-delimacing Sleeping Arm ... https://t.co/axjsyybtp4</v>
      </c>
    </row>
    <row r="4036" spans="1:5" ht="15" customHeight="1" x14ac:dyDescent="0.2">
      <c r="A4036" s="1" t="s">
        <v>8066</v>
      </c>
      <c r="B4036" s="1">
        <v>0</v>
      </c>
      <c r="C4036" s="3">
        <v>44542.779849537037</v>
      </c>
      <c r="D4036" s="1" t="s">
        <v>8067</v>
      </c>
      <c r="E4036" s="1" t="str">
        <f ca="1">IFERROR(__xludf.DUMMYFUNCTION("GOOGLETRANSLATE(A835 , ""tr"" , ""en"")"),"@drfahrettinka https://t.co/utzj2unibp")</f>
        <v>@drfahrettinka https://t.co/utzj2unibp</v>
      </c>
    </row>
    <row r="4037" spans="1:5" ht="15" customHeight="1" x14ac:dyDescent="0.2">
      <c r="A4037" s="1" t="s">
        <v>8068</v>
      </c>
      <c r="B4037" s="1">
        <v>0</v>
      </c>
      <c r="C4037" s="3">
        <v>44542.778414351851</v>
      </c>
      <c r="D4037" s="1" t="s">
        <v>8069</v>
      </c>
      <c r="E4037" s="1" t="str">
        <f ca="1">IFERROR(__xludf.DUMMYFUNCTION("GOOGLETRANSLATE(A836 , ""tr"" , ""en"")"),"@drfahrettinkoca Ministry of Schools The prohibitions of the trap are no longer understood when we are lost to our life")</f>
        <v>@drfahrettinkoca Ministry of Schools The prohibitions of the trap are no longer understood when we are lost to our life</v>
      </c>
    </row>
    <row r="4038" spans="1:5" ht="15" customHeight="1" x14ac:dyDescent="0.2">
      <c r="A4038" s="1" t="s">
        <v>8070</v>
      </c>
      <c r="B4038" s="1">
        <v>1</v>
      </c>
      <c r="C4038" s="3">
        <v>44542.77815972222</v>
      </c>
      <c r="D4038" s="1" t="s">
        <v>8071</v>
      </c>
      <c r="E4038" s="1" t="str">
        <f ca="1">IFERROR(__xludf.DUMMYFUNCTION("GOOGLETRANSLATE(A837 , ""tr"" , ""en"")"),"@drfahrettinkoca Bismillahirahmanirahim Eûzu Billahi Mine'san-Settelsi'r-Racim Shirts Keep Calmun Alanya ... https://t.co/dk8baj6uba")</f>
        <v>@drfahrettinkoca Bismillahirahmanirahim Eûzu Billahi Mine'san-Settelsi'r-Racim Shirts Keep Calmun Alanya ... https://t.co/dk8baj6uba</v>
      </c>
    </row>
    <row r="4039" spans="1:5" ht="15" customHeight="1" x14ac:dyDescent="0.2">
      <c r="A4039" s="1" t="s">
        <v>8072</v>
      </c>
      <c r="B4039" s="1">
        <v>0</v>
      </c>
      <c r="C4039" s="3">
        <v>44542.777986111112</v>
      </c>
      <c r="D4039" s="1" t="s">
        <v>8073</v>
      </c>
      <c r="E4039" s="1" t="str">
        <f ca="1">IFERROR(__xludf.DUMMYFUNCTION("GOOGLETRANSLATE(A838 , ""tr"" , ""en"")"),"@drfahrettinkoca is different to a person's intentionally killing, accidentally killing the penalty.")</f>
        <v>@drfahrettinkoca is different to a person's intentionally killing, accidentally killing the penalty.</v>
      </c>
    </row>
    <row r="4040" spans="1:5" ht="15" customHeight="1" x14ac:dyDescent="0.2">
      <c r="A4040" s="1" t="s">
        <v>8074</v>
      </c>
      <c r="B4040" s="1">
        <v>13</v>
      </c>
      <c r="C4040" s="3">
        <v>44542.77752314815</v>
      </c>
      <c r="D4040" s="1" t="s">
        <v>8075</v>
      </c>
      <c r="E4040" s="1" t="str">
        <f ca="1">IFERROR(__xludf.DUMMYFUNCTION("GOOGLETRANSLATE(A839 , ""tr"" , ""en"")"),"@drfahrettinka madem should be yardsticks back from your error and immediately apply the relevant measures every day we lost ... https://t.co/XIKYBLR2ze")</f>
        <v>@drfahrettinka madem should be yardsticks back from your error and immediately apply the relevant measures every day we lost ... https://t.co/XIKYBLR2ze</v>
      </c>
    </row>
    <row r="4041" spans="1:5" ht="15" customHeight="1" x14ac:dyDescent="0.2">
      <c r="A4041" s="1" t="s">
        <v>8076</v>
      </c>
      <c r="B4041" s="1">
        <v>0</v>
      </c>
      <c r="C4041" s="3">
        <v>44542.776469907411</v>
      </c>
      <c r="D4041" s="1" t="s">
        <v>8077</v>
      </c>
      <c r="E4041" s="1" t="str">
        <f ca="1">IFERROR(__xludf.DUMMYFUNCTION("GOOGLETRANSLATE(A840 , ""tr"" , ""en"")"),"@drfahrettinkoca what is nicely studying our mind, you are reading Mr. Minister. This is the project of Globalists")</f>
        <v>@drfahrettinkoca what is nicely studying our mind, you are reading Mr. Minister. This is the project of Globalists</v>
      </c>
    </row>
    <row r="4042" spans="1:5" ht="15" customHeight="1" x14ac:dyDescent="0.2">
      <c r="A4042" s="1" t="s">
        <v>8078</v>
      </c>
      <c r="B4042" s="1">
        <v>0</v>
      </c>
      <c r="C4042" s="3">
        <v>44542.775787037041</v>
      </c>
      <c r="D4042" s="1" t="s">
        <v>8079</v>
      </c>
      <c r="E4042" s="1" t="str">
        <f ca="1">IFERROR(__xludf.DUMMYFUNCTION("GOOGLETRANSLATE(A841 , ""tr"" , ""en"")"),"@drfahrettinkoca Minister of Bragging")</f>
        <v>@drfahrettinkoca Minister of Bragging</v>
      </c>
    </row>
    <row r="4043" spans="1:5" ht="15" customHeight="1" x14ac:dyDescent="0.2">
      <c r="A4043" s="1" t="s">
        <v>8080</v>
      </c>
      <c r="B4043" s="1">
        <v>2</v>
      </c>
      <c r="C4043" s="3">
        <v>44542.773761574077</v>
      </c>
      <c r="D4043" s="1" t="s">
        <v>8081</v>
      </c>
      <c r="E4043" s="1" t="str">
        <f ca="1">IFERROR(__xludf.DUMMYFUNCTION("GOOGLETRANSLATE(A842 , ""tr"" , ""en"")"),"@drfahrettinkoca We paid with us What do you forgive what you are going to forgive how you talk cheeky ... We're the head of your head ... https://t.co/flelargzzz")</f>
        <v>@drfahrettinkoca We paid with us What do you forgive what you are going to forgive how you talk cheeky ... We're the head of your head ... https://t.co/flelargzzz</v>
      </c>
    </row>
    <row r="4044" spans="1:5" ht="15" customHeight="1" x14ac:dyDescent="0.2">
      <c r="A4044" s="1" t="s">
        <v>8082</v>
      </c>
      <c r="B4044" s="1">
        <v>0</v>
      </c>
      <c r="C4044" s="3">
        <v>44542.773460648146</v>
      </c>
      <c r="D4044" s="1" t="s">
        <v>8083</v>
      </c>
      <c r="E4044" s="1" t="str">
        <f ca="1">IFERROR(__xludf.DUMMYFUNCTION("GOOGLETRANSLATE(A843 , ""tr"" , ""en"")"),"@drfahrettinka https://t.co/pmafvnmsae")</f>
        <v>@drfahrettinka https://t.co/pmafvnmsae</v>
      </c>
    </row>
    <row r="4045" spans="1:5" ht="15" customHeight="1" x14ac:dyDescent="0.2">
      <c r="A4045" s="1" t="s">
        <v>8084</v>
      </c>
      <c r="B4045" s="1">
        <v>9</v>
      </c>
      <c r="C4045" s="3">
        <v>44542.772812499999</v>
      </c>
      <c r="D4045" s="1" t="s">
        <v>8085</v>
      </c>
      <c r="E4045" s="1" t="str">
        <f ca="1">IFERROR(__xludf.DUMMYFUNCTION("GOOGLETRANSLATE(A844 , ""tr"" , ""en"")"),"@drfahrettinka months have been appointment that has not been appointed by hospitals so that it is what you mean what is now what you mean ... https://t.co/nfcyqjwuzl")</f>
        <v>@drfahrettinka months have been appointment that has not been appointed by hospitals so that it is what you mean what is now what you mean ... https://t.co/nfcyqjwuzl</v>
      </c>
    </row>
    <row r="4046" spans="1:5" ht="15" customHeight="1" x14ac:dyDescent="0.2">
      <c r="A4046" s="1" t="s">
        <v>8086</v>
      </c>
      <c r="B4046" s="1">
        <v>12</v>
      </c>
      <c r="C4046" s="3">
        <v>44542.771481481483</v>
      </c>
      <c r="D4046" s="1" t="s">
        <v>8087</v>
      </c>
      <c r="E4046" s="1" t="str">
        <f ca="1">IFERROR(__xludf.DUMMYFUNCTION("GOOGLETRANSLATE(A845 , ""tr"" , ""en"")"),"@drfahrettinkoca Here's the Minister Minister This is not acceptable! Why? Eg a carpenter that produces coffee table curve one side of the coffee table ... https://t.co/ppzlefsx0a")</f>
        <v>@drfahrettinkoca Here's the Minister Minister This is not acceptable! Why? Eg a carpenter that produces coffee table curve one side of the coffee table ... https://t.co/ppzlefsx0a</v>
      </c>
    </row>
    <row r="4047" spans="1:5" ht="15" customHeight="1" x14ac:dyDescent="0.2">
      <c r="A4047" s="1" t="s">
        <v>8088</v>
      </c>
      <c r="B4047" s="1">
        <v>0</v>
      </c>
      <c r="C4047" s="3">
        <v>44542.769097222219</v>
      </c>
      <c r="D4047" s="1" t="s">
        <v>8089</v>
      </c>
      <c r="E4047" s="1" t="str">
        <f ca="1">IFERROR(__xludf.DUMMYFUNCTION("GOOGLETRANSLATE(A846 , ""tr"" , ""en"")"),"@drfahrettinkoca 40 thousand you have said 30 healthcare you said after we have divided our CHRISTMENT MINISTRY AND SUPPLY OFF")</f>
        <v>@drfahrettinkoca 40 thousand you have said 30 healthcare you said after we have divided our CHRISTMENT MINISTRY AND SUPPLY OFF</v>
      </c>
    </row>
    <row r="4048" spans="1:5" ht="15" customHeight="1" x14ac:dyDescent="0.2">
      <c r="A4048" s="1" t="s">
        <v>8090</v>
      </c>
      <c r="B4048" s="1">
        <v>49</v>
      </c>
      <c r="C4048" s="3">
        <v>44542.76898148148</v>
      </c>
      <c r="D4048" s="1" t="s">
        <v>8091</v>
      </c>
      <c r="E4048" s="1" t="str">
        <f ca="1">IFERROR(__xludf.DUMMYFUNCTION("GOOGLETRANSLATE(A847 , ""tr"" , ""en"")"),"@drfahrettinkoca Minister Efendi..Meclis In the presence of innumes in the presence of the mahker Gúnú Allah is in the presence of Https://t.co/hratuxpgk8")</f>
        <v>@drfahrettinkoca Minister Efendi..Meclis In the presence of innumes in the presence of the mahker Gúnú Allah is in the presence of Https://t.co/hratuxpgk8</v>
      </c>
    </row>
    <row r="4049" spans="1:5" ht="15" customHeight="1" x14ac:dyDescent="0.2">
      <c r="A4049" s="1" t="s">
        <v>8092</v>
      </c>
      <c r="B4049" s="1">
        <v>2</v>
      </c>
      <c r="C4049" s="3">
        <v>44542.768495370372</v>
      </c>
      <c r="D4049" s="1" t="s">
        <v>8093</v>
      </c>
      <c r="E4049" s="1" t="str">
        <f ca="1">IFERROR(__xludf.DUMMYFUNCTION("GOOGLETRANSLATE(A848 , ""tr"" , ""en"")"),"@drfahrettinkoca ah innocent ..")</f>
        <v>@drfahrettinkoca ah innocent ..</v>
      </c>
    </row>
    <row r="4050" spans="1:5" ht="15" customHeight="1" x14ac:dyDescent="0.2">
      <c r="A4050" s="1" t="s">
        <v>8094</v>
      </c>
      <c r="B4050" s="1">
        <v>0</v>
      </c>
      <c r="C4050" s="3">
        <v>44542.768483796295</v>
      </c>
      <c r="D4050" s="1" t="s">
        <v>8095</v>
      </c>
      <c r="E4050" s="1" t="str">
        <f ca="1">IFERROR(__xludf.DUMMYFUNCTION("GOOGLETRANSLATE(A849 , ""tr"" , ""en"")"),"@drfahrettinkoca my account is in the honor. In the presence of the Lord.")</f>
        <v>@drfahrettinkoca my account is in the honor. In the presence of the Lord.</v>
      </c>
    </row>
    <row r="4051" spans="1:5" ht="15" customHeight="1" x14ac:dyDescent="0.2">
      <c r="A4051" s="1" t="s">
        <v>8096</v>
      </c>
      <c r="B4051" s="1">
        <v>0</v>
      </c>
      <c r="C4051" s="3">
        <v>44542.768449074072</v>
      </c>
      <c r="D4051" s="1" t="s">
        <v>8097</v>
      </c>
      <c r="E4051" s="1" t="str">
        <f ca="1">IFERROR(__xludf.DUMMYFUNCTION("GOOGLETRANSLATE(A850 , ""tr"" , ""en"")"),"@drfahrettinkoca Which face do you want to see you want to seekingly ill know the original Turkish nation you are the enbuyuk guilty guilty")</f>
        <v>@drfahrettinkoca Which face do you want to see you want to seekingly ill know the original Turkish nation you are the enbuyuk guilty guilty</v>
      </c>
    </row>
    <row r="4052" spans="1:5" ht="15" customHeight="1" x14ac:dyDescent="0.2">
      <c r="A4052" s="1" t="s">
        <v>8098</v>
      </c>
      <c r="B4052" s="1">
        <v>0</v>
      </c>
      <c r="C4052" s="3">
        <v>44542.768414351849</v>
      </c>
      <c r="D4052" s="1" t="s">
        <v>8099</v>
      </c>
      <c r="E4052" s="1" t="str">
        <f ca="1">IFERROR(__xludf.DUMMYFUNCTION("GOOGLETRANSLATE(A851 , ""tr"" , ""en"")"),"@drfahrettinka Mr. Ministry of Ministry Publish the Guide to Yıldız Vallaha @drfahrettinkoca")</f>
        <v>@drfahrettinka Mr. Ministry of Ministry Publish the Guide to Yıldız Vallaha @drfahrettinkoca</v>
      </c>
    </row>
    <row r="4053" spans="1:5" ht="15" customHeight="1" x14ac:dyDescent="0.2">
      <c r="A4053" s="1" t="s">
        <v>8100</v>
      </c>
      <c r="B4053" s="1">
        <v>0</v>
      </c>
      <c r="C4053" s="3">
        <v>44542.767905092594</v>
      </c>
      <c r="D4053" s="1" t="s">
        <v>8101</v>
      </c>
      <c r="E4053" s="1" t="str">
        <f ca="1">IFERROR(__xludf.DUMMYFUNCTION("GOOGLETRANSLATE(A852 , ""tr"" , ""en"")"),"@drfahrettinkoca 🌍🇹🇷🤲👍👏")</f>
        <v>@drfahrettinkoca 🌍🇹🇷🤲👍👏</v>
      </c>
    </row>
    <row r="4054" spans="1:5" ht="15" customHeight="1" x14ac:dyDescent="0.2">
      <c r="A4054" s="1" t="s">
        <v>8102</v>
      </c>
      <c r="B4054" s="1">
        <v>17</v>
      </c>
      <c r="C4054" s="3">
        <v>44542.76767361111</v>
      </c>
      <c r="D4054" s="1" t="s">
        <v>8103</v>
      </c>
      <c r="E4054" s="1" t="str">
        <f ca="1">IFERROR(__xludf.DUMMYFUNCTION("GOOGLETRANSLATE(A853 , ""tr"" , ""en"")"),"@drfahrettinkoca Mr. Minister You are from the private sector. All health institutes connected to the Ministry of Health ... https://t.co/nwjtxjbzwk")</f>
        <v>@drfahrettinkoca Mr. Minister You are from the private sector. All health institutes connected to the Ministry of Health ... https://t.co/nwjtxjbzwk</v>
      </c>
    </row>
    <row r="4055" spans="1:5" ht="15" customHeight="1" x14ac:dyDescent="0.2">
      <c r="A4055" s="1" t="s">
        <v>8104</v>
      </c>
      <c r="B4055" s="1">
        <v>9</v>
      </c>
      <c r="C4055" s="3">
        <v>44542.767129629632</v>
      </c>
      <c r="D4055" s="1" t="s">
        <v>8105</v>
      </c>
      <c r="E4055" s="1" t="str">
        <f ca="1">IFERROR(__xludf.DUMMYFUNCTION("GOOGLETRANSLATE(A854 , ""tr"" , ""en"")"),"@drfahrettinkoca You are serving the new world layout what you have meant to be the new world order. You also printed your date name. ... httpsqlgreo")</f>
        <v>@drfahrettinkoca You are serving the new world layout what you have meant to be the new world order. You also printed your date name. ... httpsqlgreo</v>
      </c>
    </row>
    <row r="4056" spans="1:5" ht="15" customHeight="1" x14ac:dyDescent="0.2">
      <c r="A4056" s="1" t="s">
        <v>8106</v>
      </c>
      <c r="B4056" s="1">
        <v>1</v>
      </c>
      <c r="C4056" s="3">
        <v>44542.766145833331</v>
      </c>
      <c r="D4056" s="1" t="s">
        <v>8107</v>
      </c>
      <c r="E4056" s="1" t="str">
        <f ca="1">IFERROR(__xludf.DUMMYFUNCTION("GOOGLETRANSLATE(A855 , ""tr"" , ""en"")"),"@drfahrettinka is the cause of laundry waters that are used in schools is the cause of cancer-maker lung diseases ... https://t.co/p1u5vnumtl")</f>
        <v>@drfahrettinka is the cause of laundry waters that are used in schools is the cause of cancer-maker lung diseases ... https://t.co/p1u5vnumtl</v>
      </c>
    </row>
    <row r="4057" spans="1:5" ht="15" customHeight="1" x14ac:dyDescent="0.2">
      <c r="A4057" s="1" t="s">
        <v>8108</v>
      </c>
      <c r="B4057" s="1">
        <v>21</v>
      </c>
      <c r="C4057" s="3">
        <v>44542.764282407406</v>
      </c>
      <c r="D4057" s="1" t="s">
        <v>8109</v>
      </c>
      <c r="E4057" s="1" t="str">
        <f ca="1">IFERROR(__xludf.DUMMYFUNCTION("GOOGLETRANSLATE(A856 , ""tr"" , ""en"")"),"@drfahrettinka Mr. Minister We are saying months We are telling Online Right Let us know for our children ... https://t.co/i6keb8ngde")</f>
        <v>@drfahrettinka Mr. Minister We are saying months We are telling Online Right Let us know for our children ... https://t.co/i6keb8ngde</v>
      </c>
    </row>
    <row r="4058" spans="1:5" ht="15" customHeight="1" x14ac:dyDescent="0.2">
      <c r="A4058" s="1" t="s">
        <v>8110</v>
      </c>
      <c r="B4058" s="1">
        <v>0</v>
      </c>
      <c r="C4058" s="3">
        <v>44542.764224537037</v>
      </c>
      <c r="D4058" s="1" t="s">
        <v>8111</v>
      </c>
      <c r="E4058" s="1" t="str">
        <f ca="1">IFERROR(__xludf.DUMMYFUNCTION("GOOGLETRANSLATE(A857 , ""tr"" , ""en"")"),"@drfahrettinkoca is the mistake when in the case of human life, noksan is not acceptable")</f>
        <v>@drfahrettinkoca is the mistake when in the case of human life, noksan is not acceptable</v>
      </c>
    </row>
    <row r="4059" spans="1:5" ht="15" customHeight="1" x14ac:dyDescent="0.2">
      <c r="A4059" s="1" t="s">
        <v>8112</v>
      </c>
      <c r="B4059" s="1">
        <v>10</v>
      </c>
      <c r="C4059" s="3">
        <v>44542.764097222222</v>
      </c>
      <c r="D4059" s="1" t="s">
        <v>8113</v>
      </c>
      <c r="E4059" s="1" t="str">
        <f ca="1">IFERROR(__xludf.DUMMYFUNCTION("GOOGLETRANSLATE(A858 , ""tr"" , ""en"")"),"@drfahrettinkoca Mr. Minister is a point that you left missing is the woman you have not given HBYS computing staff ... https://t.co/c8eforuczu")</f>
        <v>@drfahrettinkoca Mr. Minister is a point that you left missing is the woman you have not given HBYS computing staff ... https://t.co/c8eforuczu</v>
      </c>
    </row>
    <row r="4060" spans="1:5" ht="15" customHeight="1" x14ac:dyDescent="0.2">
      <c r="A4060" s="1" t="s">
        <v>8114</v>
      </c>
      <c r="B4060" s="1">
        <v>0</v>
      </c>
      <c r="C4060" s="3">
        <v>44542.763969907406</v>
      </c>
      <c r="D4060" s="1" t="s">
        <v>8115</v>
      </c>
      <c r="E4060" s="1" t="str">
        <f ca="1">IFERROR(__xludf.DUMMYFUNCTION("GOOGLETRANSLATE(A859 , ""tr"" , ""en"")"),"@drfahrettinkoca @saglikbakanligoci becomed Valla Mr. Minister Depending on the Earthquake Eye Coming to According to the caries of the rotten building B ... https://t.co/lmaydmvggk")</f>
        <v>@drfahrettinkoca @saglikbakanligoci becomed Valla Mr. Minister Depending on the Earthquake Eye Coming to According to the caries of the rotten building B ... https://t.co/lmaydmvggk</v>
      </c>
    </row>
    <row r="4061" spans="1:5" ht="15" customHeight="1" x14ac:dyDescent="0.2">
      <c r="A4061" s="1" t="s">
        <v>8116</v>
      </c>
      <c r="B4061" s="1">
        <v>0</v>
      </c>
      <c r="C4061" s="3">
        <v>44542.763067129628</v>
      </c>
      <c r="D4061" s="1" t="s">
        <v>8117</v>
      </c>
      <c r="E4061" s="1" t="str">
        <f ca="1">IFERROR(__xludf.DUMMYFUNCTION("GOOGLETRANSLATE(A860 , ""tr"" , ""en"")"),"@drfahrettinkoca is anymore resignation and the wrong decisions you give is the price of the wrong policies you apply ... https://t.co/yxhnlsibe5")</f>
        <v>@drfahrettinkoca is anymore resignation and the wrong decisions you give is the price of the wrong policies you apply ... https://t.co/yxhnlsibe5</v>
      </c>
    </row>
    <row r="4062" spans="1:5" ht="15" customHeight="1" x14ac:dyDescent="0.2">
      <c r="A4062" s="1" t="s">
        <v>8118</v>
      </c>
      <c r="B4062" s="1">
        <v>0</v>
      </c>
      <c r="C4062" s="3">
        <v>44542.762974537036</v>
      </c>
      <c r="D4062" s="1" t="s">
        <v>8119</v>
      </c>
      <c r="E4062" s="1" t="str">
        <f ca="1">IFERROR(__xludf.DUMMYFUNCTION("GOOGLETRANSLATE(A861 , ""tr"" , ""en"")"),"@drfahrettinkoca You are also from Tayyeep of the wound in Mi Mi.")</f>
        <v>@drfahrettinkoca You are also from Tayyeep of the wound in Mi Mi.</v>
      </c>
    </row>
    <row r="4063" spans="1:5" ht="15" customHeight="1" x14ac:dyDescent="0.2">
      <c r="A4063" s="1" t="s">
        <v>8120</v>
      </c>
      <c r="B4063" s="1">
        <v>0</v>
      </c>
      <c r="C4063" s="3">
        <v>44542.762152777781</v>
      </c>
      <c r="D4063" s="1" t="s">
        <v>8121</v>
      </c>
      <c r="E4063" s="1" t="str">
        <f ca="1">IFERROR(__xludf.DUMMYFUNCTION("GOOGLETRANSLATE(A862 , ""tr"" , ""en"")"),"@drfahrettinkoca teacher is firm. We have been fooled by the halality you want!")</f>
        <v>@drfahrettinkoca teacher is firm. We have been fooled by the halality you want!</v>
      </c>
    </row>
    <row r="4064" spans="1:5" ht="15" customHeight="1" x14ac:dyDescent="0.2">
      <c r="A4064" s="1" t="s">
        <v>8122</v>
      </c>
      <c r="B4064" s="1">
        <v>1</v>
      </c>
      <c r="C4064" s="3">
        <v>44542.762048611112</v>
      </c>
      <c r="D4064" s="1" t="s">
        <v>8123</v>
      </c>
      <c r="E4064" s="1" t="str">
        <f ca="1">IFERROR(__xludf.DUMMYFUNCTION("GOOGLETRANSLATE(A863 , ""tr"" , ""en"")"),"@drfahrettinka @Ftmkmlgl @ osmanunsal58 @ProfSfindi ???")</f>
        <v>@drfahrettinka @Ftmkmlgl @ osmanunsal58 @ProfSfindi ???</v>
      </c>
    </row>
    <row r="4065" spans="1:5" ht="15" customHeight="1" x14ac:dyDescent="0.2">
      <c r="A4065" s="1" t="s">
        <v>8124</v>
      </c>
      <c r="B4065" s="1">
        <v>0</v>
      </c>
      <c r="C4065" s="3">
        <v>44542.761678240742</v>
      </c>
      <c r="D4065" s="1" t="s">
        <v>8125</v>
      </c>
      <c r="E4065" s="1" t="str">
        <f ca="1">IFERROR(__xludf.DUMMYFUNCTION("GOOGLETRANSLATE(A864 , ""tr"" , ""en"")"),"@drfahrettinkoca you don't do a single right thing. The nation's conscience will not forget you. Temperature to youth and Istikl ... https://t.co/8whpuzsrnr")</f>
        <v>@drfahrettinkoca you don't do a single right thing. The nation's conscience will not forget you. Temperature to youth and Istikl ... https://t.co/8whpuzsrnr</v>
      </c>
    </row>
    <row r="4066" spans="1:5" ht="15" customHeight="1" x14ac:dyDescent="0.2">
      <c r="A4066" s="1" t="s">
        <v>8126</v>
      </c>
      <c r="B4066" s="1">
        <v>0</v>
      </c>
      <c r="C4066" s="3">
        <v>44542.761099537034</v>
      </c>
      <c r="D4066" s="1" t="s">
        <v>8127</v>
      </c>
      <c r="E4066" s="1" t="str">
        <f ca="1">IFERROR(__xludf.DUMMYFUNCTION("GOOGLETRANSLATE(A865 , ""tr"" , ""en"")"),"@drfahrettinkoca I say that forty lies Farertin Allah gives the penalty.")</f>
        <v>@drfahrettinkoca I say that forty lies Farertin Allah gives the penalty.</v>
      </c>
    </row>
    <row r="4067" spans="1:5" ht="15" customHeight="1" x14ac:dyDescent="0.2">
      <c r="A4067" s="1" t="s">
        <v>8128</v>
      </c>
      <c r="B4067" s="1">
        <v>3</v>
      </c>
      <c r="C4067" s="3">
        <v>44542.761018518519</v>
      </c>
      <c r="D4067" s="1" t="s">
        <v>8129</v>
      </c>
      <c r="E4067" s="1" t="str">
        <f ca="1">IFERROR(__xludf.DUMMYFUNCTION("GOOGLETRANSLATE(A866 , ""tr"" , ""en"")"),"@drfahrettinka You have come to the halalization stage, you have to be inaccurately inaccurately inaccessible to the miniki dolls. GE ... https://t.co/alnoa9frsh")</f>
        <v>@drfahrettinka You have come to the halalization stage, you have to be inaccurately inaccurately inaccessible to the miniki dolls. GE ... https://t.co/alnoa9frsh</v>
      </c>
    </row>
    <row r="4068" spans="1:5" ht="15" customHeight="1" x14ac:dyDescent="0.2">
      <c r="A4068" s="1" t="s">
        <v>8130</v>
      </c>
      <c r="B4068" s="1">
        <v>0</v>
      </c>
      <c r="C4068" s="3">
        <v>44542.76053240741</v>
      </c>
      <c r="D4068" s="1" t="s">
        <v>8131</v>
      </c>
      <c r="E4068" s="1" t="str">
        <f ca="1">IFERROR(__xludf.DUMMYFUNCTION("GOOGLETRANSLATE(A867 , ""tr"" , ""en"")"),"@drfahrettinkoca is that it is not repeated again?")</f>
        <v>@drfahrettinkoca is that it is not repeated again?</v>
      </c>
    </row>
    <row r="4069" spans="1:5" ht="15" customHeight="1" x14ac:dyDescent="0.2">
      <c r="A4069" s="1" t="s">
        <v>8132</v>
      </c>
      <c r="B4069" s="1">
        <v>1</v>
      </c>
      <c r="C4069" s="3">
        <v>44542.760081018518</v>
      </c>
      <c r="D4069" s="1" t="s">
        <v>8133</v>
      </c>
      <c r="E4069" s="1" t="str">
        <f ca="1">IFERROR(__xludf.DUMMYFUNCTION("GOOGLETRANSLATE(A868 , ""tr"" , ""en"")"),"@drfahrettinka you don't even trust your colleagues now.")</f>
        <v>@drfahrettinka you don't even trust your colleagues now.</v>
      </c>
    </row>
    <row r="4070" spans="1:5" ht="15" customHeight="1" x14ac:dyDescent="0.2">
      <c r="A4070" s="1" t="s">
        <v>8134</v>
      </c>
      <c r="B4070" s="1">
        <v>80</v>
      </c>
      <c r="C4070" s="3">
        <v>44542.759444444448</v>
      </c>
      <c r="D4070" s="1" t="s">
        <v>8135</v>
      </c>
      <c r="E4070" s="1" t="str">
        <f ca="1">IFERROR(__xludf.DUMMYFUNCTION("GOOGLETRANSLATE(A869 , ""tr"" , ""en"")"),"@drfahrettinkoca you want to compensate your mistake. Lift all the bans. Uninstall Mandatory Vaccine ... https://t.co/xfld9ccegp")</f>
        <v>@drfahrettinkoca you want to compensate your mistake. Lift all the bans. Uninstall Mandatory Vaccine ... https://t.co/xfld9ccegp</v>
      </c>
    </row>
    <row r="4071" spans="1:5" ht="15" customHeight="1" x14ac:dyDescent="0.2">
      <c r="A4071" s="1" t="s">
        <v>8136</v>
      </c>
      <c r="B4071" s="1">
        <v>0</v>
      </c>
      <c r="C4071" s="3">
        <v>44542.759317129632</v>
      </c>
      <c r="D4071" s="1" t="s">
        <v>8137</v>
      </c>
      <c r="E4071" s="1" t="str">
        <f ca="1">IFERROR(__xludf.DUMMYFUNCTION("GOOGLETRANSLATE(A870 , ""tr"" , ""en"")"),"@drfahrettinkoca Type 1 Can you tell me about the sensor and pump rights of citizens with diabetes, these are luxury ... https://t.co/b8d5ylpwct")</f>
        <v>@drfahrettinkoca Type 1 Can you tell me about the sensor and pump rights of citizens with diabetes, these are luxury ... https://t.co/b8d5ylpwct</v>
      </c>
    </row>
    <row r="4072" spans="1:5" ht="15" customHeight="1" x14ac:dyDescent="0.2">
      <c r="A4072" s="1" t="s">
        <v>8138</v>
      </c>
      <c r="B4072" s="1">
        <v>0</v>
      </c>
      <c r="C4072" s="3">
        <v>44542.759166666663</v>
      </c>
      <c r="D4072" s="1" t="s">
        <v>8139</v>
      </c>
      <c r="E4072" s="1" t="str">
        <f ca="1">IFERROR(__xludf.DUMMYFUNCTION("GOOGLETRANSLATE(A871 , ""tr"" , ""en"")"),"@drfahrettinka https://t.co/Ihcgdtpa6l")</f>
        <v>@drfahrettinka https://t.co/Ihcgdtpa6l</v>
      </c>
    </row>
    <row r="4073" spans="1:5" ht="15" customHeight="1" x14ac:dyDescent="0.2">
      <c r="A4073" s="1" t="s">
        <v>8140</v>
      </c>
      <c r="B4073" s="1">
        <v>31</v>
      </c>
      <c r="C4073" s="3">
        <v>44542.759097222224</v>
      </c>
      <c r="D4073" s="1" t="s">
        <v>8141</v>
      </c>
      <c r="E4073" s="1" t="str">
        <f ca="1">IFERROR(__xludf.DUMMYFUNCTION("GOOGLETRANSLATE(A872 , ""tr"" , ""en"")"),"@drfahrettinkoca Therapy Protocol 8 er Pills Sickers to the judiciary")</f>
        <v>@drfahrettinkoca Therapy Protocol 8 er Pills Sickers to the judiciary</v>
      </c>
    </row>
    <row r="4074" spans="1:5" ht="15" customHeight="1" x14ac:dyDescent="0.2">
      <c r="A4074" s="1" t="s">
        <v>8142</v>
      </c>
      <c r="B4074" s="1">
        <v>0</v>
      </c>
      <c r="C4074" s="3">
        <v>44542.758831018517</v>
      </c>
      <c r="D4074" s="1" t="s">
        <v>8143</v>
      </c>
      <c r="E4074" s="1" t="str">
        <f ca="1">IFERROR(__xludf.DUMMYFUNCTION("GOOGLETRANSLATE(A873 , ""tr"" , ""en"")"),"@drfahrettinkoca Pandemide You are missing and late in every subject. We keep the rights from the public. You still stay missing ... https://t.co/yw6esmzk9s")</f>
        <v>@drfahrettinkoca Pandemide You are missing and late in every subject. We keep the rights from the public. You still stay missing ... https://t.co/yw6esmzk9s</v>
      </c>
    </row>
    <row r="4075" spans="1:5" ht="15" customHeight="1" x14ac:dyDescent="0.2">
      <c r="A4075" s="1" t="s">
        <v>8144</v>
      </c>
      <c r="B4075" s="1">
        <v>1</v>
      </c>
      <c r="C4075" s="3">
        <v>44542.758321759262</v>
      </c>
      <c r="D4075" s="1" t="s">
        <v>8145</v>
      </c>
      <c r="E4075" s="1" t="str">
        <f ca="1">IFERROR(__xludf.DUMMYFUNCTION("GOOGLETRANSLATE(A874 , ""tr"" , ""en"")"),"@drfahrettinka https://t.co/IOG57PBN1T")</f>
        <v>@drfahrettinka https://t.co/IOG57PBN1T</v>
      </c>
    </row>
    <row r="4076" spans="1:5" ht="15" customHeight="1" x14ac:dyDescent="0.2">
      <c r="A4076" s="1" t="s">
        <v>8146</v>
      </c>
      <c r="B4076" s="1">
        <v>0</v>
      </c>
      <c r="C4076" s="3">
        <v>44542.757928240739</v>
      </c>
      <c r="D4076" s="1" t="s">
        <v>8147</v>
      </c>
      <c r="E4076" s="1" t="str">
        <f ca="1">IFERROR(__xludf.DUMMYFUNCTION("GOOGLETRANSLATE(A875 , ""tr"" , ""en"")"),"@drfahrettinka https://t.co/dzinop4k29")</f>
        <v>@drfahrettinka https://t.co/dzinop4k29</v>
      </c>
    </row>
    <row r="4077" spans="1:5" ht="15" customHeight="1" x14ac:dyDescent="0.2">
      <c r="A4077" s="1" t="s">
        <v>8148</v>
      </c>
      <c r="B4077" s="1">
        <v>0</v>
      </c>
      <c r="C4077" s="3">
        <v>44542.757604166669</v>
      </c>
      <c r="D4077" s="1" t="s">
        <v>8149</v>
      </c>
      <c r="E4077" s="1" t="str">
        <f ca="1">IFERROR(__xludf.DUMMYFUNCTION("GOOGLETRANSLATE(A876 , ""tr"" , ""en"")"),"@drfahrettinka https://t.co/yrp5slmm9v")</f>
        <v>@drfahrettinka https://t.co/yrp5slmm9v</v>
      </c>
    </row>
    <row r="4078" spans="1:5" ht="15" customHeight="1" x14ac:dyDescent="0.2">
      <c r="A4078" s="1" t="s">
        <v>8150</v>
      </c>
      <c r="B4078" s="1">
        <v>0</v>
      </c>
      <c r="C4078" s="3">
        <v>44542.757418981484</v>
      </c>
      <c r="D4078" s="1" t="s">
        <v>8151</v>
      </c>
      <c r="E4078" s="1" t="str">
        <f ca="1">IFERROR(__xludf.DUMMYFUNCTION("GOOGLETRANSLATE(A877 , ""tr"" , ""en"")"),"@drfahrettinka https://t.co/vmkmp6wzcn")</f>
        <v>@drfahrettinka https://t.co/vmkmp6wzcn</v>
      </c>
    </row>
    <row r="4079" spans="1:5" ht="15" customHeight="1" x14ac:dyDescent="0.2">
      <c r="A4079" s="1" t="s">
        <v>8152</v>
      </c>
      <c r="B4079" s="1">
        <v>22</v>
      </c>
      <c r="C4079" s="3">
        <v>44542.756712962961</v>
      </c>
      <c r="D4079" s="1" t="s">
        <v>8153</v>
      </c>
      <c r="E4079" s="1" t="str">
        <f ca="1">IFERROR(__xludf.DUMMYFUNCTION("GOOGLETRANSLATE(A878 , ""tr"" , ""en"")"),"@drfahrettinka schools crowded classes 40-45 people no ventilation no distance ranks bottom bottom to bottom mask right d ... https://t.co/oih2u8sp5w")</f>
        <v>@drfahrettinka schools crowded classes 40-45 people no ventilation no distance ranks bottom bottom to bottom mask right d ... https://t.co/oih2u8sp5w</v>
      </c>
    </row>
    <row r="4080" spans="1:5" ht="15" customHeight="1" x14ac:dyDescent="0.2">
      <c r="A4080" s="1" t="s">
        <v>8154</v>
      </c>
      <c r="B4080" s="1">
        <v>0</v>
      </c>
      <c r="C4080" s="3">
        <v>44542.755914351852</v>
      </c>
      <c r="D4080" s="1" t="s">
        <v>8155</v>
      </c>
      <c r="E4080" s="1" t="str">
        <f ca="1">IFERROR(__xludf.DUMMYFUNCTION("GOOGLETRANSLATE(A879 , ""tr"" , ""en"")"),"@drfahrettinka https://t.co/nyfzuawibz")</f>
        <v>@drfahrettinka https://t.co/nyfzuawibz</v>
      </c>
    </row>
    <row r="4081" spans="1:5" ht="15" customHeight="1" x14ac:dyDescent="0.2">
      <c r="A4081" s="1" t="s">
        <v>8156</v>
      </c>
      <c r="B4081" s="1">
        <v>2</v>
      </c>
      <c r="C4081" s="3">
        <v>44542.755729166667</v>
      </c>
      <c r="D4081" s="1" t="s">
        <v>8157</v>
      </c>
      <c r="E4081" s="1" t="str">
        <f ca="1">IFERROR(__xludf.DUMMYFUNCTION("GOOGLETRANSLATE(A880 , ""tr"" , ""en"")"),"@drfahrettinkoca is also a right to the orphan in this budget you said this is how this is the right to question the law :)")</f>
        <v>@drfahrettinkoca is also a right to the orphan in this budget you said this is how this is the right to question the law :)</v>
      </c>
    </row>
    <row r="4082" spans="1:5" ht="15" customHeight="1" x14ac:dyDescent="0.2">
      <c r="A4082" s="1" t="s">
        <v>8158</v>
      </c>
      <c r="B4082" s="1">
        <v>0</v>
      </c>
      <c r="C4082" s="3">
        <v>44542.755115740743</v>
      </c>
      <c r="D4082" s="1" t="s">
        <v>8159</v>
      </c>
      <c r="E4082" s="1" t="str">
        <f ca="1">IFERROR(__xludf.DUMMYFUNCTION("GOOGLETRANSLATE(A881 , ""tr"" , ""en"")"),"@drfahrettinkoca Do you know what did you do :) You have made a 12 millen purchase in 2021 budget in 2020 ... https://t.co/yi5kvopfgu")</f>
        <v>@drfahrettinkoca Do you know what did you do :) You have made a 12 millen purchase in 2021 budget in 2020 ... https://t.co/yi5kvopfgu</v>
      </c>
    </row>
    <row r="4083" spans="1:5" ht="15" customHeight="1" x14ac:dyDescent="0.2">
      <c r="A4083" s="1" t="s">
        <v>8160</v>
      </c>
      <c r="B4083" s="1">
        <v>0</v>
      </c>
      <c r="C4083" s="3">
        <v>44542.754016203704</v>
      </c>
      <c r="D4083" s="1" t="s">
        <v>8161</v>
      </c>
      <c r="E4083" s="1" t="str">
        <f ca="1">IFERROR(__xludf.DUMMYFUNCTION("GOOGLETRANSLATE(A882 , ""tr"" , ""en"")"),"@drfahrettinkoca you have made a fool of the stemming.")</f>
        <v>@drfahrettinkoca you have made a fool of the stemming.</v>
      </c>
    </row>
    <row r="4084" spans="1:5" ht="15" customHeight="1" x14ac:dyDescent="0.2">
      <c r="A4084" s="1" t="s">
        <v>8162</v>
      </c>
      <c r="B4084" s="1">
        <v>0</v>
      </c>
      <c r="C4084" s="3">
        <v>44542.753518518519</v>
      </c>
      <c r="D4084" s="1" t="s">
        <v>8163</v>
      </c>
      <c r="E4084" s="1" t="str">
        <f ca="1">IFERROR(__xludf.DUMMYFUNCTION("GOOGLETRANSLATE(A883 , ""tr"" , ""en"")"),"@drfahrettinkoca lack of people because of the things you say, people lost their life.")</f>
        <v>@drfahrettinkoca lack of people because of the things you say, people lost their life.</v>
      </c>
    </row>
    <row r="4085" spans="1:5" ht="15" customHeight="1" x14ac:dyDescent="0.2">
      <c r="A4085" s="1" t="s">
        <v>8164</v>
      </c>
      <c r="B4085" s="1">
        <v>0</v>
      </c>
      <c r="C4085" s="3">
        <v>44542.753506944442</v>
      </c>
      <c r="D4085" s="1" t="s">
        <v>8165</v>
      </c>
      <c r="E4085" s="1" t="str">
        <f ca="1">IFERROR(__xludf.DUMMYFUNCTION("GOOGLETRANSLATE(A884 , ""tr"" , ""en"")"),"@drfahrettinkoca yavv you fooled a millions of people and caes a guinea pig and cause people to die with the wrong treatment ... https://t.co/2jkcı2scmk")</f>
        <v>@drfahrettinkoca yavv you fooled a millions of people and caes a guinea pig and cause people to die with the wrong treatment ... https://t.co/2jkcı2scmk</v>
      </c>
    </row>
    <row r="4086" spans="1:5" ht="15" customHeight="1" x14ac:dyDescent="0.2">
      <c r="A4086" s="1" t="s">
        <v>8166</v>
      </c>
      <c r="B4086" s="1">
        <v>1</v>
      </c>
      <c r="C4086" s="3">
        <v>44542.753009259257</v>
      </c>
      <c r="D4086" s="1" t="s">
        <v>8167</v>
      </c>
      <c r="E4086" s="1" t="str">
        <f ca="1">IFERROR(__xludf.DUMMYFUNCTION("GOOGLETRANSLATE(A885 , ""tr"" , ""en"")"),"@drfahrettinkoca Sancaktepe Feriha Self Hospital We are at the Hospital Currently allah get to settle in your patient carers even nice i ... https://t.co/vwtruynkkw")</f>
        <v>@drfahrettinkoca Sancaktepe Feriha Self Hospital We are at the Hospital Currently allah get to settle in your patient carers even nice i ... https://t.co/vwtruynkkw</v>
      </c>
    </row>
    <row r="4087" spans="1:5" ht="15" customHeight="1" x14ac:dyDescent="0.2">
      <c r="A4087" s="1" t="s">
        <v>8168</v>
      </c>
      <c r="B4087" s="1">
        <v>0</v>
      </c>
      <c r="C4087" s="3">
        <v>44542.752881944441</v>
      </c>
      <c r="D4087" s="1" t="s">
        <v>8169</v>
      </c>
      <c r="E4087" s="1" t="str">
        <f ca="1">IFERROR(__xludf.DUMMYFUNCTION("GOOGLETRANSLATE(A886 , ""tr"" , ""en"")"),"@drfahrettinkoca Emergency precautions must be made up of no lack of health in a situation where health is concerned")</f>
        <v>@drfahrettinkoca Emergency precautions must be made up of no lack of health in a situation where health is concerned</v>
      </c>
    </row>
    <row r="4088" spans="1:5" ht="15" customHeight="1" x14ac:dyDescent="0.2">
      <c r="A4088" s="1" t="s">
        <v>8170</v>
      </c>
      <c r="B4088" s="1">
        <v>0</v>
      </c>
      <c r="C4088" s="3">
        <v>44542.752557870372</v>
      </c>
      <c r="D4088" s="1" t="s">
        <v>8171</v>
      </c>
      <c r="E4088" s="1" t="str">
        <f ca="1">IFERROR(__xludf.DUMMYFUNCTION("GOOGLETRANSLATE(A887 , ""tr"" , ""en"")"),"@drfahrettinkoca omicron did not have the variant.")</f>
        <v>@drfahrettinkoca omicron did not have the variant.</v>
      </c>
    </row>
    <row r="4089" spans="1:5" ht="15" customHeight="1" x14ac:dyDescent="0.2">
      <c r="A4089" s="1" t="s">
        <v>8172</v>
      </c>
      <c r="B4089" s="1">
        <v>3</v>
      </c>
      <c r="C4089" s="3">
        <v>44542.751875000002</v>
      </c>
      <c r="D4089" s="1" t="s">
        <v>8173</v>
      </c>
      <c r="E4089" s="1" t="str">
        <f ca="1">IFERROR(__xludf.DUMMYFUNCTION("GOOGLETRANSLATE(A888 , ""tr"" , ""en"")"),"@drfahrettinkoca you have played with us wave night 40k you said it was 30k that has not been enough to reshoce the Sinra Cik ... https://t.co/dl9qwqt0sn")</f>
        <v>@drfahrettinkoca you have played with us wave night 40k you said it was 30k that has not been enough to reshoce the Sinra Cik ... https://t.co/dl9qwqt0sn</v>
      </c>
    </row>
    <row r="4090" spans="1:5" ht="15" customHeight="1" x14ac:dyDescent="0.2">
      <c r="A4090" s="1" t="s">
        <v>8174</v>
      </c>
      <c r="B4090" s="1">
        <v>2</v>
      </c>
      <c r="C4090" s="3">
        <v>44542.751134259262</v>
      </c>
      <c r="D4090" s="1" t="s">
        <v>8175</v>
      </c>
      <c r="E4090" s="1" t="str">
        <f ca="1">IFERROR(__xludf.DUMMYFUNCTION("GOOGLETRANSLATE(A889 , ""tr"" , ""en"")"),"@drfahrettinkoca is the intention of this.")</f>
        <v>@drfahrettinkoca is the intention of this.</v>
      </c>
    </row>
    <row r="4091" spans="1:5" ht="15" customHeight="1" x14ac:dyDescent="0.2">
      <c r="A4091" s="1" t="s">
        <v>8176</v>
      </c>
      <c r="B4091" s="1">
        <v>1</v>
      </c>
      <c r="C4091" s="3">
        <v>44542.75104166667</v>
      </c>
      <c r="D4091" s="1" t="s">
        <v>8177</v>
      </c>
      <c r="E4091" s="1" t="str">
        <f ca="1">IFERROR(__xludf.DUMMYFUNCTION("GOOGLETRANSLATE(A890 , ""tr"" , ""en"")"),"@drfahrettinkoca intention? The healthcare year is 20 thousand funny buyouts.")</f>
        <v>@drfahrettinkoca intention? The healthcare year is 20 thousand funny buyouts.</v>
      </c>
    </row>
    <row r="4092" spans="1:5" ht="15" customHeight="1" x14ac:dyDescent="0.2">
      <c r="A4092" s="1" t="s">
        <v>8178</v>
      </c>
      <c r="B4092" s="1">
        <v>0</v>
      </c>
      <c r="C4092" s="3">
        <v>44542.749837962961</v>
      </c>
      <c r="D4092" s="1" t="s">
        <v>8179</v>
      </c>
      <c r="E4092" s="1" t="str">
        <f ca="1">IFERROR(__xludf.DUMMYFUNCTION("GOOGLETRANSLATE(A891 , ""tr"" , ""en"")"),"@drfahrettinkoca This is also took out of our doctors who participated in the right resistance, as well as youtubers, ... https://t.co/kfrcfpxzbh")</f>
        <v>@drfahrettinkoca This is also took out of our doctors who participated in the right resistance, as well as youtubers, ... https://t.co/kfrcfpxzbh</v>
      </c>
    </row>
    <row r="4093" spans="1:5" ht="15" customHeight="1" x14ac:dyDescent="0.2">
      <c r="A4093" s="1" t="s">
        <v>8180</v>
      </c>
      <c r="B4093" s="1">
        <v>0</v>
      </c>
      <c r="C4093" s="3">
        <v>44542.749791666669</v>
      </c>
      <c r="D4093" s="1" t="s">
        <v>8181</v>
      </c>
      <c r="E4093" s="1" t="str">
        <f ca="1">IFERROR(__xludf.DUMMYFUNCTION("GOOGLETRANSLATE(A892 , ""tr"" , ""en"")"),"@drfahrettinkoca you have been doing all things in 20 years as the power you are doing wrong. This is a human being in the work ... https://t.co/hgr2kjuakh")</f>
        <v>@drfahrettinkoca you have been doing all things in 20 years as the power you are doing wrong. This is a human being in the work ... https://t.co/hgr2kjuakh</v>
      </c>
    </row>
    <row r="4094" spans="1:5" ht="15" customHeight="1" x14ac:dyDescent="0.2">
      <c r="A4094" s="1" t="s">
        <v>8182</v>
      </c>
      <c r="B4094" s="1">
        <v>0</v>
      </c>
      <c r="C4094" s="3">
        <v>44542.749537037038</v>
      </c>
      <c r="D4094" s="1" t="s">
        <v>8183</v>
      </c>
      <c r="E4094" s="1" t="str">
        <f ca="1">IFERROR(__xludf.DUMMYFUNCTION("GOOGLETRANSLATE(A893 , ""tr"" , ""en"")"),"@drfahrettinkoca Measure Where Measure")</f>
        <v>@drfahrettinkoca Measure Where Measure</v>
      </c>
    </row>
    <row r="4095" spans="1:5" ht="15" customHeight="1" x14ac:dyDescent="0.2">
      <c r="A4095" s="1" t="s">
        <v>8184</v>
      </c>
      <c r="B4095" s="1">
        <v>0</v>
      </c>
      <c r="C4095" s="3">
        <v>44542.748715277776</v>
      </c>
      <c r="D4095" s="1" t="s">
        <v>8185</v>
      </c>
      <c r="E4095" s="1" t="str">
        <f ca="1">IFERROR(__xludf.DUMMYFUNCTION("GOOGLETRANSLATE(A894 , ""tr"" , ""en"")"),"@drfahrettinkoca I don't believe you I don't have a right about me I'm not halal You don't make you wrong with you you will not forgive you in Allah.")</f>
        <v>@drfahrettinkoca I don't believe you I don't have a right about me I'm not halal You don't make you wrong with you you will not forgive you in Allah.</v>
      </c>
    </row>
    <row r="4096" spans="1:5" ht="15" customHeight="1" x14ac:dyDescent="0.2">
      <c r="A4096" s="1" t="s">
        <v>8186</v>
      </c>
      <c r="B4096" s="1">
        <v>0</v>
      </c>
      <c r="C4096" s="3">
        <v>44542.748599537037</v>
      </c>
      <c r="D4096" s="1" t="s">
        <v>8187</v>
      </c>
      <c r="E4096" s="1" t="str">
        <f ca="1">IFERROR(__xludf.DUMMYFUNCTION("GOOGLETRANSLATE(A895 , ""tr"" , ""en"")"),"@drfahrettinkoca We have incomplies Can you say no intentions to a patient for life? Patient is dying. !!! ... https://t.co/oezu5pgrjv")</f>
        <v>@drfahrettinkoca We have incomplies Can you say no intentions to a patient for life? Patient is dying. !!! ... https://t.co/oezu5pgrjv</v>
      </c>
    </row>
    <row r="4097" spans="1:5" ht="15" customHeight="1" x14ac:dyDescent="0.2">
      <c r="A4097" s="1" t="s">
        <v>8188</v>
      </c>
      <c r="B4097" s="1">
        <v>0</v>
      </c>
      <c r="C4097" s="3">
        <v>44542.748495370368</v>
      </c>
      <c r="D4097" s="1" t="s">
        <v>8189</v>
      </c>
      <c r="E4097" s="1" t="str">
        <f ca="1">IFERROR(__xludf.DUMMYFUNCTION("GOOGLETRANSLATE(A896 , ""tr"" , ""en"")"),"@drfahrettinkoca is a very clear promise school school")</f>
        <v>@drfahrettinkoca is a very clear promise school school</v>
      </c>
    </row>
    <row r="4098" spans="1:5" ht="15" customHeight="1" x14ac:dyDescent="0.2">
      <c r="A4098" s="1" t="s">
        <v>8190</v>
      </c>
      <c r="B4098" s="1">
        <v>245</v>
      </c>
      <c r="C4098" s="3">
        <v>44542.747361111113</v>
      </c>
      <c r="D4098" s="1" t="s">
        <v>8191</v>
      </c>
      <c r="E4098" s="1" t="str">
        <f ca="1">IFERROR(__xludf.DUMMYFUNCTION("GOOGLETRANSLATE(A897 , ""tr"" , ""en"")"),"@drfahrettinkoca my thesis first when you reach your hand what did you answer? Remember?")</f>
        <v>@drfahrettinkoca my thesis first when you reach your hand what did you answer? Remember?</v>
      </c>
    </row>
    <row r="4099" spans="1:5" ht="15" customHeight="1" x14ac:dyDescent="0.2">
      <c r="A4099" s="1" t="s">
        <v>8192</v>
      </c>
      <c r="B4099" s="1">
        <v>31</v>
      </c>
      <c r="C4099" s="3">
        <v>44542.746620370373</v>
      </c>
      <c r="D4099" s="1" t="s">
        <v>8193</v>
      </c>
      <c r="E4099" s="1" t="str">
        <f ca="1">IFERROR(__xludf.DUMMYFUNCTION("GOOGLETRANSLATE(A898 , ""tr"" , ""en"")"),"@drfahrettinkoca is moving to the virus home because of the schools you open without taking measures every month 7000 people are dying according to you?")</f>
        <v>@drfahrettinkoca is moving to the virus home because of the schools you open without taking measures every month 7000 people are dying according to you?</v>
      </c>
    </row>
    <row r="4100" spans="1:5" ht="15" customHeight="1" x14ac:dyDescent="0.2">
      <c r="A4100" s="1" t="s">
        <v>8194</v>
      </c>
      <c r="B4100" s="1">
        <v>0</v>
      </c>
      <c r="C4100" s="3">
        <v>44542.746458333335</v>
      </c>
      <c r="D4100" s="1" t="s">
        <v>8195</v>
      </c>
      <c r="E4100" s="1" t="str">
        <f ca="1">IFERROR(__xludf.DUMMYFUNCTION("GOOGLETRANSLATE(A899 , ""tr"" , ""en"")"),"@drfahrettinkoca SMA Most bring in the articles of our puppies in pain cekmesin🙏")</f>
        <v>@drfahrettinkoca SMA Most bring in the articles of our puppies in pain cekmesin🙏</v>
      </c>
    </row>
    <row r="4101" spans="1:5" ht="15" customHeight="1" x14ac:dyDescent="0.2">
      <c r="A4101" s="1" t="s">
        <v>8196</v>
      </c>
      <c r="B4101" s="1">
        <v>0</v>
      </c>
      <c r="C4101" s="3">
        <v>44542.746423611112</v>
      </c>
      <c r="D4101" s="1" t="s">
        <v>8197</v>
      </c>
      <c r="E4101" s="1" t="str">
        <f ca="1">IFERROR(__xludf.DUMMYFUNCTION("GOOGLETRANSLATE(A900 , ""tr"" , ""en"")"),"@drfahrettinkoca sec Ministry of the Ministry of the Doctor in Kizima We are expecting the external wire although it sees suitable for months Sequence ... HTTPS://T.CO/TF1DINMXM0")</f>
        <v>@drfahrettinkoca sec Ministry of the Ministry of the Doctor in Kizima We are expecting the external wire although it sees suitable for months Sequence ... HTTPS://T.CO/TF1DINMXM0</v>
      </c>
    </row>
    <row r="4102" spans="1:5" ht="15" customHeight="1" x14ac:dyDescent="0.2">
      <c r="A4102" s="1" t="s">
        <v>8198</v>
      </c>
      <c r="B4102" s="1">
        <v>0</v>
      </c>
      <c r="C4102" s="3">
        <v>44542.746168981481</v>
      </c>
      <c r="D4102" s="1" t="s">
        <v>8199</v>
      </c>
      <c r="E4102" s="1" t="str">
        <f ca="1">IFERROR(__xludf.DUMMYFUNCTION("GOOGLETRANSLATE(A901 , ""tr"" , ""en"")"),"@drfahrettinka Mr. Ministry of TL After the loss of value of the neighboring countries to continuously shopping in our country to go to our country ... https://t.co/ıkvna9toyi")</f>
        <v>@drfahrettinka Mr. Ministry of TL After the loss of value of the neighboring countries to continuously shopping in our country to go to our country ... https://t.co/ıkvna9toyi</v>
      </c>
    </row>
    <row r="4103" spans="1:5" ht="15" customHeight="1" x14ac:dyDescent="0.2">
      <c r="A4103" s="1" t="s">
        <v>8200</v>
      </c>
      <c r="B4103" s="1">
        <v>7</v>
      </c>
      <c r="C4103" s="3">
        <v>44542.745196759257</v>
      </c>
      <c r="D4103" s="1" t="s">
        <v>8201</v>
      </c>
      <c r="E4103" s="1" t="str">
        <f ca="1">IFERROR(__xludf.DUMMYFUNCTION("GOOGLETRANSLATE(A902 , ""tr"" , ""en"")"),"@drfahrettinka favipiravir and applied in the hospital We don't know about our medicine and vaccine sudden deaths are intentionless death ...")</f>
        <v>@drfahrettinka favipiravir and applied in the hospital We don't know about our medicine and vaccine sudden deaths are intentionless death ...</v>
      </c>
    </row>
    <row r="4104" spans="1:5" ht="15" customHeight="1" x14ac:dyDescent="0.2">
      <c r="A4104" s="1" t="s">
        <v>8202</v>
      </c>
      <c r="B4104" s="1">
        <v>0</v>
      </c>
      <c r="C4104" s="3">
        <v>44542.745000000003</v>
      </c>
      <c r="D4104" s="1" t="s">
        <v>8203</v>
      </c>
      <c r="E4104" s="1" t="str">
        <f ca="1">IFERROR(__xludf.DUMMYFUNCTION("GOOGLETRANSLATE(A903 , ""tr"" , ""en"")"),"@drfahrettinkoca We have said to you dad but you were not able to tell the realities HBYS employees in the reise.Kadroyu are the main ... https://t.co/n4zmwoggse")</f>
        <v>@drfahrettinkoca We have said to you dad but you were not able to tell the realities HBYS employees in the reise.Kadroyu are the main ... https://t.co/n4zmwoggse</v>
      </c>
    </row>
    <row r="4105" spans="1:5" ht="15" customHeight="1" x14ac:dyDescent="0.2">
      <c r="A4105" s="1" t="s">
        <v>8204</v>
      </c>
      <c r="B4105" s="1">
        <v>0</v>
      </c>
      <c r="C4105" s="3">
        <v>44542.744814814818</v>
      </c>
      <c r="D4105" s="1" t="s">
        <v>8205</v>
      </c>
      <c r="E4105" s="1" t="str">
        <f ca="1">IFERROR(__xludf.DUMMYFUNCTION("GOOGLETRANSLATE(A904 , ""tr"" , ""en"")"),"@drfahrettinkoca medicine have revolutionized Dear Ministry 15 days We do not make an appointment even after the pregnant we😡😡")</f>
        <v>@drfahrettinkoca medicine have revolutionized Dear Ministry 15 days We do not make an appointment even after the pregnant we😡😡</v>
      </c>
    </row>
    <row r="4106" spans="1:5" ht="15" customHeight="1" x14ac:dyDescent="0.2">
      <c r="A4106" s="1" t="s">
        <v>8206</v>
      </c>
      <c r="B4106" s="1">
        <v>1</v>
      </c>
      <c r="C4106" s="3">
        <v>44542.743738425925</v>
      </c>
      <c r="D4106" s="1" t="s">
        <v>8207</v>
      </c>
      <c r="E4106" s="1" t="str">
        <f ca="1">IFERROR(__xludf.DUMMYFUNCTION("GOOGLETRANSLATE(A905 , ""tr"" , ""en"")"),"@drfahrettinkoca You confess that the number of deaths of Covid-Responsible Deal Minister. Those who say before Lin ... https://t.co/kv6lb3j69c")</f>
        <v>@drfahrettinkoca You confess that the number of deaths of Covid-Responsible Deal Minister. Those who say before Lin ... https://t.co/kv6lb3j69c</v>
      </c>
    </row>
    <row r="4107" spans="1:5" ht="15" customHeight="1" x14ac:dyDescent="0.2">
      <c r="A4107" s="1" t="s">
        <v>8208</v>
      </c>
      <c r="B4107" s="1">
        <v>5</v>
      </c>
      <c r="C4107" s="3">
        <v>44542.743009259262</v>
      </c>
      <c r="D4107" s="1" t="s">
        <v>8209</v>
      </c>
      <c r="E4107" s="1" t="str">
        <f ca="1">IFERROR(__xludf.DUMMYFUNCTION("GOOGLETRANSLATE(A906 , ""tr"" , ""en"")"),"@drfahrettinka Minister Decrease the reminder dose to three months !! Two dose protects against Omikron.")</f>
        <v>@drfahrettinka Minister Decrease the reminder dose to three months !! Two dose protects against Omikron.</v>
      </c>
    </row>
    <row r="4108" spans="1:5" ht="15" customHeight="1" x14ac:dyDescent="0.2">
      <c r="A4108" s="1" t="s">
        <v>8210</v>
      </c>
      <c r="B4108" s="1">
        <v>0</v>
      </c>
      <c r="C4108" s="3">
        <v>44542.742708333331</v>
      </c>
      <c r="D4108" s="1" t="s">
        <v>8211</v>
      </c>
      <c r="E4108" s="1" t="str">
        <f ca="1">IFERROR(__xludf.DUMMYFUNCTION("GOOGLETRANSLATE(A907 , ""tr"" , ""en"")"),"@drfahrettinkoca valla allaf forgive what let's say")</f>
        <v>@drfahrettinkoca valla allaf forgive what let's say</v>
      </c>
    </row>
    <row r="4109" spans="1:5" ht="15" customHeight="1" x14ac:dyDescent="0.2">
      <c r="A4109" s="1" t="s">
        <v>8212</v>
      </c>
      <c r="B4109" s="1">
        <v>0</v>
      </c>
      <c r="C4109" s="3">
        <v>44542.742476851854</v>
      </c>
      <c r="D4109" s="1" t="s">
        <v>8213</v>
      </c>
      <c r="E4109" s="1" t="str">
        <f ca="1">IFERROR(__xludf.DUMMYFUNCTION("GOOGLETRANSLATE(A908 , ""tr"" , ""en"")"),"@drfahrettinka you are deliberately serving zionism, but the account of this will be the Şetin in the Hereafter built")</f>
        <v>@drfahrettinka you are deliberately serving zionism, but the account of this will be the Şetin in the Hereafter built</v>
      </c>
    </row>
    <row r="4110" spans="1:5" ht="15" customHeight="1" x14ac:dyDescent="0.2">
      <c r="A4110" s="1" t="s">
        <v>8214</v>
      </c>
      <c r="B4110" s="1">
        <v>23</v>
      </c>
      <c r="C4110" s="3">
        <v>44542.742106481484</v>
      </c>
      <c r="D4110" s="1" t="s">
        <v>8215</v>
      </c>
      <c r="E4110" s="1" t="str">
        <f ca="1">IFERROR(__xludf.DUMMYFUNCTION("GOOGLETRANSLATE(A909 , ""tr"" , ""en"")"),"@drfahrettinkoca can't be missing when it comes to human life, you can't be deficit, error is unacceptable! Kids This island ... https://t.co/4b9zeabbn1")</f>
        <v>@drfahrettinkoca can't be missing when it comes to human life, you can't be deficit, error is unacceptable! Kids This island ... https://t.co/4b9zeabbn1</v>
      </c>
    </row>
    <row r="4111" spans="1:5" ht="15" customHeight="1" x14ac:dyDescent="0.2">
      <c r="A4111" s="1" t="s">
        <v>8216</v>
      </c>
      <c r="B4111" s="1">
        <v>0</v>
      </c>
      <c r="C4111" s="3">
        <v>44542.742094907408</v>
      </c>
      <c r="D4111" s="1" t="s">
        <v>8217</v>
      </c>
      <c r="E4111" s="1" t="str">
        <f ca="1">IFERROR(__xludf.DUMMYFUNCTION("GOOGLETRANSLATE(A910 , ""tr"" , ""en"")"),"@drfahrettinka https://t.co/fdad8uh1l4")</f>
        <v>@drfahrettinka https://t.co/fdad8uh1l4</v>
      </c>
    </row>
    <row r="4112" spans="1:5" ht="15" customHeight="1" x14ac:dyDescent="0.2">
      <c r="A4112" s="1" t="s">
        <v>8218</v>
      </c>
      <c r="B4112" s="1">
        <v>0</v>
      </c>
      <c r="C4112" s="3">
        <v>44542.741168981483</v>
      </c>
      <c r="D4112" s="1" t="s">
        <v>8219</v>
      </c>
      <c r="E4112" s="1" t="str">
        <f ca="1">IFERROR(__xludf.DUMMYFUNCTION("GOOGLETRANSLATE(A911 , ""tr"" , ""en"")"),"@drfahrettinkoca HBYS Truck our victimization as persecution staff please https://t.co/fzaspuekt0")</f>
        <v>@drfahrettinkoca HBYS Truck our victimization as persecution staff please https://t.co/fzaspuekt0</v>
      </c>
    </row>
    <row r="4113" spans="1:5" ht="15" customHeight="1" x14ac:dyDescent="0.2">
      <c r="A4113" s="1" t="s">
        <v>8220</v>
      </c>
      <c r="B4113" s="1">
        <v>0</v>
      </c>
      <c r="C4113" s="3">
        <v>44542.739560185182</v>
      </c>
      <c r="D4113" s="1" t="s">
        <v>8221</v>
      </c>
      <c r="E4113" s="1" t="str">
        <f ca="1">IFERROR(__xludf.DUMMYFUNCTION("GOOGLETRANSLATE(A912 , ""tr"" , ""en"")"),"@drfahrettinkoca @saglikbakanligi is always a ... https://t.co/tmqnlza7bw")</f>
        <v>@drfahrettinkoca @saglikbakanligi is always a ... https://t.co/tmqnlza7bw</v>
      </c>
    </row>
    <row r="4114" spans="1:5" ht="15" customHeight="1" x14ac:dyDescent="0.2">
      <c r="A4114" s="1" t="s">
        <v>8222</v>
      </c>
      <c r="B4114" s="1">
        <v>0</v>
      </c>
      <c r="C4114" s="3">
        <v>44542.738599537035</v>
      </c>
      <c r="D4114" s="1" t="s">
        <v>8223</v>
      </c>
      <c r="E4114" s="1" t="str">
        <f ca="1">IFERROR(__xludf.DUMMYFUNCTION("GOOGLETRANSLATE(A913 , ""tr"" , ""en"")"),"@drfahrettinkoca What are we looking forward to still, why still have nothing clear, how can't we be assigned by 90-up points to why ... https://t.co/lwbethfnx4")</f>
        <v>@drfahrettinkoca What are we looking forward to still, why still have nothing clear, how can't we be assigned by 90-up points to why ... https://t.co/lwbethfnx4</v>
      </c>
    </row>
    <row r="4115" spans="1:5" ht="15" customHeight="1" x14ac:dyDescent="0.2">
      <c r="A4115" s="1" t="s">
        <v>8224</v>
      </c>
      <c r="B4115" s="1">
        <v>0</v>
      </c>
      <c r="C4115" s="3">
        <v>44542.737303240741</v>
      </c>
      <c r="D4115" s="1" t="s">
        <v>8225</v>
      </c>
      <c r="E4115" s="1" t="str">
        <f ca="1">IFERROR(__xludf.DUMMYFUNCTION("GOOGLETRANSLATE(A914 , ""tr"" , ""en"")"),"@drfahrettinkoca I have not taken into account anything you are saying and everything is fine in my life ...")</f>
        <v>@drfahrettinkoca I have not taken into account anything you are saying and everything is fine in my life ...</v>
      </c>
    </row>
    <row r="4116" spans="1:5" ht="15" customHeight="1" x14ac:dyDescent="0.2">
      <c r="A4116" s="1" t="s">
        <v>8226</v>
      </c>
      <c r="B4116" s="1">
        <v>0</v>
      </c>
      <c r="C4116" s="3">
        <v>44542.737210648149</v>
      </c>
      <c r="D4116" s="1" t="s">
        <v>8227</v>
      </c>
      <c r="E4116" s="1" t="str">
        <f ca="1">IFERROR(__xludf.DUMMYFUNCTION("GOOGLETRANSLATE(A915 , ""tr"" , ""en"")"),"@drfahrettinkoca vv. Vv. Vvvvvvvvvvvv? Vv. Cvv vv. Vvvvvvvvvv. vvv cccccvv")</f>
        <v>@drfahrettinkoca vv. Vv. Vvvvvvvvvvvv? Vv. Cvv vv. Vvvvvvvvvv. vvv cccccvv</v>
      </c>
    </row>
    <row r="4117" spans="1:5" ht="15" customHeight="1" x14ac:dyDescent="0.2">
      <c r="A4117" s="1" t="s">
        <v>8228</v>
      </c>
      <c r="B4117" s="1">
        <v>8</v>
      </c>
      <c r="C4117" s="3">
        <v>44542.736724537041</v>
      </c>
      <c r="D4117" s="1" t="s">
        <v>8229</v>
      </c>
      <c r="E4117" s="1" t="str">
        <f ca="1">IFERROR(__xludf.DUMMYFUNCTION("GOOGLETRANSLATE(A916 , ""tr"" , ""en"")"),"@drfahrettinkoca If you are facing your job, you have to make the job without defective and lossless, the mistake of the health personnel ... https://t.co/uf9oy0wkzl")</f>
        <v>@drfahrettinkoca If you are facing your job, you have to make the job without defective and lossless, the mistake of the health personnel ... https://t.co/uf9oy0wkzl</v>
      </c>
    </row>
    <row r="4118" spans="1:5" ht="15" customHeight="1" x14ac:dyDescent="0.2">
      <c r="A4118" s="1" t="s">
        <v>8230</v>
      </c>
      <c r="B4118" s="1">
        <v>0</v>
      </c>
      <c r="C4118" s="3">
        <v>44542.736435185187</v>
      </c>
      <c r="D4118" s="1" t="s">
        <v>8231</v>
      </c>
      <c r="E4118" s="1" t="str">
        <f ca="1">IFERROR(__xludf.DUMMYFUNCTION("GOOGLETRANSLATE(A917 , ""tr"" , ""en"")"),"@drfahrettinkoca where is fair, large-scale purchase where or where you answer anymore @drfahrettinkoca @rterdogan")</f>
        <v>@drfahrettinkoca where is fair, large-scale purchase where or where you answer anymore @drfahrettinkoca @rterdogan</v>
      </c>
    </row>
    <row r="4119" spans="1:5" ht="15" customHeight="1" x14ac:dyDescent="0.2">
      <c r="A4119" s="1" t="s">
        <v>8232</v>
      </c>
      <c r="B4119" s="1">
        <v>0</v>
      </c>
      <c r="C4119" s="3">
        <v>44542.736192129632</v>
      </c>
      <c r="D4119" s="1" t="s">
        <v>8233</v>
      </c>
      <c r="E4119" s="1" t="str">
        <f ca="1">IFERROR(__xludf.DUMMYFUNCTION("GOOGLETRANSLATE(A918 , ""tr"" , ""en"")"),"@drfahrettinka you have to do something to be missing. You have never done anything that is missing.")</f>
        <v>@drfahrettinka you have to do something to be missing. You have never done anything that is missing.</v>
      </c>
    </row>
    <row r="4120" spans="1:5" ht="15" customHeight="1" x14ac:dyDescent="0.2">
      <c r="A4120" s="1" t="s">
        <v>8234</v>
      </c>
      <c r="B4120" s="1">
        <v>0</v>
      </c>
      <c r="C4120" s="3">
        <v>44542.735706018517</v>
      </c>
      <c r="D4120" s="1" t="s">
        <v>8235</v>
      </c>
      <c r="E4120" s="1" t="str">
        <f ca="1">IFERROR(__xludf.DUMMYFUNCTION("GOOGLETRANSLATE(A919 , ""tr"" , ""en"")"),"@drfahrettinkoca Our hopes that we destroyed us last night was one of the uncertainty lifts when we closed in ours ... https://t.co/ept7tzwpps")</f>
        <v>@drfahrettinkoca Our hopes that we destroyed us last night was one of the uncertainty lifts when we closed in ours ... https://t.co/ept7tzwpps</v>
      </c>
    </row>
    <row r="4121" spans="1:5" ht="15" customHeight="1" x14ac:dyDescent="0.2">
      <c r="A4121" s="1" t="s">
        <v>8236</v>
      </c>
      <c r="B4121" s="1">
        <v>0</v>
      </c>
      <c r="C4121" s="3">
        <v>44542.735578703701</v>
      </c>
      <c r="D4121" s="1" t="s">
        <v>8237</v>
      </c>
      <c r="E4121" s="1" t="str">
        <f ca="1">IFERROR(__xludf.DUMMYFUNCTION("GOOGLETRANSLATE(A920 , ""tr"" , ""en"")"),"@drfahrettinkoca you are kidding health careies or games are playing with our studies, with 90-above points ... https://t.co/5amldqba5e")</f>
        <v>@drfahrettinkoca you are kidding health careies or games are playing with our studies, with 90-above points ... https://t.co/5amldqba5e</v>
      </c>
    </row>
    <row r="4122" spans="1:5" ht="15" customHeight="1" x14ac:dyDescent="0.2">
      <c r="A4122" s="1" t="s">
        <v>8238</v>
      </c>
      <c r="B4122" s="1">
        <v>0</v>
      </c>
      <c r="C4122" s="3">
        <v>44542.735289351855</v>
      </c>
      <c r="D4122" s="1" t="s">
        <v>8239</v>
      </c>
      <c r="E4122" s="1" t="str">
        <f ca="1">IFERROR(__xludf.DUMMYFUNCTION("GOOGLETRANSLATE(A921 , ""tr"" , ""en"")"),"@drfahrettinka @saglikbakanligi Your mistakes accept your mistakes.")</f>
        <v>@drfahrettinka @saglikbakanligi Your mistakes accept your mistakes.</v>
      </c>
    </row>
    <row r="4123" spans="1:5" ht="15" customHeight="1" x14ac:dyDescent="0.2">
      <c r="A4123" s="1" t="s">
        <v>8240</v>
      </c>
      <c r="B4123" s="1">
        <v>0</v>
      </c>
      <c r="C4123" s="3">
        <v>44542.735243055555</v>
      </c>
      <c r="D4123" s="1" t="s">
        <v>8241</v>
      </c>
      <c r="E4123" s="1" t="str">
        <f ca="1">IFERROR(__xludf.DUMMYFUNCTION("GOOGLETRANSLATE(A922 , ""tr"" , ""en"")"),"@drfahrettinkoca Mr. Minister to Turcovak will be disconnected. What the waiting people are giving to speed up. Cook delay coook")</f>
        <v>@drfahrettinkoca Mr. Minister to Turcovak will be disconnected. What the waiting people are giving to speed up. Cook delay coook</v>
      </c>
    </row>
    <row r="4124" spans="1:5" ht="15" customHeight="1" x14ac:dyDescent="0.2">
      <c r="A4124" s="1" t="s">
        <v>8242</v>
      </c>
      <c r="B4124" s="1">
        <v>0</v>
      </c>
      <c r="C4124" s="3">
        <v>44542.73505787037</v>
      </c>
      <c r="D4124" s="1" t="s">
        <v>8243</v>
      </c>
      <c r="E4124" s="1" t="str">
        <f ca="1">IFERROR(__xludf.DUMMYFUNCTION("GOOGLETRANSLATE(A923 , ""tr"" , ""en"")"),"@drfahrettinkoca is facing your asset's misdemeanor. Leave the global focus too much of the global focus We will rejoice as well")</f>
        <v>@drfahrettinkoca is facing your asset's misdemeanor. Leave the global focus too much of the global focus We will rejoice as well</v>
      </c>
    </row>
    <row r="4125" spans="1:5" ht="15" customHeight="1" x14ac:dyDescent="0.2">
      <c r="A4125" s="1" t="s">
        <v>8244</v>
      </c>
      <c r="B4125" s="1">
        <v>2</v>
      </c>
      <c r="C4125" s="3">
        <v>44542.734525462962</v>
      </c>
      <c r="D4125" s="1" t="s">
        <v>8245</v>
      </c>
      <c r="E4125" s="1" t="str">
        <f ca="1">IFERROR(__xludf.DUMMYFUNCTION("GOOGLETRANSLATE(A924 , ""tr"" , ""en"")"),"@drfahrettinkoca Assignment If you were able to make a fleeting explanation every day of the awaiting health care people are even a fleeting explanation ... https://t.co/pfx4cr5otr")</f>
        <v>@drfahrettinkoca Assignment If you were able to make a fleeting explanation every day of the awaiting health care people are even a fleeting explanation ... https://t.co/pfx4cr5otr</v>
      </c>
    </row>
    <row r="4126" spans="1:5" ht="15" customHeight="1" x14ac:dyDescent="0.2">
      <c r="A4126" s="1" t="s">
        <v>8246</v>
      </c>
      <c r="B4126" s="1">
        <v>31</v>
      </c>
      <c r="C4126" s="3">
        <v>44542.7343287037</v>
      </c>
      <c r="D4126" s="1" t="s">
        <v>8247</v>
      </c>
      <c r="E4126" s="1" t="str">
        <f ca="1">IFERROR(__xludf.DUMMYFUNCTION("GOOGLETRANSLATE(A925 , ""tr"" , ""en"")"),"@drfahrettinkoca This is an interesting conversation resignation indicator If I don't understand my pandemi Yi finishing talk or building ... https://t.co/zrk06uggef")</f>
        <v>@drfahrettinkoca This is an interesting conversation resignation indicator If I don't understand my pandemi Yi finishing talk or building ... https://t.co/zrk06uggef</v>
      </c>
    </row>
    <row r="4127" spans="1:5" ht="15" customHeight="1" x14ac:dyDescent="0.2">
      <c r="A4127" s="1" t="s">
        <v>8248</v>
      </c>
      <c r="B4127" s="1">
        <v>4</v>
      </c>
      <c r="C4127" s="3">
        <v>44542.733993055554</v>
      </c>
      <c r="D4127" s="1" t="s">
        <v>8249</v>
      </c>
      <c r="E4127" s="1" t="str">
        <f ca="1">IFERROR(__xludf.DUMMYFUNCTION("GOOGLETRANSLATE(A926 , ""tr"" , ""en"")"),"@drfahrettinkoca farewa has been like talking")</f>
        <v>@drfahrettinkoca farewa has been like talking</v>
      </c>
    </row>
    <row r="4128" spans="1:5" ht="15" customHeight="1" x14ac:dyDescent="0.2">
      <c r="A4128" s="1" t="s">
        <v>8250</v>
      </c>
      <c r="B4128" s="1">
        <v>0</v>
      </c>
      <c r="C4128" s="3">
        <v>44542.733912037038</v>
      </c>
      <c r="D4128" s="1" t="s">
        <v>8251</v>
      </c>
      <c r="E4128" s="1" t="str">
        <f ca="1">IFERROR(__xludf.DUMMYFUNCTION("GOOGLETRANSLATE(A927 , ""tr"" , ""en"")"),"@drfahrettinkoca was more than 1 year I'm not examined in the patient. I went to a few times I went to love anymore my strength ... https://t.co/sdbezy61i")</f>
        <v>@drfahrettinkoca was more than 1 year I'm not examined in the patient. I went to a few times I went to love anymore my strength ... https://t.co/sdbezy61i</v>
      </c>
    </row>
    <row r="4129" spans="1:5" ht="15" customHeight="1" x14ac:dyDescent="0.2">
      <c r="A4129" s="1" t="s">
        <v>8252</v>
      </c>
      <c r="B4129" s="1">
        <v>12</v>
      </c>
      <c r="C4129" s="3">
        <v>44542.733912037038</v>
      </c>
      <c r="D4129" s="1" t="s">
        <v>8253</v>
      </c>
      <c r="E4129" s="1" t="str">
        <f ca="1">IFERROR(__xludf.DUMMYFUNCTION("GOOGLETRANSLATE(A928 , ""tr"" , ""en"")"),"@drfahrettinkoca did you say stop in the place without intentional? Give us the rank to us in the order ... https://t.co/b7acrqw8hl")</f>
        <v>@drfahrettinkoca did you say stop in the place without intentional? Give us the rank to us in the order ... https://t.co/b7acrqw8hl</v>
      </c>
    </row>
    <row r="4130" spans="1:5" ht="15" customHeight="1" x14ac:dyDescent="0.2">
      <c r="A4130" s="1" t="s">
        <v>8254</v>
      </c>
      <c r="B4130" s="1">
        <v>8</v>
      </c>
      <c r="C4130" s="3">
        <v>44542.733310185184</v>
      </c>
      <c r="D4130" s="1" t="s">
        <v>8255</v>
      </c>
      <c r="E4130" s="1" t="str">
        <f ca="1">IFERROR(__xludf.DUMMYFUNCTION("GOOGLETRANSLATE(A929 , ""tr"" , ""en"")"),"@drfahrettinkoca we know it is! We don't trust the ministry to Bill's board too! And we never have none of your")</f>
        <v>@drfahrettinkoca we know it is! We don't trust the ministry to Bill's board too! And we never have none of your</v>
      </c>
    </row>
    <row r="4131" spans="1:5" ht="15" customHeight="1" x14ac:dyDescent="0.2">
      <c r="A4131" s="1" t="s">
        <v>8256</v>
      </c>
      <c r="B4131" s="1">
        <v>3</v>
      </c>
      <c r="C4131" s="3">
        <v>44542.732199074075</v>
      </c>
      <c r="D4131" s="1" t="s">
        <v>8257</v>
      </c>
      <c r="E4131" s="1" t="str">
        <f ca="1">IFERROR(__xludf.DUMMYFUNCTION("GOOGLETRANSLATE(A930 , ""tr"" , ""en"")"),"@drfahrettinkoca So when there are thousands of graduating Audiologists when there is no visionary vision to make them create an area of ​​employment ... https://t.co/dh5zz3dmct")</f>
        <v>@drfahrettinkoca So when there are thousands of graduating Audiologists when there is no visionary vision to make them create an area of ​​employment ... https://t.co/dh5zz3dmct</v>
      </c>
    </row>
    <row r="4132" spans="1:5" ht="15" customHeight="1" x14ac:dyDescent="0.2">
      <c r="A4132" s="1" t="s">
        <v>8258</v>
      </c>
      <c r="B4132" s="1">
        <v>48</v>
      </c>
      <c r="C4132" s="3">
        <v>44542.731979166667</v>
      </c>
      <c r="D4132" s="1" t="s">
        <v>8259</v>
      </c>
      <c r="E4132" s="1" t="str">
        <f ca="1">IFERROR(__xludf.DUMMYFUNCTION("GOOGLETRANSLATE(A931 , ""tr"" , ""en"")"),"@drfahrettinkoca No deliberate your every movement. Your fogging now appeared. did not believe in believing.")</f>
        <v>@drfahrettinkoca No deliberate your every movement. Your fogging now appeared. did not believe in believing.</v>
      </c>
    </row>
    <row r="4133" spans="1:5" ht="15" customHeight="1" x14ac:dyDescent="0.2">
      <c r="A4133" s="1" t="s">
        <v>8260</v>
      </c>
      <c r="B4133" s="1">
        <v>3</v>
      </c>
      <c r="C4133" s="3">
        <v>44542.731909722221</v>
      </c>
      <c r="D4133" s="1" t="s">
        <v>8261</v>
      </c>
      <c r="E4133" s="1" t="str">
        <f ca="1">IFERROR(__xludf.DUMMYFUNCTION("GOOGLETRANSLATE(A932 , ""tr"" , ""en"")"),"@drfahrettinkoca yeah my minister has not been kept given the number was given 40k 40k was 30 k 30k was also 20k to 3 pieces ... https://t.co/o2nggtveea")</f>
        <v>@drfahrettinkoca yeah my minister has not been kept given the number was given 40k 40k was 30 k 30k was also 20k to 3 pieces ... https://t.co/o2nggtveea</v>
      </c>
    </row>
    <row r="4134" spans="1:5" ht="15" customHeight="1" x14ac:dyDescent="0.2">
      <c r="A4134" s="1" t="s">
        <v>8262</v>
      </c>
      <c r="B4134" s="1">
        <v>0</v>
      </c>
      <c r="C4134" s="3">
        <v>44542.730925925927</v>
      </c>
      <c r="D4134" s="1" t="s">
        <v>8263</v>
      </c>
      <c r="E4134" s="1" t="str">
        <f ca="1">IFERROR(__xludf.DUMMYFUNCTION("GOOGLETRANSLATE(A933 , ""tr"" , ""en"")"),"@drfahrettinkoca Lan Fahrictin I'm Human to be Human I'm a Lie Dolan Don't work with Caharkar fucker")</f>
        <v>@drfahrettinkoca Lan Fahrictin I'm Human to be Human I'm a Lie Dolan Don't work with Caharkar fucker</v>
      </c>
    </row>
    <row r="4135" spans="1:5" ht="15" customHeight="1" x14ac:dyDescent="0.2">
      <c r="A4135" s="1" t="s">
        <v>8264</v>
      </c>
      <c r="B4135" s="1">
        <v>39</v>
      </c>
      <c r="C4135" s="3">
        <v>44542.730381944442</v>
      </c>
      <c r="D4135" s="1" t="s">
        <v>8265</v>
      </c>
      <c r="E4135" s="1" t="str">
        <f ca="1">IFERROR(__xludf.DUMMYFUNCTION("GOOGLETRANSLATE(A934 , ""tr"" , ""en"")"),"@drfahrettinkoca Why are you publishing such short videos? Asking the screen in front of the screen and asked the press members ... https://t.co/chb1bqofbt")</f>
        <v>@drfahrettinkoca Why are you publishing such short videos? Asking the screen in front of the screen and asked the press members ... https://t.co/chb1bqofbt</v>
      </c>
    </row>
    <row r="4136" spans="1:5" ht="15" customHeight="1" x14ac:dyDescent="0.2">
      <c r="A4136" s="1" t="s">
        <v>8266</v>
      </c>
      <c r="B4136" s="1">
        <v>0</v>
      </c>
      <c r="C4136" s="3">
        <v>44542.730358796296</v>
      </c>
      <c r="D4136" s="1" t="s">
        <v>8267</v>
      </c>
      <c r="E4136" s="1" t="str">
        <f ca="1">IFERROR(__xludf.DUMMYFUNCTION("GOOGLETRANSLATE(A935 , ""tr"" , ""en"")"),"@drfahrettinkoca @saglikbakanligi Must doubt the needles that the enemies of the Turkish and Muslim enemies, me, me ... https://t.co/nrziy0l5ei")</f>
        <v>@drfahrettinkoca @saglikbakanligi Must doubt the needles that the enemies of the Turkish and Muslim enemies, me, me ... https://t.co/nrziy0l5ei</v>
      </c>
    </row>
    <row r="4137" spans="1:5" ht="15" customHeight="1" x14ac:dyDescent="0.2">
      <c r="A4137" s="1" t="s">
        <v>8268</v>
      </c>
      <c r="B4137" s="1">
        <v>0</v>
      </c>
      <c r="C4137" s="3">
        <v>44542.730312500003</v>
      </c>
      <c r="D4137" s="1" t="s">
        <v>8269</v>
      </c>
      <c r="E4137" s="1" t="str">
        <f ca="1">IFERROR(__xludf.DUMMYFUNCTION("GOOGLETRANSLATE(A936 , ""tr"" , ""en"")"),"@drfahrettinkoca Social assistance My applications are financially very difficult because it is constantly declined. A + Ka ... https://t.co/dq3hf5duln")</f>
        <v>@drfahrettinkoca Social assistance My applications are financially very difficult because it is constantly declined. A + Ka ... https://t.co/dq3hf5duln</v>
      </c>
    </row>
    <row r="4138" spans="1:5" ht="15" customHeight="1" x14ac:dyDescent="0.2">
      <c r="A4138" s="1" t="s">
        <v>8270</v>
      </c>
      <c r="B4138" s="1">
        <v>5</v>
      </c>
      <c r="C4138" s="3">
        <v>44542.730150462965</v>
      </c>
      <c r="D4138" s="1" t="s">
        <v>8271</v>
      </c>
      <c r="E4138" s="1" t="str">
        <f ca="1">IFERROR(__xludf.DUMMYFUNCTION("GOOGLETRANSLATE(A937 , ""tr"" , ""en"")"),"@drfahrettinkoca is a qualifying healthy person as an appointed healthy gram is not gram halal. Both in this world in both the other world ZA ... https://t.co/qlludfo7cc")</f>
        <v>@drfahrettinkoca is a qualifying healthy person as an appointed healthy gram is not gram halal. Both in this world in both the other world ZA ... https://t.co/qlludfo7cc</v>
      </c>
    </row>
    <row r="4139" spans="1:5" ht="15" customHeight="1" x14ac:dyDescent="0.2">
      <c r="A4139" s="1" t="s">
        <v>8272</v>
      </c>
      <c r="B4139" s="1">
        <v>71</v>
      </c>
      <c r="C4139" s="3">
        <v>44542.729722222219</v>
      </c>
      <c r="D4139" s="1" t="s">
        <v>8273</v>
      </c>
      <c r="E4139" s="1" t="str">
        <f ca="1">IFERROR(__xludf.DUMMYFUNCTION("GOOGLETRANSLATE(A938 , ""tr"" , ""en"")"),"Concept Personnel who worked with a tender of @drfahrettinkoca #hbys has not been excluded 4d continuous worker not deemed.khkya İŞKK ... HTTPS://T.CO/W52OAMI6NQ")</f>
        <v>Concept Personnel who worked with a tender of @drfahrettinkoca #hbys has not been excluded 4d continuous worker not deemed.khkya İŞKK ... HTTPS://T.CO/W52OAMI6NQ</v>
      </c>
    </row>
    <row r="4140" spans="1:5" ht="15" customHeight="1" x14ac:dyDescent="0.2">
      <c r="A4140" s="1" t="s">
        <v>8274</v>
      </c>
      <c r="B4140" s="1">
        <v>14</v>
      </c>
      <c r="C4140" s="3">
        <v>44542.728680555556</v>
      </c>
      <c r="D4140" s="1" t="s">
        <v>8275</v>
      </c>
      <c r="E4140" s="1" t="str">
        <f ca="1">IFERROR(__xludf.DUMMYFUNCTION("GOOGLETRANSLATE(A939 , ""tr"" , ""en"")"),"@drfahrettinkoca Currently you can't still make mistakes. If you were able to lesson at least, schools in schools ... https://t.co/ccju8ldtqe")</f>
        <v>@drfahrettinkoca Currently you can't still make mistakes. If you were able to lesson at least, schools in schools ... https://t.co/ccju8ldtqe</v>
      </c>
    </row>
    <row r="4141" spans="1:5" ht="15" customHeight="1" x14ac:dyDescent="0.2">
      <c r="A4141" s="1" t="s">
        <v>8276</v>
      </c>
      <c r="B4141" s="1">
        <v>0</v>
      </c>
      <c r="C4141" s="3">
        <v>44542.728530092594</v>
      </c>
      <c r="D4141" s="1" t="s">
        <v>8277</v>
      </c>
      <c r="E4141" s="1" t="str">
        <f ca="1">IFERROR(__xludf.DUMMYFUNCTION("GOOGLETRANSLATE(A940 , ""tr"" , ""en"")"),"@drfahrettinka https://t.co/mjvfxb7xn8")</f>
        <v>@drfahrettinka https://t.co/mjvfxb7xn8</v>
      </c>
    </row>
    <row r="4142" spans="1:5" ht="15" customHeight="1" x14ac:dyDescent="0.2">
      <c r="A4142" s="1" t="s">
        <v>8278</v>
      </c>
      <c r="B4142" s="1">
        <v>2</v>
      </c>
      <c r="C4142" s="3">
        <v>44542.728148148148</v>
      </c>
      <c r="D4142" s="1" t="s">
        <v>8279</v>
      </c>
      <c r="E4142" s="1" t="str">
        <f ca="1">IFERROR(__xludf.DUMMYFUNCTION("GOOGLETRANSLATE(A941 , ""tr"" , ""en"")"),"@drfahrettinkoca The only error you have made is the Ministry of Ministry, you ignore the additional hikes of Covid heroes.")</f>
        <v>@drfahrettinkoca The only error you have made is the Ministry of Ministry, you ignore the additional hikes of Covid heroes.</v>
      </c>
    </row>
    <row r="4143" spans="1:5" ht="15" customHeight="1" x14ac:dyDescent="0.2">
      <c r="A4143" s="1" t="s">
        <v>8280</v>
      </c>
      <c r="B4143" s="1">
        <v>0</v>
      </c>
      <c r="C4143" s="3">
        <v>44542.728009259263</v>
      </c>
      <c r="D4143" s="1" t="s">
        <v>8281</v>
      </c>
      <c r="E4143" s="1" t="str">
        <f ca="1">IFERROR(__xludf.DUMMYFUNCTION("GOOGLETRANSLATE(A942 , ""tr"" , ""en"")"),"@drfahrettinkoca mehmetak7773 https://t.co/qjpdu1tjcz")</f>
        <v>@drfahrettinkoca mehmetak7773 https://t.co/qjpdu1tjcz</v>
      </c>
    </row>
    <row r="4144" spans="1:5" ht="15" customHeight="1" x14ac:dyDescent="0.2">
      <c r="A4144" s="1" t="s">
        <v>8282</v>
      </c>
      <c r="B4144" s="1">
        <v>4</v>
      </c>
      <c r="C4144" s="3">
        <v>44542.727685185186</v>
      </c>
      <c r="D4144" s="1" t="s">
        <v>8283</v>
      </c>
      <c r="E4144" s="1" t="str">
        <f ca="1">IFERROR(__xludf.DUMMYFUNCTION("GOOGLETRANSLATE(A943 , ""tr"" , ""en"")"),"@drfahrettinkoca caste or 200 people die every day why do you not take measures #mahmutoezerocullaronline")</f>
        <v>@drfahrettinkoca caste or 200 people die every day why do you not take measures #mahmutoezerocullaronline</v>
      </c>
    </row>
    <row r="4145" spans="1:5" ht="15" customHeight="1" x14ac:dyDescent="0.2">
      <c r="A4145" s="1" t="s">
        <v>8284</v>
      </c>
      <c r="B4145" s="1">
        <v>30</v>
      </c>
      <c r="C4145" s="3">
        <v>44542.726701388892</v>
      </c>
      <c r="D4145" s="1" t="s">
        <v>8285</v>
      </c>
      <c r="E4145" s="1" t="str">
        <f ca="1">IFERROR(__xludf.DUMMYFUNCTION("GOOGLETRANSLATE(A944 , ""tr"" , ""en"")"),"@drfahrettinkoca yes you have done so much missing schools according to pre-epidemics triggered the spread of the virus ... https://t.co/n3x9yx8dlq")</f>
        <v>@drfahrettinkoca yes you have done so much missing schools according to pre-epidemics triggered the spread of the virus ... https://t.co/n3x9yx8dlq</v>
      </c>
    </row>
    <row r="4146" spans="1:5" ht="15" customHeight="1" x14ac:dyDescent="0.2">
      <c r="A4146" s="1" t="s">
        <v>8286</v>
      </c>
      <c r="B4146" s="1">
        <v>7</v>
      </c>
      <c r="C4146" s="3">
        <v>44542.726527777777</v>
      </c>
      <c r="D4146" s="1" t="s">
        <v>8287</v>
      </c>
      <c r="E4146" s="1" t="str">
        <f ca="1">IFERROR(__xludf.DUMMYFUNCTION("GOOGLETRANSLATE(A945 , ""tr"" , ""en"")"),"@drfahrettinkoca Come to those who do not have any restrictions, apply criminal sanction to those who do not wear a mask so we will appreciate you")</f>
        <v>@drfahrettinkoca Come to those who do not have any restrictions, apply criminal sanction to those who do not wear a mask so we will appreciate you</v>
      </c>
    </row>
    <row r="4147" spans="1:5" ht="15" customHeight="1" x14ac:dyDescent="0.2">
      <c r="A4147" s="1" t="s">
        <v>8288</v>
      </c>
      <c r="B4147" s="1">
        <v>0</v>
      </c>
      <c r="C4147" s="3">
        <v>44542.726215277777</v>
      </c>
      <c r="D4147" s="1" t="s">
        <v>8289</v>
      </c>
      <c r="E4147" s="1" t="str">
        <f ca="1">IFERROR(__xludf.DUMMYFUNCTION("GOOGLETRANSLATE(A946 , ""tr"" , ""en"")"),"@drfahrettinkoca i think you didn't manage well would you go to this process defolge")</f>
        <v>@drfahrettinkoca i think you didn't manage well would you go to this process defolge</v>
      </c>
    </row>
    <row r="4148" spans="1:5" ht="15" customHeight="1" x14ac:dyDescent="0.2">
      <c r="A4148" s="1" t="s">
        <v>8290</v>
      </c>
      <c r="B4148" s="1">
        <v>12</v>
      </c>
      <c r="C4148" s="3">
        <v>44542.726180555554</v>
      </c>
      <c r="D4148" s="1" t="s">
        <v>8291</v>
      </c>
      <c r="E4148" s="1" t="str">
        <f ca="1">IFERROR(__xludf.DUMMYFUNCTION("GOOGLETRANSLATE(A947 , ""tr"" , ""en"")"),"@drfahrettinkoca wrongs are more than a roll than the roll and the citizen is a intention in the business in the case of the citizen ... https://t.co/ejiaszkcx8")</f>
        <v>@drfahrettinkoca wrongs are more than a roll than the roll and the citizen is a intention in the business in the case of the citizen ... https://t.co/ejiaszkcx8</v>
      </c>
    </row>
    <row r="4149" spans="1:5" ht="15" customHeight="1" x14ac:dyDescent="0.2">
      <c r="A4149" s="1" t="s">
        <v>8292</v>
      </c>
      <c r="B4149" s="1">
        <v>2</v>
      </c>
      <c r="C4149" s="3">
        <v>44542.726111111115</v>
      </c>
      <c r="D4149" s="1" t="s">
        <v>8293</v>
      </c>
      <c r="E4149" s="1" t="str">
        <f ca="1">IFERROR(__xludf.DUMMYFUNCTION("GOOGLETRANSLATE(A948 , ""tr"" , ""en"")"),"@drfahrettinkoca has no such thing as a bloom")</f>
        <v>@drfahrettinkoca has no such thing as a bloom</v>
      </c>
    </row>
    <row r="4150" spans="1:5" ht="15" customHeight="1" x14ac:dyDescent="0.2">
      <c r="A4150" s="1" t="s">
        <v>8294</v>
      </c>
      <c r="B4150" s="1">
        <v>22</v>
      </c>
      <c r="C4150" s="3">
        <v>44542.725648148145</v>
      </c>
      <c r="D4150" s="1" t="s">
        <v>8295</v>
      </c>
      <c r="E4150" s="1" t="str">
        <f ca="1">IFERROR(__xludf.DUMMYFUNCTION("GOOGLETRANSLATE(A949 , ""tr"" , ""en"")"),"@drfahrettinkoca but there is no fault with the kids. We are writing hergony on school. Today is in the meeting ... https://t.co/0tumamte7r")</f>
        <v>@drfahrettinkoca but there is no fault with the kids. We are writing hergony on school. Today is in the meeting ... https://t.co/0tumamte7r</v>
      </c>
    </row>
    <row r="4151" spans="1:5" ht="15" customHeight="1" x14ac:dyDescent="0.2">
      <c r="A4151" s="1" t="s">
        <v>8296</v>
      </c>
      <c r="B4151" s="1">
        <v>2</v>
      </c>
      <c r="C4151" s="3">
        <v>44542.725474537037</v>
      </c>
      <c r="D4151" s="1" t="s">
        <v>8297</v>
      </c>
      <c r="E4151" s="1" t="str">
        <f ca="1">IFERROR(__xludf.DUMMYFUNCTION("GOOGLETRANSLATE(A950 , ""tr"" , ""en"")"),"@drfahrettinkoca ✨Falan Filan ✨")</f>
        <v>@drfahrettinkoca ✨Falan Filan ✨</v>
      </c>
    </row>
    <row r="4152" spans="1:5" ht="15" customHeight="1" x14ac:dyDescent="0.2">
      <c r="A4152" s="1" t="s">
        <v>8298</v>
      </c>
      <c r="B4152" s="1">
        <v>3</v>
      </c>
      <c r="C4152" s="3">
        <v>44542.725289351853</v>
      </c>
      <c r="D4152" s="1" t="s">
        <v>8299</v>
      </c>
      <c r="E4152" s="1" t="str">
        <f ca="1">IFERROR(__xludf.DUMMYFUNCTION("GOOGLETRANSLATE(A951 , ""tr"" , ""en"")"),"@drfahrettinkoca is the first mistake to the wrong mistake, the fault of the latter, if the third is called the third Mr. Minister. You were a lot of the third ...")</f>
        <v>@drfahrettinkoca is the first mistake to the wrong mistake, the fault of the latter, if the third is called the third Mr. Minister. You were a lot of the third ...</v>
      </c>
    </row>
    <row r="4153" spans="1:5" ht="15" customHeight="1" x14ac:dyDescent="0.2">
      <c r="A4153" s="1" t="s">
        <v>8300</v>
      </c>
      <c r="B4153" s="1">
        <v>37</v>
      </c>
      <c r="C4153" s="3">
        <v>44542.724849537037</v>
      </c>
      <c r="D4153" s="1" t="s">
        <v>8301</v>
      </c>
      <c r="E4153" s="1" t="str">
        <f ca="1">IFERROR(__xludf.DUMMYFUNCTION("GOOGLETRANSLATE(A952 , ""tr"" , ""en"")"),"@drfahrettinkoca No dear Estagfurullah. The prescription of the WHO was applied close to perfection. We were subject to CAD closure, ... https://t.co/rz1lr7h1x1")</f>
        <v>@drfahrettinkoca No dear Estagfurullah. The prescription of the WHO was applied close to perfection. We were subject to CAD closure, ... https://t.co/rz1lr7h1x1</v>
      </c>
    </row>
    <row r="4154" spans="1:5" ht="15" customHeight="1" x14ac:dyDescent="0.2">
      <c r="A4154" s="1" t="s">
        <v>8302</v>
      </c>
      <c r="B4154" s="1">
        <v>0</v>
      </c>
      <c r="C4154" s="3">
        <v>44542.724166666667</v>
      </c>
      <c r="D4154" s="1" t="s">
        <v>8303</v>
      </c>
      <c r="E4154" s="1" t="str">
        <f ca="1">IFERROR(__xludf.DUMMYFUNCTION("GOOGLETRANSLATE(A953 , ""tr"" , ""en"")"),"@drfahrettinkoca he was that time")</f>
        <v>@drfahrettinkoca he was that time</v>
      </c>
    </row>
    <row r="4155" spans="1:5" ht="15" customHeight="1" x14ac:dyDescent="0.2">
      <c r="A4155" s="1" t="s">
        <v>8304</v>
      </c>
      <c r="B4155" s="1">
        <v>20</v>
      </c>
      <c r="C4155" s="3">
        <v>44542.723680555559</v>
      </c>
      <c r="D4155" s="1" t="s">
        <v>8305</v>
      </c>
      <c r="E4155" s="1" t="str">
        <f ca="1">IFERROR(__xludf.DUMMYFUNCTION("GOOGLETRANSLATE(A954 , ""tr"" , ""en"")"),"@drfahrettinkoca The best measure homes said, they sent students to schools. Waste Haram said, in the palaces ... https://t.co/rgtg8rfi5l")</f>
        <v>@drfahrettinkoca The best measure homes said, they sent students to schools. Waste Haram said, in the palaces ... https://t.co/rgtg8rfi5l</v>
      </c>
    </row>
    <row r="4156" spans="1:5" ht="15" customHeight="1" x14ac:dyDescent="0.2">
      <c r="A4156" s="1" t="s">
        <v>8306</v>
      </c>
      <c r="B4156" s="1">
        <v>0</v>
      </c>
      <c r="C4156" s="3">
        <v>44542.72315972222</v>
      </c>
      <c r="D4156" s="1" t="s">
        <v>8307</v>
      </c>
      <c r="E4156" s="1" t="str">
        <f ca="1">IFERROR(__xludf.DUMMYFUNCTION("GOOGLETRANSLATE(A955 , ""tr"" , ""en"")"),"@drfahrettinkoca you do everything is intentional if your globalists are the castle of your castle")</f>
        <v>@drfahrettinkoca you do everything is intentional if your globalists are the castle of your castle</v>
      </c>
    </row>
    <row r="4157" spans="1:5" ht="15" customHeight="1" x14ac:dyDescent="0.2">
      <c r="A4157" s="1" t="s">
        <v>8308</v>
      </c>
      <c r="B4157" s="1">
        <v>0</v>
      </c>
      <c r="C4157" s="3">
        <v>44542.722974537035</v>
      </c>
      <c r="D4157" s="1" t="s">
        <v>8309</v>
      </c>
      <c r="E4157" s="1" t="str">
        <f ca="1">IFERROR(__xludf.DUMMYFUNCTION("GOOGLETRANSLATE(A956 , ""tr"" , ""en"")"),"@drfahrettinkoca @saglikbakanligi Ended the end of the event that we apologize to the end of the job they are stripped of the work.?!.?!")</f>
        <v>@drfahrettinkoca @saglikbakanligi Ended the end of the event that we apologize to the end of the job they are stripped of the work.?!.?!</v>
      </c>
    </row>
    <row r="4158" spans="1:5" ht="15" customHeight="1" x14ac:dyDescent="0.2">
      <c r="A4158" s="1" t="s">
        <v>8310</v>
      </c>
      <c r="B4158" s="1">
        <v>0</v>
      </c>
      <c r="C4158" s="3">
        <v>44542.72284722222</v>
      </c>
      <c r="D4158" s="1" t="s">
        <v>8311</v>
      </c>
      <c r="E4158" s="1" t="str">
        <f ca="1">IFERROR(__xludf.DUMMYFUNCTION("GOOGLETRANSLATE(A957 , ""tr"" , ""en"")"),"@drfahrettinkoca Daily 16 pills were not intentional? Wasn't it to change the DNA of God? Speak homeland! ... https://t.co/fzqa0aoicv")</f>
        <v>@drfahrettinkoca Daily 16 pills were not intentional? Wasn't it to change the DNA of God? Speak homeland! ... https://t.co/fzqa0aoicv</v>
      </c>
    </row>
    <row r="4159" spans="1:5" ht="15" customHeight="1" x14ac:dyDescent="0.2">
      <c r="A4159" s="1" t="s">
        <v>8312</v>
      </c>
      <c r="B4159" s="1">
        <v>0</v>
      </c>
      <c r="C4159" s="3">
        <v>44542.722407407404</v>
      </c>
      <c r="D4159" s="1" t="s">
        <v>8313</v>
      </c>
      <c r="E4159" s="1" t="str">
        <f ca="1">IFERROR(__xludf.DUMMYFUNCTION("GOOGLETRANSLATE(A958 , ""tr"" , ""en"")"),"@drfahrettinkoca but you are deliberate is the problem there. You've never strived in something, you don't have your labor ... https://t.co/vnfckq1mx6")</f>
        <v>@drfahrettinkoca but you are deliberate is the problem there. You've never strived in something, you don't have your labor ... https://t.co/vnfckq1mx6</v>
      </c>
    </row>
    <row r="4160" spans="1:5" ht="15" customHeight="1" x14ac:dyDescent="0.2">
      <c r="A4160" s="1" t="s">
        <v>8314</v>
      </c>
      <c r="B4160" s="1">
        <v>0</v>
      </c>
      <c r="C4160" s="3">
        <v>44542.722233796296</v>
      </c>
      <c r="D4160" s="1" t="s">
        <v>8315</v>
      </c>
      <c r="E4160" s="1" t="str">
        <f ca="1">IFERROR(__xludf.DUMMYFUNCTION("GOOGLETRANSLATE(A959 , ""tr"" , ""en"")"),"@drfahrettinkoca we want online education :) https://t.co/h9bmfzjtdw")</f>
        <v>@drfahrettinkoca we want online education :) https://t.co/h9bmfzjtdw</v>
      </c>
    </row>
    <row r="4161" spans="1:5" ht="15" customHeight="1" x14ac:dyDescent="0.2">
      <c r="A4161" s="1" t="s">
        <v>8316</v>
      </c>
      <c r="B4161" s="1">
        <v>0</v>
      </c>
      <c r="C4161" s="3">
        <v>44542.721979166665</v>
      </c>
      <c r="D4161" s="1" t="s">
        <v>8317</v>
      </c>
      <c r="E4161" s="1" t="str">
        <f ca="1">IFERROR(__xludf.DUMMYFUNCTION("GOOGLETRANSLATE(A960 , ""tr"" , ""en"")"),"@drfahrettinka https://t.co/vgxh5cumaw")</f>
        <v>@drfahrettinka https://t.co/vgxh5cumaw</v>
      </c>
    </row>
    <row r="4162" spans="1:5" ht="15" customHeight="1" x14ac:dyDescent="0.2">
      <c r="A4162" s="1" t="s">
        <v>8318</v>
      </c>
      <c r="B4162" s="1">
        <v>0</v>
      </c>
      <c r="C4162" s="3">
        <v>44542.721747685187</v>
      </c>
      <c r="D4162" s="1" t="s">
        <v>8319</v>
      </c>
      <c r="E4162" s="1" t="str">
        <f ca="1">IFERROR(__xludf.DUMMYFUNCTION("GOOGLETRANSLATE(A961 , ""tr"" , ""en"")"),"@drfahrettinkoca bring online! https://t.co/e1v4eokmua")</f>
        <v>@drfahrettinkoca bring online! https://t.co/e1v4eokmua</v>
      </c>
    </row>
    <row r="4163" spans="1:5" ht="15" customHeight="1" x14ac:dyDescent="0.2">
      <c r="A4163" s="1" t="s">
        <v>8320</v>
      </c>
      <c r="B4163" s="1">
        <v>6</v>
      </c>
      <c r="C4163" s="3">
        <v>44542.72111111111</v>
      </c>
      <c r="D4163" s="1" t="s">
        <v>8321</v>
      </c>
      <c r="E4163" s="1" t="str">
        <f ca="1">IFERROR(__xludf.DUMMYFUNCTION("GOOGLETRANSLATE(A962 , ""tr"" , ""en"")"),"Listen to @drfahrettinkoca teens then bringing distance education")</f>
        <v>Listen to @drfahrettinkoca teens then bringing distance education</v>
      </c>
    </row>
    <row r="4164" spans="1:5" ht="15" customHeight="1" x14ac:dyDescent="0.2">
      <c r="A4164" s="1" t="s">
        <v>8322</v>
      </c>
      <c r="B4164" s="1">
        <v>4</v>
      </c>
      <c r="C4164" s="3">
        <v>44542.721041666664</v>
      </c>
      <c r="D4164" s="1" t="s">
        <v>8323</v>
      </c>
      <c r="E4164" s="1" t="str">
        <f ca="1">IFERROR(__xludf.DUMMYFUNCTION("GOOGLETRANSLATE(A963 , ""tr"" , ""en"")"),"@drfahrettinkoca re-closing decision, if you are taking precautions, or this is not to leave illness anyone else ... https://t.co/tsu8ocpmud")</f>
        <v>@drfahrettinkoca re-closing decision, if you are taking precautions, or this is not to leave illness anyone else ... https://t.co/tsu8ocpmud</v>
      </c>
    </row>
    <row r="4165" spans="1:5" ht="15" customHeight="1" x14ac:dyDescent="0.2">
      <c r="A4165" s="1" t="s">
        <v>8324</v>
      </c>
      <c r="B4165" s="1">
        <v>0</v>
      </c>
      <c r="C4165" s="3">
        <v>44542.720601851855</v>
      </c>
      <c r="D4165" s="1" t="s">
        <v>8325</v>
      </c>
      <c r="E4165" s="1" t="str">
        <f ca="1">IFERROR(__xludf.DUMMYFUNCTION("GOOGLETRANSLATE(A964 , ""tr"" , ""en"")"),"@drfahrettinkoca Teacher 😂")</f>
        <v>@drfahrettinkoca Teacher 😂</v>
      </c>
    </row>
    <row r="4166" spans="1:5" ht="15" customHeight="1" x14ac:dyDescent="0.2">
      <c r="A4166" s="1" t="s">
        <v>8326</v>
      </c>
      <c r="B4166" s="1">
        <v>1</v>
      </c>
      <c r="C4166" s="3">
        <v>44542.720092592594</v>
      </c>
      <c r="D4166" s="1" t="s">
        <v>8327</v>
      </c>
      <c r="E4166" s="1" t="str">
        <f ca="1">IFERROR(__xludf.DUMMYFUNCTION("GOOGLETRANSLATE(A965 , ""tr"" , ""en"")"),"@drfahrettinkoca you've never done anything nor right what you did.")</f>
        <v>@drfahrettinkoca you've never done anything nor right what you did.</v>
      </c>
    </row>
    <row r="4167" spans="1:5" ht="15" customHeight="1" x14ac:dyDescent="0.2">
      <c r="A4167" s="1" t="s">
        <v>8328</v>
      </c>
      <c r="B4167" s="1">
        <v>61</v>
      </c>
      <c r="C4167" s="3">
        <v>44542.719687500001</v>
      </c>
      <c r="D4167" s="1" t="s">
        <v>8329</v>
      </c>
      <c r="E4167" s="1" t="str">
        <f ca="1">IFERROR(__xludf.DUMMYFUNCTION("GOOGLETRANSLATE(A966 , ""tr"" , ""en"")"),"@drfahrettinkoca Look again, it's raining again, we're raining in school, 40-50 people at school are at risk of 40-50 people ... https://t.co/rkigk6ov7p")</f>
        <v>@drfahrettinkoca Look again, it's raining again, we're raining in school, 40-50 people at school are at risk of 40-50 people ... https://t.co/rkigk6ov7p</v>
      </c>
    </row>
    <row r="4168" spans="1:5" ht="15" customHeight="1" x14ac:dyDescent="0.2">
      <c r="A4168" s="1" t="s">
        <v>8330</v>
      </c>
      <c r="B4168" s="1">
        <v>0</v>
      </c>
      <c r="C4168" s="3">
        <v>44542.719444444447</v>
      </c>
      <c r="D4168" s="1" t="s">
        <v>8331</v>
      </c>
      <c r="E4168" s="1" t="str">
        <f ca="1">IFERROR(__xludf.DUMMYFUNCTION("GOOGLETRANSLATE(A967 , ""tr"" , ""en"")"),"@drfahrettinkoca quit bi no longer")</f>
        <v>@drfahrettinkoca quit bi no longer</v>
      </c>
    </row>
    <row r="4169" spans="1:5" ht="15" customHeight="1" x14ac:dyDescent="0.2">
      <c r="A4169" s="1" t="s">
        <v>8332</v>
      </c>
      <c r="B4169" s="1">
        <v>0</v>
      </c>
      <c r="C4169" s="3">
        <v>44542.719212962962</v>
      </c>
      <c r="D4169" s="1" t="s">
        <v>8333</v>
      </c>
      <c r="E4169" s="1" t="str">
        <f ca="1">IFERROR(__xludf.DUMMYFUNCTION("GOOGLETRANSLATE(A968 , ""tr"" , ""en"")"),"@drfahrettinkoca intention is whatever happens what happens in the middle")</f>
        <v>@drfahrettinkoca intention is whatever happens what happens in the middle</v>
      </c>
    </row>
    <row r="4170" spans="1:5" ht="15" customHeight="1" x14ac:dyDescent="0.2">
      <c r="A4170" s="1" t="s">
        <v>8334</v>
      </c>
      <c r="B4170" s="1">
        <v>9</v>
      </c>
      <c r="C4170" s="3">
        <v>44542.719201388885</v>
      </c>
      <c r="D4170" s="1" t="s">
        <v>8335</v>
      </c>
      <c r="E4170" s="1" t="str">
        <f ca="1">IFERROR(__xludf.DUMMYFUNCTION("GOOGLETRANSLATE(A969 , ""tr"" , ""en"")"),"@drfahrettinkoca We say this Mr. Fahrettin Bey Means of months While the road is close to you more children Gen ... https://t.co/rqcoan2xIf")</f>
        <v>@drfahrettinkoca We say this Mr. Fahrettin Bey Means of months While the road is close to you more children Gen ... https://t.co/rqcoan2xIf</v>
      </c>
    </row>
    <row r="4171" spans="1:5" ht="15" customHeight="1" x14ac:dyDescent="0.2">
      <c r="A4171" s="1" t="s">
        <v>8336</v>
      </c>
      <c r="B4171" s="1">
        <v>0</v>
      </c>
      <c r="C4171" s="3">
        <v>44542.718923611108</v>
      </c>
      <c r="D4171" s="1" t="s">
        <v>8337</v>
      </c>
      <c r="E4171" s="1" t="str">
        <f ca="1">IFERROR(__xludf.DUMMYFUNCTION("GOOGLETRANSLATE(A970 , ""tr"" , ""en"")"),"@drfahrettinkoca my right is haram! Do you stay in your eye index good? 666 Damn you! https://t.co/mjm4bg33gs")</f>
        <v>@drfahrettinkoca my right is haram! Do you stay in your eye index good? 666 Damn you! https://t.co/mjm4bg33gs</v>
      </c>
    </row>
    <row r="4172" spans="1:5" ht="15" customHeight="1" x14ac:dyDescent="0.2">
      <c r="A4172" s="1" t="s">
        <v>8338</v>
      </c>
      <c r="B4172" s="1">
        <v>4</v>
      </c>
      <c r="C4172" s="3">
        <v>44542.718819444446</v>
      </c>
      <c r="D4172" s="1" t="s">
        <v>8339</v>
      </c>
      <c r="E4172" s="1" t="str">
        <f ca="1">IFERROR(__xludf.DUMMYFUNCTION("GOOGLETRANSLATE(A971 , ""tr"" , ""en"")"),"@drfahrettinkoca # remote")</f>
        <v>@drfahrettinkoca # remote</v>
      </c>
    </row>
    <row r="4173" spans="1:5" ht="15" customHeight="1" x14ac:dyDescent="0.2">
      <c r="A4173" s="1" t="s">
        <v>8340</v>
      </c>
      <c r="B4173" s="1">
        <v>69</v>
      </c>
      <c r="C4173" s="3">
        <v>44542.7184375</v>
      </c>
      <c r="D4173" s="1" t="s">
        <v>8341</v>
      </c>
      <c r="E4173" s="1" t="str">
        <f ca="1">IFERROR(__xludf.DUMMYFUNCTION("GOOGLETRANSLATE(A972 , ""tr"" , ""en"")"),"@drfahrettinkoca minitive deficiency you can complete the online decision for schools # Mahmutörünocullaronline")</f>
        <v>@drfahrettinkoca minitive deficiency you can complete the online decision for schools # Mahmutörünocullaronline</v>
      </c>
    </row>
    <row r="4174" spans="1:5" ht="15" customHeight="1" x14ac:dyDescent="0.2">
      <c r="A4174" s="1" t="s">
        <v>8342</v>
      </c>
      <c r="B4174" s="1">
        <v>2</v>
      </c>
      <c r="C4174" s="3">
        <v>44542.71837962963</v>
      </c>
      <c r="D4174" s="1" t="s">
        <v>8343</v>
      </c>
      <c r="E4174" s="1" t="str">
        <f ca="1">IFERROR(__xludf.DUMMYFUNCTION("GOOGLETRANSLATE(A973 , ""tr"" , ""en"")"),"@drfahrettinkoca ooo started thine-on-line work")</f>
        <v>@drfahrettinkoca ooo started thine-on-line work</v>
      </c>
    </row>
    <row r="4175" spans="1:5" ht="15" customHeight="1" x14ac:dyDescent="0.2">
      <c r="A4175" s="1" t="s">
        <v>8344</v>
      </c>
      <c r="B4175" s="1">
        <v>1</v>
      </c>
      <c r="C4175" s="3">
        <v>44542.718194444446</v>
      </c>
      <c r="D4175" s="1" t="s">
        <v>8345</v>
      </c>
      <c r="E4175" s="1" t="str">
        <f ca="1">IFERROR(__xludf.DUMMYFUNCTION("GOOGLETRANSLATE(A974 , ""tr"" , ""en"")"),"@drfahrettinkoca If the Cute Payz has liked the problem, there is no importance of millions that vote. Sharan Kökbakar's problem. ... https://t.co/srmunv1xzj")</f>
        <v>@drfahrettinkoca If the Cute Payz has liked the problem, there is no importance of millions that vote. Sharan Kökbakar's problem. ... https://t.co/srmunv1xzj</v>
      </c>
    </row>
    <row r="4176" spans="1:5" ht="15" customHeight="1" x14ac:dyDescent="0.2">
      <c r="A4176" s="1" t="s">
        <v>8346</v>
      </c>
      <c r="B4176" s="1">
        <v>1</v>
      </c>
      <c r="C4176" s="3">
        <v>44542.717858796299</v>
      </c>
      <c r="D4176" s="1" t="s">
        <v>8347</v>
      </c>
      <c r="E4176" s="1" t="str">
        <f ca="1">IFERROR(__xludf.DUMMYFUNCTION("GOOGLETRANSLATE(A975 , ""tr"" , ""en"")"),"@drfahrettinka https://t.co/j4vmtfmnzz")</f>
        <v>@drfahrettinka https://t.co/j4vmtfmnzz</v>
      </c>
    </row>
    <row r="4177" spans="1:5" ht="15" customHeight="1" x14ac:dyDescent="0.2">
      <c r="A4177" s="1" t="s">
        <v>8348</v>
      </c>
      <c r="B4177" s="1">
        <v>0</v>
      </c>
      <c r="C4177" s="3">
        <v>44542.717511574076</v>
      </c>
      <c r="D4177" s="1" t="s">
        <v>8349</v>
      </c>
      <c r="E4177" s="1" t="str">
        <f ca="1">IFERROR(__xludf.DUMMYFUNCTION("GOOGLETRANSLATE(A976 , ""tr"" , ""en"")"),"Whether @drfahrettinkoca Halal, I wish you're saying are others too. Example of country managers who do not see the eye from the arrogance.")</f>
        <v>Whether @drfahrettinkoca Halal, I wish you're saying are others too. Example of country managers who do not see the eye from the arrogance.</v>
      </c>
    </row>
    <row r="4178" spans="1:5" ht="15" customHeight="1" x14ac:dyDescent="0.2">
      <c r="A4178" s="1" t="s">
        <v>8350</v>
      </c>
      <c r="B4178" s="1">
        <v>0</v>
      </c>
      <c r="C4178" s="3">
        <v>44543.900960648149</v>
      </c>
      <c r="D4178" s="1" t="s">
        <v>8351</v>
      </c>
      <c r="E4178" s="1" t="str">
        <f ca="1">IFERROR(__xludf.DUMMYFUNCTION("GOOGLETRANSLATE(A977 , ""tr"" , ""en"")"),"@drfahrettinkoca is the odd course of the odd course.")</f>
        <v>@drfahrettinkoca is the odd course of the odd course.</v>
      </c>
    </row>
    <row r="4179" spans="1:5" ht="15" customHeight="1" x14ac:dyDescent="0.2">
      <c r="A4179" s="1" t="s">
        <v>8352</v>
      </c>
      <c r="B4179" s="1">
        <v>0</v>
      </c>
      <c r="C4179" s="3">
        <v>44543.879895833335</v>
      </c>
      <c r="D4179" s="1" t="s">
        <v>8353</v>
      </c>
      <c r="E4179" s="1" t="str">
        <f ca="1">IFERROR(__xludf.DUMMYFUNCTION("GOOGLETRANSLATE(A978 , ""tr"" , ""en"")"),"@drfahrettinka https://t.co/kuibljiaxm")</f>
        <v>@drfahrettinka https://t.co/kuibljiaxm</v>
      </c>
    </row>
    <row r="4180" spans="1:5" ht="15" customHeight="1" x14ac:dyDescent="0.2">
      <c r="A4180" s="1" t="s">
        <v>8354</v>
      </c>
      <c r="B4180" s="1">
        <v>2</v>
      </c>
      <c r="C4180" s="3">
        <v>44543.879282407404</v>
      </c>
      <c r="D4180" s="1" t="s">
        <v>8355</v>
      </c>
      <c r="E4180" s="1" t="str">
        <f ca="1">IFERROR(__xludf.DUMMYFUNCTION("GOOGLETRANSLATE(A979 , ""tr"" , ""en"")"),"@drfahrettinka https://t.co/onzvqaq9pn")</f>
        <v>@drfahrettinka https://t.co/onzvqaq9pn</v>
      </c>
    </row>
    <row r="4181" spans="1:5" ht="15" customHeight="1" x14ac:dyDescent="0.2">
      <c r="A4181" s="1" t="s">
        <v>8356</v>
      </c>
      <c r="B4181" s="1">
        <v>0</v>
      </c>
      <c r="C4181" s="3">
        <v>44543.877604166664</v>
      </c>
      <c r="D4181" s="1" t="s">
        <v>8357</v>
      </c>
      <c r="E4181" s="1" t="str">
        <f ca="1">IFERROR(__xludf.DUMMYFUNCTION("GOOGLETRANSLATE(A980 , ""tr"" , ""en"")"),"@drfahrettinka we know what you are on the heck. https://t.co/hIz9qsjfon")</f>
        <v>@drfahrettinka we know what you are on the heck. https://t.co/hIz9qsjfon</v>
      </c>
    </row>
    <row r="4182" spans="1:5" ht="15" customHeight="1" x14ac:dyDescent="0.2">
      <c r="A4182" s="1" t="s">
        <v>8358</v>
      </c>
      <c r="B4182" s="1">
        <v>1</v>
      </c>
      <c r="C4182" s="3">
        <v>44543.876909722225</v>
      </c>
      <c r="D4182" s="1" t="s">
        <v>8359</v>
      </c>
      <c r="E4182" s="1" t="str">
        <f ca="1">IFERROR(__xludf.DUMMYFUNCTION("GOOGLETRANSLATE(A981 , ""tr"" , ""en"")"),"@drfahrettinka https://t.co/qcbu5omz8d")</f>
        <v>@drfahrettinka https://t.co/qcbu5omz8d</v>
      </c>
    </row>
    <row r="4183" spans="1:5" ht="15" customHeight="1" x14ac:dyDescent="0.2">
      <c r="A4183" s="1" t="s">
        <v>8360</v>
      </c>
      <c r="B4183" s="1">
        <v>0</v>
      </c>
      <c r="C4183" s="3">
        <v>44543.872604166667</v>
      </c>
      <c r="D4183" s="1" t="s">
        <v>8361</v>
      </c>
      <c r="E4183" s="1" t="str">
        <f ca="1">IFERROR(__xludf.DUMMYFUNCTION("GOOGLETRANSLATE(A982 , ""tr"" , ""en"")"),"@drfahrettinka will you remove bans with eee african countries? Why don't you apply forbidden. ... https://t.co/nocx3f5efu")</f>
        <v>@drfahrettinka will you remove bans with eee african countries? Why don't you apply forbidden. ... https://t.co/nocx3f5efu</v>
      </c>
    </row>
    <row r="4184" spans="1:5" ht="15" customHeight="1" x14ac:dyDescent="0.2">
      <c r="A4184" s="1" t="s">
        <v>8362</v>
      </c>
      <c r="B4184" s="1">
        <v>0</v>
      </c>
      <c r="C4184" s="3">
        <v>44543.812002314815</v>
      </c>
      <c r="D4184" s="1" t="s">
        <v>8363</v>
      </c>
      <c r="E4184" s="1" t="str">
        <f ca="1">IFERROR(__xludf.DUMMYFUNCTION("GOOGLETRANSLATE(A983 , ""tr"" , ""en"")"),"@drfahrettinkoca measures? In which country do you have no measures in Turkey.")</f>
        <v>@drfahrettinkoca measures? In which country do you have no measures in Turkey.</v>
      </c>
    </row>
    <row r="4185" spans="1:5" ht="15" customHeight="1" x14ac:dyDescent="0.2">
      <c r="A4185" s="1" t="s">
        <v>8364</v>
      </c>
      <c r="B4185" s="1">
        <v>0</v>
      </c>
      <c r="C4185" s="3">
        <v>44543.801412037035</v>
      </c>
      <c r="D4185" s="1" t="s">
        <v>8365</v>
      </c>
      <c r="E4185" s="1" t="str">
        <f ca="1">IFERROR(__xludf.DUMMYFUNCTION("GOOGLETRANSLATE(A984 , ""tr"" , ""en"")"),"@drfahrettinkoca where you understand the men is omicron. I have test kit in your hand Gene. Leave these lies Haydeee")</f>
        <v>@drfahrettinkoca where you understand the men is omicron. I have test kit in your hand Gene. Leave these lies Haydeee</v>
      </c>
    </row>
    <row r="4186" spans="1:5" ht="15" customHeight="1" x14ac:dyDescent="0.2">
      <c r="A4186" s="1" t="s">
        <v>8366</v>
      </c>
      <c r="B4186" s="1">
        <v>0</v>
      </c>
      <c r="C4186" s="3">
        <v>44542.993379629632</v>
      </c>
      <c r="D4186" s="1" t="s">
        <v>8367</v>
      </c>
      <c r="E4186" s="1" t="str">
        <f ca="1">IFERROR(__xludf.DUMMYFUNCTION("GOOGLETRANSLATE(A985 , ""tr"" , ""en"")"),"@drfahrettinkoca is 3 dose of overdose for slightly jumped illness")</f>
        <v>@drfahrettinkoca is 3 dose of overdose for slightly jumped illness</v>
      </c>
    </row>
    <row r="4187" spans="1:5" ht="15" customHeight="1" x14ac:dyDescent="0.2">
      <c r="A4187" s="1" t="s">
        <v>8368</v>
      </c>
      <c r="B4187" s="1">
        <v>3</v>
      </c>
      <c r="C4187" s="3">
        <v>44542.980671296296</v>
      </c>
      <c r="D4187" s="1" t="s">
        <v>8369</v>
      </c>
      <c r="E4187" s="1" t="str">
        <f ca="1">IFERROR(__xludf.DUMMYFUNCTION("GOOGLETRANSLATE(A986 , ""tr"" , ""en"")"),"@drfahrettinkoca I'll throw it all over this! Who can see AA can be a favors that even begins to question ... https://t.co/ppnwfe6whl")</f>
        <v>@drfahrettinkoca I'll throw it all over this! Who can see AA can be a favors that even begins to question ... https://t.co/ppnwfe6whl</v>
      </c>
    </row>
    <row r="4188" spans="1:5" ht="15" customHeight="1" x14ac:dyDescent="0.2">
      <c r="A4188" s="1" t="s">
        <v>8370</v>
      </c>
      <c r="B4188" s="1">
        <v>2</v>
      </c>
      <c r="C4188" s="3">
        <v>44542.973483796297</v>
      </c>
      <c r="D4188" s="1" t="s">
        <v>8371</v>
      </c>
      <c r="E4188" s="1" t="str">
        <f ca="1">IFERROR(__xludf.DUMMYFUNCTION("GOOGLETRANSLATE(A987 , ""tr"" , ""en"")"),"@drfahrettinkoca This variant is a scientific explanation of the country to the country.PCR test is negative to say ...")</f>
        <v>@drfahrettinkoca This variant is a scientific explanation of the country to the country.PCR test is negative to say ...</v>
      </c>
    </row>
    <row r="4189" spans="1:5" ht="15" customHeight="1" x14ac:dyDescent="0.2">
      <c r="A4189" s="1" t="s">
        <v>8372</v>
      </c>
      <c r="B4189" s="1">
        <v>0</v>
      </c>
      <c r="C4189" s="3">
        <v>44542.965601851851</v>
      </c>
      <c r="D4189" s="1" t="s">
        <v>8373</v>
      </c>
      <c r="E4189" s="1" t="str">
        <f ca="1">IFERROR(__xludf.DUMMYFUNCTION("GOOGLETRANSLATE(A988 , ""tr"" , ""en"")"),"@drfahrettinkoca Doctor What is this? https://t.co/qtlw5fskqw")</f>
        <v>@drfahrettinkoca Doctor What is this? https://t.co/qtlw5fskqw</v>
      </c>
    </row>
    <row r="4190" spans="1:5" ht="15" customHeight="1" x14ac:dyDescent="0.2">
      <c r="A4190" s="1" t="s">
        <v>8374</v>
      </c>
      <c r="B4190" s="1">
        <v>0</v>
      </c>
      <c r="C4190" s="3">
        <v>44542.964756944442</v>
      </c>
      <c r="D4190" s="1" t="s">
        <v>8375</v>
      </c>
      <c r="E4190" s="1" t="str">
        <f ca="1">IFERROR(__xludf.DUMMYFUNCTION("GOOGLETRANSLATE(A989 , ""tr"" , ""en"")"),"@drfahrettinkoca Expected Gospel came from the expected person. !! 😂😂")</f>
        <v>@drfahrettinkoca Expected Gospel came from the expected person. !! 😂😂</v>
      </c>
    </row>
    <row r="4191" spans="1:5" ht="15" customHeight="1" x14ac:dyDescent="0.2">
      <c r="A4191" s="1" t="s">
        <v>8376</v>
      </c>
      <c r="B4191" s="1">
        <v>0</v>
      </c>
      <c r="C4191" s="3">
        <v>44542.964386574073</v>
      </c>
      <c r="D4191" s="1" t="s">
        <v>8377</v>
      </c>
      <c r="E4191" s="1" t="str">
        <f ca="1">IFERROR(__xludf.DUMMYFUNCTION("GOOGLETRANSLATE(A990 , ""tr"" , ""en"")"),"@drfahrettinkoca all of these vaccinated numbers from the minister ... Visha Vizir https://t.co/jyr4rereue What GUZEL ASA ... https://t.co/s5373okumk")</f>
        <v>@drfahrettinkoca all of these vaccinated numbers from the minister ... Visha Vizir https://t.co/jyr4rereue What GUZEL ASA ... https://t.co/s5373okumk</v>
      </c>
    </row>
    <row r="4192" spans="1:5" ht="15" customHeight="1" x14ac:dyDescent="0.2">
      <c r="A4192" s="1" t="s">
        <v>8378</v>
      </c>
      <c r="B4192" s="1">
        <v>0</v>
      </c>
      <c r="C4192" s="3">
        <v>44542.95957175926</v>
      </c>
      <c r="D4192" s="1" t="s">
        <v>8379</v>
      </c>
      <c r="E4192" s="1" t="str">
        <f ca="1">IFERROR(__xludf.DUMMYFUNCTION("GOOGLETRANSLATE(A991 , ""tr"" , ""en"")"),"@drfahrettinkoca Minister, you sink in every sharing. I think the twitter account is turned off here. HER HA ... https://t.co/Ii7swJ1HHI")</f>
        <v>@drfahrettinkoca Minister, you sink in every sharing. I think the twitter account is turned off here. HER HA ... https://t.co/Ii7swJ1HHI</v>
      </c>
    </row>
    <row r="4193" spans="1:5" ht="15" customHeight="1" x14ac:dyDescent="0.2">
      <c r="A4193" s="1" t="s">
        <v>8380</v>
      </c>
      <c r="B4193" s="1">
        <v>0</v>
      </c>
      <c r="C4193" s="3">
        <v>44542.958310185182</v>
      </c>
      <c r="D4193" s="1" t="s">
        <v>8381</v>
      </c>
      <c r="E4193" s="1" t="str">
        <f ca="1">IFERROR(__xludf.DUMMYFUNCTION("GOOGLETRANSLATE(A992 , ""tr"" , ""en"")"),"@drfahrettinka is no such thing as missing vaccines. If you did the vaccine like the guy, you would be done 1 times You would end the event .. HTTPS://t.co/a65wzrslun")</f>
        <v>@drfahrettinka is no such thing as missing vaccines. If you did the vaccine like the guy, you would be done 1 times You would end the event .. HTTPS://t.co/a65wzrslun</v>
      </c>
    </row>
    <row r="4194" spans="1:5" ht="15" customHeight="1" x14ac:dyDescent="0.2">
      <c r="A4194" s="1" t="s">
        <v>8382</v>
      </c>
      <c r="B4194" s="1">
        <v>0</v>
      </c>
      <c r="C4194" s="3">
        <v>44542.956319444442</v>
      </c>
      <c r="D4194" s="1" t="s">
        <v>8383</v>
      </c>
      <c r="E4194" s="1" t="str">
        <f ca="1">IFERROR(__xludf.DUMMYFUNCTION("GOOGLETRANSLATE(A993 , ""tr"" , ""en"")"),"@drfahrettinkoca We aren't worried already .. Why do you have made anxiety 😏")</f>
        <v>@drfahrettinkoca We aren't worried already .. Why do you have made anxiety 😏</v>
      </c>
    </row>
    <row r="4195" spans="1:5" ht="15" customHeight="1" x14ac:dyDescent="0.2">
      <c r="A4195" s="1" t="s">
        <v>8384</v>
      </c>
      <c r="B4195" s="1">
        <v>0</v>
      </c>
      <c r="C4195" s="3">
        <v>44542.955590277779</v>
      </c>
      <c r="D4195" s="1" t="s">
        <v>8385</v>
      </c>
      <c r="E4195" s="1" t="str">
        <f ca="1">IFERROR(__xludf.DUMMYFUNCTION("GOOGLETRANSLATE(A994 , ""tr"" , ""en"")"),"@drfahrettinkoca if you answer a single question for Allah's sake What happens to the Minister? Did inventies are poured? Vaccines if you are poured upset")</f>
        <v>@drfahrettinkoca if you answer a single question for Allah's sake What happens to the Minister? Did inventies are poured? Vaccines if you are poured upset</v>
      </c>
    </row>
    <row r="4196" spans="1:5" ht="15" customHeight="1" x14ac:dyDescent="0.2">
      <c r="A4196" s="1" t="s">
        <v>8386</v>
      </c>
      <c r="B4196" s="1">
        <v>1</v>
      </c>
      <c r="C4196" s="3">
        <v>44542.938680555555</v>
      </c>
      <c r="D4196" s="1" t="s">
        <v>8387</v>
      </c>
      <c r="E4196" s="1" t="str">
        <f ca="1">IFERROR(__xludf.DUMMYFUNCTION("GOOGLETRANSLATE(A995 , ""tr"" , ""en"")"),"@drfahrettinkoca 😄😄😄😄😄 find the omichonon when there is no test. The Valla has made a laugh Mr. Minister. You are in Varya Sennn ❗❗❗👏👏👏 Right at ... https://t.co/oqpqphdebx")</f>
        <v>@drfahrettinkoca 😄😄😄😄😄 find the omichonon when there is no test. The Valla has made a laugh Mr. Minister. You are in Varya Sennn ❗❗❗👏👏👏 Right at ... https://t.co/oqpqphdebx</v>
      </c>
    </row>
    <row r="4197" spans="1:5" ht="15" customHeight="1" x14ac:dyDescent="0.2">
      <c r="A4197" s="1" t="s">
        <v>8388</v>
      </c>
      <c r="B4197" s="1">
        <v>0</v>
      </c>
      <c r="C4197" s="3">
        <v>44542.938645833332</v>
      </c>
      <c r="D4197" s="1" t="s">
        <v>8389</v>
      </c>
      <c r="E4197" s="1" t="str">
        <f ca="1">IFERROR(__xludf.DUMMYFUNCTION("GOOGLETRANSLATE(A996 , ""tr"" , ""en"")"),"would @drfahrettinkoca happen? Sir I'm saying something without you allows")</f>
        <v>would @drfahrettinkoca happen? Sir I'm saying something without you allows</v>
      </c>
    </row>
    <row r="4198" spans="1:5" ht="15" customHeight="1" x14ac:dyDescent="0.2">
      <c r="A4198" s="1" t="s">
        <v>8390</v>
      </c>
      <c r="B4198" s="1">
        <v>0</v>
      </c>
      <c r="C4198" s="3">
        <v>44542.928252314814</v>
      </c>
      <c r="D4198" s="1" t="s">
        <v>8391</v>
      </c>
      <c r="E4198" s="1" t="str">
        <f ca="1">IFERROR(__xludf.DUMMYFUNCTION("GOOGLETRANSLATE(A997 , ""tr"" , ""en"")"),"@drfahrettinka Dear Minister Covid Symptoms are not testing the quarantine. Don't take medication from pharmacies ... https://t.co/fhrjpdc9lu")</f>
        <v>@drfahrettinka Dear Minister Covid Symptoms are not testing the quarantine. Don't take medication from pharmacies ... https://t.co/fhrjpdc9lu</v>
      </c>
    </row>
    <row r="4199" spans="1:5" ht="15" customHeight="1" x14ac:dyDescent="0.2">
      <c r="A4199" s="1" t="s">
        <v>8392</v>
      </c>
      <c r="B4199" s="1">
        <v>1</v>
      </c>
      <c r="C4199" s="3">
        <v>44542.92696759259</v>
      </c>
      <c r="D4199" s="1" t="s">
        <v>8393</v>
      </c>
      <c r="E4199" s="1" t="str">
        <f ca="1">IFERROR(__xludf.DUMMYFUNCTION("GOOGLETRANSLATE(A998 , ""tr"" , ""en"")"),"@drfahrettinkoca If I were you in place I would quit the Cünki 80% of the country is grafted and no decrease in the case, you will come to the end of your lies")</f>
        <v>@drfahrettinkoca If I were you in place I would quit the Cünki 80% of the country is grafted and no decrease in the case, you will come to the end of your lies</v>
      </c>
    </row>
    <row r="4200" spans="1:5" ht="15" customHeight="1" x14ac:dyDescent="0.2">
      <c r="A4200" s="1" t="s">
        <v>8394</v>
      </c>
      <c r="B4200" s="1">
        <v>0</v>
      </c>
      <c r="C4200" s="3">
        <v>44542.926087962966</v>
      </c>
      <c r="D4200" s="1" t="s">
        <v>8395</v>
      </c>
      <c r="E4200" s="1" t="str">
        <f ca="1">IFERROR(__xludf.DUMMYFUNCTION("GOOGLETRANSLATE(A999 , ""tr"" , ""en"")"),"@drfahrettinkoca Turkey has a single variant in a variant of the room.")</f>
        <v>@drfahrettinkoca Turkey has a single variant in a variant of the room.</v>
      </c>
    </row>
    <row r="4201" spans="1:5" ht="15" customHeight="1" x14ac:dyDescent="0.2">
      <c r="A4201" s="1" t="s">
        <v>8396</v>
      </c>
      <c r="B4201" s="1">
        <v>1</v>
      </c>
      <c r="C4201" s="3">
        <v>44542.918263888889</v>
      </c>
      <c r="D4201" s="1" t="s">
        <v>8397</v>
      </c>
      <c r="E4201" s="1" t="str">
        <f ca="1">IFERROR(__xludf.DUMMYFUNCTION("GOOGLETRANSLATE(A1000 , ""tr"" , ""en"")"),"@drfahrettinkoca When do you think to get schools online? Their teenagers are a jeopardized ... https://t.co/c27lyII5n2")</f>
        <v>@drfahrettinkoca When do you think to get schools online? Their teenagers are a jeopardized ... https://t.co/c27lyII5n2</v>
      </c>
    </row>
    <row r="4202" spans="1:5" ht="15" customHeight="1" x14ac:dyDescent="0.2">
      <c r="A4202" s="1" t="s">
        <v>8398</v>
      </c>
      <c r="B4202" s="1">
        <v>1</v>
      </c>
      <c r="C4202" s="3">
        <v>44542.917407407411</v>
      </c>
      <c r="D4202" s="1" t="s">
        <v>8399</v>
      </c>
      <c r="E4202" s="1" t="str">
        <f ca="1">IFERROR(__xludf.DUMMYFUNCTION("GOOGLETRANSLATE(A1001 , ""tr"" , ""en"")"),"@drfahrettinkoca Let's obey the measures, let us wear our mask ... https://t.co/rggcsausmm")</f>
        <v>@drfahrettinkoca Let's obey the measures, let us wear our mask ... https://t.co/rggcsausmm</v>
      </c>
    </row>
    <row r="4203" spans="1:5" ht="15" customHeight="1" x14ac:dyDescent="0.2">
      <c r="A4203" s="1" t="s">
        <v>8400</v>
      </c>
      <c r="B4203" s="1">
        <v>15</v>
      </c>
      <c r="C4203" s="3">
        <v>44542.913275462961</v>
      </c>
      <c r="D4203" s="1" t="s">
        <v>8401</v>
      </c>
      <c r="E4203" s="1" t="str">
        <f ca="1">IFERROR(__xludf.DUMMYFUNCTION("GOOGLETRANSLATE(A1002 , ""tr"" , ""en"")"),"@drfahrettinkoca We are very curious What is your method of detecting Delta vs variants with Omicron Variant? ... https://t.co/73omnoedzb")</f>
        <v>@drfahrettinkoca We are very curious What is your method of detecting Delta vs variants with Omicron Variant? ... https://t.co/73omnoedzb</v>
      </c>
    </row>
    <row r="4204" spans="1:5" ht="15" customHeight="1" x14ac:dyDescent="0.2">
      <c r="A4204" s="1" t="s">
        <v>8402</v>
      </c>
      <c r="B4204" s="1">
        <v>0</v>
      </c>
      <c r="C4204" s="3">
        <v>44542.912407407406</v>
      </c>
      <c r="D4204" s="1" t="s">
        <v>8403</v>
      </c>
      <c r="E4204" s="1" t="str">
        <f ca="1">IFERROR(__xludf.DUMMYFUNCTION("GOOGLETRANSLATE(A1003 , ""tr"" , ""en"")"),"@drfahrettinkoca omicron virus is more contemptible if the delta virus is infected with the Delta virus, more contagious becomes stronger and human beings ... https://t.co/ılcjsksd7o")</f>
        <v>@drfahrettinkoca omicron virus is more contemptible if the delta virus is infected with the Delta virus, more contagious becomes stronger and human beings ... https://t.co/ılcjsksd7o</v>
      </c>
    </row>
    <row r="4205" spans="1:5" ht="15" customHeight="1" x14ac:dyDescent="0.2">
      <c r="A4205" s="1" t="s">
        <v>8404</v>
      </c>
      <c r="B4205" s="1">
        <v>0</v>
      </c>
      <c r="C4205" s="3">
        <v>44542.909942129627</v>
      </c>
      <c r="D4205" s="1" t="s">
        <v>8405</v>
      </c>
      <c r="E4205" s="1" t="str">
        <f ca="1">IFERROR(__xludf.DUMMYFUNCTION("GOOGLETRANSLATE(A1004 , ""tr"" , ""en"")"),"@drfahrettinkoca system collapsed by eheyy you are not aware of death is no significance up to the zerre etc.")</f>
        <v>@drfahrettinkoca system collapsed by eheyy you are not aware of death is no significance up to the zerre etc.</v>
      </c>
    </row>
    <row r="4206" spans="1:5" ht="15" customHeight="1" x14ac:dyDescent="0.2">
      <c r="A4206" s="1" t="s">
        <v>8406</v>
      </c>
      <c r="B4206" s="1">
        <v>0</v>
      </c>
      <c r="C4206" s="3">
        <v>44542.909375000003</v>
      </c>
      <c r="D4206" s="1" t="s">
        <v>8407</v>
      </c>
      <c r="E4206" s="1" t="str">
        <f ca="1">IFERROR(__xludf.DUMMYFUNCTION("GOOGLETRANSLATE(A1005 , ""tr"" , ""en"")"),"@drfahrettinkoca This variant you are very curious about what symptoms you have identified with what symptoms you are explicit")</f>
        <v>@drfahrettinkoca This variant you are very curious about what symptoms you have identified with what symptoms you are explicit</v>
      </c>
    </row>
    <row r="4207" spans="1:5" ht="15" customHeight="1" x14ac:dyDescent="0.2">
      <c r="A4207" s="1" t="s">
        <v>8408</v>
      </c>
      <c r="B4207" s="1">
        <v>0</v>
      </c>
      <c r="C4207" s="3">
        <v>44542.908333333333</v>
      </c>
      <c r="D4207" s="1" t="s">
        <v>8409</v>
      </c>
      <c r="E4207" s="1" t="str">
        <f ca="1">IFERROR(__xludf.DUMMYFUNCTION("GOOGLETRANSLATE(A1006 , ""tr"" , ""en"")"),"@drfahrettinkoca is a health pocket that serves courelyers.")</f>
        <v>@drfahrettinkoca is a health pocket that serves courelyers.</v>
      </c>
    </row>
    <row r="4208" spans="1:5" ht="15" customHeight="1" x14ac:dyDescent="0.2">
      <c r="A4208" s="1" t="s">
        <v>8410</v>
      </c>
      <c r="B4208" s="1">
        <v>0</v>
      </c>
      <c r="C4208" s="3">
        <v>44542.906423611108</v>
      </c>
      <c r="D4208" s="1" t="s">
        <v>8411</v>
      </c>
      <c r="E4208" s="1" t="str">
        <f ca="1">IFERROR(__xludf.DUMMYFUNCTION("GOOGLETRANSLATE(A1007 , ""tr"" , ""en"")"),"@drfahrettinkoca TURKEY has 6 Omicron cases seen ... What do you understand with the thermometer? Om above the virus ... https://t.co/0m9xfsncof")</f>
        <v>@drfahrettinkoca TURKEY has 6 Omicron cases seen ... What do you understand with the thermometer? Om above the virus ... https://t.co/0m9xfsncof</v>
      </c>
    </row>
    <row r="4209" spans="1:5" ht="15" customHeight="1" x14ac:dyDescent="0.2">
      <c r="A4209" s="1" t="s">
        <v>8412</v>
      </c>
      <c r="B4209" s="1">
        <v>0</v>
      </c>
      <c r="C4209" s="3">
        <v>44542.906157407408</v>
      </c>
      <c r="D4209" s="1" t="s">
        <v>8413</v>
      </c>
      <c r="E4209" s="1" t="str">
        <f ca="1">IFERROR(__xludf.DUMMYFUNCTION("GOOGLETRANSLATE(A1008 , ""tr"" , ""en"")"),"@drfahrettinka https://t.co/uhaeo9vwfx https://t.co/qvapywfvdc")</f>
        <v>@drfahrettinka https://t.co/uhaeo9vwfx https://t.co/qvapywfvdc</v>
      </c>
    </row>
    <row r="4210" spans="1:5" ht="15" customHeight="1" x14ac:dyDescent="0.2">
      <c r="A4210" s="1" t="s">
        <v>8414</v>
      </c>
      <c r="B4210" s="1">
        <v>5</v>
      </c>
      <c r="C4210" s="3">
        <v>44542.904907407406</v>
      </c>
      <c r="D4210" s="1" t="s">
        <v>8415</v>
      </c>
      <c r="E4210" s="1" t="str">
        <f ca="1">IFERROR(__xludf.DUMMYFUNCTION("GOOGLETRANSLATE(A1009 , ""tr"" , ""en"")"),"@drfahrettinkoca Don't be worried your vaccine ..! Cause there is no vaccination?")</f>
        <v>@drfahrettinkoca Don't be worried your vaccine ..! Cause there is no vaccination?</v>
      </c>
    </row>
    <row r="4211" spans="1:5" ht="15" customHeight="1" x14ac:dyDescent="0.2">
      <c r="A4211" s="1" t="s">
        <v>8416</v>
      </c>
      <c r="B4211" s="1">
        <v>1</v>
      </c>
      <c r="C4211" s="3">
        <v>44542.902881944443</v>
      </c>
      <c r="D4211" s="1" t="s">
        <v>8417</v>
      </c>
      <c r="E4211" s="1" t="str">
        <f ca="1">IFERROR(__xludf.DUMMYFUNCTION("GOOGLETRANSLATE(A1010 , ""tr"" , ""en"")"),"@drfahrettinkoca Varyanta I trust and skipped the bus right away")</f>
        <v>@drfahrettinkoca Varyanta I trust and skipped the bus right away</v>
      </c>
    </row>
    <row r="4212" spans="1:5" ht="15" customHeight="1" x14ac:dyDescent="0.2">
      <c r="A4212" s="1" t="s">
        <v>8418</v>
      </c>
      <c r="B4212" s="1">
        <v>0</v>
      </c>
      <c r="C4212" s="3">
        <v>44542.90116898148</v>
      </c>
      <c r="D4212" s="1" t="s">
        <v>8419</v>
      </c>
      <c r="E4212" s="1" t="str">
        <f ca="1">IFERROR(__xludf.DUMMYFUNCTION("GOOGLETRANSLATE(A1011 , ""tr"" , ""en"")"),"@drfahrettinka you are great doctors Vesselam. How have you identified. The figures you will add to the back of the number of 6 are curiously waiting for the nation.")</f>
        <v>@drfahrettinka you are great doctors Vesselam. How have you identified. The figures you will add to the back of the number of 6 are curiously waiting for the nation.</v>
      </c>
    </row>
    <row r="4213" spans="1:5" ht="15" customHeight="1" x14ac:dyDescent="0.2">
      <c r="A4213" s="1" t="s">
        <v>8420</v>
      </c>
      <c r="B4213" s="1">
        <v>0</v>
      </c>
      <c r="C4213" s="3">
        <v>44542.901006944441</v>
      </c>
      <c r="D4213" s="1" t="s">
        <v>8421</v>
      </c>
      <c r="E4213" s="1" t="str">
        <f ca="1">IFERROR(__xludf.DUMMYFUNCTION("GOOGLETRANSLATE(A1012 , ""tr"" , ""en"")"),"@drfahrettinkoca Forty Lying About December 113:11 Vaccine Not Fatal Experiment Fluid Who A ... https://t.co/ycpl76fvcc")</f>
        <v>@drfahrettinkoca Forty Lying About December 113:11 Vaccine Not Fatal Experiment Fluid Who A ... https://t.co/ycpl76fvcc</v>
      </c>
    </row>
    <row r="4214" spans="1:5" ht="15" customHeight="1" x14ac:dyDescent="0.2">
      <c r="A4214" s="1" t="s">
        <v>8422</v>
      </c>
      <c r="B4214" s="1">
        <v>0</v>
      </c>
      <c r="C4214" s="3">
        <v>44542.899502314816</v>
      </c>
      <c r="D4214" s="1" t="s">
        <v>8423</v>
      </c>
      <c r="E4214" s="1" t="str">
        <f ca="1">IFERROR(__xludf.DUMMYFUNCTION("GOOGLETRANSLATE(A1013 , ""tr"" , ""en"")"),"@drfahrettinkoca AVMS crowded masks not hanging out Distance Yok Hersey We don't think of our health for money and sa ... https://t.co/npensdgoal")</f>
        <v>@drfahrettinkoca AVMS crowded masks not hanging out Distance Yok Hersey We don't think of our health for money and sa ... https://t.co/npensdgoal</v>
      </c>
    </row>
    <row r="4215" spans="1:5" ht="15" customHeight="1" x14ac:dyDescent="0.2">
      <c r="A4215" s="1" t="s">
        <v>8424</v>
      </c>
      <c r="B4215" s="1">
        <v>1</v>
      </c>
      <c r="C4215" s="3">
        <v>44542.8984837963</v>
      </c>
      <c r="D4215" s="1" t="s">
        <v>8425</v>
      </c>
      <c r="E4215" s="1" t="str">
        <f ca="1">IFERROR(__xludf.DUMMYFUNCTION("GOOGLETRANSLATE(A1014 , ""tr"" , ""en"")"),"@drfahrettinkoca I hope you realize that this is a start is honorary.")</f>
        <v>@drfahrettinkoca I hope you realize that this is a start is honorary.</v>
      </c>
    </row>
    <row r="4216" spans="1:5" ht="15" customHeight="1" x14ac:dyDescent="0.2">
      <c r="A4216" s="1" t="s">
        <v>8426</v>
      </c>
      <c r="B4216" s="1">
        <v>0</v>
      </c>
      <c r="C4216" s="3">
        <v>44542.897928240738</v>
      </c>
      <c r="D4216" s="1" t="s">
        <v>8427</v>
      </c>
      <c r="E4216" s="1" t="str">
        <f ca="1">IFERROR(__xludf.DUMMYFUNCTION("GOOGLETRANSLATE(A1015 , ""tr"" , ""en"")"),"@drfahrettinkoca move like national lottery jackpot?")</f>
        <v>@drfahrettinkoca move like national lottery jackpot?</v>
      </c>
    </row>
    <row r="4217" spans="1:5" ht="15" customHeight="1" x14ac:dyDescent="0.2">
      <c r="A4217" s="1" t="s">
        <v>8428</v>
      </c>
      <c r="B4217" s="1">
        <v>0</v>
      </c>
      <c r="C4217" s="3">
        <v>44542.89503472222</v>
      </c>
      <c r="D4217" s="1" t="s">
        <v>8429</v>
      </c>
      <c r="E4217" s="1" t="str">
        <f ca="1">IFERROR(__xludf.DUMMYFUNCTION("GOOGLETRANSLATE(A1016 , ""tr"" , ""en"")"),"@drfahrettinkoca We are fed up now think of the people's collar. Vaccines and you are hungry the number of those who died")</f>
        <v>@drfahrettinkoca We are fed up now think of the people's collar. Vaccines and you are hungry the number of those who died</v>
      </c>
    </row>
    <row r="4218" spans="1:5" ht="15" customHeight="1" x14ac:dyDescent="0.2">
      <c r="A4218" s="1" t="s">
        <v>8430</v>
      </c>
      <c r="B4218" s="1">
        <v>0</v>
      </c>
      <c r="C4218" s="3">
        <v>44542.894629629627</v>
      </c>
      <c r="D4218" s="1" t="s">
        <v>8431</v>
      </c>
      <c r="E4218" s="1" t="str">
        <f ca="1">IFERROR(__xludf.DUMMYFUNCTION("GOOGLETRANSLATE(A1017 , ""tr"" , ""en"")"),"@drfahrettinkoca Do not turn off but take new precautions Our children are anymore of the subject of the subject of subjects! ... HTTPS://T.CO/ZECFTOSIFW")</f>
        <v>@drfahrettinkoca Do not turn off but take new precautions Our children are anymore of the subject of the subject of subjects! ... HTTPS://T.CO/ZECFTOSIFW</v>
      </c>
    </row>
    <row r="4219" spans="1:5" ht="15" customHeight="1" x14ac:dyDescent="0.2">
      <c r="A4219" s="1" t="s">
        <v>8432</v>
      </c>
      <c r="B4219" s="1">
        <v>0</v>
      </c>
      <c r="C4219" s="3">
        <v>44542.894444444442</v>
      </c>
      <c r="D4219" s="1" t="s">
        <v>8433</v>
      </c>
      <c r="E4219" s="1" t="str">
        <f ca="1">IFERROR(__xludf.DUMMYFUNCTION("GOOGLETRANSLATE(A1018 , ""tr"" , ""en"")"),"@drfahrettinkoca National Education Do not turn off the Ministry but take new precautions Our children subjected childrens ... https://t.co/xi3w5frdı")</f>
        <v>@drfahrettinkoca National Education Do not turn off the Ministry but take new precautions Our children subjected childrens ... https://t.co/xi3w5frdı</v>
      </c>
    </row>
    <row r="4220" spans="1:5" ht="15" customHeight="1" x14ac:dyDescent="0.2">
      <c r="A4220" s="1" t="s">
        <v>8434</v>
      </c>
      <c r="B4220" s="1">
        <v>0</v>
      </c>
      <c r="C4220" s="3">
        <v>44542.894050925926</v>
      </c>
      <c r="D4220" s="1" t="s">
        <v>8435</v>
      </c>
      <c r="E4220" s="1" t="str">
        <f ca="1">IFERROR(__xludf.DUMMYFUNCTION("GOOGLETRANSLATE(A1019 , ""tr"" , ""en"")"),"Don't turn off @drfahrettinkoca but take new precautions Our children are no longer of the subject of the subject of subjects! ... https://t.co/umjmcrsnnr")</f>
        <v>Don't turn off @drfahrettinkoca but take new precautions Our children are no longer of the subject of the subject of subjects! ... https://t.co/umjmcrsnnr</v>
      </c>
    </row>
    <row r="4221" spans="1:5" ht="15" customHeight="1" x14ac:dyDescent="0.2">
      <c r="A4221" s="1" t="s">
        <v>8436</v>
      </c>
      <c r="B4221" s="1">
        <v>0</v>
      </c>
      <c r="C4221" s="3">
        <v>44542.893946759257</v>
      </c>
      <c r="D4221" s="1" t="s">
        <v>8437</v>
      </c>
      <c r="E4221" s="1" t="str">
        <f ca="1">IFERROR(__xludf.DUMMYFUNCTION("GOOGLETRANSLATE(A1020 , ""tr"" , ""en"")"),"@drfahrettinkoca National Education Do not turn off the Ministry but take new precautions Our children's subjects are worth the child ... https://t.co/doez6j9tph")</f>
        <v>@drfahrettinkoca National Education Do not turn off the Ministry but take new precautions Our children's subjects are worth the child ... https://t.co/doez6j9tph</v>
      </c>
    </row>
    <row r="4222" spans="1:5" ht="15" customHeight="1" x14ac:dyDescent="0.2">
      <c r="A4222" s="1" t="s">
        <v>8438</v>
      </c>
      <c r="B4222" s="1">
        <v>0</v>
      </c>
      <c r="C4222" s="3">
        <v>44542.893900462965</v>
      </c>
      <c r="D4222" s="1" t="s">
        <v>8439</v>
      </c>
      <c r="E4222" s="1" t="str">
        <f ca="1">IFERROR(__xludf.DUMMYFUNCTION("GOOGLETRANSLATE(A1021 , ""tr"" , ""en"")"),"Don't turn off @drfahrettinkoca but take new precautions Our children are anymore of the subject of the subject of subjects! ... https://t.co/mnnoemg5ve")</f>
        <v>Don't turn off @drfahrettinkoca but take new precautions Our children are anymore of the subject of the subject of subjects! ... https://t.co/mnnoemg5ve</v>
      </c>
    </row>
    <row r="4223" spans="1:5" ht="15" customHeight="1" x14ac:dyDescent="0.2">
      <c r="A4223" s="1" t="s">
        <v>8440</v>
      </c>
      <c r="B4223" s="1">
        <v>4</v>
      </c>
      <c r="C4223" s="3">
        <v>44542.893726851849</v>
      </c>
      <c r="D4223" s="1" t="s">
        <v>8441</v>
      </c>
      <c r="E4223" s="1" t="str">
        <f ca="1">IFERROR(__xludf.DUMMYFUNCTION("GOOGLETRANSLATE(A1022 , ""tr"" , ""en"")"),"@drfahrettinkoca valla No one's worried about anybody..o Your Hüsnu")</f>
        <v>@drfahrettinkoca valla No one's worried about anybody..o Your Hüsnu</v>
      </c>
    </row>
    <row r="4224" spans="1:5" ht="15" customHeight="1" x14ac:dyDescent="0.2">
      <c r="A4224" s="1" t="s">
        <v>8442</v>
      </c>
      <c r="B4224" s="1">
        <v>5</v>
      </c>
      <c r="C4224" s="3">
        <v>44542.893530092595</v>
      </c>
      <c r="D4224" s="1" t="s">
        <v>8443</v>
      </c>
      <c r="E4224" s="1" t="str">
        <f ca="1">IFERROR(__xludf.DUMMYFUNCTION("GOOGLETRANSLATE(A1023 , ""tr"" , ""en"")"),"@drfahrettinkoca What will the students be? #AccountsTanetizmuzakkan")</f>
        <v>@drfahrettinkoca What will the students be? #AccountsTanetizmuzakkan</v>
      </c>
    </row>
    <row r="4225" spans="1:5" ht="15" customHeight="1" x14ac:dyDescent="0.2">
      <c r="A4225" s="1" t="s">
        <v>8444</v>
      </c>
      <c r="B4225" s="1">
        <v>2</v>
      </c>
      <c r="C4225" s="3">
        <v>44542.891400462962</v>
      </c>
      <c r="D4225" s="1" t="s">
        <v>8445</v>
      </c>
      <c r="E4225" s="1" t="str">
        <f ca="1">IFERROR(__xludf.DUMMYFUNCTION("GOOGLETRANSLATE(A1024 , ""tr"" , ""en"")"),"@drfahrettinkoca In this epidemic in winter day when glasses are closed when students should not exceed 20 YE")</f>
        <v>@drfahrettinkoca In this epidemic in winter day when glasses are closed when students should not exceed 20 YE</v>
      </c>
    </row>
    <row r="4226" spans="1:5" ht="15" customHeight="1" x14ac:dyDescent="0.2">
      <c r="A4226" s="1" t="s">
        <v>8446</v>
      </c>
      <c r="B4226" s="1">
        <v>1</v>
      </c>
      <c r="C4226" s="3">
        <v>44542.891018518516</v>
      </c>
      <c r="D4226" s="1" t="s">
        <v>8447</v>
      </c>
      <c r="E4226" s="1" t="str">
        <f ca="1">IFERROR(__xludf.DUMMYFUNCTION("GOOGLETRANSLATE(A1025 , ""tr"" , ""en"")"),"@drfahrettinkoca Europe Bass Bass Basizing 5-12 Yas Araliginda Spreading Saying Quiz Do Not Hear You To Hear You Don't Want To Hear Onlar")</f>
        <v>@drfahrettinkoca Europe Bass Bass Basizing 5-12 Yas Araliginda Spreading Saying Quiz Do Not Hear You To Hear You Don't Want To Hear Onlar</v>
      </c>
    </row>
    <row r="4227" spans="1:5" ht="15" customHeight="1" x14ac:dyDescent="0.2">
      <c r="A4227" s="1" t="s">
        <v>8448</v>
      </c>
      <c r="B4227" s="1">
        <v>1</v>
      </c>
      <c r="C4227" s="3">
        <v>44542.890347222223</v>
      </c>
      <c r="D4227" s="1" t="s">
        <v>8449</v>
      </c>
      <c r="E4227" s="1" t="str">
        <f ca="1">IFERROR(__xludf.DUMMYFUNCTION("GOOGLETRANSLATE(A1026 , ""tr"" , ""en"")"),"@drfahrettinka Mr. Ministry should now be taken tight measures in the community and the schools are taken in the courses in the binary system ... https://t.co/mjugfe3IRP")</f>
        <v>@drfahrettinka Mr. Ministry should now be taken tight measures in the community and the schools are taken in the courses in the binary system ... https://t.co/mjugfe3IRP</v>
      </c>
    </row>
    <row r="4228" spans="1:5" ht="15" customHeight="1" x14ac:dyDescent="0.2">
      <c r="A4228" s="1" t="s">
        <v>8450</v>
      </c>
      <c r="B4228" s="1">
        <v>2</v>
      </c>
      <c r="C4228" s="3">
        <v>44542.889918981484</v>
      </c>
      <c r="D4228" s="1" t="s">
        <v>8451</v>
      </c>
      <c r="E4228" s="1" t="str">
        <f ca="1">IFERROR(__xludf.DUMMYFUNCTION("GOOGLETRANSLATE(A1027 , ""tr"" , ""en"")"),"@drfahrettinkoca Our kids are rugs every Gun 9 hours Mirusle with mask are responsible ...")</f>
        <v>@drfahrettinkoca Our kids are rugs every Gun 9 hours Mirusle with mask are responsible ...</v>
      </c>
    </row>
    <row r="4229" spans="1:5" ht="15" customHeight="1" x14ac:dyDescent="0.2">
      <c r="A4229" s="1" t="s">
        <v>8452</v>
      </c>
      <c r="B4229" s="1">
        <v>0</v>
      </c>
      <c r="C4229" s="3">
        <v>44542.888657407406</v>
      </c>
      <c r="D4229" s="1" t="s">
        <v>8453</v>
      </c>
      <c r="E4229" s="1" t="str">
        <f ca="1">IFERROR(__xludf.DUMMYFUNCTION("GOOGLETRANSLATE(A1028 , ""tr"" , ""en"")"),"@drfahrettinkoca tales tales tales to you no one believes")</f>
        <v>@drfahrettinkoca tales tales tales to you no one believes</v>
      </c>
    </row>
    <row r="4230" spans="1:5" ht="15" customHeight="1" x14ac:dyDescent="0.2">
      <c r="A4230" s="1" t="s">
        <v>8454</v>
      </c>
      <c r="B4230" s="1">
        <v>0</v>
      </c>
      <c r="C4230" s="3">
        <v>44542.887245370373</v>
      </c>
      <c r="D4230" s="1" t="s">
        <v>8455</v>
      </c>
      <c r="E4230" s="1" t="str">
        <f ca="1">IFERROR(__xludf.DUMMYFUNCTION("GOOGLETRANSLATE(A1029 , ""tr"" , ""en"")"),"@drfahrettinkoca said to me ... :)")</f>
        <v>@drfahrettinkoca said to me ... :)</v>
      </c>
    </row>
    <row r="4231" spans="1:5" ht="15" customHeight="1" x14ac:dyDescent="0.2">
      <c r="A4231" s="1" t="s">
        <v>8456</v>
      </c>
      <c r="B4231" s="1">
        <v>0</v>
      </c>
      <c r="C4231" s="3">
        <v>44542.884131944447</v>
      </c>
      <c r="D4231" s="1" t="s">
        <v>8457</v>
      </c>
      <c r="E4231" s="1" t="str">
        <f ca="1">IFERROR(__xludf.DUMMYFUNCTION("GOOGLETRANSLATE(A1030 , ""tr"" , ""en"")"),"@drfahrettinkoca if PCR test is not taken from the vaccines, the income of every subsequent variant income is already abroad ... https://t.co/kwfcwnjfcc")</f>
        <v>@drfahrettinkoca if PCR test is not taken from the vaccines, the income of every subsequent variant income is already abroad ... https://t.co/kwfcwnjfcc</v>
      </c>
    </row>
    <row r="4232" spans="1:5" ht="15" customHeight="1" x14ac:dyDescent="0.2">
      <c r="A4232" s="1" t="s">
        <v>8458</v>
      </c>
      <c r="B4232" s="1">
        <v>0</v>
      </c>
      <c r="C4232" s="3">
        <v>44542.881226851852</v>
      </c>
      <c r="D4232" s="1" t="s">
        <v>8459</v>
      </c>
      <c r="E4232" s="1" t="str">
        <f ca="1">IFERROR(__xludf.DUMMYFUNCTION("GOOGLETRANSLATE(A1031 , ""tr"" , ""en"")"),"@drfahrettinkoca hocam pancreas inflammation ruralism 2nd piekhose butcher is dealing for human treatment but be ... https://t.co/mmkh6sxyfb")</f>
        <v>@drfahrettinkoca hocam pancreas inflammation ruralism 2nd piekhose butcher is dealing for human treatment but be ... https://t.co/mmkh6sxyfb</v>
      </c>
    </row>
    <row r="4233" spans="1:5" ht="15" customHeight="1" x14ac:dyDescent="0.2">
      <c r="A4233" s="1" t="s">
        <v>8460</v>
      </c>
      <c r="B4233" s="1">
        <v>0</v>
      </c>
      <c r="C4233" s="3">
        <v>44542.881122685183</v>
      </c>
      <c r="D4233" s="1" t="s">
        <v>8461</v>
      </c>
      <c r="E4233" s="1" t="str">
        <f ca="1">IFERROR(__xludf.DUMMYFUNCTION("GOOGLETRANSLATE(A1032 , ""tr"" , ""en"")"),"@drfahrettinkoca How is the number of cases without measure fall? :D")</f>
        <v>@drfahrettinkoca How is the number of cases without measure fall? :D</v>
      </c>
    </row>
    <row r="4234" spans="1:5" ht="15" customHeight="1" x14ac:dyDescent="0.2">
      <c r="A4234" s="1" t="s">
        <v>8462</v>
      </c>
      <c r="B4234" s="1">
        <v>0</v>
      </c>
      <c r="C4234" s="3">
        <v>44542.880486111113</v>
      </c>
      <c r="D4234" s="1" t="s">
        <v>8463</v>
      </c>
      <c r="E4234" s="1" t="str">
        <f ca="1">IFERROR(__xludf.DUMMYFUNCTION("GOOGLETRANSLATE(A1033 , ""tr"" , ""en"")"),"@drfahrettinkoca Look at Bakana Bakana Bakement Leaves Tivit Possessed Tivit When I entered the grocery stores Allah Allah Help ... https://t.co/kjk03W5IPV")</f>
        <v>@drfahrettinkoca Look at Bakana Bakana Bakement Leaves Tivit Possessed Tivit When I entered the grocery stores Allah Allah Help ... https://t.co/kjk03W5IPV</v>
      </c>
    </row>
    <row r="4235" spans="1:5" ht="15" customHeight="1" x14ac:dyDescent="0.2">
      <c r="A4235" s="1" t="s">
        <v>8464</v>
      </c>
      <c r="B4235" s="1">
        <v>1</v>
      </c>
      <c r="C4235" s="3">
        <v>44542.874965277777</v>
      </c>
      <c r="D4235" s="1" t="s">
        <v>8465</v>
      </c>
      <c r="E4235" s="1" t="str">
        <f ca="1">IFERROR(__xludf.DUMMYFUNCTION("GOOGLETRANSLATE(A1034 , ""tr"" , ""en"")"),"@drfahrettinkoca measures Most Public Personal Public Personal Coucout to the driver of the director to reckless ... https://t.co/knjyryyrmp")</f>
        <v>@drfahrettinkoca measures Most Public Personal Public Personal Coucout to the driver of the director to reckless ... https://t.co/knjyryyrmp</v>
      </c>
    </row>
    <row r="4236" spans="1:5" ht="15" customHeight="1" x14ac:dyDescent="0.2">
      <c r="A4236" s="1" t="s">
        <v>8466</v>
      </c>
      <c r="B4236" s="1">
        <v>0</v>
      </c>
      <c r="C4236" s="3">
        <v>44542.872499999998</v>
      </c>
      <c r="D4236" s="1" t="s">
        <v>8467</v>
      </c>
      <c r="E4236" s="1" t="str">
        <f ca="1">IFERROR(__xludf.DUMMYFUNCTION("GOOGLETRANSLATE(A1035 , ""tr"" , ""en"")"),"@drfahrettinkoca dietitians are looking forward to the assignment to the dietitians")</f>
        <v>@drfahrettinkoca dietitians are looking forward to the assignment to the dietitians</v>
      </c>
    </row>
    <row r="4237" spans="1:5" ht="15" customHeight="1" x14ac:dyDescent="0.2">
      <c r="A4237" s="1" t="s">
        <v>8468</v>
      </c>
      <c r="B4237" s="1">
        <v>0</v>
      </c>
      <c r="C4237" s="3">
        <v>44542.872395833336</v>
      </c>
      <c r="D4237" s="1" t="s">
        <v>8469</v>
      </c>
      <c r="E4237" s="1" t="str">
        <f ca="1">IFERROR(__xludf.DUMMYFUNCTION("GOOGLETRANSLATE(A1036 , ""tr"" , ""en"")"),"@drfahrettinkoca dieticians are welcomed to assign the assignment to dietitians")</f>
        <v>@drfahrettinkoca dieticians are welcomed to assign the assignment to dietitians</v>
      </c>
    </row>
    <row r="4238" spans="1:5" ht="15" customHeight="1" x14ac:dyDescent="0.2">
      <c r="A4238" s="1" t="s">
        <v>7770</v>
      </c>
      <c r="B4238" s="1">
        <v>0</v>
      </c>
      <c r="C4238" s="3">
        <v>44542.872256944444</v>
      </c>
      <c r="D4238" s="1" t="s">
        <v>8470</v>
      </c>
      <c r="E4238" s="1" t="str">
        <f ca="1">IFERROR(__xludf.DUMMYFUNCTION("GOOGLETRANSLATE(A1037 , ""tr"" , ""en"")"),"@drfahrettinkoca dietitians are welcomed to assign the assignment to the dietitians Sayin Minister 91 Score of Cardiacy Still Acikta")</f>
        <v>@drfahrettinkoca dietitians are welcomed to assign the assignment to the dietitians Sayin Minister 91 Score of Cardiacy Still Acikta</v>
      </c>
    </row>
    <row r="4239" spans="1:5" ht="15" customHeight="1" x14ac:dyDescent="0.2">
      <c r="A4239" s="1" t="s">
        <v>8471</v>
      </c>
      <c r="B4239" s="1">
        <v>0</v>
      </c>
      <c r="C4239" s="3">
        <v>44542.870856481481</v>
      </c>
      <c r="D4239" s="1" t="s">
        <v>8472</v>
      </c>
      <c r="E4239" s="1" t="str">
        <f ca="1">IFERROR(__xludf.DUMMYFUNCTION("GOOGLETRANSLATE(A1038 , ""tr"" , ""en"")"),"@drfahrettinkoca omicron 😂😂😂😂😂 omicron")</f>
        <v>@drfahrettinkoca omicron 😂😂😂😂😂 omicron</v>
      </c>
    </row>
    <row r="4240" spans="1:5" ht="15" customHeight="1" x14ac:dyDescent="0.2">
      <c r="A4240" s="1" t="s">
        <v>8473</v>
      </c>
      <c r="B4240" s="1">
        <v>0</v>
      </c>
      <c r="C4240" s="3">
        <v>44542.86886574074</v>
      </c>
      <c r="D4240" s="1" t="s">
        <v>8474</v>
      </c>
      <c r="E4240" s="1" t="str">
        <f ca="1">IFERROR(__xludf.DUMMYFUNCTION("GOOGLETRANSLATE(A1039 , ""tr"" , ""en"")"),"@drfahrettinkoca Needen 6 iluminatin's loyal member")</f>
        <v>@drfahrettinkoca Needen 6 iluminatin's loyal member</v>
      </c>
    </row>
    <row r="4241" spans="1:5" ht="15" customHeight="1" x14ac:dyDescent="0.2">
      <c r="A4241" s="1" t="s">
        <v>8475</v>
      </c>
      <c r="B4241" s="1">
        <v>0</v>
      </c>
      <c r="C4241" s="3">
        <v>44542.865844907406</v>
      </c>
      <c r="D4241" s="1" t="s">
        <v>8476</v>
      </c>
      <c r="E4241" s="1" t="str">
        <f ca="1">IFERROR(__xludf.DUMMYFUNCTION("GOOGLETRANSLATE(A1040 , ""tr"" , ""en"")"),"@drfahrettinkoca yahu rascal beepazed Omicron's micron your bi Sush go anymore Allah Huran Divilli ... https://t.co/ds27lefsbt")</f>
        <v>@drfahrettinkoca yahu rascal beepazed Omicron's micron your bi Sush go anymore Allah Huran Divilli ... https://t.co/ds27lefsbt</v>
      </c>
    </row>
    <row r="4242" spans="1:5" ht="15" customHeight="1" x14ac:dyDescent="0.2">
      <c r="A4242" s="1" t="s">
        <v>8477</v>
      </c>
      <c r="B4242" s="1">
        <v>0</v>
      </c>
      <c r="C4242" s="3">
        <v>44542.861539351848</v>
      </c>
      <c r="D4242" s="1" t="s">
        <v>8478</v>
      </c>
      <c r="E4242" s="1" t="str">
        <f ca="1">IFERROR(__xludf.DUMMYFUNCTION("GOOGLETRANSLATE(A1041 , ""tr"" , ""en"")"),"@drfahrettinkoca Mr. Minister Finish This Planemia Theater has aware of this game")</f>
        <v>@drfahrettinkoca Mr. Minister Finish This Planemia Theater has aware of this game</v>
      </c>
    </row>
    <row r="4243" spans="1:5" ht="15" customHeight="1" x14ac:dyDescent="0.2">
      <c r="A4243" s="1" t="s">
        <v>8479</v>
      </c>
      <c r="B4243" s="1">
        <v>0</v>
      </c>
      <c r="C4243" s="3">
        <v>44542.861064814817</v>
      </c>
      <c r="D4243" s="1" t="s">
        <v>8480</v>
      </c>
      <c r="E4243" s="1" t="str">
        <f ca="1">IFERROR(__xludf.DUMMYFUNCTION("GOOGLETRANSLATE(A1042 , ""tr"" , ""en"")"),"@drfahrettinkoca There are serious serious believers 😂 2 years is the same tnases I know what variant is output 1 month later ... https://t.co/uswsmywc2b")</f>
        <v>@drfahrettinkoca There are serious serious believers 😂 2 years is the same tnases I know what variant is output 1 month later ... https://t.co/uswsmywc2b</v>
      </c>
    </row>
    <row r="4244" spans="1:5" ht="15" customHeight="1" x14ac:dyDescent="0.2">
      <c r="A4244" s="1" t="s">
        <v>8481</v>
      </c>
      <c r="B4244" s="1">
        <v>0</v>
      </c>
      <c r="C4244" s="3">
        <v>44542.858310185184</v>
      </c>
      <c r="D4244" s="1" t="s">
        <v>8482</v>
      </c>
      <c r="E4244" s="1" t="str">
        <f ca="1">IFERROR(__xludf.DUMMYFUNCTION("GOOGLETRANSLATE(A1043 , ""tr"" , ""en"")"),"@drfahrettinka you too us yeast # mahmutörokullaronline")</f>
        <v>@drfahrettinka you too us yeast # mahmutörokullaronline</v>
      </c>
    </row>
    <row r="4245" spans="1:5" ht="15" customHeight="1" x14ac:dyDescent="0.2">
      <c r="A4245" s="1" t="s">
        <v>8483</v>
      </c>
      <c r="B4245" s="1">
        <v>0</v>
      </c>
      <c r="C4245" s="3">
        <v>44542.858182870368</v>
      </c>
      <c r="D4245" s="1" t="s">
        <v>8484</v>
      </c>
      <c r="E4245" s="1" t="str">
        <f ca="1">IFERROR(__xludf.DUMMYFUNCTION("GOOGLETRANSLATE(A1044 , ""tr"" , ""en"")"),"@drfahrettinkoca Feed Your Feeding Mama Supplement Cover with my hands hospitalized my grandmother with that shitty testing ... https://t.co/yplbcq5076")</f>
        <v>@drfahrettinkoca Feed Your Feeding Mama Supplement Cover with my hands hospitalized my grandmother with that shitty testing ... https://t.co/yplbcq5076</v>
      </c>
    </row>
    <row r="4246" spans="1:5" ht="15" customHeight="1" x14ac:dyDescent="0.2">
      <c r="A4246" s="1" t="s">
        <v>8485</v>
      </c>
      <c r="B4246" s="1">
        <v>2</v>
      </c>
      <c r="C4246" s="3">
        <v>44542.857094907406</v>
      </c>
      <c r="D4246" s="1" t="s">
        <v>8486</v>
      </c>
      <c r="E4246" s="1" t="str">
        <f ca="1">IFERROR(__xludf.DUMMYFUNCTION("GOOGLETRANSLATE(A1045 , ""tr"" , ""en"")"),"@drfahrettinkoca sec. The Minister; You say that Omicron is not dangerous but domestic-foreign scientists p ... https://t.co/frmj97u9cg")</f>
        <v>@drfahrettinkoca sec. The Minister; You say that Omicron is not dangerous but domestic-foreign scientists p ... https://t.co/frmj97u9cg</v>
      </c>
    </row>
    <row r="4247" spans="1:5" ht="15" customHeight="1" x14ac:dyDescent="0.2">
      <c r="A4247" s="1" t="s">
        <v>8487</v>
      </c>
      <c r="B4247" s="1">
        <v>0</v>
      </c>
      <c r="C4247" s="3">
        <v>44542.855902777781</v>
      </c>
      <c r="D4247" s="1" t="s">
        <v>8488</v>
      </c>
      <c r="E4247" s="1" t="str">
        <f ca="1">IFERROR(__xludf.DUMMYFUNCTION("GOOGLETRANSLATE(A1046 , ""tr"" , ""en"")"),"@drfahrettinkoca Mr. Minister Now please beg to beg the pfizer-biontech vaccination for ages 5-11 ... https://t.co/0s1o1ygm8j")</f>
        <v>@drfahrettinkoca Mr. Minister Now please beg to beg the pfizer-biontech vaccination for ages 5-11 ... https://t.co/0s1o1ygm8j</v>
      </c>
    </row>
    <row r="4248" spans="1:5" ht="15" customHeight="1" x14ac:dyDescent="0.2">
      <c r="A4248" s="1" t="s">
        <v>8489</v>
      </c>
      <c r="B4248" s="1">
        <v>0</v>
      </c>
      <c r="C4248" s="3">
        <v>44542.852939814817</v>
      </c>
      <c r="D4248" s="1" t="s">
        <v>8490</v>
      </c>
      <c r="E4248" s="1" t="str">
        <f ca="1">IFERROR(__xludf.DUMMYFUNCTION("GOOGLETRANSLATE(A1047 , ""tr"" , ""en"")"),"@drfahrettinkoca Koskoca in Istanbul, a person in Izmir emerged in 5 people in Izmir")</f>
        <v>@drfahrettinkoca Koskoca in Istanbul, a person in Izmir emerged in 5 people in Izmir</v>
      </c>
    </row>
    <row r="4249" spans="1:5" ht="15" customHeight="1" x14ac:dyDescent="0.2">
      <c r="A4249" s="1" t="s">
        <v>8491</v>
      </c>
      <c r="B4249" s="1">
        <v>0</v>
      </c>
      <c r="C4249" s="3">
        <v>44542.852453703701</v>
      </c>
      <c r="D4249" s="1" t="s">
        <v>8492</v>
      </c>
      <c r="E4249" s="1" t="str">
        <f ca="1">IFERROR(__xludf.DUMMYFUNCTION("GOOGLETRANSLATE(A1048 , ""tr"" , ""en"")"),"@drfahrettinkoca omicron = AKP")</f>
        <v>@drfahrettinkoca omicron = AKP</v>
      </c>
    </row>
    <row r="4250" spans="1:5" ht="15" customHeight="1" x14ac:dyDescent="0.2">
      <c r="A4250" s="1" t="s">
        <v>8493</v>
      </c>
      <c r="B4250" s="1">
        <v>0</v>
      </c>
      <c r="C4250" s="3">
        <v>44542.851793981485</v>
      </c>
      <c r="D4250" s="1" t="s">
        <v>8494</v>
      </c>
      <c r="E4250" s="1" t="str">
        <f ca="1">IFERROR(__xludf.DUMMYFUNCTION("GOOGLETRANSLATE(A1049 , ""tr"" , ""en"")"),"@drfahrettinkoca Sayin Vaccine Minister Hit Parayi Gene Patient Basi $ 666 Dollar Guzel Money We Call Pandemi Nasil End Will Burns Hic")</f>
        <v>@drfahrettinkoca Sayin Vaccine Minister Hit Parayi Gene Patient Basi $ 666 Dollar Guzel Money We Call Pandemi Nasil End Will Burns Hic</v>
      </c>
    </row>
    <row r="4251" spans="1:5" ht="15" customHeight="1" x14ac:dyDescent="0.2">
      <c r="A4251" s="1" t="s">
        <v>8495</v>
      </c>
      <c r="B4251" s="1">
        <v>0</v>
      </c>
      <c r="C4251" s="3">
        <v>44542.850729166668</v>
      </c>
      <c r="D4251" s="1" t="s">
        <v>8496</v>
      </c>
      <c r="E4251" s="1" t="str">
        <f ca="1">IFERROR(__xludf.DUMMYFUNCTION("GOOGLETRANSLATE(A1050 , ""tr"" , ""en"")"),"@drfahrettinkoca Mr. Minister, I think Covid-19 is waiting for us at the end of the eventually if the vaccine sells well ... https://t.co/xezr26mkwv")</f>
        <v>@drfahrettinkoca Mr. Minister, I think Covid-19 is waiting for us at the end of the eventually if the vaccine sells well ... https://t.co/xezr26mkwv</v>
      </c>
    </row>
    <row r="4252" spans="1:5" ht="15" customHeight="1" x14ac:dyDescent="0.2">
      <c r="A4252" s="1" t="s">
        <v>8497</v>
      </c>
      <c r="B4252" s="1">
        <v>0</v>
      </c>
      <c r="C4252" s="3">
        <v>44542.849050925928</v>
      </c>
      <c r="D4252" s="1" t="s">
        <v>8498</v>
      </c>
      <c r="E4252" s="1" t="str">
        <f ca="1">IFERROR(__xludf.DUMMYFUNCTION("GOOGLETRANSLATE(A1051 , ""tr"" , ""en"")"),"@drfahrettinkoca we end out how many dose of this vaccine is out of epidemic ?? Or we have 555 dose vaccines if we have finished ... https://t.co/4a1vlxgt9y")</f>
        <v>@drfahrettinkoca we end out how many dose of this vaccine is out of epidemic ?? Or we have 555 dose vaccines if we have finished ... https://t.co/4a1vlxgt9y</v>
      </c>
    </row>
    <row r="4253" spans="1:5" ht="15" customHeight="1" x14ac:dyDescent="0.2">
      <c r="A4253" s="1" t="s">
        <v>8499</v>
      </c>
      <c r="B4253" s="1">
        <v>0</v>
      </c>
      <c r="C4253" s="3">
        <v>44542.847928240742</v>
      </c>
      <c r="D4253" s="1" t="s">
        <v>8500</v>
      </c>
      <c r="E4253" s="1" t="str">
        <f ca="1">IFERROR(__xludf.DUMMYFUNCTION("GOOGLETRANSLATE(A1052 , ""tr"" , ""en"")"),"@drfahrettinka vaccine is the miraculous fluid mauseclah wrench as you call the english wrench Deva !!! Variant Halan Ramagette ... https://t.co/4rciugbfrr")</f>
        <v>@drfahrettinka vaccine is the miraculous fluid mauseclah wrench as you call the english wrench Deva !!! Variant Halan Ramagette ... https://t.co/4rciugbfrr</v>
      </c>
    </row>
    <row r="4254" spans="1:5" ht="15" customHeight="1" x14ac:dyDescent="0.2">
      <c r="A4254" s="1" t="s">
        <v>8501</v>
      </c>
      <c r="B4254" s="1">
        <v>1</v>
      </c>
      <c r="C4254" s="3">
        <v>44542.847592592596</v>
      </c>
      <c r="D4254" s="1" t="s">
        <v>8502</v>
      </c>
      <c r="E4254" s="1" t="str">
        <f ca="1">IFERROR(__xludf.DUMMYFUNCTION("GOOGLETRANSLATE(A1053 , ""tr"" , ""en"")"),"@drfahrettinkoca Mr. Minister, when will end this pandemi so Covid-19 has never been an epidemic over 2 years ... https://t.co/hh9sajdk5e")</f>
        <v>@drfahrettinkoca Mr. Minister, when will end this pandemi so Covid-19 has never been an epidemic over 2 years ... https://t.co/hh9sajdk5e</v>
      </c>
    </row>
    <row r="4255" spans="1:5" ht="15" customHeight="1" x14ac:dyDescent="0.2">
      <c r="A4255" s="1" t="s">
        <v>8503</v>
      </c>
      <c r="B4255" s="1">
        <v>0</v>
      </c>
      <c r="C4255" s="3">
        <v>44542.846770833334</v>
      </c>
      <c r="D4255" s="1" t="s">
        <v>8504</v>
      </c>
      <c r="E4255" s="1" t="str">
        <f ca="1">IFERROR(__xludf.DUMMYFUNCTION("GOOGLETRANSLATE(A1054 , ""tr"" , ""en"")"),"@drfahrettinkoca all experts 3. Doses to get premature of bass bass while yelling at no movement from you. Kroni ... https://t.co/1p3fjz71WI")</f>
        <v>@drfahrettinkoca all experts 3. Doses to get premature of bass bass while yelling at no movement from you. Kroni ... https://t.co/1p3fjz71WI</v>
      </c>
    </row>
    <row r="4256" spans="1:5" ht="15" customHeight="1" x14ac:dyDescent="0.2">
      <c r="A4256" s="1" t="s">
        <v>8505</v>
      </c>
      <c r="B4256" s="1">
        <v>0</v>
      </c>
      <c r="C4256" s="3">
        <v>44542.845520833333</v>
      </c>
      <c r="D4256" s="1" t="s">
        <v>8506</v>
      </c>
      <c r="E4256" s="1" t="str">
        <f ca="1">IFERROR(__xludf.DUMMYFUNCTION("GOOGLETRANSLATE(A1055 , ""tr"" , ""en"")"),"@drfahrettinkoca he is not omicron then ...")</f>
        <v>@drfahrettinkoca he is not omicron then ...</v>
      </c>
    </row>
    <row r="4257" spans="1:5" ht="15" customHeight="1" x14ac:dyDescent="0.2">
      <c r="A4257" s="1" t="s">
        <v>8507</v>
      </c>
      <c r="B4257" s="1">
        <v>0</v>
      </c>
      <c r="C4257" s="3">
        <v>44542.844675925924</v>
      </c>
      <c r="D4257" s="1" t="s">
        <v>8508</v>
      </c>
      <c r="E4257" s="1" t="str">
        <f ca="1">IFERROR(__xludf.DUMMYFUNCTION("GOOGLETRANSLATE(A1056 , ""tr"" , ""en"")"),"@drfahrettinkoca 🤪😅😂")</f>
        <v>@drfahrettinkoca 🤪😅😂</v>
      </c>
    </row>
    <row r="4258" spans="1:5" ht="15" customHeight="1" x14ac:dyDescent="0.2">
      <c r="A4258" s="1" t="s">
        <v>8509</v>
      </c>
      <c r="B4258" s="1">
        <v>0</v>
      </c>
      <c r="C4258" s="3">
        <v>44542.844189814816</v>
      </c>
      <c r="D4258" s="1" t="s">
        <v>8510</v>
      </c>
      <c r="E4258" s="1" t="str">
        <f ca="1">IFERROR(__xludf.DUMMYFUNCTION("GOOGLETRANSLATE(A1057 , ""tr"" , ""en"")"),"@drfahrettinkoca vaccine what you say, do you have been eaten, you will be smoked in, smoked? What do people believe you do ... https://t.co/1ydyiqIxdp")</f>
        <v>@drfahrettinkoca vaccine what you say, do you have been eaten, you will be smoked in, smoked? What do people believe you do ... https://t.co/1ydyiqIxdp</v>
      </c>
    </row>
    <row r="4259" spans="1:5" ht="15" customHeight="1" x14ac:dyDescent="0.2">
      <c r="A4259" s="1" t="s">
        <v>8511</v>
      </c>
      <c r="B4259" s="1">
        <v>0</v>
      </c>
      <c r="C4259" s="3">
        <v>44542.843993055554</v>
      </c>
      <c r="D4259" s="1" t="s">
        <v>8512</v>
      </c>
      <c r="E4259" s="1" t="str">
        <f ca="1">IFERROR(__xludf.DUMMYFUNCTION("GOOGLETRANSLATE(A1058 , ""tr"" , ""en"")"),"@drfahrettinkoca until everyone is overcome you will not end these ravages")</f>
        <v>@drfahrettinkoca until everyone is overcome you will not end these ravages</v>
      </c>
    </row>
    <row r="4260" spans="1:5" ht="15" customHeight="1" x14ac:dyDescent="0.2">
      <c r="A4260" s="1" t="s">
        <v>8513</v>
      </c>
      <c r="B4260" s="1">
        <v>0</v>
      </c>
      <c r="C4260" s="3">
        <v>44542.84170138889</v>
      </c>
      <c r="D4260" s="1" t="s">
        <v>8514</v>
      </c>
      <c r="E4260" s="1" t="str">
        <f ca="1">IFERROR(__xludf.DUMMYFUNCTION("GOOGLETRANSLATE(A1059 , ""tr"" , ""en"")"),"@drfahrettinkoca hocam How it is detected in 6 people, as well as HEPP Codes Kit Yahu HEPP CODES Kit Yahu Https://t.co/WFR5GI9olt")</f>
        <v>@drfahrettinkoca hocam How it is detected in 6 people, as well as HEPP Codes Kit Yahu HEPP CODES Kit Yahu Https://t.co/WFR5GI9olt</v>
      </c>
    </row>
    <row r="4261" spans="1:5" ht="15" customHeight="1" x14ac:dyDescent="0.2">
      <c r="A4261" s="1" t="s">
        <v>8515</v>
      </c>
      <c r="B4261" s="1">
        <v>0</v>
      </c>
      <c r="C4261" s="3">
        <v>44542.841458333336</v>
      </c>
      <c r="D4261" s="1" t="s">
        <v>8516</v>
      </c>
      <c r="E4261" s="1" t="str">
        <f ca="1">IFERROR(__xludf.DUMMYFUNCTION("GOOGLETRANSLATE(A1060 , ""tr"" , ""en"")"),"@drfahrettinkoca how came this variant, or is it from the vaccines to the country. NEW YOU'LL NON-VIECTED ... HTTPS://T.CO/BTUQC1FK98")</f>
        <v>@drfahrettinkoca how came this variant, or is it from the vaccines to the country. NEW YOU'LL NON-VIECTED ... HTTPS://T.CO/BTUQC1FK98</v>
      </c>
    </row>
    <row r="4262" spans="1:5" ht="15" customHeight="1" x14ac:dyDescent="0.2">
      <c r="A4262" s="1" t="s">
        <v>8517</v>
      </c>
      <c r="B4262" s="1">
        <v>0</v>
      </c>
      <c r="C4262" s="3">
        <v>44542.841122685182</v>
      </c>
      <c r="D4262" s="1" t="s">
        <v>8518</v>
      </c>
      <c r="E4262" s="1" t="str">
        <f ca="1">IFERROR(__xludf.DUMMYFUNCTION("GOOGLETRANSLATE(A1061 , ""tr"" , ""en"")"),"@drfahrettinkoca Mr. Husband, Hospital come to be Biontech MRNA, the vaccine Chinese mRNA is made, problem for China urea for China ... https://t.co/9hem2msl2g")</f>
        <v>@drfahrettinkoca Mr. Husband, Hospital come to be Biontech MRNA, the vaccine Chinese mRNA is made, problem for China urea for China ... https://t.co/9hem2msl2g</v>
      </c>
    </row>
    <row r="4263" spans="1:5" ht="15" customHeight="1" x14ac:dyDescent="0.2">
      <c r="A4263" s="1" t="s">
        <v>8519</v>
      </c>
      <c r="B4263" s="1">
        <v>0</v>
      </c>
      <c r="C4263" s="3">
        <v>44542.840752314813</v>
      </c>
      <c r="D4263" s="1" t="s">
        <v>8520</v>
      </c>
      <c r="E4263" s="1" t="str">
        <f ca="1">IFERROR(__xludf.DUMMYFUNCTION("GOOGLETRANSLATE(A1062 , ""tr"" , ""en"")"),"@drfahrettinka is a kind of reproducing a month what is the hikmetse no more 😂")</f>
        <v>@drfahrettinka is a kind of reproducing a month what is the hikmetse no more 😂</v>
      </c>
    </row>
    <row r="4264" spans="1:5" ht="15" customHeight="1" x14ac:dyDescent="0.2">
      <c r="A4264" s="1" t="s">
        <v>8521</v>
      </c>
      <c r="B4264" s="1">
        <v>0</v>
      </c>
      <c r="C4264" s="3">
        <v>44542.840532407405</v>
      </c>
      <c r="D4264" s="1" t="s">
        <v>8522</v>
      </c>
      <c r="E4264" s="1" t="str">
        <f ca="1">IFERROR(__xludf.DUMMYFUNCTION("GOOGLETRANSLATE(A1063 , ""tr"" , ""en"")"),"@drfahrettinkoca world-wide case numbers 50 k 100 k Turkey 17 k 😂")</f>
        <v>@drfahrettinkoca world-wide case numbers 50 k 100 k Turkey 17 k 😂</v>
      </c>
    </row>
    <row r="4265" spans="1:5" ht="15" customHeight="1" x14ac:dyDescent="0.2">
      <c r="A4265" s="1" t="s">
        <v>8523</v>
      </c>
      <c r="B4265" s="1">
        <v>0</v>
      </c>
      <c r="C4265" s="3">
        <v>44542.839074074072</v>
      </c>
      <c r="D4265" s="1" t="s">
        <v>8524</v>
      </c>
      <c r="E4265" s="1" t="str">
        <f ca="1">IFERROR(__xludf.DUMMYFUNCTION("GOOGLETRANSLATE(A1064 , ""tr"" , ""en"")"),"@drfahrettinkoca you are anxious you are you, give back our freedom of travel, which is non-vaccination to travel PCR TES to travel ... https://t.co/0jvliwtqgs")</f>
        <v>@drfahrettinkoca you are anxious you are you, give back our freedom of travel, which is non-vaccination to travel PCR TES to travel ... https://t.co/0jvliwtqgs</v>
      </c>
    </row>
    <row r="4266" spans="1:5" ht="15" customHeight="1" x14ac:dyDescent="0.2">
      <c r="A4266" s="1" t="s">
        <v>8525</v>
      </c>
      <c r="B4266" s="1">
        <v>0</v>
      </c>
      <c r="C4266" s="3">
        <v>44542.83693287037</v>
      </c>
      <c r="D4266" s="1" t="s">
        <v>8526</v>
      </c>
      <c r="E4266" s="1" t="str">
        <f ca="1">IFERROR(__xludf.DUMMYFUNCTION("GOOGLETRANSLATE(A1065 , ""tr"" , ""en"")"),"@drfahrettinkoca global devilish top mind's funding feeds in fascistics, racing each other with each other! ... https://t.co/u9j3csh5h6")</f>
        <v>@drfahrettinkoca global devilish top mind's funding feeds in fascistics, racing each other with each other! ... https://t.co/u9j3csh5h6</v>
      </c>
    </row>
    <row r="4267" spans="1:5" ht="15" customHeight="1" x14ac:dyDescent="0.2">
      <c r="A4267" s="1" t="s">
        <v>8527</v>
      </c>
      <c r="B4267" s="1">
        <v>0</v>
      </c>
      <c r="C4267" s="3">
        <v>44542.836851851855</v>
      </c>
      <c r="D4267" s="1" t="s">
        <v>8528</v>
      </c>
      <c r="E4267" s="1" t="str">
        <f ca="1">IFERROR(__xludf.DUMMYFUNCTION("GOOGLETRANSLATE(A1066 , ""tr"" , ""en"")"),"@drfahrettinka https://t.co/uxjfmdmfn1")</f>
        <v>@drfahrettinka https://t.co/uxjfmdmfn1</v>
      </c>
    </row>
    <row r="4268" spans="1:5" ht="15" customHeight="1" x14ac:dyDescent="0.2">
      <c r="A4268" s="1" t="s">
        <v>8529</v>
      </c>
      <c r="B4268" s="1">
        <v>0</v>
      </c>
      <c r="C4268" s="3">
        <v>44542.835902777777</v>
      </c>
      <c r="D4268" s="1" t="s">
        <v>8530</v>
      </c>
      <c r="E4268" s="1" t="str">
        <f ca="1">IFERROR(__xludf.DUMMYFUNCTION("GOOGLETRANSLATE(A1067 , ""tr"" , ""en"")"),"@drfahrettinkoca Anyone is a retarded we are smart? So Ulke is taking a futile measure, the measures were tightened ... https://t.co/BDFXVFH2IB")</f>
        <v>@drfahrettinkoca Anyone is a retarded we are smart? So Ulke is taking a futile measure, the measures were tightened ... https://t.co/BDFXVFH2IB</v>
      </c>
    </row>
    <row r="4269" spans="1:5" ht="15" customHeight="1" x14ac:dyDescent="0.2">
      <c r="A4269" s="1" t="s">
        <v>8531</v>
      </c>
      <c r="B4269" s="1">
        <v>0</v>
      </c>
      <c r="C4269" s="3">
        <v>44542.835578703707</v>
      </c>
      <c r="D4269" s="1" t="s">
        <v>8532</v>
      </c>
      <c r="E4269" s="1" t="str">
        <f ca="1">IFERROR(__xludf.DUMMYFUNCTION("GOOGLETRANSLATE(A1068 , ""tr"" , ""en"")"),"@drfahrettinka https://t.co/acyombo8sl")</f>
        <v>@drfahrettinka https://t.co/acyombo8sl</v>
      </c>
    </row>
    <row r="4270" spans="1:5" ht="15" customHeight="1" x14ac:dyDescent="0.2">
      <c r="A4270" s="1" t="s">
        <v>8533</v>
      </c>
      <c r="B4270" s="1">
        <v>0</v>
      </c>
      <c r="C4270" s="3">
        <v>44542.835486111115</v>
      </c>
      <c r="D4270" s="1" t="s">
        <v>8534</v>
      </c>
      <c r="E4270" s="1" t="str">
        <f ca="1">IFERROR(__xludf.DUMMYFUNCTION("GOOGLETRANSLATE(A1069 , ""tr"" , ""en"")"),"@drfahrettinka https://t.co/fclwcfmdzm")</f>
        <v>@drfahrettinka https://t.co/fclwcfmdzm</v>
      </c>
    </row>
    <row r="4271" spans="1:5" ht="15" customHeight="1" x14ac:dyDescent="0.2">
      <c r="A4271" s="1" t="s">
        <v>8535</v>
      </c>
      <c r="B4271" s="1">
        <v>0</v>
      </c>
      <c r="C4271" s="3">
        <v>44542.835428240738</v>
      </c>
      <c r="D4271" s="1" t="s">
        <v>8536</v>
      </c>
      <c r="E4271" s="1" t="str">
        <f ca="1">IFERROR(__xludf.DUMMYFUNCTION("GOOGLETRANSLATE(A1070 , ""tr"" , ""en"")"),"@drfahrettinka https://t.co/w6tfmihw8h")</f>
        <v>@drfahrettinka https://t.co/w6tfmihw8h</v>
      </c>
    </row>
    <row r="4272" spans="1:5" ht="15" customHeight="1" x14ac:dyDescent="0.2">
      <c r="A4272" s="1" t="s">
        <v>8537</v>
      </c>
      <c r="B4272" s="1">
        <v>0</v>
      </c>
      <c r="C4272" s="3">
        <v>44542.834456018521</v>
      </c>
      <c r="D4272" s="1" t="s">
        <v>8538</v>
      </c>
      <c r="E4272" s="1" t="str">
        <f ca="1">IFERROR(__xludf.DUMMYFUNCTION("GOOGLETRANSLATE(A1071 , ""tr"" , ""en"")"),"@drfahrettinka https://t.co/z8r0pgkhhe")</f>
        <v>@drfahrettinka https://t.co/z8r0pgkhhe</v>
      </c>
    </row>
    <row r="4273" spans="1:5" ht="15" customHeight="1" x14ac:dyDescent="0.2">
      <c r="A4273" s="1" t="s">
        <v>8539</v>
      </c>
      <c r="B4273" s="1">
        <v>0</v>
      </c>
      <c r="C4273" s="3">
        <v>44542.833865740744</v>
      </c>
      <c r="D4273" s="1" t="s">
        <v>8540</v>
      </c>
      <c r="E4273" s="1" t="str">
        <f ca="1">IFERROR(__xludf.DUMMYFUNCTION("GOOGLETRANSLATE(A1072 , ""tr"" , ""en"")"),"@drfahrettinkoca 11de 6 cases this 666 goes surprised")</f>
        <v>@drfahrettinkoca 11de 6 cases this 666 goes surprised</v>
      </c>
    </row>
    <row r="4274" spans="1:5" ht="15" customHeight="1" x14ac:dyDescent="0.2">
      <c r="A4274" s="1" t="s">
        <v>8541</v>
      </c>
      <c r="B4274" s="1">
        <v>1</v>
      </c>
      <c r="C4274" s="3">
        <v>44542.833611111113</v>
      </c>
      <c r="D4274" s="1" t="s">
        <v>8542</v>
      </c>
      <c r="E4274" s="1" t="str">
        <f ca="1">IFERROR(__xludf.DUMMYFUNCTION("GOOGLETRANSLATE(A1073 , ""tr"" , ""en"")"),"@drfahrettinka We are currently thinking of a variant.")</f>
        <v>@drfahrettinka We are currently thinking of a variant.</v>
      </c>
    </row>
    <row r="4275" spans="1:5" ht="15" customHeight="1" x14ac:dyDescent="0.2">
      <c r="A4275" s="1" t="s">
        <v>8543</v>
      </c>
      <c r="B4275" s="1">
        <v>12</v>
      </c>
      <c r="C4275" s="3">
        <v>44542.831770833334</v>
      </c>
      <c r="D4275" s="1" t="s">
        <v>8544</v>
      </c>
      <c r="E4275" s="1" t="str">
        <f ca="1">IFERROR(__xludf.DUMMYFUNCTION("GOOGLETRANSLATE(A1074 , ""tr"" , ""en"")"),"@drfahrettinkoca forty-year-annual fluke u omikron Add me too to list")</f>
        <v>@drfahrettinkoca forty-year-annual fluke u omikron Add me too to list</v>
      </c>
    </row>
    <row r="4276" spans="1:5" ht="15" customHeight="1" x14ac:dyDescent="0.2">
      <c r="A4276" s="1" t="s">
        <v>8545</v>
      </c>
      <c r="B4276" s="1">
        <v>0</v>
      </c>
      <c r="C4276" s="3">
        <v>44542.830763888887</v>
      </c>
      <c r="D4276" s="1" t="s">
        <v>8546</v>
      </c>
      <c r="E4276" s="1" t="str">
        <f ca="1">IFERROR(__xludf.DUMMYFUNCTION("GOOGLETRANSLATE(A1075 , ""tr"" , ""en"")"),"@drfahrettinkoca 6 people don't cut 6 thousand blueprints")</f>
        <v>@drfahrettinkoca 6 people don't cut 6 thousand blueprints</v>
      </c>
    </row>
    <row r="4277" spans="1:5" ht="15" customHeight="1" x14ac:dyDescent="0.2">
      <c r="A4277" s="1" t="s">
        <v>8547</v>
      </c>
      <c r="B4277" s="1">
        <v>0</v>
      </c>
      <c r="C4277" s="3">
        <v>44542.829976851855</v>
      </c>
      <c r="D4277" s="1" t="s">
        <v>8548</v>
      </c>
      <c r="E4277" s="1" t="str">
        <f ca="1">IFERROR(__xludf.DUMMYFUNCTION("GOOGLETRANSLATE(A1076 , ""tr"" , ""en"")"),"@drfahrettinkoca #omikron is not obliged to be sick, we don't have to be sick.")</f>
        <v>@drfahrettinkoca #omikron is not obliged to be sick, we don't have to be sick.</v>
      </c>
    </row>
    <row r="4278" spans="1:5" ht="15" customHeight="1" x14ac:dyDescent="0.2">
      <c r="A4278" s="1" t="s">
        <v>8549</v>
      </c>
      <c r="B4278" s="1">
        <v>0</v>
      </c>
      <c r="C4278" s="3">
        <v>44542.829594907409</v>
      </c>
      <c r="D4278" s="1" t="s">
        <v>8550</v>
      </c>
      <c r="E4278" s="1" t="str">
        <f ca="1">IFERROR(__xludf.DUMMYFUNCTION("GOOGLETRANSLATE(A1077 , ""tr"" , ""en"")"),"@drfahrettinkoca According to this variant, Hani Supervisory, why didn't you follow the careful caution or ... https://t.co/aeaIPDKQZZ")</f>
        <v>@drfahrettinkoca According to this variant, Hani Supervisory, why didn't you follow the careful caution or ... https://t.co/aeaIPDKQZZ</v>
      </c>
    </row>
    <row r="4279" spans="1:5" ht="15" customHeight="1" x14ac:dyDescent="0.2">
      <c r="A4279" s="1" t="s">
        <v>8551</v>
      </c>
      <c r="B4279" s="1">
        <v>0</v>
      </c>
      <c r="C4279" s="3">
        <v>44542.827951388892</v>
      </c>
      <c r="D4279" s="1" t="s">
        <v>8552</v>
      </c>
      <c r="E4279" s="1" t="str">
        <f ca="1">IFERROR(__xludf.DUMMYFUNCTION("GOOGLETRANSLATE(A1078 , ""tr"" , ""en"")"),"@drfahrettinkoca How did the test and vaccine have been compulsory in transportation, how did this variant come to the country? This also tells her to explain ... https://t.co/iw6nlxqohz")</f>
        <v>@drfahrettinkoca How did the test and vaccine have been compulsory in transportation, how did this variant come to the country? This also tells her to explain ... https://t.co/iw6nlxqohz</v>
      </c>
    </row>
    <row r="4280" spans="1:5" ht="15" customHeight="1" x14ac:dyDescent="0.2">
      <c r="A4280" s="1" t="s">
        <v>8553</v>
      </c>
      <c r="B4280" s="1">
        <v>0</v>
      </c>
      <c r="C4280" s="3">
        <v>44542.827094907407</v>
      </c>
      <c r="D4280" s="1" t="s">
        <v>8554</v>
      </c>
      <c r="E4280" s="1" t="str">
        <f ca="1">IFERROR(__xludf.DUMMYFUNCTION("GOOGLETRANSLATE(A1079 , ""tr"" , ""en"")"),"@drfahrettinka https://t.co/pe2g9r5wk7")</f>
        <v>@drfahrettinka https://t.co/pe2g9r5wk7</v>
      </c>
    </row>
    <row r="4281" spans="1:5" ht="15" customHeight="1" x14ac:dyDescent="0.2">
      <c r="A4281" s="1" t="s">
        <v>8555</v>
      </c>
      <c r="B4281" s="1">
        <v>0</v>
      </c>
      <c r="C4281" s="3">
        <v>44542.826979166668</v>
      </c>
      <c r="D4281" s="1" t="s">
        <v>8556</v>
      </c>
      <c r="E4281" s="1" t="str">
        <f ca="1">IFERROR(__xludf.DUMMYFUNCTION("GOOGLETRANSLATE(A1080 , ""tr"" , ""en"")"),"@drfahrettinkoca Which variant will be plugged in the chip Mr. Fahrettin Bey")</f>
        <v>@drfahrettinkoca Which variant will be plugged in the chip Mr. Fahrettin Bey</v>
      </c>
    </row>
    <row r="4282" spans="1:5" ht="15" customHeight="1" x14ac:dyDescent="0.2">
      <c r="A4282" s="1" t="s">
        <v>8557</v>
      </c>
      <c r="B4282" s="1">
        <v>0</v>
      </c>
      <c r="C4282" s="3">
        <v>44542.826597222222</v>
      </c>
      <c r="D4282" s="1" t="s">
        <v>8558</v>
      </c>
      <c r="E4282" s="1" t="str">
        <f ca="1">IFERROR(__xludf.DUMMYFUNCTION("GOOGLETRANSLATE(A1081 , ""tr"" , ""en"")"),"@drfahrettinkoca New World Organization of the countries of the countries of the countries of the health economy printing restraint Fabri ... https://t.co/oubvn16kxz")</f>
        <v>@drfahrettinkoca New World Organization of the countries of the countries of the countries of the health economy printing restraint Fabri ... https://t.co/oubvn16kxz</v>
      </c>
    </row>
    <row r="4283" spans="1:5" ht="15" customHeight="1" x14ac:dyDescent="0.2">
      <c r="A4283" s="1" t="s">
        <v>8559</v>
      </c>
      <c r="B4283" s="1">
        <v>0</v>
      </c>
      <c r="C4283" s="3">
        <v>44542.821412037039</v>
      </c>
      <c r="D4283" s="1" t="s">
        <v>8560</v>
      </c>
      <c r="E4283" s="1" t="str">
        <f ca="1">IFERROR(__xludf.DUMMYFUNCTION("GOOGLETRANSLATE(A1082 , ""tr"" , ""en"")"),"@drfahrettinkoca havcunun you lick you what you have ever been in your country where you entered our country how came to our Variant Nasil ... https://t.co/PCJEIXCAUN")</f>
        <v>@drfahrettinkoca havcunun you lick you what you have ever been in your country where you entered our country how came to our Variant Nasil ... https://t.co/PCJEIXCAUN</v>
      </c>
    </row>
    <row r="4284" spans="1:5" ht="15" customHeight="1" x14ac:dyDescent="0.2">
      <c r="A4284" s="1" t="s">
        <v>8561</v>
      </c>
      <c r="B4284" s="1">
        <v>1</v>
      </c>
      <c r="C4284" s="3">
        <v>44542.82130787037</v>
      </c>
      <c r="D4284" s="1" t="s">
        <v>8562</v>
      </c>
      <c r="E4284" s="1" t="str">
        <f ca="1">IFERROR(__xludf.DUMMYFUNCTION("GOOGLETRANSLATE(A1083 , ""tr"" , ""en"")"),"@drfahrettinkoca ❗Dr. Carrie Madej: ❗ If you become vaccines, your genetics break down and you are GMO. ❗ Ande is high mah ... https://t.co/oxoauoqpeo")</f>
        <v>@drfahrettinkoca ❗Dr. Carrie Madej: ❗ If you become vaccines, your genetics break down and you are GMO. ❗ Ande is high mah ... https://t.co/oxoauoqpeo</v>
      </c>
    </row>
    <row r="4285" spans="1:5" ht="15" customHeight="1" x14ac:dyDescent="0.2">
      <c r="A4285" s="1" t="s">
        <v>8563</v>
      </c>
      <c r="B4285" s="1">
        <v>2</v>
      </c>
      <c r="C4285" s="3">
        <v>44542.821111111109</v>
      </c>
      <c r="D4285" s="1" t="s">
        <v>8564</v>
      </c>
      <c r="E4285" s="1" t="str">
        <f ca="1">IFERROR(__xludf.DUMMYFUNCTION("GOOGLETRANSLATE(A1084 , ""tr"" , ""en"")"),"@drfahrettinkoca all the world began to be broken due to Omicron You don't need to hospitalize the men out ... https://t.co/dmccm7aw9f")</f>
        <v>@drfahrettinkoca all the world began to be broken due to Omicron You don't need to hospitalize the men out ... https://t.co/dmccm7aw9f</v>
      </c>
    </row>
    <row r="4286" spans="1:5" ht="15" customHeight="1" x14ac:dyDescent="0.2">
      <c r="A4286" s="1" t="s">
        <v>8565</v>
      </c>
      <c r="B4286" s="1">
        <v>7</v>
      </c>
      <c r="C4286" s="3">
        <v>44542.820520833331</v>
      </c>
      <c r="D4286" s="1" t="s">
        <v>8566</v>
      </c>
      <c r="E4286" s="1" t="str">
        <f ca="1">IFERROR(__xludf.DUMMYFUNCTION("GOOGLETRANSLATE(A1085 , ""tr"" , ""en"")"),"@drfahrettinkoca Wishing 5-11 years of age for parents and we want our vaccines urgently ... 🙏")</f>
        <v>@drfahrettinkoca Wishing 5-11 years of age for parents and we want our vaccines urgently ... 🙏</v>
      </c>
    </row>
    <row r="4287" spans="1:5" ht="15" customHeight="1" x14ac:dyDescent="0.2">
      <c r="A4287" s="1" t="s">
        <v>8567</v>
      </c>
      <c r="B4287" s="1">
        <v>0</v>
      </c>
      <c r="C4287" s="3">
        <v>44542.820428240739</v>
      </c>
      <c r="D4287" s="1" t="s">
        <v>8568</v>
      </c>
      <c r="E4287" s="1" t="str">
        <f ca="1">IFERROR(__xludf.DUMMYFUNCTION("GOOGLETRANSLATE(A1086 , ""tr"" , ""en"")"),"@drfahrettinkoca This liquid is giant in each course. You are what you are liar.")</f>
        <v>@drfahrettinkoca This liquid is giant in each course. You are what you are liar.</v>
      </c>
    </row>
    <row r="4288" spans="1:5" ht="15" customHeight="1" x14ac:dyDescent="0.2">
      <c r="A4288" s="1" t="s">
        <v>8569</v>
      </c>
      <c r="B4288" s="1">
        <v>0</v>
      </c>
      <c r="C4288" s="3">
        <v>44542.819768518515</v>
      </c>
      <c r="D4288" s="1" t="s">
        <v>8570</v>
      </c>
      <c r="E4288" s="1" t="str">
        <f ca="1">IFERROR(__xludf.DUMMYFUNCTION("GOOGLETRANSLATE(A1087 , ""tr"" , ""en"")"),"And @drfahrettinka so these people are fluid my fluid? The Hani was underwent to the liquids.")</f>
        <v>And @drfahrettinka so these people are fluid my fluid? The Hani was underwent to the liquids.</v>
      </c>
    </row>
    <row r="4289" spans="1:5" ht="15" customHeight="1" x14ac:dyDescent="0.2">
      <c r="A4289" s="1" t="s">
        <v>8571</v>
      </c>
      <c r="B4289" s="1">
        <v>0</v>
      </c>
      <c r="C4289" s="3">
        <v>44542.818981481483</v>
      </c>
      <c r="D4289" s="1" t="s">
        <v>8572</v>
      </c>
      <c r="E4289" s="1" t="str">
        <f ca="1">IFERROR(__xludf.DUMMYFUNCTION("GOOGLETRANSLATE(A1088 , ""tr"" , ""en"")"),"Refer to @drfahrettinkoca this twiti do not forget this C19 is a promise that is told when you first arrived")</f>
        <v>Refer to @drfahrettinkoca this twiti do not forget this C19 is a promise that is told when you first arrived</v>
      </c>
    </row>
    <row r="4290" spans="1:5" ht="15" customHeight="1" x14ac:dyDescent="0.2">
      <c r="A4290" s="1" t="s">
        <v>8573</v>
      </c>
      <c r="B4290" s="1">
        <v>0</v>
      </c>
      <c r="C4290" s="3">
        <v>44542.818576388891</v>
      </c>
      <c r="D4290" s="1" t="s">
        <v>8574</v>
      </c>
      <c r="E4290" s="1" t="str">
        <f ca="1">IFERROR(__xludf.DUMMYFUNCTION("GOOGLETRANSLATE(A1089 , ""tr"" , ""en"")"),"@drfahrettinkoca so you say that our nur ball was our omicron.")</f>
        <v>@drfahrettinkoca so you say that our nur ball was our omicron.</v>
      </c>
    </row>
    <row r="4291" spans="1:5" ht="15" customHeight="1" x14ac:dyDescent="0.2">
      <c r="A4291" s="1" t="s">
        <v>8575</v>
      </c>
      <c r="B4291" s="1">
        <v>0</v>
      </c>
      <c r="C4291" s="3">
        <v>44542.818194444444</v>
      </c>
      <c r="D4291" s="1" t="s">
        <v>8576</v>
      </c>
      <c r="E4291" s="1" t="str">
        <f ca="1">IFERROR(__xludf.DUMMYFUNCTION("GOOGLETRANSLATE(A1090 , ""tr"" , ""en"")"),"@drfahrettinkoca yave he he. I think you will call the liquid in my headache.")</f>
        <v>@drfahrettinkoca yave he he. I think you will call the liquid in my headache.</v>
      </c>
    </row>
    <row r="4292" spans="1:5" ht="15" customHeight="1" x14ac:dyDescent="0.2">
      <c r="A4292" s="1" t="s">
        <v>8577</v>
      </c>
      <c r="B4292" s="1">
        <v>0</v>
      </c>
      <c r="C4292" s="3">
        <v>44542.814745370371</v>
      </c>
      <c r="D4292" s="1" t="s">
        <v>8578</v>
      </c>
      <c r="E4292" s="1" t="str">
        <f ca="1">IFERROR(__xludf.DUMMYFUNCTION("GOOGLETRANSLATE(A1091 , ""tr"" , ""en"")"),"@drfahrettinkoca 😃😃😃😃")</f>
        <v>@drfahrettinkoca 😃😃😃😃</v>
      </c>
    </row>
    <row r="4293" spans="1:5" ht="15" customHeight="1" x14ac:dyDescent="0.2">
      <c r="A4293" s="1" t="s">
        <v>8579</v>
      </c>
      <c r="B4293" s="1">
        <v>0</v>
      </c>
      <c r="C4293" s="3">
        <v>44542.813449074078</v>
      </c>
      <c r="D4293" s="1" t="s">
        <v>8580</v>
      </c>
      <c r="E4293" s="1" t="str">
        <f ca="1">IFERROR(__xludf.DUMMYFUNCTION("GOOGLETRANSLATE(A1092 , ""tr"" , ""en"")"),"@drfahrettinkoca ebru EREN Goremi I'm not Goremi I'm on the world I'm simply..Hep took off the twiths..astronot dress ... https://t.co/myxzxceutf")</f>
        <v>@drfahrettinkoca ebru EREN Goremi I'm not Goremi I'm on the world I'm simply..Hep took off the twiths..astronot dress ... https://t.co/myxzxceutf</v>
      </c>
    </row>
    <row r="4294" spans="1:5" ht="15" customHeight="1" x14ac:dyDescent="0.2">
      <c r="A4294" s="1" t="s">
        <v>8581</v>
      </c>
      <c r="B4294" s="1">
        <v>0</v>
      </c>
      <c r="C4294" s="3">
        <v>44542.812210648146</v>
      </c>
      <c r="D4294" s="1" t="s">
        <v>8582</v>
      </c>
      <c r="E4294" s="1" t="str">
        <f ca="1">IFERROR(__xludf.DUMMYFUNCTION("GOOGLETRANSLATE(A1093 , ""tr"" , ""en"")"),"@drfahrettinkoca One of the unable to travel out of the pseudonial and non-PCR friends are unable to travel international twio. Osam ... https://t.co/1uzzvufn3y")</f>
        <v>@drfahrettinkoca One of the unable to travel out of the pseudonial and non-PCR friends are unable to travel international twio. Osam ... https://t.co/1uzzvufn3y</v>
      </c>
    </row>
    <row r="4295" spans="1:5" ht="15" customHeight="1" x14ac:dyDescent="0.2">
      <c r="A4295" s="1" t="s">
        <v>8583</v>
      </c>
      <c r="B4295" s="1">
        <v>0</v>
      </c>
      <c r="C4295" s="3">
        <v>44542.808518518519</v>
      </c>
      <c r="D4295" s="1" t="s">
        <v>8584</v>
      </c>
      <c r="E4295" s="1" t="str">
        <f ca="1">IFERROR(__xludf.DUMMYFUNCTION("GOOGLETRANSLATE(A1094 , ""tr"" , ""en"")"),"@drfahrettinka https://t.co/zkdeecggkn")</f>
        <v>@drfahrettinka https://t.co/zkdeecggkn</v>
      </c>
    </row>
    <row r="4296" spans="1:5" ht="15" customHeight="1" x14ac:dyDescent="0.2">
      <c r="A4296" s="1" t="s">
        <v>8585</v>
      </c>
      <c r="B4296" s="1">
        <v>0</v>
      </c>
      <c r="C4296" s="3">
        <v>44542.805659722224</v>
      </c>
      <c r="D4296" s="1" t="s">
        <v>8586</v>
      </c>
      <c r="E4296" s="1" t="str">
        <f ca="1">IFERROR(__xludf.DUMMYFUNCTION("GOOGLETRANSLATE(A1095 , ""tr"" , ""en"")"),"@drfahrettinkoca missing vaccine doesn't end that")</f>
        <v>@drfahrettinkoca missing vaccine doesn't end that</v>
      </c>
    </row>
    <row r="4297" spans="1:5" ht="15" customHeight="1" x14ac:dyDescent="0.2">
      <c r="A4297" s="1" t="s">
        <v>8587</v>
      </c>
      <c r="B4297" s="1">
        <v>0</v>
      </c>
      <c r="C4297" s="3">
        <v>44542.805347222224</v>
      </c>
      <c r="D4297" s="1" t="s">
        <v>8588</v>
      </c>
      <c r="E4297" s="1" t="str">
        <f ca="1">IFERROR(__xludf.DUMMYFUNCTION("GOOGLETRANSLATE(A1096 , ""tr"" , ""en"")"),"@drfahrettinkoca New Variant Considering the 3rd Dose of the Founders of the Country and Biontech ... https://t.co/m5yoeqke88")</f>
        <v>@drfahrettinkoca New Variant Considering the 3rd Dose of the Founders of the Country and Biontech ... https://t.co/m5yoeqke88</v>
      </c>
    </row>
    <row r="4298" spans="1:5" ht="15" customHeight="1" x14ac:dyDescent="0.2">
      <c r="A4298" s="1" t="s">
        <v>8589</v>
      </c>
      <c r="B4298" s="1">
        <v>1</v>
      </c>
      <c r="C4298" s="3">
        <v>44542.805</v>
      </c>
      <c r="D4298" s="1" t="s">
        <v>8590</v>
      </c>
      <c r="E4298" s="1" t="str">
        <f ca="1">IFERROR(__xludf.DUMMYFUNCTION("GOOGLETRANSLATE(A1097 , ""tr"" , ""en"")"),"@drfahrettinkoca what makes this asilar in every variana effective..ayrica this varianti did not test it..PCR LA Mi😂inan")</f>
        <v>@drfahrettinkoca what makes this asilar in every variana effective..ayrica this varianti did not test it..PCR LA Mi😂inan</v>
      </c>
    </row>
    <row r="4299" spans="1:5" ht="15" customHeight="1" x14ac:dyDescent="0.2">
      <c r="A4299" s="1" t="s">
        <v>8591</v>
      </c>
      <c r="B4299" s="1">
        <v>2</v>
      </c>
      <c r="C4299" s="3">
        <v>44542.804282407407</v>
      </c>
      <c r="D4299" s="1" t="s">
        <v>8592</v>
      </c>
      <c r="E4299" s="1" t="str">
        <f ca="1">IFERROR(__xludf.DUMMYFUNCTION("GOOGLETRANSLATE(A1098 , ""tr"" , ""en"")"),"@drfahrettinkoca # Wake up HERYERYYERDİRENİS Nothing alone for 2 years while the WHO CABSIRs have changed in the guide")</f>
        <v>@drfahrettinkoca # Wake up HERYERYYERDİRENİS Nothing alone for 2 years while the WHO CABSIRs have changed in the guide</v>
      </c>
    </row>
    <row r="4300" spans="1:5" ht="15" customHeight="1" x14ac:dyDescent="0.2">
      <c r="A4300" s="1" t="s">
        <v>8593</v>
      </c>
      <c r="B4300" s="1">
        <v>0</v>
      </c>
      <c r="C4300" s="3">
        <v>44542.80395833333</v>
      </c>
      <c r="D4300" s="1" t="s">
        <v>8594</v>
      </c>
      <c r="E4300" s="1" t="str">
        <f ca="1">IFERROR(__xludf.DUMMYFUNCTION("GOOGLETRANSLATE(A1099 , ""tr"" , ""en"")"),"@drfahrettinkca urgently remote training so that such training is never seen to go to school is disappearing to school, lesson ... https://t.co/avdtsfmtcm")</f>
        <v>@drfahrettinkca urgently remote training so that such training is never seen to go to school is disappearing to school, lesson ... https://t.co/avdtsfmtcm</v>
      </c>
    </row>
    <row r="4301" spans="1:5" ht="15" customHeight="1" x14ac:dyDescent="0.2">
      <c r="A4301" s="1" t="s">
        <v>8595</v>
      </c>
      <c r="B4301" s="1">
        <v>0</v>
      </c>
      <c r="C4301" s="3">
        <v>44542.803599537037</v>
      </c>
      <c r="D4301" s="1" t="s">
        <v>8596</v>
      </c>
      <c r="E4301" s="1" t="str">
        <f ca="1">IFERROR(__xludf.DUMMYFUNCTION("GOOGLETRANSLATE(A1100 , ""tr"" , ""en"")"),"@drfahrettinkoca variants unless the ends are over")</f>
        <v>@drfahrettinkoca variants unless the ends are over</v>
      </c>
    </row>
    <row r="4302" spans="1:5" ht="15" customHeight="1" x14ac:dyDescent="0.2">
      <c r="A4302" s="1" t="s">
        <v>8597</v>
      </c>
      <c r="B4302" s="1">
        <v>0</v>
      </c>
      <c r="C4302" s="3">
        <v>44542.803391203706</v>
      </c>
      <c r="D4302" s="1" t="s">
        <v>8598</v>
      </c>
      <c r="E4302" s="1" t="str">
        <f ca="1">IFERROR(__xludf.DUMMYFUNCTION("GOOGLETRANSLATE(A1101 , ""tr"" , ""en"")"),"@drfahrettinkoca plan works smoothly")</f>
        <v>@drfahrettinkoca plan works smoothly</v>
      </c>
    </row>
    <row r="4303" spans="1:5" ht="15" customHeight="1" x14ac:dyDescent="0.2">
      <c r="A4303" s="1" t="s">
        <v>8599</v>
      </c>
      <c r="B4303" s="1">
        <v>0</v>
      </c>
      <c r="C4303" s="3">
        <v>44542.802395833336</v>
      </c>
      <c r="D4303" s="1" t="s">
        <v>8600</v>
      </c>
      <c r="E4303" s="1" t="str">
        <f ca="1">IFERROR(__xludf.DUMMYFUNCTION("GOOGLETRANSLATE(A1102 , ""tr"" , ""en"")"),"@drfahrettinkoca Humans are the more extension of these Planemia when you are in a living problem.")</f>
        <v>@drfahrettinkoca Humans are the more extension of these Planemia when you are in a living problem.</v>
      </c>
    </row>
    <row r="4304" spans="1:5" ht="15" customHeight="1" x14ac:dyDescent="0.2">
      <c r="A4304" s="1" t="s">
        <v>8601</v>
      </c>
      <c r="B4304" s="1">
        <v>1</v>
      </c>
      <c r="C4304" s="3">
        <v>44542.799259259256</v>
      </c>
      <c r="D4304" s="1" t="s">
        <v>8602</v>
      </c>
      <c r="E4304" s="1" t="str">
        <f ca="1">IFERROR(__xludf.DUMMYFUNCTION("GOOGLETRANSLATE(A1103 , ""tr"" , ""en"")"),"@drfahrettinkoca 4 months I'm going to school I have been to school for 2 years I have not had my measure for 2 years Thanks goodness, School opened 2 times Koro ... https://t.co/bposumjlva")</f>
        <v>@drfahrettinkoca 4 months I'm going to school I have been to school for 2 years I have not had my measure for 2 years Thanks goodness, School opened 2 times Koro ... https://t.co/bposumjlva</v>
      </c>
    </row>
    <row r="4305" spans="1:5" ht="15" customHeight="1" x14ac:dyDescent="0.2">
      <c r="A4305" s="1" t="s">
        <v>8603</v>
      </c>
      <c r="B4305" s="1">
        <v>0</v>
      </c>
      <c r="C4305" s="3">
        <v>44542.798425925925</v>
      </c>
      <c r="D4305" s="1" t="s">
        <v>8604</v>
      </c>
      <c r="E4305" s="1" t="str">
        <f ca="1">IFERROR(__xludf.DUMMYFUNCTION("GOOGLETRANSLATE(A1104 , ""tr"" , ""en"")"),"@drfahrettinkoca today is the Omicron seen in the 6th person. After a few days 66. A week after 666. By saying the sacred number ... https://t.co/uzfsqn8s5q")</f>
        <v>@drfahrettinkoca today is the Omicron seen in the 6th person. After a few days 66. A week after 666. By saying the sacred number ... https://t.co/uzfsqn8s5q</v>
      </c>
    </row>
    <row r="4306" spans="1:5" ht="15" customHeight="1" x14ac:dyDescent="0.2">
      <c r="A4306" s="1" t="s">
        <v>8605</v>
      </c>
      <c r="B4306" s="1">
        <v>0</v>
      </c>
      <c r="C4306" s="3">
        <v>44542.797824074078</v>
      </c>
      <c r="D4306" s="1" t="s">
        <v>8606</v>
      </c>
      <c r="E4306" s="1" t="str">
        <f ca="1">IFERROR(__xludf.DUMMYFUNCTION("GOOGLETRANSLATE(A1105 , ""tr"" , ""en"")"),"@drfahrettinkoca is anxiety? No anxiety and anxiety especially no fear !!! Mask is not the distance to break the prohibits ... https://t.co/tpt9xopbdn")</f>
        <v>@drfahrettinkoca is anxiety? No anxiety and anxiety especially no fear !!! Mask is not the distance to break the prohibits ... https://t.co/tpt9xopbdn</v>
      </c>
    </row>
    <row r="4307" spans="1:5" ht="15" customHeight="1" x14ac:dyDescent="0.2">
      <c r="A4307" s="1" t="s">
        <v>8607</v>
      </c>
      <c r="B4307" s="1">
        <v>0</v>
      </c>
      <c r="C4307" s="3">
        <v>44542.796226851853</v>
      </c>
      <c r="D4307" s="1" t="s">
        <v>8608</v>
      </c>
      <c r="E4307" s="1" t="str">
        <f ca="1">IFERROR(__xludf.DUMMYFUNCTION("GOOGLETRANSLATE(A1106 , ""tr"" , ""en"")"),"@drfahrettinkoca which would you recommend?")</f>
        <v>@drfahrettinkoca which would you recommend?</v>
      </c>
    </row>
    <row r="4308" spans="1:5" ht="15" customHeight="1" x14ac:dyDescent="0.2">
      <c r="A4308" s="1" t="s">
        <v>8609</v>
      </c>
      <c r="B4308" s="1">
        <v>0</v>
      </c>
      <c r="C4308" s="3">
        <v>44542.795983796299</v>
      </c>
      <c r="D4308" s="1" t="s">
        <v>8610</v>
      </c>
      <c r="E4308" s="1" t="str">
        <f ca="1">IFERROR(__xludf.DUMMYFUNCTION("GOOGLETRANSLATE(A1107 , ""tr"" , ""en"")"),"@drfahrettinkoca Omicrona MI Catalansam, Covid 19 A?")</f>
        <v>@drfahrettinkoca Omicrona MI Catalansam, Covid 19 A?</v>
      </c>
    </row>
    <row r="4309" spans="1:5" ht="15" customHeight="1" x14ac:dyDescent="0.2">
      <c r="A4309" s="1" t="s">
        <v>8611</v>
      </c>
      <c r="B4309" s="1">
        <v>0</v>
      </c>
      <c r="C4309" s="3">
        <v>44542.795567129629</v>
      </c>
      <c r="D4309" s="1" t="s">
        <v>8612</v>
      </c>
      <c r="E4309" s="1" t="str">
        <f ca="1">IFERROR(__xludf.DUMMYFUNCTION("GOOGLETRANSLATE(A1108 , ""tr"" , ""en"")"),"@drfahrettinkoca omicron variant came in other countries took the measure of other countries we are still the same but people's health is inside ... https://t.co/ndw1mytt6e")</f>
        <v>@drfahrettinkoca omicron variant came in other countries took the measure of other countries we are still the same but people's health is inside ... https://t.co/ndw1mytt6e</v>
      </c>
    </row>
    <row r="4310" spans="1:5" ht="15" customHeight="1" x14ac:dyDescent="0.2">
      <c r="A4310" s="1" t="s">
        <v>8613</v>
      </c>
      <c r="B4310" s="1">
        <v>0</v>
      </c>
      <c r="C4310" s="3">
        <v>44542.795393518521</v>
      </c>
      <c r="D4310" s="1" t="s">
        <v>8614</v>
      </c>
      <c r="E4310" s="1" t="str">
        <f ca="1">IFERROR(__xludf.DUMMYFUNCTION("GOOGLETRANSLATE(A1109 , ""tr"" , ""en"")"),"@drfahrettinkoca In which age group did this variant be seen in how many vaccines? Can you explain?")</f>
        <v>@drfahrettinkoca In which age group did this variant be seen in how many vaccines? Can you explain?</v>
      </c>
    </row>
    <row r="4311" spans="1:5" ht="15" customHeight="1" x14ac:dyDescent="0.2">
      <c r="A4311" s="1" t="s">
        <v>8615</v>
      </c>
      <c r="B4311" s="1">
        <v>5</v>
      </c>
      <c r="C4311" s="3">
        <v>44542.794976851852</v>
      </c>
      <c r="D4311" s="1" t="s">
        <v>8616</v>
      </c>
      <c r="E4311" s="1" t="str">
        <f ca="1">IFERROR(__xludf.DUMMYFUNCTION("GOOGLETRANSLATE(A1110 , ""tr"" , ""en"")"),"@drfahrettinkoca This is not a pandemy, IQ test.")</f>
        <v>@drfahrettinkoca This is not a pandemy, IQ test.</v>
      </c>
    </row>
    <row r="4312" spans="1:5" ht="15" customHeight="1" x14ac:dyDescent="0.2">
      <c r="A4312" s="1" t="s">
        <v>8617</v>
      </c>
      <c r="B4312" s="1">
        <v>0</v>
      </c>
      <c r="C4312" s="3">
        <v>44542.794270833336</v>
      </c>
      <c r="D4312" s="1" t="s">
        <v>8618</v>
      </c>
      <c r="E4312" s="1" t="str">
        <f ca="1">IFERROR(__xludf.DUMMYFUNCTION("GOOGLETRANSLATE(A1111 , ""tr"" , ""en"")"),"@drfahrettinkoca You are not tired of a lie Mr. Minister. How came up in graft and PCR-free person can't go somewhere")</f>
        <v>@drfahrettinkoca You are not tired of a lie Mr. Minister. How came up in graft and PCR-free person can't go somewhere</v>
      </c>
    </row>
    <row r="4313" spans="1:5" ht="15" customHeight="1" x14ac:dyDescent="0.2">
      <c r="A4313" s="1" t="s">
        <v>8619</v>
      </c>
      <c r="B4313" s="1">
        <v>0</v>
      </c>
      <c r="C4313" s="3">
        <v>44542.79415509259</v>
      </c>
      <c r="D4313" s="1" t="s">
        <v>8620</v>
      </c>
      <c r="E4313" s="1" t="str">
        <f ca="1">IFERROR(__xludf.DUMMYFUNCTION("GOOGLETRANSLATE(A1112 , ""tr"" , ""en"")"),"@drfahrettinka https://t.co/d8hs4tuyxt")</f>
        <v>@drfahrettinka https://t.co/d8hs4tuyxt</v>
      </c>
    </row>
    <row r="4314" spans="1:5" ht="15" customHeight="1" x14ac:dyDescent="0.2">
      <c r="A4314" s="1" t="s">
        <v>8621</v>
      </c>
      <c r="B4314" s="1">
        <v>0</v>
      </c>
      <c r="C4314" s="3">
        <v>44542.794085648151</v>
      </c>
      <c r="D4314" s="1" t="s">
        <v>8622</v>
      </c>
      <c r="E4314" s="1" t="str">
        <f ca="1">IFERROR(__xludf.DUMMYFUNCTION("GOOGLETRANSLATE(A1113 , ""tr"" , ""en"")"),"@drfahrettinkoca güge angli and the team of the team in front of the Turkish nation is revealed to the Family Secrets of the victim at Serkan Kiyak ... https://t.co/sj84oghpık")</f>
        <v>@drfahrettinkoca güge angli and the team of the team in front of the Turkish nation is revealed to the Family Secrets of the victim at Serkan Kiyak ... https://t.co/sj84oghpık</v>
      </c>
    </row>
    <row r="4315" spans="1:5" ht="15" customHeight="1" x14ac:dyDescent="0.2">
      <c r="A4315" s="1" t="s">
        <v>8623</v>
      </c>
      <c r="B4315" s="1">
        <v>0</v>
      </c>
      <c r="C4315" s="3">
        <v>44542.793379629627</v>
      </c>
      <c r="D4315" s="1" t="s">
        <v>8624</v>
      </c>
      <c r="E4315" s="1" t="str">
        <f ca="1">IFERROR(__xludf.DUMMYFUNCTION("GOOGLETRANSLATE(A1114 , ""tr"" , ""en"")"),"@drfahrettinkoca Everything is playing with the number of cases that they are formally fogging as the child is fooling the child ... https://t.co/1jztgxjm4s")</f>
        <v>@drfahrettinkoca Everything is playing with the number of cases that they are formally fogging as the child is fooling the child ... https://t.co/1jztgxjm4s</v>
      </c>
    </row>
    <row r="4316" spans="1:5" ht="15" customHeight="1" x14ac:dyDescent="0.2">
      <c r="A4316" s="1" t="s">
        <v>8625</v>
      </c>
      <c r="B4316" s="1">
        <v>0</v>
      </c>
      <c r="C4316" s="3">
        <v>44542.793043981481</v>
      </c>
      <c r="D4316" s="1" t="s">
        <v>8626</v>
      </c>
      <c r="E4316" s="1" t="str">
        <f ca="1">IFERROR(__xludf.DUMMYFUNCTION("GOOGLETRANSLATE(A1115 , ""tr"" , ""en"")"),"@drfahrettinka https://t.co/dqhftjgodn")</f>
        <v>@drfahrettinka https://t.co/dqhftjgodn</v>
      </c>
    </row>
    <row r="4317" spans="1:5" ht="15" customHeight="1" x14ac:dyDescent="0.2">
      <c r="A4317" s="1" t="s">
        <v>8627</v>
      </c>
      <c r="B4317" s="1">
        <v>0</v>
      </c>
      <c r="C4317" s="3">
        <v>44542.792638888888</v>
      </c>
      <c r="D4317" s="1" t="s">
        <v>8628</v>
      </c>
      <c r="E4317" s="1" t="str">
        <f ca="1">IFERROR(__xludf.DUMMYFUNCTION("GOOGLETRANSLATE(A1116 , ""tr"" , ""en"")"),"@drfahrettinkoca Let's see your late Daggan on your day.")</f>
        <v>@drfahrettinkoca Let's see your late Daggan on your day.</v>
      </c>
    </row>
    <row r="4318" spans="1:5" ht="15" customHeight="1" x14ac:dyDescent="0.2">
      <c r="A4318" s="1" t="s">
        <v>8629</v>
      </c>
      <c r="B4318" s="1">
        <v>0</v>
      </c>
      <c r="C4318" s="3">
        <v>44542.792129629626</v>
      </c>
      <c r="D4318" s="1" t="s">
        <v>8630</v>
      </c>
      <c r="E4318" s="1" t="str">
        <f ca="1">IFERROR(__xludf.DUMMYFUNCTION("GOOGLETRANSLATE(A1117 , ""tr"" , ""en"")"),"@drfahrettinkoca ""Our citizens should not be worrier"" so say: Shop Go to Here Go Here Trip Cap ...")</f>
        <v>@drfahrettinkoca "Our citizens should not be worrier" so say: Shop Go to Here Go Here Trip Cap ...</v>
      </c>
    </row>
    <row r="4319" spans="1:5" ht="15" customHeight="1" x14ac:dyDescent="0.2">
      <c r="A4319" s="1" t="s">
        <v>8631</v>
      </c>
      <c r="B4319" s="1">
        <v>0</v>
      </c>
      <c r="C4319" s="3">
        <v>44542.792060185187</v>
      </c>
      <c r="D4319" s="1" t="s">
        <v>8632</v>
      </c>
      <c r="E4319" s="1" t="str">
        <f ca="1">IFERROR(__xludf.DUMMYFUNCTION("GOOGLETRANSLATE(A1118 , ""tr"" , ""en"")"),"@drfahrettinka Do you think that measures are observed really? What the mask is what distance .. nobody cares 🤦🤦️")</f>
        <v>@drfahrettinka Do you think that measures are observed really? What the mask is what distance .. nobody cares 🤦🤦️</v>
      </c>
    </row>
    <row r="4320" spans="1:5" ht="15" customHeight="1" x14ac:dyDescent="0.2">
      <c r="A4320" s="1" t="s">
        <v>8633</v>
      </c>
      <c r="B4320" s="1">
        <v>0</v>
      </c>
      <c r="C4320" s="3">
        <v>44542.791504629633</v>
      </c>
      <c r="D4320" s="1" t="s">
        <v>8634</v>
      </c>
      <c r="E4320" s="1" t="str">
        <f ca="1">IFERROR(__xludf.DUMMYFUNCTION("GOOGLETRANSLATE(A1119 , ""tr"" , ""en"")"),"@drfahrettinkoca noose and PCR is that you are traveling varianants in how you are traveling Varyants is meant to say Variant says")</f>
        <v>@drfahrettinkoca noose and PCR is that you are traveling varianants in how you are traveling Varyants is meant to say Variant says</v>
      </c>
    </row>
    <row r="4321" spans="1:5" ht="15" customHeight="1" x14ac:dyDescent="0.2">
      <c r="A4321" s="1" t="s">
        <v>8635</v>
      </c>
      <c r="B4321" s="1">
        <v>1</v>
      </c>
      <c r="C4321" s="3">
        <v>44542.791481481479</v>
      </c>
      <c r="D4321" s="1" t="s">
        <v>8636</v>
      </c>
      <c r="E4321" s="1" t="str">
        <f ca="1">IFERROR(__xludf.DUMMYFUNCTION("GOOGLETRANSLATE(A1120 , ""tr"" , ""en"")"),"@drfahrettinka we were much healthy when there was no vaccine ... and it was so many people didn't die ... Https://t.co/vsskwultva")</f>
        <v>@drfahrettinka we were much healthy when there was no vaccine ... and it was so many people didn't die ... Https://t.co/vsskwultva</v>
      </c>
    </row>
    <row r="4322" spans="1:5" ht="15" customHeight="1" x14ac:dyDescent="0.2">
      <c r="A4322" s="1" t="s">
        <v>8637</v>
      </c>
      <c r="B4322" s="1">
        <v>4</v>
      </c>
      <c r="C4322" s="3">
        <v>44542.790520833332</v>
      </c>
      <c r="D4322" s="1" t="s">
        <v>8638</v>
      </c>
      <c r="E4322" s="1" t="str">
        <f ca="1">IFERROR(__xludf.DUMMYFUNCTION("GOOGLETRANSLATE(A1121 , ""tr"" , ""en"")"),"@drfahrettinkoca soon explains the virus-ended description #AccountsMandmandization")</f>
        <v>@drfahrettinkoca soon explains the virus-ended description #AccountsMandmandization</v>
      </c>
    </row>
    <row r="4323" spans="1:5" ht="15" customHeight="1" x14ac:dyDescent="0.2">
      <c r="A4323" s="1" t="s">
        <v>8639</v>
      </c>
      <c r="B4323" s="1">
        <v>14</v>
      </c>
      <c r="C4323" s="3">
        <v>44542.78974537037</v>
      </c>
      <c r="D4323" s="1" t="s">
        <v>8640</v>
      </c>
      <c r="E4323" s="1" t="str">
        <f ca="1">IFERROR(__xludf.DUMMYFUNCTION("GOOGLETRANSLATE(A1122 , ""tr"" , ""en"")"),"How do you identify @drfahrettinkoca variants? Where are the scientific data? Do you have a gossip science? 😁 Enough A ... https://t.co/AIfIBVYMXM")</f>
        <v>How do you identify @drfahrettinkoca variants? Where are the scientific data? Do you have a gossip science? 😁 Enough A ... https://t.co/AIfIBVYMXM</v>
      </c>
    </row>
    <row r="4324" spans="1:5" ht="15" customHeight="1" x14ac:dyDescent="0.2">
      <c r="A4324" s="1" t="s">
        <v>8641</v>
      </c>
      <c r="B4324" s="1">
        <v>0</v>
      </c>
      <c r="C4324" s="3">
        <v>44542.788680555554</v>
      </c>
      <c r="D4324" s="1" t="s">
        <v>8642</v>
      </c>
      <c r="E4324" s="1" t="str">
        <f ca="1">IFERROR(__xludf.DUMMYFUNCTION("GOOGLETRANSLATE(A1123 , ""tr"" , ""en"")"),"@drfahrettinkoca without anxiety, there is only one reason if you have.")</f>
        <v>@drfahrettinkoca without anxiety, there is only one reason if you have.</v>
      </c>
    </row>
    <row r="4325" spans="1:5" ht="15" customHeight="1" x14ac:dyDescent="0.2">
      <c r="A4325" s="1" t="s">
        <v>8643</v>
      </c>
      <c r="B4325" s="1">
        <v>0</v>
      </c>
      <c r="C4325" s="3">
        <v>44542.788634259261</v>
      </c>
      <c r="D4325" s="1" t="s">
        <v>8644</v>
      </c>
      <c r="E4325" s="1" t="str">
        <f ca="1">IFERROR(__xludf.DUMMYFUNCTION("GOOGLETRANSLATE(A1124 , ""tr"" , ""en"")"),"@drfahrettinkoca corona ended variant emerging ha one everyone will die")</f>
        <v>@drfahrettinkoca corona ended variant emerging ha one everyone will die</v>
      </c>
    </row>
    <row r="4326" spans="1:5" ht="15" customHeight="1" x14ac:dyDescent="0.2">
      <c r="A4326" s="1" t="s">
        <v>8645</v>
      </c>
      <c r="B4326" s="1">
        <v>0</v>
      </c>
      <c r="C4326" s="3">
        <v>44542.786238425928</v>
      </c>
      <c r="D4326" s="1" t="s">
        <v>8646</v>
      </c>
      <c r="E4326" s="1" t="str">
        <f ca="1">IFERROR(__xludf.DUMMYFUNCTION("GOOGLETRANSLATE(A1125 , ""tr"" , ""en"")"),"@drfahrettinkoca is your greatest feature Do you know what you think of everyone in your own puppet We don't have anxiety s ... https://t.co/elqlq5px8q")</f>
        <v>@drfahrettinkoca is your greatest feature Do you know what you think of everyone in your own puppet We don't have anxiety s ... https://t.co/elqlq5px8q</v>
      </c>
    </row>
    <row r="4327" spans="1:5" ht="15" customHeight="1" x14ac:dyDescent="0.2">
      <c r="A4327" s="1" t="s">
        <v>8647</v>
      </c>
      <c r="B4327" s="1">
        <v>0</v>
      </c>
      <c r="C4327" s="3">
        <v>44542.784907407404</v>
      </c>
      <c r="D4327" s="1" t="s">
        <v>8648</v>
      </c>
      <c r="E4327" s="1" t="str">
        <f ca="1">IFERROR(__xludf.DUMMYFUNCTION("GOOGLETRANSLATE(A1126 , ""tr"" , ""en"")"),"@drfahrettinkoca UKRR We're tired of your lies")</f>
        <v>@drfahrettinkoca UKRR We're tired of your lies</v>
      </c>
    </row>
    <row r="4328" spans="1:5" ht="15" customHeight="1" x14ac:dyDescent="0.2">
      <c r="A4328" s="1" t="s">
        <v>8649</v>
      </c>
      <c r="B4328" s="1">
        <v>0</v>
      </c>
      <c r="C4328" s="3">
        <v>44542.784837962965</v>
      </c>
      <c r="D4328" s="1" t="s">
        <v>8650</v>
      </c>
      <c r="E4328" s="1" t="str">
        <f ca="1">IFERROR(__xludf.DUMMYFUNCTION("GOOGLETRANSLATE(A1127 , ""tr"" , ""en"")"),"@drfahrettinkoca Ministry of Covitir VariantTur is this is this Hergun Something comes out but schools outdoor kids trap Evdk ... https://t.co/p18gwkomve")</f>
        <v>@drfahrettinkoca Ministry of Covitir VariantTur is this is this Hergun Something comes out but schools outdoor kids trap Evdk ... https://t.co/p18gwkomve</v>
      </c>
    </row>
    <row r="4329" spans="1:5" ht="15" customHeight="1" x14ac:dyDescent="0.2">
      <c r="A4329" s="1" t="s">
        <v>8651</v>
      </c>
      <c r="B4329" s="1">
        <v>0</v>
      </c>
      <c r="C4329" s="3">
        <v>44542.783483796295</v>
      </c>
      <c r="D4329" s="1" t="s">
        <v>8652</v>
      </c>
      <c r="E4329" s="1" t="str">
        <f ca="1">IFERROR(__xludf.DUMMYFUNCTION("GOOGLETRANSLATE(A1128 , ""tr"" , ""en"")"),"@drfahrettinkoca I can't believe you can't be able to trust you Liar You are a Liar :)) We laugh We're Gonna ... https://t.co/dem5zlswni")</f>
        <v>@drfahrettinkoca I can't believe you can't be able to trust you Liar You are a Liar :)) We laugh We're Gonna ... https://t.co/dem5zlswni</v>
      </c>
    </row>
    <row r="4330" spans="1:5" ht="15" customHeight="1" x14ac:dyDescent="0.2">
      <c r="A4330" s="1" t="s">
        <v>8653</v>
      </c>
      <c r="B4330" s="1">
        <v>0</v>
      </c>
      <c r="C4330" s="3">
        <v>44542.782777777778</v>
      </c>
      <c r="D4330" s="1" t="s">
        <v>8654</v>
      </c>
      <c r="E4330" s="1" t="str">
        <f ca="1">IFERROR(__xludf.DUMMYFUNCTION("GOOGLETRANSLATE(A1129 , ""tr"" , ""en"")"),"@drfahrettinkoca is the fact that you have no effect on your vaccine Omicron, which we have seen the impact of other countries. Plus ... https://t.co/fgukal9Ihe")</f>
        <v>@drfahrettinkoca is the fact that you have no effect on your vaccine Omicron, which we have seen the impact of other countries. Plus ... https://t.co/fgukal9Ihe</v>
      </c>
    </row>
    <row r="4331" spans="1:5" ht="15" customHeight="1" x14ac:dyDescent="0.2">
      <c r="A4331" s="1" t="s">
        <v>8655</v>
      </c>
      <c r="B4331" s="1">
        <v>0</v>
      </c>
      <c r="C4331" s="3">
        <v>44542.781990740739</v>
      </c>
      <c r="D4331" s="1" t="s">
        <v>8656</v>
      </c>
      <c r="E4331" s="1" t="str">
        <f ca="1">IFERROR(__xludf.DUMMYFUNCTION("GOOGLETRANSLATE(A1130 , ""tr"" , ""en"")"),"@drfahrettinkoca is one of the number of 5i not by the number")</f>
        <v>@drfahrettinkoca is one of the number of 5i not by the number</v>
      </c>
    </row>
    <row r="4332" spans="1:5" ht="15" customHeight="1" x14ac:dyDescent="0.2">
      <c r="A4332" s="1" t="s">
        <v>8657</v>
      </c>
      <c r="B4332" s="1">
        <v>0</v>
      </c>
      <c r="C4332" s="3">
        <v>44542.781284722223</v>
      </c>
      <c r="D4332" s="1" t="s">
        <v>8658</v>
      </c>
      <c r="E4332" s="1" t="str">
        <f ca="1">IFERROR(__xludf.DUMMYFUNCTION("GOOGLETRANSLATE(A1131 , ""tr"" , ""en"")"),"@drfahrettinkoca Mr. Husband really ever thought of being sincere")</f>
        <v>@drfahrettinkoca Mr. Husband really ever thought of being sincere</v>
      </c>
    </row>
    <row r="4333" spans="1:5" ht="15" customHeight="1" x14ac:dyDescent="0.2">
      <c r="A4333" s="1" t="s">
        <v>8659</v>
      </c>
      <c r="B4333" s="1">
        <v>0</v>
      </c>
      <c r="C4333" s="3">
        <v>44542.779907407406</v>
      </c>
      <c r="D4333" s="1" t="s">
        <v>8660</v>
      </c>
      <c r="E4333" s="1" t="str">
        <f ca="1">IFERROR(__xludf.DUMMYFUNCTION("GOOGLETRANSLATE(A1132 , ""tr"" , ""en"")"),"@drfahrettinka https://t.co/fnxj6130IH")</f>
        <v>@drfahrettinka https://t.co/fnxj6130IH</v>
      </c>
    </row>
    <row r="4334" spans="1:5" ht="15" customHeight="1" x14ac:dyDescent="0.2">
      <c r="A4334" s="1" t="s">
        <v>8661</v>
      </c>
      <c r="B4334" s="1">
        <v>0</v>
      </c>
      <c r="C4334" s="3">
        <v>44542.778946759259</v>
      </c>
      <c r="D4334" s="1" t="s">
        <v>8662</v>
      </c>
      <c r="E4334" s="1" t="str">
        <f ca="1">IFERROR(__xludf.DUMMYFUNCTION("GOOGLETRANSLATE(A1133 , ""tr"" , ""en"")"),"@drfahrettinkoca lightly spending citizens were vaccinated I wonder if they spend it slightly ..")</f>
        <v>@drfahrettinkoca lightly spending citizens were vaccinated I wonder if they spend it slightly ..</v>
      </c>
    </row>
    <row r="4335" spans="1:5" ht="15" customHeight="1" x14ac:dyDescent="0.2">
      <c r="A4335" s="1" t="s">
        <v>8663</v>
      </c>
      <c r="B4335" s="1">
        <v>0</v>
      </c>
      <c r="C4335" s="3">
        <v>44542.77884259259</v>
      </c>
      <c r="D4335" s="1" t="s">
        <v>8664</v>
      </c>
      <c r="E4335" s="1" t="str">
        <f ca="1">IFERROR(__xludf.DUMMYFUNCTION("GOOGLETRANSLATE(A1134 , ""tr"" , ""en"")"),"@drfahrettinkoca Mr. Minister, we had a test, but in my son's PDF document in my son and my wife is in the PDF document this va ... https://t.co/zxlhwu6zef")</f>
        <v>@drfahrettinkoca Mr. Minister, we had a test, but in my son's PDF document in my son and my wife is in the PDF document this va ... https://t.co/zxlhwu6zef</v>
      </c>
    </row>
    <row r="4336" spans="1:5" ht="15" customHeight="1" x14ac:dyDescent="0.2">
      <c r="A4336" s="1" t="s">
        <v>8665</v>
      </c>
      <c r="B4336" s="1">
        <v>0</v>
      </c>
      <c r="C4336" s="3">
        <v>44542.778807870367</v>
      </c>
      <c r="D4336" s="1" t="s">
        <v>8666</v>
      </c>
      <c r="E4336" s="1" t="str">
        <f ca="1">IFERROR(__xludf.DUMMYFUNCTION("GOOGLETRANSLATE(A1135 , ""tr"" , ""en"")"),"@drfahrettinka 12 December 2020 No vaccine! Number of tests: 189.065 Case Number: 29.136 Number of patients: 5.203 Death: 222 12 Search ... https://t.co/lzr0emlr3r")</f>
        <v>@drfahrettinka 12 December 2020 No vaccine! Number of tests: 189.065 Case Number: 29.136 Number of patients: 5.203 Death: 222 12 Search ... https://t.co/lzr0emlr3r</v>
      </c>
    </row>
    <row r="4337" spans="1:5" ht="15" customHeight="1" x14ac:dyDescent="0.2">
      <c r="A4337" s="1" t="s">
        <v>8667</v>
      </c>
      <c r="B4337" s="1">
        <v>6</v>
      </c>
      <c r="C4337" s="3">
        <v>44542.778310185182</v>
      </c>
      <c r="D4337" s="1" t="s">
        <v>8668</v>
      </c>
      <c r="E4337" s="1" t="str">
        <f ca="1">IFERROR(__xludf.DUMMYFUNCTION("GOOGLETRANSLATE(A1136 , ""tr"" , ""en"")"),"@drfahrettinkoca Hoca Asi, when you were asi you were saying? You have closed 1 year home. No one has been able to rule. Inflation exploded. No yag ... https://t.co/Iiohxytgcq")</f>
        <v>@drfahrettinkoca Hoca Asi, when you were asi you were saying? You have closed 1 year home. No one has been able to rule. Inflation exploded. No yag ... https://t.co/Iiohxytgcq</v>
      </c>
    </row>
    <row r="4338" spans="1:5" ht="15" customHeight="1" x14ac:dyDescent="0.2">
      <c r="A4338" s="1" t="s">
        <v>8669</v>
      </c>
      <c r="B4338" s="1">
        <v>0</v>
      </c>
      <c r="C4338" s="3">
        <v>44542.777986111112</v>
      </c>
      <c r="D4338" s="1" t="s">
        <v>8670</v>
      </c>
      <c r="E4338" s="1" t="str">
        <f ca="1">IFERROR(__xludf.DUMMYFUNCTION("GOOGLETRANSLATE(A1137 , ""tr"" , ""en"")"),"@drfahrettinkoca Minister Closure If you want to do what you want to make the alphabet letters Çovit 19 tribe")</f>
        <v>@drfahrettinkoca Minister Closure If you want to do what you want to make the alphabet letters Çovit 19 tribe</v>
      </c>
    </row>
    <row r="4339" spans="1:5" ht="15" customHeight="1" x14ac:dyDescent="0.2">
      <c r="A4339" s="1" t="s">
        <v>8671</v>
      </c>
      <c r="B4339" s="1">
        <v>0</v>
      </c>
      <c r="C4339" s="3">
        <v>44542.77752314815</v>
      </c>
      <c r="D4339" s="1" t="s">
        <v>8672</v>
      </c>
      <c r="E4339" s="1" t="str">
        <f ca="1">IFERROR(__xludf.DUMMYFUNCTION("GOOGLETRANSLATE(A1138 , ""tr"" , ""en"")"),"@drfahrettinkoca With this strange variants, our economy should not be allowed to be more than yipranmasina and crash ... https://t.co/ukiiknvtmw")</f>
        <v>@drfahrettinkoca With this strange variants, our economy should not be allowed to be more than yipranmasina and crash ... https://t.co/ukiiknvtmw</v>
      </c>
    </row>
    <row r="4340" spans="1:5" ht="15" customHeight="1" x14ac:dyDescent="0.2">
      <c r="A4340" s="1" t="s">
        <v>8673</v>
      </c>
      <c r="B4340" s="1">
        <v>45</v>
      </c>
      <c r="C4340" s="3">
        <v>44542.777013888888</v>
      </c>
      <c r="D4340" s="1" t="s">
        <v>8674</v>
      </c>
      <c r="E4340" s="1" t="str">
        <f ca="1">IFERROR(__xludf.DUMMYFUNCTION("GOOGLETRANSLATE(A1139 , ""tr"" , ""en"")"),"@drfahrettinkoca Measures No more What you are forcing the best measure is your home that you are your home that you would have changed in Noldu ... https://t.co/GNGTMNXIKU")</f>
        <v>@drfahrettinkoca Measures No more What you are forcing the best measure is your home that you are your home that you would have changed in Noldu ... https://t.co/GNGTMNXIKU</v>
      </c>
    </row>
    <row r="4341" spans="1:5" ht="15" customHeight="1" x14ac:dyDescent="0.2">
      <c r="A4341" s="1" t="s">
        <v>8675</v>
      </c>
      <c r="B4341" s="1">
        <v>6</v>
      </c>
      <c r="C4341" s="3">
        <v>44542.776122685187</v>
      </c>
      <c r="D4341" s="1" t="s">
        <v>8676</v>
      </c>
      <c r="E4341" s="1" t="str">
        <f ca="1">IFERROR(__xludf.DUMMYFUNCTION("GOOGLETRANSLATE(A1140 , ""tr"" , ""en"")"),"@drfahrettinkoca Which method did you identified the omichones? How did you decide that what you identified is omicron ... https://t.co/t5tubr0obl")</f>
        <v>@drfahrettinkoca Which method did you identified the omichones? How did you decide that what you identified is omicron ... https://t.co/t5tubr0obl</v>
      </c>
    </row>
    <row r="4342" spans="1:5" ht="15" customHeight="1" x14ac:dyDescent="0.2">
      <c r="A4342" s="1" t="s">
        <v>8677</v>
      </c>
      <c r="B4342" s="1">
        <v>0</v>
      </c>
      <c r="C4342" s="3">
        <v>44542.775208333333</v>
      </c>
      <c r="D4342" s="1" t="s">
        <v>8678</v>
      </c>
      <c r="E4342" s="1" t="str">
        <f ca="1">IFERROR(__xludf.DUMMYFUNCTION("GOOGLETRANSLATE(A1141 , ""tr"" , ""en"")"),"@drfahrettinkoca is very interesting..This 6 people have no knowing my lover lover ?? How only 6 people ??? OFF OFFF 😠")</f>
        <v>@drfahrettinkoca is very interesting..This 6 people have no knowing my lover lover ?? How only 6 people ??? OFF OFFF 😠</v>
      </c>
    </row>
    <row r="4343" spans="1:5" ht="15" customHeight="1" x14ac:dyDescent="0.2">
      <c r="A4343" s="1" t="s">
        <v>8679</v>
      </c>
      <c r="B4343" s="1">
        <v>0</v>
      </c>
      <c r="C4343" s="3">
        <v>44542.774259259262</v>
      </c>
      <c r="D4343" s="1" t="s">
        <v>8680</v>
      </c>
      <c r="E4343" s="1" t="str">
        <f ca="1">IFERROR(__xludf.DUMMYFUNCTION("GOOGLETRANSLATE(A1142 , ""tr"" , ""en"")"),"@drfahrettinka very soon income income on noxiety")</f>
        <v>@drfahrettinka very soon income income on noxiety</v>
      </c>
    </row>
    <row r="4344" spans="1:5" ht="15" customHeight="1" x14ac:dyDescent="0.2">
      <c r="A4344" s="1" t="s">
        <v>8681</v>
      </c>
      <c r="B4344" s="1">
        <v>0</v>
      </c>
      <c r="C4344" s="3">
        <v>44542.771412037036</v>
      </c>
      <c r="D4344" s="1" t="s">
        <v>8682</v>
      </c>
      <c r="E4344" s="1" t="str">
        <f ca="1">IFERROR(__xludf.DUMMYFUNCTION("GOOGLETRANSLATE(A1143 , ""tr"" , ""en"")"),"@drfahrettinkoca you are so cute that my minister")</f>
        <v>@drfahrettinkoca you are so cute that my minister</v>
      </c>
    </row>
    <row r="4345" spans="1:5" ht="15" customHeight="1" x14ac:dyDescent="0.2">
      <c r="A4345" s="1" t="s">
        <v>8683</v>
      </c>
      <c r="B4345" s="1">
        <v>0</v>
      </c>
      <c r="C4345" s="3">
        <v>44542.771064814813</v>
      </c>
      <c r="D4345" s="1" t="s">
        <v>8684</v>
      </c>
      <c r="E4345" s="1" t="str">
        <f ca="1">IFERROR(__xludf.DUMMYFUNCTION("GOOGLETRANSLATE(A1144 , ""tr"" , ""en"")"),"@drfahrettinka overrake Senindeeeeeeee .......")</f>
        <v>@drfahrettinka overrake Senindeeeeeeee .......</v>
      </c>
    </row>
    <row r="4346" spans="1:5" ht="15" customHeight="1" x14ac:dyDescent="0.2">
      <c r="A4346" s="1" t="s">
        <v>8685</v>
      </c>
      <c r="B4346" s="1">
        <v>0</v>
      </c>
      <c r="C4346" s="3">
        <v>44542.770648148151</v>
      </c>
      <c r="D4346" s="1" t="s">
        <v>8686</v>
      </c>
      <c r="E4346" s="1" t="str">
        <f ca="1">IFERROR(__xludf.DUMMYFUNCTION("GOOGLETRANSLATE(A1145 , ""tr"" , ""en"")"),"@drfahrettinkoca lying table")</f>
        <v>@drfahrettinkoca lying table</v>
      </c>
    </row>
    <row r="4347" spans="1:5" ht="15" customHeight="1" x14ac:dyDescent="0.2">
      <c r="A4347" s="1" t="s">
        <v>8687</v>
      </c>
      <c r="B4347" s="1">
        <v>0</v>
      </c>
      <c r="C4347" s="3">
        <v>44542.76898148148</v>
      </c>
      <c r="D4347" s="1" t="s">
        <v>8688</v>
      </c>
      <c r="E4347" s="1" t="str">
        <f ca="1">IFERROR(__xludf.DUMMYFUNCTION("GOOGLETRANSLATE(A1146 , ""tr"" , ""en"")"),"@drfahrettinkoca 2.doz Sinovac to people with 1 dose biontech will be opened to people.")</f>
        <v>@drfahrettinkoca 2.doz Sinovac to people with 1 dose biontech will be opened to people.</v>
      </c>
    </row>
    <row r="4348" spans="1:5" ht="15" customHeight="1" x14ac:dyDescent="0.2">
      <c r="A4348" s="1" t="s">
        <v>8689</v>
      </c>
      <c r="B4348" s="1">
        <v>0</v>
      </c>
      <c r="C4348" s="3">
        <v>44542.768969907411</v>
      </c>
      <c r="D4348" s="1" t="s">
        <v>8690</v>
      </c>
      <c r="E4348" s="1" t="str">
        <f ca="1">IFERROR(__xludf.DUMMYFUNCTION("GOOGLETRANSLATE(A1147 , ""tr"" , ""en"")"),"@drfahrettinkoca how you understand thermometer")</f>
        <v>@drfahrettinkoca how you understand thermometer</v>
      </c>
    </row>
    <row r="4349" spans="1:5" ht="15" customHeight="1" x14ac:dyDescent="0.2">
      <c r="A4349" s="1" t="s">
        <v>8691</v>
      </c>
      <c r="B4349" s="1">
        <v>0</v>
      </c>
      <c r="C4349" s="3">
        <v>44542.768020833333</v>
      </c>
      <c r="D4349" s="1" t="s">
        <v>8692</v>
      </c>
      <c r="E4349" s="1" t="str">
        <f ca="1">IFERROR(__xludf.DUMMYFUNCTION("GOOGLETRANSLATE(A1148 , ""tr"" , ""en"")"),"@drfahrettinka Mr. Ministry of July 8. We have two dose biontek vaccines 3 dose please introduce to the system before ... https://t.co/skhmjmjxd")</f>
        <v>@drfahrettinka Mr. Ministry of July 8. We have two dose biontek vaccines 3 dose please introduce to the system before ... https://t.co/skhmjmjxd</v>
      </c>
    </row>
    <row r="4350" spans="1:5" ht="15" customHeight="1" x14ac:dyDescent="0.2">
      <c r="A4350" s="1" t="s">
        <v>8693</v>
      </c>
      <c r="B4350" s="1">
        <v>0</v>
      </c>
      <c r="C4350" s="3">
        <v>44542.767395833333</v>
      </c>
      <c r="D4350" s="1" t="s">
        <v>8694</v>
      </c>
      <c r="E4350" s="1" t="str">
        <f ca="1">IFERROR(__xludf.DUMMYFUNCTION("GOOGLETRANSLATE(A1149 , ""tr"" , ""en"")"),"@drfahrettinkoca 🌍🇹🇷👍👍🤲")</f>
        <v>@drfahrettinkoca 🌍🇹🇷👍👍🤲</v>
      </c>
    </row>
    <row r="4351" spans="1:5" ht="15" customHeight="1" x14ac:dyDescent="0.2">
      <c r="A4351" s="1" t="s">
        <v>8695</v>
      </c>
      <c r="B4351" s="1">
        <v>0</v>
      </c>
      <c r="C4351" s="3">
        <v>44542.767164351855</v>
      </c>
      <c r="D4351" s="1" t="s">
        <v>8696</v>
      </c>
      <c r="E4351" s="1" t="str">
        <f ca="1">IFERROR(__xludf.DUMMYFUNCTION("GOOGLETRANSLATE(A1150 , ""tr"" , ""en"")"),"@drfahrettinkoca fallen")</f>
        <v>@drfahrettinkoca fallen</v>
      </c>
    </row>
    <row r="4352" spans="1:5" ht="15" customHeight="1" x14ac:dyDescent="0.2">
      <c r="A4352" s="1" t="s">
        <v>8697</v>
      </c>
      <c r="B4352" s="1">
        <v>0</v>
      </c>
      <c r="C4352" s="3">
        <v>44542.766319444447</v>
      </c>
      <c r="D4352" s="1" t="s">
        <v>8698</v>
      </c>
      <c r="E4352" s="1" t="str">
        <f ca="1">IFERROR(__xludf.DUMMYFUNCTION("GOOGLETRANSLATE(A1151 , ""tr"" , ""en"")"),"@drfahrettinka Mr. Ministry I asked you a few times but you didn't see it. Please 2 Sinovac and 1 Biontek ones Ka ... https://t.co/qfskvrm0oq")</f>
        <v>@drfahrettinka Mr. Ministry I asked you a few times but you didn't see it. Please 2 Sinovac and 1 Biontek ones Ka ... https://t.co/qfskvrm0oq</v>
      </c>
    </row>
    <row r="4353" spans="1:5" ht="15" customHeight="1" x14ac:dyDescent="0.2">
      <c r="A4353" s="1" t="s">
        <v>8699</v>
      </c>
      <c r="B4353" s="1">
        <v>14</v>
      </c>
      <c r="C4353" s="3">
        <v>44542.76599537037</v>
      </c>
      <c r="D4353" s="1" t="s">
        <v>8700</v>
      </c>
      <c r="E4353" s="1" t="str">
        <f ca="1">IFERROR(__xludf.DUMMYFUNCTION("GOOGLETRANSLATE(A1152 , ""tr"" , ""en"")"),"@drfahrettinkoca hear the voice of the children and guardians before it is too late. Our children are frightened of our children to school ... https://t.co/1a7lcinptd")</f>
        <v>@drfahrettinkoca hear the voice of the children and guardians before it is too late. Our children are frightened of our children to school ... https://t.co/1a7lcinptd</v>
      </c>
    </row>
    <row r="4354" spans="1:5" ht="15" customHeight="1" x14ac:dyDescent="0.2">
      <c r="A4354" s="1" t="s">
        <v>8701</v>
      </c>
      <c r="B4354" s="1">
        <v>5</v>
      </c>
      <c r="C4354" s="3">
        <v>44542.7658912037</v>
      </c>
      <c r="D4354" s="1" t="s">
        <v>8702</v>
      </c>
      <c r="E4354" s="1" t="str">
        <f ca="1">IFERROR(__xludf.DUMMYFUNCTION("GOOGLETRANSLATE(A1153 , ""tr"" , ""en"")"),"@drfahrettinkoca world worried but let's not #mahmutoezerokullaronline")</f>
        <v>@drfahrettinkoca world worried but let's not #mahmutoezerokullaronline</v>
      </c>
    </row>
    <row r="4355" spans="1:5" ht="15" customHeight="1" x14ac:dyDescent="0.2">
      <c r="A4355" s="1" t="s">
        <v>8703</v>
      </c>
      <c r="B4355" s="1">
        <v>0</v>
      </c>
      <c r="C4355" s="3">
        <v>44542.764525462961</v>
      </c>
      <c r="D4355" s="1" t="s">
        <v>8704</v>
      </c>
      <c r="E4355" s="1" t="str">
        <f ca="1">IFERROR(__xludf.DUMMYFUNCTION("GOOGLETRANSLATE(A1154 , ""tr"" , ""en"")"),"@drfahrettinkoca wow friend. Believe in these rudges in humans without a query-talent")</f>
        <v>@drfahrettinkoca wow friend. Believe in these rudges in humans without a query-talent</v>
      </c>
    </row>
    <row r="4356" spans="1:5" ht="15" customHeight="1" x14ac:dyDescent="0.2">
      <c r="A4356" s="1" t="s">
        <v>8705</v>
      </c>
      <c r="B4356" s="1">
        <v>0</v>
      </c>
      <c r="C4356" s="3">
        <v>44542.764421296299</v>
      </c>
      <c r="D4356" s="1" t="s">
        <v>8706</v>
      </c>
      <c r="E4356" s="1" t="str">
        <f ca="1">IFERROR(__xludf.DUMMYFUNCTION("GOOGLETRANSLATE(A1155 , ""tr"" , ""en"")"),"@drfahrettinka The reason for all these pandemine was starting with 1 person We need to underestimate these 6 people People who need to underestimate people ... https://t.co/riluo0ggpc")</f>
        <v>@drfahrettinka The reason for all these pandemine was starting with 1 person We need to underestimate these 6 people People who need to underestimate people ... https://t.co/riluo0ggpc</v>
      </c>
    </row>
    <row r="4357" spans="1:5" ht="15" customHeight="1" x14ac:dyDescent="0.2">
      <c r="A4357" s="1" t="s">
        <v>8707</v>
      </c>
      <c r="B4357" s="1">
        <v>3</v>
      </c>
      <c r="C4357" s="3">
        <v>44542.763425925928</v>
      </c>
      <c r="D4357" s="1" t="s">
        <v>8708</v>
      </c>
      <c r="E4357" s="1" t="str">
        <f ca="1">IFERROR(__xludf.DUMMYFUNCTION("GOOGLETRANSLATE(A1156 , ""tr"" , ""en"")"),"@drfahrettinkoca thinker 🤔 https://t.co/2m79ksnxne")</f>
        <v>@drfahrettinkoca thinker 🤔 https://t.co/2m79ksnxne</v>
      </c>
    </row>
    <row r="4358" spans="1:5" ht="15" customHeight="1" x14ac:dyDescent="0.2">
      <c r="A4358" s="1" t="s">
        <v>8709</v>
      </c>
      <c r="B4358" s="1">
        <v>13</v>
      </c>
      <c r="C4358" s="3">
        <v>44542.763171296298</v>
      </c>
      <c r="D4358" s="1" t="s">
        <v>8710</v>
      </c>
      <c r="E4358" s="1" t="str">
        <f ca="1">IFERROR(__xludf.DUMMYFUNCTION("GOOGLETRANSLATE(A1157 , ""tr"" , ""en"")"),"@drfahrettinkoca Mr. Husband Omicron Variant of your country, please explain the figure out of the figure ... https://t.co/iczsk6szfz")</f>
        <v>@drfahrettinkoca Mr. Husband Omicron Variant of your country, please explain the figure out of the figure ... https://t.co/iczsk6szfz</v>
      </c>
    </row>
    <row r="4359" spans="1:5" ht="15" customHeight="1" x14ac:dyDescent="0.2">
      <c r="A4359" s="1" t="s">
        <v>8711</v>
      </c>
      <c r="B4359" s="1">
        <v>15</v>
      </c>
      <c r="C4359" s="3">
        <v>44542.760833333334</v>
      </c>
      <c r="D4359" s="1" t="s">
        <v>8712</v>
      </c>
      <c r="E4359" s="1" t="str">
        <f ca="1">IFERROR(__xludf.DUMMYFUNCTION("GOOGLETRANSLATE(A1158 , ""tr"" , ""en"")"),"@drfahrettinkoca What is the table you give according to which criteria I wonder because each can as a figure ... https://t.co/kjbuyusf0j")</f>
        <v>@drfahrettinkoca What is the table you give according to which criteria I wonder because each can as a figure ... https://t.co/kjbuyusf0j</v>
      </c>
    </row>
    <row r="4360" spans="1:5" ht="15" customHeight="1" x14ac:dyDescent="0.2">
      <c r="A4360" s="1" t="s">
        <v>8713</v>
      </c>
      <c r="B4360" s="1">
        <v>0</v>
      </c>
      <c r="C4360" s="3">
        <v>44542.760613425926</v>
      </c>
      <c r="D4360" s="1" t="s">
        <v>8714</v>
      </c>
      <c r="E4360" s="1" t="str">
        <f ca="1">IFERROR(__xludf.DUMMYFUNCTION("GOOGLETRANSLATE(A1159 , ""tr"" , ""en"")"),"@drfahrettinka Mr. Fahrettin Bey What is the Omicron Variant of Omicron Variant was detected PCR test posing or NEG says he ... https://t.co/p8ufqvhvpr")</f>
        <v>@drfahrettinka Mr. Fahrettin Bey What is the Omicron Variant of Omicron Variant was detected PCR test posing or NEG says he ... https://t.co/p8ufqvhvpr</v>
      </c>
    </row>
    <row r="4361" spans="1:5" ht="15" customHeight="1" x14ac:dyDescent="0.2">
      <c r="A4361" s="1" t="s">
        <v>8715</v>
      </c>
      <c r="B4361" s="1">
        <v>1</v>
      </c>
      <c r="C4361" s="3">
        <v>44542.760462962964</v>
      </c>
      <c r="D4361" s="1" t="s">
        <v>8716</v>
      </c>
      <c r="E4361" s="1" t="str">
        <f ca="1">IFERROR(__xludf.DUMMYFUNCTION("GOOGLETRANSLATE(A1160 , ""tr"" , ""en"")"),"@drfahrettinkoca is falling in cases as the vaccination falls. Remove the following bans. Stop vaccines, see how the cases are falling.")</f>
        <v>@drfahrettinkoca is falling in cases as the vaccination falls. Remove the following bans. Stop vaccines, see how the cases are falling.</v>
      </c>
    </row>
    <row r="4362" spans="1:5" ht="15" customHeight="1" x14ac:dyDescent="0.2">
      <c r="A4362" s="1" t="s">
        <v>8717</v>
      </c>
      <c r="B4362" s="1">
        <v>0</v>
      </c>
      <c r="C4362" s="3">
        <v>44542.759594907409</v>
      </c>
      <c r="D4362" s="1" t="s">
        <v>8718</v>
      </c>
      <c r="E4362" s="1" t="str">
        <f ca="1">IFERROR(__xludf.DUMMYFUNCTION("GOOGLETRANSLATE(A1161 , ""tr"" , ""en"")"),"@drfahrettinkoca 4. Muriyiya place builds .... Ahaya I'm writing here 4. Vaccine will be twisted this time !!!")</f>
        <v>@drfahrettinkoca 4. Muriyiya place builds .... Ahaya I'm writing here 4. Vaccine will be twisted this time !!!</v>
      </c>
    </row>
    <row r="4363" spans="1:5" ht="15" customHeight="1" x14ac:dyDescent="0.2">
      <c r="A4363" s="1" t="s">
        <v>8719</v>
      </c>
      <c r="B4363" s="1">
        <v>1</v>
      </c>
      <c r="C4363" s="3">
        <v>44542.759571759256</v>
      </c>
      <c r="D4363" s="1" t="s">
        <v>8720</v>
      </c>
      <c r="E4363" s="1" t="str">
        <f ca="1">IFERROR(__xludf.DUMMYFUNCTION("GOOGLETRANSLATE(A1162 , ""tr"" , ""en"")"),"@drfahrettinkoca Fahrettin I love this 6 digits so much loves this 6 figures 🤔 https://t.co/cnbevzczkz")</f>
        <v>@drfahrettinkoca Fahrettin I love this 6 digits so much loves this 6 figures 🤔 https://t.co/cnbevzczkz</v>
      </c>
    </row>
    <row r="4364" spans="1:5" ht="15" customHeight="1" x14ac:dyDescent="0.2">
      <c r="A4364" s="1" t="s">
        <v>8721</v>
      </c>
      <c r="B4364" s="1">
        <v>0</v>
      </c>
      <c r="C4364" s="3">
        <v>44542.759571759256</v>
      </c>
      <c r="D4364" s="1" t="s">
        <v>8722</v>
      </c>
      <c r="E4364" s="1" t="str">
        <f ca="1">IFERROR(__xludf.DUMMYFUNCTION("GOOGLETRANSLATE(A1163 , ""tr"" , ""en"")"),"@drfahrettinkoca Yestt If you are approaching the end of the end this Filler Account Day approach? Is there any excitement panic?")</f>
        <v>@drfahrettinkoca Yestt If you are approaching the end of the end this Filler Account Day approach? Is there any excitement panic?</v>
      </c>
    </row>
    <row r="4365" spans="1:5" ht="15" customHeight="1" x14ac:dyDescent="0.2">
      <c r="A4365" s="1" t="s">
        <v>8723</v>
      </c>
      <c r="B4365" s="1">
        <v>1</v>
      </c>
      <c r="C4365" s="3">
        <v>44542.759351851855</v>
      </c>
      <c r="D4365" s="1" t="s">
        <v>8724</v>
      </c>
      <c r="E4365" s="1" t="str">
        <f ca="1">IFERROR(__xludf.DUMMYFUNCTION("GOOGLETRANSLATE(A1164 , ""tr"" , ""en"")"),"@drfahrettinkoca As far as I know Omicron appeared in Africa. You, now some of the women's international ... https://t.co/sedfm8cvea")</f>
        <v>@drfahrettinkoca As far as I know Omicron appeared in Africa. You, now some of the women's international ... https://t.co/sedfm8cvea</v>
      </c>
    </row>
    <row r="4366" spans="1:5" ht="15" customHeight="1" x14ac:dyDescent="0.2">
      <c r="A4366" s="1" t="s">
        <v>8725</v>
      </c>
      <c r="B4366" s="1">
        <v>0</v>
      </c>
      <c r="C4366" s="3">
        <v>44542.759074074071</v>
      </c>
      <c r="D4366" s="1" t="s">
        <v>8726</v>
      </c>
      <c r="E4366" s="1" t="str">
        <f ca="1">IFERROR(__xludf.DUMMYFUNCTION("GOOGLETRANSLATE(A1165 , ""tr"" , ""en"")"),"@drfahrettinkoca Very Good Measure Access Transportation Tools CLICKING CRIVELY UNLOADS60JAst VS VSAK ... HTTPS://T.CO/RIQWEZPBM0")</f>
        <v>@drfahrettinkoca Very Good Measure Access Transportation Tools CLICKING CRIVELY UNLOADS60JAst VS VSAK ... HTTPS://T.CO/RIQWEZPBM0</v>
      </c>
    </row>
    <row r="4367" spans="1:5" ht="15" customHeight="1" x14ac:dyDescent="0.2">
      <c r="A4367" s="1" t="s">
        <v>8727</v>
      </c>
      <c r="B4367" s="1">
        <v>0</v>
      </c>
      <c r="C4367" s="3">
        <v>44542.758240740739</v>
      </c>
      <c r="D4367" s="1" t="s">
        <v>8728</v>
      </c>
      <c r="E4367" s="1" t="str">
        <f ca="1">IFERROR(__xludf.DUMMYFUNCTION("GOOGLETRANSLATE(A1166 , ""tr"" , ""en"")"),"@drfahrettinkoca This disease is to reduce the obvious human population of the obvious Bari, let the barely be relaxed in the comfortable ...")</f>
        <v>@drfahrettinkoca This disease is to reduce the obvious human population of the obvious Bari, let the barely be relaxed in the comfortable ...</v>
      </c>
    </row>
    <row r="4368" spans="1:5" ht="15" customHeight="1" x14ac:dyDescent="0.2">
      <c r="A4368" s="1" t="s">
        <v>8729</v>
      </c>
      <c r="B4368" s="1">
        <v>1</v>
      </c>
      <c r="C4368" s="3">
        <v>44542.758055555554</v>
      </c>
      <c r="D4368" s="1" t="s">
        <v>8730</v>
      </c>
      <c r="E4368" s="1" t="str">
        <f ca="1">IFERROR(__xludf.DUMMYFUNCTION("GOOGLETRANSLATE(A1167 , ""tr"" , ""en"")"),"@drfahrettinkoca We will be the future; This omicron virus to frighten people with the vaccine to patro ... https://t.co/c5bssGVIKG")</f>
        <v>@drfahrettinkoca We will be the future; This omicron virus to frighten people with the vaccine to patro ... https://t.co/c5bssGVIKG</v>
      </c>
    </row>
    <row r="4369" spans="1:5" ht="15" customHeight="1" x14ac:dyDescent="0.2">
      <c r="A4369" s="1" t="s">
        <v>8731</v>
      </c>
      <c r="B4369" s="1">
        <v>0</v>
      </c>
      <c r="C4369" s="3">
        <v>44542.757534722223</v>
      </c>
      <c r="D4369" s="1" t="s">
        <v>8732</v>
      </c>
      <c r="E4369" s="1" t="str">
        <f ca="1">IFERROR(__xludf.DUMMYFUNCTION("GOOGLETRANSLATE(A1168 , ""tr"" , ""en"")"),"@drfahrettinkoca how did omiko get to this country? Everyone's re-trimmer a. isn't supposed to be? When it is like this.")</f>
        <v>@drfahrettinkoca how did omiko get to this country? Everyone's re-trimmer a. isn't supposed to be? When it is like this.</v>
      </c>
    </row>
    <row r="4370" spans="1:5" ht="15" customHeight="1" x14ac:dyDescent="0.2">
      <c r="A4370" s="1" t="s">
        <v>8733</v>
      </c>
      <c r="B4370" s="1">
        <v>2</v>
      </c>
      <c r="C4370" s="3">
        <v>44542.756909722222</v>
      </c>
      <c r="D4370" s="1" t="s">
        <v>8734</v>
      </c>
      <c r="E4370" s="1" t="str">
        <f ca="1">IFERROR(__xludf.DUMMYFUNCTION("GOOGLETRANSLATE(A1169 , ""tr"" , ""en"")"),"@drfahrettinkoca Asenat SMA Type 1 Deadly Muscle Patient. Supports to be able to hold 19 months and 9 pounds now ... https://t.co/wd8qhuxj3j")</f>
        <v>@drfahrettinkoca Asenat SMA Type 1 Deadly Muscle Patient. Supports to be able to hold 19 months and 9 pounds now ... https://t.co/wd8qhuxj3j</v>
      </c>
    </row>
    <row r="4371" spans="1:5" ht="15" customHeight="1" x14ac:dyDescent="0.2">
      <c r="A4371" s="1" t="s">
        <v>8735</v>
      </c>
      <c r="B4371" s="1">
        <v>0</v>
      </c>
      <c r="C4371" s="3">
        <v>44542.756655092591</v>
      </c>
      <c r="D4371" s="1" t="s">
        <v>8736</v>
      </c>
      <c r="E4371" s="1" t="str">
        <f ca="1">IFERROR(__xludf.DUMMYFUNCTION("GOOGLETRANSLATE(A1170 , ""tr"" , ""en"")"),"@drfahrettinkoca you think you have 90% deadly ebola virus in the country. So be your vaccine don't need to say ... https://t.co/sqgkem4wdz")</f>
        <v>@drfahrettinkoca you think you have 90% deadly ebola virus in the country. So be your vaccine don't need to say ... https://t.co/sqgkem4wdz</v>
      </c>
    </row>
    <row r="4372" spans="1:5" ht="15" customHeight="1" x14ac:dyDescent="0.2">
      <c r="A4372" s="1" t="s">
        <v>8737</v>
      </c>
      <c r="B4372" s="1">
        <v>0</v>
      </c>
      <c r="C4372" s="3">
        <v>44542.756469907406</v>
      </c>
      <c r="D4372" s="1" t="s">
        <v>8738</v>
      </c>
      <c r="E4372" s="1" t="str">
        <f ca="1">IFERROR(__xludf.DUMMYFUNCTION("GOOGLETRANSLATE(A1171 , ""tr"" , ""en"")"),"@drfahrettinka is enough to hear our voice anymore #mahmutoezerogullaronline")</f>
        <v>@drfahrettinka is enough to hear our voice anymore #mahmutoezerogullaronline</v>
      </c>
    </row>
    <row r="4373" spans="1:5" ht="15" customHeight="1" x14ac:dyDescent="0.2">
      <c r="A4373" s="1" t="s">
        <v>8739</v>
      </c>
      <c r="B4373" s="1">
        <v>0</v>
      </c>
      <c r="C4373" s="3">
        <v>44542.756238425929</v>
      </c>
      <c r="D4373" s="1" t="s">
        <v>8740</v>
      </c>
      <c r="E4373" s="1" t="str">
        <f ca="1">IFERROR(__xludf.DUMMYFUNCTION("GOOGLETRANSLATE(A1172 , ""tr"" , ""en"")"),"@drfahrettinkoca yaw he he")</f>
        <v>@drfahrettinkoca yaw he he</v>
      </c>
    </row>
    <row r="4374" spans="1:5" ht="15" customHeight="1" x14ac:dyDescent="0.2">
      <c r="A4374" s="1" t="s">
        <v>8741</v>
      </c>
      <c r="B4374" s="1">
        <v>0</v>
      </c>
      <c r="C4374" s="3">
        <v>44542.755868055552</v>
      </c>
      <c r="D4374" s="1" t="s">
        <v>8742</v>
      </c>
      <c r="E4374" s="1" t="str">
        <f ca="1">IFERROR(__xludf.DUMMYFUNCTION("GOOGLETRANSLATE(A1173 , ""tr"" , ""en"")"),"@drfahrettinkoca We want distance education")</f>
        <v>@drfahrettinkoca We want distance education</v>
      </c>
    </row>
    <row r="4375" spans="1:5" ht="15" customHeight="1" x14ac:dyDescent="0.2">
      <c r="A4375" s="1" t="s">
        <v>8743</v>
      </c>
      <c r="B4375" s="1">
        <v>0</v>
      </c>
      <c r="C4375" s="3">
        <v>44542.755578703705</v>
      </c>
      <c r="D4375" s="1" t="s">
        <v>8744</v>
      </c>
      <c r="E4375" s="1" t="str">
        <f ca="1">IFERROR(__xludf.DUMMYFUNCTION("GOOGLETRANSLATE(A1174 , ""tr"" , ""en"")"),"@drfahrettinkoca is said to be 17 k case but I don't understand that every 10 in the dorm is being taken to the hospital with 8i ambulance in the dormitory")</f>
        <v>@drfahrettinkoca is said to be 17 k case but I don't understand that every 10 in the dorm is being taken to the hospital with 8i ambulance in the dormitory</v>
      </c>
    </row>
    <row r="4376" spans="1:5" ht="15" customHeight="1" x14ac:dyDescent="0.2">
      <c r="A4376" s="1" t="s">
        <v>8745</v>
      </c>
      <c r="B4376" s="1">
        <v>0</v>
      </c>
      <c r="C4376" s="3">
        <v>44542.755312499998</v>
      </c>
      <c r="D4376" s="1" t="s">
        <v>8746</v>
      </c>
      <c r="E4376" s="1" t="str">
        <f ca="1">IFERROR(__xludf.DUMMYFUNCTION("GOOGLETRANSLATE(A1175 , ""tr"" , ""en"")"),"@drfahrettinka was the year of 2043 Fahrettin who was the year; New Ultra Delta Corona virus to be able to hop ... https://t.co/q1qlc34iia")</f>
        <v>@drfahrettinka was the year of 2043 Fahrettin who was the year; New Ultra Delta Corona virus to be able to hop ... https://t.co/q1qlc34iia</v>
      </c>
    </row>
    <row r="4377" spans="1:5" ht="15" customHeight="1" x14ac:dyDescent="0.2">
      <c r="A4377" s="1" t="s">
        <v>8747</v>
      </c>
      <c r="B4377" s="1">
        <v>0</v>
      </c>
      <c r="C4377" s="3">
        <v>44542.755266203705</v>
      </c>
      <c r="D4377" s="1" t="s">
        <v>8748</v>
      </c>
      <c r="E4377" s="1" t="str">
        <f ca="1">IFERROR(__xludf.DUMMYFUNCTION("GOOGLETRANSLATE(A1176 , ""tr"" , ""en"")"),"@drfahrettinkoca European countries have taken measures in the Omicron Variant of the Omicron Variant.")</f>
        <v>@drfahrettinkoca European countries have taken measures in the Omicron Variant of the Omicron Variant.</v>
      </c>
    </row>
    <row r="4378" spans="1:5" ht="15" customHeight="1" x14ac:dyDescent="0.2">
      <c r="A4378" s="1" t="s">
        <v>8749</v>
      </c>
      <c r="B4378" s="1">
        <v>1</v>
      </c>
      <c r="C4378" s="3">
        <v>44542.755243055559</v>
      </c>
      <c r="D4378" s="1" t="s">
        <v>8750</v>
      </c>
      <c r="E4378" s="1" t="str">
        <f ca="1">IFERROR(__xludf.DUMMYFUNCTION("GOOGLETRANSLATE(A1177 , ""tr"" , ""en"")"),"@drfahrettinkoca AMAN I'm very scared! Immediately my experiment fluids event bari😜")</f>
        <v>@drfahrettinkoca AMAN I'm very scared! Immediately my experiment fluids event bari😜</v>
      </c>
    </row>
    <row r="4379" spans="1:5" ht="15" customHeight="1" x14ac:dyDescent="0.2">
      <c r="A4379" s="1" t="s">
        <v>8751</v>
      </c>
      <c r="B4379" s="1">
        <v>0</v>
      </c>
      <c r="C4379" s="3">
        <v>44542.755023148151</v>
      </c>
      <c r="D4379" s="1" t="s">
        <v>8752</v>
      </c>
      <c r="E4379" s="1" t="str">
        <f ca="1">IFERROR(__xludf.DUMMYFUNCTION("GOOGLETRANSLATE(A1178 , ""tr"" , ""en"")"),"@drfahrettinkoca or Madem so why all countries are uprighted You are on the head of what you are on your head or close now the following schools")</f>
        <v>@drfahrettinkoca or Madem so why all countries are uprighted You are on the head of what you are on your head or close now the following schools</v>
      </c>
    </row>
    <row r="4380" spans="1:5" ht="15" customHeight="1" x14ac:dyDescent="0.2">
      <c r="A4380" s="1" t="s">
        <v>8753</v>
      </c>
      <c r="B4380" s="1">
        <v>1</v>
      </c>
      <c r="C4380" s="3">
        <v>44542.754317129627</v>
      </c>
      <c r="D4380" s="1" t="s">
        <v>8754</v>
      </c>
      <c r="E4380" s="1" t="str">
        <f ca="1">IFERROR(__xludf.DUMMYFUNCTION("GOOGLETRANSLATE(A1179 , ""tr"" , ""en"")"),"@drfahrettinkoca 5 + 1 = 6 people 5 İzmir Devil's Baphomet icon Continuing rituals Hayra not working Haymir What is Izmirde ... https://t.co/hp3cspxcoz")</f>
        <v>@drfahrettinkoca 5 + 1 = 6 people 5 İzmir Devil's Baphomet icon Continuing rituals Hayra not working Haymir What is Izmirde ... https://t.co/hp3cspxcoz</v>
      </c>
    </row>
    <row r="4381" spans="1:5" ht="15" customHeight="1" x14ac:dyDescent="0.2">
      <c r="A4381" s="1" t="s">
        <v>8755</v>
      </c>
      <c r="B4381" s="1">
        <v>0</v>
      </c>
      <c r="C4381" s="3">
        <v>44542.753796296296</v>
      </c>
      <c r="D4381" s="1" t="s">
        <v>8756</v>
      </c>
      <c r="E4381" s="1" t="str">
        <f ca="1">IFERROR(__xludf.DUMMYFUNCTION("GOOGLETRANSLATE(A1180 , ""tr"" , ""en"")"),"@drfahrettinkoca or Kill We have rid of us as well, let's get rid of this torture of Vallahi No.")</f>
        <v>@drfahrettinkoca or Kill We have rid of us as well, let's get rid of this torture of Vallahi No.</v>
      </c>
    </row>
    <row r="4382" spans="1:5" ht="15" customHeight="1" x14ac:dyDescent="0.2">
      <c r="A4382" s="1" t="s">
        <v>8757</v>
      </c>
      <c r="B4382" s="1">
        <v>0</v>
      </c>
      <c r="C4382" s="3">
        <v>44542.752511574072</v>
      </c>
      <c r="D4382" s="1" t="s">
        <v>8758</v>
      </c>
      <c r="E4382" s="1" t="str">
        <f ca="1">IFERROR(__xludf.DUMMYFUNCTION("GOOGLETRANSLATE(A1181 , ""tr"" , ""en"")"),"@drfahrettinka https://t.co/g4vmejhl9e")</f>
        <v>@drfahrettinka https://t.co/g4vmejhl9e</v>
      </c>
    </row>
    <row r="4383" spans="1:5" ht="15" customHeight="1" x14ac:dyDescent="0.2">
      <c r="A4383" s="1" t="s">
        <v>8759</v>
      </c>
      <c r="B4383" s="1">
        <v>1</v>
      </c>
      <c r="C4383" s="3">
        <v>44542.752453703702</v>
      </c>
      <c r="D4383" s="1" t="s">
        <v>8760</v>
      </c>
      <c r="E4383" s="1" t="str">
        <f ca="1">IFERROR(__xludf.DUMMYFUNCTION("GOOGLETRANSLATE(A1182 , ""tr"" , ""en"")"),"@drfahrettinka not us corona, I want to kill fahrettin 😅 https://t.co/BJI1ikFXG5")</f>
        <v>@drfahrettinka not us corona, I want to kill fahrettin 😅 https://t.co/BJI1ikFXG5</v>
      </c>
    </row>
    <row r="4384" spans="1:5" ht="15" customHeight="1" x14ac:dyDescent="0.2">
      <c r="A4384" s="1" t="s">
        <v>8761</v>
      </c>
      <c r="B4384" s="1">
        <v>0</v>
      </c>
      <c r="C4384" s="3">
        <v>44542.751284722224</v>
      </c>
      <c r="D4384" s="1" t="s">
        <v>8762</v>
      </c>
      <c r="E4384" s="1" t="str">
        <f ca="1">IFERROR(__xludf.DUMMYFUNCTION("GOOGLETRANSLATE(A1183 , ""tr"" , ""en"")"),"@drfahrettinkoca says us at least 1 month ago")</f>
        <v>@drfahrettinkoca says us at least 1 month ago</v>
      </c>
    </row>
    <row r="4385" spans="1:5" ht="15" customHeight="1" x14ac:dyDescent="0.2">
      <c r="A4385" s="1" t="s">
        <v>8763</v>
      </c>
      <c r="B4385" s="1">
        <v>0</v>
      </c>
      <c r="C4385" s="3">
        <v>44542.750902777778</v>
      </c>
      <c r="D4385" s="1" t="s">
        <v>8764</v>
      </c>
      <c r="E4385" s="1" t="str">
        <f ca="1">IFERROR(__xludf.DUMMYFUNCTION("GOOGLETRANSLATE(A1184 , ""tr"" , ""en"")"),"@drfahrettinkoca no one else is anxious. Enough you stop throwing Twit Bi get up from the seat you sit from the seat ... https://t.co/tvwfbbfmwr")</f>
        <v>@drfahrettinkoca no one else is anxious. Enough you stop throwing Twit Bi get up from the seat you sit from the seat ... https://t.co/tvwfbbfmwr</v>
      </c>
    </row>
    <row r="4386" spans="1:5" ht="15" customHeight="1" x14ac:dyDescent="0.2">
      <c r="A4386" s="1" t="s">
        <v>8765</v>
      </c>
      <c r="B4386" s="1">
        <v>0</v>
      </c>
      <c r="C4386" s="3">
        <v>44542.74895833333</v>
      </c>
      <c r="D4386" s="1" t="s">
        <v>8766</v>
      </c>
      <c r="E4386" s="1" t="str">
        <f ca="1">IFERROR(__xludf.DUMMYFUNCTION("GOOGLETRANSLATE(A1185 , ""tr"" , ""en"")"),"@drfahrettinkoca Is this document correct? https://t.co/qczq9idwgg")</f>
        <v>@drfahrettinkoca Is this document correct? https://t.co/qczq9idwgg</v>
      </c>
    </row>
    <row r="4387" spans="1:5" ht="15" customHeight="1" x14ac:dyDescent="0.2">
      <c r="A4387" s="1" t="s">
        <v>8767</v>
      </c>
      <c r="B4387" s="1">
        <v>0</v>
      </c>
      <c r="C4387" s="3">
        <v>44542.748749999999</v>
      </c>
      <c r="D4387" s="1" t="s">
        <v>8768</v>
      </c>
      <c r="E4387" s="1" t="str">
        <f ca="1">IFERROR(__xludf.DUMMYFUNCTION("GOOGLETRANSLATE(A1186 , ""tr"" , ""en"")"),"@drfahrettinkoca why resist your distance educationSynuz")</f>
        <v>@drfahrettinkoca why resist your distance educationSynuz</v>
      </c>
    </row>
    <row r="4388" spans="1:5" ht="15" customHeight="1" x14ac:dyDescent="0.2">
      <c r="A4388" s="1" t="s">
        <v>8769</v>
      </c>
      <c r="B4388" s="1">
        <v>54</v>
      </c>
      <c r="C4388" s="3">
        <v>44542.748726851853</v>
      </c>
      <c r="D4388" s="1" t="s">
        <v>8770</v>
      </c>
      <c r="E4388" s="1" t="str">
        <f ca="1">IFERROR(__xludf.DUMMYFUNCTION("GOOGLETRANSLATE(A1187 , ""tr"" , ""en"")"),"@drfahrettinkoca where are these people? PCR test and vaccine between all transportation / overseas aircraft Seya ... https://t.co/zxlxvbmvui")</f>
        <v>@drfahrettinkoca where are these people? PCR test and vaccine between all transportation / overseas aircraft Seya ... https://t.co/zxlxvbmvui</v>
      </c>
    </row>
    <row r="4389" spans="1:5" ht="15" customHeight="1" x14ac:dyDescent="0.2">
      <c r="A4389" s="1" t="s">
        <v>8771</v>
      </c>
      <c r="B4389" s="1">
        <v>1</v>
      </c>
      <c r="C4389" s="3">
        <v>44542.748657407406</v>
      </c>
      <c r="D4389" s="1" t="s">
        <v>8772</v>
      </c>
      <c r="E4389" s="1" t="str">
        <f ca="1">IFERROR(__xludf.DUMMYFUNCTION("GOOGLETRANSLATE(A1188 , ""tr"" , ""en"")"),"@drfahrettinkoca tests are given in the impression of Durusup Bazaşırma but the increasing cases will burn and again in the vaccine d ... https://t.co/8pc3h7kmwo")</f>
        <v>@drfahrettinkoca tests are given in the impression of Durusup Bazaşırma but the increasing cases will burn and again in the vaccine d ... https://t.co/8pc3h7kmwo</v>
      </c>
    </row>
    <row r="4390" spans="1:5" ht="15" customHeight="1" x14ac:dyDescent="0.2">
      <c r="A4390" s="1" t="s">
        <v>8773</v>
      </c>
      <c r="B4390" s="1">
        <v>0</v>
      </c>
      <c r="C4390" s="3">
        <v>44542.747418981482</v>
      </c>
      <c r="D4390" s="1" t="s">
        <v>8774</v>
      </c>
      <c r="E4390" s="1" t="str">
        <f ca="1">IFERROR(__xludf.DUMMYFUNCTION("GOOGLETRANSLATE(A1189 , ""tr"" , ""en"")"),"@drfahrettinkoca Looking Lying Table Ata Ata Variant I would be ashamed of the human face, how much you are human LAN?")</f>
        <v>@drfahrettinkoca Looking Lying Table Ata Ata Variant I would be ashamed of the human face, how much you are human LAN?</v>
      </c>
    </row>
    <row r="4391" spans="1:5" ht="15" customHeight="1" x14ac:dyDescent="0.2">
      <c r="A4391" s="1" t="s">
        <v>8775</v>
      </c>
      <c r="B4391" s="1">
        <v>1</v>
      </c>
      <c r="C4391" s="3">
        <v>44542.746840277781</v>
      </c>
      <c r="D4391" s="1" t="s">
        <v>8776</v>
      </c>
      <c r="E4391" s="1" t="str">
        <f ca="1">IFERROR(__xludf.DUMMYFUNCTION("GOOGLETRANSLATE(A1190 , ""tr"" , ""en"")"),"@drfahrettinkoca staring husband grafts brings vaccines to Korana")</f>
        <v>@drfahrettinkoca staring husband grafts brings vaccines to Korana</v>
      </c>
    </row>
    <row r="4392" spans="1:5" ht="15" customHeight="1" x14ac:dyDescent="0.2">
      <c r="A4392" s="1" t="s">
        <v>8777</v>
      </c>
      <c r="B4392" s="1">
        <v>0</v>
      </c>
      <c r="C4392" s="3">
        <v>44542.746435185189</v>
      </c>
      <c r="D4392" s="1" t="s">
        <v>8778</v>
      </c>
      <c r="E4392" s="1" t="str">
        <f ca="1">IFERROR(__xludf.DUMMYFUNCTION("GOOGLETRANSLATE(A1191 , ""tr"" , ""en"")"),"say @drfahrettinkoca Let's see Fahrettin Question Is this six people hanging the question with two of the same tests this variant was detected in this variant")</f>
        <v>say @drfahrettinkoca Let's see Fahrettin Question Is this six people hanging the question with two of the same tests this variant was detected in this variant</v>
      </c>
    </row>
    <row r="4393" spans="1:5" ht="15" customHeight="1" x14ac:dyDescent="0.2">
      <c r="A4393" s="1" t="s">
        <v>8779</v>
      </c>
      <c r="B4393" s="1">
        <v>0</v>
      </c>
      <c r="C4393" s="3">
        <v>44542.746296296296</v>
      </c>
      <c r="D4393" s="1" t="s">
        <v>8780</v>
      </c>
      <c r="E4393" s="1" t="str">
        <f ca="1">IFERROR(__xludf.DUMMYFUNCTION("GOOGLETRANSLATE(A1192 , ""tr"" , ""en"")"),"@drfahrettinka https://t.co/24azopriu3")</f>
        <v>@drfahrettinka https://t.co/24azopriu3</v>
      </c>
    </row>
    <row r="4394" spans="1:5" ht="15" customHeight="1" x14ac:dyDescent="0.2">
      <c r="A4394" s="1" t="s">
        <v>8781</v>
      </c>
      <c r="B4394" s="1">
        <v>0</v>
      </c>
      <c r="C4394" s="3">
        <v>44542.745636574073</v>
      </c>
      <c r="D4394" s="1" t="s">
        <v>8782</v>
      </c>
      <c r="E4394" s="1" t="str">
        <f ca="1">IFERROR(__xludf.DUMMYFUNCTION("GOOGLETRANSLATE(A1193 , ""tr"" , ""en"")"),"@drfahrettinkoca Mr. Minister After the loss of Value of TL to continuously shopping from neighboring countries to our country and ... https://t.co/ITCAVP1Yan")</f>
        <v>@drfahrettinkoca Mr. Minister After the loss of Value of TL to continuously shopping from neighboring countries to our country and ... https://t.co/ITCAVP1Yan</v>
      </c>
    </row>
    <row r="4395" spans="1:5" ht="15" customHeight="1" x14ac:dyDescent="0.2">
      <c r="A4395" s="1" t="s">
        <v>8783</v>
      </c>
      <c r="B4395" s="1">
        <v>0</v>
      </c>
      <c r="C4395" s="3">
        <v>44542.744976851849</v>
      </c>
      <c r="D4395" s="1" t="s">
        <v>8784</v>
      </c>
      <c r="E4395" s="1" t="str">
        <f ca="1">IFERROR(__xludf.DUMMYFUNCTION("GOOGLETRANSLATE(A1194 , ""tr"" , ""en"")"),"@drfahrettinka is not 17 thousand little number")</f>
        <v>@drfahrettinka is not 17 thousand little number</v>
      </c>
    </row>
    <row r="4396" spans="1:5" ht="15" customHeight="1" x14ac:dyDescent="0.2">
      <c r="A4396" s="1" t="s">
        <v>8785</v>
      </c>
      <c r="B4396" s="1">
        <v>1</v>
      </c>
      <c r="C4396" s="3">
        <v>44542.744467592594</v>
      </c>
      <c r="D4396" s="1" t="s">
        <v>8786</v>
      </c>
      <c r="E4396" s="1" t="str">
        <f ca="1">IFERROR(__xludf.DUMMYFUNCTION("GOOGLETRANSLATE(A1195 , ""tr"" , ""en"")"),"@drfahrettinka make schools online")</f>
        <v>@drfahrettinka make schools online</v>
      </c>
    </row>
    <row r="4397" spans="1:5" ht="15" customHeight="1" x14ac:dyDescent="0.2">
      <c r="A4397" s="1" t="s">
        <v>8787</v>
      </c>
      <c r="B4397" s="1">
        <v>2</v>
      </c>
      <c r="C4397" s="3">
        <v>44542.744351851848</v>
      </c>
      <c r="D4397" s="1" t="s">
        <v>8788</v>
      </c>
      <c r="E4397" s="1" t="str">
        <f ca="1">IFERROR(__xludf.DUMMYFUNCTION("GOOGLETRANSLATE(A1196 , ""tr"" , ""en"")"),"@drfahrettinkoca is also in this vaccine bottle why it is in Chinese which love is in Chinese, which is the love of a new scandal with the vaccine ... https://t.co/m96tjbrgnw")</f>
        <v>@drfahrettinkoca is also in this vaccine bottle why it is in Chinese which love is in Chinese, which is the love of a new scandal with the vaccine ... https://t.co/m96tjbrgnw</v>
      </c>
    </row>
    <row r="4398" spans="1:5" ht="15" customHeight="1" x14ac:dyDescent="0.2">
      <c r="A4398" s="1" t="s">
        <v>8789</v>
      </c>
      <c r="B4398" s="1">
        <v>0</v>
      </c>
      <c r="C4398" s="3">
        <v>44542.743981481479</v>
      </c>
      <c r="D4398" s="1" t="s">
        <v>8790</v>
      </c>
      <c r="E4398" s="1" t="str">
        <f ca="1">IFERROR(__xludf.DUMMYFUNCTION("GOOGLETRANSLATE(A1197 , ""tr"" , ""en"")"),"@drfahrettinkoca congratulates you heartily guys goodly greeting nice person")</f>
        <v>@drfahrettinkoca congratulates you heartily guys goodly greeting nice person</v>
      </c>
    </row>
    <row r="4399" spans="1:5" ht="15" customHeight="1" x14ac:dyDescent="0.2">
      <c r="A4399" s="1" t="s">
        <v>8791</v>
      </c>
      <c r="B4399" s="1">
        <v>0</v>
      </c>
      <c r="C4399" s="3">
        <v>44542.743854166663</v>
      </c>
      <c r="D4399" s="1" t="s">
        <v>8792</v>
      </c>
      <c r="E4399" s="1" t="str">
        <f ca="1">IFERROR(__xludf.DUMMYFUNCTION("GOOGLETRANSLATE(A1198 , ""tr"" , ""en"")"),"@drfahrettinkoca is the piris of this work 💪. O Microbuda Yenecez I hope")</f>
        <v>@drfahrettinkoca is the piris of this work 💪. O Microbuda Yenecez I hope</v>
      </c>
    </row>
    <row r="4400" spans="1:5" ht="15" customHeight="1" x14ac:dyDescent="0.2">
      <c r="A4400" s="1" t="s">
        <v>8793</v>
      </c>
      <c r="B4400" s="1">
        <v>1</v>
      </c>
      <c r="C4400" s="3">
        <v>44542.743692129632</v>
      </c>
      <c r="D4400" s="1" t="s">
        <v>8794</v>
      </c>
      <c r="E4400" s="1" t="str">
        <f ca="1">IFERROR(__xludf.DUMMYFUNCTION("GOOGLETRANSLATE(A1199 , ""tr"" , ""en"")"),"@drfahrettinkoca Ministry Secretary: Today's meeting Location Meeting New Variant Measures Ministers and Science Board: Tedbi ... https://t.co/mylp1dvins")</f>
        <v>@drfahrettinkoca Ministry Secretary: Today's meeting Location Meeting New Variant Measures Ministers and Science Board: Tedbi ... https://t.co/mylp1dvins</v>
      </c>
    </row>
    <row r="4401" spans="1:5" ht="15" customHeight="1" x14ac:dyDescent="0.2">
      <c r="A4401" s="1" t="s">
        <v>8795</v>
      </c>
      <c r="B4401" s="1">
        <v>0</v>
      </c>
      <c r="C4401" s="3">
        <v>44542.743495370371</v>
      </c>
      <c r="D4401" s="1" t="s">
        <v>8796</v>
      </c>
      <c r="E4401" s="1" t="str">
        <f ca="1">IFERROR(__xludf.DUMMYFUNCTION("GOOGLETRANSLATE(A1200 , ""tr"" , ""en"")"),"@drfahrettinkoca finished I think corona hasjsj")</f>
        <v>@drfahrettinkoca finished I think corona hasjsj</v>
      </c>
    </row>
    <row r="4402" spans="1:5" ht="15" customHeight="1" x14ac:dyDescent="0.2">
      <c r="A4402" s="1" t="s">
        <v>8797</v>
      </c>
      <c r="B4402" s="1">
        <v>0</v>
      </c>
      <c r="C4402" s="3">
        <v>44542.743113425924</v>
      </c>
      <c r="D4402" s="1" t="s">
        <v>8798</v>
      </c>
      <c r="E4402" s="1" t="str">
        <f ca="1">IFERROR(__xludf.DUMMYFUNCTION("GOOGLETRANSLATE(A1201 , ""tr"" , ""en"")"),"@drfahrettinkoca how many dose of those who have been identified")</f>
        <v>@drfahrettinkoca how many dose of those who have been identified</v>
      </c>
    </row>
    <row r="4403" spans="1:5" ht="15" customHeight="1" x14ac:dyDescent="0.2">
      <c r="A4403" s="1" t="s">
        <v>8799</v>
      </c>
      <c r="B4403" s="1">
        <v>0</v>
      </c>
      <c r="C4403" s="3">
        <v>44542.742604166669</v>
      </c>
      <c r="D4403" s="1" t="s">
        <v>8800</v>
      </c>
      <c r="E4403" s="1" t="str">
        <f ca="1">IFERROR(__xludf.DUMMYFUNCTION("GOOGLETRANSLATE(A1202 , ""tr"" , ""en"")"),"@drfahrettinkoca You are unfair to those who drop the kidney stone by flashing this junk health problem every day!")</f>
        <v>@drfahrettinkoca You are unfair to those who drop the kidney stone by flashing this junk health problem every day!</v>
      </c>
    </row>
    <row r="4404" spans="1:5" ht="15" customHeight="1" x14ac:dyDescent="0.2">
      <c r="A4404" s="1" t="s">
        <v>8801</v>
      </c>
      <c r="B4404" s="1">
        <v>1</v>
      </c>
      <c r="C4404" s="3">
        <v>44542.741643518515</v>
      </c>
      <c r="D4404" s="1" t="s">
        <v>8802</v>
      </c>
      <c r="E4404" s="1" t="str">
        <f ca="1">IFERROR(__xludf.DUMMYFUNCTION("GOOGLETRANSLATE(A1203 , ""tr"" , ""en"")"),"@drfahrettinkoca is very funny Omicron came in cases fell ... 🤣😂🤭🤣😂🤭")</f>
        <v>@drfahrettinkoca is very funny Omicron came in cases fell ... 🤣😂🤭🤣😂🤭</v>
      </c>
    </row>
    <row r="4405" spans="1:5" ht="15" customHeight="1" x14ac:dyDescent="0.2">
      <c r="A4405" s="1" t="s">
        <v>8803</v>
      </c>
      <c r="B4405" s="1">
        <v>2</v>
      </c>
      <c r="C4405" s="3">
        <v>44542.741018518522</v>
      </c>
      <c r="D4405" s="1" t="s">
        <v>8804</v>
      </c>
      <c r="E4405" s="1" t="str">
        <f ca="1">IFERROR(__xludf.DUMMYFUNCTION("GOOGLETRANSLATE(A1204 , ""tr"" , ""en"")"),"@drfahrettinkoca sheer schools are lying to shut down we get to you haram")</f>
        <v>@drfahrettinkoca sheer schools are lying to shut down we get to you haram</v>
      </c>
    </row>
    <row r="4406" spans="1:5" ht="15" customHeight="1" x14ac:dyDescent="0.2">
      <c r="A4406" s="1" t="s">
        <v>8805</v>
      </c>
      <c r="B4406" s="1">
        <v>0</v>
      </c>
      <c r="C4406" s="3">
        <v>44542.740706018521</v>
      </c>
      <c r="D4406" s="1" t="s">
        <v>8806</v>
      </c>
      <c r="E4406" s="1" t="str">
        <f ca="1">IFERROR(__xludf.DUMMYFUNCTION("GOOGLETRANSLATE(A1205 , ""tr"" , ""en"")"),"@drfahrettinkoca why do you always go over 6, 66,666 numbers. I wonder if you want to give us a message or something you want to give")</f>
        <v>@drfahrettinkoca why do you always go over 6, 66,666 numbers. I wonder if you want to give us a message or something you want to give</v>
      </c>
    </row>
    <row r="4407" spans="1:5" ht="15" customHeight="1" x14ac:dyDescent="0.2">
      <c r="A4407" s="1" t="s">
        <v>8807</v>
      </c>
      <c r="B4407" s="1">
        <v>0</v>
      </c>
      <c r="C4407" s="3">
        <v>44542.740590277775</v>
      </c>
      <c r="D4407" s="1" t="s">
        <v>8808</v>
      </c>
      <c r="E4407" s="1" t="str">
        <f ca="1">IFERROR(__xludf.DUMMYFUNCTION("GOOGLETRANSLATE(A1206 , ""tr"" , ""en"")"),"@drfahrettinkoca omicron drop before it's full spread like this how many weeks i see u")</f>
        <v>@drfahrettinkoca omicron drop before it's full spread like this how many weeks i see u</v>
      </c>
    </row>
    <row r="4408" spans="1:5" ht="15" customHeight="1" x14ac:dyDescent="0.2">
      <c r="A4408" s="1" t="s">
        <v>8809</v>
      </c>
      <c r="B4408" s="1">
        <v>0</v>
      </c>
      <c r="C4408" s="3">
        <v>44542.740590277775</v>
      </c>
      <c r="D4408" s="1" t="s">
        <v>8810</v>
      </c>
      <c r="E4408" s="1" t="str">
        <f ca="1">IFERROR(__xludf.DUMMYFUNCTION("GOOGLETRANSLATE(A1207 , ""tr"" , ""en"")"),"@drfahrettinka give vaccine right to 5-12 age group a moment before. Also 3. Describe the overdose vaccines.")</f>
        <v>@drfahrettinka give vaccine right to 5-12 age group a moment before. Also 3. Describe the overdose vaccines.</v>
      </c>
    </row>
    <row r="4409" spans="1:5" ht="15" customHeight="1" x14ac:dyDescent="0.2">
      <c r="A4409" s="1" t="s">
        <v>8811</v>
      </c>
      <c r="B4409" s="1">
        <v>1</v>
      </c>
      <c r="C4409" s="3">
        <v>44542.740208333336</v>
      </c>
      <c r="D4409" s="1" t="s">
        <v>8812</v>
      </c>
      <c r="E4409" s="1" t="str">
        <f ca="1">IFERROR(__xludf.DUMMYFUNCTION("GOOGLETRANSLATE(A1208 , ""tr"" , ""en"")"),"@drfahrettinkoca is fine at the good epidemic too, so you also get rid of so much no longer enough to get rid of your own vaccine ... https://t.co/wtlf3vob1r")</f>
        <v>@drfahrettinkoca is fine at the good epidemic too, so you also get rid of so much no longer enough to get rid of your own vaccine ... https://t.co/wtlf3vob1r</v>
      </c>
    </row>
    <row r="4410" spans="1:5" ht="15" customHeight="1" x14ac:dyDescent="0.2">
      <c r="A4410" s="1" t="s">
        <v>8813</v>
      </c>
      <c r="B4410" s="1">
        <v>0</v>
      </c>
      <c r="C4410" s="3">
        <v>44542.740057870367</v>
      </c>
      <c r="D4410" s="1" t="s">
        <v>8814</v>
      </c>
      <c r="E4410" s="1" t="str">
        <f ca="1">IFERROR(__xludf.DUMMYFUNCTION("GOOGLETRANSLATE(A1209 , ""tr"" , ""en"")"),"@drfahrettinkoca Test Verip Positive Did You Call Your Virus Did You Crave Positive.")</f>
        <v>@drfahrettinkoca Test Verip Positive Did You Call Your Virus Did You Crave Positive.</v>
      </c>
    </row>
    <row r="4411" spans="1:5" ht="15" customHeight="1" x14ac:dyDescent="0.2">
      <c r="A4411" s="1" t="s">
        <v>8815</v>
      </c>
      <c r="B4411" s="1">
        <v>0</v>
      </c>
      <c r="C4411" s="3">
        <v>44542.739178240743</v>
      </c>
      <c r="D4411" s="1" t="s">
        <v>8816</v>
      </c>
      <c r="E4411" s="1" t="str">
        <f ca="1">IFERROR(__xludf.DUMMYFUNCTION("GOOGLETRANSLATE(A1210 , ""tr"" , ""en"")"),"@drfahrettinkoca summer girl 6 omicron, 66 delta, 666 nu variant")</f>
        <v>@drfahrettinkoca summer girl 6 omicron, 66 delta, 666 nu variant</v>
      </c>
    </row>
    <row r="4412" spans="1:5" ht="15" customHeight="1" x14ac:dyDescent="0.2">
      <c r="A4412" s="1" t="s">
        <v>8817</v>
      </c>
      <c r="B4412" s="1">
        <v>0</v>
      </c>
      <c r="C4412" s="3">
        <v>44542.738483796296</v>
      </c>
      <c r="D4412" s="1" t="s">
        <v>8818</v>
      </c>
      <c r="E4412" s="1" t="str">
        <f ca="1">IFERROR(__xludf.DUMMYFUNCTION("GOOGLETRANSLATE(A1211 , ""tr"" , ""en"")"),"@drfahrettinka indian variant had the English variant there was delta variant these were very dangerous they were dangerous ... https://t.co/nyt8AWMVUI")</f>
        <v>@drfahrettinka indian variant had the English variant there was delta variant these were very dangerous they were dangerous ... https://t.co/nyt8AWMVUI</v>
      </c>
    </row>
    <row r="4413" spans="1:5" ht="15" customHeight="1" x14ac:dyDescent="0.2">
      <c r="A4413" s="1" t="s">
        <v>8819</v>
      </c>
      <c r="B4413" s="1">
        <v>10</v>
      </c>
      <c r="C4413" s="3">
        <v>44542.738182870373</v>
      </c>
      <c r="D4413" s="1" t="s">
        <v>8820</v>
      </c>
      <c r="E4413" s="1" t="str">
        <f ca="1">IFERROR(__xludf.DUMMYFUNCTION("GOOGLETRANSLATE(A1212 , ""tr"" , ""en"")"),"@drfahrettinkoca I'm curious about the minister. Do you detect these variants with PCR test? If the test is positive ... https://t.co/frlwjkon2o")</f>
        <v>@drfahrettinkoca I'm curious about the minister. Do you detect these variants with PCR test? If the test is positive ... https://t.co/frlwjkon2o</v>
      </c>
    </row>
    <row r="4414" spans="1:5" ht="15" customHeight="1" x14ac:dyDescent="0.2">
      <c r="A4414" s="1" t="s">
        <v>8821</v>
      </c>
      <c r="B4414" s="1">
        <v>16</v>
      </c>
      <c r="C4414" s="3">
        <v>44542.73778935185</v>
      </c>
      <c r="D4414" s="1" t="s">
        <v>8822</v>
      </c>
      <c r="E4414" s="1" t="str">
        <f ca="1">IFERROR(__xludf.DUMMYFUNCTION("GOOGLETRANSLATE(A1213 , ""tr"" , ""en"")"),"@drfahrettinkoca does not close from europe friends are no longer extraordinary on your own discourte on the diet of online education ... https://t.co/5bjvr1zg5m")</f>
        <v>@drfahrettinkoca does not close from europe friends are no longer extraordinary on your own discourte on the diet of online education ... https://t.co/5bjvr1zg5m</v>
      </c>
    </row>
    <row r="4415" spans="1:5" ht="15" customHeight="1" x14ac:dyDescent="0.2">
      <c r="A4415" s="1" t="s">
        <v>8823</v>
      </c>
      <c r="B4415" s="1">
        <v>6</v>
      </c>
      <c r="C4415" s="3">
        <v>44542.736921296295</v>
      </c>
      <c r="D4415" s="1" t="s">
        <v>8824</v>
      </c>
      <c r="E4415" s="1" t="str">
        <f ca="1">IFERROR(__xludf.DUMMYFUNCTION("GOOGLETRANSLATE(A1214 , ""tr"" , ""en"")"),"@drfahrettinkoca pilgrim, you believe that you give this lying information yourself? If you are looking at the fact that we look sucker")</f>
        <v>@drfahrettinkoca pilgrim, you believe that you give this lying information yourself? If you are looking at the fact that we look sucker</v>
      </c>
    </row>
    <row r="4416" spans="1:5" ht="15" customHeight="1" x14ac:dyDescent="0.2">
      <c r="A4416" s="1" t="s">
        <v>8825</v>
      </c>
      <c r="B4416" s="1">
        <v>0</v>
      </c>
      <c r="C4416" s="3">
        <v>44542.736678240741</v>
      </c>
      <c r="D4416" s="1" t="s">
        <v>8826</v>
      </c>
      <c r="E4416" s="1" t="str">
        <f ca="1">IFERROR(__xludf.DUMMYFUNCTION("GOOGLETRANSLATE(A1215 , ""tr"" , ""en"")"),"@drfahrettinkoca corona will not be infected by us because we have mask watsome and we have overcome our love we have our love too")</f>
        <v>@drfahrettinkoca corona will not be infected by us because we have mask watsome and we have overcome our love we have our love too</v>
      </c>
    </row>
    <row r="4417" spans="1:5" ht="15" customHeight="1" x14ac:dyDescent="0.2">
      <c r="A4417" s="1" t="s">
        <v>8827</v>
      </c>
      <c r="B4417" s="1">
        <v>11</v>
      </c>
      <c r="C4417" s="3">
        <v>44542.735636574071</v>
      </c>
      <c r="D4417" s="1" t="s">
        <v>8828</v>
      </c>
      <c r="E4417" s="1" t="str">
        <f ca="1">IFERROR(__xludf.DUMMYFUNCTION("GOOGLETRANSLATE(A1216 , ""tr"" , ""en"")"),"@drfahrettinkoca C'mon admit, not even the flu. In this country, 2018-2019 in 42, 43 thousand people flu and pneumonia ... https://t.co/biqht8noy6")</f>
        <v>@drfahrettinkoca C'mon admit, not even the flu. In this country, 2018-2019 in 42, 43 thousand people flu and pneumonia ... https://t.co/biqht8noy6</v>
      </c>
    </row>
    <row r="4418" spans="1:5" ht="15" customHeight="1" x14ac:dyDescent="0.2">
      <c r="A4418" s="1" t="s">
        <v>8829</v>
      </c>
      <c r="B4418" s="1">
        <v>3</v>
      </c>
      <c r="C4418" s="3">
        <v>44542.733946759261</v>
      </c>
      <c r="D4418" s="1" t="s">
        <v>8830</v>
      </c>
      <c r="E4418" s="1" t="str">
        <f ca="1">IFERROR(__xludf.DUMMYFUNCTION("GOOGLETRANSLATE(A1217 , ""tr"" , ""en"")"),"@drfahrettinkoca 6 cases and generalization cannot be made about the course of the disease. No measures in schools. My kids ... https://t.co/svqntnqe5e")</f>
        <v>@drfahrettinkoca 6 cases and generalization cannot be made about the course of the disease. No measures in schools. My kids ... https://t.co/svqntnqe5e</v>
      </c>
    </row>
    <row r="4419" spans="1:5" ht="15" customHeight="1" x14ac:dyDescent="0.2">
      <c r="A4419" s="1" t="s">
        <v>8831</v>
      </c>
      <c r="B4419" s="1">
        <v>1</v>
      </c>
      <c r="C4419" s="3">
        <v>44542.733912037038</v>
      </c>
      <c r="D4419" s="1" t="s">
        <v>8832</v>
      </c>
      <c r="E4419" s="1" t="str">
        <f ca="1">IFERROR(__xludf.DUMMYFUNCTION("GOOGLETRANSLATE(A1218 , ""tr"" , ""en"")"),"@drfahrettinka will be the week Auzef exams in front of you. Schools are on. Where the public will be together. Will be miracled not to spread ...")</f>
        <v>@drfahrettinka will be the week Auzef exams in front of you. Schools are on. Where the public will be together. Will be miracled not to spread ...</v>
      </c>
    </row>
    <row r="4420" spans="1:5" ht="15" customHeight="1" x14ac:dyDescent="0.2">
      <c r="A4420" s="1" t="s">
        <v>8833</v>
      </c>
      <c r="B4420" s="1">
        <v>4</v>
      </c>
      <c r="C4420" s="3">
        <v>44542.732118055559</v>
      </c>
      <c r="D4420" s="1" t="s">
        <v>8834</v>
      </c>
      <c r="E4420" s="1" t="str">
        <f ca="1">IFERROR(__xludf.DUMMYFUNCTION("GOOGLETRANSLATE(A1219 , ""tr"" , ""en"")"),"@drfahrettinkoca is a week like a week in a period of 50 countries that do not care about our ministers T ... https://t.co/tj3hhwttc0")</f>
        <v>@drfahrettinkoca is a week like a week in a period of 50 countries that do not care about our ministers T ... https://t.co/tj3hhwttc0</v>
      </c>
    </row>
    <row r="4421" spans="1:5" ht="15" customHeight="1" x14ac:dyDescent="0.2">
      <c r="A4421" s="1" t="s">
        <v>8835</v>
      </c>
      <c r="B4421" s="1">
        <v>1</v>
      </c>
      <c r="C4421" s="3">
        <v>44542.731921296298</v>
      </c>
      <c r="D4421" s="1" t="s">
        <v>8836</v>
      </c>
      <c r="E4421" s="1" t="str">
        <f ca="1">IFERROR(__xludf.DUMMYFUNCTION("GOOGLETRANSLATE(A1220 , ""tr"" , ""en"")"),"@drfahrettinkoca I couldn't understand this omicron u swimming in Turkey swimming by swimming in the entry and PCR is not entered from the borders or PCR is not entered in the Hani 🤷🤷️")</f>
        <v>@drfahrettinkoca I couldn't understand this omicron u swimming in Turkey swimming by swimming in the entry and PCR is not entered from the borders or PCR is not entered in the Hani 🤷🤷️</v>
      </c>
    </row>
    <row r="4422" spans="1:5" ht="15" customHeight="1" x14ac:dyDescent="0.2">
      <c r="A4422" s="1" t="s">
        <v>8837</v>
      </c>
      <c r="B4422" s="1">
        <v>2</v>
      </c>
      <c r="C4422" s="3">
        <v>44542.731608796297</v>
      </c>
      <c r="D4422" s="1" t="s">
        <v>8838</v>
      </c>
      <c r="E4422" s="1" t="str">
        <f ca="1">IFERROR(__xludf.DUMMYFUNCTION("GOOGLETRANSLATE(A1221 , ""tr"" , ""en"")"),"@drfahrettinkoca omicron Variant is supposed to be out of May 2022 WE was going to update in planning that HIMM😃")</f>
        <v>@drfahrettinkoca omicron Variant is supposed to be out of May 2022 WE was going to update in planning that HIMM😃</v>
      </c>
    </row>
    <row r="4423" spans="1:5" ht="15" customHeight="1" x14ac:dyDescent="0.2">
      <c r="A4423" s="1" t="s">
        <v>8839</v>
      </c>
      <c r="B4423" s="1">
        <v>0</v>
      </c>
      <c r="C4423" s="3">
        <v>44542.731006944443</v>
      </c>
      <c r="D4423" s="1" t="s">
        <v>8840</v>
      </c>
      <c r="E4423" s="1" t="str">
        <f ca="1">IFERROR(__xludf.DUMMYFUNCTION("GOOGLETRANSLATE(A1222 , ""tr"" , ""en"")"),"@drfahrettinkoca Ah Shit, Here We Go Again")</f>
        <v>@drfahrettinkoca Ah Shit, Here We Go Again</v>
      </c>
    </row>
    <row r="4424" spans="1:5" ht="15" customHeight="1" x14ac:dyDescent="0.2">
      <c r="A4424" s="1" t="s">
        <v>8841</v>
      </c>
      <c r="B4424" s="1">
        <v>0</v>
      </c>
      <c r="C4424" s="3">
        <v>44542.730474537035</v>
      </c>
      <c r="D4424" s="1" t="s">
        <v>8842</v>
      </c>
      <c r="E4424" s="1" t="str">
        <f ca="1">IFERROR(__xludf.DUMMYFUNCTION("GOOGLETRANSLATE(A1223 , ""tr"" , ""en"")"),"@drfahrettinkoca 👇😆👇👇 https://t.co/buoa9pvrsj")</f>
        <v>@drfahrettinkoca 👇😆👇👇 https://t.co/buoa9pvrsj</v>
      </c>
    </row>
    <row r="4425" spans="1:5" ht="15" customHeight="1" x14ac:dyDescent="0.2">
      <c r="A4425" s="1" t="s">
        <v>8843</v>
      </c>
      <c r="B4425" s="1">
        <v>0</v>
      </c>
      <c r="C4425" s="3">
        <v>44542.730370370373</v>
      </c>
      <c r="D4425" s="1" t="s">
        <v>8844</v>
      </c>
      <c r="E4425" s="1" t="str">
        <f ca="1">IFERROR(__xludf.DUMMYFUNCTION("GOOGLETRANSLATE(A1224 , ""tr"" , ""en"")"),"@drfahrettinkoca LAN LAN Fahrettin How is Fahrettin Also Raising Cases Everywhere")</f>
        <v>@drfahrettinkoca LAN LAN Fahrettin How is Fahrettin Also Raising Cases Everywhere</v>
      </c>
    </row>
    <row r="4426" spans="1:5" ht="15" customHeight="1" x14ac:dyDescent="0.2">
      <c r="A4426" s="1" t="s">
        <v>8845</v>
      </c>
      <c r="B4426" s="1">
        <v>1</v>
      </c>
      <c r="C4426" s="3">
        <v>44542.729074074072</v>
      </c>
      <c r="D4426" s="1" t="s">
        <v>8846</v>
      </c>
      <c r="E4426" s="1" t="str">
        <f ca="1">IFERROR(__xludf.DUMMYFUNCTION("GOOGLETRANSLATE(A1225 , ""tr"" , ""en"")"),"@drfahrettinka in 6 in the 11th of the month. Wow mention of mention of spectators.")</f>
        <v>@drfahrettinka in 6 in the 11th of the month. Wow mention of mention of spectators.</v>
      </c>
    </row>
    <row r="4427" spans="1:5" ht="15" customHeight="1" x14ac:dyDescent="0.2">
      <c r="A4427" s="1" t="s">
        <v>8847</v>
      </c>
      <c r="B4427" s="1">
        <v>0</v>
      </c>
      <c r="C4427" s="3">
        <v>44542.728865740741</v>
      </c>
      <c r="D4427" s="1" t="s">
        <v>8848</v>
      </c>
      <c r="E4427" s="1" t="str">
        <f ca="1">IFERROR(__xludf.DUMMYFUNCTION("GOOGLETRANSLATE(A1226 , ""tr"" , ""en"")"),"@drfahrettinkoca mehmetak7773 https://t.co/n51xeqmagy")</f>
        <v>@drfahrettinkoca mehmetak7773 https://t.co/n51xeqmagy</v>
      </c>
    </row>
    <row r="4428" spans="1:5" ht="15" customHeight="1" x14ac:dyDescent="0.2">
      <c r="A4428" s="1" t="s">
        <v>8849</v>
      </c>
      <c r="B4428" s="1">
        <v>0</v>
      </c>
      <c r="C4428" s="3">
        <v>44542.726377314815</v>
      </c>
      <c r="D4428" s="1" t="s">
        <v>8850</v>
      </c>
      <c r="E4428" s="1" t="str">
        <f ca="1">IFERROR(__xludf.DUMMYFUNCTION("GOOGLETRANSLATE(A1227 , ""tr"" , ""en"")"),"@drfahrettinkoca liar")</f>
        <v>@drfahrettinkoca liar</v>
      </c>
    </row>
    <row r="4429" spans="1:5" ht="15" customHeight="1" x14ac:dyDescent="0.2">
      <c r="A4429" s="1" t="s">
        <v>8851</v>
      </c>
      <c r="B4429" s="1">
        <v>7</v>
      </c>
      <c r="C4429" s="3">
        <v>44542.725937499999</v>
      </c>
      <c r="D4429" s="1" t="s">
        <v>8852</v>
      </c>
      <c r="E4429" s="1" t="str">
        <f ca="1">IFERROR(__xludf.DUMMYFUNCTION("GOOGLETRANSLATE(A1228 , ""tr"" , ""en"")"),"@drfahrettinkoca primarily infected variants of variants from Turkey to all the world greetings #micron ... https://t.co/fev6cfnnkt")</f>
        <v>@drfahrettinkoca primarily infected variants of variants from Turkey to all the world greetings #micron ... https://t.co/fev6cfnnkt</v>
      </c>
    </row>
    <row r="4430" spans="1:5" ht="15" customHeight="1" x14ac:dyDescent="0.2">
      <c r="A4430" s="1" t="s">
        <v>8853</v>
      </c>
      <c r="B4430" s="1">
        <v>7</v>
      </c>
      <c r="C4430" s="3">
        <v>44542.725752314815</v>
      </c>
      <c r="D4430" s="1" t="s">
        <v>8854</v>
      </c>
      <c r="E4430" s="1" t="str">
        <f ca="1">IFERROR(__xludf.DUMMYFUNCTION("GOOGLETRANSLATE(A1229 , ""tr"" , ""en"")"),"@drfahrettinkoca Biran before 5 years of age should be given the right to the right. There are many families waiting for / waiting.")</f>
        <v>@drfahrettinkoca Biran before 5 years of age should be given the right to the right. There are many families waiting for / waiting.</v>
      </c>
    </row>
    <row r="4431" spans="1:5" ht="15" customHeight="1" x14ac:dyDescent="0.2">
      <c r="A4431" s="1" t="s">
        <v>8855</v>
      </c>
      <c r="B4431" s="1">
        <v>0</v>
      </c>
      <c r="C4431" s="3">
        <v>44542.725162037037</v>
      </c>
      <c r="D4431" s="1" t="s">
        <v>8856</v>
      </c>
      <c r="E4431" s="1" t="str">
        <f ca="1">IFERROR(__xludf.DUMMYFUNCTION("GOOGLETRANSLATE(A1230 , ""tr"" , ""en"")"),"@drfahrettinkoca Currently, the Koskoca State Minister Racon Cuts, I wonder if you are opposite ... Https://t.co/qrvoau3wh5")</f>
        <v>@drfahrettinkoca Currently, the Koskoca State Minister Racon Cuts, I wonder if you are opposite ... Https://t.co/qrvoau3wh5</v>
      </c>
    </row>
    <row r="4432" spans="1:5" ht="15" customHeight="1" x14ac:dyDescent="0.2">
      <c r="A4432" s="1" t="s">
        <v>8857</v>
      </c>
      <c r="B4432" s="1">
        <v>0</v>
      </c>
      <c r="C4432" s="3">
        <v>44542.72515046296</v>
      </c>
      <c r="D4432" s="1" t="s">
        <v>8858</v>
      </c>
      <c r="E4432" s="1" t="str">
        <f ca="1">IFERROR(__xludf.DUMMYFUNCTION("GOOGLETRANSLATE(A1231 , ""tr"" , ""en"")"),"@drfahrettinkoca sec. My Ministry Unfortunately I don't find the light tokens sentence correctly. The fear should not be given but underestimated ... https://t.co/an3nipqsxu")</f>
        <v>@drfahrettinkoca sec. My Ministry Unfortunately I don't find the light tokens sentence correctly. The fear should not be given but underestimated ... https://t.co/an3nipqsxu</v>
      </c>
    </row>
    <row r="4433" spans="1:5" ht="15" customHeight="1" x14ac:dyDescent="0.2">
      <c r="A4433" s="1" t="s">
        <v>8859</v>
      </c>
      <c r="B4433" s="1">
        <v>1</v>
      </c>
      <c r="C4433" s="3">
        <v>44542.724768518521</v>
      </c>
      <c r="D4433" s="1" t="s">
        <v>8860</v>
      </c>
      <c r="E4433" s="1" t="str">
        <f ca="1">IFERROR(__xludf.DUMMYFUNCTION("GOOGLETRANSLATE(A1232 , ""tr"" , ""en"")"),"@drfahrettinka Mr. Minister, January, close schools in February.")</f>
        <v>@drfahrettinka Mr. Minister, January, close schools in February.</v>
      </c>
    </row>
    <row r="4434" spans="1:5" ht="15" customHeight="1" x14ac:dyDescent="0.2">
      <c r="A4434" s="1" t="s">
        <v>8861</v>
      </c>
      <c r="B4434" s="1">
        <v>1</v>
      </c>
      <c r="C4434" s="3">
        <v>44542.724236111113</v>
      </c>
      <c r="D4434" s="1" t="s">
        <v>8862</v>
      </c>
      <c r="E4434" s="1" t="str">
        <f ca="1">IFERROR(__xludf.DUMMYFUNCTION("GOOGLETRANSLATE(A1233 , ""tr"" , ""en"")"),"@drfahrettinkoca you have a case, have downloaded the country's circumalescence first òlen 88 years old to a patient on the screen ... https://t.co/vdugv4Izok")</f>
        <v>@drfahrettinkoca you have a case, have downloaded the country's circumalescence first òlen 88 years old to a patient on the screen ... https://t.co/vdugv4Izok</v>
      </c>
    </row>
    <row r="4435" spans="1:5" ht="15" customHeight="1" x14ac:dyDescent="0.2">
      <c r="A4435" s="1" t="s">
        <v>8863</v>
      </c>
      <c r="B4435" s="1">
        <v>0</v>
      </c>
      <c r="C4435" s="3">
        <v>44542.723726851851</v>
      </c>
      <c r="D4435" s="1" t="s">
        <v>8864</v>
      </c>
      <c r="E4435" s="1" t="str">
        <f ca="1">IFERROR(__xludf.DUMMYFUNCTION("GOOGLETRANSLATE(A1234 , ""tr"" , ""en"")"),"@drfahrettinkoca NAGIT This is the rough variant. While the non-liquid guy is not taken to the hemal airplanes ... fugitive came to the fugitive.")</f>
        <v>@drfahrettinkoca NAGIT This is the rough variant. While the non-liquid guy is not taken to the hemal airplanes ... fugitive came to the fugitive.</v>
      </c>
    </row>
    <row r="4436" spans="1:5" ht="15" customHeight="1" x14ac:dyDescent="0.2">
      <c r="A4436" s="1" t="s">
        <v>8865</v>
      </c>
      <c r="B4436" s="1">
        <v>4</v>
      </c>
      <c r="C4436" s="3">
        <v>44542.723668981482</v>
      </c>
      <c r="D4436" s="1" t="s">
        <v>8866</v>
      </c>
      <c r="E4436" s="1" t="str">
        <f ca="1">IFERROR(__xludf.DUMMYFUNCTION("GOOGLETRANSLATE(A1235 , ""tr"" , ""en"")"),"@drfahrettinka stop from my country from my country enough to stay out of my country")</f>
        <v>@drfahrettinka stop from my country from my country enough to stay out of my country</v>
      </c>
    </row>
    <row r="4437" spans="1:5" ht="15" customHeight="1" x14ac:dyDescent="0.2">
      <c r="A4437" s="1" t="s">
        <v>8867</v>
      </c>
      <c r="B4437" s="1">
        <v>0</v>
      </c>
      <c r="C4437" s="3">
        <v>44542.722800925927</v>
      </c>
      <c r="D4437" s="1" t="s">
        <v>8868</v>
      </c>
      <c r="E4437" s="1" t="str">
        <f ca="1">IFERROR(__xludf.DUMMYFUNCTION("GOOGLETRANSLATE(A1236 , ""tr"" , ""en"")"),"@drfahrettinkoca Do not worry about you say, but you say unsuitable measures say and say vaccine.")</f>
        <v>@drfahrettinkoca Do not worry about you say, but you say unsuitable measures say and say vaccine.</v>
      </c>
    </row>
    <row r="4438" spans="1:5" ht="15" customHeight="1" x14ac:dyDescent="0.2">
      <c r="A4438" s="1" t="s">
        <v>8869</v>
      </c>
      <c r="B4438" s="1">
        <v>0</v>
      </c>
      <c r="C4438" s="3">
        <v>44542.722592592596</v>
      </c>
      <c r="D4438" s="1" t="s">
        <v>8870</v>
      </c>
      <c r="E4438" s="1" t="str">
        <f ca="1">IFERROR(__xludf.DUMMYFUNCTION("GOOGLETRANSLATE(A1237 , ""tr"" , ""en"")"),"@drfahrettinkoca why we still expect 6 months for the reminder dose, it is recommended to withdraw to 3 months. What do you expect. ... https://t.co/xl9aiggi")</f>
        <v>@drfahrettinkoca why we still expect 6 months for the reminder dose, it is recommended to withdraw to 3 months. What do you expect. ... https://t.co/xl9aiggi</v>
      </c>
    </row>
    <row r="4439" spans="1:5" ht="15" customHeight="1" x14ac:dyDescent="0.2">
      <c r="A4439" s="1" t="s">
        <v>8871</v>
      </c>
      <c r="B4439" s="1">
        <v>8</v>
      </c>
      <c r="C4439" s="3">
        <v>44542.721990740742</v>
      </c>
      <c r="D4439" s="1" t="s">
        <v>8872</v>
      </c>
      <c r="E4439" s="1" t="str">
        <f ca="1">IFERROR(__xludf.DUMMYFUNCTION("GOOGLETRANSLATE(A1238 , ""tr"" , ""en"")"),"@drfahrettinkoca The best measure homes said, they sent students to schools. Waste Haram said, palaces ... https://t.co/qpya7wloid")</f>
        <v>@drfahrettinkoca The best measure homes said, they sent students to schools. Waste Haram said, palaces ... https://t.co/qpya7wloid</v>
      </c>
    </row>
    <row r="4440" spans="1:5" ht="15" customHeight="1" x14ac:dyDescent="0.2">
      <c r="A4440" s="1" t="s">
        <v>8873</v>
      </c>
      <c r="B4440" s="1">
        <v>0</v>
      </c>
      <c r="C4440" s="3">
        <v>44542.721932870372</v>
      </c>
      <c r="D4440" s="1" t="s">
        <v>8874</v>
      </c>
      <c r="E4440" s="1" t="str">
        <f ca="1">IFERROR(__xludf.DUMMYFUNCTION("GOOGLETRANSLATE(A1239 , ""tr"" , ""en"")"),"@drfahrettinka Mr. Health Minister; Don't you have your son? You don't have mercy? Humans because of your vaccine love ... https://t.co/7ejnz6ywdl")</f>
        <v>@drfahrettinka Mr. Health Minister; Don't you have your son? You don't have mercy? Humans because of your vaccine love ... https://t.co/7ejnz6ywdl</v>
      </c>
    </row>
    <row r="4441" spans="1:5" ht="15" customHeight="1" x14ac:dyDescent="0.2">
      <c r="A4441" s="1" t="s">
        <v>8875</v>
      </c>
      <c r="B4441" s="1">
        <v>0</v>
      </c>
      <c r="C4441" s="3">
        <v>44542.721388888887</v>
      </c>
      <c r="D4441" s="1" t="s">
        <v>8876</v>
      </c>
      <c r="E4441" s="1" t="str">
        <f ca="1">IFERROR(__xludf.DUMMYFUNCTION("GOOGLETRANSLATE(A1240 , ""tr"" , ""en"")"),"@drfahrettinkoca UK Omicron took strict measures for 25-75 thousand people to be human.")</f>
        <v>@drfahrettinkoca UK Omicron took strict measures for 25-75 thousand people to be human.</v>
      </c>
    </row>
    <row r="4442" spans="1:5" ht="15" customHeight="1" x14ac:dyDescent="0.2">
      <c r="A4442" s="1" t="s">
        <v>8877</v>
      </c>
      <c r="B4442" s="1">
        <v>2</v>
      </c>
      <c r="C4442" s="3">
        <v>44542.721319444441</v>
      </c>
      <c r="D4442" s="1" t="s">
        <v>8878</v>
      </c>
      <c r="E4442" s="1" t="str">
        <f ca="1">IFERROR(__xludf.DUMMYFUNCTION("GOOGLETRANSLATE(A1241 , ""tr"" , ""en"")"),"@drfahrettinkoca omicron varianti More innocent England Why Panic, Australia 3 weeks NII Horned Hornless NYE ​​... HTTPS://T.CO/ULI0YWS9FF")</f>
        <v>@drfahrettinkoca omicron varianti More innocent England Why Panic, Australia 3 weeks NII Horned Hornless NYE ​​... HTTPS://T.CO/ULI0YWS9FF</v>
      </c>
    </row>
    <row r="4443" spans="1:5" ht="15" customHeight="1" x14ac:dyDescent="0.2">
      <c r="A4443" s="1" t="s">
        <v>8879</v>
      </c>
      <c r="B4443" s="1">
        <v>0</v>
      </c>
      <c r="C4443" s="3">
        <v>44542.721261574072</v>
      </c>
      <c r="D4443" s="1" t="s">
        <v>8880</v>
      </c>
      <c r="E4443" s="1" t="str">
        <f ca="1">IFERROR(__xludf.DUMMYFUNCTION("GOOGLETRANSLATE(A1242 , ""tr"" , ""en"")"),"@drfahrettinkoca When you are hired, even when you are traveling in vaccine and PCR test, while traveling on the same applications again while https://t.co/mq6wmycui1")</f>
        <v>@drfahrettinkoca When you are hired, even when you are traveling in vaccine and PCR test, while traveling on the same applications again while https://t.co/mq6wmycui1</v>
      </c>
    </row>
    <row r="4444" spans="1:5" ht="15" customHeight="1" x14ac:dyDescent="0.2">
      <c r="A4444" s="1" t="s">
        <v>8881</v>
      </c>
      <c r="B4444" s="1">
        <v>2</v>
      </c>
      <c r="C4444" s="3">
        <v>44542.721006944441</v>
      </c>
      <c r="D4444" s="1" t="s">
        <v>8882</v>
      </c>
      <c r="E4444" s="1" t="str">
        <f ca="1">IFERROR(__xludf.DUMMYFUNCTION("GOOGLETRANSLATE(A1243 , ""tr"" , ""en"")"),"@drfahrettinkoca students gives lives for the pocket of the pocket #omicronvirus #omicron #mahmutoezerocullaronline https://t.co/twsitay13x")</f>
        <v>@drfahrettinkoca students gives lives for the pocket of the pocket #omicronvirus #omicron #mahmutoezerocullaronline https://t.co/twsitay13x</v>
      </c>
    </row>
    <row r="4445" spans="1:5" ht="15" customHeight="1" x14ac:dyDescent="0.2">
      <c r="A4445" s="1" t="s">
        <v>8883</v>
      </c>
      <c r="B4445" s="1">
        <v>0</v>
      </c>
      <c r="C4445" s="3">
        <v>44542.720856481479</v>
      </c>
      <c r="D4445" s="1" t="s">
        <v>8884</v>
      </c>
      <c r="E4445" s="1" t="str">
        <f ca="1">IFERROR(__xludf.DUMMYFUNCTION("GOOGLETRANSLATE(A1244 , ""tr"" , ""en"")"),"@drfahrettinkoca How did you identified the variant. Explain to the love of Allah.")</f>
        <v>@drfahrettinkoca How did you identified the variant. Explain to the love of Allah.</v>
      </c>
    </row>
    <row r="4446" spans="1:5" ht="15" customHeight="1" x14ac:dyDescent="0.2">
      <c r="A4446" s="1" t="s">
        <v>8885</v>
      </c>
      <c r="B4446" s="1">
        <v>0</v>
      </c>
      <c r="C4446" s="3">
        <v>44542.720775462964</v>
      </c>
      <c r="D4446" s="1" t="s">
        <v>8886</v>
      </c>
      <c r="E4446" s="1" t="str">
        <f ca="1">IFERROR(__xludf.DUMMYFUNCTION("GOOGLETRANSLATE(A1245 , ""tr"" , ""en"")"),"@drfahrettinkoca Dear Minister. A single a ... https://t.co/6ahldpsuvu")</f>
        <v>@drfahrettinkoca Dear Minister. A single a ... https://t.co/6ahldpsuvu</v>
      </c>
    </row>
    <row r="4447" spans="1:5" ht="15" customHeight="1" x14ac:dyDescent="0.2">
      <c r="A4447" s="1" t="s">
        <v>8887</v>
      </c>
      <c r="B4447" s="1">
        <v>0</v>
      </c>
      <c r="C4447" s="3">
        <v>44542.720671296294</v>
      </c>
      <c r="D4447" s="1" t="s">
        <v>8888</v>
      </c>
      <c r="E4447" s="1" t="str">
        <f ca="1">IFERROR(__xludf.DUMMYFUNCTION("GOOGLETRANSLATE(A1246 , ""tr"" , ""en"")"),"@drfahrettinkoca is where i don't care")</f>
        <v>@drfahrettinkoca is where i don't care</v>
      </c>
    </row>
    <row r="4448" spans="1:5" ht="15" customHeight="1" x14ac:dyDescent="0.2">
      <c r="A4448" s="1" t="s">
        <v>8889</v>
      </c>
      <c r="B4448" s="1">
        <v>7</v>
      </c>
      <c r="C4448" s="3">
        <v>44542.720185185186</v>
      </c>
      <c r="D4448" s="1" t="s">
        <v>8890</v>
      </c>
      <c r="E4448" s="1" t="str">
        <f ca="1">IFERROR(__xludf.DUMMYFUNCTION("GOOGLETRANSLATE(A1247 , ""tr"" , ""en"")"),"@drfahrettinka vaccine where sir? Where is our 3rd doses ???")</f>
        <v>@drfahrettinka vaccine where sir? Where is our 3rd doses ???</v>
      </c>
    </row>
    <row r="4449" spans="1:5" ht="15" customHeight="1" x14ac:dyDescent="0.2">
      <c r="A4449" s="1" t="s">
        <v>8891</v>
      </c>
      <c r="B4449" s="1">
        <v>0</v>
      </c>
      <c r="C4449" s="3">
        <v>44542.720185185186</v>
      </c>
      <c r="D4449" s="1" t="s">
        <v>8892</v>
      </c>
      <c r="E4449" s="1" t="str">
        <f ca="1">IFERROR(__xludf.DUMMYFUNCTION("GOOGLETRANSLATE(A1248 , ""tr"" , ""en"")"),"@drfahrettinkoca grip is o😉")</f>
        <v>@drfahrettinkoca grip is o😉</v>
      </c>
    </row>
    <row r="4450" spans="1:5" ht="15" customHeight="1" x14ac:dyDescent="0.2">
      <c r="A4450" s="1" t="s">
        <v>8893</v>
      </c>
      <c r="B4450" s="1">
        <v>1</v>
      </c>
      <c r="C4450" s="3">
        <v>44542.719942129632</v>
      </c>
      <c r="D4450" s="1" t="s">
        <v>8894</v>
      </c>
      <c r="E4450" s="1" t="str">
        <f ca="1">IFERROR(__xludf.DUMMYFUNCTION("GOOGLETRANSLATE(A1249 , ""tr"" , ""en"")"),"@drfahrettinkoca These 6 Case No Vaccinated Hani Vaccine Omicron A Harse Providing Resistance # Omicronvirus ... https://t.co/u9sf3am64w")</f>
        <v>@drfahrettinkoca These 6 Case No Vaccinated Hani Vaccine Omicron A Harse Providing Resistance # Omicronvirus ... https://t.co/u9sf3am64w</v>
      </c>
    </row>
    <row r="4451" spans="1:5" ht="15" customHeight="1" x14ac:dyDescent="0.2">
      <c r="A4451" s="1" t="s">
        <v>8895</v>
      </c>
      <c r="B4451" s="1">
        <v>0</v>
      </c>
      <c r="C4451" s="3">
        <v>44542.719687500001</v>
      </c>
      <c r="D4451" s="1" t="s">
        <v>8896</v>
      </c>
      <c r="E4451" s="1" t="str">
        <f ca="1">IFERROR(__xludf.DUMMYFUNCTION("GOOGLETRANSLATE(A1250 , ""tr"" , ""en"")"),"@drfahrettinka Mr. Minister You are doing that test, 3 dose liquid You do not say the eee bidet has code.Allah sake ... https://t.co/2txrırh2vr")</f>
        <v>@drfahrettinka Mr. Minister You are doing that test, 3 dose liquid You do not say the eee bidet has code.Allah sake ... https://t.co/2txrırh2vr</v>
      </c>
    </row>
    <row r="4452" spans="1:5" ht="15" customHeight="1" x14ac:dyDescent="0.2">
      <c r="A4452" s="1" t="s">
        <v>8897</v>
      </c>
      <c r="B4452" s="1">
        <v>0</v>
      </c>
      <c r="C4452" s="3">
        <v>44542.719629629632</v>
      </c>
      <c r="D4452" s="1" t="s">
        <v>8898</v>
      </c>
      <c r="E4452" s="1" t="str">
        <f ca="1">IFERROR(__xludf.DUMMYFUNCTION("GOOGLETRANSLATE(A1251 , ""tr"" , ""en"")"),"@drfahrettinkoca When you have the possibility to isolate what you have detected, how is it an unsubsibility to release? Spread, SO ... HTTPS://T.CO/5RLT88VIM3")</f>
        <v>@drfahrettinkoca When you have the possibility to isolate what you have detected, how is it an unsubsibility to release? Spread, SO ... HTTPS://T.CO/5RLT88VIM3</v>
      </c>
    </row>
    <row r="4453" spans="1:5" ht="15" customHeight="1" x14ac:dyDescent="0.2">
      <c r="A4453" s="1" t="s">
        <v>8899</v>
      </c>
      <c r="B4453" s="1">
        <v>44</v>
      </c>
      <c r="C4453" s="3">
        <v>44542.719490740739</v>
      </c>
      <c r="D4453" s="1" t="s">
        <v>8900</v>
      </c>
      <c r="E4453" s="1" t="str">
        <f ca="1">IFERROR(__xludf.DUMMYFUNCTION("GOOGLETRANSLATE(A1252 , ""tr"" , ""en"")"),"@drfahrettinkoca We are tired of writing, you are still saying the same things. Who is tested to these numbers B ... https://t.co/Ibncf9xc92")</f>
        <v>@drfahrettinkoca We are tired of writing, you are still saying the same things. Who is tested to these numbers B ... https://t.co/Ibncf9xc92</v>
      </c>
    </row>
    <row r="4454" spans="1:5" ht="15" customHeight="1" x14ac:dyDescent="0.2">
      <c r="A4454" s="1" t="s">
        <v>8901</v>
      </c>
      <c r="B4454" s="1">
        <v>8</v>
      </c>
      <c r="C4454" s="3">
        <v>44542.719027777777</v>
      </c>
      <c r="D4454" s="1" t="s">
        <v>8902</v>
      </c>
      <c r="E4454" s="1" t="str">
        <f ca="1">IFERROR(__xludf.DUMMYFUNCTION("GOOGLETRANSLATE(A1253 , ""tr"" , ""en"")"),"@drfahrettinka urgently online education")</f>
        <v>@drfahrettinka urgently online education</v>
      </c>
    </row>
    <row r="4455" spans="1:5" ht="15" customHeight="1" x14ac:dyDescent="0.2">
      <c r="A4455" s="1" t="s">
        <v>8903</v>
      </c>
      <c r="B4455" s="1">
        <v>0</v>
      </c>
      <c r="C4455" s="3">
        <v>44542.718946759262</v>
      </c>
      <c r="D4455" s="1" t="s">
        <v>8904</v>
      </c>
      <c r="E4455" s="1" t="str">
        <f ca="1">IFERROR(__xludf.DUMMYFUNCTION("GOOGLETRANSLATE(A1254 , ""tr"" , ""en"")"),"@drfahrettinkca")</f>
        <v>@drfahrettinkca</v>
      </c>
    </row>
    <row r="4456" spans="1:5" ht="15" customHeight="1" x14ac:dyDescent="0.2">
      <c r="A4456" s="1" t="s">
        <v>8905</v>
      </c>
      <c r="B4456" s="1">
        <v>0</v>
      </c>
      <c r="C4456" s="3">
        <v>44542.718773148146</v>
      </c>
      <c r="D4456" s="1" t="s">
        <v>8906</v>
      </c>
      <c r="E4456" s="1" t="str">
        <f ca="1">IFERROR(__xludf.DUMMYFUNCTION("GOOGLETRANSLATE(A1255 , ""tr"" , ""en"")"),"@drfahrettinkoca 3. Dose biontech vaccine should be opened without 6 months wait !!!")</f>
        <v>@drfahrettinkoca 3. Dose biontech vaccine should be opened without 6 months wait !!!</v>
      </c>
    </row>
    <row r="4457" spans="1:5" ht="15" customHeight="1" x14ac:dyDescent="0.2">
      <c r="A4457" s="1" t="s">
        <v>8907</v>
      </c>
      <c r="B4457" s="1">
        <v>0</v>
      </c>
      <c r="C4457" s="3">
        <v>44542.718761574077</v>
      </c>
      <c r="D4457" s="1" t="s">
        <v>8908</v>
      </c>
      <c r="E4457" s="1" t="str">
        <f ca="1">IFERROR(__xludf.DUMMYFUNCTION("GOOGLETRANSLATE(A1256 , ""tr"" , ""en"")"),"@drfahrettinkoca Don't worry we have the omicron variant. We will not be in the world. 😮")</f>
        <v>@drfahrettinkoca Don't worry we have the omicron variant. We will not be in the world. 😮</v>
      </c>
    </row>
    <row r="4458" spans="1:5" ht="15" customHeight="1" x14ac:dyDescent="0.2">
      <c r="A4458" s="1" t="s">
        <v>8909</v>
      </c>
      <c r="B4458" s="1">
        <v>0</v>
      </c>
      <c r="C4458" s="3">
        <v>44542.71875</v>
      </c>
      <c r="D4458" s="1" t="s">
        <v>8910</v>
      </c>
      <c r="E4458" s="1" t="str">
        <f ca="1">IFERROR(__xludf.DUMMYFUNCTION("GOOGLETRANSLATE(A1257 , ""tr"" , ""en"")"),"@drfahrettinkoca -Düzelicez Be + when? When you enter the grave?")</f>
        <v>@drfahrettinkoca -Düzelicez Be + when? When you enter the grave?</v>
      </c>
    </row>
    <row r="4459" spans="1:5" ht="15" customHeight="1" x14ac:dyDescent="0.2">
      <c r="A4459" s="1" t="s">
        <v>8911</v>
      </c>
      <c r="B4459" s="1">
        <v>0</v>
      </c>
      <c r="C4459" s="3">
        <v>44542.718263888892</v>
      </c>
      <c r="D4459" s="1" t="s">
        <v>8912</v>
      </c>
      <c r="E4459" s="1" t="str">
        <f ca="1">IFERROR(__xludf.DUMMYFUNCTION("GOOGLETRANSLATE(A1258 , ""tr"" , ""en"")"),"@drfahrettinkoca lie ...")</f>
        <v>@drfahrettinkoca lie ...</v>
      </c>
    </row>
    <row r="4460" spans="1:5" ht="15" customHeight="1" x14ac:dyDescent="0.2">
      <c r="A4460" s="1" t="s">
        <v>8913</v>
      </c>
      <c r="B4460" s="1">
        <v>64</v>
      </c>
      <c r="C4460" s="3">
        <v>44542.717905092592</v>
      </c>
      <c r="D4460" s="1" t="s">
        <v>8914</v>
      </c>
      <c r="E4460" s="1" t="str">
        <f ca="1">IFERROR(__xludf.DUMMYFUNCTION("GOOGLETRANSLATE(A1259 , ""tr"" , ""en"")"),"While @drfahrettinkoca Omicron variant, you will still hold the schools open and jeopardize students!?")</f>
        <v>While @drfahrettinkoca Omicron variant, you will still hold the schools open and jeopardize students!?</v>
      </c>
    </row>
    <row r="4461" spans="1:5" ht="15" customHeight="1" x14ac:dyDescent="0.2">
      <c r="A4461" s="1" t="s">
        <v>8915</v>
      </c>
      <c r="B4461" s="1">
        <v>6</v>
      </c>
      <c r="C4461" s="3">
        <v>44542.717685185184</v>
      </c>
      <c r="D4461" s="1" t="s">
        <v>8916</v>
      </c>
      <c r="E4461" s="1" t="str">
        <f ca="1">IFERROR(__xludf.DUMMYFUNCTION("GOOGLETRANSLATE(A1260 , ""tr"" , ""en"")"),"@drfahrettinkoca According to this data, I don't go out to the test that I understand, because it is still positive ""NO EVENT"" HTTPS://T.CO/ZYMHYNREWB")</f>
        <v>@drfahrettinkoca According to this data, I don't go out to the test that I understand, because it is still positive "NO EVENT" HTTPS://T.CO/ZYMHYNREWB</v>
      </c>
    </row>
    <row r="4462" spans="1:5" ht="15" customHeight="1" x14ac:dyDescent="0.2">
      <c r="A4462" s="1" t="s">
        <v>8917</v>
      </c>
      <c r="B4462" s="1">
        <v>0</v>
      </c>
      <c r="C4462" s="3">
        <v>44542.717280092591</v>
      </c>
      <c r="D4462" s="1" t="s">
        <v>8918</v>
      </c>
      <c r="E4462" s="1" t="str">
        <f ca="1">IFERROR(__xludf.DUMMYFUNCTION("GOOGLETRANSLATE(A1261 , ""tr"" , ""en"")"),"@drfahrettinkoca PCR test and when there is no seisture without two dose vaccines, this omircan variant came to this country ... https://t.co/9zselbk7VI")</f>
        <v>@drfahrettinkoca PCR test and when there is no seisture without two dose vaccines, this omircan variant came to this country ... https://t.co/9zselbk7VI</v>
      </c>
    </row>
    <row r="4463" spans="1:5" ht="15" customHeight="1" x14ac:dyDescent="0.2">
      <c r="A4463" s="1" t="s">
        <v>8919</v>
      </c>
      <c r="B4463" s="1">
        <v>0</v>
      </c>
      <c r="C4463" s="3">
        <v>44542.944236111114</v>
      </c>
      <c r="D4463" s="1" t="s">
        <v>8920</v>
      </c>
      <c r="E4463" s="1" t="str">
        <f ca="1">IFERROR(__xludf.DUMMYFUNCTION("GOOGLETRANSLATE(A1262 , ""tr"" , ""en"")"),"@drfahrettinkoca The Covid who understands the same Covid lifing Solves so much")</f>
        <v>@drfahrettinkoca The Covid who understands the same Covid lifing Solves so much</v>
      </c>
    </row>
    <row r="4464" spans="1:5" ht="15" customHeight="1" x14ac:dyDescent="0.2">
      <c r="A4464" s="1" t="s">
        <v>8921</v>
      </c>
      <c r="B4464" s="1">
        <v>0</v>
      </c>
      <c r="C4464" s="3">
        <v>44542.936423611114</v>
      </c>
      <c r="D4464" s="1" t="s">
        <v>8922</v>
      </c>
      <c r="E4464" s="1" t="str">
        <f ca="1">IFERROR(__xludf.DUMMYFUNCTION("GOOGLETRANSLATE(A1263 , ""tr"" , ""en"")"),"@drfahrettinkoca life fits home what is it ??? HEPP (Life Fits Home Fits) Code App ... Https://t.co/1qmusdkfhn")</f>
        <v>@drfahrettinkoca life fits home what is it ??? HEPP (Life Fits Home Fits) Code App ... Https://t.co/1qmusdkfhn</v>
      </c>
    </row>
    <row r="4465" spans="1:5" ht="15" customHeight="1" x14ac:dyDescent="0.2">
      <c r="A4465" s="1" t="s">
        <v>8923</v>
      </c>
      <c r="B4465" s="1">
        <v>0</v>
      </c>
      <c r="C4465" s="3">
        <v>44542.892685185187</v>
      </c>
      <c r="D4465" s="1" t="s">
        <v>8924</v>
      </c>
      <c r="E4465" s="1" t="str">
        <f ca="1">IFERROR(__xludf.DUMMYFUNCTION("GOOGLETRANSLATE(A1264 , ""tr"" , ""en"")"),"Don't turn off @drfahrettinkoca but take new precautions Our children are anymore of the subject of the subject of subjects! ... https://t.co/rsflwk69s2")</f>
        <v>Don't turn off @drfahrettinkoca but take new precautions Our children are anymore of the subject of the subject of subjects! ... https://t.co/rsflwk69s2</v>
      </c>
    </row>
    <row r="4466" spans="1:5" ht="15" customHeight="1" x14ac:dyDescent="0.2">
      <c r="A4466" s="1" t="s">
        <v>8925</v>
      </c>
      <c r="B4466" s="1">
        <v>0</v>
      </c>
      <c r="C4466" s="3">
        <v>44542.892581018517</v>
      </c>
      <c r="D4466" s="1" t="s">
        <v>8926</v>
      </c>
      <c r="E4466" s="1" t="str">
        <f ca="1">IFERROR(__xludf.DUMMYFUNCTION("GOOGLETRANSLATE(A1265 , ""tr"" , ""en"")"),"Don't turn off @drfahrettinka but take new precautions Our children are anymore of the subject of the subject of subjects! ... https://t.co/9potrwdr4p")</f>
        <v>Don't turn off @drfahrettinka but take new precautions Our children are anymore of the subject of the subject of subjects! ... https://t.co/9potrwdr4p</v>
      </c>
    </row>
    <row r="4467" spans="1:5" ht="15" customHeight="1" x14ac:dyDescent="0.2">
      <c r="A4467" s="1" t="s">
        <v>8927</v>
      </c>
      <c r="B4467" s="1">
        <v>0</v>
      </c>
      <c r="C4467" s="3">
        <v>44542.892465277779</v>
      </c>
      <c r="D4467" s="1" t="s">
        <v>8928</v>
      </c>
      <c r="E4467" s="1" t="str">
        <f ca="1">IFERROR(__xludf.DUMMYFUNCTION("GOOGLETRANSLATE(A1266 , ""tr"" , ""en"")"),"@drfahrettinkoca Do not turn off but take new precautions Our children are anymore of the subject of subjects of subjects! ... https://t.co/bsotzcq7hk")</f>
        <v>@drfahrettinkoca Do not turn off but take new precautions Our children are anymore of the subject of subjects of subjects! ... https://t.co/bsotzcq7hk</v>
      </c>
    </row>
    <row r="4468" spans="1:5" ht="15" customHeight="1" x14ac:dyDescent="0.2">
      <c r="A4468" s="1" t="s">
        <v>8929</v>
      </c>
      <c r="B4468" s="1">
        <v>0</v>
      </c>
      <c r="C4468" s="3">
        <v>44542.887187499997</v>
      </c>
      <c r="D4468" s="1" t="s">
        <v>8930</v>
      </c>
      <c r="E4468" s="1" t="str">
        <f ca="1">IFERROR(__xludf.DUMMYFUNCTION("GOOGLETRANSLATE(A1267 , ""tr"" , ""en"")"),"@drfahrettinkoca did not separate the society on the ""epidemic"" individual, ""the state is difficult and political life with individual life, with individual life.")</f>
        <v>@drfahrettinkoca did not separate the society on the "epidemic" individual, "the state is difficult and political life with individual life, with individual life.</v>
      </c>
    </row>
    <row r="4469" spans="1:5" ht="15" customHeight="1" x14ac:dyDescent="0.2">
      <c r="A4469" s="1" t="s">
        <v>8931</v>
      </c>
      <c r="B4469" s="1">
        <v>0</v>
      </c>
      <c r="C4469" s="3">
        <v>44542.872291666667</v>
      </c>
      <c r="D4469" s="1" t="s">
        <v>8932</v>
      </c>
      <c r="E4469" s="1" t="str">
        <f ca="1">IFERROR(__xludf.DUMMYFUNCTION("GOOGLETRANSLATE(A1268 , ""tr"" , ""en"")"),"@drfahrettinkoca Reenis Did you get permission?")</f>
        <v>@drfahrettinkoca Reenis Did you get permission?</v>
      </c>
    </row>
    <row r="4470" spans="1:5" ht="15" customHeight="1" x14ac:dyDescent="0.2">
      <c r="A4470" s="1" t="s">
        <v>8933</v>
      </c>
      <c r="B4470" s="1">
        <v>0</v>
      </c>
      <c r="C4470" s="3">
        <v>44542.868321759262</v>
      </c>
      <c r="D4470" s="1" t="s">
        <v>8934</v>
      </c>
      <c r="E4470" s="1" t="str">
        <f ca="1">IFERROR(__xludf.DUMMYFUNCTION("GOOGLETRANSLATE(A1269 , ""tr"" , ""en"")"),"@drfahrettinkoca is the forbidden to the rest of the rest of the showers; How will these jobs will be minister. Is there prohibited or not?")</f>
        <v>@drfahrettinkoca is the forbidden to the rest of the rest of the showers; How will these jobs will be minister. Is there prohibited or not?</v>
      </c>
    </row>
    <row r="4471" spans="1:5" ht="15" customHeight="1" x14ac:dyDescent="0.2">
      <c r="A4471" s="1" t="s">
        <v>8935</v>
      </c>
      <c r="B4471" s="1">
        <v>0</v>
      </c>
      <c r="C4471" s="3">
        <v>44542.860185185185</v>
      </c>
      <c r="D4471" s="1" t="s">
        <v>8936</v>
      </c>
      <c r="E4471" s="1" t="str">
        <f ca="1">IFERROR(__xludf.DUMMYFUNCTION("GOOGLETRANSLATE(A1270 , ""tr"" , ""en"")"),"@drfahrettinkoca What is God's vaccine, did you investigate the date? How many money you have received from the vaccine ad? How many of the nation is the nation bookless dude?")</f>
        <v>@drfahrettinkoca What is God's vaccine, did you investigate the date? How many money you have received from the vaccine ad? How many of the nation is the nation bookless dude?</v>
      </c>
    </row>
    <row r="4472" spans="1:5" ht="15" customHeight="1" x14ac:dyDescent="0.2">
      <c r="A4472" s="1" t="s">
        <v>8937</v>
      </c>
      <c r="B4472" s="1">
        <v>0</v>
      </c>
      <c r="C4472" s="3">
        <v>44542.859837962962</v>
      </c>
      <c r="D4472" s="1" t="s">
        <v>8938</v>
      </c>
      <c r="E4472" s="1" t="str">
        <f ca="1">IFERROR(__xludf.DUMMYFUNCTION("GOOGLETRANSLATE(A1271 , ""tr"" , ""en"")"),"@drfahrettinkoca You have answer to everything You have an answer to the Minister.Are Heart")</f>
        <v>@drfahrettinkoca You have answer to everything You have an answer to the Minister.Are Heart</v>
      </c>
    </row>
    <row r="4473" spans="1:5" ht="15" customHeight="1" x14ac:dyDescent="0.2">
      <c r="A4473" s="1" t="s">
        <v>8939</v>
      </c>
      <c r="B4473" s="1">
        <v>0</v>
      </c>
      <c r="C4473" s="3">
        <v>44542.852997685186</v>
      </c>
      <c r="D4473" s="1" t="s">
        <v>8940</v>
      </c>
      <c r="E4473" s="1" t="str">
        <f ca="1">IFERROR(__xludf.DUMMYFUNCTION("GOOGLETRANSLATE(A1272 , ""tr"" , ""en"")"),"@drfahrettinkoca h What are you smashing?")</f>
        <v>@drfahrettinkoca h What are you smashing?</v>
      </c>
    </row>
    <row r="4474" spans="1:5" ht="15" customHeight="1" x14ac:dyDescent="0.2">
      <c r="A4474" s="1" t="s">
        <v>8941</v>
      </c>
      <c r="B4474" s="1">
        <v>0</v>
      </c>
      <c r="C4474" s="3">
        <v>44542.834988425922</v>
      </c>
      <c r="D4474" s="1" t="s">
        <v>8942</v>
      </c>
      <c r="E4474" s="1" t="str">
        <f ca="1">IFERROR(__xludf.DUMMYFUNCTION("GOOGLETRANSLATE(A1273 , ""tr"" , ""en"")"),"@drfahrettinka https://t.co/vafosnhquw")</f>
        <v>@drfahrettinka https://t.co/vafosnhquw</v>
      </c>
    </row>
    <row r="4475" spans="1:5" ht="15" customHeight="1" x14ac:dyDescent="0.2">
      <c r="A4475" s="1" t="s">
        <v>8943</v>
      </c>
      <c r="B4475" s="1">
        <v>0</v>
      </c>
      <c r="C4475" s="3">
        <v>44542.804583333331</v>
      </c>
      <c r="D4475" s="1" t="s">
        <v>8944</v>
      </c>
      <c r="E4475" s="1" t="str">
        <f ca="1">IFERROR(__xludf.DUMMYFUNCTION("GOOGLETRANSLATE(A1274 , ""tr"" , ""en"")"),"@drfahrettinkoca for her by HEPP code for his / her code for him, are heels for him because of the epidemic ... https://t.co/ocnbkagxgq")</f>
        <v>@drfahrettinkoca for her by HEPP code for his / her code for him, are heels for him because of the epidemic ... https://t.co/ocnbkagxgq</v>
      </c>
    </row>
    <row r="4476" spans="1:5" ht="15" customHeight="1" x14ac:dyDescent="0.2">
      <c r="A4476" s="1" t="s">
        <v>8945</v>
      </c>
      <c r="B4476" s="1">
        <v>0</v>
      </c>
      <c r="C4476" s="3">
        <v>44542.778032407405</v>
      </c>
      <c r="D4476" s="1" t="s">
        <v>8946</v>
      </c>
      <c r="E4476" s="1" t="str">
        <f ca="1">IFERROR(__xludf.DUMMYFUNCTION("GOOGLETRANSLATE(A1275 , ""tr"" , ""en"")"),"@drfahrettinkoca Ditto Elele")</f>
        <v>@drfahrettinkoca Ditto Elele</v>
      </c>
    </row>
    <row r="4477" spans="1:5" ht="15" customHeight="1" x14ac:dyDescent="0.2">
      <c r="A4477" s="1" t="s">
        <v>8947</v>
      </c>
      <c r="B4477" s="1">
        <v>1</v>
      </c>
      <c r="C4477" s="3">
        <v>44542.775069444448</v>
      </c>
      <c r="D4477" s="1" t="s">
        <v>8948</v>
      </c>
      <c r="E4477" s="1" t="str">
        <f ca="1">IFERROR(__xludf.DUMMYFUNCTION("GOOGLETRANSLATE(A1276 , ""tr"" , ""en"")"),"@drfahrettinkoca Health The Army Started Guns and Started Greve 😂🤣")</f>
        <v>@drfahrettinkoca Health The Army Started Guns and Started Greve 😂🤣</v>
      </c>
    </row>
    <row r="4478" spans="1:5" ht="15" customHeight="1" x14ac:dyDescent="0.2">
      <c r="A4478" s="1" t="s">
        <v>8949</v>
      </c>
      <c r="B4478" s="1">
        <v>2</v>
      </c>
      <c r="C4478" s="3">
        <v>44542.738518518519</v>
      </c>
      <c r="D4478" s="1" t="s">
        <v>8950</v>
      </c>
      <c r="E4478" s="1" t="str">
        <f ca="1">IFERROR(__xludf.DUMMYFUNCTION("GOOGLETRANSLATE(A1277 , ""tr"" , ""en"")"),"@drfahrettinkoca remove now prohibitions. The freedom of travel is our constitutional right. We want back. PCR imposing bits ... https://t.co/qjx6nemovn")</f>
        <v>@drfahrettinkoca remove now prohibitions. The freedom of travel is our constitutional right. We want back. PCR imposing bits ... https://t.co/qjx6nemovn</v>
      </c>
    </row>
    <row r="4479" spans="1:5" ht="15" customHeight="1" x14ac:dyDescent="0.2">
      <c r="A4479" s="1" t="s">
        <v>8951</v>
      </c>
      <c r="B4479" s="1">
        <v>0</v>
      </c>
      <c r="C4479" s="3">
        <v>44542.73709490741</v>
      </c>
      <c r="D4479" s="1" t="s">
        <v>8952</v>
      </c>
      <c r="E4479" s="1" t="str">
        <f ca="1">IFERROR(__xludf.DUMMYFUNCTION("GOOGLETRANSLATE(A1278 , ""tr"" , ""en"")"),"@drfahrettinkoca Kagit Summer Read")</f>
        <v>@drfahrettinkoca Kagit Summer Read</v>
      </c>
    </row>
    <row r="4480" spans="1:5" ht="15" customHeight="1" x14ac:dyDescent="0.2">
      <c r="A4480" s="1" t="s">
        <v>8953</v>
      </c>
      <c r="B4480" s="1">
        <v>1</v>
      </c>
      <c r="C4480" s="3">
        <v>44542.733576388891</v>
      </c>
      <c r="D4480" s="1" t="s">
        <v>8954</v>
      </c>
      <c r="E4480" s="1" t="str">
        <f ca="1">IFERROR(__xludf.DUMMYFUNCTION("GOOGLETRANSLATE(A1279 , ""tr"" , ""en"")"),"@drfahrettinka how much money you have gained vaccine to these cvp give 666 damn! https://t.co/35qyfc7fix")</f>
        <v>@drfahrettinka how much money you have gained vaccine to these cvp give 666 damn! https://t.co/35qyfc7fix</v>
      </c>
    </row>
    <row r="4481" spans="1:5" ht="15" customHeight="1" x14ac:dyDescent="0.2">
      <c r="A4481" s="1" t="s">
        <v>8955</v>
      </c>
      <c r="B4481" s="1">
        <v>0</v>
      </c>
      <c r="C4481" s="3">
        <v>44542.732442129629</v>
      </c>
      <c r="D4481" s="1" t="s">
        <v>8956</v>
      </c>
      <c r="E4481" s="1" t="str">
        <f ca="1">IFERROR(__xludf.DUMMYFUNCTION("GOOGLETRANSLATE(A1280 , ""tr"" , ""en"")"),"@drfahrettinkoca how to sell the nation of the nation's milk CVP! Give CVP without God! Give your unbeliever CVP !!!! 66 ... https://t.co/zgddyI6tzr")</f>
        <v>@drfahrettinkoca how to sell the nation of the nation's milk CVP! Give CVP without God! Give your unbeliever CVP !!!! 66 ... https://t.co/zgddyI6tzr</v>
      </c>
    </row>
    <row r="4482" spans="1:5" ht="15" customHeight="1" x14ac:dyDescent="0.2">
      <c r="A4482" s="1" t="s">
        <v>8957</v>
      </c>
      <c r="B4482" s="1">
        <v>0</v>
      </c>
      <c r="C4482" s="3">
        <v>44542.729131944441</v>
      </c>
      <c r="D4482" s="1" t="s">
        <v>8958</v>
      </c>
      <c r="E4482" s="1" t="str">
        <f ca="1">IFERROR(__xludf.DUMMYFUNCTION("GOOGLETRANSLATE(A1281 , ""tr"" , ""en"")"),"@drfahrettinka https://t.co/mfqhmpc39p")</f>
        <v>@drfahrettinka https://t.co/mfqhmpc39p</v>
      </c>
    </row>
    <row r="4483" spans="1:5" ht="15" customHeight="1" x14ac:dyDescent="0.2">
      <c r="A4483" s="1" t="s">
        <v>8959</v>
      </c>
      <c r="B4483" s="1">
        <v>10</v>
      </c>
      <c r="C4483" s="3">
        <v>44542.724062499998</v>
      </c>
      <c r="D4483" s="1" t="s">
        <v>8960</v>
      </c>
      <c r="E4483" s="1" t="str">
        <f ca="1">IFERROR(__xludf.DUMMYFUNCTION("GOOGLETRANSLATE(A1282 , ""tr"" , ""en"")"),"@drfahrettinkoca We are in the middle of a global epidemic? 8 Course Mask We said, we said, a Du ... https://t.co/v0xfjp9mvj")</f>
        <v>@drfahrettinkoca We are in the middle of a global epidemic? 8 Course Mask We said, we said, a Du ... https://t.co/v0xfjp9mvj</v>
      </c>
    </row>
    <row r="4484" spans="1:5" ht="15" customHeight="1" x14ac:dyDescent="0.2">
      <c r="A4484" s="1" t="s">
        <v>8961</v>
      </c>
      <c r="B4484" s="1">
        <v>0</v>
      </c>
      <c r="C4484" s="3">
        <v>44543.808969907404</v>
      </c>
      <c r="D4484" s="1" t="s">
        <v>8962</v>
      </c>
      <c r="E4484" s="1" t="str">
        <f ca="1">IFERROR(__xludf.DUMMYFUNCTION("GOOGLETRANSLATE(A1283 , ""tr"" , ""en"")"),"@drfahrettinkoca @rterdogan @c_ahmethoca Mr. Minister, please wait for the turkovac vaccine. Our second vaccine is June ... https://t.co/xam2vcbomt")</f>
        <v>@drfahrettinkoca @rterdogan @c_ahmethoca Mr. Minister, please wait for the turkovac vaccine. Our second vaccine is June ... https://t.co/xam2vcbomt</v>
      </c>
    </row>
    <row r="4485" spans="1:5" ht="15" customHeight="1" x14ac:dyDescent="0.2">
      <c r="A4485" s="1" t="s">
        <v>8963</v>
      </c>
      <c r="B4485" s="1">
        <v>0</v>
      </c>
      <c r="C4485" s="3">
        <v>44542.955358796295</v>
      </c>
      <c r="D4485" s="1" t="s">
        <v>8964</v>
      </c>
      <c r="E4485" s="1" t="str">
        <f ca="1">IFERROR(__xludf.DUMMYFUNCTION("GOOGLETRANSLATE(A1284 , ""tr"" , ""en"")"),"@drfahrettinkoca fraudulent and crazy improvement vaccine should be taken to the call.")</f>
        <v>@drfahrettinkoca fraudulent and crazy improvement vaccine should be taken to the call.</v>
      </c>
    </row>
    <row r="4486" spans="1:5" ht="15" customHeight="1" x14ac:dyDescent="0.2">
      <c r="A4486" s="1" t="s">
        <v>8965</v>
      </c>
      <c r="B4486" s="1">
        <v>1</v>
      </c>
      <c r="C4486" s="3">
        <v>44542.908125000002</v>
      </c>
      <c r="D4486" s="1" t="s">
        <v>8966</v>
      </c>
      <c r="E4486" s="1" t="str">
        <f ca="1">IFERROR(__xludf.DUMMYFUNCTION("GOOGLETRANSLATE(A1285 , ""tr"" , ""en"")"),"@drfahrettinka https://t.co/bhx07egqmg")</f>
        <v>@drfahrettinka https://t.co/bhx07egqmg</v>
      </c>
    </row>
    <row r="4487" spans="1:5" ht="15" customHeight="1" x14ac:dyDescent="0.2">
      <c r="A4487" s="1" t="s">
        <v>8967</v>
      </c>
      <c r="B4487" s="1">
        <v>0</v>
      </c>
      <c r="C4487" s="3">
        <v>44542.905046296299</v>
      </c>
      <c r="D4487" s="1" t="s">
        <v>8968</v>
      </c>
      <c r="E4487" s="1" t="str">
        <f ca="1">IFERROR(__xludf.DUMMYFUNCTION("GOOGLETRANSLATE(A1286 , ""tr"" , ""en"")"),"@drfahrettinkoca 50 years, 40% belong to you. Are you aware?")</f>
        <v>@drfahrettinkoca 50 years, 40% belong to you. Are you aware?</v>
      </c>
    </row>
    <row r="4488" spans="1:5" ht="15" customHeight="1" x14ac:dyDescent="0.2">
      <c r="A4488" s="1" t="s">
        <v>8969</v>
      </c>
      <c r="B4488" s="1">
        <v>0</v>
      </c>
      <c r="C4488" s="3">
        <v>44542.899930555555</v>
      </c>
      <c r="D4488" s="1" t="s">
        <v>8970</v>
      </c>
      <c r="E4488" s="1" t="str">
        <f ca="1">IFERROR(__xludf.DUMMYFUNCTION("GOOGLETRANSLATE(A1287 , ""tr"" , ""en"")"),"@drfahrettinkoca How Suddenly Turkey has found 5 6-year phase process vaccine in 10 min")</f>
        <v>@drfahrettinkoca How Suddenly Turkey has found 5 6-year phase process vaccine in 10 min</v>
      </c>
    </row>
    <row r="4489" spans="1:5" ht="15" customHeight="1" x14ac:dyDescent="0.2">
      <c r="A4489" s="1" t="s">
        <v>8971</v>
      </c>
      <c r="B4489" s="1">
        <v>0</v>
      </c>
      <c r="C4489" s="3">
        <v>44542.856180555558</v>
      </c>
      <c r="D4489" s="1" t="s">
        <v>8972</v>
      </c>
      <c r="E4489" s="1" t="str">
        <f ca="1">IFERROR(__xludf.DUMMYFUNCTION("GOOGLETRANSLATE(A1288 , ""tr"" , ""en"")"),"@drfahrettinka collect rambling dogs that cause rabies to develop rabies vaccine")</f>
        <v>@drfahrettinka collect rambling dogs that cause rabies to develop rabies vaccine</v>
      </c>
    </row>
    <row r="4490" spans="1:5" ht="15" customHeight="1" x14ac:dyDescent="0.2">
      <c r="A4490" s="1" t="s">
        <v>8973</v>
      </c>
      <c r="B4490" s="1">
        <v>0</v>
      </c>
      <c r="C4490" s="3">
        <v>44542.848379629628</v>
      </c>
      <c r="D4490" s="1" t="s">
        <v>8974</v>
      </c>
      <c r="E4490" s="1" t="str">
        <f ca="1">IFERROR(__xludf.DUMMYFUNCTION("GOOGLETRANSLATE(A1289 , ""tr"" , ""en"")"),"@drfahrettinkoca After vaccinating a large part of the society with the fluid of the enclosure. Like a joke!")</f>
        <v>@drfahrettinkoca After vaccinating a large part of the society with the fluid of the enclosure. Like a joke!</v>
      </c>
    </row>
    <row r="4491" spans="1:5" ht="15" customHeight="1" x14ac:dyDescent="0.2">
      <c r="A4491" s="1" t="s">
        <v>8975</v>
      </c>
      <c r="B4491" s="1">
        <v>0</v>
      </c>
      <c r="C4491" s="3">
        <v>44542.837766203702</v>
      </c>
      <c r="D4491" s="1" t="s">
        <v>8976</v>
      </c>
      <c r="E4491" s="1" t="str">
        <f ca="1">IFERROR(__xludf.DUMMYFUNCTION("GOOGLETRANSLATE(A1290 , ""tr"" , ""en"")"),"@drfahrettinkoca are not in the mode that they could not do this country did not manage you couldn't manage the top of the good is the sorrow of the meadow")</f>
        <v>@drfahrettinkoca are not in the mode that they could not do this country did not manage you couldn't manage the top of the good is the sorrow of the meadow</v>
      </c>
    </row>
    <row r="4492" spans="1:5" ht="15" customHeight="1" x14ac:dyDescent="0.2">
      <c r="A4492" s="1" t="s">
        <v>8977</v>
      </c>
      <c r="B4492" s="1">
        <v>0</v>
      </c>
      <c r="C4492" s="3">
        <v>44542.831863425927</v>
      </c>
      <c r="D4492" s="1" t="s">
        <v>8978</v>
      </c>
      <c r="E4492" s="1" t="str">
        <f ca="1">IFERROR(__xludf.DUMMYFUNCTION("GOOGLETRANSLATE(A1291 , ""tr"" , ""en"")"),"@drfahrettinkoca water blossom and rabies HIMMMMM Someone is thoroughly honored to Eceline! quit")</f>
        <v>@drfahrettinkoca water blossom and rabies HIMMMMM Someone is thoroughly honored to Eceline! quit</v>
      </c>
    </row>
    <row r="4493" spans="1:5" ht="15" customHeight="1" x14ac:dyDescent="0.2">
      <c r="A4493" s="1" t="s">
        <v>8979</v>
      </c>
      <c r="B4493" s="1">
        <v>0</v>
      </c>
      <c r="C4493" s="3">
        <v>44542.828715277778</v>
      </c>
      <c r="D4493" s="1" t="s">
        <v>8980</v>
      </c>
      <c r="E4493" s="1" t="str">
        <f ca="1">IFERROR(__xludf.DUMMYFUNCTION("GOOGLETRANSLATE(A1292 , ""tr"" , ""en"")"),"@drfahrettinka İşkur via Kura and Interviewed with the Ministry of Health within the scope of the Ministry of Health, and Https://t.co/gch9nn5zso")</f>
        <v>@drfahrettinka İşkur via Kura and Interviewed with the Ministry of Health within the scope of the Ministry of Health, and Https://t.co/gch9nn5zso</v>
      </c>
    </row>
    <row r="4494" spans="1:5" ht="15" customHeight="1" x14ac:dyDescent="0.2">
      <c r="A4494" s="1" t="s">
        <v>8981</v>
      </c>
      <c r="B4494" s="1">
        <v>5</v>
      </c>
      <c r="C4494" s="3">
        <v>44542.792569444442</v>
      </c>
      <c r="D4494" s="1" t="s">
        <v>8982</v>
      </c>
      <c r="E4494" s="1" t="str">
        <f ca="1">IFERROR(__xludf.DUMMYFUNCTION("GOOGLETRANSLATE(A1293 , ""tr"" , ""en"")"),"@drfahrettinkoca Bomonti have closed the drug factory in 2005. Heybeliada You have closed the artodyum in 2005. HIFZISSIHH ... https://t.co/eaw4t1gwok")</f>
        <v>@drfahrettinkoca Bomonti have closed the drug factory in 2005. Heybeliada You have closed the artodyum in 2005. HIFZISSIHH ... https://t.co/eaw4t1gwok</v>
      </c>
    </row>
    <row r="4495" spans="1:5" ht="15" customHeight="1" x14ac:dyDescent="0.2">
      <c r="A4495" s="1" t="s">
        <v>8983</v>
      </c>
      <c r="B4495" s="1">
        <v>0</v>
      </c>
      <c r="C4495" s="3">
        <v>44542.78769675926</v>
      </c>
      <c r="D4495" s="1" t="s">
        <v>8984</v>
      </c>
      <c r="E4495" s="1" t="str">
        <f ca="1">IFERROR(__xludf.DUMMYFUNCTION("GOOGLETRANSLATE(A1294 , ""tr"" , ""en"")"),"@drfahrettinkoca Uzuncovid, leaving the patients in the back, thousands of patients in the back and herd ... https://t.co/g8q2dp6sz1")</f>
        <v>@drfahrettinkoca Uzuncovid, leaving the patients in the back, thousands of patients in the back and herd ... https://t.co/g8q2dp6sz1</v>
      </c>
    </row>
    <row r="4496" spans="1:5" ht="15" customHeight="1" x14ac:dyDescent="0.2">
      <c r="A4496" s="1" t="s">
        <v>8985</v>
      </c>
      <c r="B4496" s="1">
        <v>5</v>
      </c>
      <c r="C4496" s="3">
        <v>44542.743611111109</v>
      </c>
      <c r="D4496" s="1" t="s">
        <v>8986</v>
      </c>
      <c r="E4496" s="1" t="str">
        <f ca="1">IFERROR(__xludf.DUMMYFUNCTION("GOOGLETRANSLATE(A1295 , ""tr"" , ""en"")"),"@drfahrettinkoca hahaha. What difference of domestic vaccine is from imported vaccination. He is the same as others. The same items are in tenth ... https://t.co/1eq9xog3mj")</f>
        <v>@drfahrettinkoca hahaha. What difference of domestic vaccine is from imported vaccination. He is the same as others. The same items are in tenth ... https://t.co/1eq9xog3mj</v>
      </c>
    </row>
    <row r="4497" spans="1:5" ht="15" customHeight="1" x14ac:dyDescent="0.2">
      <c r="A4497" s="1" t="s">
        <v>8987</v>
      </c>
      <c r="B4497" s="1">
        <v>0</v>
      </c>
      <c r="C4497" s="3">
        <v>44542.739502314813</v>
      </c>
      <c r="D4497" s="1" t="s">
        <v>8988</v>
      </c>
      <c r="E4497" s="1" t="str">
        <f ca="1">IFERROR(__xludf.DUMMYFUNCTION("GOOGLETRANSLATE(A1296 , ""tr"" , ""en"")"),"@drfahrettinkoca Trust Over Malesef")</f>
        <v>@drfahrettinkoca Trust Over Malesef</v>
      </c>
    </row>
    <row r="4498" spans="1:5" ht="15" customHeight="1" x14ac:dyDescent="0.2">
      <c r="A4498" s="1" t="s">
        <v>8989</v>
      </c>
      <c r="B4498" s="1">
        <v>0</v>
      </c>
      <c r="C4498" s="3">
        <v>44542.735590277778</v>
      </c>
      <c r="D4498" s="1" t="s">
        <v>8990</v>
      </c>
      <c r="E4498" s="1" t="str">
        <f ca="1">IFERROR(__xludf.DUMMYFUNCTION("GOOGLETRANSLATE(A1297 , ""tr"" , ""en"")"),"@drfahrettinka is insulting the Turkish nationality. Abuse the religious Islam for the evil top mind's planter. Turkey Cu ... https://t.co/y9ypo8h5iz")</f>
        <v>@drfahrettinka is insulting the Turkish nationality. Abuse the religious Islam for the evil top mind's planter. Turkey Cu ... https://t.co/y9ypo8h5iz</v>
      </c>
    </row>
    <row r="4499" spans="1:5" ht="15" customHeight="1" x14ac:dyDescent="0.2">
      <c r="A4499" s="1" t="s">
        <v>8991</v>
      </c>
      <c r="B4499" s="1">
        <v>3</v>
      </c>
      <c r="C4499" s="3">
        <v>44542.7268287037</v>
      </c>
      <c r="D4499" s="1" t="s">
        <v>8992</v>
      </c>
      <c r="E4499" s="1" t="str">
        <f ca="1">IFERROR(__xludf.DUMMYFUNCTION("GOOGLETRANSLATE(A1298 , ""tr"" , ""en"")"),"Do not forget @drfahrettinkoca that is more goug more than the day when the oppression will take the day. Hz.ali. O ... https://t.co/u0tjl3l7al")</f>
        <v>Do not forget @drfahrettinkoca that is more goug more than the day when the oppression will take the day. Hz.ali. O ... https://t.co/u0tjl3l7al</v>
      </c>
    </row>
    <row r="4500" spans="1:5" ht="15" customHeight="1" x14ac:dyDescent="0.2">
      <c r="A4500" s="1" t="s">
        <v>8993</v>
      </c>
      <c r="B4500" s="1">
        <v>0</v>
      </c>
      <c r="C4500" s="3">
        <v>44542.719976851855</v>
      </c>
      <c r="D4500" s="1" t="s">
        <v>8994</v>
      </c>
      <c r="E4500" s="1" t="str">
        <f ca="1">IFERROR(__xludf.DUMMYFUNCTION("GOOGLETRANSLATE(A1299 , ""tr"" , ""en"")"),"@drfahrettinkoca Task You assume the health .... But you think you are at the beginning of anonymous company yourself. B ... https://t.co/pna58tgyn")</f>
        <v>@drfahrettinkoca Task You assume the health .... But you think you are at the beginning of anonymous company yourself. B ... https://t.co/pna58tgyn</v>
      </c>
    </row>
    <row r="4501" spans="1:5" ht="15" customHeight="1" x14ac:dyDescent="0.2">
      <c r="A4501" s="1" t="s">
        <v>8995</v>
      </c>
      <c r="B4501" s="1">
        <v>0</v>
      </c>
      <c r="C4501" s="3">
        <v>44542.717268518521</v>
      </c>
      <c r="D4501" s="1" t="s">
        <v>8996</v>
      </c>
      <c r="E4501" s="1" t="str">
        <f ca="1">IFERROR(__xludf.DUMMYFUNCTION("GOOGLETRANSLATE(A1300 , ""tr"" , ""en"")"),"@drfahrettinkoca Our organic garden https://t.co/b8wcqwolec")</f>
        <v>@drfahrettinkoca Our organic garden https://t.co/b8wcqwolec</v>
      </c>
    </row>
    <row r="4502" spans="1:5" ht="15" customHeight="1" x14ac:dyDescent="0.2">
      <c r="A4502" s="1" t="s">
        <v>8997</v>
      </c>
      <c r="B4502" s="1">
        <v>0</v>
      </c>
      <c r="C4502" s="3">
        <v>44543.870798611111</v>
      </c>
      <c r="D4502" s="1" t="s">
        <v>8998</v>
      </c>
      <c r="E4502" s="1" t="str">
        <f ca="1">IFERROR(__xludf.DUMMYFUNCTION("GOOGLETRANSLATE(A1301 , ""tr"" , ""en"")"),"@drfahrettinkoca is also no longer hush!")</f>
        <v>@drfahrettinkoca is also no longer hush!</v>
      </c>
    </row>
    <row r="4503" spans="1:5" ht="15" customHeight="1" x14ac:dyDescent="0.2">
      <c r="A4503" s="1" t="s">
        <v>8999</v>
      </c>
      <c r="B4503" s="1">
        <v>0</v>
      </c>
      <c r="C4503" s="3">
        <v>44543.845717592594</v>
      </c>
      <c r="D4503" s="1" t="s">
        <v>9000</v>
      </c>
      <c r="E4503" s="1" t="str">
        <f ca="1">IFERROR(__xludf.DUMMYFUNCTION("GOOGLETRANSLATE(A1302 , ""tr"" , ""en"")"),"@drfahrettinkoca you made forced subjects https://t.co/1wehs6dx0p")</f>
        <v>@drfahrettinkoca you made forced subjects https://t.co/1wehs6dx0p</v>
      </c>
    </row>
    <row r="4504" spans="1:5" ht="15" customHeight="1" x14ac:dyDescent="0.2">
      <c r="A4504" s="1" t="s">
        <v>9001</v>
      </c>
      <c r="B4504" s="1">
        <v>0</v>
      </c>
      <c r="C4504" s="3">
        <v>44543.82534722222</v>
      </c>
      <c r="D4504" s="1" t="s">
        <v>9002</v>
      </c>
      <c r="E4504" s="1" t="str">
        <f ca="1">IFERROR(__xludf.DUMMYFUNCTION("GOOGLETRANSLATE(A1303 , ""tr"" , ""en"")"),"@drfahrettinkoca Mr. Minister This folks will not forget you especially the shutters that are closing you do ... https://t.co/ekd50yluz4")</f>
        <v>@drfahrettinkoca Mr. Minister This folks will not forget you especially the shutters that are closing you do ... https://t.co/ekd50yluz4</v>
      </c>
    </row>
    <row r="4505" spans="1:5" ht="15" customHeight="1" x14ac:dyDescent="0.2">
      <c r="A4505" s="1" t="s">
        <v>9003</v>
      </c>
      <c r="B4505" s="1">
        <v>0</v>
      </c>
      <c r="C4505" s="3">
        <v>44543.821840277778</v>
      </c>
      <c r="D4505" s="1" t="s">
        <v>9004</v>
      </c>
      <c r="E4505" s="1" t="str">
        <f ca="1">IFERROR(__xludf.DUMMYFUNCTION("GOOGLETRANSLATE(A1304 , ""tr"" , ""en"")"),"@drfahrettinkoca Germans ureyce Is the BIZ DE BUSE HAS BEEN DEERMED ... 🤣🤣🤣")</f>
        <v>@drfahrettinkoca Germans ureyce Is the BIZ DE BUSE HAS BEEN DEERMED ... 🤣🤣🤣</v>
      </c>
    </row>
    <row r="4506" spans="1:5" ht="15" customHeight="1" x14ac:dyDescent="0.2">
      <c r="A4506" s="1" t="s">
        <v>9005</v>
      </c>
      <c r="B4506" s="1">
        <v>0</v>
      </c>
      <c r="C4506" s="3">
        <v>44543.816354166665</v>
      </c>
      <c r="D4506" s="1" t="s">
        <v>9006</v>
      </c>
      <c r="E4506" s="1" t="str">
        <f ca="1">IFERROR(__xludf.DUMMYFUNCTION("GOOGLETRANSLATE(A1305 , ""tr"" , ""en"")"),"@drfahrettinkoca Vallha")</f>
        <v>@drfahrettinkoca Vallha</v>
      </c>
    </row>
    <row r="4507" spans="1:5" ht="15" customHeight="1" x14ac:dyDescent="0.2">
      <c r="A4507" s="1" t="s">
        <v>9007</v>
      </c>
      <c r="B4507" s="1">
        <v>0</v>
      </c>
      <c r="C4507" s="3">
        <v>44543.80972222222</v>
      </c>
      <c r="D4507" s="1" t="s">
        <v>9008</v>
      </c>
      <c r="E4507" s="1" t="str">
        <f ca="1">IFERROR(__xludf.DUMMYFUNCTION("GOOGLETRANSLATE(A1306 , ""tr"" , ""en"")"),"@drfahrettinkoca @rterdogan @c_ahmethoca Mr. Minister, please wait for the turkovac vaccine. Our second vaccine is June ... https://t.co/rlawpecnve")</f>
        <v>@drfahrettinkoca @rterdogan @c_ahmethoca Mr. Minister, please wait for the turkovac vaccine. Our second vaccine is June ... https://t.co/rlawpecnve</v>
      </c>
    </row>
    <row r="4508" spans="1:5" ht="15" customHeight="1" x14ac:dyDescent="0.2">
      <c r="A4508" s="1" t="s">
        <v>9009</v>
      </c>
      <c r="B4508" s="1">
        <v>0</v>
      </c>
      <c r="C4508" s="3">
        <v>44543.801296296297</v>
      </c>
      <c r="D4508" s="1" t="s">
        <v>9010</v>
      </c>
      <c r="E4508" s="1" t="str">
        <f ca="1">IFERROR(__xludf.DUMMYFUNCTION("GOOGLETRANSLATE(A1307 , ""tr"" , ""en"")"),"@drfahrettinkoca Germans have found we were found in Ahaahhaha")</f>
        <v>@drfahrettinkoca Germans have found we were found in Ahaahhaha</v>
      </c>
    </row>
    <row r="4509" spans="1:5" ht="15" customHeight="1" x14ac:dyDescent="0.2">
      <c r="A4509" s="1" t="s">
        <v>9011</v>
      </c>
      <c r="B4509" s="1">
        <v>0</v>
      </c>
      <c r="C4509" s="3">
        <v>44542.990300925929</v>
      </c>
      <c r="D4509" s="1" t="s">
        <v>9012</v>
      </c>
      <c r="E4509" s="1" t="str">
        <f ca="1">IFERROR(__xludf.DUMMYFUNCTION("GOOGLETRANSLATE(A1308 , ""tr"" , ""en"")"),"@drfahrettinkoca amma is the vaccine when you do the vaccine as if fda has received confirmation")</f>
        <v>@drfahrettinkoca amma is the vaccine when you do the vaccine as if fda has received confirmation</v>
      </c>
    </row>
    <row r="4510" spans="1:5" ht="15" customHeight="1" x14ac:dyDescent="0.2">
      <c r="A4510" s="1" t="s">
        <v>9013</v>
      </c>
      <c r="B4510" s="1">
        <v>0</v>
      </c>
      <c r="C4510" s="3">
        <v>44542.990185185183</v>
      </c>
      <c r="D4510" s="1" t="s">
        <v>9014</v>
      </c>
      <c r="E4510" s="1" t="str">
        <f ca="1">IFERROR(__xludf.DUMMYFUNCTION("GOOGLETRANSLATE(A1309 , ""tr"" , ""en"")"),"@drfahrettinkoca is 666 after 666 and then 11 is Fahrettin Bey.")</f>
        <v>@drfahrettinkoca is 666 after 666 and then 11 is Fahrettin Bey.</v>
      </c>
    </row>
    <row r="4511" spans="1:5" ht="15" customHeight="1" x14ac:dyDescent="0.2">
      <c r="A4511" s="1" t="s">
        <v>9015</v>
      </c>
      <c r="B4511" s="1">
        <v>2</v>
      </c>
      <c r="C4511" s="3">
        <v>44542.977418981478</v>
      </c>
      <c r="D4511" s="1" t="s">
        <v>9016</v>
      </c>
      <c r="E4511" s="1" t="str">
        <f ca="1">IFERROR(__xludf.DUMMYFUNCTION("GOOGLETRANSLATE(A1310 , ""tr"" , ""en"")"),"@drfahrettinkoca is no vaccination of the virus that has mutated! You know that very well! You have finished science❗❗ confidence is disposable ❗")</f>
        <v>@drfahrettinkoca is no vaccination of the virus that has mutated! You know that very well! You have finished science❗❗ confidence is disposable ❗</v>
      </c>
    </row>
    <row r="4512" spans="1:5" ht="15" customHeight="1" x14ac:dyDescent="0.2">
      <c r="A4512" s="1" t="s">
        <v>9017</v>
      </c>
      <c r="B4512" s="1">
        <v>1</v>
      </c>
      <c r="C4512" s="3">
        <v>44542.975231481483</v>
      </c>
      <c r="D4512" s="1" t="s">
        <v>9018</v>
      </c>
      <c r="E4512" s="1" t="str">
        <f ca="1">IFERROR(__xludf.DUMMYFUNCTION("GOOGLETRANSLATE(A1311 , ""tr"" , ""en"")"),"@drfahrettinkoca The vaccine such as the later police movies came after the pandema. Covid in the hometown ... https://t.co/6mt89ntkag")</f>
        <v>@drfahrettinkoca The vaccine such as the later police movies came after the pandema. Covid in the hometown ... https://t.co/6mt89ntkag</v>
      </c>
    </row>
    <row r="4513" spans="1:5" ht="15" customHeight="1" x14ac:dyDescent="0.2">
      <c r="A4513" s="1" t="s">
        <v>9019</v>
      </c>
      <c r="B4513" s="1">
        <v>0</v>
      </c>
      <c r="C4513" s="3">
        <v>44542.971238425926</v>
      </c>
      <c r="D4513" s="1" t="s">
        <v>9020</v>
      </c>
      <c r="E4513" s="1" t="str">
        <f ca="1">IFERROR(__xludf.DUMMYFUNCTION("GOOGLETRANSLATE(A1312 , ""tr"" , ""en"")"),"@drfahrettinkoca Minister you are a little bit of the measure of work")</f>
        <v>@drfahrettinkoca Minister you are a little bit of the measure of work</v>
      </c>
    </row>
    <row r="4514" spans="1:5" ht="15" customHeight="1" x14ac:dyDescent="0.2">
      <c r="A4514" s="1" t="s">
        <v>9021</v>
      </c>
      <c r="B4514" s="1">
        <v>0</v>
      </c>
      <c r="C4514" s="3">
        <v>44542.968773148146</v>
      </c>
      <c r="D4514" s="1" t="s">
        <v>9022</v>
      </c>
      <c r="E4514" s="1" t="str">
        <f ca="1">IFERROR(__xludf.DUMMYFUNCTION("GOOGLETRANSLATE(A1313 , ""tr"" , ""en"")"),"@drfahrettinkoca you are unamulled. Yacht get up CVT19. The nation didn't say other than Yahu.")</f>
        <v>@drfahrettinkoca you are unamulled. Yacht get up CVT19. The nation didn't say other than Yahu.</v>
      </c>
    </row>
    <row r="4515" spans="1:5" ht="15" customHeight="1" x14ac:dyDescent="0.2">
      <c r="A4515" s="1" t="s">
        <v>9023</v>
      </c>
      <c r="B4515" s="1">
        <v>0</v>
      </c>
      <c r="C4515" s="3">
        <v>44542.95144675926</v>
      </c>
      <c r="D4515" s="1" t="s">
        <v>9024</v>
      </c>
      <c r="E4515" s="1" t="str">
        <f ca="1">IFERROR(__xludf.DUMMYFUNCTION("GOOGLETRANSLATE(A1314 , ""tr"" , ""en"")"),"@drfahrettinkoca where o i overlooking the rebellious sec i am waiting for the indigenous and national sire looking forward to the market")</f>
        <v>@drfahrettinkoca where o i overlooking the rebellious sec i am waiting for the indigenous and national sire looking forward to the market</v>
      </c>
    </row>
    <row r="4516" spans="1:5" ht="15" customHeight="1" x14ac:dyDescent="0.2">
      <c r="A4516" s="1" t="s">
        <v>9025</v>
      </c>
      <c r="B4516" s="1">
        <v>2</v>
      </c>
      <c r="C4516" s="3">
        <v>44542.946331018517</v>
      </c>
      <c r="D4516" s="1" t="s">
        <v>9026</v>
      </c>
      <c r="E4516" s="1" t="str">
        <f ca="1">IFERROR(__xludf.DUMMYFUNCTION("GOOGLETRANSLATE(A1315 , ""tr"" , ""en"")"),"@drfahrettinkoca Mr. Overlooking these MRNA vaccines Certificates of the license of the licenses of the licenses of the license 3. https://t.co/xekhjudof8")</f>
        <v>@drfahrettinkoca Mr. Overlooking these MRNA vaccines Certificates of the license of the licenses of the licenses of the license 3. https://t.co/xekhjudof8</v>
      </c>
    </row>
    <row r="4517" spans="1:5" ht="15" customHeight="1" x14ac:dyDescent="0.2">
      <c r="A4517" s="1" t="s">
        <v>9027</v>
      </c>
      <c r="B4517" s="1">
        <v>0</v>
      </c>
      <c r="C4517" s="3">
        <v>44542.946018518516</v>
      </c>
      <c r="D4517" s="1" t="s">
        <v>9028</v>
      </c>
      <c r="E4517" s="1" t="str">
        <f ca="1">IFERROR(__xludf.DUMMYFUNCTION("GOOGLETRANSLATE(A1316 , ""tr"" , ""en"")"),"@drfahrettinkoca I guess you don't need it too ...")</f>
        <v>@drfahrettinkoca I guess you don't need it too ...</v>
      </c>
    </row>
    <row r="4518" spans="1:5" ht="15" customHeight="1" x14ac:dyDescent="0.2">
      <c r="A4518" s="1" t="s">
        <v>9029</v>
      </c>
      <c r="B4518" s="1">
        <v>0</v>
      </c>
      <c r="C4518" s="3">
        <v>44542.94259259259</v>
      </c>
      <c r="D4518" s="1" t="s">
        <v>9030</v>
      </c>
      <c r="E4518" s="1" t="str">
        <f ca="1">IFERROR(__xludf.DUMMYFUNCTION("GOOGLETRANSLATE(A1317 , ""tr"" , ""en"")"),"@drfahrettinkoca Gas We found the domestic car than we had a beating bragger")</f>
        <v>@drfahrettinkoca Gas We found the domestic car than we had a beating bragger</v>
      </c>
    </row>
    <row r="4519" spans="1:5" ht="15" customHeight="1" x14ac:dyDescent="0.2">
      <c r="A4519" s="1" t="s">
        <v>9031</v>
      </c>
      <c r="B4519" s="1">
        <v>0</v>
      </c>
      <c r="C4519" s="3">
        <v>44542.929710648146</v>
      </c>
      <c r="D4519" s="1" t="s">
        <v>9032</v>
      </c>
      <c r="E4519" s="1" t="str">
        <f ca="1">IFERROR(__xludf.DUMMYFUNCTION("GOOGLETRANSLATE(A1318 , ""tr"" , ""en"")"),"@drfahrettinkoca he he")</f>
        <v>@drfahrettinkoca he he</v>
      </c>
    </row>
    <row r="4520" spans="1:5" ht="15" customHeight="1" x14ac:dyDescent="0.2">
      <c r="A4520" s="1" t="s">
        <v>9033</v>
      </c>
      <c r="B4520" s="1">
        <v>0</v>
      </c>
      <c r="C4520" s="3">
        <v>44542.923750000002</v>
      </c>
      <c r="D4520" s="1" t="s">
        <v>9034</v>
      </c>
      <c r="E4520" s="1" t="str">
        <f ca="1">IFERROR(__xludf.DUMMYFUNCTION("GOOGLETRANSLATE(A1319 , ""tr"" , ""en"")"),"@drfahrettinka vaccine where is the husband chairman? 1 year is always the same movie.")</f>
        <v>@drfahrettinka vaccine where is the husband chairman? 1 year is always the same movie.</v>
      </c>
    </row>
    <row r="4521" spans="1:5" ht="15" customHeight="1" x14ac:dyDescent="0.2">
      <c r="A4521" s="1" t="s">
        <v>9035</v>
      </c>
      <c r="B4521" s="1">
        <v>4</v>
      </c>
      <c r="C4521" s="3">
        <v>44542.917511574073</v>
      </c>
      <c r="D4521" s="1" t="s">
        <v>9036</v>
      </c>
      <c r="E4521" s="1" t="str">
        <f ca="1">IFERROR(__xludf.DUMMYFUNCTION("GOOGLETRANSLATE(A1320 , ""tr"" , ""en"")"),"@drfahrettinkoca what's 6? 11 Ulke Acisi is applied with AKO. I have written every ULKEY 1 sample. Ours is not practicing Hituz ... https://t.co/leIC6c3nn1")</f>
        <v>@drfahrettinkoca what's 6? 11 Ulke Acisi is applied with AKO. I have written every ULKEY 1 sample. Ours is not practicing Hituz ... https://t.co/leIC6c3nn1</v>
      </c>
    </row>
    <row r="4522" spans="1:5" ht="15" customHeight="1" x14ac:dyDescent="0.2">
      <c r="A4522" s="1" t="s">
        <v>9037</v>
      </c>
      <c r="B4522" s="1">
        <v>0</v>
      </c>
      <c r="C4522" s="3">
        <v>44542.915775462963</v>
      </c>
      <c r="D4522" s="1" t="s">
        <v>9038</v>
      </c>
      <c r="E4522" s="1" t="str">
        <f ca="1">IFERROR(__xludf.DUMMYFUNCTION("GOOGLETRANSLATE(A1321 , ""tr"" , ""en"")"),"@drfahrettinkoca vaccine do you know that?")</f>
        <v>@drfahrettinkoca vaccine do you know that?</v>
      </c>
    </row>
    <row r="4523" spans="1:5" ht="15" customHeight="1" x14ac:dyDescent="0.2">
      <c r="A4523" s="1" t="s">
        <v>9039</v>
      </c>
      <c r="B4523" s="1">
        <v>0</v>
      </c>
      <c r="C4523" s="3">
        <v>44542.907442129632</v>
      </c>
      <c r="D4523" s="1" t="s">
        <v>9040</v>
      </c>
      <c r="E4523" s="1" t="str">
        <f ca="1">IFERROR(__xludf.DUMMYFUNCTION("GOOGLETRANSLATE(A1322 , ""tr"" , ""en"")"),"@drfahrettinkoca kovid-19 lie vaccine also lie")</f>
        <v>@drfahrettinkoca kovid-19 lie vaccine also lie</v>
      </c>
    </row>
    <row r="4524" spans="1:5" ht="15" customHeight="1" x14ac:dyDescent="0.2">
      <c r="A4524" s="1" t="s">
        <v>9041</v>
      </c>
      <c r="B4524" s="1">
        <v>0</v>
      </c>
      <c r="C4524" s="3">
        <v>44542.90693287037</v>
      </c>
      <c r="D4524" s="1" t="s">
        <v>9042</v>
      </c>
      <c r="E4524" s="1" t="str">
        <f ca="1">IFERROR(__xludf.DUMMYFUNCTION("GOOGLETRANSLATE(A1323 , ""tr"" , ""en"")"),"@drfahrettinkoca TURKEY has 6 Omicron cases seen ... What do you understand with the thermometer? Om above the virus ... https://t.co/kfewfla5my")</f>
        <v>@drfahrettinkoca TURKEY has 6 Omicron cases seen ... What do you understand with the thermometer? Om above the virus ... https://t.co/kfewfla5my</v>
      </c>
    </row>
    <row r="4525" spans="1:5" ht="15" customHeight="1" x14ac:dyDescent="0.2">
      <c r="A4525" s="1" t="s">
        <v>9043</v>
      </c>
      <c r="B4525" s="1">
        <v>0</v>
      </c>
      <c r="C4525" s="3">
        <v>44542.895937499998</v>
      </c>
      <c r="D4525" s="1" t="s">
        <v>9044</v>
      </c>
      <c r="E4525" s="1" t="str">
        <f ca="1">IFERROR(__xludf.DUMMYFUNCTION("GOOGLETRANSLATE(A1324 , ""tr"" , ""en"")"),"@drfahrettinka you may only produce it. Hani Sinovac was 100% prevented. These vaccines will be needed after 2 years ... https://t.co/eeruwn4xmr")</f>
        <v>@drfahrettinka you may only produce it. Hani Sinovac was 100% prevented. These vaccines will be needed after 2 years ... https://t.co/eeruwn4xmr</v>
      </c>
    </row>
    <row r="4526" spans="1:5" ht="15" customHeight="1" x14ac:dyDescent="0.2">
      <c r="A4526" s="1" t="s">
        <v>9045</v>
      </c>
      <c r="B4526" s="1">
        <v>0</v>
      </c>
      <c r="C4526" s="3">
        <v>44542.883483796293</v>
      </c>
      <c r="D4526" s="1" t="s">
        <v>9046</v>
      </c>
      <c r="E4526" s="1" t="str">
        <f ca="1">IFERROR(__xludf.DUMMYFUNCTION("GOOGLETRANSLATE(A1325 , ""tr"" , ""en"")"),"@drfahrettinkoca Covid 19 working with Haarp Psychology of Haarp Psychology with 19 ... https://t.co/pxyyveger2")</f>
        <v>@drfahrettinkoca Covid 19 working with Haarp Psychology of Haarp Psychology with 19 ... https://t.co/pxyyveger2</v>
      </c>
    </row>
    <row r="4527" spans="1:5" ht="15" customHeight="1" x14ac:dyDescent="0.2">
      <c r="A4527" s="1" t="s">
        <v>9047</v>
      </c>
      <c r="B4527" s="1">
        <v>1</v>
      </c>
      <c r="C4527" s="3">
        <v>44542.88181712963</v>
      </c>
      <c r="D4527" s="1" t="s">
        <v>9048</v>
      </c>
      <c r="E4527" s="1" t="str">
        <f ca="1">IFERROR(__xludf.DUMMYFUNCTION("GOOGLETRANSLATE(A1326 , ""tr"" , ""en"")"),"@drfahrettinkoca Chinese vaccine if they are ingesting the Turkish vaccine I don't believe anything I don't believe in the country quality ... HTTPS://T.COIIMMZESF")</f>
        <v>@drfahrettinkoca Chinese vaccine if they are ingesting the Turkish vaccine I don't believe anything I don't believe in the country quality ... HTTPS://T.COIIMMZESF</v>
      </c>
    </row>
    <row r="4528" spans="1:5" ht="15" customHeight="1" x14ac:dyDescent="0.2">
      <c r="A4528" s="1" t="s">
        <v>9049</v>
      </c>
      <c r="B4528" s="1">
        <v>0</v>
      </c>
      <c r="C4528" s="3">
        <v>44542.879803240743</v>
      </c>
      <c r="D4528" s="1" t="s">
        <v>9050</v>
      </c>
      <c r="E4528" s="1" t="str">
        <f ca="1">IFERROR(__xludf.DUMMYFUNCTION("GOOGLETRANSLATE(A1327 , ""tr"" , ""en"")"),"@drfahrettinkoca Do not turn off but take new precautions Our children are anymore of the subject of the subject of subjects! ... https://t.co/yfqx3grhdh")</f>
        <v>@drfahrettinkoca Do not turn off but take new precautions Our children are anymore of the subject of the subject of subjects! ... https://t.co/yfqx3grhdh</v>
      </c>
    </row>
    <row r="4529" spans="1:5" ht="15" customHeight="1" x14ac:dyDescent="0.2">
      <c r="A4529" s="1" t="s">
        <v>9051</v>
      </c>
      <c r="B4529" s="1">
        <v>0</v>
      </c>
      <c r="C4529" s="3">
        <v>44542.87777777778</v>
      </c>
      <c r="D4529" s="1" t="s">
        <v>9052</v>
      </c>
      <c r="E4529" s="1" t="str">
        <f ca="1">IFERROR(__xludf.DUMMYFUNCTION("GOOGLETRANSLATE(A1328 , ""tr"" , ""en"")"),"@drfahrettinkoca what did you have what patience said to the tayyibin said to the messenger says what sir s ... https://t.co/ssi2nx3asv")</f>
        <v>@drfahrettinkoca what did you have what patience said to the tayyibin said to the messenger says what sir s ... https://t.co/ssi2nx3asv</v>
      </c>
    </row>
    <row r="4530" spans="1:5" ht="15" customHeight="1" x14ac:dyDescent="0.2">
      <c r="A4530" s="1" t="s">
        <v>9053</v>
      </c>
      <c r="B4530" s="1">
        <v>0</v>
      </c>
      <c r="C4530" s="3">
        <v>44542.865972222222</v>
      </c>
      <c r="D4530" s="1" t="s">
        <v>9054</v>
      </c>
      <c r="E4530" s="1" t="str">
        <f ca="1">IFERROR(__xludf.DUMMYFUNCTION("GOOGLETRANSLATE(A1329 , ""tr"" , ""en"")"),"@drfahrettinka vaccine not experiment fluid")</f>
        <v>@drfahrettinka vaccine not experiment fluid</v>
      </c>
    </row>
    <row r="4531" spans="1:5" ht="15" customHeight="1" x14ac:dyDescent="0.2">
      <c r="A4531" s="1" t="s">
        <v>9055</v>
      </c>
      <c r="B4531" s="1">
        <v>0</v>
      </c>
      <c r="C4531" s="3">
        <v>44542.862546296295</v>
      </c>
      <c r="D4531" s="1" t="s">
        <v>9056</v>
      </c>
      <c r="E4531" s="1" t="str">
        <f ca="1">IFERROR(__xludf.DUMMYFUNCTION("GOOGLETRANSLATE(A1330 , ""tr"" , ""en"")"),"@drfahrettinkoca Ulan Bophometmists are thoroughly disconnected from your disposal !!!")</f>
        <v>@drfahrettinkoca Ulan Bophometmists are thoroughly disconnected from your disposal !!!</v>
      </c>
    </row>
    <row r="4532" spans="1:5" ht="15" customHeight="1" x14ac:dyDescent="0.2">
      <c r="A4532" s="1" t="s">
        <v>9057</v>
      </c>
      <c r="B4532" s="1">
        <v>0</v>
      </c>
      <c r="C4532" s="3">
        <v>44542.858194444445</v>
      </c>
      <c r="D4532" s="1" t="s">
        <v>9058</v>
      </c>
      <c r="E4532" s="1" t="str">
        <f ca="1">IFERROR(__xludf.DUMMYFUNCTION("GOOGLETRANSLATE(A1331 , ""tr"" , ""en"")"),"@drfahrettinkoca Most doctors of the poverty line, most health workers pay under the hunger boundary of the aloooo")</f>
        <v>@drfahrettinkoca Most doctors of the poverty line, most health workers pay under the hunger boundary of the aloooo</v>
      </c>
    </row>
    <row r="4533" spans="1:5" ht="15" customHeight="1" x14ac:dyDescent="0.2">
      <c r="A4533" s="1" t="s">
        <v>9059</v>
      </c>
      <c r="B4533" s="1">
        <v>0</v>
      </c>
      <c r="C4533" s="3">
        <v>44542.845682870371</v>
      </c>
      <c r="D4533" s="1" t="s">
        <v>9060</v>
      </c>
      <c r="E4533" s="1" t="str">
        <f ca="1">IFERROR(__xludf.DUMMYFUNCTION("GOOGLETRANSLATE(A1332 , ""tr"" , ""en"")"),"@drfahrettinkoca How many intelligence believes in this lie believes in suspect")</f>
        <v>@drfahrettinkoca How many intelligence believes in this lie believes in suspect</v>
      </c>
    </row>
    <row r="4534" spans="1:5" ht="15" customHeight="1" x14ac:dyDescent="0.2">
      <c r="A4534" s="1" t="s">
        <v>9061</v>
      </c>
      <c r="B4534" s="1">
        <v>0</v>
      </c>
      <c r="C4534" s="3">
        <v>44542.841574074075</v>
      </c>
      <c r="D4534" s="1" t="s">
        <v>9062</v>
      </c>
      <c r="E4534" s="1" t="str">
        <f ca="1">IFERROR(__xludf.DUMMYFUNCTION("GOOGLETRANSLATE(A1333 , ""tr"" , ""en"")"),"@drfahrettinkoca hani where vaccine")</f>
        <v>@drfahrettinkoca hani where vaccine</v>
      </c>
    </row>
    <row r="4535" spans="1:5" ht="15" customHeight="1" x14ac:dyDescent="0.2">
      <c r="A4535" s="1" t="s">
        <v>9063</v>
      </c>
      <c r="B4535" s="1">
        <v>0</v>
      </c>
      <c r="C4535" s="3">
        <v>44542.838703703703</v>
      </c>
      <c r="D4535" s="1" t="s">
        <v>9064</v>
      </c>
      <c r="E4535" s="1" t="str">
        <f ca="1">IFERROR(__xludf.DUMMYFUNCTION("GOOGLETRANSLATE(A1334 , ""tr"" , ""en"")"),"If @drfahrettinkoca AKP Li is a call for your members to find voluntary citizen")</f>
        <v>If @drfahrettinkoca AKP Li is a call for your members to find voluntary citizen</v>
      </c>
    </row>
    <row r="4536" spans="1:5" ht="15" customHeight="1" x14ac:dyDescent="0.2">
      <c r="A4536" s="1" t="s">
        <v>9065</v>
      </c>
      <c r="B4536" s="1">
        <v>0</v>
      </c>
      <c r="C4536" s="3">
        <v>44542.838379629633</v>
      </c>
      <c r="D4536" s="1" t="s">
        <v>9066</v>
      </c>
      <c r="E4536" s="1" t="str">
        <f ca="1">IFERROR(__xludf.DUMMYFUNCTION("GOOGLETRANSLATE(A1335 , ""tr"" , ""en"")"),"@drfahrettinkoca room bisey? We're the only country that turns pastor medicine to immersor!")</f>
        <v>@drfahrettinkoca room bisey? We're the only country that turns pastor medicine to immersor!</v>
      </c>
    </row>
    <row r="4537" spans="1:5" ht="15" customHeight="1" x14ac:dyDescent="0.2">
      <c r="A4537" s="1" t="s">
        <v>9067</v>
      </c>
      <c r="B4537" s="1">
        <v>0</v>
      </c>
      <c r="C4537" s="3">
        <v>44542.838043981479</v>
      </c>
      <c r="D4537" s="1" t="s">
        <v>9068</v>
      </c>
      <c r="E4537" s="1" t="str">
        <f ca="1">IFERROR(__xludf.DUMMYFUNCTION("GOOGLETRANSLATE(A1336 , ""tr"" , ""en"")"),"@drfahrettinkoca 🤣🤣🤣")</f>
        <v>@drfahrettinkoca 🤣🤣🤣</v>
      </c>
    </row>
    <row r="4538" spans="1:5" ht="15" customHeight="1" x14ac:dyDescent="0.2">
      <c r="A4538" s="1" t="s">
        <v>9069</v>
      </c>
      <c r="B4538" s="1">
        <v>0</v>
      </c>
      <c r="C4538" s="3">
        <v>44542.833773148152</v>
      </c>
      <c r="D4538" s="1" t="s">
        <v>9070</v>
      </c>
      <c r="E4538" s="1" t="str">
        <f ca="1">IFERROR(__xludf.DUMMYFUNCTION("GOOGLETRANSLATE(A1337 , ""tr"" , ""en"")"),"@drfahrettinkoca without more people 3rd Biontech asylari, what are you more looking forward to more than Minister?")</f>
        <v>@drfahrettinkoca without more people 3rd Biontech asylari, what are you more looking forward to more than Minister?</v>
      </c>
    </row>
    <row r="4539" spans="1:5" ht="15" customHeight="1" x14ac:dyDescent="0.2">
      <c r="A4539" s="1" t="s">
        <v>9071</v>
      </c>
      <c r="B4539" s="1">
        <v>0</v>
      </c>
      <c r="C4539" s="3">
        <v>44542.831296296295</v>
      </c>
      <c r="D4539" s="1" t="s">
        <v>9072</v>
      </c>
      <c r="E4539" s="1" t="str">
        <f ca="1">IFERROR(__xludf.DUMMYFUNCTION("GOOGLETRANSLATE(A1338 , ""tr"" , ""en"")"),"@drfahrettinkoca for 2 years since the beginning of the pandemine you have not been tired of lying on TV")</f>
        <v>@drfahrettinkoca for 2 years since the beginning of the pandemine you have not been tired of lying on TV</v>
      </c>
    </row>
    <row r="4540" spans="1:5" ht="15" customHeight="1" x14ac:dyDescent="0.2">
      <c r="A4540" s="1" t="s">
        <v>9073</v>
      </c>
      <c r="B4540" s="1">
        <v>1</v>
      </c>
      <c r="C4540" s="3">
        <v>44542.830972222226</v>
      </c>
      <c r="D4540" s="1" t="s">
        <v>9074</v>
      </c>
      <c r="E4540" s="1" t="str">
        <f ca="1">IFERROR(__xludf.DUMMYFUNCTION("GOOGLETRANSLATE(A1339 , ""tr"" , ""en"")"),"@drfahrettinkoca well done you")</f>
        <v>@drfahrettinkoca well done you</v>
      </c>
    </row>
    <row r="4541" spans="1:5" ht="15" customHeight="1" x14ac:dyDescent="0.2">
      <c r="A4541" s="1" t="s">
        <v>9075</v>
      </c>
      <c r="B4541" s="1">
        <v>0</v>
      </c>
      <c r="C4541" s="3">
        <v>44542.830474537041</v>
      </c>
      <c r="D4541" s="1" t="s">
        <v>9076</v>
      </c>
      <c r="E4541" s="1" t="str">
        <f ca="1">IFERROR(__xludf.DUMMYFUNCTION("GOOGLETRANSLATE(A1340 , ""tr"" , ""en"")"),"@drfahrettinkoca where is it?")</f>
        <v>@drfahrettinkoca where is it?</v>
      </c>
    </row>
    <row r="4542" spans="1:5" ht="15" customHeight="1" x14ac:dyDescent="0.2">
      <c r="A4542" s="1" t="s">
        <v>9077</v>
      </c>
      <c r="B4542" s="1">
        <v>0</v>
      </c>
      <c r="C4542" s="3">
        <v>44542.830451388887</v>
      </c>
      <c r="D4542" s="1" t="s">
        <v>9078</v>
      </c>
      <c r="E4542" s="1" t="str">
        <f ca="1">IFERROR(__xludf.DUMMYFUNCTION("GOOGLETRANSLATE(A1341 , ""tr"" , ""en"")"),"@drfahrettinka where is the vaccine")</f>
        <v>@drfahrettinka where is the vaccine</v>
      </c>
    </row>
    <row r="4543" spans="1:5" ht="15" customHeight="1" x14ac:dyDescent="0.2">
      <c r="A4543" s="1" t="s">
        <v>9079</v>
      </c>
      <c r="B4543" s="1">
        <v>0</v>
      </c>
      <c r="C4543" s="3">
        <v>44542.828032407408</v>
      </c>
      <c r="D4543" s="1" t="s">
        <v>9080</v>
      </c>
      <c r="E4543" s="1" t="str">
        <f ca="1">IFERROR(__xludf.DUMMYFUNCTION("GOOGLETRANSLATE(A1342 , ""tr"" , ""en"")"),"@drfahrettinkoca aaaa 🤭🤭🤭🤭")</f>
        <v>@drfahrettinkoca aaaa 🤭🤭🤭🤭</v>
      </c>
    </row>
    <row r="4544" spans="1:5" ht="15" customHeight="1" x14ac:dyDescent="0.2">
      <c r="A4544" s="1" t="s">
        <v>9081</v>
      </c>
      <c r="B4544" s="1">
        <v>0</v>
      </c>
      <c r="C4544" s="3">
        <v>44542.828020833331</v>
      </c>
      <c r="D4544" s="1" t="s">
        <v>9082</v>
      </c>
      <c r="E4544" s="1" t="str">
        <f ca="1">IFERROR(__xludf.DUMMYFUNCTION("GOOGLETRANSLATE(A1343 , ""tr"" , ""en"")"),"@drfahrettinkoca where is this vaccination, why is currently being made of Sinovac and Biontech, why is the international public ... https://t.co/1IOPIEztkl")</f>
        <v>@drfahrettinkoca where is this vaccination, why is currently being made of Sinovac and Biontech, why is the international public ... https://t.co/1IOPIEztkl</v>
      </c>
    </row>
    <row r="4545" spans="1:5" ht="15" customHeight="1" x14ac:dyDescent="0.2">
      <c r="A4545" s="1" t="s">
        <v>9083</v>
      </c>
      <c r="B4545" s="1">
        <v>0</v>
      </c>
      <c r="C4545" s="3">
        <v>44542.826770833337</v>
      </c>
      <c r="D4545" s="1" t="s">
        <v>9084</v>
      </c>
      <c r="E4545" s="1" t="str">
        <f ca="1">IFERROR(__xludf.DUMMYFUNCTION("GOOGLETRANSLATE(A1344 , ""tr"" , ""en"")"),"@drfahrettinkoca Allah has been accepted the prayers you don't embarrass.")</f>
        <v>@drfahrettinkoca Allah has been accepted the prayers you don't embarrass.</v>
      </c>
    </row>
    <row r="4546" spans="1:5" ht="15" customHeight="1" x14ac:dyDescent="0.2">
      <c r="A4546" s="1" t="s">
        <v>9085</v>
      </c>
      <c r="B4546" s="1">
        <v>0</v>
      </c>
      <c r="C4546" s="3">
        <v>44542.822997685187</v>
      </c>
      <c r="D4546" s="1" t="s">
        <v>9086</v>
      </c>
      <c r="E4546" s="1" t="str">
        <f ca="1">IFERROR(__xludf.DUMMYFUNCTION("GOOGLETRANSLATE(A1345 , ""tr"" , ""en"")"),"@drfahrettinkoca Ya Well Mr. Minister Hani Where is our vaccine we are the vaccine produced by China i n and Germany?")</f>
        <v>@drfahrettinkoca Ya Well Mr. Minister Hani Where is our vaccine we are the vaccine produced by China i n and Germany?</v>
      </c>
    </row>
    <row r="4547" spans="1:5" ht="15" customHeight="1" x14ac:dyDescent="0.2">
      <c r="A4547" s="1" t="s">
        <v>9087</v>
      </c>
      <c r="B4547" s="1">
        <v>0</v>
      </c>
      <c r="C4547" s="3">
        <v>44542.822557870371</v>
      </c>
      <c r="D4547" s="1" t="s">
        <v>9088</v>
      </c>
      <c r="E4547" s="1" t="str">
        <f ca="1">IFERROR(__xludf.DUMMYFUNCTION("GOOGLETRANSLATE(A1346 , ""tr"" , ""en"")"),"@drfahrettinkoca https://t.co/hkshazlıl07")</f>
        <v>@drfahrettinkoca https://t.co/hkshazlıl07</v>
      </c>
    </row>
    <row r="4548" spans="1:5" ht="15" customHeight="1" x14ac:dyDescent="0.2">
      <c r="A4548" s="1" t="s">
        <v>9089</v>
      </c>
      <c r="B4548" s="1">
        <v>0</v>
      </c>
      <c r="C4548" s="3">
        <v>44542.820717592593</v>
      </c>
      <c r="D4548" s="1" t="s">
        <v>9090</v>
      </c>
      <c r="E4548" s="1" t="str">
        <f ca="1">IFERROR(__xludf.DUMMYFUNCTION("GOOGLETRANSLATE(A1347 , ""tr"" , ""en"")"),"@drfahrettinkoca What snow needs people who don't need the vaccine minister of people needs to think of the managers.")</f>
        <v>@drfahrettinkoca What snow needs people who don't need the vaccine minister of people needs to think of the managers.</v>
      </c>
    </row>
    <row r="4549" spans="1:5" ht="15" customHeight="1" x14ac:dyDescent="0.2">
      <c r="A4549" s="1" t="s">
        <v>9091</v>
      </c>
      <c r="B4549" s="1">
        <v>0</v>
      </c>
      <c r="C4549" s="3">
        <v>44542.805555555555</v>
      </c>
      <c r="D4549" s="1" t="s">
        <v>9092</v>
      </c>
      <c r="E4549" s="1" t="str">
        <f ca="1">IFERROR(__xludf.DUMMYFUNCTION("GOOGLETRANSLATE(A1348 , ""tr"" , ""en"")"),"@drfahrettinkoca Vallaha? May your contribution be your ability to get big more about me.")</f>
        <v>@drfahrettinkoca Vallaha? May your contribution be your ability to get big more about me.</v>
      </c>
    </row>
    <row r="4550" spans="1:5" ht="15" customHeight="1" x14ac:dyDescent="0.2">
      <c r="A4550" s="1" t="s">
        <v>9093</v>
      </c>
      <c r="B4550" s="1">
        <v>0</v>
      </c>
      <c r="C4550" s="3">
        <v>44542.799039351848</v>
      </c>
      <c r="D4550" s="1" t="s">
        <v>9094</v>
      </c>
      <c r="E4550" s="1" t="str">
        <f ca="1">IFERROR(__xludf.DUMMYFUNCTION("GOOGLETRANSLATE(A1349 , ""tr"" , ""en"")"),"@drfahrettinka vaccine not produce that vaccine is important to be able to provide a certain protection to people :) TU ... HTTPS://t.co/jnpaxh9wpl")</f>
        <v>@drfahrettinka vaccine not produce that vaccine is important to be able to provide a certain protection to people :) TU ... HTTPS://t.co/jnpaxh9wpl</v>
      </c>
    </row>
    <row r="4551" spans="1:5" ht="15" customHeight="1" x14ac:dyDescent="0.2">
      <c r="A4551" s="1" t="s">
        <v>9095</v>
      </c>
      <c r="B4551" s="1">
        <v>0</v>
      </c>
      <c r="C4551" s="3">
        <v>44542.796041666668</v>
      </c>
      <c r="D4551" s="1" t="s">
        <v>9096</v>
      </c>
      <c r="E4551" s="1" t="str">
        <f ca="1">IFERROR(__xludf.DUMMYFUNCTION("GOOGLETRANSLATE(A1350 , ""tr"" , ""en"")"),"@drfahrettinkoca Hani Where do you be keen")</f>
        <v>@drfahrettinkoca Hani Where do you be keen</v>
      </c>
    </row>
    <row r="4552" spans="1:5" ht="15" customHeight="1" x14ac:dyDescent="0.2">
      <c r="A4552" s="1" t="s">
        <v>9097</v>
      </c>
      <c r="B4552" s="1">
        <v>0</v>
      </c>
      <c r="C4552" s="3">
        <v>44542.783946759257</v>
      </c>
      <c r="D4552" s="1" t="s">
        <v>9098</v>
      </c>
      <c r="E4552" s="1" t="str">
        <f ca="1">IFERROR(__xludf.DUMMYFUNCTION("GOOGLETRANSLATE(A1351 , ""tr"" , ""en"")"),"@drfahrettinkoca Uyanrrrr We are tired of your lies.")</f>
        <v>@drfahrettinkoca Uyanrrrr We are tired of your lies.</v>
      </c>
    </row>
    <row r="4553" spans="1:5" ht="15" customHeight="1" x14ac:dyDescent="0.2">
      <c r="A4553" s="1" t="s">
        <v>9099</v>
      </c>
      <c r="B4553" s="1">
        <v>0</v>
      </c>
      <c r="C4553" s="3">
        <v>44542.782233796293</v>
      </c>
      <c r="D4553" s="1" t="s">
        <v>9100</v>
      </c>
      <c r="E4553" s="1" t="str">
        <f ca="1">IFERROR(__xludf.DUMMYFUNCTION("GOOGLETRANSLATE(A1352 , ""tr"" , ""en"")"),"@drfahrettinkoca and at the same time we are a subject to the study of gene therapy that other countries produced ... Https://t.co/po6zc9v6dd")</f>
        <v>@drfahrettinkoca and at the same time we are a subject to the study of gene therapy that other countries produced ... Https://t.co/po6zc9v6dd</v>
      </c>
    </row>
    <row r="4554" spans="1:5" ht="15" customHeight="1" x14ac:dyDescent="0.2">
      <c r="A4554" s="1" t="s">
        <v>9101</v>
      </c>
      <c r="B4554" s="1">
        <v>0</v>
      </c>
      <c r="C4554" s="3">
        <v>44542.779988425929</v>
      </c>
      <c r="D4554" s="1" t="s">
        <v>9102</v>
      </c>
      <c r="E4554" s="1" t="str">
        <f ca="1">IFERROR(__xludf.DUMMYFUNCTION("GOOGLETRANSLATE(A1353 , ""tr"" , ""en"")"),"@drfahrettinkoca eeee then ..")</f>
        <v>@drfahrettinkoca eeee then ..</v>
      </c>
    </row>
    <row r="4555" spans="1:5" ht="15" customHeight="1" x14ac:dyDescent="0.2">
      <c r="A4555" s="1" t="s">
        <v>9103</v>
      </c>
      <c r="B4555" s="1">
        <v>0</v>
      </c>
      <c r="C4555" s="3">
        <v>44542.776504629626</v>
      </c>
      <c r="D4555" s="1" t="s">
        <v>9104</v>
      </c>
      <c r="E4555" s="1" t="str">
        <f ca="1">IFERROR(__xludf.DUMMYFUNCTION("GOOGLETRANSLATE(A1354 , ""tr"" , ""en"")"),"@drfahrettinkoca vaccine We have been aware of the clarification permit. Let's see the permission certificate please.")</f>
        <v>@drfahrettinkoca vaccine We have been aware of the clarification permit. Let's see the permission certificate please.</v>
      </c>
    </row>
    <row r="4556" spans="1:5" ht="15" customHeight="1" x14ac:dyDescent="0.2">
      <c r="A4556" s="1" t="s">
        <v>9105</v>
      </c>
      <c r="B4556" s="1">
        <v>1</v>
      </c>
      <c r="C4556" s="3">
        <v>44542.765231481484</v>
      </c>
      <c r="D4556" s="1" t="s">
        <v>9106</v>
      </c>
      <c r="E4556" s="1" t="str">
        <f ca="1">IFERROR(__xludf.DUMMYFUNCTION("GOOGLETRANSLATE(A1355 , ""tr"" , ""en"")"),"@drfahrettinkoca solution is not treatment drugs .. The most effective and side ineffective treatment drugs should be developed. This is ... https://t.co/wbkllr7hoj")</f>
        <v>@drfahrettinkoca solution is not treatment drugs .. The most effective and side ineffective treatment drugs should be developed. This is ... https://t.co/wbkllr7hoj</v>
      </c>
    </row>
    <row r="4557" spans="1:5" ht="15" customHeight="1" x14ac:dyDescent="0.2">
      <c r="A4557" s="1" t="s">
        <v>9107</v>
      </c>
      <c r="B4557" s="1">
        <v>4</v>
      </c>
      <c r="C4557" s="3">
        <v>44542.763460648152</v>
      </c>
      <c r="D4557" s="1" t="s">
        <v>9108</v>
      </c>
      <c r="E4557" s="1" t="str">
        <f ca="1">IFERROR(__xludf.DUMMYFUNCTION("GOOGLETRANSLATE(A1356 , ""tr"" , ""en"")"),"@drfahrettinkoca forty lying is not the figurial experiment liquid.")</f>
        <v>@drfahrettinkoca forty lying is not the figurial experiment liquid.</v>
      </c>
    </row>
    <row r="4558" spans="1:5" ht="15" customHeight="1" x14ac:dyDescent="0.2">
      <c r="A4558" s="1" t="s">
        <v>9109</v>
      </c>
      <c r="B4558" s="1">
        <v>2</v>
      </c>
      <c r="C4558" s="3">
        <v>44542.75986111111</v>
      </c>
      <c r="D4558" s="1" t="s">
        <v>9110</v>
      </c>
      <c r="E4558" s="1" t="str">
        <f ca="1">IFERROR(__xludf.DUMMYFUNCTION("GOOGLETRANSLATE(A1357 , ""tr"" , ""en"")"),"@drfahrettinkoca Kadro Duzenlama should be brought to the officer-shelf separation should be removed. 4D Li SiSi Paramedic Ambulance Buru ... https://t.co/tue2nbv13s")</f>
        <v>@drfahrettinkoca Kadro Duzenlama should be brought to the officer-shelf separation should be removed. 4D Li SiSi Paramedic Ambulance Buru ... https://t.co/tue2nbv13s</v>
      </c>
    </row>
    <row r="4559" spans="1:5" ht="15" customHeight="1" x14ac:dyDescent="0.2">
      <c r="A4559" s="1" t="s">
        <v>9111</v>
      </c>
      <c r="B4559" s="1">
        <v>0</v>
      </c>
      <c r="C4559" s="3">
        <v>44542.755312499998</v>
      </c>
      <c r="D4559" s="1" t="s">
        <v>9112</v>
      </c>
      <c r="E4559" s="1" t="str">
        <f ca="1">IFERROR(__xludf.DUMMYFUNCTION("GOOGLETRANSLATE(A1358 , ""tr"" , ""en"")"),"@drfahrettinkoca almost goremed the sediment of the shanty more than the minister to end the pandemet. Kacinci mutation until you uret is ... https://t.co/qcbcqlrmzx")</f>
        <v>@drfahrettinkoca almost goremed the sediment of the shanty more than the minister to end the pandemet. Kacinci mutation until you uret is ... https://t.co/qcbcqlrmzx</v>
      </c>
    </row>
    <row r="4560" spans="1:5" ht="15" customHeight="1" x14ac:dyDescent="0.2">
      <c r="A4560" s="1" t="s">
        <v>9113</v>
      </c>
      <c r="B4560" s="1">
        <v>0</v>
      </c>
      <c r="C4560" s="3">
        <v>44542.755231481482</v>
      </c>
      <c r="D4560" s="1" t="s">
        <v>9114</v>
      </c>
      <c r="E4560" s="1" t="str">
        <f ca="1">IFERROR(__xludf.DUMMYFUNCTION("GOOGLETRANSLATE(A1359 , ""tr"" , ""en"")"),"@drfahrettinkoca where is the vaccine?")</f>
        <v>@drfahrettinkoca where is the vaccine?</v>
      </c>
    </row>
    <row r="4561" spans="1:5" ht="15" customHeight="1" x14ac:dyDescent="0.2">
      <c r="A4561" s="1" t="s">
        <v>9115</v>
      </c>
      <c r="B4561" s="1">
        <v>0</v>
      </c>
      <c r="C4561" s="3">
        <v>44542.753969907404</v>
      </c>
      <c r="D4561" s="1" t="s">
        <v>9116</v>
      </c>
      <c r="E4561" s="1" t="str">
        <f ca="1">IFERROR(__xludf.DUMMYFUNCTION("GOOGLETRANSLATE(A1360 , ""tr"" , ""en"")"),"@drfahrettinkoca they had the vaccination of virus. Peh. These folks are already donated against the flu type that you call the virus ... https://t.co/yldkzpl4xs")</f>
        <v>@drfahrettinkoca they had the vaccination of virus. Peh. These folks are already donated against the flu type that you call the virus ... https://t.co/yldkzpl4xs</v>
      </c>
    </row>
    <row r="4562" spans="1:5" ht="15" customHeight="1" x14ac:dyDescent="0.2">
      <c r="A4562" s="1" t="s">
        <v>9117</v>
      </c>
      <c r="B4562" s="1">
        <v>0</v>
      </c>
      <c r="C4562" s="3">
        <v>44542.753807870373</v>
      </c>
      <c r="D4562" s="1" t="s">
        <v>9118</v>
      </c>
      <c r="E4562" s="1" t="str">
        <f ca="1">IFERROR(__xludf.DUMMYFUNCTION("GOOGLETRANSLATE(A1361 , ""tr"" , ""en"")"),"@drfahrettinkoca ISE Wound I have my")</f>
        <v>@drfahrettinkoca ISE Wound I have my</v>
      </c>
    </row>
    <row r="4563" spans="1:5" ht="15" customHeight="1" x14ac:dyDescent="0.2">
      <c r="A4563" s="1" t="s">
        <v>9119</v>
      </c>
      <c r="B4563" s="1">
        <v>0</v>
      </c>
      <c r="C4563" s="3">
        <v>44542.751284722224</v>
      </c>
      <c r="D4563" s="1" t="s">
        <v>9120</v>
      </c>
      <c r="E4563" s="1" t="str">
        <f ca="1">IFERROR(__xludf.DUMMYFUNCTION("GOOGLETRANSLATE(A1362 , ""tr"" , ""en"")"),"@drfahrettinkoca is the back of the lie as well as this. You are constantly mutated virus that you don't have vaccinations you are in vaccine ... https://t.co/rcrgh71umq")</f>
        <v>@drfahrettinkoca is the back of the lie as well as this. You are constantly mutated virus that you don't have vaccinations you are in vaccine ... https://t.co/rcrgh71umq</v>
      </c>
    </row>
    <row r="4564" spans="1:5" ht="15" customHeight="1" x14ac:dyDescent="0.2">
      <c r="A4564" s="1" t="s">
        <v>9121</v>
      </c>
      <c r="B4564" s="1">
        <v>8</v>
      </c>
      <c r="C4564" s="3">
        <v>44542.749282407407</v>
      </c>
      <c r="D4564" s="1" t="s">
        <v>9122</v>
      </c>
      <c r="E4564" s="1" t="str">
        <f ca="1">IFERROR(__xludf.DUMMYFUNCTION("GOOGLETRANSLATE(A1363 , ""tr"" , ""en"")"),"@drfahrettinkoca If you think this nation is not in the experimental liquid, people from the cost of life are enough and balance ... https://t.co/IGbalnhywx")</f>
        <v>@drfahrettinkoca If you think this nation is not in the experimental liquid, people from the cost of life are enough and balance ... https://t.co/IGbalnhywx</v>
      </c>
    </row>
    <row r="4565" spans="1:5" ht="15" customHeight="1" x14ac:dyDescent="0.2">
      <c r="A4565" s="1" t="s">
        <v>9123</v>
      </c>
      <c r="B4565" s="1">
        <v>0</v>
      </c>
      <c r="C4565" s="3">
        <v>44542.747604166667</v>
      </c>
      <c r="D4565" s="1" t="s">
        <v>9124</v>
      </c>
      <c r="E4565" s="1" t="str">
        <f ca="1">IFERROR(__xludf.DUMMYFUNCTION("GOOGLETRANSLATE(A1364 , ""tr"" , ""en"")"),"@drfahrettinkoca Naplight So? Let's go immediately?")</f>
        <v>@drfahrettinkoca Naplight So? Let's go immediately?</v>
      </c>
    </row>
    <row r="4566" spans="1:5" ht="15" customHeight="1" x14ac:dyDescent="0.2">
      <c r="A4566" s="1" t="s">
        <v>9125</v>
      </c>
      <c r="B4566" s="1">
        <v>0</v>
      </c>
      <c r="C4566" s="3">
        <v>44542.746631944443</v>
      </c>
      <c r="D4566" s="1" t="s">
        <v>9126</v>
      </c>
      <c r="E4566" s="1" t="str">
        <f ca="1">IFERROR(__xludf.DUMMYFUNCTION("GOOGLETRANSLATE(A1365 , ""tr"" , ""en"")"),"@drfahrettinkoca I know what is proud of producing what is not beneficial to anyone .....")</f>
        <v>@drfahrettinkoca I know what is proud of producing what is not beneficial to anyone .....</v>
      </c>
    </row>
    <row r="4567" spans="1:5" ht="15" customHeight="1" x14ac:dyDescent="0.2">
      <c r="A4567" s="1" t="s">
        <v>9127</v>
      </c>
      <c r="B4567" s="1">
        <v>0</v>
      </c>
      <c r="C4567" s="3">
        <v>44542.746620370373</v>
      </c>
      <c r="D4567" s="1" t="s">
        <v>9128</v>
      </c>
      <c r="E4567" s="1" t="str">
        <f ca="1">IFERROR(__xludf.DUMMYFUNCTION("GOOGLETRANSLATE(A1366 , ""tr"" , ""en"")"),"@drfahrettinkoca masturbation.")</f>
        <v>@drfahrettinkoca masturbation.</v>
      </c>
    </row>
    <row r="4568" spans="1:5" ht="15" customHeight="1" x14ac:dyDescent="0.2">
      <c r="A4568" s="1" t="s">
        <v>9129</v>
      </c>
      <c r="B4568" s="1">
        <v>3</v>
      </c>
      <c r="C4568" s="3">
        <v>44542.745613425926</v>
      </c>
      <c r="D4568" s="1" t="s">
        <v>9130</v>
      </c>
      <c r="E4568" s="1" t="str">
        <f ca="1">IFERROR(__xludf.DUMMYFUNCTION("GOOGLETRANSLATE(A1367 , ""tr"" , ""en"")"),"@drfahrettinkoca Ministry of Ministry #FriendIpletAffer Give public transport We do not want to ride our family")</f>
        <v>@drfahrettinkoca Ministry of Ministry #FriendIpletAffer Give public transport We do not want to ride our family</v>
      </c>
    </row>
    <row r="4569" spans="1:5" ht="15" customHeight="1" x14ac:dyDescent="0.2">
      <c r="A4569" s="1" t="s">
        <v>9131</v>
      </c>
      <c r="B4569" s="1">
        <v>17</v>
      </c>
      <c r="C4569" s="3">
        <v>44542.745069444441</v>
      </c>
      <c r="D4569" s="1" t="s">
        <v>9132</v>
      </c>
      <c r="E4569" s="1" t="str">
        <f ca="1">IFERROR(__xludf.DUMMYFUNCTION("GOOGLETRANSLATE(A1368 , ""tr"" , ""en"")"),"@drfahrettinkoca e hani you saw the end of the 20th of May 2020de, the coins came sweet ... This is going to ... HTTPS://t.co/rvy3qfkrrf")</f>
        <v>@drfahrettinkoca e hani you saw the end of the 20th of May 2020de, the coins came sweet ... This is going to ... HTTPS://t.co/rvy3qfkrrf</v>
      </c>
    </row>
    <row r="4570" spans="1:5" ht="15" customHeight="1" x14ac:dyDescent="0.2">
      <c r="A4570" s="1" t="s">
        <v>9133</v>
      </c>
      <c r="B4570" s="1">
        <v>0</v>
      </c>
      <c r="C4570" s="3">
        <v>44542.744467592594</v>
      </c>
      <c r="D4570" s="1" t="s">
        <v>9134</v>
      </c>
      <c r="E4570" s="1" t="str">
        <f ca="1">IFERROR(__xludf.DUMMYFUNCTION("GOOGLETRANSLATE(A1369 , ""tr"" , ""en"")"),"@drfahrettinkoca has 666 omicron cases")</f>
        <v>@drfahrettinkoca has 666 omicron cases</v>
      </c>
    </row>
    <row r="4571" spans="1:5" ht="15" customHeight="1" x14ac:dyDescent="0.2">
      <c r="A4571" s="1" t="s">
        <v>9135</v>
      </c>
      <c r="B4571" s="1">
        <v>1</v>
      </c>
      <c r="C4571" s="3">
        <v>44542.743252314816</v>
      </c>
      <c r="D4571" s="1" t="s">
        <v>9136</v>
      </c>
      <c r="E4571" s="1" t="str">
        <f ca="1">IFERROR(__xludf.DUMMYFUNCTION("GOOGLETRANSLATE(A1370 , ""tr"" , ""en"")"),"@drfahrettinkoca why was the user? How many millions do we produce? How many countries were the Talip? What is the activity?")</f>
        <v>@drfahrettinkoca why was the user? How many millions do we produce? How many countries were the Talip? What is the activity?</v>
      </c>
    </row>
    <row r="4572" spans="1:5" ht="15" customHeight="1" x14ac:dyDescent="0.2">
      <c r="A4572" s="1" t="s">
        <v>9137</v>
      </c>
      <c r="B4572" s="1">
        <v>0</v>
      </c>
      <c r="C4572" s="3">
        <v>44542.743067129632</v>
      </c>
      <c r="D4572" s="1" t="s">
        <v>9138</v>
      </c>
      <c r="E4572" s="1" t="str">
        <f ca="1">IFERROR(__xludf.DUMMYFUNCTION("GOOGLETRANSLATE(A1371 , ""tr"" , ""en"")"),"@drfahrettinkoca I wish we were not liquid, ourselves of ourself.")</f>
        <v>@drfahrettinkoca I wish we were not liquid, ourselves of ourself.</v>
      </c>
    </row>
    <row r="4573" spans="1:5" ht="15" customHeight="1" x14ac:dyDescent="0.2">
      <c r="A4573" s="1" t="s">
        <v>9139</v>
      </c>
      <c r="B4573" s="1">
        <v>0</v>
      </c>
      <c r="C4573" s="3">
        <v>44542.738541666666</v>
      </c>
      <c r="D4573" s="1" t="s">
        <v>9140</v>
      </c>
      <c r="E4573" s="1" t="str">
        <f ca="1">IFERROR(__xludf.DUMMYFUNCTION("GOOGLETRANSLATE(A1372 , ""tr"" , ""en"")"),"@drfahrettinkoca Minister of Allah Gets the best health minister husband")</f>
        <v>@drfahrettinkoca Minister of Allah Gets the best health minister husband</v>
      </c>
    </row>
    <row r="4574" spans="1:5" ht="15" customHeight="1" x14ac:dyDescent="0.2">
      <c r="A4574" s="1" t="s">
        <v>9141</v>
      </c>
      <c r="B4574" s="1">
        <v>0</v>
      </c>
      <c r="C4574" s="3">
        <v>44542.737534722219</v>
      </c>
      <c r="D4574" s="1" t="s">
        <v>9142</v>
      </c>
      <c r="E4574" s="1" t="str">
        <f ca="1">IFERROR(__xludf.DUMMYFUNCTION("GOOGLETRANSLATE(A1373 , ""tr"" , ""en"")"),"@drfahrettinkoca is success ???")</f>
        <v>@drfahrettinkoca is success ???</v>
      </c>
    </row>
    <row r="4575" spans="1:5" ht="15" customHeight="1" x14ac:dyDescent="0.2">
      <c r="A4575" s="1" t="s">
        <v>9143</v>
      </c>
      <c r="B4575" s="1">
        <v>0</v>
      </c>
      <c r="C4575" s="3">
        <v>44542.736724537041</v>
      </c>
      <c r="D4575" s="1" t="s">
        <v>9144</v>
      </c>
      <c r="E4575" s="1" t="str">
        <f ca="1">IFERROR(__xludf.DUMMYFUNCTION("GOOGLETRANSLATE(A1374 , ""tr"" , ""en"")"),"@drfahrettinkoca rebellious Ureten but to the realm of the realizary ercians to the patient people who are the patients who do the patients ... https://t.co/7f8vys7g5m")</f>
        <v>@drfahrettinkoca rebellious Ureten but to the realm of the realizary ercians to the patient people who are the patients who do the patients ... https://t.co/7f8vys7g5m</v>
      </c>
    </row>
    <row r="4576" spans="1:5" ht="15" customHeight="1" x14ac:dyDescent="0.2">
      <c r="A4576" s="1" t="s">
        <v>9145</v>
      </c>
      <c r="B4576" s="1">
        <v>0</v>
      </c>
      <c r="C4576" s="3">
        <v>44542.736574074072</v>
      </c>
      <c r="D4576" s="1" t="s">
        <v>9146</v>
      </c>
      <c r="E4576" s="1" t="str">
        <f ca="1">IFERROR(__xludf.DUMMYFUNCTION("GOOGLETRANSLATE(A1375 , ""tr"" , ""en"")"),"@drfahrettinkoca vaccine production giris is over")</f>
        <v>@drfahrettinkoca vaccine production giris is over</v>
      </c>
    </row>
    <row r="4577" spans="1:5" ht="15" customHeight="1" x14ac:dyDescent="0.2">
      <c r="A4577" s="1" t="s">
        <v>9147</v>
      </c>
      <c r="B4577" s="1">
        <v>0</v>
      </c>
      <c r="C4577" s="3">
        <v>44542.729849537034</v>
      </c>
      <c r="D4577" s="1" t="s">
        <v>9148</v>
      </c>
      <c r="E4577" s="1" t="str">
        <f ca="1">IFERROR(__xludf.DUMMYFUNCTION("GOOGLETRANSLATE(A1376 , ""tr"" , ""en"")"),"@drfahrettinkoca Bill Gates the formula produces in my grandfather, of course")</f>
        <v>@drfahrettinkoca Bill Gates the formula produces in my grandfather, of course</v>
      </c>
    </row>
    <row r="4578" spans="1:5" ht="15" customHeight="1" x14ac:dyDescent="0.2">
      <c r="A4578" s="1" t="s">
        <v>9149</v>
      </c>
      <c r="B4578" s="1">
        <v>0</v>
      </c>
      <c r="C4578" s="3">
        <v>44542.72320601852</v>
      </c>
      <c r="D4578" s="1" t="s">
        <v>9150</v>
      </c>
      <c r="E4578" s="1" t="str">
        <f ca="1">IFERROR(__xludf.DUMMYFUNCTION("GOOGLETRANSLATE(A1377 , ""tr"" , ""en"")"),"@drfahrettinka is very different to fight the disease with producing vaccine. You are hiding figures again, in Europe Tedbi ... https://t.co/ql2ylfvihc")</f>
        <v>@drfahrettinka is very different to fight the disease with producing vaccine. You are hiding figures again, in Europe Tedbi ... https://t.co/ql2ylfvihc</v>
      </c>
    </row>
    <row r="4579" spans="1:5" ht="15" customHeight="1" x14ac:dyDescent="0.2">
      <c r="A4579" s="1" t="s">
        <v>9151</v>
      </c>
      <c r="B4579" s="1">
        <v>0</v>
      </c>
      <c r="C4579" s="3">
        <v>44542.720069444447</v>
      </c>
      <c r="D4579" s="1" t="s">
        <v>9152</v>
      </c>
      <c r="E4579" s="1" t="str">
        <f ca="1">IFERROR(__xludf.DUMMYFUNCTION("GOOGLETRANSLATE(A1378 , ""tr"" , ""en"")"),"@drfahrettinkoca are waiting for phase 3 results ..")</f>
        <v>@drfahrettinkoca are waiting for phase 3 results ..</v>
      </c>
    </row>
    <row r="4580" spans="1:5" ht="15" customHeight="1" x14ac:dyDescent="0.2">
      <c r="A4580" s="1" t="s">
        <v>8995</v>
      </c>
      <c r="B4580" s="1">
        <v>0</v>
      </c>
      <c r="C4580" s="3">
        <v>44542.71733796296</v>
      </c>
      <c r="D4580" s="1" t="s">
        <v>9153</v>
      </c>
      <c r="E4580" s="1" t="str">
        <f ca="1">IFERROR(__xludf.DUMMYFUNCTION("GOOGLETRANSLATE(A1379 , ""tr"" , ""en"")"),"@drfahrettinkoca Our organic garden https://t.co/b8wcqwolec")</f>
        <v>@drfahrettinkoca Our organic garden https://t.co/b8wcqwolec</v>
      </c>
    </row>
    <row r="4581" spans="1:5" ht="15" customHeight="1" x14ac:dyDescent="0.2">
      <c r="A4581" s="1" t="s">
        <v>9154</v>
      </c>
      <c r="B4581" s="1">
        <v>0</v>
      </c>
      <c r="C4581" s="3">
        <v>44543.94462962963</v>
      </c>
      <c r="D4581" s="1" t="s">
        <v>9155</v>
      </c>
      <c r="E4581" s="1" t="str">
        <f ca="1">IFERROR(__xludf.DUMMYFUNCTION("GOOGLETRANSLATE(A1380 , ""tr"" , ""en"")"),"@drfahrettinkoca allah will be setting up. I have never felt a side effect.")</f>
        <v>@drfahrettinkoca allah will be setting up. I have never felt a side effect.</v>
      </c>
    </row>
    <row r="4582" spans="1:5" ht="15" customHeight="1" x14ac:dyDescent="0.2">
      <c r="A4582" s="1" t="s">
        <v>9156</v>
      </c>
      <c r="B4582" s="1">
        <v>0</v>
      </c>
      <c r="C4582" s="3">
        <v>44543.809930555559</v>
      </c>
      <c r="D4582" s="1" t="s">
        <v>9157</v>
      </c>
      <c r="E4582" s="1" t="str">
        <f ca="1">IFERROR(__xludf.DUMMYFUNCTION("GOOGLETRANSLATE(A1381 , ""tr"" , ""en"")"),"@drfahrettinkoca @rterdogan @c_ahmethoca Mr. Minister, please wait for the turkovac vaccine. Our second vaccine is June ... https://t.co/8onv9cznet")</f>
        <v>@drfahrettinkoca @rterdogan @c_ahmethoca Mr. Minister, please wait for the turkovac vaccine. Our second vaccine is June ... https://t.co/8onv9cznet</v>
      </c>
    </row>
    <row r="4583" spans="1:5" ht="15" customHeight="1" x14ac:dyDescent="0.2">
      <c r="A4583" s="1" t="s">
        <v>9158</v>
      </c>
      <c r="B4583" s="1">
        <v>1</v>
      </c>
      <c r="C4583" s="3">
        <v>44542.962453703702</v>
      </c>
      <c r="D4583" s="1" t="s">
        <v>9159</v>
      </c>
      <c r="E4583" s="1" t="str">
        <f ca="1">IFERROR(__xludf.DUMMYFUNCTION("GOOGLETRANSLATE(A1382 , ""tr"" , ""en"")"),"@drfahrettinkoca medicine: that has developed and progressed; Scientists are not isolated on the virus but, the virus ... https://t.co/xchyb4jfv2")</f>
        <v>@drfahrettinkoca medicine: that has developed and progressed; Scientists are not isolated on the virus but, the virus ... https://t.co/xchyb4jfv2</v>
      </c>
    </row>
    <row r="4584" spans="1:5" ht="15" customHeight="1" x14ac:dyDescent="0.2">
      <c r="A4584" s="1" t="s">
        <v>9160</v>
      </c>
      <c r="B4584" s="1">
        <v>0</v>
      </c>
      <c r="C4584" s="3">
        <v>44542.9455787037</v>
      </c>
      <c r="D4584" s="1" t="s">
        <v>9161</v>
      </c>
      <c r="E4584" s="1" t="str">
        <f ca="1">IFERROR(__xludf.DUMMYFUNCTION("GOOGLETRANSLATE(A1383 , ""tr"" , ""en"")"),"@drfahrettinkoca is the flying plane in the heavens")</f>
        <v>@drfahrettinkoca is the flying plane in the heavens</v>
      </c>
    </row>
    <row r="4585" spans="1:5" ht="15" customHeight="1" x14ac:dyDescent="0.2">
      <c r="A4585" s="1" t="s">
        <v>9162</v>
      </c>
      <c r="B4585" s="1">
        <v>0</v>
      </c>
      <c r="C4585" s="3">
        <v>44542.906956018516</v>
      </c>
      <c r="D4585" s="1" t="s">
        <v>9163</v>
      </c>
      <c r="E4585" s="1" t="str">
        <f ca="1">IFERROR(__xludf.DUMMYFUNCTION("GOOGLETRANSLATE(A1384 , ""tr"" , ""en"")"),"@drfahrettinkoca Uyutrrrrr 😡 # fkocahaftaayyındaolduyether #health")</f>
        <v>@drfahrettinkoca Uyutrrrrr 😡 # fkocahaftaayyındaolduyether #health</v>
      </c>
    </row>
    <row r="4586" spans="1:5" ht="15" customHeight="1" x14ac:dyDescent="0.2">
      <c r="A4586" s="1" t="s">
        <v>9164</v>
      </c>
      <c r="B4586" s="1">
        <v>0</v>
      </c>
      <c r="C4586" s="3">
        <v>44542.902037037034</v>
      </c>
      <c r="D4586" s="1" t="s">
        <v>9165</v>
      </c>
      <c r="E4586" s="1" t="str">
        <f ca="1">IFERROR(__xludf.DUMMYFUNCTION("GOOGLETRANSLATE(A1385 , ""tr"" , ""en"")"),"@drfahrettinka you will be that vaccine so?")</f>
        <v>@drfahrettinka you will be that vaccine so?</v>
      </c>
    </row>
    <row r="4587" spans="1:5" ht="15" customHeight="1" x14ac:dyDescent="0.2">
      <c r="A4587" s="1" t="s">
        <v>9166</v>
      </c>
      <c r="B4587" s="1">
        <v>0</v>
      </c>
      <c r="C4587" s="3">
        <v>44542.89099537037</v>
      </c>
      <c r="D4587" s="1" t="s">
        <v>9167</v>
      </c>
      <c r="E4587" s="1" t="str">
        <f ca="1">IFERROR(__xludf.DUMMYFUNCTION("GOOGLETRANSLATE(A1386 , ""tr"" , ""en"")"),"@drfahrettinkoca Do not turn off but take new precautions Our children are anymore of the subject of the subject of subjects! ... https://t.co/wi5jaobakv")</f>
        <v>@drfahrettinkoca Do not turn off but take new precautions Our children are anymore of the subject of the subject of subjects! ... https://t.co/wi5jaobakv</v>
      </c>
    </row>
    <row r="4588" spans="1:5" ht="15" customHeight="1" x14ac:dyDescent="0.2">
      <c r="A4588" s="1" t="s">
        <v>9168</v>
      </c>
      <c r="B4588" s="1">
        <v>0</v>
      </c>
      <c r="C4588" s="3">
        <v>44542.890879629631</v>
      </c>
      <c r="D4588" s="1" t="s">
        <v>9169</v>
      </c>
      <c r="E4588" s="1" t="str">
        <f ca="1">IFERROR(__xludf.DUMMYFUNCTION("GOOGLETRANSLATE(A1387 , ""tr"" , ""en"")"),"@drfahrettinkoca Do not turn off but take new precautions Our children are anymore of the subject of the subject of subjects! ... https://t.co/vw76ytqnri")</f>
        <v>@drfahrettinkoca Do not turn off but take new precautions Our children are anymore of the subject of the subject of subjects! ... https://t.co/vw76ytqnri</v>
      </c>
    </row>
    <row r="4589" spans="1:5" ht="15" customHeight="1" x14ac:dyDescent="0.2">
      <c r="A4589" s="1" t="s">
        <v>9170</v>
      </c>
      <c r="B4589" s="1">
        <v>0</v>
      </c>
      <c r="C4589" s="3">
        <v>44542.890787037039</v>
      </c>
      <c r="D4589" s="1" t="s">
        <v>9171</v>
      </c>
      <c r="E4589" s="1" t="str">
        <f ca="1">IFERROR(__xludf.DUMMYFUNCTION("GOOGLETRANSLATE(A1388 , ""tr"" , ""en"")"),"@drfahrettinkoca National Education Do not turn off the Ministry but take new precautions Our children subjected toddler ... https://t.co/mhsouevgbg")</f>
        <v>@drfahrettinkoca National Education Do not turn off the Ministry but take new precautions Our children subjected toddler ... https://t.co/mhsouevgbg</v>
      </c>
    </row>
    <row r="4590" spans="1:5" ht="15" customHeight="1" x14ac:dyDescent="0.2">
      <c r="A4590" s="1" t="s">
        <v>9172</v>
      </c>
      <c r="B4590" s="1">
        <v>0</v>
      </c>
      <c r="C4590" s="3">
        <v>44542.8906712963</v>
      </c>
      <c r="D4590" s="1" t="s">
        <v>9173</v>
      </c>
      <c r="E4590" s="1" t="str">
        <f ca="1">IFERROR(__xludf.DUMMYFUNCTION("GOOGLETRANSLATE(A1389 , ""tr"" , ""en"")"),"Don't turn off @drfahrettinkoca but take new precautions Our children are anymore of the subject of the subject of subjects! ... https://t.co/kysdnshy0g")</f>
        <v>Don't turn off @drfahrettinkoca but take new precautions Our children are anymore of the subject of the subject of subjects! ... https://t.co/kysdnshy0g</v>
      </c>
    </row>
    <row r="4591" spans="1:5" ht="15" customHeight="1" x14ac:dyDescent="0.2">
      <c r="A4591" s="1" t="s">
        <v>9174</v>
      </c>
      <c r="B4591" s="1">
        <v>0</v>
      </c>
      <c r="C4591" s="3">
        <v>44542.890416666669</v>
      </c>
      <c r="D4591" s="1" t="s">
        <v>9175</v>
      </c>
      <c r="E4591" s="1" t="str">
        <f ca="1">IFERROR(__xludf.DUMMYFUNCTION("GOOGLETRANSLATE(A1390 , ""tr"" , ""en"")"),"@drfahrettinkoca National Education Don't turn off the Ministry but take new precautions Our children's subjects is worth the child ... https://t.co/coohd9orak")</f>
        <v>@drfahrettinkoca National Education Don't turn off the Ministry but take new precautions Our children's subjects is worth the child ... https://t.co/coohd9orak</v>
      </c>
    </row>
    <row r="4592" spans="1:5" ht="15" customHeight="1" x14ac:dyDescent="0.2">
      <c r="A4592" s="1" t="s">
        <v>9176</v>
      </c>
      <c r="B4592" s="1">
        <v>2</v>
      </c>
      <c r="C4592" s="3">
        <v>44542.87872685185</v>
      </c>
      <c r="D4592" s="1" t="s">
        <v>9177</v>
      </c>
      <c r="E4592" s="1" t="str">
        <f ca="1">IFERROR(__xludf.DUMMYFUNCTION("GOOGLETRANSLATE(A1391 , ""tr"" , ""en"")"),"@drfahrettinkoca Mr. Minister Why Veterinary Physicians that you have not seen in the health class produces the vaccination ... https://t.co/zgf5sb6q4t")</f>
        <v>@drfahrettinkoca Mr. Minister Why Veterinary Physicians that you have not seen in the health class produces the vaccination ... https://t.co/zgf5sb6q4t</v>
      </c>
    </row>
    <row r="4593" spans="1:5" ht="15" customHeight="1" x14ac:dyDescent="0.2">
      <c r="A4593" s="1" t="s">
        <v>9178</v>
      </c>
      <c r="B4593" s="1">
        <v>2</v>
      </c>
      <c r="C4593" s="3">
        <v>44542.871030092596</v>
      </c>
      <c r="D4593" s="1" t="s">
        <v>9179</v>
      </c>
      <c r="E4593" s="1" t="str">
        <f ca="1">IFERROR(__xludf.DUMMYFUNCTION("GOOGLETRANSLATE(A1392 , ""tr"" , ""en"")"),"@drfahrettinkoca doesn't trust after this time no longer")</f>
        <v>@drfahrettinkoca doesn't trust after this time no longer</v>
      </c>
    </row>
    <row r="4594" spans="1:5" ht="15" customHeight="1" x14ac:dyDescent="0.2">
      <c r="A4594" s="1" t="s">
        <v>9180</v>
      </c>
      <c r="B4594" s="1">
        <v>1</v>
      </c>
      <c r="C4594" s="3">
        <v>44542.844826388886</v>
      </c>
      <c r="D4594" s="1" t="s">
        <v>9181</v>
      </c>
      <c r="E4594" s="1" t="str">
        <f ca="1">IFERROR(__xludf.DUMMYFUNCTION("GOOGLETRANSLATE(A1393 , ""tr"" , ""en"")"),"@drfahrettinkoca # Bagkurtescilmagdurler 🇹🇷🇹🇷 #BTM Economic troubles are all we had to our thurts were the only one ... https://t.co/xlbnly4hfk")</f>
        <v>@drfahrettinkoca # Bagkurtescilmagdurler 🇹🇷🇹🇷 #BTM Economic troubles are all we had to our thurts were the only one ... https://t.co/xlbnly4hfk</v>
      </c>
    </row>
    <row r="4595" spans="1:5" ht="15" customHeight="1" x14ac:dyDescent="0.2">
      <c r="A4595" s="1" t="s">
        <v>9182</v>
      </c>
      <c r="B4595" s="1">
        <v>40</v>
      </c>
      <c r="C4595" s="3">
        <v>44542.839803240742</v>
      </c>
      <c r="D4595" s="1" t="s">
        <v>9183</v>
      </c>
      <c r="E4595" s="1" t="str">
        <f ca="1">IFERROR(__xludf.DUMMYFUNCTION("GOOGLETRANSLATE(A1394 , ""tr"" , ""en"")"),"@drfahrettinka Mr. Minister is to the name / profession of scientist who develops domestic inactive vaccine (Virologist Veterinarian ... https://t.co/vnlkfdfnl3")</f>
        <v>@drfahrettinka Mr. Minister is to the name / profession of scientist who develops domestic inactive vaccine (Virologist Veterinarian ... https://t.co/vnlkfdfnl3</v>
      </c>
    </row>
    <row r="4596" spans="1:5" ht="15" customHeight="1" x14ac:dyDescent="0.2">
      <c r="A4596" s="1" t="s">
        <v>9184</v>
      </c>
      <c r="B4596" s="1">
        <v>1</v>
      </c>
      <c r="C4596" s="3">
        <v>44542.838321759256</v>
      </c>
      <c r="D4596" s="1" t="s">
        <v>9185</v>
      </c>
      <c r="E4596" s="1" t="str">
        <f ca="1">IFERROR(__xludf.DUMMYFUNCTION("GOOGLETRANSLATE(A1395 , ""tr"" , ""en"")"),"@drfahrettinka #seninleyiziztalha We need you to be with us. Talhan's G ... https://t.co/esnctyqjk1")</f>
        <v>@drfahrettinka #seninleyiziztalha We need you to be with us. Talhan's G ... https://t.co/esnctyqjk1</v>
      </c>
    </row>
    <row r="4597" spans="1:5" ht="15" customHeight="1" x14ac:dyDescent="0.2">
      <c r="A4597" s="1" t="s">
        <v>9186</v>
      </c>
      <c r="B4597" s="1">
        <v>0</v>
      </c>
      <c r="C4597" s="3">
        <v>44542.826643518521</v>
      </c>
      <c r="D4597" s="1" t="s">
        <v>9187</v>
      </c>
      <c r="E4597" s="1" t="str">
        <f ca="1">IFERROR(__xludf.DUMMYFUNCTION("GOOGLETRANSLATE(A1396 , ""tr"" , ""en"")"),"@drfahrettinkoca Don't do Yahu Contents tell me to compare the diamonds in the market!")</f>
        <v>@drfahrettinkoca Don't do Yahu Contents tell me to compare the diamonds in the market!</v>
      </c>
    </row>
    <row r="4598" spans="1:5" ht="15" customHeight="1" x14ac:dyDescent="0.2">
      <c r="A4598" s="1" t="s">
        <v>9188</v>
      </c>
      <c r="B4598" s="1">
        <v>0</v>
      </c>
      <c r="C4598" s="3">
        <v>44542.826388888891</v>
      </c>
      <c r="D4598" s="1" t="s">
        <v>9189</v>
      </c>
      <c r="E4598" s="1" t="str">
        <f ca="1">IFERROR(__xludf.DUMMYFUNCTION("GOOGLETRANSLATE(A1397 , ""tr"" , ""en"")"),"@drfahrettinkoca AK Party Service Opposition produces gossip")</f>
        <v>@drfahrettinkoca AK Party Service Opposition produces gossip</v>
      </c>
    </row>
    <row r="4599" spans="1:5" ht="15" customHeight="1" x14ac:dyDescent="0.2">
      <c r="A4599" s="1" t="s">
        <v>9190</v>
      </c>
      <c r="B4599" s="1">
        <v>0</v>
      </c>
      <c r="C4599" s="3">
        <v>44542.822280092594</v>
      </c>
      <c r="D4599" s="1" t="s">
        <v>9191</v>
      </c>
      <c r="E4599" s="1" t="str">
        <f ca="1">IFERROR(__xludf.DUMMYFUNCTION("GOOGLETRANSLATE(A1398 , ""tr"" , ""en"")"),"@drfahrettinkoca @saglikbakanligi 25 years illlll Wow Anam Vayyyy..Sanki 1ay is shown like ... We are wasted .. ... https://t.co/en6mzrfgdr")</f>
        <v>@drfahrettinkoca @saglikbakanligi 25 years illlll Wow Anam Vayyyy..Sanki 1ay is shown like ... We are wasted .. ... https://t.co/en6mzrfgdr</v>
      </c>
    </row>
    <row r="4600" spans="1:5" ht="15" customHeight="1" x14ac:dyDescent="0.2">
      <c r="A4600" s="1" t="s">
        <v>9192</v>
      </c>
      <c r="B4600" s="1">
        <v>0</v>
      </c>
      <c r="C4600" s="3">
        <v>44542.818020833336</v>
      </c>
      <c r="D4600" s="1" t="s">
        <v>9193</v>
      </c>
      <c r="E4600" s="1" t="str">
        <f ca="1">IFERROR(__xludf.DUMMYFUNCTION("GOOGLETRANSLATE(A1399 , ""tr"" , ""en"")"),"@drfahrettinka so why did you turn off the intellect of HIFZISIHA (2011) (2011) and leave ours in the hands of the WHO ... https://t.co/trdonqjitx")</f>
        <v>@drfahrettinka so why did you turn off the intellect of HIFZISIHA (2011) (2011) and leave ours in the hands of the WHO ... https://t.co/trdonqjitx</v>
      </c>
    </row>
    <row r="4601" spans="1:5" ht="15" customHeight="1" x14ac:dyDescent="0.2">
      <c r="A4601" s="1" t="s">
        <v>9194</v>
      </c>
      <c r="B4601" s="1">
        <v>1</v>
      </c>
      <c r="C4601" s="3">
        <v>44542.815451388888</v>
      </c>
      <c r="D4601" s="1" t="s">
        <v>9195</v>
      </c>
      <c r="E4601" s="1" t="str">
        <f ca="1">IFERROR(__xludf.DUMMYFUNCTION("GOOGLETRANSLATE(A1400 , ""tr"" , ""en"")"),"@drfahrettinkoca Mucidi is a veterinarian Virology Profosuru Dr. AYKUT ÖZDARENDERI. Kayseri Erciyes Fame ... https://t.co/q4kky038fq")</f>
        <v>@drfahrettinkoca Mucidi is a veterinarian Virology Profosuru Dr. AYKUT ÖZDARENDERI. Kayseri Erciyes Fame ... https://t.co/q4kky038fq</v>
      </c>
    </row>
    <row r="4602" spans="1:5" ht="15" customHeight="1" x14ac:dyDescent="0.2">
      <c r="A4602" s="1" t="s">
        <v>9196</v>
      </c>
      <c r="B4602" s="1">
        <v>1</v>
      </c>
      <c r="C4602" s="3">
        <v>44542.806597222225</v>
      </c>
      <c r="D4602" s="1" t="s">
        <v>9197</v>
      </c>
      <c r="E4602" s="1" t="str">
        <f ca="1">IFERROR(__xludf.DUMMYFUNCTION("GOOGLETRANSLATE(A1401 , ""tr"" , ""en"")"),"@drfahrettinkoca 📌 low interest policy and 📌 economic independence https://t.co/4sj8fqcl07 📌 Growing Turkey ... https://t.co/sytt7rya9f")</f>
        <v>@drfahrettinkoca 📌 low interest policy and 📌 economic independence https://t.co/4sj8fqcl07 📌 Growing Turkey ... https://t.co/sytt7rya9f</v>
      </c>
    </row>
    <row r="4603" spans="1:5" ht="15" customHeight="1" x14ac:dyDescent="0.2">
      <c r="A4603" s="1" t="s">
        <v>9198</v>
      </c>
      <c r="B4603" s="1">
        <v>0</v>
      </c>
      <c r="C4603" s="3">
        <v>44542.800671296296</v>
      </c>
      <c r="D4603" s="1" t="s">
        <v>9199</v>
      </c>
      <c r="E4603" s="1" t="str">
        <f ca="1">IFERROR(__xludf.DUMMYFUNCTION("GOOGLETRANSLATE(A1402 , ""tr"" , ""en"")"),"@drfahrettinka we ate that ..")</f>
        <v>@drfahrettinka we ate that ..</v>
      </c>
    </row>
    <row r="4604" spans="1:5" ht="15" customHeight="1" x14ac:dyDescent="0.2">
      <c r="A4604" s="1" t="s">
        <v>9200</v>
      </c>
      <c r="B4604" s="1">
        <v>0</v>
      </c>
      <c r="C4604" s="3">
        <v>44542.799027777779</v>
      </c>
      <c r="D4604" s="1" t="s">
        <v>9201</v>
      </c>
      <c r="E4604" s="1" t="str">
        <f ca="1">IFERROR(__xludf.DUMMYFUNCTION("GOOGLETRANSLATE(A1403 , ""tr"" , ""en"")"),"@drfahrettinkoca basic understanding in cleaning; ""You cleanlly clean!"" not! ""If you have cleared it!""")</f>
        <v>@drfahrettinkoca basic understanding in cleaning; "You cleanlly clean!" not! "If you have cleared it!"</v>
      </c>
    </row>
    <row r="4605" spans="1:5" ht="15" customHeight="1" x14ac:dyDescent="0.2">
      <c r="A4605" s="1" t="s">
        <v>9202</v>
      </c>
      <c r="B4605" s="1">
        <v>0</v>
      </c>
      <c r="C4605" s="3">
        <v>44542.798009259262</v>
      </c>
      <c r="D4605" s="1" t="s">
        <v>9203</v>
      </c>
      <c r="E4605" s="1" t="str">
        <f ca="1">IFERROR(__xludf.DUMMYFUNCTION("GOOGLETRANSLATE(A1404 , ""tr"" , ""en"")"),"@drfahrettinkoca vaccine I'm going to be loved, I ask where the source of the disease!")</f>
        <v>@drfahrettinkoca vaccine I'm going to be loved, I ask where the source of the disease!</v>
      </c>
    </row>
    <row r="4606" spans="1:5" ht="15" customHeight="1" x14ac:dyDescent="0.2">
      <c r="A4606" s="1" t="s">
        <v>9204</v>
      </c>
      <c r="B4606" s="1">
        <v>0</v>
      </c>
      <c r="C4606" s="3">
        <v>44542.797222222223</v>
      </c>
      <c r="D4606" s="1" t="s">
        <v>9205</v>
      </c>
      <c r="E4606" s="1" t="str">
        <f ca="1">IFERROR(__xludf.DUMMYFUNCTION("GOOGLETRANSLATE(A1405 , ""tr"" , ""en"")"),"@drfahrettinkoca vaccine ... there is sickness. I couldn't love it.")</f>
        <v>@drfahrettinkoca vaccine ... there is sickness. I couldn't love it.</v>
      </c>
    </row>
    <row r="4607" spans="1:5" ht="15" customHeight="1" x14ac:dyDescent="0.2">
      <c r="A4607" s="1" t="s">
        <v>9206</v>
      </c>
      <c r="B4607" s="1">
        <v>0</v>
      </c>
      <c r="C4607" s="3">
        <v>44542.787881944445</v>
      </c>
      <c r="D4607" s="1" t="s">
        <v>9207</v>
      </c>
      <c r="E4607" s="1" t="str">
        <f ca="1">IFERROR(__xludf.DUMMYFUNCTION("GOOGLETRANSLATE(A1406 , ""tr"" , ""en"")"),"@drfahrettinkoca Your vaccine produced by your this merit system, I'm not insemen to the results, written to the tests. ... https://t.co/xal71xkh6I")</f>
        <v>@drfahrettinkoca Your vaccine produced by your this merit system, I'm not insemen to the results, written to the tests. ... https://t.co/xal71xkh6I</v>
      </c>
    </row>
    <row r="4608" spans="1:5" ht="15" customHeight="1" x14ac:dyDescent="0.2">
      <c r="A4608" s="1" t="s">
        <v>9208</v>
      </c>
      <c r="B4608" s="1">
        <v>0</v>
      </c>
      <c r="C4608" s="3">
        <v>44542.782349537039</v>
      </c>
      <c r="D4608" s="1" t="s">
        <v>9209</v>
      </c>
      <c r="E4608" s="1" t="str">
        <f ca="1">IFERROR(__xludf.DUMMYFUNCTION("GOOGLETRANSLATE(A1407 , ""tr"" , ""en"")"),"@drfahrettinkoca Hurry up this Nation Don't leave the fates of MRNA vaccines Bari ... pity us pity seniors Y ... https://t.co/6xayykfvım")</f>
        <v>@drfahrettinkoca Hurry up this Nation Don't leave the fates of MRNA vaccines Bari ... pity us pity seniors Y ... https://t.co/6xayykfvım</v>
      </c>
    </row>
    <row r="4609" spans="1:5" ht="15" customHeight="1" x14ac:dyDescent="0.2">
      <c r="A4609" s="1" t="s">
        <v>9210</v>
      </c>
      <c r="B4609" s="1">
        <v>0</v>
      </c>
      <c r="C4609" s="3">
        <v>44542.779039351852</v>
      </c>
      <c r="D4609" s="1" t="s">
        <v>9211</v>
      </c>
      <c r="E4609" s="1" t="str">
        <f ca="1">IFERROR(__xludf.DUMMYFUNCTION("GOOGLETRANSLATE(A1408 , ""tr"" , ""en"")"),"Why @drfahrettinkoca is given to vaccine production 25 years? Why HIFZISSIHA has been turned off? Why don't we produce other vaccines domestic?")</f>
        <v>Why @drfahrettinkoca is given to vaccine production 25 years? Why HIFZISSIHA has been turned off? Why don't we produce other vaccines domestic?</v>
      </c>
    </row>
    <row r="4610" spans="1:5" ht="15" customHeight="1" x14ac:dyDescent="0.2">
      <c r="A4610" s="1" t="s">
        <v>9212</v>
      </c>
      <c r="B4610" s="1">
        <v>4</v>
      </c>
      <c r="C4610" s="3">
        <v>44542.768831018519</v>
      </c>
      <c r="D4610" s="1" t="s">
        <v>9213</v>
      </c>
      <c r="E4610" s="1" t="str">
        <f ca="1">IFERROR(__xludf.DUMMYFUNCTION("GOOGLETRANSLATE(A1409 , ""tr"" , ""en"")"),"@drfahrettinkoca @ coskunkeskin16 I say proudly, my wife is also the 3rd vaccine volunteers. Also this is ... https://t.co/b4jokxvevm")</f>
        <v>@drfahrettinkoca @ coskunkeskin16 I say proudly, my wife is also the 3rd vaccine volunteers. Also this is ... https://t.co/b4jokxvevm</v>
      </c>
    </row>
    <row r="4611" spans="1:5" ht="15" customHeight="1" x14ac:dyDescent="0.2">
      <c r="A4611" s="1" t="s">
        <v>9214</v>
      </c>
      <c r="B4611" s="1">
        <v>0</v>
      </c>
      <c r="C4611" s="3">
        <v>44542.768773148149</v>
      </c>
      <c r="D4611" s="1" t="s">
        <v>9215</v>
      </c>
      <c r="E4611" s="1" t="str">
        <f ca="1">IFERROR(__xludf.DUMMYFUNCTION("GOOGLETRANSLATE(A1410 , ""tr"" , ""en"")"),"@drfahrettinkoca We don't believe the reason the phase work takes 3.4 years of vaccines")</f>
        <v>@drfahrettinkoca We don't believe the reason the phase work takes 3.4 years of vaccines</v>
      </c>
    </row>
    <row r="4612" spans="1:5" ht="15" customHeight="1" x14ac:dyDescent="0.2">
      <c r="A4612" s="1" t="s">
        <v>9216</v>
      </c>
      <c r="B4612" s="1">
        <v>0</v>
      </c>
      <c r="C4612" s="3">
        <v>44542.763136574074</v>
      </c>
      <c r="D4612" s="1" t="s">
        <v>9217</v>
      </c>
      <c r="E4612" s="1" t="str">
        <f ca="1">IFERROR(__xludf.DUMMYFUNCTION("GOOGLETRANSLATE(A1411 , ""tr"" , ""en"")"),"@drfahrettinkoca bi bitmeddin AQ")</f>
        <v>@drfahrettinkoca bi bitmeddin AQ</v>
      </c>
    </row>
    <row r="4613" spans="1:5" ht="15" customHeight="1" x14ac:dyDescent="0.2">
      <c r="A4613" s="1" t="s">
        <v>9218</v>
      </c>
      <c r="B4613" s="1">
        <v>0</v>
      </c>
      <c r="C4613" s="3">
        <v>44542.754791666666</v>
      </c>
      <c r="D4613" s="1" t="s">
        <v>9219</v>
      </c>
      <c r="E4613" s="1" t="str">
        <f ca="1">IFERROR(__xludf.DUMMYFUNCTION("GOOGLETRANSLATE(A1412 , ""tr"" , ""en"")"),"@drfahrettinkoca Paytar has been exhaustive, proflar liar.")</f>
        <v>@drfahrettinkoca Paytar has been exhaustive, proflar liar.</v>
      </c>
    </row>
    <row r="4614" spans="1:5" ht="15" customHeight="1" x14ac:dyDescent="0.2">
      <c r="A4614" s="1" t="s">
        <v>9220</v>
      </c>
      <c r="B4614" s="1">
        <v>0</v>
      </c>
      <c r="C4614" s="3">
        <v>44542.753599537034</v>
      </c>
      <c r="D4614" s="1" t="s">
        <v>9221</v>
      </c>
      <c r="E4614" s="1" t="str">
        <f ca="1">IFERROR(__xludf.DUMMYFUNCTION("GOOGLETRANSLATE(A1413 , ""tr"" , ""en"")"),"@drfahrettinkoca Champion Lewis Hamilton")</f>
        <v>@drfahrettinkoca Champion Lewis Hamilton</v>
      </c>
    </row>
    <row r="4615" spans="1:5" ht="15" customHeight="1" x14ac:dyDescent="0.2">
      <c r="A4615" s="1" t="s">
        <v>9222</v>
      </c>
      <c r="B4615" s="1">
        <v>0</v>
      </c>
      <c r="C4615" s="3">
        <v>44542.752789351849</v>
      </c>
      <c r="D4615" s="1" t="s">
        <v>9223</v>
      </c>
      <c r="E4615" s="1" t="str">
        <f ca="1">IFERROR(__xludf.DUMMYFUNCTION("GOOGLETRANSLATE(A1414 , ""tr"" , ""en"")"),"@drfahrettinkoca where is it?")</f>
        <v>@drfahrettinkoca where is it?</v>
      </c>
    </row>
    <row r="4616" spans="1:5" ht="15" customHeight="1" x14ac:dyDescent="0.2">
      <c r="A4616" s="1" t="s">
        <v>9224</v>
      </c>
      <c r="B4616" s="1">
        <v>14</v>
      </c>
      <c r="C4616" s="3">
        <v>44542.743136574078</v>
      </c>
      <c r="D4616" s="1" t="s">
        <v>9225</v>
      </c>
      <c r="E4616" s="1" t="str">
        <f ca="1">IFERROR(__xludf.DUMMYFUNCTION("GOOGLETRANSLATE(A1415 , ""tr"" , ""en"")"),"@drfahrettinkoca is a thousand times a thousand times more effective than that needles, non-side effects national and domestic miraculous e ... https://t.co/tufs6euvws")</f>
        <v>@drfahrettinkoca is a thousand times a thousand times more effective than that needles, non-side effects national and domestic miraculous e ... https://t.co/tufs6euvws</v>
      </c>
    </row>
    <row r="4617" spans="1:5" ht="15" customHeight="1" x14ac:dyDescent="0.2">
      <c r="A4617" s="1" t="s">
        <v>9226</v>
      </c>
      <c r="B4617" s="1">
        <v>0</v>
      </c>
      <c r="C4617" s="3">
        <v>44542.743009259262</v>
      </c>
      <c r="D4617" s="1" t="s">
        <v>9227</v>
      </c>
      <c r="E4617" s="1" t="str">
        <f ca="1">IFERROR(__xludf.DUMMYFUNCTION("GOOGLETRANSLATE(A1416 , ""tr"" , ""en"")"),"@drfahrettinkoca The other vaccine that you describe as other vaccines I don't agree to be subjects in non-evident drugs ... https://t.co/hq85nejber")</f>
        <v>@drfahrettinkoca The other vaccine that you describe as other vaccines I don't agree to be subjects in non-evident drugs ... https://t.co/hq85nejber</v>
      </c>
    </row>
    <row r="4618" spans="1:5" ht="15" customHeight="1" x14ac:dyDescent="0.2">
      <c r="A4618" s="1" t="s">
        <v>9228</v>
      </c>
      <c r="B4618" s="1">
        <v>0</v>
      </c>
      <c r="C4618" s="3">
        <v>44542.723796296297</v>
      </c>
      <c r="D4618" s="1" t="s">
        <v>9229</v>
      </c>
      <c r="E4618" s="1" t="str">
        <f ca="1">IFERROR(__xludf.DUMMYFUNCTION("GOOGLETRANSLATE(A1417 , ""tr"" , ""en"")"),"Who is @drfahrettinkoca patent right")</f>
        <v>Who is @drfahrettinkoca patent right</v>
      </c>
    </row>
    <row r="4619" spans="1:5" ht="15" customHeight="1" x14ac:dyDescent="0.2">
      <c r="A4619" s="1" t="s">
        <v>9230</v>
      </c>
      <c r="B4619" s="1">
        <v>0</v>
      </c>
      <c r="C4619" s="3">
        <v>44542.723275462966</v>
      </c>
      <c r="D4619" s="1" t="s">
        <v>9231</v>
      </c>
      <c r="E4619" s="1" t="str">
        <f ca="1">IFERROR(__xludf.DUMMYFUNCTION("GOOGLETRANSLATE(A1418 , ""tr"" , ""en"")"),"@drfahrettinkoca Bane")</f>
        <v>@drfahrettinkoca Bane</v>
      </c>
    </row>
    <row r="4620" spans="1:5" ht="15" customHeight="1" x14ac:dyDescent="0.2">
      <c r="A4620" s="1" t="s">
        <v>8995</v>
      </c>
      <c r="B4620" s="1">
        <v>0</v>
      </c>
      <c r="C4620" s="3">
        <v>44542.717430555553</v>
      </c>
      <c r="D4620" s="1" t="s">
        <v>9232</v>
      </c>
      <c r="E4620" s="1" t="str">
        <f ca="1">IFERROR(__xludf.DUMMYFUNCTION("GOOGLETRANSLATE(A1419 , ""tr"" , ""en"")"),"@drfahrettinkoca Our organic garden https://t.co/b8wcqwolec")</f>
        <v>@drfahrettinkoca Our organic garden https://t.co/b8wcqwolec</v>
      </c>
    </row>
    <row r="4621" spans="1:5" ht="15" customHeight="1" x14ac:dyDescent="0.2">
      <c r="A4621" s="1" t="s">
        <v>9233</v>
      </c>
      <c r="B4621" s="1">
        <v>0</v>
      </c>
      <c r="C4621" s="3">
        <v>44542.94390046296</v>
      </c>
      <c r="D4621" s="1" t="s">
        <v>9234</v>
      </c>
      <c r="E4621" s="1" t="str">
        <f ca="1">IFERROR(__xludf.DUMMYFUNCTION("GOOGLETRANSLATE(A1420 , ""tr"" , ""en"")"),"@drfahrettinkoca as if you are creating the general budget with your own facilities ... Nation is poor with taxes ... https://t.co/2zjxsecfky")</f>
        <v>@drfahrettinkoca as if you are creating the general budget with your own facilities ... Nation is poor with taxes ... https://t.co/2zjxsecfky</v>
      </c>
    </row>
    <row r="4622" spans="1:5" ht="15" customHeight="1" x14ac:dyDescent="0.2">
      <c r="A4622" s="1" t="s">
        <v>9235</v>
      </c>
      <c r="B4622" s="1">
        <v>0</v>
      </c>
      <c r="C4622" s="3">
        <v>44542.854166666664</v>
      </c>
      <c r="D4622" s="1" t="s">
        <v>9236</v>
      </c>
      <c r="E4622" s="1" t="str">
        <f ca="1">IFERROR(__xludf.DUMMYFUNCTION("GOOGLETRANSLATE(A1421 , ""tr"" , ""en"")"),"@drfahrettinkoca @saglikbakanligi is going to the hospital 2Vasit in 100km. Near the hospital rich ... https://t.co/d4bf8ez9st")</f>
        <v>@drfahrettinkoca @saglikbakanligi is going to the hospital 2Vasit in 100km. Near the hospital rich ... https://t.co/d4bf8ez9st</v>
      </c>
    </row>
    <row r="4623" spans="1:5" ht="15" customHeight="1" x14ac:dyDescent="0.2">
      <c r="A4623" s="1" t="s">
        <v>9237</v>
      </c>
      <c r="B4623" s="1">
        <v>1</v>
      </c>
      <c r="C4623" s="3">
        <v>44542.812997685185</v>
      </c>
      <c r="D4623" s="1" t="s">
        <v>9238</v>
      </c>
      <c r="E4623" s="1" t="str">
        <f ca="1">IFERROR(__xludf.DUMMYFUNCTION("GOOGLETRANSLATE(A1422 , ""tr"" , ""en"")"),"@drfahrettinkoca goztepe group textile goot engine real estate media lakes zone newspaper news office")</f>
        <v>@drfahrettinkoca goztepe group textile goot engine real estate media lakes zone newspaper news office</v>
      </c>
    </row>
    <row r="4624" spans="1:5" ht="15" customHeight="1" x14ac:dyDescent="0.2">
      <c r="A4624" s="1" t="s">
        <v>9239</v>
      </c>
      <c r="B4624" s="1">
        <v>2</v>
      </c>
      <c r="C4624" s="3">
        <v>44542.771898148145</v>
      </c>
      <c r="D4624" s="1" t="s">
        <v>9240</v>
      </c>
      <c r="E4624" s="1" t="str">
        <f ca="1">IFERROR(__xludf.DUMMYFUNCTION("GOOGLETRANSLATE(A1423 , ""tr"" , ""en"")"),"@drfahrettinkoca yes so we can't take an appointment in emergency not look at patients as well as everything is very nice to talk like ... https://t.co/DIPFMXXXZ3")</f>
        <v>@drfahrettinkoca yes so we can't take an appointment in emergency not look at patients as well as everything is very nice to talk like ... https://t.co/DIPFMXXXZ3</v>
      </c>
    </row>
    <row r="4625" spans="1:5" ht="15" customHeight="1" x14ac:dyDescent="0.2">
      <c r="A4625" s="1" t="s">
        <v>9241</v>
      </c>
      <c r="B4625" s="1">
        <v>5</v>
      </c>
      <c r="C4625" s="3">
        <v>44542.758553240739</v>
      </c>
      <c r="D4625" s="1" t="s">
        <v>9242</v>
      </c>
      <c r="E4625" s="1" t="str">
        <f ca="1">IFERROR(__xludf.DUMMYFUNCTION("GOOGLETRANSLATE(A1424 , ""tr"" , ""en"")"),"@drfahrettinkoca Come on Ordan Be ... Hospital has a patient who has done what you don't have doctors have no service for a month ... https://t.co/juot8mkool")</f>
        <v>@drfahrettinkoca Come on Ordan Be ... Hospital has a patient who has done what you don't have doctors have no service for a month ... https://t.co/juot8mkool</v>
      </c>
    </row>
    <row r="4626" spans="1:5" ht="15" customHeight="1" x14ac:dyDescent="0.2">
      <c r="A4626" s="1" t="s">
        <v>9243</v>
      </c>
      <c r="B4626" s="1">
        <v>1</v>
      </c>
      <c r="C4626" s="3">
        <v>44542.755659722221</v>
      </c>
      <c r="D4626" s="1" t="s">
        <v>9244</v>
      </c>
      <c r="E4626" s="1" t="str">
        <f ca="1">IFERROR(__xludf.DUMMYFUNCTION("GOOGLETRANSLATE(A1425 , ""tr"" , ""en"")"),"@drfahrettinkoca constructure completed 15 hospital 20 thousand stem dedicated")</f>
        <v>@drfahrettinkoca constructure completed 15 hospital 20 thousand stem dedicated</v>
      </c>
    </row>
    <row r="4627" spans="1:5" ht="15" customHeight="1" x14ac:dyDescent="0.2">
      <c r="A4627" s="1" t="s">
        <v>9245</v>
      </c>
      <c r="B4627" s="1">
        <v>0</v>
      </c>
      <c r="C4627" s="3">
        <v>44542.721863425926</v>
      </c>
      <c r="D4627" s="1" t="s">
        <v>9246</v>
      </c>
      <c r="E4627" s="1" t="str">
        <f ca="1">IFERROR(__xludf.DUMMYFUNCTION("GOOGLETRANSLATE(A1426 , ""tr"" , ""en"")"),"@drfahrettinkoca is what they are cutting from the returns of the returns of what is the general budget ??")</f>
        <v>@drfahrettinkoca is what they are cutting from the returns of the returns of what is the general budget ??</v>
      </c>
    </row>
    <row r="4628" spans="1:5" ht="15" customHeight="1" x14ac:dyDescent="0.2">
      <c r="A4628" s="1" t="s">
        <v>9247</v>
      </c>
      <c r="B4628" s="1">
        <v>0</v>
      </c>
      <c r="C4628" s="3">
        <v>44542.950289351851</v>
      </c>
      <c r="D4628" s="1" t="s">
        <v>9248</v>
      </c>
      <c r="E4628" s="1" t="str">
        <f ca="1">IFERROR(__xludf.DUMMYFUNCTION("GOOGLETRANSLATE(A1427 , ""tr"" , ""en"")"),"@drfahrettinkoca Dormitory Intelligence in the streets of the streets, you have not seen anyone killed in the streets. Wants ... https://t.co/7e1cq2vg04")</f>
        <v>@drfahrettinkoca Dormitory Intelligence in the streets of the streets, you have not seen anyone killed in the streets. Wants ... https://t.co/7e1cq2vg04</v>
      </c>
    </row>
    <row r="4629" spans="1:5" ht="15" customHeight="1" x14ac:dyDescent="0.2">
      <c r="A4629" s="1" t="s">
        <v>9249</v>
      </c>
      <c r="B4629" s="1">
        <v>0</v>
      </c>
      <c r="C4629" s="3">
        <v>44542.930555555555</v>
      </c>
      <c r="D4629" s="1" t="s">
        <v>9250</v>
      </c>
      <c r="E4629" s="1" t="str">
        <f ca="1">IFERROR(__xludf.DUMMYFUNCTION("GOOGLETRANSLATE(A1428 , ""tr"" , ""en"")"),"@drfahrettinka I hope you'll find the truth at the end if you repeat the first sentence. I haven't seen bi right for 2 years.")</f>
        <v>@drfahrettinka I hope you'll find the truth at the end if you repeat the first sentence. I haven't seen bi right for 2 years.</v>
      </c>
    </row>
    <row r="4630" spans="1:5" ht="15" customHeight="1" x14ac:dyDescent="0.2">
      <c r="A4630" s="1" t="s">
        <v>9251</v>
      </c>
      <c r="B4630" s="1">
        <v>1</v>
      </c>
      <c r="C4630" s="3">
        <v>44542.889699074076</v>
      </c>
      <c r="D4630" s="1" t="s">
        <v>9252</v>
      </c>
      <c r="E4630" s="1" t="str">
        <f ca="1">IFERROR(__xludf.DUMMYFUNCTION("GOOGLETRANSLATE(A1429 , ""tr"" , ""en"")"),"@drfahrettinkoca SMA TREATMENTS Pending Childs Gorun @drfahrettinkca Don't leave Death to death Science Board decision ... https://t.co/cxxhh8fl0g")</f>
        <v>@drfahrettinkoca SMA TREATMENTS Pending Childs Gorun @drfahrettinkca Don't leave Death to death Science Board decision ... https://t.co/cxxhh8fl0g</v>
      </c>
    </row>
    <row r="4631" spans="1:5" ht="15" customHeight="1" x14ac:dyDescent="0.2">
      <c r="A4631" s="1" t="s">
        <v>9253</v>
      </c>
      <c r="B4631" s="1">
        <v>6</v>
      </c>
      <c r="C4631" s="3">
        <v>44542.870983796296</v>
      </c>
      <c r="D4631" s="1" t="s">
        <v>9254</v>
      </c>
      <c r="E4631" s="1" t="str">
        <f ca="1">IFERROR(__xludf.DUMMYFUNCTION("GOOGLETRANSLATE(A1430 , ""tr"" , ""en"")"),"@drfahrettinka first bring online training #mahmutoezerocullaronline")</f>
        <v>@drfahrettinka first bring online training #mahmutoezerocullaronline</v>
      </c>
    </row>
    <row r="4632" spans="1:5" ht="15" customHeight="1" x14ac:dyDescent="0.2">
      <c r="A4632" s="1" t="s">
        <v>9255</v>
      </c>
      <c r="B4632" s="1">
        <v>0</v>
      </c>
      <c r="C4632" s="3">
        <v>44542.846608796295</v>
      </c>
      <c r="D4632" s="1" t="s">
        <v>9256</v>
      </c>
      <c r="E4632" s="1" t="str">
        <f ca="1">IFERROR(__xludf.DUMMYFUNCTION("GOOGLETRANSLATE(A1431 , ""tr"" , ""en"")"),"@drfahrettinka continued to pursue fear by pumping fear through distorted data and media ... https://t.co/kt4w3g6gug")</f>
        <v>@drfahrettinka continued to pursue fear by pumping fear through distorted data and media ... https://t.co/kt4w3g6gug</v>
      </c>
    </row>
    <row r="4633" spans="1:5" ht="15" customHeight="1" x14ac:dyDescent="0.2">
      <c r="A4633" s="1" t="s">
        <v>9257</v>
      </c>
      <c r="B4633" s="1">
        <v>0</v>
      </c>
      <c r="C4633" s="3">
        <v>44542.762025462966</v>
      </c>
      <c r="D4633" s="1" t="s">
        <v>9258</v>
      </c>
      <c r="E4633" s="1" t="str">
        <f ca="1">IFERROR(__xludf.DUMMYFUNCTION("GOOGLETRANSLATE(A1432 , ""tr"" , ""en"")"),"@drfahrettinkoca sacred roof ne ..")</f>
        <v>@drfahrettinkoca sacred roof ne ..</v>
      </c>
    </row>
    <row r="4634" spans="1:5" ht="15" customHeight="1" x14ac:dyDescent="0.2">
      <c r="A4634" s="1" t="s">
        <v>9259</v>
      </c>
      <c r="B4634" s="1">
        <v>0</v>
      </c>
      <c r="C4634" s="3">
        <v>44542.761446759258</v>
      </c>
      <c r="D4634" s="1" t="s">
        <v>9260</v>
      </c>
      <c r="E4634" s="1" t="str">
        <f ca="1">IFERROR(__xludf.DUMMYFUNCTION("GOOGLETRANSLATE(A1433 , ""tr"" , ""en"")"),"@drfahrettinkoca staring Bey is the biggest wrongdoer!")</f>
        <v>@drfahrettinkoca staring Bey is the biggest wrongdoer!</v>
      </c>
    </row>
    <row r="4635" spans="1:5" ht="15" customHeight="1" x14ac:dyDescent="0.2">
      <c r="A4635" s="1" t="s">
        <v>9261</v>
      </c>
      <c r="B4635" s="1">
        <v>0</v>
      </c>
      <c r="C4635" s="3">
        <v>44542.756203703706</v>
      </c>
      <c r="D4635" s="1" t="s">
        <v>9262</v>
      </c>
      <c r="E4635" s="1" t="str">
        <f ca="1">IFERROR(__xludf.DUMMYFUNCTION("GOOGLETRANSLATE(A1434 , ""tr"" , ""en"")"),"@drfahrettinkoca we don't want enough resign anymore. Don't stand where you are not asked.")</f>
        <v>@drfahrettinkoca we don't want enough resign anymore. Don't stand where you are not asked.</v>
      </c>
    </row>
    <row r="4636" spans="1:5" ht="15" customHeight="1" x14ac:dyDescent="0.2">
      <c r="A4636" s="1" t="s">
        <v>9263</v>
      </c>
      <c r="B4636" s="1">
        <v>5</v>
      </c>
      <c r="C4636" s="3">
        <v>44542.98673611111</v>
      </c>
      <c r="D4636" s="1" t="s">
        <v>9264</v>
      </c>
      <c r="E4636" s="1" t="str">
        <f ca="1">IFERROR(__xludf.DUMMYFUNCTION("GOOGLETRANSLATE(A1435 , ""tr"" , ""en"")"),"@drfahrettinkoca in our country, although it takes high scores in no way he is considered to be worthy of value ... https://t.co/qwp4e8yppg")</f>
        <v>@drfahrettinkoca in our country, although it takes high scores in no way he is considered to be worthy of value ... https://t.co/qwp4e8yppg</v>
      </c>
    </row>
    <row r="4637" spans="1:5" ht="15" customHeight="1" x14ac:dyDescent="0.2">
      <c r="A4637" s="1" t="s">
        <v>9265</v>
      </c>
      <c r="B4637" s="1">
        <v>0</v>
      </c>
      <c r="C4637" s="3">
        <v>44542.946527777778</v>
      </c>
      <c r="D4637" s="1" t="s">
        <v>9266</v>
      </c>
      <c r="E4637" s="1" t="str">
        <f ca="1">IFERROR(__xludf.DUMMYFUNCTION("GOOGLETRANSLATE(A1436 , ""tr"" , ""en"")"),"@drfahrettinkoca Simki's Minister's right to give the right, but seriously in the appointment system in the last guys ... https://t.co/GONIWKYJFF")</f>
        <v>@drfahrettinkoca Simki's Minister's right to give the right, but seriously in the appointment system in the last guys ... https://t.co/GONIWKYJFF</v>
      </c>
    </row>
    <row r="4638" spans="1:5" ht="15" customHeight="1" x14ac:dyDescent="0.2">
      <c r="A4638" s="1" t="s">
        <v>9267</v>
      </c>
      <c r="B4638" s="1">
        <v>0</v>
      </c>
      <c r="C4638" s="3">
        <v>44542.94091435185</v>
      </c>
      <c r="D4638" s="1" t="s">
        <v>9268</v>
      </c>
      <c r="E4638" s="1" t="str">
        <f ca="1">IFERROR(__xludf.DUMMYFUNCTION("GOOGLETRANSLATE(A1437 , ""tr"" , ""en"")"),"@drfahrettinkoca I'm celebrating you as the best that makes your job. What you do knows folks. https://t.co/niwIphmwox")</f>
        <v>@drfahrettinkoca I'm celebrating you as the best that makes your job. What you do knows folks. https://t.co/niwIphmwox</v>
      </c>
    </row>
    <row r="4639" spans="1:5" ht="15" customHeight="1" x14ac:dyDescent="0.2">
      <c r="A4639" s="1" t="s">
        <v>9269</v>
      </c>
      <c r="B4639" s="1">
        <v>0</v>
      </c>
      <c r="C4639" s="3">
        <v>44542.860081018516</v>
      </c>
      <c r="D4639" s="1" t="s">
        <v>9270</v>
      </c>
      <c r="E4639" s="1" t="str">
        <f ca="1">IFERROR(__xludf.DUMMYFUNCTION("GOOGLETRANSLATE(A1438 , ""tr"" , ""en"")"),"@drfahrettinkoca 👏👏")</f>
        <v>@drfahrettinkoca 👏👏</v>
      </c>
    </row>
    <row r="4640" spans="1:5" ht="15" customHeight="1" x14ac:dyDescent="0.2">
      <c r="A4640" s="1" t="s">
        <v>9271</v>
      </c>
      <c r="B4640" s="1">
        <v>0</v>
      </c>
      <c r="C4640" s="3">
        <v>44542.829039351855</v>
      </c>
      <c r="D4640" s="1" t="s">
        <v>9272</v>
      </c>
      <c r="E4640" s="1" t="str">
        <f ca="1">IFERROR(__xludf.DUMMYFUNCTION("GOOGLETRANSLATE(A1439 , ""tr"" , ""en"")"),"@drfahrettinka 182 or MHRS application probably belong to another country, so I am waiting for at least two weeks for each appointment")</f>
        <v>@drfahrettinka 182 or MHRS application probably belong to another country, so I am waiting for at least two weeks for each appointment</v>
      </c>
    </row>
    <row r="4641" spans="1:5" ht="15" customHeight="1" x14ac:dyDescent="0.2">
      <c r="A4641" s="1" t="s">
        <v>9273</v>
      </c>
      <c r="B4641" s="1">
        <v>0</v>
      </c>
      <c r="C4641" s="3">
        <v>44542.795162037037</v>
      </c>
      <c r="D4641" s="1" t="s">
        <v>9274</v>
      </c>
      <c r="E4641" s="1" t="str">
        <f ca="1">IFERROR(__xludf.DUMMYFUNCTION("GOOGLETRANSLATE(A1440 , ""tr"" , ""en"")"),"@drfahrettinkoca Sweden Ten Patient Returned to Sweden Oh")</f>
        <v>@drfahrettinkoca Sweden Ten Patient Returned to Sweden Oh</v>
      </c>
    </row>
    <row r="4642" spans="1:5" ht="15" customHeight="1" x14ac:dyDescent="0.2">
      <c r="A4642" s="1" t="s">
        <v>9275</v>
      </c>
      <c r="B4642" s="1">
        <v>0</v>
      </c>
      <c r="C4642" s="3">
        <v>44542.784143518518</v>
      </c>
      <c r="D4642" s="1" t="s">
        <v>9276</v>
      </c>
      <c r="E4642" s="1" t="str">
        <f ca="1">IFERROR(__xludf.DUMMYFUNCTION("GOOGLETRANSLATE(A1441 , ""tr"" , ""en"")"),"@drfahrettinkoca @skrnglds You stay in the eye of the Valla in the eye! If any other government were infamous in water outbreak ... https://t.co/znmcvsxrjt")</f>
        <v>@drfahrettinkoca @skrnglds You stay in the eye of the Valla in the eye! If any other government were infamous in water outbreak ... https://t.co/znmcvsxrjt</v>
      </c>
    </row>
    <row r="4643" spans="1:5" ht="15" customHeight="1" x14ac:dyDescent="0.2">
      <c r="A4643" s="1" t="s">
        <v>9277</v>
      </c>
      <c r="B4643" s="1">
        <v>3</v>
      </c>
      <c r="C4643" s="3">
        <v>44542.766041666669</v>
      </c>
      <c r="D4643" s="1" t="s">
        <v>9278</v>
      </c>
      <c r="E4643" s="1" t="str">
        <f ca="1">IFERROR(__xludf.DUMMYFUNCTION("GOOGLETRANSLATE(A1442 , ""tr"" , ""en"")"),"@drfahrettinkoca Based on the Ministry of Health I guess you are responsible. DON'T DON'T STUP OR SUCK, SURE ... https://t.co/1udwqcv6jg")</f>
        <v>@drfahrettinkoca Based on the Ministry of Health I guess you are responsible. DON'T DON'T STUP OR SUCK, SURE ... https://t.co/1udwqcv6jg</v>
      </c>
    </row>
    <row r="4644" spans="1:5" ht="15" customHeight="1" x14ac:dyDescent="0.2">
      <c r="A4644" s="1" t="s">
        <v>9279</v>
      </c>
      <c r="B4644" s="1">
        <v>0</v>
      </c>
      <c r="C4644" s="3">
        <v>44542.752893518518</v>
      </c>
      <c r="D4644" s="1" t="s">
        <v>9280</v>
      </c>
      <c r="E4644" s="1" t="str">
        <f ca="1">IFERROR(__xludf.DUMMYFUNCTION("GOOGLETRANSLATE(A1443 , ""tr"" , ""en"")"),"@drfahrettinkoca has no oxygen tails all bread tails")</f>
        <v>@drfahrettinkoca has no oxygen tails all bread tails</v>
      </c>
    </row>
    <row r="4645" spans="1:5" ht="15" customHeight="1" x14ac:dyDescent="0.2">
      <c r="A4645" s="1" t="s">
        <v>9281</v>
      </c>
      <c r="B4645" s="1">
        <v>0</v>
      </c>
      <c r="C4645" s="3">
        <v>44542.731157407405</v>
      </c>
      <c r="D4645" s="1" t="s">
        <v>9282</v>
      </c>
      <c r="E4645" s="1" t="str">
        <f ca="1">IFERROR(__xludf.DUMMYFUNCTION("GOOGLETRANSLATE(A1444 , ""tr"" , ""en"")"),"@drfahrettinkoca @drfahrettinka vaccine -Acil- is one of the first 3 countries to produce Sn Baqan .. Your head Ba ... https://t.co/txfbeygzsk")</f>
        <v>@drfahrettinkoca @drfahrettinka vaccine -Acil- is one of the first 3 countries to produce Sn Baqan .. Your head Ba ... https://t.co/txfbeygzsk</v>
      </c>
    </row>
    <row r="4646" spans="1:5" ht="15" customHeight="1" x14ac:dyDescent="0.2">
      <c r="A4646" s="1" t="s">
        <v>9283</v>
      </c>
      <c r="B4646" s="1">
        <v>0</v>
      </c>
      <c r="C4646" s="3">
        <v>44542.727060185185</v>
      </c>
      <c r="D4646" s="1" t="s">
        <v>9284</v>
      </c>
      <c r="E4646" s="1" t="str">
        <f ca="1">IFERROR(__xludf.DUMMYFUNCTION("GOOGLETRANSLATE(A1445 , ""tr"" , ""en"")"),"@drfahrettinkoca In response to the fact that I said, I also see the nation as well as Means, for instant medical faculty ... https://t.co/er7napdtcw")</f>
        <v>@drfahrettinkoca In response to the fact that I said, I also see the nation as well as Means, for instant medical faculty ... https://t.co/er7napdtcw</v>
      </c>
    </row>
    <row r="4647" spans="1:5" ht="15" customHeight="1" x14ac:dyDescent="0.2">
      <c r="A4647" s="1" t="s">
        <v>9285</v>
      </c>
      <c r="B4647" s="1">
        <v>0</v>
      </c>
      <c r="C4647" s="3">
        <v>44542.723738425928</v>
      </c>
      <c r="D4647" s="1" t="s">
        <v>9286</v>
      </c>
      <c r="E4647" s="1" t="str">
        <f ca="1">IFERROR(__xludf.DUMMYFUNCTION("GOOGLETRANSLATE(A1446 , ""tr"" , ""en"")"),"@drfahrettinkoca Mr. Minister of DSO and the world's mask of the world drug industry is the mask of the mask and the minister to the ministry ... https://t.co/bm7vajzgct")</f>
        <v>@drfahrettinkoca Mr. Minister of DSO and the world's mask of the world drug industry is the mask of the mask and the minister to the ministry ... https://t.co/bm7vajzgct</v>
      </c>
    </row>
    <row r="4648" spans="1:5" ht="15" customHeight="1" x14ac:dyDescent="0.2">
      <c r="A4648" s="1" t="s">
        <v>9287</v>
      </c>
      <c r="B4648" s="1">
        <v>0</v>
      </c>
      <c r="C4648" s="3">
        <v>44542.909803240742</v>
      </c>
      <c r="D4648" s="1" t="s">
        <v>9288</v>
      </c>
      <c r="E4648" s="1" t="str">
        <f ca="1">IFERROR(__xludf.DUMMYFUNCTION("GOOGLETRANSLATE(A1447 , ""tr"" , ""en"")"),"@drfahrettinkoca Budget Minister Minister Göriyo Nation How to see the stony. Doctor and Professors are a little bit more hike ... https://t.co/8hcwuomf80")</f>
        <v>@drfahrettinkoca Budget Minister Minister Göriyo Nation How to see the stony. Doctor and Professors are a little bit more hike ... https://t.co/8hcwuomf80</v>
      </c>
    </row>
    <row r="4649" spans="1:5" ht="15" customHeight="1" x14ac:dyDescent="0.2">
      <c r="A4649" s="1" t="s">
        <v>9289</v>
      </c>
      <c r="B4649" s="1">
        <v>0</v>
      </c>
      <c r="C4649" s="3">
        <v>44542.88689814815</v>
      </c>
      <c r="D4649" s="1" t="s">
        <v>9290</v>
      </c>
      <c r="E4649" s="1" t="str">
        <f ca="1">IFERROR(__xludf.DUMMYFUNCTION("GOOGLETRANSLATE(A1448 , ""tr"" , ""en"")"),"@drfahrettinkoca FAHRETIN hubby ISTIFA!")</f>
        <v>@drfahrettinkoca FAHRETIN hubby ISTIFA!</v>
      </c>
    </row>
    <row r="4650" spans="1:5" ht="15" customHeight="1" x14ac:dyDescent="0.2">
      <c r="A4650" s="1" t="s">
        <v>9291</v>
      </c>
      <c r="B4650" s="1">
        <v>0</v>
      </c>
      <c r="C4650" s="3">
        <v>44542.857372685183</v>
      </c>
      <c r="D4650" s="1" t="s">
        <v>9292</v>
      </c>
      <c r="E4650" s="1" t="str">
        <f ca="1">IFERROR(__xludf.DUMMYFUNCTION("GOOGLETRANSLATE(A1449 , ""tr"" , ""en"")"),"@drfahrettinkoca 👋Bay all 👋")</f>
        <v>@drfahrettinkoca 👋Bay all 👋</v>
      </c>
    </row>
    <row r="4651" spans="1:5" ht="15" customHeight="1" x14ac:dyDescent="0.2">
      <c r="A4651" s="1" t="s">
        <v>9293</v>
      </c>
      <c r="B4651" s="1">
        <v>0</v>
      </c>
      <c r="C4651" s="3">
        <v>44542.851643518516</v>
      </c>
      <c r="D4651" s="1" t="s">
        <v>9294</v>
      </c>
      <c r="E4651" s="1" t="str">
        <f ca="1">IFERROR(__xludf.DUMMYFUNCTION("GOOGLETRANSLATE(A1450 , ""tr"" , ""en"")"),"@DrFahrettinka @AristideBanceVu You don't even wear mask, you're photographing it on top. '' Everybody Ma ... https://t.co/rpb7pzfb3z")</f>
        <v>@DrFahrettinka @AristideBanceVu You don't even wear mask, you're photographing it on top. '' Everybody Ma ... https://t.co/rpb7pzfb3z</v>
      </c>
    </row>
    <row r="4652" spans="1:5" ht="15" customHeight="1" x14ac:dyDescent="0.2">
      <c r="A4652" s="1" t="s">
        <v>9295</v>
      </c>
      <c r="B4652" s="1">
        <v>2</v>
      </c>
      <c r="C4652" s="3">
        <v>44542.820127314815</v>
      </c>
      <c r="D4652" s="1" t="s">
        <v>9296</v>
      </c>
      <c r="E4652" s="1" t="str">
        <f ca="1">IFERROR(__xludf.DUMMYFUNCTION("GOOGLETRANSLATE(A1451 , ""tr"" , ""en"")"),"@drfahrettinkoca contracts left in the middle")</f>
        <v>@drfahrettinkoca contracts left in the middle</v>
      </c>
    </row>
    <row r="4653" spans="1:5" ht="15" customHeight="1" x14ac:dyDescent="0.2">
      <c r="A4653" s="1" t="s">
        <v>9297</v>
      </c>
      <c r="B4653" s="1">
        <v>1</v>
      </c>
      <c r="C4653" s="3">
        <v>44542.790509259263</v>
      </c>
      <c r="D4653" s="1" t="s">
        <v>9298</v>
      </c>
      <c r="E4653" s="1" t="str">
        <f ca="1">IFERROR(__xludf.DUMMYFUNCTION("GOOGLETRANSLATE(A1452 , ""tr"" , ""en"")"),"@drfahrettinkoca has increased suicide due to your budget ..")</f>
        <v>@drfahrettinkoca has increased suicide due to your budget ..</v>
      </c>
    </row>
    <row r="4654" spans="1:5" ht="15" customHeight="1" x14ac:dyDescent="0.2">
      <c r="A4654" s="1" t="s">
        <v>9299</v>
      </c>
      <c r="B4654" s="1">
        <v>0</v>
      </c>
      <c r="C4654" s="3">
        <v>44542.773101851853</v>
      </c>
      <c r="D4654" s="1" t="s">
        <v>9300</v>
      </c>
      <c r="E4654" s="1" t="str">
        <f ca="1">IFERROR(__xludf.DUMMYFUNCTION("GOOGLETRANSLATE(A1453 , ""tr"" , ""en"")"),"@drfahrettinka you https://t.co/qfrhteihdd is the man shameless")</f>
        <v>@drfahrettinka you https://t.co/qfrhteihdd is the man shameless</v>
      </c>
    </row>
    <row r="4655" spans="1:5" ht="15" customHeight="1" x14ac:dyDescent="0.2">
      <c r="A4655" s="1" t="s">
        <v>9301</v>
      </c>
      <c r="B4655" s="1">
        <v>0</v>
      </c>
      <c r="C4655" s="3">
        <v>44542.756342592591</v>
      </c>
      <c r="D4655" s="1" t="s">
        <v>9302</v>
      </c>
      <c r="E4655" s="1" t="str">
        <f ca="1">IFERROR(__xludf.DUMMYFUNCTION("GOOGLETRANSLATE(A1454 , ""tr"" , ""en"")"),"Did the @drfahrettinka physician enemy said unions?")</f>
        <v>Did the @drfahrettinka physician enemy said unions?</v>
      </c>
    </row>
    <row r="4656" spans="1:5" ht="15" customHeight="1" x14ac:dyDescent="0.2">
      <c r="A4656" s="1" t="s">
        <v>9303</v>
      </c>
      <c r="B4656" s="1">
        <v>0</v>
      </c>
      <c r="C4656" s="3">
        <v>44542.748935185184</v>
      </c>
      <c r="D4656" s="1" t="s">
        <v>9304</v>
      </c>
      <c r="E4656" s="1" t="str">
        <f ca="1">IFERROR(__xludf.DUMMYFUNCTION("GOOGLETRANSLATE(A1455 , ""tr"" , ""en"")"),"@drfahrettinkoca allah auspicious action")</f>
        <v>@drfahrettinkoca allah auspicious action</v>
      </c>
    </row>
    <row r="4657" spans="1:5" ht="15" customHeight="1" x14ac:dyDescent="0.2">
      <c r="A4657" s="1" t="s">
        <v>9305</v>
      </c>
      <c r="B4657" s="1">
        <v>0</v>
      </c>
      <c r="C4657" s="3">
        <v>44542.725324074076</v>
      </c>
      <c r="D4657" s="1" t="s">
        <v>9306</v>
      </c>
      <c r="E4657" s="1" t="str">
        <f ca="1">IFERROR(__xludf.DUMMYFUNCTION("GOOGLETRANSLATE(A1456 , ""tr"" , ""en"")"),"@drfahrettinkoca Butce get you angry. Gule Bye Spend")</f>
        <v>@drfahrettinkoca Butce get you angry. Gule Bye Spend</v>
      </c>
    </row>
    <row r="4658" spans="1:5" ht="15" customHeight="1" x14ac:dyDescent="0.2">
      <c r="A4658" s="1" t="s">
        <v>9307</v>
      </c>
      <c r="B4658" s="1">
        <v>0</v>
      </c>
      <c r="C4658" s="3">
        <v>44543.926701388889</v>
      </c>
      <c r="D4658" s="1" t="s">
        <v>9308</v>
      </c>
      <c r="E4658" s="1" t="str">
        <f ca="1">IFERROR(__xludf.DUMMYFUNCTION("GOOGLETRANSLATE(A1457 , ""tr"" , ""en"")"),"@drfahrettinkoca @saglikbakanligi lets not lose these trained power. The physicians will strike this strike. Walk ... https://t.co/0uf40nexmh")</f>
        <v>@drfahrettinkoca @saglikbakanligi lets not lose these trained power. The physicians will strike this strike. Walk ... https://t.co/0uf40nexmh</v>
      </c>
    </row>
    <row r="4659" spans="1:5" ht="15" customHeight="1" x14ac:dyDescent="0.2">
      <c r="A4659" s="1" t="s">
        <v>9309</v>
      </c>
      <c r="B4659" s="1">
        <v>0</v>
      </c>
      <c r="C4659" s="3">
        <v>44543.893067129633</v>
      </c>
      <c r="D4659" s="1" t="s">
        <v>9310</v>
      </c>
      <c r="E4659" s="1" t="str">
        <f ca="1">IFERROR(__xludf.DUMMYFUNCTION("GOOGLETRANSLATE(A1458 , ""tr"" , ""en"")"),"@drfahrettinkoca 40-person classes in grades Surekli patient.")</f>
        <v>@drfahrettinkoca 40-person classes in grades Surekli patient.</v>
      </c>
    </row>
    <row r="4660" spans="1:5" ht="15" customHeight="1" x14ac:dyDescent="0.2">
      <c r="A4660" s="1" t="s">
        <v>9311</v>
      </c>
      <c r="B4660" s="1">
        <v>0</v>
      </c>
      <c r="C4660" s="3">
        <v>44543.891226851854</v>
      </c>
      <c r="D4660" s="1" t="s">
        <v>9312</v>
      </c>
      <c r="E4660" s="1" t="str">
        <f ca="1">IFERROR(__xludf.DUMMYFUNCTION("GOOGLETRANSLATE(A1459 , ""tr"" , ""en"")"),"@drfahrettinkoca Mr. Ministry of Ministry of COKlink A Figure in September. BERI SICK IILKOKULA GIDER CUCUGUNA HIC KU ... HTTPS://T.CO/66XZ62WYRR")</f>
        <v>@drfahrettinkoca Mr. Ministry of Ministry of COKlink A Figure in September. BERI SICK IILKOKULA GIDER CUCUGUNA HIC KU ... HTTPS://T.CO/66XZ62WYRR</v>
      </c>
    </row>
    <row r="4661" spans="1:5" ht="15" customHeight="1" x14ac:dyDescent="0.2">
      <c r="A4661" s="1" t="s">
        <v>9313</v>
      </c>
      <c r="B4661" s="1">
        <v>0</v>
      </c>
      <c r="C4661" s="3">
        <v>44543.876331018517</v>
      </c>
      <c r="D4661" s="1" t="s">
        <v>9314</v>
      </c>
      <c r="E4661" s="1" t="str">
        <f ca="1">IFERROR(__xludf.DUMMYFUNCTION("GOOGLETRANSLATE(A1460 , ""tr"" , ""en"")"),"@drfahrettinkoca yes so our physicians deserves the richness they have prepared for language exams, where they deserve ... https://t.co/ep2mlllsjl")</f>
        <v>@drfahrettinkoca yes so our physicians deserves the richness they have prepared for language exams, where they deserve ... https://t.co/ep2mlllsjl</v>
      </c>
    </row>
    <row r="4662" spans="1:5" ht="15" customHeight="1" x14ac:dyDescent="0.2">
      <c r="A4662" s="1" t="s">
        <v>9315</v>
      </c>
      <c r="B4662" s="1">
        <v>0</v>
      </c>
      <c r="C4662" s="3">
        <v>44541.999108796299</v>
      </c>
      <c r="D4662" s="1" t="s">
        <v>9316</v>
      </c>
      <c r="E4662" s="1" t="str">
        <f ca="1">IFERROR(__xludf.DUMMYFUNCTION("GOOGLETRANSLATE(A1461 , ""tr"" , ""en"")"),"@drfahrettinka do not miss the physicians")</f>
        <v>@drfahrettinka do not miss the physicians</v>
      </c>
    </row>
    <row r="4663" spans="1:5" ht="15" customHeight="1" x14ac:dyDescent="0.2">
      <c r="A4663" s="1" t="s">
        <v>9317</v>
      </c>
      <c r="B4663" s="1">
        <v>0</v>
      </c>
      <c r="C4663" s="3">
        <v>44541.99763888889</v>
      </c>
      <c r="D4663" s="1" t="s">
        <v>9318</v>
      </c>
      <c r="E4663" s="1" t="str">
        <f ca="1">IFERROR(__xludf.DUMMYFUNCTION("GOOGLETRANSLATE(A1462 , ""tr"" , ""en"")"),"@drfahrettinkoca a man lie 40 husbands")</f>
        <v>@drfahrettinkoca a man lie 40 husbands</v>
      </c>
    </row>
    <row r="4664" spans="1:5" ht="15" customHeight="1" x14ac:dyDescent="0.2">
      <c r="A4664" s="1" t="s">
        <v>9319</v>
      </c>
      <c r="B4664" s="1">
        <v>0</v>
      </c>
      <c r="C4664" s="3">
        <v>44541.993634259263</v>
      </c>
      <c r="D4664" s="1" t="s">
        <v>9320</v>
      </c>
      <c r="E4664" s="1" t="str">
        <f ca="1">IFERROR(__xludf.DUMMYFUNCTION("GOOGLETRANSLATE(A1463 , ""tr"" , ""en"")"),"@drfahrettinka https://t.co/xckip4gqit")</f>
        <v>@drfahrettinka https://t.co/xckip4gqit</v>
      </c>
    </row>
    <row r="4665" spans="1:5" ht="15" customHeight="1" x14ac:dyDescent="0.2">
      <c r="A4665" s="1" t="s">
        <v>9321</v>
      </c>
      <c r="B4665" s="1">
        <v>0</v>
      </c>
      <c r="C4665" s="3">
        <v>44541.988807870373</v>
      </c>
      <c r="D4665" s="1" t="s">
        <v>9322</v>
      </c>
      <c r="E4665" s="1" t="str">
        <f ca="1">IFERROR(__xludf.DUMMYFUNCTION("GOOGLETRANSLATE(A1464 , ""tr"" , ""en"")"),"@drfahrettinkoca believe you can not satisfy yourself ce you won't satisfy the voice is very detonated because it was unable to say it in sincere ... https://t.co/uvf0mtizgv")</f>
        <v>@drfahrettinkoca believe you can not satisfy yourself ce you won't satisfy the voice is very detonated because it was unable to say it in sincere ... https://t.co/uvf0mtizgv</v>
      </c>
    </row>
    <row r="4666" spans="1:5" ht="15" customHeight="1" x14ac:dyDescent="0.2">
      <c r="A4666" s="1" t="s">
        <v>9323</v>
      </c>
      <c r="B4666" s="1">
        <v>2</v>
      </c>
      <c r="C4666" s="3">
        <v>44541.983784722222</v>
      </c>
      <c r="D4666" s="1" t="s">
        <v>9324</v>
      </c>
      <c r="E4666" s="1" t="str">
        <f ca="1">IFERROR(__xludf.DUMMYFUNCTION("GOOGLETRANSLATE(A1465 , ""tr"" , ""en"")"),"@drfahrettinkoca ha ha ha, did you start boasting the people of the old turkey, because soon private school doct ... https://t.co/ugcl2hkmbr")</f>
        <v>@drfahrettinkoca ha ha ha, did you start boasting the people of the old turkey, because soon private school doct ... https://t.co/ugcl2hkmbr</v>
      </c>
    </row>
    <row r="4667" spans="1:5" ht="15" customHeight="1" x14ac:dyDescent="0.2">
      <c r="A4667" s="1" t="s">
        <v>9325</v>
      </c>
      <c r="B4667" s="1">
        <v>1</v>
      </c>
      <c r="C4667" s="3">
        <v>44541.98064814815</v>
      </c>
      <c r="D4667" s="1" t="s">
        <v>9326</v>
      </c>
      <c r="E4667" s="1" t="str">
        <f ca="1">IFERROR(__xludf.DUMMYFUNCTION("GOOGLETRANSLATE(A1466 , ""tr"" , ""en"")"),"@drfahrettinkoca I have also made two graduate physicians; I have no hopes of the future wait for the seat ... https://t.co/tsh2boeyik")</f>
        <v>@drfahrettinkoca I have also made two graduate physicians; I have no hopes of the future wait for the seat ... https://t.co/tsh2boeyik</v>
      </c>
    </row>
    <row r="4668" spans="1:5" ht="15" customHeight="1" x14ac:dyDescent="0.2">
      <c r="A4668" s="1" t="s">
        <v>9327</v>
      </c>
      <c r="B4668" s="1">
        <v>3</v>
      </c>
      <c r="C4668" s="3">
        <v>44541.976400462961</v>
      </c>
      <c r="D4668" s="1" t="s">
        <v>9328</v>
      </c>
      <c r="E4668" s="1" t="str">
        <f ca="1">IFERROR(__xludf.DUMMYFUNCTION("GOOGLETRANSLATE(A1467 , ""tr"" , ""en"")"),"@drfahrettinkoca you are not preferred by the major 4,5 branches. The practitioner physician is specialized ... https://t.co/ei5vmzxrh0")</f>
        <v>@drfahrettinkoca you are not preferred by the major 4,5 branches. The practitioner physician is specialized ... https://t.co/ei5vmzxrh0</v>
      </c>
    </row>
    <row r="4669" spans="1:5" ht="15" customHeight="1" x14ac:dyDescent="0.2">
      <c r="A4669" s="1" t="s">
        <v>9329</v>
      </c>
      <c r="B4669" s="1">
        <v>3</v>
      </c>
      <c r="C4669" s="3">
        <v>44541.974895833337</v>
      </c>
      <c r="D4669" s="1" t="s">
        <v>9330</v>
      </c>
      <c r="E4669" s="1" t="str">
        <f ca="1">IFERROR(__xludf.DUMMYFUNCTION("GOOGLETRANSLATE(A1468 , ""tr"" , ""en"")"),"@drfahrettinkoca If you want to encourage expertise, increase in favor of expert physicians in addition to additional compensation. ... https://t.co/toc49qax6a")</f>
        <v>@drfahrettinkoca If you want to encourage expertise, increase in favor of expert physicians in addition to additional compensation. ... https://t.co/toc49qax6a</v>
      </c>
    </row>
    <row r="4670" spans="1:5" ht="15" customHeight="1" x14ac:dyDescent="0.2">
      <c r="A4670" s="1" t="s">
        <v>9331</v>
      </c>
      <c r="B4670" s="1">
        <v>0</v>
      </c>
      <c r="C4670" s="3">
        <v>44541.968159722222</v>
      </c>
      <c r="D4670" s="1" t="s">
        <v>9332</v>
      </c>
      <c r="E4670" s="1" t="str">
        <f ca="1">IFERROR(__xludf.DUMMYFUNCTION("GOOGLETRANSLATE(A1469 , ""tr"" , ""en"")"),"@drfahrettinkoca @saglikbakanligi https://t.co/pxlo52wiw9")</f>
        <v>@drfahrettinkoca @saglikbakanligi https://t.co/pxlo52wiw9</v>
      </c>
    </row>
    <row r="4671" spans="1:5" ht="15" customHeight="1" x14ac:dyDescent="0.2">
      <c r="A4671" s="1" t="s">
        <v>9067</v>
      </c>
      <c r="B4671" s="1">
        <v>0</v>
      </c>
      <c r="C4671" s="3">
        <v>44541.967499999999</v>
      </c>
      <c r="D4671" s="1" t="s">
        <v>9333</v>
      </c>
      <c r="E4671" s="1" t="str">
        <f ca="1">IFERROR(__xludf.DUMMYFUNCTION("GOOGLETRANSLATE(A1470 , ""tr"" , ""en"")"),"@drfahrettinkoca 🤣🤣🤣")</f>
        <v>@drfahrettinkoca 🤣🤣🤣</v>
      </c>
    </row>
    <row r="4672" spans="1:5" ht="15" customHeight="1" x14ac:dyDescent="0.2">
      <c r="A4672" s="1" t="s">
        <v>9334</v>
      </c>
      <c r="B4672" s="1">
        <v>0</v>
      </c>
      <c r="C4672" s="3">
        <v>44541.96638888889</v>
      </c>
      <c r="D4672" s="1" t="s">
        <v>9335</v>
      </c>
      <c r="E4672" s="1" t="str">
        <f ca="1">IFERROR(__xludf.DUMMYFUNCTION("GOOGLETRANSLATE(A1471 , ""tr"" , ""en"")"),"@drfahrettinkoca Melesef are not all of them in them have many rotten apples in them.")</f>
        <v>@drfahrettinkoca Melesef are not all of them in them have many rotten apples in them.</v>
      </c>
    </row>
    <row r="4673" spans="1:5" ht="15" customHeight="1" x14ac:dyDescent="0.2">
      <c r="A4673" s="1" t="s">
        <v>9336</v>
      </c>
      <c r="B4673" s="1">
        <v>0</v>
      </c>
      <c r="C4673" s="3">
        <v>44541.965370370373</v>
      </c>
      <c r="D4673" s="1" t="s">
        <v>9337</v>
      </c>
      <c r="E4673" s="1" t="str">
        <f ca="1">IFERROR(__xludf.DUMMYFUNCTION("GOOGLETRANSLATE(A1472 , ""tr"" , ""en"")"),"@drfahrettinkoca praises the doctors in the doctors in the evening in the morning cursing the minister.")</f>
        <v>@drfahrettinkoca praises the doctors in the doctors in the evening in the morning cursing the minister.</v>
      </c>
    </row>
    <row r="4674" spans="1:5" ht="15" customHeight="1" x14ac:dyDescent="0.2">
      <c r="A4674" s="1" t="s">
        <v>9338</v>
      </c>
      <c r="B4674" s="1">
        <v>0</v>
      </c>
      <c r="C4674" s="3">
        <v>44541.964594907404</v>
      </c>
      <c r="D4674" s="1" t="s">
        <v>9339</v>
      </c>
      <c r="E4674" s="1" t="str">
        <f ca="1">IFERROR(__xludf.DUMMYFUNCTION("GOOGLETRANSLATE(A1473 , ""tr"" , ""en"")"),"@drfahrettinkoca Why is this successful and valuable doctors in the poverty border. Our fedakar nurses.")</f>
        <v>@drfahrettinkoca Why is this successful and valuable doctors in the poverty border. Our fedakar nurses.</v>
      </c>
    </row>
    <row r="4675" spans="1:5" ht="15" customHeight="1" x14ac:dyDescent="0.2">
      <c r="A4675" s="1" t="s">
        <v>9340</v>
      </c>
      <c r="B4675" s="1">
        <v>3</v>
      </c>
      <c r="C4675" s="3">
        <v>44541.963020833333</v>
      </c>
      <c r="D4675" s="1" t="s">
        <v>9341</v>
      </c>
      <c r="E4675" s="1" t="str">
        <f ca="1">IFERROR(__xludf.DUMMYFUNCTION("GOOGLETRANSLATE(A1474 , ""tr"" , ""en"")"),"@drfahrettinkoca Mr. A day at the beginning of the coffin when you want HELLALLICIC when you want to be Halal Halal ... https://t.co/zlmci8mk7u")</f>
        <v>@drfahrettinkoca Mr. A day at the beginning of the coffin when you want HELLALLICIC when you want to be Halal Halal ... https://t.co/zlmci8mk7u</v>
      </c>
    </row>
    <row r="4676" spans="1:5" ht="15" customHeight="1" x14ac:dyDescent="0.2">
      <c r="A4676" s="1" t="s">
        <v>9342</v>
      </c>
      <c r="B4676" s="1">
        <v>0</v>
      </c>
      <c r="C4676" s="3">
        <v>44541.962476851855</v>
      </c>
      <c r="D4676" s="1" t="s">
        <v>9343</v>
      </c>
      <c r="E4676" s="1" t="str">
        <f ca="1">IFERROR(__xludf.DUMMYFUNCTION("GOOGLETRANSLATE(A1475 , ""tr"" , ""en"")"),"@drfahrettinkoca but the least deger shows our ulke")</f>
        <v>@drfahrettinkoca but the least deger shows our ulke</v>
      </c>
    </row>
    <row r="4677" spans="1:5" ht="15" customHeight="1" x14ac:dyDescent="0.2">
      <c r="A4677" s="1" t="s">
        <v>9344</v>
      </c>
      <c r="B4677" s="1">
        <v>0</v>
      </c>
      <c r="C4677" s="3">
        <v>44541.955636574072</v>
      </c>
      <c r="D4677" s="1" t="s">
        <v>9345</v>
      </c>
      <c r="E4677" s="1" t="str">
        <f ca="1">IFERROR(__xludf.DUMMYFUNCTION("GOOGLETRANSLATE(A1476 , ""tr"" , ""en"")"),"@drfahrettinkoca Continue to use average for $ 1000, conscience!")</f>
        <v>@drfahrettinkoca Continue to use average for $ 1000, conscience!</v>
      </c>
    </row>
    <row r="4678" spans="1:5" ht="15" customHeight="1" x14ac:dyDescent="0.2">
      <c r="A4678" s="1" t="s">
        <v>9346</v>
      </c>
      <c r="B4678" s="1">
        <v>0</v>
      </c>
      <c r="C4678" s="3">
        <v>44541.954375000001</v>
      </c>
      <c r="D4678" s="1" t="s">
        <v>9347</v>
      </c>
      <c r="E4678" s="1" t="str">
        <f ca="1">IFERROR(__xludf.DUMMYFUNCTION("GOOGLETRANSLATE(A1477 , ""tr"" , ""en"")"),"@drfahrettinkoca alone our doctors over the outside of our loss. Then they don't go 😊. Neither SER ... HTTPS://T.CO/2AVJKZPNDF")</f>
        <v>@drfahrettinkoca alone our doctors over the outside of our loss. Then they don't go 😊. Neither SER ... HTTPS://T.CO/2AVJKZPNDF</v>
      </c>
    </row>
    <row r="4679" spans="1:5" ht="15" customHeight="1" x14ac:dyDescent="0.2">
      <c r="A4679" s="1" t="s">
        <v>9348</v>
      </c>
      <c r="B4679" s="1">
        <v>0</v>
      </c>
      <c r="C4679" s="3">
        <v>44541.953182870369</v>
      </c>
      <c r="D4679" s="1" t="s">
        <v>9349</v>
      </c>
      <c r="E4679" s="1" t="str">
        <f ca="1">IFERROR(__xludf.DUMMYFUNCTION("GOOGLETRANSLATE(A1478 , ""tr"" , ""en"")"),"@drfahrettinkoca Don't run away")</f>
        <v>@drfahrettinkoca Don't run away</v>
      </c>
    </row>
    <row r="4680" spans="1:5" ht="15" customHeight="1" x14ac:dyDescent="0.2">
      <c r="A4680" s="1" t="s">
        <v>9350</v>
      </c>
      <c r="B4680" s="1">
        <v>0</v>
      </c>
      <c r="C4680" s="3">
        <v>44541.952962962961</v>
      </c>
      <c r="D4680" s="1" t="s">
        <v>9351</v>
      </c>
      <c r="E4680" s="1" t="str">
        <f ca="1">IFERROR(__xludf.DUMMYFUNCTION("GOOGLETRANSLATE(A1479 , ""tr"" , ""en"")"),"@drfahrettinkoca is poor, so!")</f>
        <v>@drfahrettinkoca is poor, so!</v>
      </c>
    </row>
    <row r="4681" spans="1:5" ht="15" customHeight="1" x14ac:dyDescent="0.2">
      <c r="A4681" s="1" t="s">
        <v>9352</v>
      </c>
      <c r="B4681" s="1">
        <v>0</v>
      </c>
      <c r="C4681" s="3">
        <v>44541.950428240743</v>
      </c>
      <c r="D4681" s="1" t="s">
        <v>9353</v>
      </c>
      <c r="E4681" s="1" t="str">
        <f ca="1">IFERROR(__xludf.DUMMYFUNCTION("GOOGLETRANSLATE(A1480 , ""tr"" , ""en"")"),"@drfahrettinkoca quit anymore young people will come to the front of all the teens are gathered to resign ... https://t.co/j4ajmgdfe3")</f>
        <v>@drfahrettinkoca quit anymore young people will come to the front of all the teens are gathered to resign ... https://t.co/j4ajmgdfe3</v>
      </c>
    </row>
    <row r="4682" spans="1:5" ht="15" customHeight="1" x14ac:dyDescent="0.2">
      <c r="A4682" s="1" t="s">
        <v>9354</v>
      </c>
      <c r="B4682" s="1">
        <v>5</v>
      </c>
      <c r="C4682" s="3">
        <v>44541.949930555558</v>
      </c>
      <c r="D4682" s="1" t="s">
        <v>9355</v>
      </c>
      <c r="E4682" s="1" t="str">
        <f ca="1">IFERROR(__xludf.DUMMYFUNCTION("GOOGLETRANSLATE(A1481 , ""tr"" , ""en"")"),"@drfahrettinkoca ""The recipient of the rich is looking at the eye .."" Your quality criterion is quite interesting ..")</f>
        <v>@drfahrettinkoca "The recipient of the rich is looking at the eye .." Your quality criterion is quite interesting ..</v>
      </c>
    </row>
    <row r="4683" spans="1:5" ht="15" customHeight="1" x14ac:dyDescent="0.2">
      <c r="A4683" s="1" t="s">
        <v>9356</v>
      </c>
      <c r="B4683" s="1">
        <v>0</v>
      </c>
      <c r="C4683" s="3">
        <v>44541.949016203704</v>
      </c>
      <c r="D4683" s="1" t="s">
        <v>9357</v>
      </c>
      <c r="E4683" s="1" t="str">
        <f ca="1">IFERROR(__xludf.DUMMYFUNCTION("GOOGLETRANSLATE(A1482 , ""tr"" , ""en"")"),"@drfahrettinkoca Yes Our physicians are unfortunately a minister like you.!")</f>
        <v>@drfahrettinkoca Yes Our physicians are unfortunately a minister like you.!</v>
      </c>
    </row>
    <row r="4684" spans="1:5" ht="15" customHeight="1" x14ac:dyDescent="0.2">
      <c r="A4684" s="1" t="s">
        <v>9358</v>
      </c>
      <c r="B4684" s="1">
        <v>0</v>
      </c>
      <c r="C4684" s="3">
        <v>44541.947638888887</v>
      </c>
      <c r="D4684" s="1" t="s">
        <v>9359</v>
      </c>
      <c r="E4684" s="1" t="str">
        <f ca="1">IFERROR(__xludf.DUMMYFUNCTION("GOOGLETRANSLATE(A1483 , ""tr"" , ""en"")"),"@drfahrettinkoca how many are they getting?")</f>
        <v>@drfahrettinkoca how many are they getting?</v>
      </c>
    </row>
    <row r="4685" spans="1:5" ht="15" customHeight="1" x14ac:dyDescent="0.2">
      <c r="A4685" s="1" t="s">
        <v>9360</v>
      </c>
      <c r="B4685" s="1">
        <v>0</v>
      </c>
      <c r="C4685" s="3">
        <v>44541.946944444448</v>
      </c>
      <c r="D4685" s="1" t="s">
        <v>9361</v>
      </c>
      <c r="E4685" s="1" t="str">
        <f ca="1">IFERROR(__xludf.DUMMYFUNCTION("GOOGLETRANSLATE(A1484 , ""tr"" , ""en"")"),"@drfahrettinkoca make all of Allah's sake online, so do these schools online.")</f>
        <v>@drfahrettinkoca make all of Allah's sake online, so do these schools online.</v>
      </c>
    </row>
    <row r="4686" spans="1:5" ht="15" customHeight="1" x14ac:dyDescent="0.2">
      <c r="A4686" s="1" t="s">
        <v>9362</v>
      </c>
      <c r="B4686" s="1">
        <v>1</v>
      </c>
      <c r="C4686" s="3">
        <v>44541.945601851854</v>
      </c>
      <c r="D4686" s="1" t="s">
        <v>9363</v>
      </c>
      <c r="E4686" s="1" t="str">
        <f ca="1">IFERROR(__xludf.DUMMYFUNCTION("GOOGLETRANSLATE(A1485 , ""tr"" , ""en"")"),"@drfahrettinkoca Madem 20Bin of 20 Why did you give 40s the gospel?")</f>
        <v>@drfahrettinkoca Madem 20Bin of 20 Why did you give 40s the gospel?</v>
      </c>
    </row>
    <row r="4687" spans="1:5" ht="15" customHeight="1" x14ac:dyDescent="0.2">
      <c r="A4687" s="1" t="s">
        <v>9364</v>
      </c>
      <c r="B4687" s="1">
        <v>5</v>
      </c>
      <c r="C4687" s="3">
        <v>44541.9455787037</v>
      </c>
      <c r="D4687" s="1" t="s">
        <v>9365</v>
      </c>
      <c r="E4687" s="1" t="str">
        <f ca="1">IFERROR(__xludf.DUMMYFUNCTION("GOOGLETRANSLATE(A1486 , ""tr"" , ""en"")"),"@drfahrettinkoca Health Minister Fahrettin husband Today at budget negotiations has reduced 40k 20k 20 thousand ... https://t.co/33bpgrvd5c")</f>
        <v>@drfahrettinkoca Health Minister Fahrettin husband Today at budget negotiations has reduced 40k 20k 20 thousand ... https://t.co/33bpgrvd5c</v>
      </c>
    </row>
    <row r="4688" spans="1:5" ht="15" customHeight="1" x14ac:dyDescent="0.2">
      <c r="A4688" s="1" t="s">
        <v>9366</v>
      </c>
      <c r="B4688" s="1">
        <v>6</v>
      </c>
      <c r="C4688" s="3">
        <v>44541.944594907407</v>
      </c>
      <c r="D4688" s="1" t="s">
        <v>9367</v>
      </c>
      <c r="E4688" s="1" t="str">
        <f ca="1">IFERROR(__xludf.DUMMYFUNCTION("GOOGLETRANSLATE(A1487 , ""tr"" , ""en"")"),"@drfahrettinka is talking about .. :)) https://t.co/f61guqkox3")</f>
        <v>@drfahrettinka is talking about .. :)) https://t.co/f61guqkox3</v>
      </c>
    </row>
    <row r="4689" spans="1:5" ht="15" customHeight="1" x14ac:dyDescent="0.2">
      <c r="A4689" s="1" t="s">
        <v>9368</v>
      </c>
      <c r="B4689" s="1">
        <v>0</v>
      </c>
      <c r="C4689" s="3">
        <v>44541.943356481483</v>
      </c>
      <c r="D4689" s="1" t="s">
        <v>9369</v>
      </c>
      <c r="E4689" s="1" t="str">
        <f ca="1">IFERROR(__xludf.DUMMYFUNCTION("GOOGLETRANSLATE(A1488 , ""tr"" , ""en"")"),"@drfahrettinkoca Your best physicians if you have married the genuine homeland rich country rich countries ... https://t.co/dkxgwuhiqq")</f>
        <v>@drfahrettinkoca Your best physicians if you have married the genuine homeland rich country rich countries ... https://t.co/dkxgwuhiqq</v>
      </c>
    </row>
    <row r="4690" spans="1:5" ht="15" customHeight="1" x14ac:dyDescent="0.2">
      <c r="A4690" s="1" t="s">
        <v>9370</v>
      </c>
      <c r="B4690" s="1">
        <v>7</v>
      </c>
      <c r="C4690" s="3">
        <v>44541.941990740743</v>
      </c>
      <c r="D4690" s="1" t="s">
        <v>9371</v>
      </c>
      <c r="E4690" s="1" t="str">
        <f ca="1">IFERROR(__xludf.DUMMYFUNCTION("GOOGLETRANSLATE(A1489 , ""tr"" , ""en"")"),"Don't forget @drfahrettinkoca, don't be able to go quietly without response to our physicians. Https://t.co/dlhoxlesgt")</f>
        <v>Don't forget @drfahrettinkoca, don't be able to go quietly without response to our physicians. Https://t.co/dlhoxlesgt</v>
      </c>
    </row>
    <row r="4691" spans="1:5" ht="15" customHeight="1" x14ac:dyDescent="0.2">
      <c r="A4691" s="1" t="s">
        <v>9372</v>
      </c>
      <c r="B4691" s="1">
        <v>0</v>
      </c>
      <c r="C4691" s="3">
        <v>44541.941886574074</v>
      </c>
      <c r="D4691" s="1" t="s">
        <v>9373</v>
      </c>
      <c r="E4691" s="1" t="str">
        <f ca="1">IFERROR(__xludf.DUMMYFUNCTION("GOOGLETRANSLATE(A1490 , ""tr"" , ""en"")"),"@drfahrettinka thanks Mr. Ministry.")</f>
        <v>@drfahrettinka thanks Mr. Ministry.</v>
      </c>
    </row>
    <row r="4692" spans="1:5" ht="15" customHeight="1" x14ac:dyDescent="0.2">
      <c r="A4692" s="1" t="s">
        <v>9374</v>
      </c>
      <c r="B4692" s="1">
        <v>0</v>
      </c>
      <c r="C4692" s="3">
        <v>44541.93986111111</v>
      </c>
      <c r="D4692" s="1" t="s">
        <v>9375</v>
      </c>
      <c r="E4692" s="1" t="str">
        <f ca="1">IFERROR(__xludf.DUMMYFUNCTION("GOOGLETRANSLATE(A1491 , ""tr"" , ""en"")"),"@drfahrettinkoca Mr. Ministry 65 Years Over 2 Sinovac + 1 Biontech Dosing Dose Appointment When Https://t.co/hhlllzeane")</f>
        <v>@drfahrettinkoca Mr. Ministry 65 Years Over 2 Sinovac + 1 Biontech Dosing Dose Appointment When Https://t.co/hhlllzeane</v>
      </c>
    </row>
    <row r="4693" spans="1:5" ht="15" customHeight="1" x14ac:dyDescent="0.2">
      <c r="A4693" s="1" t="s">
        <v>9376</v>
      </c>
      <c r="B4693" s="1">
        <v>1</v>
      </c>
      <c r="C4693" s="3">
        <v>44541.9377662037</v>
      </c>
      <c r="D4693" s="1" t="s">
        <v>9377</v>
      </c>
      <c r="E4693" s="1" t="str">
        <f ca="1">IFERROR(__xludf.DUMMYFUNCTION("GOOGLETRANSLATE(A1492 , ""tr"" , ""en"")"),"@drfahrettinka no you are lying. Our physicians are the best of the world thanks to the sinking economy but ... https://t.co/6adn5csknd")</f>
        <v>@drfahrettinka no you are lying. Our physicians are the best of the world thanks to the sinking economy but ... https://t.co/6adn5csknd</v>
      </c>
    </row>
    <row r="4694" spans="1:5" ht="15" customHeight="1" x14ac:dyDescent="0.2">
      <c r="A4694" s="1" t="s">
        <v>9378</v>
      </c>
      <c r="B4694" s="1">
        <v>2</v>
      </c>
      <c r="C4694" s="3">
        <v>44541.936076388891</v>
      </c>
      <c r="D4694" s="1" t="s">
        <v>9379</v>
      </c>
      <c r="E4694" s="1" t="str">
        <f ca="1">IFERROR(__xludf.DUMMYFUNCTION("GOOGLETRANSLATE(A1493 , ""tr"" , ""en"")"),"@drfahrettinkoca retirement hike is the most important item of this law. Should definitely go out. Sweating life with Governor of Life Terl ... https://t.co/ps8qkktv9l")</f>
        <v>@drfahrettinkoca retirement hike is the most important item of this law. Should definitely go out. Sweating life with Governor of Life Terl ... https://t.co/ps8qkktv9l</v>
      </c>
    </row>
    <row r="4695" spans="1:5" ht="15" customHeight="1" x14ac:dyDescent="0.2">
      <c r="A4695" s="1" t="s">
        <v>9380</v>
      </c>
      <c r="B4695" s="1">
        <v>0</v>
      </c>
      <c r="C4695" s="3">
        <v>44541.935555555552</v>
      </c>
      <c r="D4695" s="1" t="s">
        <v>9381</v>
      </c>
      <c r="E4695" s="1" t="str">
        <f ca="1">IFERROR(__xludf.DUMMYFUNCTION("GOOGLETRANSLATE(A1494 , ""tr"" , ""en"")"),"@drfahrettinkoca Distance Education We want to star. If you see the university environment bi I wish you")</f>
        <v>@drfahrettinkoca Distance Education We want to star. If you see the university environment bi I wish you</v>
      </c>
    </row>
    <row r="4696" spans="1:5" ht="15" customHeight="1" x14ac:dyDescent="0.2">
      <c r="A4696" s="1" t="s">
        <v>9382</v>
      </c>
      <c r="B4696" s="1">
        <v>0</v>
      </c>
      <c r="C4696" s="3">
        <v>44541.935393518521</v>
      </c>
      <c r="D4696" s="1" t="s">
        <v>9383</v>
      </c>
      <c r="E4696" s="1" t="str">
        <f ca="1">IFERROR(__xludf.DUMMYFUNCTION("GOOGLETRANSLATE(A1495 , ""tr"" , ""en"")"),"@drfahrettinkoca Is it even more salary for him in developed countries for him")</f>
        <v>@drfahrettinkoca Is it even more salary for him in developed countries for him</v>
      </c>
    </row>
    <row r="4697" spans="1:5" ht="15" customHeight="1" x14ac:dyDescent="0.2">
      <c r="A4697" s="1" t="s">
        <v>9384</v>
      </c>
      <c r="B4697" s="1">
        <v>1</v>
      </c>
      <c r="C4697" s="3">
        <v>44541.934999999998</v>
      </c>
      <c r="D4697" s="1" t="s">
        <v>9385</v>
      </c>
      <c r="E4697" s="1" t="str">
        <f ca="1">IFERROR(__xludf.DUMMYFUNCTION("GOOGLETRANSLATE(A1496 , ""tr"" , ""en"")"),"@drfahrettinka https://t.co/wnme6rgve8")</f>
        <v>@drfahrettinka https://t.co/wnme6rgve8</v>
      </c>
    </row>
    <row r="4698" spans="1:5" ht="15" customHeight="1" x14ac:dyDescent="0.2">
      <c r="A4698" s="1" t="s">
        <v>9386</v>
      </c>
      <c r="B4698" s="1">
        <v>0</v>
      </c>
      <c r="C4698" s="3">
        <v>44541.934837962966</v>
      </c>
      <c r="D4698" s="1" t="s">
        <v>9387</v>
      </c>
      <c r="E4698" s="1" t="str">
        <f ca="1">IFERROR(__xludf.DUMMYFUNCTION("GOOGLETRANSLATE(A1497 , ""tr"" , ""en"")"),"@drfahrettinkoca country did you leave a doctor in the country, as long as there are such types that do not deserve the location as you are ... https://t.co/pf93fzmfry")</f>
        <v>@drfahrettinkoca country did you leave a doctor in the country, as long as there are such types that do not deserve the location as you are ... https://t.co/pf93fzmfry</v>
      </c>
    </row>
    <row r="4699" spans="1:5" ht="15" customHeight="1" x14ac:dyDescent="0.2">
      <c r="A4699" s="1" t="s">
        <v>9388</v>
      </c>
      <c r="B4699" s="1">
        <v>0</v>
      </c>
      <c r="C4699" s="3">
        <v>44541.934629629628</v>
      </c>
      <c r="D4699" s="1" t="s">
        <v>9389</v>
      </c>
      <c r="E4699" s="1" t="str">
        <f ca="1">IFERROR(__xludf.DUMMYFUNCTION("GOOGLETRANSLATE(A1498 , ""tr"" , ""en"")"),"@drfahrettinkoca # Birbakan40kocayalan")</f>
        <v>@drfahrettinkoca # Birbakan40kocayalan</v>
      </c>
    </row>
    <row r="4700" spans="1:5" ht="15" customHeight="1" x14ac:dyDescent="0.2">
      <c r="A4700" s="1" t="s">
        <v>9390</v>
      </c>
      <c r="B4700" s="1">
        <v>2</v>
      </c>
      <c r="C4700" s="3">
        <v>44541.934560185182</v>
      </c>
      <c r="D4700" s="1" t="s">
        <v>9391</v>
      </c>
      <c r="E4700" s="1" t="str">
        <f ca="1">IFERROR(__xludf.DUMMYFUNCTION("GOOGLETRANSLATE(A1499 , ""tr"" , ""en"")"),"@drfahrettinkoca has a news that he has been taken back to the Retired Hike Energy Commission. The accepted item is my knows ... https://t.co/au04rtwqx7")</f>
        <v>@drfahrettinkoca has a news that he has been taken back to the Retired Hike Energy Commission. The accepted item is my knows ... https://t.co/au04rtwqx7</v>
      </c>
    </row>
    <row r="4701" spans="1:5" ht="15" customHeight="1" x14ac:dyDescent="0.2">
      <c r="A4701" s="1" t="s">
        <v>9392</v>
      </c>
      <c r="B4701" s="1">
        <v>9</v>
      </c>
      <c r="C4701" s="3">
        <v>44541.930891203701</v>
      </c>
      <c r="D4701" s="1" t="s">
        <v>9393</v>
      </c>
      <c r="E4701" s="1" t="str">
        <f ca="1">IFERROR(__xludf.DUMMYFUNCTION("GOOGLETRANSLATE(A1500 , ""tr"" , ""en"")"),"@drfahrettinkoca he is not valid for all. Pharmaceutical and vaccine companies are unable to fund. Hippocratic feed ... https://t.co/ex6mqggx7z")</f>
        <v>@drfahrettinkoca he is not valid for all. Pharmaceutical and vaccine companies are unable to fund. Hippocratic feed ... https://t.co/ex6mqggx7z</v>
      </c>
    </row>
    <row r="4702" spans="1:5" ht="15" customHeight="1" x14ac:dyDescent="0.2">
      <c r="A4702" s="1" t="s">
        <v>9394</v>
      </c>
      <c r="B4702" s="1">
        <v>0</v>
      </c>
      <c r="C4702" s="3">
        <v>44541.930671296293</v>
      </c>
      <c r="D4702" s="1" t="s">
        <v>9395</v>
      </c>
      <c r="E4702" s="1" t="str">
        <f ca="1">IFERROR(__xludf.DUMMYFUNCTION("GOOGLETRANSLATE(A1501 , ""tr"" , ""en"")"),"@drfahrettinkoca is the most beautiful Susan, a trained unscrupulous flock that is not removing the slaughter money for money. May all your pity.")</f>
        <v>@drfahrettinkoca is the most beautiful Susan, a trained unscrupulous flock that is not removing the slaughter money for money. May all your pity.</v>
      </c>
    </row>
    <row r="4703" spans="1:5" ht="15" customHeight="1" x14ac:dyDescent="0.2">
      <c r="A4703" s="1" t="s">
        <v>9396</v>
      </c>
      <c r="B4703" s="1">
        <v>5</v>
      </c>
      <c r="C4703" s="3">
        <v>44541.930011574077</v>
      </c>
      <c r="D4703" s="1" t="s">
        <v>9397</v>
      </c>
      <c r="E4703" s="1" t="str">
        <f ca="1">IFERROR(__xludf.DUMMYFUNCTION("GOOGLETRANSLATE(A1502 , ""tr"" , ""en"")"),"@drfahrettinkoca especially ""Emergency Doctors and Assistant Dr.S"" When Irresistible Seizure Times are reduced to the seizure paral ... https://t.co/g1vwpp2xq3")</f>
        <v>@drfahrettinkoca especially "Emergency Doctors and Assistant Dr.S" When Irresistible Seizure Times are reduced to the seizure paral ... https://t.co/g1vwpp2xq3</v>
      </c>
    </row>
    <row r="4704" spans="1:5" ht="15" customHeight="1" x14ac:dyDescent="0.2">
      <c r="A4704" s="1" t="s">
        <v>9398</v>
      </c>
      <c r="B4704" s="1">
        <v>0</v>
      </c>
      <c r="C4704" s="3">
        <v>44541.929918981485</v>
      </c>
      <c r="D4704" s="1" t="s">
        <v>9399</v>
      </c>
      <c r="E4704" s="1" t="str">
        <f ca="1">IFERROR(__xludf.DUMMYFUNCTION("GOOGLETRANSLATE(A1503 , ""tr"" , ""en"")"),"@drfahrettinkoca eee the result is something to be done?")</f>
        <v>@drfahrettinkoca eee the result is something to be done?</v>
      </c>
    </row>
    <row r="4705" spans="1:5" ht="15" customHeight="1" x14ac:dyDescent="0.2">
      <c r="A4705" s="1" t="s">
        <v>9400</v>
      </c>
      <c r="B4705" s="1">
        <v>2</v>
      </c>
      <c r="C4705" s="3">
        <v>44541.929189814815</v>
      </c>
      <c r="D4705" s="1" t="s">
        <v>9401</v>
      </c>
      <c r="E4705" s="1" t="str">
        <f ca="1">IFERROR(__xludf.DUMMYFUNCTION("GOOGLETRANSLATE(A1504 , ""tr"" , ""en"")"),"@drfahrettinkoca Link Click on the page. https://t.co/qovkqd5jng")</f>
        <v>@drfahrettinkoca Link Click on the page. https://t.co/qovkqd5jng</v>
      </c>
    </row>
    <row r="4706" spans="1:5" ht="15" customHeight="1" x14ac:dyDescent="0.2">
      <c r="A4706" s="1" t="s">
        <v>9402</v>
      </c>
      <c r="B4706" s="1">
        <v>1</v>
      </c>
      <c r="C4706" s="3">
        <v>44541.928599537037</v>
      </c>
      <c r="D4706" s="1" t="s">
        <v>9403</v>
      </c>
      <c r="E4706" s="1" t="str">
        <f ca="1">IFERROR(__xludf.DUMMYFUNCTION("GOOGLETRANSLATE(A1505 , ""tr"" , ""en"")"),"COVID results were published in @drfahrettinkoca 🤔almania. The rate of death from the disease is at 1 million ... https://t.co/jtwe0pkpbn")</f>
        <v>COVID results were published in @drfahrettinkoca 🤔almania. The rate of death from the disease is at 1 million ... https://t.co/jtwe0pkpbn</v>
      </c>
    </row>
    <row r="4707" spans="1:5" ht="15" customHeight="1" x14ac:dyDescent="0.2">
      <c r="A4707" s="1" t="s">
        <v>9404</v>
      </c>
      <c r="B4707" s="1">
        <v>1</v>
      </c>
      <c r="C4707" s="3">
        <v>44541.928587962961</v>
      </c>
      <c r="D4707" s="1" t="s">
        <v>9405</v>
      </c>
      <c r="E4707" s="1" t="str">
        <f ca="1">IFERROR(__xludf.DUMMYFUNCTION("GOOGLETRANSLATE(A1506 , ""tr"" , ""en"")"),"@drfahrettinkoca that's in the film board?")</f>
        <v>@drfahrettinkoca that's in the film board?</v>
      </c>
    </row>
    <row r="4708" spans="1:5" ht="15" customHeight="1" x14ac:dyDescent="0.2">
      <c r="A4708" s="1" t="s">
        <v>9406</v>
      </c>
      <c r="B4708" s="1">
        <v>0</v>
      </c>
      <c r="C4708" s="3">
        <v>44541.928298611114</v>
      </c>
      <c r="D4708" s="1" t="s">
        <v>9407</v>
      </c>
      <c r="E4708" s="1" t="str">
        <f ca="1">IFERROR(__xludf.DUMMYFUNCTION("GOOGLETRANSLATE(A1507 , ""tr"" , ""en"")"),"@drfahrettinka https://t.co/l3tl5xa9vt")</f>
        <v>@drfahrettinka https://t.co/l3tl5xa9vt</v>
      </c>
    </row>
    <row r="4709" spans="1:5" ht="15" customHeight="1" x14ac:dyDescent="0.2">
      <c r="A4709" s="1" t="s">
        <v>9408</v>
      </c>
      <c r="B4709" s="1">
        <v>59</v>
      </c>
      <c r="C4709" s="3">
        <v>44541.926354166666</v>
      </c>
      <c r="D4709" s="1" t="s">
        <v>9409</v>
      </c>
      <c r="E4709" s="1" t="str">
        <f ca="1">IFERROR(__xludf.DUMMYFUNCTION("GOOGLETRANSLATE(A1508 , ""tr"" , ""en"")"),"@drfahrettinkoca alone is more sad as they look under the following message and pessimizing people! Why is this hostility he ... https://t.co/lxdxswm5mc")</f>
        <v>@drfahrettinkoca alone is more sad as they look under the following message and pessimizing people! Why is this hostility he ... https://t.co/lxdxswm5mc</v>
      </c>
    </row>
    <row r="4710" spans="1:5" ht="15" customHeight="1" x14ac:dyDescent="0.2">
      <c r="A4710" s="1" t="s">
        <v>9410</v>
      </c>
      <c r="B4710" s="1">
        <v>0</v>
      </c>
      <c r="C4710" s="3">
        <v>44541.92596064815</v>
      </c>
      <c r="D4710" s="1" t="s">
        <v>9411</v>
      </c>
      <c r="E4710" s="1" t="str">
        <f ca="1">IFERROR(__xludf.DUMMYFUNCTION("GOOGLETRANSLATE(A1509 , ""tr"" , ""en"")"),"@drfahrettinkoca Tradrew mouth, Did the Ministry fell on my friend? Even though we don't even praise our doctors. But ... https://t.co/XJI4R7Twuj")</f>
        <v>@drfahrettinkoca Tradrew mouth, Did the Ministry fell on my friend? Even though we don't even praise our doctors. But ... https://t.co/XJI4R7Twuj</v>
      </c>
    </row>
    <row r="4711" spans="1:5" ht="15" customHeight="1" x14ac:dyDescent="0.2">
      <c r="A4711" s="1" t="s">
        <v>9412</v>
      </c>
      <c r="B4711" s="1">
        <v>0</v>
      </c>
      <c r="C4711" s="3">
        <v>44541.925891203704</v>
      </c>
      <c r="D4711" s="1" t="s">
        <v>9413</v>
      </c>
      <c r="E4711" s="1" t="str">
        <f ca="1">IFERROR(__xludf.DUMMYFUNCTION("GOOGLETRANSLATE(A1510 , ""tr"" , ""en"")"),"@drfahrettinkoca go to the richest countries? Your award? The US Europe and the Arab world.")</f>
        <v>@drfahrettinkoca go to the richest countries? Your award? The US Europe and the Arab world.</v>
      </c>
    </row>
    <row r="4712" spans="1:5" ht="15" customHeight="1" x14ac:dyDescent="0.2">
      <c r="A4712" s="1" t="s">
        <v>9414</v>
      </c>
      <c r="B4712" s="1">
        <v>2</v>
      </c>
      <c r="C4712" s="3">
        <v>44541.925810185188</v>
      </c>
      <c r="D4712" s="1" t="s">
        <v>9415</v>
      </c>
      <c r="E4712" s="1" t="str">
        <f ca="1">IFERROR(__xludf.DUMMYFUNCTION("GOOGLETRANSLATE(A1511 , ""tr"" , ""en"")"),"@drfahrettinkoca lying stats https://t.co/zlm5o4lbex")</f>
        <v>@drfahrettinkoca lying stats https://t.co/zlm5o4lbex</v>
      </c>
    </row>
    <row r="4713" spans="1:5" ht="15" customHeight="1" x14ac:dyDescent="0.2">
      <c r="A4713" s="1" t="s">
        <v>9416</v>
      </c>
      <c r="B4713" s="1">
        <v>0</v>
      </c>
      <c r="C4713" s="3">
        <v>44541.925370370373</v>
      </c>
      <c r="D4713" s="1" t="s">
        <v>9417</v>
      </c>
      <c r="E4713" s="1" t="str">
        <f ca="1">IFERROR(__xludf.DUMMYFUNCTION("GOOGLETRANSLATE(A1512 , ""tr"" , ""en"")"),"@drfahrettinkoca Turkey Physician has no news of me.")</f>
        <v>@drfahrettinkoca Turkey Physician has no news of me.</v>
      </c>
    </row>
    <row r="4714" spans="1:5" ht="15" customHeight="1" x14ac:dyDescent="0.2">
      <c r="A4714" s="1" t="s">
        <v>9418</v>
      </c>
      <c r="B4714" s="1">
        <v>33</v>
      </c>
      <c r="C4714" s="3">
        <v>44541.923611111109</v>
      </c>
      <c r="D4714" s="1" t="s">
        <v>9419</v>
      </c>
      <c r="E4714" s="1" t="str">
        <f ca="1">IFERROR(__xludf.DUMMYFUNCTION("GOOGLETRANSLATE(A1513 , ""tr"" , ""en"")"),"@drfahrettinkoca Ministry We have now become such that we are unable to grow money even to the carer. Bi ... https://t.co/0payhcnzii")</f>
        <v>@drfahrettinkoca Ministry We have now become such that we are unable to grow money even to the carer. Bi ... https://t.co/0payhcnzii</v>
      </c>
    </row>
    <row r="4715" spans="1:5" ht="15" customHeight="1" x14ac:dyDescent="0.2">
      <c r="A4715" s="1" t="s">
        <v>9420</v>
      </c>
      <c r="B4715" s="1">
        <v>0</v>
      </c>
      <c r="C4715" s="3">
        <v>44541.923356481479</v>
      </c>
      <c r="D4715" s="1" t="s">
        <v>9421</v>
      </c>
      <c r="E4715" s="1" t="str">
        <f ca="1">IFERROR(__xludf.DUMMYFUNCTION("GOOGLETRANSLATE(A1514 , ""tr"" , ""en"")"),"@drfahrettinka https://t.co/ytxgy86de1")</f>
        <v>@drfahrettinka https://t.co/ytxgy86de1</v>
      </c>
    </row>
    <row r="4716" spans="1:5" ht="15" customHeight="1" x14ac:dyDescent="0.2">
      <c r="A4716" s="1" t="s">
        <v>9422</v>
      </c>
      <c r="B4716" s="1">
        <v>0</v>
      </c>
      <c r="C4716" s="3">
        <v>44541.92260416667</v>
      </c>
      <c r="D4716" s="1" t="s">
        <v>9423</v>
      </c>
      <c r="E4716" s="1" t="str">
        <f ca="1">IFERROR(__xludf.DUMMYFUNCTION("GOOGLETRANSLATE(A1515 , ""tr"" , ""en"")"),"@drfahrettinka practitioner is receiving 500 euros salary in Turkey. If he goes to Germany to fold the paycheck. That is young ... https://t.co/5vxl9kjn45")</f>
        <v>@drfahrettinka practitioner is receiving 500 euros salary in Turkey. If he goes to Germany to fold the paycheck. That is young ... https://t.co/5vxl9kjn45</v>
      </c>
    </row>
    <row r="4717" spans="1:5" ht="15" customHeight="1" x14ac:dyDescent="0.2">
      <c r="A4717" s="1" t="s">
        <v>9424</v>
      </c>
      <c r="B4717" s="1">
        <v>0</v>
      </c>
      <c r="C4717" s="3">
        <v>44541.922199074077</v>
      </c>
      <c r="D4717" s="1" t="s">
        <v>9425</v>
      </c>
      <c r="E4717" s="1" t="str">
        <f ca="1">IFERROR(__xludf.DUMMYFUNCTION("GOOGLETRANSLATE(A1516 , ""tr"" , ""en"")"),"@drfahrettinkoca eee madem if they don't go so 🤔 🤔")</f>
        <v>@drfahrettinkoca eee madem if they don't go so 🤔 🤔</v>
      </c>
    </row>
    <row r="4718" spans="1:5" ht="15" customHeight="1" x14ac:dyDescent="0.2">
      <c r="A4718" s="1" t="s">
        <v>9426</v>
      </c>
      <c r="B4718" s="1">
        <v>0</v>
      </c>
      <c r="C4718" s="3">
        <v>44541.921585648146</v>
      </c>
      <c r="D4718" s="1" t="s">
        <v>9427</v>
      </c>
      <c r="E4718" s="1" t="str">
        <f ca="1">IFERROR(__xludf.DUMMYFUNCTION("GOOGLETRANSLATE(A1517 , ""tr"" , ""en"")"),"@drfahrettinkoca :)")</f>
        <v>@drfahrettinkoca :)</v>
      </c>
    </row>
    <row r="4719" spans="1:5" ht="15" customHeight="1" x14ac:dyDescent="0.2">
      <c r="A4719" s="1" t="s">
        <v>9428</v>
      </c>
      <c r="B4719" s="1">
        <v>0</v>
      </c>
      <c r="C4719" s="3">
        <v>44541.921030092592</v>
      </c>
      <c r="D4719" s="1" t="s">
        <v>9429</v>
      </c>
      <c r="E4719" s="1" t="str">
        <f ca="1">IFERROR(__xludf.DUMMYFUNCTION("GOOGLETRANSLATE(A1518 , ""tr"" , ""en"")"),"@drfahrettinkoca Valla Don't forget this overlooking this!")</f>
        <v>@drfahrettinkoca Valla Don't forget this overlooking this!</v>
      </c>
    </row>
    <row r="4720" spans="1:5" ht="15" customHeight="1" x14ac:dyDescent="0.2">
      <c r="A4720" s="1" t="s">
        <v>9430</v>
      </c>
      <c r="B4720" s="1">
        <v>1</v>
      </c>
      <c r="C4720" s="3">
        <v>44541.920740740738</v>
      </c>
      <c r="D4720" s="1" t="s">
        <v>9431</v>
      </c>
      <c r="E4720" s="1" t="str">
        <f ca="1">IFERROR(__xludf.DUMMYFUNCTION("GOOGLETRANSLATE(A1519 , ""tr"" , ""en"")"),"@drfahrettinkoca omicrona How to get in Turkey in Turkey? Don't you want to test in the country?")</f>
        <v>@drfahrettinkoca omicrona How to get in Turkey in Turkey? Don't you want to test in the country?</v>
      </c>
    </row>
    <row r="4721" spans="1:5" ht="15" customHeight="1" x14ac:dyDescent="0.2">
      <c r="A4721" s="1" t="s">
        <v>9432</v>
      </c>
      <c r="B4721" s="1">
        <v>7</v>
      </c>
      <c r="C4721" s="3">
        <v>44541.919907407406</v>
      </c>
      <c r="D4721" s="1" t="s">
        <v>9433</v>
      </c>
      <c r="E4721" s="1" t="str">
        <f ca="1">IFERROR(__xludf.DUMMYFUNCTION("GOOGLETRANSLATE(A1520 , ""tr"" , ""en"")"),"@drfahrettinkoca we know. The rights are not paid and not to pay on course. Terms of paying their rights is good ... https://t.co/f1c8I0g1fs")</f>
        <v>@drfahrettinkoca we know. The rights are not paid and not to pay on course. Terms of paying their rights is good ... https://t.co/f1c8I0g1fs</v>
      </c>
    </row>
    <row r="4722" spans="1:5" ht="15" customHeight="1" x14ac:dyDescent="0.2">
      <c r="A4722" s="1" t="s">
        <v>9434</v>
      </c>
      <c r="B4722" s="1">
        <v>0</v>
      </c>
      <c r="C4722" s="3">
        <v>44541.917615740742</v>
      </c>
      <c r="D4722" s="1" t="s">
        <v>9435</v>
      </c>
      <c r="E4722" s="1" t="str">
        <f ca="1">IFERROR(__xludf.DUMMYFUNCTION("GOOGLETRANSLATE(A1521 , ""tr"" , ""en"")"),"@drfahrettinkoca 👏👏👏👏👏👏")</f>
        <v>@drfahrettinkoca 👏👏👏👏👏👏</v>
      </c>
    </row>
    <row r="4723" spans="1:5" ht="15" customHeight="1" x14ac:dyDescent="0.2">
      <c r="A4723" s="1" t="s">
        <v>9436</v>
      </c>
      <c r="B4723" s="1">
        <v>6</v>
      </c>
      <c r="C4723" s="3">
        <v>44541.917569444442</v>
      </c>
      <c r="D4723" s="1" t="s">
        <v>9437</v>
      </c>
      <c r="E4723" s="1" t="str">
        <f ca="1">IFERROR(__xludf.DUMMYFUNCTION("GOOGLETRANSLATE(A1522 , ""tr"" , ""en"")"),"@drfahrettinkoca Mr. Minister, (Asli Element of Health Workers, the fame of our valuable physicians of the main locomotive ... https://t.co/sdoulohcrc")</f>
        <v>@drfahrettinkoca Mr. Minister, (Asli Element of Health Workers, the fame of our valuable physicians of the main locomotive ... https://t.co/sdoulohcrc</v>
      </c>
    </row>
    <row r="4724" spans="1:5" ht="15" customHeight="1" x14ac:dyDescent="0.2">
      <c r="A4724" s="1" t="s">
        <v>9438</v>
      </c>
      <c r="B4724" s="1">
        <v>1</v>
      </c>
      <c r="C4724" s="3">
        <v>44541.917256944442</v>
      </c>
      <c r="D4724" s="1" t="s">
        <v>9439</v>
      </c>
      <c r="E4724" s="1" t="str">
        <f ca="1">IFERROR(__xludf.DUMMYFUNCTION("GOOGLETRANSLATE(A1523 , ""tr"" , ""en"")"),"@drfahrettinka Do not break hope to be assigned to be assigned, do not break hope. For many branches ... https://t.co/quvkecjzq6")</f>
        <v>@drfahrettinka Do not break hope to be assigned to be assigned, do not break hope. For many branches ... https://t.co/quvkecjzq6</v>
      </c>
    </row>
    <row r="4725" spans="1:5" ht="15" customHeight="1" x14ac:dyDescent="0.2">
      <c r="A4725" s="1" t="s">
        <v>9440</v>
      </c>
      <c r="B4725" s="1">
        <v>0</v>
      </c>
      <c r="C4725" s="3">
        <v>44541.913506944446</v>
      </c>
      <c r="D4725" s="1" t="s">
        <v>9441</v>
      </c>
      <c r="E4725" s="1" t="str">
        <f ca="1">IFERROR(__xludf.DUMMYFUNCTION("GOOGLETRANSLATE(A1524 , ""tr"" , ""en"")"),"@drfahrettinkoca We will not forget an untrustworthy health minister like you Fahrettin husband own doctors ... https://t.co/g2ybekocb7")</f>
        <v>@drfahrettinkoca We will not forget an untrustworthy health minister like you Fahrettin husband own doctors ... https://t.co/g2ybekocb7</v>
      </c>
    </row>
    <row r="4726" spans="1:5" ht="15" customHeight="1" x14ac:dyDescent="0.2">
      <c r="A4726" s="1" t="s">
        <v>9442</v>
      </c>
      <c r="B4726" s="1">
        <v>0</v>
      </c>
      <c r="C4726" s="3">
        <v>44541.912754629629</v>
      </c>
      <c r="D4726" s="1" t="s">
        <v>9443</v>
      </c>
      <c r="E4726" s="1" t="str">
        <f ca="1">IFERROR(__xludf.DUMMYFUNCTION("GOOGLETRANSLATE(A1525 , ""tr"" , ""en"")"),"@drfahrettinkoca 2021 DE 40K Health Worker will be employed, you said that you have gone up to the expectation after 10Ks ... https://t.co/a6yuhks1jj")</f>
        <v>@drfahrettinkoca 2021 DE 40K Health Worker will be employed, you said that you have gone up to the expectation after 10Ks ... https://t.co/a6yuhks1jj</v>
      </c>
    </row>
    <row r="4727" spans="1:5" ht="15" customHeight="1" x14ac:dyDescent="0.2">
      <c r="A4727" s="1" t="s">
        <v>9444</v>
      </c>
      <c r="B4727" s="1">
        <v>9</v>
      </c>
      <c r="C4727" s="3">
        <v>44541.912754629629</v>
      </c>
      <c r="D4727" s="1" t="s">
        <v>9445</v>
      </c>
      <c r="E4727" s="1" t="str">
        <f ca="1">IFERROR(__xludf.DUMMYFUNCTION("GOOGLETRANSLATE(A1526 , ""tr"" , ""en"")"),"@drfahrettinkoca Yes, so are our physicians. Either other health workers? Once you get, just once sentence ... https://t.co/t04mcr9yy5")</f>
        <v>@drfahrettinkoca Yes, so are our physicians. Either other health workers? Once you get, just once sentence ... https://t.co/t04mcr9yy5</v>
      </c>
    </row>
    <row r="4728" spans="1:5" ht="15" customHeight="1" x14ac:dyDescent="0.2">
      <c r="A4728" s="1" t="s">
        <v>9446</v>
      </c>
      <c r="B4728" s="1">
        <v>0</v>
      </c>
      <c r="C4728" s="3">
        <v>44541.912592592591</v>
      </c>
      <c r="D4728" s="1" t="s">
        <v>9447</v>
      </c>
      <c r="E4728" s="1" t="str">
        <f ca="1">IFERROR(__xludf.DUMMYFUNCTION("GOOGLETRANSLATE(A1527 , ""tr"" , ""en"")"),"@drfahrettinkoca allah at the time of thesis let the healthcare rescue from you")</f>
        <v>@drfahrettinkoca allah at the time of thesis let the healthcare rescue from you</v>
      </c>
    </row>
    <row r="4729" spans="1:5" ht="15" customHeight="1" x14ac:dyDescent="0.2">
      <c r="A4729" s="1" t="s">
        <v>9448</v>
      </c>
      <c r="B4729" s="1">
        <v>0</v>
      </c>
      <c r="C4729" s="3">
        <v>44541.912256944444</v>
      </c>
      <c r="D4729" s="1" t="s">
        <v>9449</v>
      </c>
      <c r="E4729" s="1" t="str">
        <f ca="1">IFERROR(__xludf.DUMMYFUNCTION("GOOGLETRANSLATE(A1528 , ""tr"" , ""en"")"),"@drfahrettinkoca says very thankful. They are not sold to other countries")</f>
        <v>@drfahrettinkoca says very thankful. They are not sold to other countries</v>
      </c>
    </row>
    <row r="4730" spans="1:5" ht="15" customHeight="1" x14ac:dyDescent="0.2">
      <c r="A4730" s="1" t="s">
        <v>9450</v>
      </c>
      <c r="B4730" s="1">
        <v>5</v>
      </c>
      <c r="C4730" s="3">
        <v>44541.912199074075</v>
      </c>
      <c r="D4730" s="1" t="s">
        <v>9451</v>
      </c>
      <c r="E4730" s="1" t="str">
        <f ca="1">IFERROR(__xludf.DUMMYFUNCTION("GOOGLETRANSLATE(A1529 , ""tr"" , ""en"")"),"@drfahrettinkoca We do not know the value of our doctors in our country, most of them go to abroad.")</f>
        <v>@drfahrettinkoca We do not know the value of our doctors in our country, most of them go to abroad.</v>
      </c>
    </row>
    <row r="4731" spans="1:5" ht="15" customHeight="1" x14ac:dyDescent="0.2">
      <c r="A4731" s="1" t="s">
        <v>9452</v>
      </c>
      <c r="B4731" s="1">
        <v>1</v>
      </c>
      <c r="C4731" s="3">
        <v>44541.911689814813</v>
      </c>
      <c r="D4731" s="1" t="s">
        <v>9453</v>
      </c>
      <c r="E4731" s="1" t="str">
        <f ca="1">IFERROR(__xludf.DUMMYFUNCTION("GOOGLETRANSLATE(A1530 , ""tr"" , ""en"")"),"@drfahrettinkoca drop literature executed")</f>
        <v>@drfahrettinkoca drop literature executed</v>
      </c>
    </row>
    <row r="4732" spans="1:5" ht="15" customHeight="1" x14ac:dyDescent="0.2">
      <c r="A4732" s="1" t="s">
        <v>9454</v>
      </c>
      <c r="B4732" s="1">
        <v>0</v>
      </c>
      <c r="C4732" s="3">
        <v>44541.911597222221</v>
      </c>
      <c r="D4732" s="1" t="s">
        <v>9455</v>
      </c>
      <c r="E4732" s="1" t="str">
        <f ca="1">IFERROR(__xludf.DUMMYFUNCTION("GOOGLETRANSLATE(A1531 , ""tr"" , ""en"")"),"@drfahrettinkoca @drfahrettinkoca Do you answer if you are allowed.")</f>
        <v>@drfahrettinkoca @drfahrettinkoca Do you answer if you are allowed.</v>
      </c>
    </row>
    <row r="4733" spans="1:5" ht="15" customHeight="1" x14ac:dyDescent="0.2">
      <c r="A4733" s="1" t="s">
        <v>9456</v>
      </c>
      <c r="B4733" s="1">
        <v>0</v>
      </c>
      <c r="C4733" s="3">
        <v>44541.911423611113</v>
      </c>
      <c r="D4733" s="1" t="s">
        <v>9457</v>
      </c>
      <c r="E4733" s="1" t="str">
        <f ca="1">IFERROR(__xludf.DUMMYFUNCTION("GOOGLETRANSLATE(A1532 , ""tr"" , ""en"")"),"@drfahrettinka physician physician saying even in the health industry even in the health sector or at such a time ...... .............................. HTTPS://T.CO/WPGKA0Y2JR")</f>
        <v>@drfahrettinka physician physician saying even in the health industry even in the health sector or at such a time ...... .............................. HTTPS://T.CO/WPGKA0Y2JR</v>
      </c>
    </row>
    <row r="4734" spans="1:5" ht="15" customHeight="1" x14ac:dyDescent="0.2">
      <c r="A4734" s="1" t="s">
        <v>9458</v>
      </c>
      <c r="B4734" s="1">
        <v>0</v>
      </c>
      <c r="C4734" s="3">
        <v>44541.909814814811</v>
      </c>
      <c r="D4734" s="1" t="s">
        <v>9459</v>
      </c>
      <c r="E4734" s="1" t="str">
        <f ca="1">IFERROR(__xludf.DUMMYFUNCTION("GOOGLETRANSLATE(A1533 , ""tr"" , ""en"")"),"@drfahrettinkoca Did you listen to the dollar song? You can support me as subscriber to my channel. : D https://t.co/witcox1pcj")</f>
        <v>@drfahrettinkoca Did you listen to the dollar song? You can support me as subscriber to my channel. : D https://t.co/witcox1pcj</v>
      </c>
    </row>
    <row r="4735" spans="1:5" ht="15" customHeight="1" x14ac:dyDescent="0.2">
      <c r="A4735" s="1" t="s">
        <v>9460</v>
      </c>
      <c r="B4735" s="1">
        <v>0</v>
      </c>
      <c r="C4735" s="3">
        <v>44541.909756944442</v>
      </c>
      <c r="D4735" s="1" t="s">
        <v>9461</v>
      </c>
      <c r="E4735" s="1" t="str">
        <f ca="1">IFERROR(__xludf.DUMMYFUNCTION("GOOGLETRANSLATE(A1534 , ""tr"" , ""en"")"),"@drfahrettinkoca has plunged so much healthcare to abroad that healthpieces have to know")</f>
        <v>@drfahrettinkoca has plunged so much healthcare to abroad that healthpieces have to know</v>
      </c>
    </row>
    <row r="4736" spans="1:5" ht="15" customHeight="1" x14ac:dyDescent="0.2">
      <c r="A4736" s="1" t="s">
        <v>9462</v>
      </c>
      <c r="B4736" s="1">
        <v>0</v>
      </c>
      <c r="C4736" s="3">
        <v>44541.909537037034</v>
      </c>
      <c r="D4736" s="1" t="s">
        <v>9463</v>
      </c>
      <c r="E4736" s="1" t="str">
        <f ca="1">IFERROR(__xludf.DUMMYFUNCTION("GOOGLETRANSLATE(A1535 , ""tr"" , ""en"")"),"@drfahrettinkoca folks Do not be afraid of micron gelmis diyos. DUSURTS BELFICIALLY. Be awaken")</f>
        <v>@drfahrettinkoca folks Do not be afraid of micron gelmis diyos. DUSURTS BELFICIALLY. Be awaken</v>
      </c>
    </row>
    <row r="4737" spans="1:5" ht="15" customHeight="1" x14ac:dyDescent="0.2">
      <c r="A4737" s="1" t="s">
        <v>9464</v>
      </c>
      <c r="B4737" s="1">
        <v>0</v>
      </c>
      <c r="C4737" s="3">
        <v>44541.909375000003</v>
      </c>
      <c r="D4737" s="1" t="s">
        <v>9465</v>
      </c>
      <c r="E4737" s="1" t="str">
        <f ca="1">IFERROR(__xludf.DUMMYFUNCTION("GOOGLETRANSLATE(A1536 , ""tr"" , ""en"")"),"@drfahrettinkoca then why don't you get the squad where to do it in 2018 Called Circle !!")</f>
        <v>@drfahrettinkoca then why don't you get the squad where to do it in 2018 Called Circle !!</v>
      </c>
    </row>
    <row r="4738" spans="1:5" ht="15" customHeight="1" x14ac:dyDescent="0.2">
      <c r="A4738" s="1" t="s">
        <v>9466</v>
      </c>
      <c r="B4738" s="1">
        <v>0</v>
      </c>
      <c r="C4738" s="3">
        <v>44541.907349537039</v>
      </c>
      <c r="D4738" s="1" t="s">
        <v>9467</v>
      </c>
      <c r="E4738" s="1" t="str">
        <f ca="1">IFERROR(__xludf.DUMMYFUNCTION("GOOGLETRANSLATE(A1537 , ""tr"" , ""en"")"),"@drfahrettinkoca Mr. Minister Binbin Paramedic Atamassan you no village No Akp Yese NO AKPLII")</f>
        <v>@drfahrettinkoca Mr. Minister Binbin Paramedic Atamassan you no village No Akp Yese NO AKPLII</v>
      </c>
    </row>
    <row r="4739" spans="1:5" ht="15" customHeight="1" x14ac:dyDescent="0.2">
      <c r="A4739" s="1" t="s">
        <v>9468</v>
      </c>
      <c r="B4739" s="1">
        <v>0</v>
      </c>
      <c r="C4739" s="3">
        <v>44541.907222222224</v>
      </c>
      <c r="D4739" s="1" t="s">
        <v>9469</v>
      </c>
      <c r="E4739" s="1" t="str">
        <f ca="1">IFERROR(__xludf.DUMMYFUNCTION("GOOGLETRANSLATE(A1538 , ""tr"" , ""en"")"),"@drfahrettinkoca is in danger #casaltmaducation")</f>
        <v>@drfahrettinkoca is in danger #casaltmaducation</v>
      </c>
    </row>
    <row r="4740" spans="1:5" ht="15" customHeight="1" x14ac:dyDescent="0.2">
      <c r="A4740" s="1" t="s">
        <v>9470</v>
      </c>
      <c r="B4740" s="1">
        <v>1</v>
      </c>
      <c r="C4740" s="3">
        <v>44541.90697916667</v>
      </c>
      <c r="D4740" s="1" t="s">
        <v>9471</v>
      </c>
      <c r="E4740" s="1" t="str">
        <f ca="1">IFERROR(__xludf.DUMMYFUNCTION("GOOGLETRANSLATE(A1539 , ""tr"" , ""en"")"),"@drfahrettinkoca Nasipse We are working in German as well as a physician in my wife. Everything with our marriage ... https://t.co/xsv1i4mefk")</f>
        <v>@drfahrettinkoca Nasipse We are working in German as well as a physician in my wife. Everything with our marriage ... https://t.co/xsv1i4mefk</v>
      </c>
    </row>
    <row r="4741" spans="1:5" ht="15" customHeight="1" x14ac:dyDescent="0.2">
      <c r="A4741" s="1" t="s">
        <v>9472</v>
      </c>
      <c r="B4741" s="1">
        <v>0</v>
      </c>
      <c r="C4741" s="3">
        <v>44541.906875000001</v>
      </c>
      <c r="D4741" s="1" t="s">
        <v>9473</v>
      </c>
      <c r="E4741" s="1" t="str">
        <f ca="1">IFERROR(__xludf.DUMMYFUNCTION("GOOGLETRANSLATE(A1540 , ""tr"" , ""en"")"),"@drfahrettinkoca is the case if the economy goes. There will be one smart man in the hometown. Socialogy is about to be disrupted. Mille ... https://t.co/dwha9ffai")</f>
        <v>@drfahrettinkoca is the case if the economy goes. There will be one smart man in the hometown. Socialogy is about to be disrupted. Mille ... https://t.co/dwha9ffai</v>
      </c>
    </row>
    <row r="4742" spans="1:5" ht="15" customHeight="1" x14ac:dyDescent="0.2">
      <c r="A4742" s="1" t="s">
        <v>9474</v>
      </c>
      <c r="B4742" s="1">
        <v>0</v>
      </c>
      <c r="C4742" s="3">
        <v>44541.906851851854</v>
      </c>
      <c r="D4742" s="1" t="s">
        <v>9475</v>
      </c>
      <c r="E4742" s="1" t="str">
        <f ca="1">IFERROR(__xludf.DUMMYFUNCTION("GOOGLETRANSLATE(A1541 , ""tr"" , ""en"")"),"@drfahrettinkoca * DOMBRA Did you listen to the Finland version? You can support me as subscribing to my channel. * 🥰 https://t.co/nxtxtqpe2l")</f>
        <v>@drfahrettinkoca * DOMBRA Did you listen to the Finland version? You can support me as subscribing to my channel. * 🥰 https://t.co/nxtxtqpe2l</v>
      </c>
    </row>
    <row r="4743" spans="1:5" ht="15" customHeight="1" x14ac:dyDescent="0.2">
      <c r="A4743" s="1" t="s">
        <v>9476</v>
      </c>
      <c r="B4743" s="1">
        <v>1</v>
      </c>
      <c r="C4743" s="3">
        <v>44541.906180555554</v>
      </c>
      <c r="D4743" s="1" t="s">
        <v>9477</v>
      </c>
      <c r="E4743" s="1" t="str">
        <f ca="1">IFERROR(__xludf.DUMMYFUNCTION("GOOGLETRANSLATE(A1542 , ""tr"" , ""en"")"),"@drfahrettinkoca Unfortunately your measures are a measure that even if the seller is to be taken when the eye is not taken, the imports you are doing again ... https://t.co/pfxaxxezxy")</f>
        <v>@drfahrettinkoca Unfortunately your measures are a measure that even if the seller is to be taken when the eye is not taken, the imports you are doing again ... https://t.co/pfxaxxezxy</v>
      </c>
    </row>
    <row r="4744" spans="1:5" ht="15" customHeight="1" x14ac:dyDescent="0.2">
      <c r="A4744" s="1" t="s">
        <v>9478</v>
      </c>
      <c r="B4744" s="1">
        <v>0</v>
      </c>
      <c r="C4744" s="3">
        <v>44541.905960648146</v>
      </c>
      <c r="D4744" s="1" t="s">
        <v>9479</v>
      </c>
      <c r="E4744" s="1" t="str">
        <f ca="1">IFERROR(__xludf.DUMMYFUNCTION("GOOGLETRANSLATE(A1543 , ""tr"" , ""en"")"),"@drfahrettinkoca Mr. Ministry of Ministry of Universities Face of Education Fossess already 1 or several lessons please contact us ... https://t.co/noalmeynpw")</f>
        <v>@drfahrettinkoca Mr. Ministry of Ministry of Universities Face of Education Fossess already 1 or several lessons please contact us ... https://t.co/noalmeynpw</v>
      </c>
    </row>
    <row r="4745" spans="1:5" ht="15" customHeight="1" x14ac:dyDescent="0.2">
      <c r="A4745" s="1" t="s">
        <v>9480</v>
      </c>
      <c r="B4745" s="1">
        <v>0</v>
      </c>
      <c r="C4745" s="3">
        <v>44541.905335648145</v>
      </c>
      <c r="D4745" s="1" t="s">
        <v>9481</v>
      </c>
      <c r="E4745" s="1" t="str">
        <f ca="1">IFERROR(__xludf.DUMMYFUNCTION("GOOGLETRANSLATE(A1544 , ""tr"" , ""en"")"),"@drfahrettinkoca marketing souls na processed. The best ad will not be bad.")</f>
        <v>@drfahrettinkoca marketing souls na processed. The best ad will not be bad.</v>
      </c>
    </row>
    <row r="4746" spans="1:5" ht="15" customHeight="1" x14ac:dyDescent="0.2">
      <c r="A4746" s="1" t="s">
        <v>9482</v>
      </c>
      <c r="B4746" s="1">
        <v>0</v>
      </c>
      <c r="C4746" s="3">
        <v>44541.904074074075</v>
      </c>
      <c r="D4746" s="1" t="s">
        <v>9483</v>
      </c>
      <c r="E4746" s="1" t="str">
        <f ca="1">IFERROR(__xludf.DUMMYFUNCTION("GOOGLETRANSLATE(A1545 , ""tr"" , ""en"")"),"@drfahrettinkoca Turkey has seen the worst health minister and you are a liar. https://t.co/btxfthfz4h")</f>
        <v>@drfahrettinkoca Turkey has seen the worst health minister and you are a liar. https://t.co/btxfthfz4h</v>
      </c>
    </row>
    <row r="4747" spans="1:5" ht="15" customHeight="1" x14ac:dyDescent="0.2">
      <c r="A4747" s="1" t="s">
        <v>9484</v>
      </c>
      <c r="B4747" s="1">
        <v>0</v>
      </c>
      <c r="C4747" s="3">
        <v>44541.90247685185</v>
      </c>
      <c r="D4747" s="1" t="s">
        <v>9485</v>
      </c>
      <c r="E4747" s="1" t="str">
        <f ca="1">IFERROR(__xludf.DUMMYFUNCTION("GOOGLETRANSLATE(A1546 , ""tr"" , ""en"")"),"@drfahrettinkoca is for this reason that fixed payments are removed from the return capital and deducted us.")</f>
        <v>@drfahrettinkoca is for this reason that fixed payments are removed from the return capital and deducted us.</v>
      </c>
    </row>
    <row r="4748" spans="1:5" ht="15" customHeight="1" x14ac:dyDescent="0.2">
      <c r="A4748" s="1" t="s">
        <v>9486</v>
      </c>
      <c r="B4748" s="1">
        <v>0</v>
      </c>
      <c r="C4748" s="3">
        <v>44541.899930555555</v>
      </c>
      <c r="D4748" s="1" t="s">
        <v>9487</v>
      </c>
      <c r="E4748" s="1" t="str">
        <f ca="1">IFERROR(__xludf.DUMMYFUNCTION("GOOGLETRANSLATE(A1547 , ""tr"" , ""en"")"),"@drfahrettinka is the act of reducing the passive business to be given to the physicians. Foreign Center ... https://t.co/6syf5thhvq")</f>
        <v>@drfahrettinka is the act of reducing the passive business to be given to the physicians. Foreign Center ... https://t.co/6syf5thhvq</v>
      </c>
    </row>
    <row r="4749" spans="1:5" ht="15" customHeight="1" x14ac:dyDescent="0.2">
      <c r="A4749" s="1" t="s">
        <v>9488</v>
      </c>
      <c r="B4749" s="1">
        <v>0</v>
      </c>
      <c r="C4749" s="3">
        <v>44541.899861111109</v>
      </c>
      <c r="D4749" s="1" t="s">
        <v>9489</v>
      </c>
      <c r="E4749" s="1" t="str">
        <f ca="1">IFERROR(__xludf.DUMMYFUNCTION("GOOGLETRANSLATE(A1548 , ""tr"" , ""en"")"),"@drfahrettinkoca here restricting the restraints. Don't you have a review. Don't you get the vaccination? Why don't this style yo ... https://t.co/x83vzmmaof")</f>
        <v>@drfahrettinkoca here restricting the restraints. Don't you have a review. Don't you get the vaccination? Why don't this style yo ... https://t.co/x83vzmmaof</v>
      </c>
    </row>
    <row r="4750" spans="1:5" ht="15" customHeight="1" x14ac:dyDescent="0.2">
      <c r="A4750" s="1" t="s">
        <v>9490</v>
      </c>
      <c r="B4750" s="1">
        <v>0</v>
      </c>
      <c r="C4750" s="3">
        <v>44541.899629629632</v>
      </c>
      <c r="D4750" s="1" t="s">
        <v>9491</v>
      </c>
      <c r="E4750" s="1" t="str">
        <f ca="1">IFERROR(__xludf.DUMMYFUNCTION("GOOGLETRANSLATE(A1549 , ""tr"" , ""en"")"),"@drfahrettinkoca orders kulu")</f>
        <v>@drfahrettinkoca orders kulu</v>
      </c>
    </row>
    <row r="4751" spans="1:5" ht="15" customHeight="1" x14ac:dyDescent="0.2">
      <c r="A4751" s="1" t="s">
        <v>9492</v>
      </c>
      <c r="B4751" s="1">
        <v>1</v>
      </c>
      <c r="C4751" s="3">
        <v>44541.897592592592</v>
      </c>
      <c r="D4751" s="1" t="s">
        <v>9493</v>
      </c>
      <c r="E4751" s="1" t="str">
        <f ca="1">IFERROR(__xludf.DUMMYFUNCTION("GOOGLETRANSLATE(A1550 , ""tr"" , ""en"")"),"@drfahrettinkoca Which healthcareyer gives you the bi assignment after the following time I also divided him in the choice you will see you ... https://t.co/mywoeycdfj")</f>
        <v>@drfahrettinkoca Which healthcareyer gives you the bi assignment after the following time I also divided him in the choice you will see you ... https://t.co/mywoeycdfj</v>
      </c>
    </row>
    <row r="4752" spans="1:5" ht="15" customHeight="1" x14ac:dyDescent="0.2">
      <c r="A4752" s="1" t="s">
        <v>9494</v>
      </c>
      <c r="B4752" s="1">
        <v>0</v>
      </c>
      <c r="C4752" s="3">
        <v>44541.89744212963</v>
      </c>
      <c r="D4752" s="1" t="s">
        <v>9495</v>
      </c>
      <c r="E4752" s="1" t="str">
        <f ca="1">IFERROR(__xludf.DUMMYFUNCTION("GOOGLETRANSLATE(A1551 , ""tr"" , ""en"")"),"@drfahrettinkoca 2 Divide why I am minister to 12 months of the year You love to divide the assignment nor !!!")</f>
        <v>@drfahrettinkoca 2 Divide why I am minister to 12 months of the year You love to divide the assignment nor !!!</v>
      </c>
    </row>
    <row r="4753" spans="1:5" ht="15" customHeight="1" x14ac:dyDescent="0.2">
      <c r="A4753" s="1" t="s">
        <v>9496</v>
      </c>
      <c r="B4753" s="1">
        <v>1</v>
      </c>
      <c r="C4753" s="3">
        <v>44541.897129629629</v>
      </c>
      <c r="D4753" s="1" t="s">
        <v>9497</v>
      </c>
      <c r="E4753" s="1" t="str">
        <f ca="1">IFERROR(__xludf.DUMMYFUNCTION("GOOGLETRANSLATE(A1552 , ""tr"" , ""en"")"),"@drfahrettinkoca Which healthcare gives you the bi assignment after the following time I also divided him in the choice I will see you ... https://t.co/xsxbkn33fe")</f>
        <v>@drfahrettinkoca Which healthcare gives you the bi assignment after the following time I also divided him in the choice I will see you ... https://t.co/xsxbkn33fe</v>
      </c>
    </row>
    <row r="4754" spans="1:5" ht="15" customHeight="1" x14ac:dyDescent="0.2">
      <c r="A4754" s="1" t="s">
        <v>9498</v>
      </c>
      <c r="B4754" s="1">
        <v>0</v>
      </c>
      <c r="C4754" s="3">
        <v>44541.896874999999</v>
      </c>
      <c r="D4754" s="1" t="s">
        <v>9499</v>
      </c>
      <c r="E4754" s="1" t="str">
        <f ca="1">IFERROR(__xludf.DUMMYFUNCTION("GOOGLETRANSLATE(A1553 , ""tr"" , ""en"")"),"@drfahrettinka Mr. Do you have President? You started to shredd the minister to your mission ... https://t.co/seyaaqc0ye")</f>
        <v>@drfahrettinka Mr. Do you have President? You started to shredd the minister to your mission ... https://t.co/seyaaqc0ye</v>
      </c>
    </row>
    <row r="4755" spans="1:5" ht="15" customHeight="1" x14ac:dyDescent="0.2">
      <c r="A4755" s="1" t="s">
        <v>9500</v>
      </c>
      <c r="B4755" s="1">
        <v>1</v>
      </c>
      <c r="C4755" s="3">
        <v>44541.896226851852</v>
      </c>
      <c r="D4755" s="1" t="s">
        <v>9501</v>
      </c>
      <c r="E4755" s="1" t="str">
        <f ca="1">IFERROR(__xludf.DUMMYFUNCTION("GOOGLETRANSLATE(A1554 , ""tr"" , ""en"")"),"@drfahrettinka you do what you can to send too.")</f>
        <v>@drfahrettinka you do what you can to send too.</v>
      </c>
    </row>
    <row r="4756" spans="1:5" ht="15" customHeight="1" x14ac:dyDescent="0.2">
      <c r="A4756" s="1" t="s">
        <v>9502</v>
      </c>
      <c r="B4756" s="1">
        <v>0</v>
      </c>
      <c r="C4756" s="3">
        <v>44541.895949074074</v>
      </c>
      <c r="D4756" s="1" t="s">
        <v>9503</v>
      </c>
      <c r="E4756" s="1" t="str">
        <f ca="1">IFERROR(__xludf.DUMMYFUNCTION("GOOGLETRANSLATE(A1555 , ""tr"" , ""en"")"),"@drfahrettinkoca ""I'm calling from the hospital. You have complained 112. We are not interested in 112"" says. ""Heart Kr ... https://t.co/tmfsqc0hdb")</f>
        <v>@drfahrettinkoca "I'm calling from the hospital. You have complained 112. We are not interested in 112" says. "Heart Kr ... https://t.co/tmfsqc0hdb</v>
      </c>
    </row>
    <row r="4757" spans="1:5" ht="15" customHeight="1" x14ac:dyDescent="0.2">
      <c r="A4757" s="1" t="s">
        <v>9504</v>
      </c>
      <c r="B4757" s="1">
        <v>0</v>
      </c>
      <c r="C4757" s="3">
        <v>44541.895543981482</v>
      </c>
      <c r="D4757" s="1" t="s">
        <v>9505</v>
      </c>
      <c r="E4757" s="1" t="str">
        <f ca="1">IFERROR(__xludf.DUMMYFUNCTION("GOOGLETRANSLATE(A1556 , ""tr"" , ""en"")"),"@drfahrettinkoca your doctors in the cookers 5para")</f>
        <v>@drfahrettinkoca your doctors in the cookers 5para</v>
      </c>
    </row>
    <row r="4758" spans="1:5" ht="15" customHeight="1" x14ac:dyDescent="0.2">
      <c r="A4758" s="1" t="s">
        <v>9506</v>
      </c>
      <c r="B4758" s="1">
        <v>1</v>
      </c>
      <c r="C4758" s="3">
        <v>44541.893692129626</v>
      </c>
      <c r="D4758" s="1" t="s">
        <v>9507</v>
      </c>
      <c r="E4758" s="1" t="str">
        <f ca="1">IFERROR(__xludf.DUMMYFUNCTION("GOOGLETRANSLATE(A1557 , ""tr"" , ""en"")"),"@drfahrettinkoca very accurately detected what are you expected to make your requirement")</f>
        <v>@drfahrettinkoca very accurately detected what are you expected to make your requirement</v>
      </c>
    </row>
    <row r="4759" spans="1:5" ht="15" customHeight="1" x14ac:dyDescent="0.2">
      <c r="A4759" s="1" t="s">
        <v>9508</v>
      </c>
      <c r="B4759" s="1">
        <v>2</v>
      </c>
      <c r="C4759" s="3">
        <v>44541.893229166664</v>
      </c>
      <c r="D4759" s="1" t="s">
        <v>9509</v>
      </c>
      <c r="E4759" s="1" t="str">
        <f ca="1">IFERROR(__xludf.DUMMYFUNCTION("GOOGLETRANSLATE(A1558 , ""tr"" , ""en"")"),"@drfahrettinkoca yes they are avoiding the place they are not worth it..vee are so right ..")</f>
        <v>@drfahrettinkoca yes they are avoiding the place they are not worth it..vee are so right ..</v>
      </c>
    </row>
    <row r="4760" spans="1:5" ht="15" customHeight="1" x14ac:dyDescent="0.2">
      <c r="A4760" s="1" t="s">
        <v>9510</v>
      </c>
      <c r="B4760" s="1">
        <v>14</v>
      </c>
      <c r="C4760" s="3">
        <v>44541.89303240741</v>
      </c>
      <c r="D4760" s="1" t="s">
        <v>9511</v>
      </c>
      <c r="E4760" s="1" t="str">
        <f ca="1">IFERROR(__xludf.DUMMYFUNCTION("GOOGLETRANSLATE(A1559 , ""tr"" , ""en"")"),"@drfahrettinkoca Thousands of people staying in the dorms that the Omicron has come to everyone is emitted to everyone urgently distance education")</f>
        <v>@drfahrettinkoca Thousands of people staying in the dorms that the Omicron has come to everyone is emitted to everyone urgently distance education</v>
      </c>
    </row>
    <row r="4761" spans="1:5" ht="15" customHeight="1" x14ac:dyDescent="0.2">
      <c r="A4761" s="1" t="s">
        <v>9512</v>
      </c>
      <c r="B4761" s="1">
        <v>2</v>
      </c>
      <c r="C4761" s="3">
        <v>44541.892372685186</v>
      </c>
      <c r="D4761" s="1" t="s">
        <v>9513</v>
      </c>
      <c r="E4761" s="1" t="str">
        <f ca="1">IFERROR(__xludf.DUMMYFUNCTION("GOOGLETRANSLATE(A1560 , ""tr"" , ""en"")"),"@drfahrettinkoca Overlooking We're not realizing noble You are you forget your call")</f>
        <v>@drfahrettinkoca Overlooking We're not realizing noble You are you forget your call</v>
      </c>
    </row>
    <row r="4762" spans="1:5" ht="15" customHeight="1" x14ac:dyDescent="0.2">
      <c r="A4762" s="1" t="s">
        <v>9514</v>
      </c>
      <c r="B4762" s="1">
        <v>0</v>
      </c>
      <c r="C4762" s="3">
        <v>44541.891956018517</v>
      </c>
      <c r="D4762" s="1" t="s">
        <v>9515</v>
      </c>
      <c r="E4762" s="1" t="str">
        <f ca="1">IFERROR(__xludf.DUMMYFUNCTION("GOOGLETRANSLATE(A1561 , ""tr"" , ""en"")"),"@drfahrettinkoca sec Minister 3. If you hungry in the bangs, the bari has been hitting in the omicron while it is hitting it is a bother")</f>
        <v>@drfahrettinkoca sec Minister 3. If you hungry in the bangs, the bari has been hitting in the omicron while it is hitting it is a bother</v>
      </c>
    </row>
    <row r="4763" spans="1:5" ht="15" customHeight="1" x14ac:dyDescent="0.2">
      <c r="A4763" s="1" t="s">
        <v>9516</v>
      </c>
      <c r="B4763" s="1">
        <v>0</v>
      </c>
      <c r="C4763" s="3">
        <v>44541.891817129632</v>
      </c>
      <c r="D4763" s="1" t="s">
        <v>9517</v>
      </c>
      <c r="E4763" s="1" t="str">
        <f ca="1">IFERROR(__xludf.DUMMYFUNCTION("GOOGLETRANSLATE(A1562 , ""tr"" , ""en"")"),"@drfahrettinkoca is like this? https://t.co/m4roks1kvc")</f>
        <v>@drfahrettinkoca is like this? https://t.co/m4roks1kvc</v>
      </c>
    </row>
    <row r="4764" spans="1:5" ht="15" customHeight="1" x14ac:dyDescent="0.2">
      <c r="A4764" s="1" t="s">
        <v>9518</v>
      </c>
      <c r="B4764" s="1">
        <v>1</v>
      </c>
      <c r="C4764" s="3">
        <v>44541.891493055555</v>
      </c>
      <c r="D4764" s="1" t="s">
        <v>9519</v>
      </c>
      <c r="E4764" s="1" t="str">
        <f ca="1">IFERROR(__xludf.DUMMYFUNCTION("GOOGLETRANSLATE(A1563 , ""tr"" , ""en"")"),"@drfahrettinkoca Our stomach to these words is to Tok Mr. Minister, please contact. What are your solutions to our problems? Stop buying gas.")</f>
        <v>@drfahrettinkoca Our stomach to these words is to Tok Mr. Minister, please contact. What are your solutions to our problems? Stop buying gas.</v>
      </c>
    </row>
    <row r="4765" spans="1:5" ht="15" customHeight="1" x14ac:dyDescent="0.2">
      <c r="A4765" s="1" t="s">
        <v>9520</v>
      </c>
      <c r="B4765" s="1">
        <v>1</v>
      </c>
      <c r="C4765" s="3">
        <v>44541.891469907408</v>
      </c>
      <c r="D4765" s="1" t="s">
        <v>9521</v>
      </c>
      <c r="E4765" s="1" t="str">
        <f ca="1">IFERROR(__xludf.DUMMYFUNCTION("GOOGLETRANSLATE(A1564 , ""tr"" , ""en"")"),"@drfahrettinka https://t.co/13x8asfewb")</f>
        <v>@drfahrettinka https://t.co/13x8asfewb</v>
      </c>
    </row>
    <row r="4766" spans="1:5" ht="15" customHeight="1" x14ac:dyDescent="0.2">
      <c r="A4766" s="1" t="s">
        <v>9522</v>
      </c>
      <c r="B4766" s="1">
        <v>31</v>
      </c>
      <c r="C4766" s="3">
        <v>44541.890972222223</v>
      </c>
      <c r="D4766" s="1" t="s">
        <v>9523</v>
      </c>
      <c r="E4766" s="1" t="str">
        <f ca="1">IFERROR(__xludf.DUMMYFUNCTION("GOOGLETRANSLATE(A1565 , ""tr"" , ""en"")"),"@drfahrettinkoca We have not forgotten, for the state forgot, they are going to the places where they will be kept on hand. Because there are https://t.co/fg6xs465f5")</f>
        <v>@drfahrettinkoca We have not forgotten, for the state forgot, they are going to the places where they will be kept on hand. Because there are https://t.co/fg6xs465f5</v>
      </c>
    </row>
    <row r="4767" spans="1:5" ht="15" customHeight="1" x14ac:dyDescent="0.2">
      <c r="A4767" s="1" t="s">
        <v>9524</v>
      </c>
      <c r="B4767" s="1">
        <v>6</v>
      </c>
      <c r="C4767" s="3">
        <v>44541.890682870369</v>
      </c>
      <c r="D4767" s="1" t="s">
        <v>9525</v>
      </c>
      <c r="E4767" s="1" t="str">
        <f ca="1">IFERROR(__xludf.DUMMYFUNCTION("GOOGLETRANSLATE(A1566 , ""tr"" , ""en"")"),"@drfahrettinkoca you are insincere you are the minister. No BI Health Worker Grown in Your Say ..")</f>
        <v>@drfahrettinkoca you are insincere you are the minister. No BI Health Worker Grown in Your Say ..</v>
      </c>
    </row>
    <row r="4768" spans="1:5" ht="15" customHeight="1" x14ac:dyDescent="0.2">
      <c r="A4768" s="1" t="s">
        <v>9526</v>
      </c>
      <c r="B4768" s="1">
        <v>0</v>
      </c>
      <c r="C4768" s="3">
        <v>44541.890625</v>
      </c>
      <c r="D4768" s="1" t="s">
        <v>9527</v>
      </c>
      <c r="E4768" s="1" t="str">
        <f ca="1">IFERROR(__xludf.DUMMYFUNCTION("GOOGLETRANSLATE(A1567 , ""tr"" , ""en"")"),"@drfahrettinkoca inshallah the most recently we will migrate to those countries Mr. Minister. One house is a million, a car 500 ... https://t.co/ntyygdbbv0")</f>
        <v>@drfahrettinkoca inshallah the most recently we will migrate to those countries Mr. Minister. One house is a million, a car 500 ... https://t.co/ntyygdbbv0</v>
      </c>
    </row>
    <row r="4769" spans="1:5" ht="15" customHeight="1" x14ac:dyDescent="0.2">
      <c r="A4769" s="1" t="s">
        <v>9528</v>
      </c>
      <c r="B4769" s="1">
        <v>0</v>
      </c>
      <c r="C4769" s="3">
        <v>44541.890451388892</v>
      </c>
      <c r="D4769" s="1" t="s">
        <v>9529</v>
      </c>
      <c r="E4769" s="1" t="str">
        <f ca="1">IFERROR(__xludf.DUMMYFUNCTION("GOOGLETRANSLATE(A1568 , ""tr"" , ""en"")"),"@drfahrettinkoca # CasalsmelandingTright")</f>
        <v>@drfahrettinkoca # CasalsmelandingTright</v>
      </c>
    </row>
    <row r="4770" spans="1:5" ht="15" customHeight="1" x14ac:dyDescent="0.2">
      <c r="A4770" s="1" t="s">
        <v>9530</v>
      </c>
      <c r="B4770" s="1">
        <v>1</v>
      </c>
      <c r="C4770" s="3">
        <v>44541.890416666669</v>
      </c>
      <c r="D4770" s="1" t="s">
        <v>9531</v>
      </c>
      <c r="E4770" s="1" t="str">
        <f ca="1">IFERROR(__xludf.DUMMYFUNCTION("GOOGLETRANSLATE(A1569 , ""tr"" , ""en"")"),"@drfahrettinka Physicians Our best nurses are the worst of the world as for the best fare!")</f>
        <v>@drfahrettinka Physicians Our best nurses are the worst of the world as for the best fare!</v>
      </c>
    </row>
    <row r="4771" spans="1:5" ht="15" customHeight="1" x14ac:dyDescent="0.2">
      <c r="A4771" s="1" t="s">
        <v>9532</v>
      </c>
      <c r="B4771" s="1">
        <v>2</v>
      </c>
      <c r="C4771" s="3">
        <v>44541.890185185184</v>
      </c>
      <c r="D4771" s="1" t="s">
        <v>9533</v>
      </c>
      <c r="E4771" s="1" t="str">
        <f ca="1">IFERROR(__xludf.DUMMYFUNCTION("GOOGLETRANSLATE(A1570 , ""tr"" , ""en"")"),"@drfahrettinka President Bidet Merit Holder Managers Atayalim")</f>
        <v>@drfahrettinka President Bidet Merit Holder Managers Atayalim</v>
      </c>
    </row>
    <row r="4772" spans="1:5" ht="15" customHeight="1" x14ac:dyDescent="0.2">
      <c r="A4772" s="1" t="s">
        <v>9534</v>
      </c>
      <c r="B4772" s="1">
        <v>4</v>
      </c>
      <c r="C4772" s="3">
        <v>44541.889976851853</v>
      </c>
      <c r="D4772" s="1" t="s">
        <v>9535</v>
      </c>
      <c r="E4772" s="1" t="str">
        <f ca="1">IFERROR(__xludf.DUMMYFUNCTION("GOOGLETRANSLATE(A1571 , ""tr"" , ""en"")"),"@drfahrettinkoca Other countries don't jealous of us? Fahrettin Bey Mahmut Bey? They are very important to trust and ... https://t.co/ukbxxum6oz")</f>
        <v>@drfahrettinkoca Other countries don't jealous of us? Fahrettin Bey Mahmut Bey? They are very important to trust and ... https://t.co/ukbxxum6oz</v>
      </c>
    </row>
    <row r="4773" spans="1:5" ht="15" customHeight="1" x14ac:dyDescent="0.2">
      <c r="A4773" s="1" t="s">
        <v>9536</v>
      </c>
      <c r="B4773" s="1">
        <v>9</v>
      </c>
      <c r="C4773" s="3">
        <v>44541.889965277776</v>
      </c>
      <c r="D4773" s="1" t="s">
        <v>9537</v>
      </c>
      <c r="E4773" s="1" t="str">
        <f ca="1">IFERROR(__xludf.DUMMYFUNCTION("GOOGLETRANSLATE(A1572 , ""tr"" , ""en"")"),"The written under @drfahrettinkoca reveals the doctor's hostility ...")</f>
        <v>The written under @drfahrettinkoca reveals the doctor's hostility ...</v>
      </c>
    </row>
    <row r="4774" spans="1:5" ht="15" customHeight="1" x14ac:dyDescent="0.2">
      <c r="A4774" s="1" t="s">
        <v>9538</v>
      </c>
      <c r="B4774" s="1">
        <v>0</v>
      </c>
      <c r="C4774" s="3">
        <v>44541.889479166668</v>
      </c>
      <c r="D4774" s="1" t="s">
        <v>9539</v>
      </c>
      <c r="E4774" s="1" t="str">
        <f ca="1">IFERROR(__xludf.DUMMYFUNCTION("GOOGLETRANSLATE(A1573 , ""tr"" , ""en"")"),"@drfahrettinkoca doctors standby")</f>
        <v>@drfahrettinkoca doctors standby</v>
      </c>
    </row>
    <row r="4775" spans="1:5" ht="15" customHeight="1" x14ac:dyDescent="0.2">
      <c r="A4775" s="1" t="s">
        <v>9540</v>
      </c>
      <c r="B4775" s="1">
        <v>3</v>
      </c>
      <c r="C4775" s="3">
        <v>44541.889062499999</v>
      </c>
      <c r="D4775" s="1" t="s">
        <v>9541</v>
      </c>
      <c r="E4775" s="1" t="str">
        <f ca="1">IFERROR(__xludf.DUMMYFUNCTION("GOOGLETRANSLATE(A1574 , ""tr"" , ""en"")"),"@drfahrettinkoca # CasalStmandmandizmelkak @tcmeb variant's impact on children is high! Thereafter has ... https://t.co/tcoacwpo5w")</f>
        <v>@drfahrettinkoca # CasalStmandmandizmelkak @tcmeb variant's impact on children is high! Thereafter has ... https://t.co/tcoacwpo5w</v>
      </c>
    </row>
    <row r="4776" spans="1:5" ht="15" customHeight="1" x14ac:dyDescent="0.2">
      <c r="A4776" s="1" t="s">
        <v>9542</v>
      </c>
      <c r="B4776" s="1">
        <v>10</v>
      </c>
      <c r="C4776" s="3">
        <v>44541.888842592591</v>
      </c>
      <c r="D4776" s="1" t="s">
        <v>9543</v>
      </c>
      <c r="E4776" s="1" t="str">
        <f ca="1">IFERROR(__xludf.DUMMYFUNCTION("GOOGLETRANSLATE(A1575 , ""tr"" , ""en"")"),"@drfahrettinkca urgently shutdown and remote training should be taken from the omicron spread of this decision")</f>
        <v>@drfahrettinkca urgently shutdown and remote training should be taken from the omicron spread of this decision</v>
      </c>
    </row>
    <row r="4777" spans="1:5" ht="15" customHeight="1" x14ac:dyDescent="0.2">
      <c r="A4777" s="1" t="s">
        <v>9544</v>
      </c>
      <c r="B4777" s="1">
        <v>1</v>
      </c>
      <c r="C4777" s="3">
        <v>44541.888356481482</v>
      </c>
      <c r="D4777" s="1" t="s">
        <v>9545</v>
      </c>
      <c r="E4777" s="1" t="str">
        <f ca="1">IFERROR(__xludf.DUMMYFUNCTION("GOOGLETRANSLATE(A1576 , ""tr"" , ""en"")"),"@drfahrettinkoca clear soon to stay. How many people are our number of physicians to Germany in the last 2 years?")</f>
        <v>@drfahrettinkoca clear soon to stay. How many people are our number of physicians to Germany in the last 2 years?</v>
      </c>
    </row>
    <row r="4778" spans="1:5" ht="15" customHeight="1" x14ac:dyDescent="0.2">
      <c r="A4778" s="1" t="s">
        <v>9546</v>
      </c>
      <c r="B4778" s="1">
        <v>17</v>
      </c>
      <c r="C4778" s="3">
        <v>44541.888298611113</v>
      </c>
      <c r="D4778" s="1" t="s">
        <v>9547</v>
      </c>
      <c r="E4778" s="1" t="str">
        <f ca="1">IFERROR(__xludf.DUMMYFUNCTION("GOOGLETRANSLATE(A1577 , ""tr"" , ""en"")"),"@drfahrettinkoca Firstly you don't forget to Mr. Ministry ... and don't forget")</f>
        <v>@drfahrettinkoca Firstly you don't forget to Mr. Ministry ... and don't forget</v>
      </c>
    </row>
    <row r="4779" spans="1:5" ht="15" customHeight="1" x14ac:dyDescent="0.2">
      <c r="A4779" s="1" t="s">
        <v>9548</v>
      </c>
      <c r="B4779" s="1">
        <v>1</v>
      </c>
      <c r="C4779" s="3">
        <v>44541.887974537036</v>
      </c>
      <c r="D4779" s="1" t="s">
        <v>9549</v>
      </c>
      <c r="E4779" s="1" t="str">
        <f ca="1">IFERROR(__xludf.DUMMYFUNCTION("GOOGLETRANSLATE(A1578 , ""tr"" , ""en"")"),"@drfahrettinkoca As if you are late Mr. Minister?")</f>
        <v>@drfahrettinkoca As if you are late Mr. Minister?</v>
      </c>
    </row>
    <row r="4780" spans="1:5" ht="15" customHeight="1" x14ac:dyDescent="0.2">
      <c r="A4780" s="1" t="s">
        <v>9550</v>
      </c>
      <c r="B4780" s="1">
        <v>0</v>
      </c>
      <c r="C4780" s="3">
        <v>44541.887812499997</v>
      </c>
      <c r="D4780" s="1" t="s">
        <v>9551</v>
      </c>
      <c r="E4780" s="1" t="str">
        <f ca="1">IFERROR(__xludf.DUMMYFUNCTION("GOOGLETRANSLATE(A1579 , ""tr"" , ""en"")"),"@drfahrettinkoca KESKE you don't forget you")</f>
        <v>@drfahrettinkoca KESKE you don't forget you</v>
      </c>
    </row>
    <row r="4781" spans="1:5" ht="15" customHeight="1" x14ac:dyDescent="0.2">
      <c r="A4781" s="1" t="s">
        <v>9552</v>
      </c>
      <c r="B4781" s="1">
        <v>5</v>
      </c>
      <c r="C4781" s="3">
        <v>44541.887430555558</v>
      </c>
      <c r="D4781" s="1" t="s">
        <v>9553</v>
      </c>
      <c r="E4781" s="1" t="str">
        <f ca="1">IFERROR(__xludf.DUMMYFUNCTION("GOOGLETRANSLATE(A1580 , ""tr"" , ""en"")"),"@drfahrettinkoca Your physicians that you praise is mobbing by meritless, impersonal executives ...")</f>
        <v>@drfahrettinkoca Your physicians that you praise is mobbing by meritless, impersonal executives ...</v>
      </c>
    </row>
    <row r="4782" spans="1:5" ht="15" customHeight="1" x14ac:dyDescent="0.2">
      <c r="A4782" s="1" t="s">
        <v>9554</v>
      </c>
      <c r="B4782" s="1">
        <v>5</v>
      </c>
      <c r="C4782" s="3">
        <v>44541.88726851852</v>
      </c>
      <c r="D4782" s="1" t="s">
        <v>9555</v>
      </c>
      <c r="E4782" s="1" t="str">
        <f ca="1">IFERROR(__xludf.DUMMYFUNCTION("GOOGLETRANSLATE(A1581 , ""tr"" , ""en"")"),"@drfahrettinkoca Doctors don't think like your Omicron Mr. Fahrettin Bey Okadar, So Ne ... https://t.co/6doj2wnj1b")</f>
        <v>@drfahrettinkoca Doctors don't think like your Omicron Mr. Fahrettin Bey Okadar, So Ne ... https://t.co/6doj2wnj1b</v>
      </c>
    </row>
    <row r="4783" spans="1:5" ht="15" customHeight="1" x14ac:dyDescent="0.2">
      <c r="A4783" s="1" t="s">
        <v>9556</v>
      </c>
      <c r="B4783" s="1">
        <v>0</v>
      </c>
      <c r="C4783" s="3">
        <v>44541.887060185189</v>
      </c>
      <c r="D4783" s="1" t="s">
        <v>9557</v>
      </c>
      <c r="E4783" s="1" t="str">
        <f ca="1">IFERROR(__xludf.DUMMYFUNCTION("GOOGLETRANSLATE(A1582 , ""tr"" , ""en"")"),"@drfahrettinka https://t.co/iIa8sdk4od")</f>
        <v>@drfahrettinka https://t.co/iIa8sdk4od</v>
      </c>
    </row>
    <row r="4784" spans="1:5" ht="15" customHeight="1" x14ac:dyDescent="0.2">
      <c r="A4784" s="1" t="s">
        <v>9558</v>
      </c>
      <c r="B4784" s="1">
        <v>6</v>
      </c>
      <c r="C4784" s="3">
        <v>44541.886921296296</v>
      </c>
      <c r="D4784" s="1" t="s">
        <v>9559</v>
      </c>
      <c r="E4784" s="1" t="str">
        <f ca="1">IFERROR(__xludf.DUMMYFUNCTION("GOOGLETRANSLATE(A1583 , ""tr"" , ""en"")"),"@drfahrettinkoca President When I say these words, I see you look at someone with angry bi way.")</f>
        <v>@drfahrettinkoca President When I say these words, I see you look at someone with angry bi way.</v>
      </c>
    </row>
    <row r="4785" spans="1:5" ht="15" customHeight="1" x14ac:dyDescent="0.2">
      <c r="A4785" s="1" t="s">
        <v>9560</v>
      </c>
      <c r="B4785" s="1">
        <v>13</v>
      </c>
      <c r="C4785" s="3">
        <v>44541.886516203704</v>
      </c>
      <c r="D4785" s="1" t="s">
        <v>9561</v>
      </c>
      <c r="E4785" s="1" t="str">
        <f ca="1">IFERROR(__xludf.DUMMYFUNCTION("GOOGLETRANSLATE(A1584 , ""tr"" , ""en"")"),"@drfahrettinkoca eeee !!! We said that we had no end to hide! Your statements will cause serious relief in society! Ül ... https://t.co/8xp60xhqd7")</f>
        <v>@drfahrettinkoca eeee !!! We said that we had no end to hide! Your statements will cause serious relief in society! Ül ... https://t.co/8xp60xhqd7</v>
      </c>
    </row>
    <row r="4786" spans="1:5" ht="15" customHeight="1" x14ac:dyDescent="0.2">
      <c r="A4786" s="1" t="s">
        <v>9562</v>
      </c>
      <c r="B4786" s="1">
        <v>7</v>
      </c>
      <c r="C4786" s="3">
        <v>44541.886319444442</v>
      </c>
      <c r="D4786" s="1" t="s">
        <v>9563</v>
      </c>
      <c r="E4786" s="1" t="str">
        <f ca="1">IFERROR(__xludf.DUMMYFUNCTION("GOOGLETRANSLATE(A1585 , ""tr"" , ""en"")"),"@drfahrettinkoca is no longer thinking of the children's health, don't you think the omicron variant in Turkey and more cases ... https://t.co/wkzuzbtyqv")</f>
        <v>@drfahrettinkoca is no longer thinking of the children's health, don't you think the omicron variant in Turkey and more cases ... https://t.co/wkzuzbtyqv</v>
      </c>
    </row>
    <row r="4787" spans="1:5" ht="15" customHeight="1" x14ac:dyDescent="0.2">
      <c r="A4787" s="1" t="s">
        <v>9564</v>
      </c>
      <c r="B4787" s="1">
        <v>4</v>
      </c>
      <c r="C4787" s="3">
        <v>44541.885972222219</v>
      </c>
      <c r="D4787" s="1" t="s">
        <v>9565</v>
      </c>
      <c r="E4787" s="1" t="str">
        <f ca="1">IFERROR(__xludf.DUMMYFUNCTION("GOOGLETRANSLATE(A1586 , ""tr"" , ""en"")"),"@drfahrettinkoca Divided the Health Assignment to half the Ministry @drfahrettinkoca I'm never surprised I can't find the words to say pes now ...")</f>
        <v>@drfahrettinkoca Divided the Health Assignment to half the Ministry @drfahrettinkoca I'm never surprised I can't find the words to say pes now ...</v>
      </c>
    </row>
    <row r="4788" spans="1:5" ht="15" customHeight="1" x14ac:dyDescent="0.2">
      <c r="A4788" s="1" t="s">
        <v>9566</v>
      </c>
      <c r="B4788" s="1">
        <v>6</v>
      </c>
      <c r="C4788" s="3">
        <v>44541.885810185187</v>
      </c>
      <c r="D4788" s="1" t="s">
        <v>9567</v>
      </c>
      <c r="E4788" s="1" t="str">
        <f ca="1">IFERROR(__xludf.DUMMYFUNCTION("GOOGLETRANSLATE(A1587 , ""tr"" , ""en"")"),"@drfahrettinkoca Hani I said we will buy without split in one run You couldn't really believe you can not really believe you 800k assignment ... https://t.co/zeywjzsjgk")</f>
        <v>@drfahrettinkoca Hani I said we will buy without split in one run You couldn't really believe you can not really believe you 800k assignment ... https://t.co/zeywjzsjgk</v>
      </c>
    </row>
    <row r="4789" spans="1:5" ht="15" customHeight="1" x14ac:dyDescent="0.2">
      <c r="A4789" s="1" t="s">
        <v>9568</v>
      </c>
      <c r="B4789" s="1">
        <v>0</v>
      </c>
      <c r="C4789" s="3">
        <v>44541.885763888888</v>
      </c>
      <c r="D4789" s="1" t="s">
        <v>9569</v>
      </c>
      <c r="E4789" s="1" t="str">
        <f ca="1">IFERROR(__xludf.DUMMYFUNCTION("GOOGLETRANSLATE(A1588 , ""tr"" , ""en"")"),"@drfahrettinkoca is close to the days when you are getting out of this country, it is close to the drug skewers that you work")</f>
        <v>@drfahrettinkoca is close to the days when you are getting out of this country, it is close to the drug skewers that you work</v>
      </c>
    </row>
    <row r="4790" spans="1:5" ht="15" customHeight="1" x14ac:dyDescent="0.2">
      <c r="A4790" s="1" t="s">
        <v>9570</v>
      </c>
      <c r="B4790" s="1">
        <v>0</v>
      </c>
      <c r="C4790" s="3">
        <v>44541.885451388887</v>
      </c>
      <c r="D4790" s="1" t="s">
        <v>9571</v>
      </c>
      <c r="E4790" s="1" t="str">
        <f ca="1">IFERROR(__xludf.DUMMYFUNCTION("GOOGLETRANSLATE(A1589 , ""tr"" , ""en"")"),"@drfahrettinkca so it is the money.")</f>
        <v>@drfahrettinkca so it is the money.</v>
      </c>
    </row>
    <row r="4791" spans="1:5" ht="15" customHeight="1" x14ac:dyDescent="0.2">
      <c r="A4791" s="1" t="s">
        <v>9572</v>
      </c>
      <c r="B4791" s="1">
        <v>0</v>
      </c>
      <c r="C4791" s="3">
        <v>44541.88490740741</v>
      </c>
      <c r="D4791" s="1" t="s">
        <v>9573</v>
      </c>
      <c r="E4791" s="1" t="str">
        <f ca="1">IFERROR(__xludf.DUMMYFUNCTION("GOOGLETRANSLATE(A1590 , ""tr"" , ""en"")"),"@drfahrettinkoca is not the Ministry of Health Department of Physician")</f>
        <v>@drfahrettinkoca is not the Ministry of Health Department of Physician</v>
      </c>
    </row>
    <row r="4792" spans="1:5" ht="15" customHeight="1" x14ac:dyDescent="0.2">
      <c r="A4792" s="1" t="s">
        <v>9574</v>
      </c>
      <c r="B4792" s="1">
        <v>0</v>
      </c>
      <c r="C4792" s="3">
        <v>44541.884733796294</v>
      </c>
      <c r="D4792" s="1" t="s">
        <v>9575</v>
      </c>
      <c r="E4792" s="1" t="str">
        <f ca="1">IFERROR(__xludf.DUMMYFUNCTION("GOOGLETRANSLATE(A1591 , ""tr"" , ""en"")"),"@drfahrettinkoca @drfahrettinka https://t.co/znq3sdjdot")</f>
        <v>@drfahrettinkoca @drfahrettinka https://t.co/znq3sdjdot</v>
      </c>
    </row>
    <row r="4793" spans="1:5" ht="15" customHeight="1" x14ac:dyDescent="0.2">
      <c r="A4793" s="1" t="s">
        <v>9576</v>
      </c>
      <c r="B4793" s="1">
        <v>0</v>
      </c>
      <c r="C4793" s="3">
        <v>44541.884328703702</v>
      </c>
      <c r="D4793" s="1" t="s">
        <v>9577</v>
      </c>
      <c r="E4793" s="1" t="str">
        <f ca="1">IFERROR(__xludf.DUMMYFUNCTION("GOOGLETRANSLATE(A1592 , ""tr"" , ""en"")"),"@drfahrettinkoca 🙏🙏🙏")</f>
        <v>@drfahrettinkoca 🙏🙏🙏</v>
      </c>
    </row>
    <row r="4794" spans="1:5" ht="15" customHeight="1" x14ac:dyDescent="0.2">
      <c r="A4794" s="1" t="s">
        <v>9578</v>
      </c>
      <c r="B4794" s="1">
        <v>1</v>
      </c>
      <c r="C4794" s="3">
        <v>44541.883888888886</v>
      </c>
      <c r="D4794" s="1" t="s">
        <v>9579</v>
      </c>
      <c r="E4794" s="1" t="str">
        <f ca="1">IFERROR(__xludf.DUMMYFUNCTION("GOOGLETRANSLATE(A1593 , ""tr"" , ""en"")"),"@drfahrettinkoca you say 40k before you said 30 thousand healthier 10 thousand workers have said 20 thousand healthier ... https://t.co/enqaf1er9y")</f>
        <v>@drfahrettinkoca you say 40k before you said 30 thousand healthier 10 thousand workers have said 20 thousand healthier ... https://t.co/enqaf1er9y</v>
      </c>
    </row>
    <row r="4795" spans="1:5" ht="15" customHeight="1" x14ac:dyDescent="0.2">
      <c r="A4795" s="1" t="s">
        <v>9580</v>
      </c>
      <c r="B4795" s="1">
        <v>0</v>
      </c>
      <c r="C4795" s="3">
        <v>44541.883645833332</v>
      </c>
      <c r="D4795" s="1" t="s">
        <v>9581</v>
      </c>
      <c r="E4795" s="1" t="str">
        <f ca="1">IFERROR(__xludf.DUMMYFUNCTION("GOOGLETRANSLATE(A1594 , ""tr"" , ""en"")"),"@drfahrettinkoca she says what he said before he says the president of the President .... Deductive")</f>
        <v>@drfahrettinkoca she says what he said before he says the president of the President .... Deductive</v>
      </c>
    </row>
    <row r="4796" spans="1:5" ht="15" customHeight="1" x14ac:dyDescent="0.2">
      <c r="A4796" s="1" t="s">
        <v>9582</v>
      </c>
      <c r="B4796" s="1">
        <v>0</v>
      </c>
      <c r="C4796" s="3">
        <v>44541.88349537037</v>
      </c>
      <c r="D4796" s="1" t="s">
        <v>9583</v>
      </c>
      <c r="E4796" s="1" t="str">
        <f ca="1">IFERROR(__xludf.DUMMYFUNCTION("GOOGLETRANSLATE(A1595 , ""tr"" , ""en"")"),"@drfahrettinkoca 😊")</f>
        <v>@drfahrettinkoca 😊</v>
      </c>
    </row>
    <row r="4797" spans="1:5" ht="15" customHeight="1" x14ac:dyDescent="0.2">
      <c r="A4797" s="1" t="s">
        <v>9584</v>
      </c>
      <c r="B4797" s="1">
        <v>2</v>
      </c>
      <c r="C4797" s="3">
        <v>44541.8830787037</v>
      </c>
      <c r="D4797" s="1" t="s">
        <v>9585</v>
      </c>
      <c r="E4797" s="1" t="str">
        <f ca="1">IFERROR(__xludf.DUMMYFUNCTION("GOOGLETRANSLATE(A1596 , ""tr"" , ""en"")"),"@drfahrettinkoca yeah this topic's Altina signami Atarim Lakin Lakin is why our dormitory Sorari ... https://t.co/dq6wdesj2h")</f>
        <v>@drfahrettinkoca yeah this topic's Altina signami Atarim Lakin Lakin is why our dormitory Sorari ... https://t.co/dq6wdesj2h</v>
      </c>
    </row>
    <row r="4798" spans="1:5" ht="15" customHeight="1" x14ac:dyDescent="0.2">
      <c r="A4798" s="1" t="s">
        <v>9586</v>
      </c>
      <c r="B4798" s="1">
        <v>0</v>
      </c>
      <c r="C4798" s="3">
        <v>44541.883043981485</v>
      </c>
      <c r="D4798" s="1" t="s">
        <v>9587</v>
      </c>
      <c r="E4798" s="1" t="str">
        <f ca="1">IFERROR(__xludf.DUMMYFUNCTION("GOOGLETRANSLATE(A1597 , ""tr"" , ""en"")"),"@drfahrettinka thanks to my minister.")</f>
        <v>@drfahrettinka thanks to my minister.</v>
      </c>
    </row>
    <row r="4799" spans="1:5" ht="15" customHeight="1" x14ac:dyDescent="0.2">
      <c r="A4799" s="1" t="s">
        <v>9588</v>
      </c>
      <c r="B4799" s="1">
        <v>0</v>
      </c>
      <c r="C4799" s="3">
        <v>44541.8828587963</v>
      </c>
      <c r="D4799" s="1" t="s">
        <v>9589</v>
      </c>
      <c r="E4799" s="1" t="str">
        <f ca="1">IFERROR(__xludf.DUMMYFUNCTION("GOOGLETRANSLATE(A1598 , ""tr"" , ""en"")"),"@drfahrettinkoca ha If you are very deterrent, get (eat) 6 months Health services are 10 numbers from the hand but doesn't eat !!")</f>
        <v>@drfahrettinkoca ha If you are very deterrent, get (eat) 6 months Health services are 10 numbers from the hand but doesn't eat !!</v>
      </c>
    </row>
    <row r="4800" spans="1:5" ht="15" customHeight="1" x14ac:dyDescent="0.2">
      <c r="A4800" s="1" t="s">
        <v>9590</v>
      </c>
      <c r="B4800" s="1">
        <v>0</v>
      </c>
      <c r="C4800" s="3">
        <v>44541.882152777776</v>
      </c>
      <c r="D4800" s="1" t="s">
        <v>9591</v>
      </c>
      <c r="E4800" s="1" t="str">
        <f ca="1">IFERROR(__xludf.DUMMYFUNCTION("GOOGLETRANSLATE(A1599 , ""tr"" , ""en"")"),"@drfahrettinkoca school shut up")</f>
        <v>@drfahrettinkoca school shut up</v>
      </c>
    </row>
    <row r="4801" spans="1:5" ht="15" customHeight="1" x14ac:dyDescent="0.2">
      <c r="A4801" s="1" t="s">
        <v>9388</v>
      </c>
      <c r="B4801" s="1">
        <v>2</v>
      </c>
      <c r="C4801" s="3">
        <v>44541.881412037037</v>
      </c>
      <c r="D4801" s="1" t="s">
        <v>9592</v>
      </c>
      <c r="E4801" s="1" t="str">
        <f ca="1">IFERROR(__xludf.DUMMYFUNCTION("GOOGLETRANSLATE(A1600 , ""tr"" , ""en"")"),"@drfahrettinkoca # Birbakan40kocayalan")</f>
        <v>@drfahrettinkoca # Birbakan40kocayalan</v>
      </c>
    </row>
    <row r="4802" spans="1:5" ht="15" customHeight="1" x14ac:dyDescent="0.2">
      <c r="A4802" s="1" t="s">
        <v>9593</v>
      </c>
      <c r="B4802" s="1">
        <v>0</v>
      </c>
      <c r="C4802" s="3">
        <v>44541.881180555552</v>
      </c>
      <c r="D4802" s="1" t="s">
        <v>9594</v>
      </c>
      <c r="E4802" s="1" t="str">
        <f ca="1">IFERROR(__xludf.DUMMYFUNCTION("GOOGLETRANSLATE(A1601 , ""tr"" , ""en"")"),"@drfahrettinkoca Doktorum I will prepare the Musall if you are.")</f>
        <v>@drfahrettinkoca Doktorum I will prepare the Musall if you are.</v>
      </c>
    </row>
    <row r="4803" spans="1:5" ht="15" customHeight="1" x14ac:dyDescent="0.2">
      <c r="A4803" s="1" t="s">
        <v>9595</v>
      </c>
      <c r="B4803" s="1">
        <v>0</v>
      </c>
      <c r="C4803" s="3">
        <v>44541.880543981482</v>
      </c>
      <c r="D4803" s="1" t="s">
        <v>9596</v>
      </c>
      <c r="E4803" s="1" t="str">
        <f ca="1">IFERROR(__xludf.DUMMYFUNCTION("GOOGLETRANSLATE(A1602 , ""tr"" , ""en"")"),"@drfahrettinkoca are you sure ?? Doctor in dental hospital '' I can't attract this tooth I don't have any experience on it ... https://t.co/t9x3lcdu8b")</f>
        <v>@drfahrettinkoca are you sure ?? Doctor in dental hospital '' I can't attract this tooth I don't have any experience on it ... https://t.co/t9x3lcdu8b</v>
      </c>
    </row>
    <row r="4804" spans="1:5" ht="15" customHeight="1" x14ac:dyDescent="0.2">
      <c r="A4804" s="1" t="s">
        <v>9597</v>
      </c>
      <c r="B4804" s="1">
        <v>0</v>
      </c>
      <c r="C4804" s="3">
        <v>44541.88008101852</v>
      </c>
      <c r="D4804" s="1" t="s">
        <v>9598</v>
      </c>
      <c r="E4804" s="1" t="str">
        <f ca="1">IFERROR(__xludf.DUMMYFUNCTION("GOOGLETRANSLATE(A1603 , ""tr"" , ""en"")"),"@drfahrettinkoca yeah that is strictly so.")</f>
        <v>@drfahrettinkoca yeah that is strictly so.</v>
      </c>
    </row>
    <row r="4805" spans="1:5" ht="15" customHeight="1" x14ac:dyDescent="0.2">
      <c r="A4805" s="1" t="s">
        <v>9599</v>
      </c>
      <c r="B4805" s="1">
        <v>1</v>
      </c>
      <c r="C4805" s="3">
        <v>44541.879803240743</v>
      </c>
      <c r="D4805" s="1" t="s">
        <v>9600</v>
      </c>
      <c r="E4805" s="1" t="str">
        <f ca="1">IFERROR(__xludf.DUMMYFUNCTION("GOOGLETRANSLATE(A1604 , ""tr"" , ""en"")"),"@drfahrettinkoca pity The young people could not be assigned to you because of the sin of a shamby Sin is the sake of God ... https://t.co/nlxp6wxhq1")</f>
        <v>@drfahrettinkoca pity The young people could not be assigned to you because of the sin of a shamby Sin is the sake of God ... https://t.co/nlxp6wxhq1</v>
      </c>
    </row>
    <row r="4806" spans="1:5" ht="15" customHeight="1" x14ac:dyDescent="0.2">
      <c r="A4806" s="1" t="s">
        <v>9601</v>
      </c>
      <c r="B4806" s="1">
        <v>0</v>
      </c>
      <c r="C4806" s="3">
        <v>44541.879664351851</v>
      </c>
      <c r="D4806" s="1" t="s">
        <v>9602</v>
      </c>
      <c r="E4806" s="1" t="str">
        <f ca="1">IFERROR(__xludf.DUMMYFUNCTION("GOOGLETRANSLATE(A1605 , ""tr"" , ""en"")"),"@drfahrettinkoca 3. Do you open doses Olalalırkılık Karisik")</f>
        <v>@drfahrettinkoca 3. Do you open doses Olalalırkılık Karisik</v>
      </c>
    </row>
    <row r="4807" spans="1:5" ht="15" customHeight="1" x14ac:dyDescent="0.2">
      <c r="A4807" s="1" t="s">
        <v>9603</v>
      </c>
      <c r="B4807" s="1">
        <v>0</v>
      </c>
      <c r="C4807" s="3">
        <v>44541.879432870373</v>
      </c>
      <c r="D4807" s="1" t="s">
        <v>9604</v>
      </c>
      <c r="E4807" s="1" t="str">
        <f ca="1">IFERROR(__xludf.DUMMYFUNCTION("GOOGLETRANSLATE(A1606 , ""tr"" , ""en"")"),"@drfahrettinkoca is a Russian atasozu Derki; - ""You are so smart that you are so poor"" -")</f>
        <v>@drfahrettinkoca is a Russian atasozu Derki; - "You are so smart that you are so poor" -</v>
      </c>
    </row>
    <row r="4808" spans="1:5" ht="15" customHeight="1" x14ac:dyDescent="0.2">
      <c r="A4808" s="1" t="s">
        <v>9605</v>
      </c>
      <c r="B4808" s="1">
        <v>0</v>
      </c>
      <c r="C4808" s="3">
        <v>44541.878657407404</v>
      </c>
      <c r="D4808" s="1" t="s">
        <v>9606</v>
      </c>
      <c r="E4808" s="1" t="str">
        <f ca="1">IFERROR(__xludf.DUMMYFUNCTION("GOOGLETRANSLATE(A1607 , ""tr"" , ""en"")"),"@drfahrettinkoca Play Celle Play")</f>
        <v>@drfahrettinkoca Play Celle Play</v>
      </c>
    </row>
    <row r="4809" spans="1:5" ht="15" customHeight="1" x14ac:dyDescent="0.2">
      <c r="A4809" s="1" t="s">
        <v>9607</v>
      </c>
      <c r="B4809" s="1">
        <v>5</v>
      </c>
      <c r="C4809" s="3">
        <v>44541.878495370373</v>
      </c>
      <c r="D4809" s="1" t="s">
        <v>9608</v>
      </c>
      <c r="E4809" s="1" t="str">
        <f ca="1">IFERROR(__xludf.DUMMYFUNCTION("GOOGLETRANSLATE(A1608 , ""tr"" , ""en"")"),"Don't forget to @drfahrettinkoca dietitians We do not want to be assigned to the line 90 above. To be assigned is our right.")</f>
        <v>Don't forget to @drfahrettinkoca dietitians We do not want to be assigned to the line 90 above. To be assigned is our right.</v>
      </c>
    </row>
    <row r="4810" spans="1:5" ht="15" customHeight="1" x14ac:dyDescent="0.2">
      <c r="A4810" s="1" t="s">
        <v>9609</v>
      </c>
      <c r="B4810" s="1">
        <v>1</v>
      </c>
      <c r="C4810" s="3">
        <v>44541.878483796296</v>
      </c>
      <c r="D4810" s="1" t="s">
        <v>9610</v>
      </c>
      <c r="E4810" s="1" t="str">
        <f ca="1">IFERROR(__xludf.DUMMYFUNCTION("GOOGLETRANSLATE(A1609 , ""tr"" , ""en"")"),"@drfahrettinkoca yeah they are going one at a wheel now")</f>
        <v>@drfahrettinkoca yeah they are going one at a wheel now</v>
      </c>
    </row>
    <row r="4811" spans="1:5" ht="15" customHeight="1" x14ac:dyDescent="0.2">
      <c r="A4811" s="1" t="s">
        <v>9611</v>
      </c>
      <c r="B4811" s="1">
        <v>78</v>
      </c>
      <c r="C4811" s="3">
        <v>44541.878182870372</v>
      </c>
      <c r="D4811" s="1" t="s">
        <v>9612</v>
      </c>
      <c r="E4811" s="1" t="str">
        <f ca="1">IFERROR(__xludf.DUMMYFUNCTION("GOOGLETRANSLATE(A1610 , ""tr"" , ""en"")"),"Hold @drfahrettinkoca ee then, while the resignations are flying in the air. 100 exams in 1 days, 36 hours of seizures ... https://t.co/3qfnnympq4")</f>
        <v>Hold @drfahrettinkoca ee then, while the resignations are flying in the air. 100 exams in 1 days, 36 hours of seizures ... https://t.co/3qfnnympq4</v>
      </c>
    </row>
    <row r="4812" spans="1:5" ht="15" customHeight="1" x14ac:dyDescent="0.2">
      <c r="A4812" s="1" t="s">
        <v>9613</v>
      </c>
      <c r="B4812" s="1">
        <v>1</v>
      </c>
      <c r="C4812" s="3">
        <v>44541.877349537041</v>
      </c>
      <c r="D4812" s="1" t="s">
        <v>9614</v>
      </c>
      <c r="E4812" s="1" t="str">
        <f ca="1">IFERROR(__xludf.DUMMYFUNCTION("GOOGLETRANSLATE(A1611 , ""tr"" , ""en"")"),"@drfahrettinkoca ee naplight so? Or what do they do physicians? Or Health Workers What do you do? Doesn't give their rights ... https://t.co/yftqfaq0qh")</f>
        <v>@drfahrettinkoca ee naplight so? Or what do they do physicians? Or Health Workers What do you do? Doesn't give their rights ... https://t.co/yftqfaq0qh</v>
      </c>
    </row>
    <row r="4813" spans="1:5" ht="15" customHeight="1" x14ac:dyDescent="0.2">
      <c r="A4813" s="1" t="s">
        <v>9615</v>
      </c>
      <c r="B4813" s="1">
        <v>3</v>
      </c>
      <c r="C4813" s="3">
        <v>44541.87667824074</v>
      </c>
      <c r="D4813" s="1" t="s">
        <v>9616</v>
      </c>
      <c r="E4813" s="1" t="str">
        <f ca="1">IFERROR(__xludf.DUMMYFUNCTION("GOOGLETRANSLATE(A1612 , ""tr"" , ""en"")"),"@drfahrettinkoca is no problem with our physicians already. I think you are elected")</f>
        <v>@drfahrettinkoca is no problem with our physicians already. I think you are elected</v>
      </c>
    </row>
    <row r="4814" spans="1:5" ht="15" customHeight="1" x14ac:dyDescent="0.2">
      <c r="A4814" s="1" t="s">
        <v>9617</v>
      </c>
      <c r="B4814" s="1">
        <v>0</v>
      </c>
      <c r="C4814" s="3">
        <v>44541.875902777778</v>
      </c>
      <c r="D4814" s="1" t="s">
        <v>9618</v>
      </c>
      <c r="E4814" s="1" t="str">
        <f ca="1">IFERROR(__xludf.DUMMYFUNCTION("GOOGLETRANSLATE(A1613 , ""tr"" , ""en"")"),"@drfahrettinkoca, I have blocked you anymore always your laving")</f>
        <v>@drfahrettinkoca, I have blocked you anymore always your laving</v>
      </c>
    </row>
    <row r="4815" spans="1:5" ht="15" customHeight="1" x14ac:dyDescent="0.2">
      <c r="A4815" s="1" t="s">
        <v>9619</v>
      </c>
      <c r="B4815" s="1">
        <v>0</v>
      </c>
      <c r="C4815" s="3">
        <v>44541.875821759262</v>
      </c>
      <c r="D4815" s="1" t="s">
        <v>9620</v>
      </c>
      <c r="E4815" s="1" t="str">
        <f ca="1">IFERROR(__xludf.DUMMYFUNCTION("GOOGLETRANSLATE(A1614 , ""tr"" , ""en"")"),"@drfahrettinkoca We are not trying to upgrade the number of assignments that do not have any words NO Wide programmatic purchase ... https://t.co/lx56bqolus")</f>
        <v>@drfahrettinkoca We are not trying to upgrade the number of assignments that do not have any words NO Wide programmatic purchase ... https://t.co/lx56bqolus</v>
      </c>
    </row>
    <row r="4816" spans="1:5" ht="15" customHeight="1" x14ac:dyDescent="0.2">
      <c r="A4816" s="1" t="s">
        <v>9621</v>
      </c>
      <c r="B4816" s="1">
        <v>0</v>
      </c>
      <c r="C4816" s="3">
        <v>44541.875601851854</v>
      </c>
      <c r="D4816" s="1" t="s">
        <v>9622</v>
      </c>
      <c r="E4816" s="1" t="str">
        <f ca="1">IFERROR(__xludf.DUMMYFUNCTION("GOOGLETRANSLATE(A1615 , ""tr"" , ""en"")"),"@drfahrettinkoca but they go on your number")</f>
        <v>@drfahrettinkoca but they go on your number</v>
      </c>
    </row>
    <row r="4817" spans="1:5" ht="15" customHeight="1" x14ac:dyDescent="0.2">
      <c r="A4817" s="1" t="s">
        <v>9623</v>
      </c>
      <c r="B4817" s="1">
        <v>3</v>
      </c>
      <c r="C4817" s="3">
        <v>44541.875543981485</v>
      </c>
      <c r="D4817" s="1" t="s">
        <v>9624</v>
      </c>
      <c r="E4817" s="1" t="str">
        <f ca="1">IFERROR(__xludf.DUMMYFUNCTION("GOOGLETRANSLATE(A1616 , ""tr"" , ""en"")"),"@drfahrettinka 600 dollars, 36 hours seizures, violence, profanity, wait wait 🤣")</f>
        <v>@drfahrettinka 600 dollars, 36 hours seizures, violence, profanity, wait wait 🤣</v>
      </c>
    </row>
    <row r="4818" spans="1:5" ht="15" customHeight="1" x14ac:dyDescent="0.2">
      <c r="A4818" s="1" t="s">
        <v>9625</v>
      </c>
      <c r="B4818" s="1">
        <v>76</v>
      </c>
      <c r="C4818" s="3">
        <v>44541.875023148146</v>
      </c>
      <c r="D4818" s="1" t="s">
        <v>9626</v>
      </c>
      <c r="E4818" s="1" t="str">
        <f ca="1">IFERROR(__xludf.DUMMYFUNCTION("GOOGLETRANSLATE(A1617 , ""tr"" , ""en"")"),"@drfahrettinkoca is still piercing to hospitals in the name to protect well-tried physicians trying to remain in the stubborn country ... https://t.co/ahkxhotc4u")</f>
        <v>@drfahrettinkoca is still piercing to hospitals in the name to protect well-tried physicians trying to remain in the stubborn country ... https://t.co/ahkxhotc4u</v>
      </c>
    </row>
    <row r="4819" spans="1:5" ht="15" customHeight="1" x14ac:dyDescent="0.2">
      <c r="A4819" s="1" t="s">
        <v>9627</v>
      </c>
      <c r="B4819" s="1">
        <v>0</v>
      </c>
      <c r="C4819" s="3">
        <v>44541.874780092592</v>
      </c>
      <c r="D4819" s="1" t="s">
        <v>9628</v>
      </c>
      <c r="E4819" s="1" t="str">
        <f ca="1">IFERROR(__xludf.DUMMYFUNCTION("GOOGLETRANSLATE(A1618 , ""tr"" , ""en"")"),"@drfahrettinka https://t.co/yzxx82e41e")</f>
        <v>@drfahrettinka https://t.co/yzxx82e41e</v>
      </c>
    </row>
    <row r="4820" spans="1:5" ht="15" customHeight="1" x14ac:dyDescent="0.2">
      <c r="A4820" s="1" t="s">
        <v>9629</v>
      </c>
      <c r="B4820" s="1">
        <v>4</v>
      </c>
      <c r="C4820" s="3">
        <v>44541.873460648145</v>
      </c>
      <c r="D4820" s="1" t="s">
        <v>9630</v>
      </c>
      <c r="E4820" s="1" t="str">
        <f ca="1">IFERROR(__xludf.DUMMYFUNCTION("GOOGLETRANSLATE(A1619 , ""tr"" , ""en"")"),"@drfahrettinkoca is paid too far below the deserved.")</f>
        <v>@drfahrettinkoca is paid too far below the deserved.</v>
      </c>
    </row>
    <row r="4821" spans="1:5" ht="15" customHeight="1" x14ac:dyDescent="0.2">
      <c r="A4821" s="1" t="s">
        <v>9631</v>
      </c>
      <c r="B4821" s="1">
        <v>10</v>
      </c>
      <c r="C4821" s="3">
        <v>44541.873310185183</v>
      </c>
      <c r="D4821" s="1" t="s">
        <v>9632</v>
      </c>
      <c r="E4821" s="1" t="str">
        <f ca="1">IFERROR(__xludf.DUMMYFUNCTION("GOOGLETRANSLATE(A1620 , ""tr"" , ""en"")"),"@drfahrettinka is not to express our problems, we want the solution to the minister. Young physicians tus don't work. Network of this ... https://t.co/u7q0j0txnp")</f>
        <v>@drfahrettinka is not to express our problems, we want the solution to the minister. Young physicians tus don't work. Network of this ... https://t.co/u7q0j0txnp</v>
      </c>
    </row>
    <row r="4822" spans="1:5" ht="15" customHeight="1" x14ac:dyDescent="0.2">
      <c r="A4822" s="1" t="s">
        <v>9633</v>
      </c>
      <c r="B4822" s="1">
        <v>0</v>
      </c>
      <c r="C4822" s="3">
        <v>44541.873287037037</v>
      </c>
      <c r="D4822" s="1" t="s">
        <v>9634</v>
      </c>
      <c r="E4822" s="1" t="str">
        <f ca="1">IFERROR(__xludf.DUMMYFUNCTION("GOOGLETRANSLATE(A1621 , ""tr"" , ""en"")"),"@drfahrettinkoca what did that say")</f>
        <v>@drfahrettinkoca what did that say</v>
      </c>
    </row>
    <row r="4823" spans="1:5" ht="15" customHeight="1" x14ac:dyDescent="0.2">
      <c r="A4823" s="1" t="s">
        <v>9635</v>
      </c>
      <c r="B4823" s="1">
        <v>4</v>
      </c>
      <c r="C4823" s="3">
        <v>44541.873148148145</v>
      </c>
      <c r="D4823" s="1" t="s">
        <v>9636</v>
      </c>
      <c r="E4823" s="1" t="str">
        <f ca="1">IFERROR(__xludf.DUMMYFUNCTION("GOOGLETRANSLATE(A1622 , ""tr"" , ""en"")"),"@drfahrettinkoca Our best physicians are working in Europe and you wait for my assignment.")</f>
        <v>@drfahrettinkoca Our best physicians are working in Europe and you wait for my assignment.</v>
      </c>
    </row>
    <row r="4824" spans="1:5" ht="15" customHeight="1" x14ac:dyDescent="0.2">
      <c r="A4824" s="1" t="s">
        <v>9637</v>
      </c>
      <c r="B4824" s="1">
        <v>27</v>
      </c>
      <c r="C4824" s="3">
        <v>44541.872824074075</v>
      </c>
      <c r="D4824" s="1" t="s">
        <v>9638</v>
      </c>
      <c r="E4824" s="1" t="str">
        <f ca="1">IFERROR(__xludf.DUMMYFUNCTION("GOOGLETRANSLATE(A1623 , ""tr"" , ""en"")"),"@drfahrettinkoca Omicron, you are explaining midnight in the omicron, landed in our heart, we can't sleep my immunity ... https://t.co/mxwassefaz")</f>
        <v>@drfahrettinkoca Omicron, you are explaining midnight in the omicron, landed in our heart, we can't sleep my immunity ... https://t.co/mxwassefaz</v>
      </c>
    </row>
    <row r="4825" spans="1:5" ht="15" customHeight="1" x14ac:dyDescent="0.2">
      <c r="A4825" s="1" t="s">
        <v>9639</v>
      </c>
      <c r="B4825" s="1">
        <v>0</v>
      </c>
      <c r="C4825" s="3">
        <v>44541.872627314813</v>
      </c>
      <c r="D4825" s="1" t="s">
        <v>9640</v>
      </c>
      <c r="E4825" s="1" t="str">
        <f ca="1">IFERROR(__xludf.DUMMYFUNCTION("GOOGLETRANSLATE(A1624 , ""tr"" , ""en"")"),"@drfahrettinkoca Mr. Ministry Full 1 month I can't find an appointment in any polyclinics especially 6 months in the skin Rand ... https://t.co/qlfsl2l9vy")</f>
        <v>@drfahrettinkoca Mr. Ministry Full 1 month I can't find an appointment in any polyclinics especially 6 months in the skin Rand ... https://t.co/qlfsl2l9vy</v>
      </c>
    </row>
    <row r="4826" spans="1:5" ht="15" customHeight="1" x14ac:dyDescent="0.2">
      <c r="A4826" s="1" t="s">
        <v>9641</v>
      </c>
      <c r="B4826" s="1">
        <v>0</v>
      </c>
      <c r="C4826" s="3">
        <v>44541.872581018521</v>
      </c>
      <c r="D4826" s="1" t="s">
        <v>9642</v>
      </c>
      <c r="E4826" s="1" t="str">
        <f ca="1">IFERROR(__xludf.DUMMYFUNCTION("GOOGLETRANSLATE(A1625 , ""tr"" , ""en"")"),"@drfahrettinka you can't keep your physician in our country but!")</f>
        <v>@drfahrettinka you can't keep your physician in our country but!</v>
      </c>
    </row>
    <row r="4827" spans="1:5" ht="15" customHeight="1" x14ac:dyDescent="0.2">
      <c r="A4827" s="1" t="s">
        <v>9643</v>
      </c>
      <c r="B4827" s="1">
        <v>0</v>
      </c>
      <c r="C4827" s="3">
        <v>44541.871678240743</v>
      </c>
      <c r="D4827" s="1" t="s">
        <v>9644</v>
      </c>
      <c r="E4827" s="1" t="str">
        <f ca="1">IFERROR(__xludf.DUMMYFUNCTION("GOOGLETRANSLATE(A1626 , ""tr"" , ""en"")"),"@drfahrettinkoca do we ever forget? The physicians giving favicovir did not cause few people's death. Allah will settle out of them ... https://t.co/fjh1zrb9kx")</f>
        <v>@drfahrettinkoca do we ever forget? The physicians giving favicovir did not cause few people's death. Allah will settle out of them ... https://t.co/fjh1zrb9kx</v>
      </c>
    </row>
    <row r="4828" spans="1:5" ht="15" customHeight="1" x14ac:dyDescent="0.2">
      <c r="A4828" s="1" t="s">
        <v>9645</v>
      </c>
      <c r="B4828" s="1">
        <v>1</v>
      </c>
      <c r="C4828" s="3">
        <v>44541.871550925927</v>
      </c>
      <c r="D4828" s="1" t="s">
        <v>9646</v>
      </c>
      <c r="E4828" s="1" t="str">
        <f ca="1">IFERROR(__xludf.DUMMYFUNCTION("GOOGLETRANSLATE(A1627 , ""tr"" , ""en"")"),"@drfahrettinkoca eeee don't miss then .. !!!!")</f>
        <v>@drfahrettinkoca eeee don't miss then .. !!!!</v>
      </c>
    </row>
    <row r="4829" spans="1:5" ht="15" customHeight="1" x14ac:dyDescent="0.2">
      <c r="A4829" s="1" t="s">
        <v>9647</v>
      </c>
      <c r="B4829" s="1">
        <v>34</v>
      </c>
      <c r="C4829" s="3">
        <v>44541.871041666665</v>
      </c>
      <c r="D4829" s="1" t="s">
        <v>9648</v>
      </c>
      <c r="E4829" s="1" t="str">
        <f ca="1">IFERROR(__xludf.DUMMYFUNCTION("GOOGLETRANSLATE(A1628 , ""tr"" , ""en"")"),"@drfahrettinkoca If you do not find the problems of the physicians urgently, she is waiting for those rich countries embraces. Sadec ... https://t.co/ghngnhmkqs")</f>
        <v>@drfahrettinkoca If you do not find the problems of the physicians urgently, she is waiting for those rich countries embraces. Sadec ... https://t.co/ghngnhmkqs</v>
      </c>
    </row>
    <row r="4830" spans="1:5" ht="15" customHeight="1" x14ac:dyDescent="0.2">
      <c r="A4830" s="1" t="s">
        <v>9649</v>
      </c>
      <c r="B4830" s="1">
        <v>0</v>
      </c>
      <c r="C4830" s="3">
        <v>44541.871030092596</v>
      </c>
      <c r="D4830" s="1" t="s">
        <v>9650</v>
      </c>
      <c r="E4830" s="1" t="str">
        <f ca="1">IFERROR(__xludf.DUMMYFUNCTION("GOOGLETRANSLATE(A1629 , ""tr"" , ""en"")"),"@drfahrettinkoca 1-) within 3 months in June 2-) We are trying to increase the number (Note: Number 30.924) 3-) CB; 40 thousand right ... https://t.co/q9zmzl1lof")</f>
        <v>@drfahrettinkoca 1-) within 3 months in June 2-) We are trying to increase the number (Note: Number 30.924) 3-) CB; 40 thousand right ... https://t.co/q9zmzl1lof</v>
      </c>
    </row>
    <row r="4831" spans="1:5" ht="15" customHeight="1" x14ac:dyDescent="0.2">
      <c r="A4831" s="1" t="s">
        <v>9651</v>
      </c>
      <c r="B4831" s="1">
        <v>2</v>
      </c>
      <c r="C4831" s="3">
        <v>44541.871006944442</v>
      </c>
      <c r="D4831" s="1" t="s">
        <v>9652</v>
      </c>
      <c r="E4831" s="1" t="str">
        <f ca="1">IFERROR(__xludf.DUMMYFUNCTION("GOOGLETRANSLATE(A1630 , ""tr"" , ""en"")"),"@drfahrettinkoca I wish you are looking as they looked as they look at your physicians ...")</f>
        <v>@drfahrettinkoca I wish you are looking as they looked as they look at your physicians ...</v>
      </c>
    </row>
    <row r="4832" spans="1:5" ht="15" customHeight="1" x14ac:dyDescent="0.2">
      <c r="A4832" s="1" t="s">
        <v>9653</v>
      </c>
      <c r="B4832" s="1">
        <v>0</v>
      </c>
      <c r="C4832" s="3">
        <v>44541.870879629627</v>
      </c>
      <c r="D4832" s="1" t="s">
        <v>9654</v>
      </c>
      <c r="E4832" s="1" t="str">
        <f ca="1">IFERROR(__xludf.DUMMYFUNCTION("GOOGLETRANSLATE(A1631 , ""tr"" , ""en"")"),"@drfahrettinkoca omicorn What are you looking forward to? Turn off Schools Turn off schools in Europe Omicorn Tün Country ... https://t.co/jmluxz4zxt")</f>
        <v>@drfahrettinkoca omicorn What are you looking forward to? Turn off Schools Turn off schools in Europe Omicorn Tün Country ... https://t.co/jmluxz4zxt</v>
      </c>
    </row>
    <row r="4833" spans="1:5" ht="15" customHeight="1" x14ac:dyDescent="0.2">
      <c r="A4833" s="1" t="s">
        <v>9655</v>
      </c>
      <c r="B4833" s="1">
        <v>0</v>
      </c>
      <c r="C4833" s="3">
        <v>44541.870775462965</v>
      </c>
      <c r="D4833" s="1" t="s">
        <v>9656</v>
      </c>
      <c r="E4833" s="1" t="str">
        <f ca="1">IFERROR(__xludf.DUMMYFUNCTION("GOOGLETRANSLATE(A1632 , ""tr"" , ""en"")"),"@drfahrettinkoca you get to you at your minister atamayida 722 you have been putting to 2022 GAH ALLA CHANGE A STOCK RULT NA ... HTTPS://T.CO/PVYIHQV1PD")</f>
        <v>@drfahrettinkoca you get to you at your minister atamayida 722 you have been putting to 2022 GAH ALLA CHANGE A STOCK RULT NA ... HTTPS://T.CO/PVYIHQV1PD</v>
      </c>
    </row>
    <row r="4834" spans="1:5" ht="15" customHeight="1" x14ac:dyDescent="0.2">
      <c r="A4834" s="1" t="s">
        <v>9657</v>
      </c>
      <c r="B4834" s="1">
        <v>2</v>
      </c>
      <c r="C4834" s="3">
        <v>44541.869340277779</v>
      </c>
      <c r="D4834" s="1" t="s">
        <v>9658</v>
      </c>
      <c r="E4834" s="1" t="str">
        <f ca="1">IFERROR(__xludf.DUMMYFUNCTION("GOOGLETRANSLATE(A1633 , ""tr"" , ""en"")"),"@drfahrettinkoca joke You look like a joke 40k Health Purchase Going on 30 thousand Drop 20 thousand Healthier Buy Your work Power ... https://t.co/qb0vlhdkm7")</f>
        <v>@drfahrettinkoca joke You look like a joke 40k Health Purchase Going on 30 thousand Drop 20 thousand Healthier Buy Your work Power ... https://t.co/qb0vlhdkm7</v>
      </c>
    </row>
    <row r="4835" spans="1:5" ht="15" customHeight="1" x14ac:dyDescent="0.2">
      <c r="A4835" s="1" t="s">
        <v>9659</v>
      </c>
      <c r="B4835" s="1">
        <v>0</v>
      </c>
      <c r="C4835" s="3">
        <v>44541.869062500002</v>
      </c>
      <c r="D4835" s="1" t="s">
        <v>9660</v>
      </c>
      <c r="E4835" s="1" t="str">
        <f ca="1">IFERROR(__xludf.DUMMYFUNCTION("GOOGLETRANSLATE(A1634 , ""tr"" , ""en"")"),"@drfahrettinkoca multiply pity is what pity is the pity as well as find the word to say what to divide the purchase all these young Suan tears in the tears")</f>
        <v>@drfahrettinkoca multiply pity is what pity is the pity as well as find the word to say what to divide the purchase all these young Suan tears in the tears</v>
      </c>
    </row>
    <row r="4836" spans="1:5" ht="15" customHeight="1" x14ac:dyDescent="0.2">
      <c r="A4836" s="1" t="s">
        <v>9661</v>
      </c>
      <c r="B4836" s="1">
        <v>0</v>
      </c>
      <c r="C4836" s="3">
        <v>44541.868622685186</v>
      </c>
      <c r="D4836" s="1" t="s">
        <v>9662</v>
      </c>
      <c r="E4836" s="1" t="str">
        <f ca="1">IFERROR(__xludf.DUMMYFUNCTION("GOOGLETRANSLATE(A1635 , ""tr"" , ""en"")"),"@drfahrettinka Exit the possession so")</f>
        <v>@drfahrettinka Exit the possession so</v>
      </c>
    </row>
    <row r="4837" spans="1:5" ht="15" customHeight="1" x14ac:dyDescent="0.2">
      <c r="A4837" s="1" t="s">
        <v>9663</v>
      </c>
      <c r="B4837" s="1">
        <v>0</v>
      </c>
      <c r="C4837" s="3">
        <v>44541.86859953704</v>
      </c>
      <c r="D4837" s="1" t="s">
        <v>9664</v>
      </c>
      <c r="E4837" s="1" t="str">
        <f ca="1">IFERROR(__xludf.DUMMYFUNCTION("GOOGLETRANSLATE(A1636 , ""tr"" , ""en"")"),"@drfahrettinkoca @drfahrettinkoca @drfahrettinkoca @rterdogan How do you people black out our youth our blood ... https://t.co/oggzumutwi")</f>
        <v>@drfahrettinkoca @drfahrettinkoca @drfahrettinkoca @rterdogan How do you people black out our youth our blood ... https://t.co/oggzumutwi</v>
      </c>
    </row>
    <row r="4838" spans="1:5" ht="15" customHeight="1" x14ac:dyDescent="0.2">
      <c r="A4838" s="1" t="s">
        <v>9665</v>
      </c>
      <c r="B4838" s="1">
        <v>1</v>
      </c>
      <c r="C4838" s="3">
        <v>44541.868356481478</v>
      </c>
      <c r="D4838" s="1" t="s">
        <v>9666</v>
      </c>
      <c r="E4838" s="1" t="str">
        <f ca="1">IFERROR(__xludf.DUMMYFUNCTION("GOOGLETRANSLATE(A1637 , ""tr"" , ""en"")"),"@drfahrettinkoca Buyer Don't look at, take the bride, I'm ready, announced to developed countries.")</f>
        <v>@drfahrettinkoca Buyer Don't look at, take the bride, I'm ready, announced to developed countries.</v>
      </c>
    </row>
    <row r="4839" spans="1:5" ht="15" customHeight="1" x14ac:dyDescent="0.2">
      <c r="A4839" s="1" t="s">
        <v>9667</v>
      </c>
      <c r="B4839" s="1">
        <v>1</v>
      </c>
      <c r="C4839" s="3">
        <v>44541.868287037039</v>
      </c>
      <c r="D4839" s="1" t="s">
        <v>9668</v>
      </c>
      <c r="E4839" s="1" t="str">
        <f ca="1">IFERROR(__xludf.DUMMYFUNCTION("GOOGLETRANSLATE(A1638 , ""tr"" , ""en"")"),"@drfahrettinka new variant has still been closing no online training ???")</f>
        <v>@drfahrettinka new variant has still been closing no online training ???</v>
      </c>
    </row>
    <row r="4840" spans="1:5" ht="15" customHeight="1" x14ac:dyDescent="0.2">
      <c r="A4840" s="1" t="s">
        <v>9669</v>
      </c>
      <c r="B4840" s="1">
        <v>0</v>
      </c>
      <c r="C4840" s="3">
        <v>44541.868113425924</v>
      </c>
      <c r="D4840" s="1" t="s">
        <v>9670</v>
      </c>
      <c r="E4840" s="1" t="str">
        <f ca="1">IFERROR(__xludf.DUMMYFUNCTION("GOOGLETRANSLATE(A1639 , ""tr"" , ""en"")"),"@drfahrettinkoca I think this point of view is reflected in the app ...")</f>
        <v>@drfahrettinkoca I think this point of view is reflected in the app ...</v>
      </c>
    </row>
    <row r="4841" spans="1:5" ht="15" customHeight="1" x14ac:dyDescent="0.2">
      <c r="A4841" s="1" t="s">
        <v>9671</v>
      </c>
      <c r="B4841" s="1">
        <v>0</v>
      </c>
      <c r="C4841" s="3">
        <v>44541.868055555555</v>
      </c>
      <c r="D4841" s="1" t="s">
        <v>9672</v>
      </c>
      <c r="E4841" s="1" t="str">
        <f ca="1">IFERROR(__xludf.DUMMYFUNCTION("GOOGLETRANSLATE(A1640 , ""tr"" , ""en"")"),"@drfahrettinkoca @vedatbilgn @drfahrettinkoca @ssbsemihdurmus @_aliyalcin_ New to be done ... https://t.co/haf90hsgll")</f>
        <v>@drfahrettinkoca @vedatbilgn @drfahrettinkoca @ssbsemihdurmus @_aliyalcin_ New to be done ... https://t.co/haf90hsgll</v>
      </c>
    </row>
    <row r="4842" spans="1:5" ht="15" customHeight="1" x14ac:dyDescent="0.2">
      <c r="A4842" s="1" t="s">
        <v>9673</v>
      </c>
      <c r="B4842" s="1">
        <v>1</v>
      </c>
      <c r="C4842" s="3">
        <v>44541.868055555555</v>
      </c>
      <c r="D4842" s="1" t="s">
        <v>9674</v>
      </c>
      <c r="E4842" s="1" t="str">
        <f ca="1">IFERROR(__xludf.DUMMYFUNCTION("GOOGLETRANSLATE(A1641 , ""tr"" , ""en"")"),"@drfahrettinkoca allah will settle up my minister")</f>
        <v>@drfahrettinkoca allah will settle up my minister</v>
      </c>
    </row>
    <row r="4843" spans="1:5" ht="15" customHeight="1" x14ac:dyDescent="0.2">
      <c r="A4843" s="1" t="s">
        <v>9675</v>
      </c>
      <c r="B4843" s="1">
        <v>0</v>
      </c>
      <c r="C4843" s="3">
        <v>44541.867800925924</v>
      </c>
      <c r="D4843" s="1" t="s">
        <v>9676</v>
      </c>
      <c r="E4843" s="1" t="str">
        <f ca="1">IFERROR(__xludf.DUMMYFUNCTION("GOOGLETRANSLATE(A1642 , ""tr"" , ""en"")"),"@drfahrettinkoca We don't forget that we are already proud of our minister.")</f>
        <v>@drfahrettinkoca We don't forget that we are already proud of our minister.</v>
      </c>
    </row>
    <row r="4844" spans="1:5" ht="15" customHeight="1" x14ac:dyDescent="0.2">
      <c r="A4844" s="1" t="s">
        <v>9677</v>
      </c>
      <c r="B4844" s="1">
        <v>0</v>
      </c>
      <c r="C4844" s="3">
        <v>44541.867800925924</v>
      </c>
      <c r="D4844" s="1" t="s">
        <v>9678</v>
      </c>
      <c r="E4844" s="1" t="str">
        <f ca="1">IFERROR(__xludf.DUMMYFUNCTION("GOOGLETRANSLATE(A1643 , ""tr"" , ""en"")"),"@drfahrettinkoca Sayin Minister The teenagers guide are waiting when you stayed at tomorrow today.")</f>
        <v>@drfahrettinkoca Sayin Minister The teenagers guide are waiting when you stayed at tomorrow today.</v>
      </c>
    </row>
    <row r="4845" spans="1:5" ht="15" customHeight="1" x14ac:dyDescent="0.2">
      <c r="A4845" s="1" t="s">
        <v>9679</v>
      </c>
      <c r="B4845" s="1">
        <v>1</v>
      </c>
      <c r="C4845" s="3">
        <v>44541.867314814815</v>
      </c>
      <c r="D4845" s="1" t="s">
        <v>9680</v>
      </c>
      <c r="E4845" s="1" t="str">
        <f ca="1">IFERROR(__xludf.DUMMYFUNCTION("GOOGLETRANSLATE(A1644 , ""tr"" , ""en"")"),"@drfahrettinka https://t.co/njibcee6kw")</f>
        <v>@drfahrettinka https://t.co/njibcee6kw</v>
      </c>
    </row>
    <row r="4846" spans="1:5" ht="15" customHeight="1" x14ac:dyDescent="0.2">
      <c r="A4846" s="1" t="s">
        <v>9681</v>
      </c>
      <c r="B4846" s="1">
        <v>0</v>
      </c>
      <c r="C4846" s="3">
        <v>44541.867245370369</v>
      </c>
      <c r="D4846" s="1" t="s">
        <v>9682</v>
      </c>
      <c r="E4846" s="1" t="str">
        <f ca="1">IFERROR(__xludf.DUMMYFUNCTION("GOOGLETRANSLATE(A1645 , ""tr"" , ""en"")"),"@drfahrettinkoca patients who lead patients can't make an appointment prior to shabby 45 days Mr. Ministry What is happening")</f>
        <v>@drfahrettinkoca patients who lead patients can't make an appointment prior to shabby 45 days Mr. Ministry What is happening</v>
      </c>
    </row>
    <row r="4847" spans="1:5" ht="15" customHeight="1" x14ac:dyDescent="0.2">
      <c r="A4847" s="1" t="s">
        <v>9683</v>
      </c>
      <c r="B4847" s="1">
        <v>0</v>
      </c>
      <c r="C4847" s="3">
        <v>44541.866944444446</v>
      </c>
      <c r="D4847" s="1" t="s">
        <v>9684</v>
      </c>
      <c r="E4847" s="1" t="str">
        <f ca="1">IFERROR(__xludf.DUMMYFUNCTION("GOOGLETRANSLATE(A1646 , ""tr"" , ""en"")"),"@drfahrettinkoca Contact with New Variant Let's see Mr. Hekim Bey !! From where you sit")</f>
        <v>@drfahrettinkoca Contact with New Variant Let's see Mr. Hekim Bey !! From where you sit</v>
      </c>
    </row>
    <row r="4848" spans="1:5" ht="15" customHeight="1" x14ac:dyDescent="0.2">
      <c r="A4848" s="1" t="s">
        <v>9685</v>
      </c>
      <c r="B4848" s="1">
        <v>2</v>
      </c>
      <c r="C4848" s="3">
        <v>44541.866828703707</v>
      </c>
      <c r="D4848" s="1" t="s">
        <v>9686</v>
      </c>
      <c r="E4848" s="1" t="str">
        <f ca="1">IFERROR(__xludf.DUMMYFUNCTION("GOOGLETRANSLATE(A1647 , ""tr"" , ""en"")"),"@drfahrettinka how do you dream of the dream of all this teenager. Especially the health management of")</f>
        <v>@drfahrettinka how do you dream of the dream of all this teenager. Especially the health management of</v>
      </c>
    </row>
    <row r="4849" spans="1:5" ht="15" customHeight="1" x14ac:dyDescent="0.2">
      <c r="A4849" s="1" t="s">
        <v>9687</v>
      </c>
      <c r="B4849" s="1">
        <v>0</v>
      </c>
      <c r="C4849" s="3">
        <v>44541.866712962961</v>
      </c>
      <c r="D4849" s="1" t="s">
        <v>9688</v>
      </c>
      <c r="E4849" s="1" t="str">
        <f ca="1">IFERROR(__xludf.DUMMYFUNCTION("GOOGLETRANSLATE(A1648 , ""tr"" , ""en"")"),"@drfahrettinkoca you don't know why?.")</f>
        <v>@drfahrettinkoca you don't know why?.</v>
      </c>
    </row>
    <row r="4850" spans="1:5" ht="15" customHeight="1" x14ac:dyDescent="0.2">
      <c r="A4850" s="1" t="s">
        <v>9689</v>
      </c>
      <c r="B4850" s="1">
        <v>0</v>
      </c>
      <c r="C4850" s="3">
        <v>44541.866481481484</v>
      </c>
      <c r="D4850" s="1" t="s">
        <v>9690</v>
      </c>
      <c r="E4850" s="1" t="str">
        <f ca="1">IFERROR(__xludf.DUMMYFUNCTION("GOOGLETRANSLATE(A1649 , ""tr"" , ""en"")"),"@drfahrettinka Mr. Minister 70 percent fitted subcontractor What will be my sister working in the hospital Mama Mutfa ... https://t.co/kk7wcorrh8")</f>
        <v>@drfahrettinka Mr. Minister 70 percent fitted subcontractor What will be my sister working in the hospital Mama Mutfa ... https://t.co/kk7wcorrh8</v>
      </c>
    </row>
    <row r="4851" spans="1:5" ht="15" customHeight="1" x14ac:dyDescent="0.2">
      <c r="A4851" s="1" t="s">
        <v>9691</v>
      </c>
      <c r="B4851" s="1">
        <v>0</v>
      </c>
      <c r="C4851" s="3">
        <v>44541.865868055553</v>
      </c>
      <c r="D4851" s="1" t="s">
        <v>9692</v>
      </c>
      <c r="E4851" s="1" t="str">
        <f ca="1">IFERROR(__xludf.DUMMYFUNCTION("GOOGLETRANSLATE(A1650 , ""tr"" , ""en"")"),"@drfahrettinka Mr. Ministry of Ministry Listen to a little stop citizen 1995 and after the pharmaceutical citizen dying the citizen tan ... https://t.co/0nepg0qghu")</f>
        <v>@drfahrettinka Mr. Ministry of Ministry Listen to a little stop citizen 1995 and after the pharmaceutical citizen dying the citizen tan ... https://t.co/0nepg0qghu</v>
      </c>
    </row>
    <row r="4852" spans="1:5" ht="15" customHeight="1" x14ac:dyDescent="0.2">
      <c r="A4852" s="1" t="s">
        <v>9693</v>
      </c>
      <c r="B4852" s="1">
        <v>0</v>
      </c>
      <c r="C4852" s="3">
        <v>44541.86515046296</v>
      </c>
      <c r="D4852" s="1" t="s">
        <v>9694</v>
      </c>
      <c r="E4852" s="1" t="str">
        <f ca="1">IFERROR(__xludf.DUMMYFUNCTION("GOOGLETRANSLATE(A1651 , ""tr"" , ""en"")"),"@drfahrettinkoca Well")</f>
        <v>@drfahrettinkoca Well</v>
      </c>
    </row>
    <row r="4853" spans="1:5" ht="15" customHeight="1" x14ac:dyDescent="0.2">
      <c r="A4853" s="1" t="s">
        <v>9695</v>
      </c>
      <c r="B4853" s="1">
        <v>4</v>
      </c>
      <c r="C4853" s="3">
        <v>44541.86482638889</v>
      </c>
      <c r="D4853" s="1" t="s">
        <v>9696</v>
      </c>
      <c r="E4853" s="1" t="str">
        <f ca="1">IFERROR(__xludf.DUMMYFUNCTION("GOOGLETRANSLATE(A1652 , ""tr"" , ""en"")"),"@drfahrettinkoca is a correct promise to keep the people in this country in this country continues violence ... https://t.co/22ancu23hn")</f>
        <v>@drfahrettinkoca is a correct promise to keep the people in this country in this country continues violence ... https://t.co/22ancu23hn</v>
      </c>
    </row>
    <row r="4854" spans="1:5" ht="15" customHeight="1" x14ac:dyDescent="0.2">
      <c r="A4854" s="1" t="s">
        <v>9697</v>
      </c>
      <c r="B4854" s="1">
        <v>0</v>
      </c>
      <c r="C4854" s="3">
        <v>44541.864618055559</v>
      </c>
      <c r="D4854" s="1" t="s">
        <v>9698</v>
      </c>
      <c r="E4854" s="1" t="str">
        <f ca="1">IFERROR(__xludf.DUMMYFUNCTION("GOOGLETRANSLATE(A1653 , ""tr"" , ""en"")"),"@drfahrettinka new variant you get a measure according to our country now!")</f>
        <v>@drfahrettinka new variant you get a measure according to our country now!</v>
      </c>
    </row>
    <row r="4855" spans="1:5" ht="15" customHeight="1" x14ac:dyDescent="0.2">
      <c r="A4855" s="1" t="s">
        <v>9699</v>
      </c>
      <c r="B4855" s="1">
        <v>0</v>
      </c>
      <c r="C4855" s="3">
        <v>44541.864525462966</v>
      </c>
      <c r="D4855" s="1" t="s">
        <v>9700</v>
      </c>
      <c r="E4855" s="1" t="str">
        <f ca="1">IFERROR(__xludf.DUMMYFUNCTION("GOOGLETRANSLATE(A1654 , ""tr"" , ""en"")"),"@drfahrettinkoca Really Mr. Minister. Your 700 euro (Seven hundred with lettering) pay physicians overseas ... https://t.co/gcf41h3kdt")</f>
        <v>@drfahrettinkoca Really Mr. Minister. Your 700 euro (Seven hundred with lettering) pay physicians overseas ... https://t.co/gcf41h3kdt</v>
      </c>
    </row>
    <row r="4856" spans="1:5" ht="15" customHeight="1" x14ac:dyDescent="0.2">
      <c r="A4856" s="1" t="s">
        <v>9701</v>
      </c>
      <c r="B4856" s="1">
        <v>68</v>
      </c>
      <c r="C4856" s="3">
        <v>44541.864502314813</v>
      </c>
      <c r="D4856" s="1" t="s">
        <v>9702</v>
      </c>
      <c r="E4856" s="1" t="str">
        <f ca="1">IFERROR(__xludf.DUMMYFUNCTION("GOOGLETRANSLATE(A1655 , ""tr"" , ""en"")"),"@drfahrettinka Do not be chopped to these hardworking physicians, idealistic young people, give their rights ... and not much ... https://t.co/thfh6dhmii")</f>
        <v>@drfahrettinka Do not be chopped to these hardworking physicians, idealistic young people, give their rights ... and not much ... https://t.co/thfh6dhmii</v>
      </c>
    </row>
    <row r="4857" spans="1:5" ht="15" customHeight="1" x14ac:dyDescent="0.2">
      <c r="A4857" s="1" t="s">
        <v>9703</v>
      </c>
      <c r="B4857" s="1">
        <v>0</v>
      </c>
      <c r="C4857" s="3">
        <v>44541.864328703705</v>
      </c>
      <c r="D4857" s="1" t="s">
        <v>9704</v>
      </c>
      <c r="E4857" s="1" t="str">
        <f ca="1">IFERROR(__xludf.DUMMYFUNCTION("GOOGLETRANSLATE(A1656 , ""tr"" , ""en"")"),"@drfahrettinkoca you are to destroy Zusagini. Subject to the vote, they can go geriip.")</f>
        <v>@drfahrettinkoca you are to destroy Zusagini. Subject to the vote, they can go geriip.</v>
      </c>
    </row>
    <row r="4858" spans="1:5" ht="15" customHeight="1" x14ac:dyDescent="0.2">
      <c r="A4858" s="1" t="s">
        <v>9705</v>
      </c>
      <c r="B4858" s="1">
        <v>1</v>
      </c>
      <c r="C4858" s="3">
        <v>44541.864178240743</v>
      </c>
      <c r="D4858" s="1" t="s">
        <v>9706</v>
      </c>
      <c r="E4858" s="1" t="str">
        <f ca="1">IFERROR(__xludf.DUMMYFUNCTION("GOOGLETRANSLATE(A1657 , ""tr"" , ""en"")"),"@drfahrettinkoca This country's teenagers are binding to one of the two words you say, why do you do this to the purchase ... https://t.co/vqrh66dbqb")</f>
        <v>@drfahrettinkoca This country's teenagers are binding to one of the two words you say, why do you do this to the purchase ... https://t.co/vqrh66dbqb</v>
      </c>
    </row>
    <row r="4859" spans="1:5" ht="15" customHeight="1" x14ac:dyDescent="0.2">
      <c r="A4859" s="1" t="s">
        <v>9707</v>
      </c>
      <c r="B4859" s="1">
        <v>1</v>
      </c>
      <c r="C4859" s="3">
        <v>44541.863136574073</v>
      </c>
      <c r="D4859" s="1" t="s">
        <v>9708</v>
      </c>
      <c r="E4859" s="1" t="str">
        <f ca="1">IFERROR(__xludf.DUMMYFUNCTION("GOOGLETRANSLATE(A1658 , ""tr"" , ""en"")"),"@drfahrettinkoca Doctors' right not payable You said your promise Bravo")</f>
        <v>@drfahrettinkoca Doctors' right not payable You said your promise Bravo</v>
      </c>
    </row>
    <row r="4860" spans="1:5" ht="15" customHeight="1" x14ac:dyDescent="0.2">
      <c r="A4860" s="1" t="s">
        <v>9709</v>
      </c>
      <c r="B4860" s="1">
        <v>27</v>
      </c>
      <c r="C4860" s="3">
        <v>44541.862997685188</v>
      </c>
      <c r="D4860" s="1" t="s">
        <v>9710</v>
      </c>
      <c r="E4860" s="1" t="str">
        <f ca="1">IFERROR(__xludf.DUMMYFUNCTION("GOOGLETRANSLATE(A1659 , ""tr"" , ""en"")"),"@drfahrettinkoca Why did you only have your own university online? What are the crime of us? #AccountsManding Wooden")</f>
        <v>@drfahrettinkoca Why did you only have your own university online? What are the crime of us? #AccountsManding Wooden</v>
      </c>
    </row>
    <row r="4861" spans="1:5" ht="15" customHeight="1" x14ac:dyDescent="0.2">
      <c r="A4861" s="1" t="s">
        <v>9711</v>
      </c>
      <c r="B4861" s="1">
        <v>0</v>
      </c>
      <c r="C4861" s="3">
        <v>44541.862835648149</v>
      </c>
      <c r="D4861" s="1" t="s">
        <v>9712</v>
      </c>
      <c r="E4861" s="1" t="str">
        <f ca="1">IFERROR(__xludf.DUMMYFUNCTION("GOOGLETRANSLATE(A1660 , ""tr"" , ""en"")"),"@drfahrettinkoca @burliokkurulu_ give money to money men ....")</f>
        <v>@drfahrettinkoca @burliokkurulu_ give money to money men ....</v>
      </c>
    </row>
    <row r="4862" spans="1:5" ht="15" customHeight="1" x14ac:dyDescent="0.2">
      <c r="A4862" s="1" t="s">
        <v>9713</v>
      </c>
      <c r="B4862" s="1">
        <v>0</v>
      </c>
      <c r="C4862" s="3">
        <v>44541.862800925926</v>
      </c>
      <c r="D4862" s="1" t="s">
        <v>9714</v>
      </c>
      <c r="E4862" s="1" t="str">
        <f ca="1">IFERROR(__xludf.DUMMYFUNCTION("GOOGLETRANSLATE(A1661 , ""tr"" , ""en"")"),"@drfahrettinkoca buyers are already taking physicians.")</f>
        <v>@drfahrettinkoca buyers are already taking physicians.</v>
      </c>
    </row>
    <row r="4863" spans="1:5" ht="15" customHeight="1" x14ac:dyDescent="0.2">
      <c r="A4863" s="1" t="s">
        <v>9715</v>
      </c>
      <c r="B4863" s="1">
        <v>3</v>
      </c>
      <c r="C4863" s="3">
        <v>44541.862372685187</v>
      </c>
      <c r="D4863" s="1" t="s">
        <v>9716</v>
      </c>
      <c r="E4863" s="1" t="str">
        <f ca="1">IFERROR(__xludf.DUMMYFUNCTION("GOOGLETRANSLATE(A1662 , ""tr"" , ""en"")"),"@drfahrettinkoca you will kill us all #asarararmeletmelimaktan")</f>
        <v>@drfahrettinkoca you will kill us all #asarararmeletmelimaktan</v>
      </c>
    </row>
    <row r="4864" spans="1:5" ht="15" customHeight="1" x14ac:dyDescent="0.2">
      <c r="A4864" s="1" t="s">
        <v>9717</v>
      </c>
      <c r="B4864" s="1">
        <v>0</v>
      </c>
      <c r="C4864" s="3">
        <v>44541.862141203703</v>
      </c>
      <c r="D4864" s="1" t="s">
        <v>9718</v>
      </c>
      <c r="E4864" s="1" t="str">
        <f ca="1">IFERROR(__xludf.DUMMYFUNCTION("GOOGLETRANSLATE(A1663 , ""tr"" , ""en"")"),"@drfahrettinkoca #What are you more looking forward to your vacuums")</f>
        <v>@drfahrettinkoca #What are you more looking forward to your vacuums</v>
      </c>
    </row>
    <row r="4865" spans="1:5" ht="15" customHeight="1" x14ac:dyDescent="0.2">
      <c r="A4865" s="1" t="s">
        <v>9719</v>
      </c>
      <c r="B4865" s="1">
        <v>0</v>
      </c>
      <c r="C4865" s="3">
        <v>44541.862025462964</v>
      </c>
      <c r="D4865" s="1" t="s">
        <v>9720</v>
      </c>
      <c r="E4865" s="1" t="str">
        <f ca="1">IFERROR(__xludf.DUMMYFUNCTION("GOOGLETRANSLATE(A1664 , ""tr"" , ""en"")"),"@drfahrettinkoca physicians are going, happiness with your own murities!")</f>
        <v>@drfahrettinkoca physicians are going, happiness with your own murities!</v>
      </c>
    </row>
    <row r="4866" spans="1:5" ht="15" customHeight="1" x14ac:dyDescent="0.2">
      <c r="A4866" s="1" t="s">
        <v>9721</v>
      </c>
      <c r="B4866" s="1">
        <v>0</v>
      </c>
      <c r="C4866" s="3">
        <v>44541.862013888887</v>
      </c>
      <c r="D4866" s="1" t="s">
        <v>9722</v>
      </c>
      <c r="E4866" s="1" t="str">
        <f ca="1">IFERROR(__xludf.DUMMYFUNCTION("GOOGLETRANSLATE(A1665 , ""tr"" , ""en"")"),"@drfahrettinkoca and even if you have received it, say if the di mi bea is obvious to say ye ...")</f>
        <v>@drfahrettinkoca and even if you have received it, say if the di mi bea is obvious to say ye ...</v>
      </c>
    </row>
    <row r="4867" spans="1:5" ht="15" customHeight="1" x14ac:dyDescent="0.2">
      <c r="A4867" s="1" t="s">
        <v>9723</v>
      </c>
      <c r="B4867" s="1">
        <v>19</v>
      </c>
      <c r="C4867" s="3">
        <v>44541.861655092594</v>
      </c>
      <c r="D4867" s="1" t="s">
        <v>9724</v>
      </c>
      <c r="E4867" s="1" t="str">
        <f ca="1">IFERROR(__xludf.DUMMYFUNCTION("GOOGLETRANSLATE(A1666 , ""tr"" , ""en"")"),"@drfahrettinka Your physicians are absent from the ability to Mr. Minister. The point is that he cannot persuade them to stay in the country ... https://t.co/e54g135tcn")</f>
        <v>@drfahrettinka Your physicians are absent from the ability to Mr. Minister. The point is that he cannot persuade them to stay in the country ... https://t.co/e54g135tcn</v>
      </c>
    </row>
    <row r="4868" spans="1:5" ht="15" customHeight="1" x14ac:dyDescent="0.2">
      <c r="A4868" s="1" t="s">
        <v>9725</v>
      </c>
      <c r="B4868" s="1">
        <v>0</v>
      </c>
      <c r="C4868" s="3">
        <v>44541.861215277779</v>
      </c>
      <c r="D4868" s="1" t="s">
        <v>9726</v>
      </c>
      <c r="E4868" s="1" t="str">
        <f ca="1">IFERROR(__xludf.DUMMYFUNCTION("GOOGLETRANSLATE(A1667 , ""tr"" , ""en"")"),"@drfahrettinkoca but Siizz you forgot")</f>
        <v>@drfahrettinkoca but Siizz you forgot</v>
      </c>
    </row>
    <row r="4869" spans="1:5" ht="15" customHeight="1" x14ac:dyDescent="0.2">
      <c r="A4869" s="1" t="s">
        <v>9727</v>
      </c>
      <c r="B4869" s="1">
        <v>0</v>
      </c>
      <c r="C4869" s="3">
        <v>44541.861030092594</v>
      </c>
      <c r="D4869" s="1" t="s">
        <v>9728</v>
      </c>
      <c r="E4869" s="1" t="str">
        <f ca="1">IFERROR(__xludf.DUMMYFUNCTION("GOOGLETRANSLATE(A1668 , ""tr"" , ""en"")"),"@drfahrettinkoca #AccountsMandization")</f>
        <v>@drfahrettinkoca #AccountsMandization</v>
      </c>
    </row>
    <row r="4870" spans="1:5" ht="15" customHeight="1" x14ac:dyDescent="0.2">
      <c r="A4870" s="1" t="s">
        <v>9729</v>
      </c>
      <c r="B4870" s="1">
        <v>0</v>
      </c>
      <c r="C4870" s="3">
        <v>44541.861030092594</v>
      </c>
      <c r="D4870" s="1" t="s">
        <v>9730</v>
      </c>
      <c r="E4870" s="1" t="str">
        <f ca="1">IFERROR(__xludf.DUMMYFUNCTION("GOOGLETRANSLATE(A1669 , ""tr"" , ""en"")"),"@drfahrettinkoca abi Don't forget that you do so do something to keep the guys here ahahaha")</f>
        <v>@drfahrettinkoca abi Don't forget that you do so do something to keep the guys here ahahaha</v>
      </c>
    </row>
    <row r="4871" spans="1:5" ht="15" customHeight="1" x14ac:dyDescent="0.2">
      <c r="A4871" s="1" t="s">
        <v>9731</v>
      </c>
      <c r="B4871" s="1">
        <v>0</v>
      </c>
      <c r="C4871" s="3">
        <v>44541.860902777778</v>
      </c>
      <c r="D4871" s="1" t="s">
        <v>9732</v>
      </c>
      <c r="E4871" s="1" t="str">
        <f ca="1">IFERROR(__xludf.DUMMYFUNCTION("GOOGLETRANSLATE(A1670 , ""tr"" , ""en"")"),"@drfahrettinkoca 2021 2022 without the use of budget allotted to health 2022 Since months 30000 Assignment Va ... https://t.co/vwtqw0omyi")</f>
        <v>@drfahrettinkoca 2021 2022 without the use of budget allotted to health 2022 Since months 30000 Assignment Va ... https://t.co/vwtqw0omyi</v>
      </c>
    </row>
    <row r="4872" spans="1:5" ht="15" customHeight="1" x14ac:dyDescent="0.2">
      <c r="A4872" s="1" t="s">
        <v>9733</v>
      </c>
      <c r="B4872" s="1">
        <v>1</v>
      </c>
      <c r="C4872" s="3">
        <v>44541.860520833332</v>
      </c>
      <c r="D4872" s="1" t="s">
        <v>9734</v>
      </c>
      <c r="E4872" s="1" t="str">
        <f ca="1">IFERROR(__xludf.DUMMYFUNCTION("GOOGLETRANSLATE(A1671 , ""tr"" , ""en"")"),"@drfahrettinkoca We strive to increase the number of purchases or have you dropped 40th in 40th?")</f>
        <v>@drfahrettinkoca We strive to increase the number of purchases or have you dropped 40th in 40th?</v>
      </c>
    </row>
    <row r="4873" spans="1:5" ht="15" customHeight="1" x14ac:dyDescent="0.2">
      <c r="A4873" s="1" t="s">
        <v>9735</v>
      </c>
      <c r="B4873" s="1">
        <v>18</v>
      </c>
      <c r="C4873" s="3">
        <v>44541.860393518517</v>
      </c>
      <c r="D4873" s="1" t="s">
        <v>9736</v>
      </c>
      <c r="E4873" s="1" t="str">
        <f ca="1">IFERROR(__xludf.DUMMYFUNCTION("GOOGLETRANSLATE(A1672 , ""tr"" , ""en"")"),"@drfahrettinkoca you will have to turn off the tradesman this time. The course is not good to multiply cases you are proliferated you omicron ... https://t.co/tqbkpmdr2c")</f>
        <v>@drfahrettinkoca you will have to turn off the tradesman this time. The course is not good to multiply cases you are proliferated you omicron ... https://t.co/tqbkpmdr2c</v>
      </c>
    </row>
    <row r="4874" spans="1:5" ht="15" customHeight="1" x14ac:dyDescent="0.2">
      <c r="A4874" s="1" t="s">
        <v>9737</v>
      </c>
      <c r="B4874" s="1">
        <v>2</v>
      </c>
      <c r="C4874" s="3">
        <v>44541.860347222224</v>
      </c>
      <c r="D4874" s="1" t="s">
        <v>9738</v>
      </c>
      <c r="E4874" s="1" t="str">
        <f ca="1">IFERROR(__xludf.DUMMYFUNCTION("GOOGLETRANSLATE(A1673 , ""tr"" , ""en"")"),"@drfahrettinka no, our physicians have been waiting at the doors that do not look at the patients as we worked in Covid 2 years and people ... https://t.co/xqma2wbmqm")</f>
        <v>@drfahrettinka no, our physicians have been waiting at the doors that do not look at the patients as we worked in Covid 2 years and people ... https://t.co/xqma2wbmqm</v>
      </c>
    </row>
    <row r="4875" spans="1:5" ht="15" customHeight="1" x14ac:dyDescent="0.2">
      <c r="A4875" s="1" t="s">
        <v>9739</v>
      </c>
      <c r="B4875" s="1">
        <v>1</v>
      </c>
      <c r="C4875" s="3">
        <v>44541.86010416667</v>
      </c>
      <c r="D4875" s="1" t="s">
        <v>9740</v>
      </c>
      <c r="E4875" s="1" t="str">
        <f ca="1">IFERROR(__xludf.DUMMYFUNCTION("GOOGLETRANSLATE(A1674 , ""tr"" , ""en"")"),"@drfahrettinkoca Doctor Wastes Pharmacies No Market Oil Der Market Oil Der Every Day Makes Him Paw Divan ... https://t.co/myyiuhı5bd")</f>
        <v>@drfahrettinkoca Doctor Wastes Pharmacies No Market Oil Der Market Oil Der Every Day Makes Him Paw Divan ... https://t.co/myyiuhı5bd</v>
      </c>
    </row>
    <row r="4876" spans="1:5" ht="15" customHeight="1" x14ac:dyDescent="0.2">
      <c r="A4876" s="1" t="s">
        <v>9741</v>
      </c>
      <c r="B4876" s="1">
        <v>0</v>
      </c>
      <c r="C4876" s="3">
        <v>44541.859953703701</v>
      </c>
      <c r="D4876" s="1" t="s">
        <v>9742</v>
      </c>
      <c r="E4876" s="1" t="str">
        <f ca="1">IFERROR(__xludf.DUMMYFUNCTION("GOOGLETRANSLATE(A1675 , ""tr"" , ""en"")"),"@drfahrettinkoca Mr. Overlooking We don't forget but you forget to do not make an appointment in hospitals because there is no doctor. Ö ... https://t.co/w978ad0vj7")</f>
        <v>@drfahrettinkoca Mr. Overlooking We don't forget but you forget to do not make an appointment in hospitals because there is no doctor. Ö ... https://t.co/w978ad0vj7</v>
      </c>
    </row>
    <row r="4877" spans="1:5" ht="15" customHeight="1" x14ac:dyDescent="0.2">
      <c r="A4877" s="1" t="s">
        <v>9743</v>
      </c>
      <c r="B4877" s="1">
        <v>0</v>
      </c>
      <c r="C4877" s="3">
        <v>44541.859525462962</v>
      </c>
      <c r="D4877" s="1" t="s">
        <v>9744</v>
      </c>
      <c r="E4877" s="1" t="str">
        <f ca="1">IFERROR(__xludf.DUMMYFUNCTION("GOOGLETRANSLATE(A1676 , ""tr"" , ""en"")"),"@drfahrettinkoca is only physicians well grown?")</f>
        <v>@drfahrettinkoca is only physicians well grown?</v>
      </c>
    </row>
    <row r="4878" spans="1:5" ht="15" customHeight="1" x14ac:dyDescent="0.2">
      <c r="A4878" s="1" t="s">
        <v>9745</v>
      </c>
      <c r="B4878" s="1">
        <v>0</v>
      </c>
      <c r="C4878" s="3">
        <v>44541.859282407408</v>
      </c>
      <c r="D4878" s="1" t="s">
        <v>9746</v>
      </c>
      <c r="E4878" s="1" t="str">
        <f ca="1">IFERROR(__xludf.DUMMYFUNCTION("GOOGLETRANSLATE(A1677 , ""tr"" , ""en"")"),"@drfahrettinka unfortunately, you will also be of the physicians, also from nurses ... everyone's eye turkey d ... https://t.co/kvmjub1ajg")</f>
        <v>@drfahrettinka unfortunately, you will also be of the physicians, also from nurses ... everyone's eye turkey d ... https://t.co/kvmjub1ajg</v>
      </c>
    </row>
    <row r="4879" spans="1:5" ht="15" customHeight="1" x14ac:dyDescent="0.2">
      <c r="A4879" s="1" t="s">
        <v>9747</v>
      </c>
      <c r="B4879" s="1">
        <v>0</v>
      </c>
      <c r="C4879" s="3">
        <v>44541.858969907407</v>
      </c>
      <c r="D4879" s="1" t="s">
        <v>9748</v>
      </c>
      <c r="E4879" s="1" t="str">
        <f ca="1">IFERROR(__xludf.DUMMYFUNCTION("GOOGLETRANSLATE(A1678 , ""tr"" , ""en"")"),"@drfahrettinkoca get pity. We have said to get it on a budget of 2021 Why are you stending 2022?")</f>
        <v>@drfahrettinkoca get pity. We have said to get it on a budget of 2021 Why are you stending 2022?</v>
      </c>
    </row>
    <row r="4880" spans="1:5" ht="15" customHeight="1" x14ac:dyDescent="0.2">
      <c r="A4880" s="1" t="s">
        <v>9749</v>
      </c>
      <c r="B4880" s="1">
        <v>8</v>
      </c>
      <c r="C4880" s="3">
        <v>44541.858726851853</v>
      </c>
      <c r="D4880" s="1" t="s">
        <v>9750</v>
      </c>
      <c r="E4880" s="1" t="str">
        <f ca="1">IFERROR(__xludf.DUMMYFUNCTION("GOOGLETRANSLATE(A1679 , ""tr"" , ""en"")"),"@drfahrettinkoca # CasalsStmandmandmond Https://t.co/f1vht9fobs")</f>
        <v>@drfahrettinkoca # CasalsStmandmandmond Https://t.co/f1vht9fobs</v>
      </c>
    </row>
    <row r="4881" spans="1:5" ht="15" customHeight="1" x14ac:dyDescent="0.2">
      <c r="A4881" s="1" t="s">
        <v>9751</v>
      </c>
      <c r="B4881" s="1">
        <v>3</v>
      </c>
      <c r="C4881" s="3">
        <v>44541.858680555553</v>
      </c>
      <c r="D4881" s="1" t="s">
        <v>9752</v>
      </c>
      <c r="E4881" s="1" t="str">
        <f ca="1">IFERROR(__xludf.DUMMYFUNCTION("GOOGLETRANSLATE(A1680 , ""tr"" , ""en"")"),"@drfahrettinkoca is that much. They deserve more. We are us in mind to them")</f>
        <v>@drfahrettinkoca is that much. They deserve more. We are us in mind to them</v>
      </c>
    </row>
    <row r="4882" spans="1:5" ht="15" customHeight="1" x14ac:dyDescent="0.2">
      <c r="A4882" s="1" t="s">
        <v>9753</v>
      </c>
      <c r="B4882" s="1">
        <v>1</v>
      </c>
      <c r="C4882" s="3">
        <v>44541.858611111114</v>
      </c>
      <c r="D4882" s="1" t="s">
        <v>9754</v>
      </c>
      <c r="E4882" s="1" t="str">
        <f ca="1">IFERROR(__xludf.DUMMYFUNCTION("GOOGLETRANSLATE(A1681 , ""tr"" , ""en"")"),"@drfahrettinkoca it's not, you do not forget to Mr. Minister")</f>
        <v>@drfahrettinkoca it's not, you do not forget to Mr. Minister</v>
      </c>
    </row>
    <row r="4883" spans="1:5" ht="15" customHeight="1" x14ac:dyDescent="0.2">
      <c r="A4883" s="1" t="s">
        <v>9755</v>
      </c>
      <c r="B4883" s="1">
        <v>0</v>
      </c>
      <c r="C4883" s="3">
        <v>44541.858599537038</v>
      </c>
      <c r="D4883" s="1" t="s">
        <v>9756</v>
      </c>
      <c r="E4883" s="1" t="str">
        <f ca="1">IFERROR(__xludf.DUMMYFUNCTION("GOOGLETRANSLATE(A1682 , ""tr"" , ""en"")"),"@drfahrettinkoca It was the best we know it is our self-confidence for overseas.")</f>
        <v>@drfahrettinkoca It was the best we know it is our self-confidence for overseas.</v>
      </c>
    </row>
    <row r="4884" spans="1:5" ht="15" customHeight="1" x14ac:dyDescent="0.2">
      <c r="A4884" s="1" t="s">
        <v>9757</v>
      </c>
      <c r="B4884" s="1">
        <v>0</v>
      </c>
      <c r="C4884" s="3">
        <v>44541.858263888891</v>
      </c>
      <c r="D4884" s="1" t="s">
        <v>9758</v>
      </c>
      <c r="E4884" s="1" t="str">
        <f ca="1">IFERROR(__xludf.DUMMYFUNCTION("GOOGLETRANSLATE(A1683 , ""tr"" , ""en"")"),"@drfahrettinkoca @saglikbakanligi Brew the country")</f>
        <v>@drfahrettinkoca @saglikbakanligi Brew the country</v>
      </c>
    </row>
    <row r="4885" spans="1:5" ht="15" customHeight="1" x14ac:dyDescent="0.2">
      <c r="A4885" s="1" t="s">
        <v>9759</v>
      </c>
      <c r="B4885" s="1">
        <v>2</v>
      </c>
      <c r="C4885" s="3">
        <v>44541.858136574076</v>
      </c>
      <c r="D4885" s="1" t="s">
        <v>9760</v>
      </c>
      <c r="E4885" s="1" t="str">
        <f ca="1">IFERROR(__xludf.DUMMYFUNCTION("GOOGLETRANSLATE(A1684 , ""tr"" , ""en"")"),"@drfahrettinkoca is not too buyers if our doctors are like you.")</f>
        <v>@drfahrettinkoca is not too buyers if our doctors are like you.</v>
      </c>
    </row>
    <row r="4886" spans="1:5" ht="15" customHeight="1" x14ac:dyDescent="0.2">
      <c r="A4886" s="1" t="s">
        <v>9761</v>
      </c>
      <c r="B4886" s="1">
        <v>3</v>
      </c>
      <c r="C4886" s="3">
        <v>44541.858101851853</v>
      </c>
      <c r="D4886" s="1" t="s">
        <v>9762</v>
      </c>
      <c r="E4886" s="1" t="str">
        <f ca="1">IFERROR(__xludf.DUMMYFUNCTION("GOOGLETRANSLATE(A1685 , ""tr"" , ""en"")"),"@drfahrettinkoca is good that there is no one's right to remain in anyone.")</f>
        <v>@drfahrettinkoca is good that there is no one's right to remain in anyone.</v>
      </c>
    </row>
    <row r="4887" spans="1:5" ht="15" customHeight="1" x14ac:dyDescent="0.2">
      <c r="A4887" s="1" t="s">
        <v>9763</v>
      </c>
      <c r="B4887" s="1">
        <v>4</v>
      </c>
      <c r="C4887" s="3">
        <v>44541.857928240737</v>
      </c>
      <c r="D4887" s="1" t="s">
        <v>9764</v>
      </c>
      <c r="E4887" s="1" t="str">
        <f ca="1">IFERROR(__xludf.DUMMYFUNCTION("GOOGLETRANSLATE(A1686 , ""tr"" , ""en"")"),"@drfahrettinkoca Here comes the OMICRON Operate # ConditionsMandization")</f>
        <v>@drfahrettinkoca Here comes the OMICRON Operate # ConditionsMandization</v>
      </c>
    </row>
    <row r="4888" spans="1:5" ht="15" customHeight="1" x14ac:dyDescent="0.2">
      <c r="A4888" s="1" t="s">
        <v>9765</v>
      </c>
      <c r="B4888" s="1">
        <v>6</v>
      </c>
      <c r="C4888" s="3">
        <v>44541.857870370368</v>
      </c>
      <c r="D4888" s="1" t="s">
        <v>9766</v>
      </c>
      <c r="E4888" s="1" t="str">
        <f ca="1">IFERROR(__xludf.DUMMYFUNCTION("GOOGLETRANSLATE(A1687 , ""tr"" , ""en"")"),"@drfahrettinkoca Location: Bursa High Specialized Intensive Care Vephors Deadly Nearby Patient Nearby, ""... Https://t.co/w0t5vzlaam")</f>
        <v>@drfahrettinkoca Location: Bursa High Specialized Intensive Care Vephors Deadly Nearby Patient Nearby, "... Https://t.co/w0t5vzlaam</v>
      </c>
    </row>
    <row r="4889" spans="1:5" ht="15" customHeight="1" x14ac:dyDescent="0.2">
      <c r="A4889" s="1" t="s">
        <v>9767</v>
      </c>
      <c r="B4889" s="1">
        <v>0</v>
      </c>
      <c r="C4889" s="3">
        <v>44541.857662037037</v>
      </c>
      <c r="D4889" s="1" t="s">
        <v>9768</v>
      </c>
      <c r="E4889" s="1" t="str">
        <f ca="1">IFERROR(__xludf.DUMMYFUNCTION("GOOGLETRANSLATE(A1688 , ""tr"" , ""en"")"),"@drfahrettinkoca is not what you have ever been in anything unaware of thing.")</f>
        <v>@drfahrettinkoca is not what you have ever been in anything unaware of thing.</v>
      </c>
    </row>
    <row r="4890" spans="1:5" ht="15" customHeight="1" x14ac:dyDescent="0.2">
      <c r="A4890" s="1" t="s">
        <v>9769</v>
      </c>
      <c r="B4890" s="1">
        <v>3</v>
      </c>
      <c r="C4890" s="3">
        <v>44541.857523148145</v>
      </c>
      <c r="D4890" s="1" t="s">
        <v>9770</v>
      </c>
      <c r="E4890" s="1" t="str">
        <f ca="1">IFERROR(__xludf.DUMMYFUNCTION("GOOGLETRANSLATE(A1689 , ""tr"" , ""en"")"),"@drfahrettinkoca Erciyes University Earthhane staff expressed by S.O. The person who is called 'staff is ... https://t.co/dsypxs62xq")</f>
        <v>@drfahrettinkoca Erciyes University Earthhane staff expressed by S.O. The person who is called 'staff is ... https://t.co/dsypxs62xq</v>
      </c>
    </row>
    <row r="4891" spans="1:5" ht="15" customHeight="1" x14ac:dyDescent="0.2">
      <c r="A4891" s="1" t="s">
        <v>9771</v>
      </c>
      <c r="B4891" s="1">
        <v>7</v>
      </c>
      <c r="C4891" s="3">
        <v>44541.857453703706</v>
      </c>
      <c r="D4891" s="1" t="s">
        <v>9772</v>
      </c>
      <c r="E4891" s="1" t="str">
        <f ca="1">IFERROR(__xludf.DUMMYFUNCTION("GOOGLETRANSLATE(A1690 , ""tr"" , ""en"")"),"The physician salary is on the hunger limit with 3800 TL as seen @drfahrettinkoca. Rotating capital to 6800. Konus ... https://t.co/uhxtmay1ny")</f>
        <v>The physician salary is on the hunger limit with 3800 TL as seen @drfahrettinkoca. Rotating capital to 6800. Konus ... https://t.co/uhxtmay1ny</v>
      </c>
    </row>
    <row r="4892" spans="1:5" ht="15" customHeight="1" x14ac:dyDescent="0.2">
      <c r="A4892" s="1" t="s">
        <v>9773</v>
      </c>
      <c r="B4892" s="1">
        <v>10</v>
      </c>
      <c r="C4892" s="3">
        <v>44541.85738425926</v>
      </c>
      <c r="D4892" s="1" t="s">
        <v>9774</v>
      </c>
      <c r="E4892" s="1" t="str">
        <f ca="1">IFERROR(__xludf.DUMMYFUNCTION("GOOGLETRANSLATE(A1691 , ""tr"" , ""en"")"),"@drfahrettinkoca you put it from one pocket to another; You say hike to him too; If the part reflected in my retirement is GE ... https://t.co/attpvfypxb")</f>
        <v>@drfahrettinkoca you put it from one pocket to another; You say hike to him too; If the part reflected in my retirement is GE ... https://t.co/attpvfypxb</v>
      </c>
    </row>
    <row r="4893" spans="1:5" ht="15" customHeight="1" x14ac:dyDescent="0.2">
      <c r="A4893" s="1" t="s">
        <v>9775</v>
      </c>
      <c r="B4893" s="1">
        <v>4</v>
      </c>
      <c r="C4893" s="3">
        <v>44541.85732638889</v>
      </c>
      <c r="D4893" s="1" t="s">
        <v>9776</v>
      </c>
      <c r="E4893" s="1" t="str">
        <f ca="1">IFERROR(__xludf.DUMMYFUNCTION("GOOGLETRANSLATE(A1692 , ""tr"" , ""en"")"),"@drfahrettinkoca # We want to work like people to be physicians! We want our rights to be improved! İci ... https://t.co/zchvx5tnnl")</f>
        <v>@drfahrettinkoca # We want to work like people to be physicians! We want our rights to be improved! İci ... https://t.co/zchvx5tnnl</v>
      </c>
    </row>
    <row r="4894" spans="1:5" ht="15" customHeight="1" x14ac:dyDescent="0.2">
      <c r="A4894" s="1" t="s">
        <v>9777</v>
      </c>
      <c r="B4894" s="1">
        <v>5</v>
      </c>
      <c r="C4894" s="3">
        <v>44541.857164351852</v>
      </c>
      <c r="D4894" s="1" t="s">
        <v>9778</v>
      </c>
      <c r="E4894" s="1" t="str">
        <f ca="1">IFERROR(__xludf.DUMMYFUNCTION("GOOGLETRANSLATE(A1693 , ""tr"" , ""en"")"),"@drfahrettinkoca Hani 36 hours guard had been removed? Who have made a list to run 36 hours. In these terms h ... https://t.co/uqoaIitqrn")</f>
        <v>@drfahrettinkoca Hani 36 hours guard had been removed? Who have made a list to run 36 hours. In these terms h ... https://t.co/uqoaIitqrn</v>
      </c>
    </row>
    <row r="4895" spans="1:5" ht="15" customHeight="1" x14ac:dyDescent="0.2">
      <c r="A4895" s="1" t="s">
        <v>9779</v>
      </c>
      <c r="B4895" s="1">
        <v>4</v>
      </c>
      <c r="C4895" s="3">
        <v>44541.857094907406</v>
      </c>
      <c r="D4895" s="1" t="s">
        <v>9780</v>
      </c>
      <c r="E4895" s="1" t="str">
        <f ca="1">IFERROR(__xludf.DUMMYFUNCTION("GOOGLETRANSLATE(A1694 , ""tr"" , ""en"")"),"@drfahrettinkoca you will either give us or we will get it! We'll be cologhut! We do not prefer the latter ... https://t.co/kfjpd3rtmr")</f>
        <v>@drfahrettinkoca you will either give us or we will get it! We'll be cologhut! We do not prefer the latter ... https://t.co/kfjpd3rtmr</v>
      </c>
    </row>
    <row r="4896" spans="1:5" ht="15" customHeight="1" x14ac:dyDescent="0.2">
      <c r="A4896" s="1" t="s">
        <v>9781</v>
      </c>
      <c r="B4896" s="1">
        <v>5</v>
      </c>
      <c r="C4896" s="3">
        <v>44541.857037037036</v>
      </c>
      <c r="D4896" s="1" t="s">
        <v>9782</v>
      </c>
      <c r="E4896" s="1" t="str">
        <f ca="1">IFERROR(__xludf.DUMMYFUNCTION("GOOGLETRANSLATE(A1695 , ""tr"" , ""en"")"),"@drfahrettinkoca physician salaries across the world. Think per Average Person Country Giving the 10th floor of national income ... https://t.co/UKG2ClUIBX")</f>
        <v>@drfahrettinkoca physician salaries across the world. Think per Average Person Country Giving the 10th floor of national income ... https://t.co/UKG2ClUIBX</v>
      </c>
    </row>
    <row r="4897" spans="1:5" ht="15" customHeight="1" x14ac:dyDescent="0.2">
      <c r="A4897" s="1" t="s">
        <v>9783</v>
      </c>
      <c r="B4897" s="1">
        <v>8</v>
      </c>
      <c r="C4897" s="3">
        <v>44541.85701388889</v>
      </c>
      <c r="D4897" s="1" t="s">
        <v>9784</v>
      </c>
      <c r="E4897" s="1" t="str">
        <f ca="1">IFERROR(__xludf.DUMMYFUNCTION("GOOGLETRANSLATE(A1696 , ""tr"" , ""en"")"),"@drfahrettinkoca ""me methetme bro give me money"" (Vizontele idea) Neatly 20k salary of 20 thousand salary for me ... https://t.co/kg5c1mzjto")</f>
        <v>@drfahrettinkoca "me methetme bro give me money" (Vizontele idea) Neatly 20k salary of 20 thousand salary for me ... https://t.co/kg5c1mzjto</v>
      </c>
    </row>
    <row r="4898" spans="1:5" ht="15" customHeight="1" x14ac:dyDescent="0.2">
      <c r="A4898" s="1" t="s">
        <v>9785</v>
      </c>
      <c r="B4898" s="1">
        <v>7</v>
      </c>
      <c r="C4898" s="3">
        <v>44541.856990740744</v>
      </c>
      <c r="D4898" s="1" t="s">
        <v>9786</v>
      </c>
      <c r="E4898" s="1" t="str">
        <f ca="1">IFERROR(__xludf.DUMMYFUNCTION("GOOGLETRANSLATE(A1697 , ""tr"" , ""en"")"),"@drfahrettinka doctors 3 days leave work from poverty? Do you go to squares with salary bodros? ... https://t.co/67otaqs0jn")</f>
        <v>@drfahrettinka doctors 3 days leave work from poverty? Do you go to squares with salary bodros? ... https://t.co/67otaqs0jn</v>
      </c>
    </row>
    <row r="4899" spans="1:5" ht="15" customHeight="1" x14ac:dyDescent="0.2">
      <c r="A4899" s="1" t="s">
        <v>9787</v>
      </c>
      <c r="B4899" s="1">
        <v>13</v>
      </c>
      <c r="C4899" s="3">
        <v>44541.856944444444</v>
      </c>
      <c r="D4899" s="1" t="s">
        <v>9788</v>
      </c>
      <c r="E4899" s="1" t="str">
        <f ca="1">IFERROR(__xludf.DUMMYFUNCTION("GOOGLETRANSLATE(A1698 , ""tr"" , ""en"")"),"@drfahrettinkoca We want our Rights Rights #Shexes")</f>
        <v>@drfahrettinkoca We want our Rights Rights #Shexes</v>
      </c>
    </row>
    <row r="4900" spans="1:5" ht="15" customHeight="1" x14ac:dyDescent="0.2">
      <c r="A4900" s="1" t="s">
        <v>9789</v>
      </c>
      <c r="B4900" s="1">
        <v>4</v>
      </c>
      <c r="C4900" s="3">
        <v>44541.856921296298</v>
      </c>
      <c r="D4900" s="1" t="s">
        <v>9790</v>
      </c>
      <c r="E4900" s="1" t="str">
        <f ca="1">IFERROR(__xludf.DUMMYFUNCTION("GOOGLETRANSLATE(A1699 , ""tr"" , ""en"")"),"@drfahrettinkoca Which occupational group works in these conditions, or are having to work. Conclusion ... https://t.co/epsujcr6zy")</f>
        <v>@drfahrettinkoca Which occupational group works in these conditions, or are having to work. Conclusion ... https://t.co/epsujcr6zy</v>
      </c>
    </row>
    <row r="4901" spans="1:5" ht="15" customHeight="1" x14ac:dyDescent="0.2">
      <c r="A4901" s="1" t="s">
        <v>9791</v>
      </c>
      <c r="B4901" s="1">
        <v>14</v>
      </c>
      <c r="C4901" s="3">
        <v>44541.856874999998</v>
      </c>
      <c r="D4901" s="1" t="s">
        <v>9792</v>
      </c>
      <c r="E4901" s="1" t="str">
        <f ca="1">IFERROR(__xludf.DUMMYFUNCTION("GOOGLETRANSLATE(A1700 , ""tr"" , ""en"")"),"@drfahrettinkoca We are going to leave work if a serious hike does not seem to be a serious hike at the 22 December Meeting.! Real hike but ... https://t.co/ka3gfiad4n")</f>
        <v>@drfahrettinkoca We are going to leave work if a serious hike does not seem to be a serious hike at the 22 December Meeting.! Real hike but ... https://t.co/ka3gfiad4n</v>
      </c>
    </row>
    <row r="4902" spans="1:5" ht="15" customHeight="1" x14ac:dyDescent="0.2">
      <c r="A4902" s="1" t="s">
        <v>9793</v>
      </c>
      <c r="B4902" s="1">
        <v>7</v>
      </c>
      <c r="C4902" s="3">
        <v>44541.856828703705</v>
      </c>
      <c r="D4902" s="1" t="s">
        <v>9794</v>
      </c>
      <c r="E4902" s="1" t="str">
        <f ca="1">IFERROR(__xludf.DUMMYFUNCTION("GOOGLETRANSLATE(A1701 , ""tr"" , ""en"")"),"@drfahrettinkoca #the dinens of thousands of colleagues will be attacked 36 hours uninterrupted seizure ... https://t.co/pp09s9ezcf")</f>
        <v>@drfahrettinkoca #the dinens of thousands of colleagues will be attacked 36 hours uninterrupted seizure ... https://t.co/pp09s9ezcf</v>
      </c>
    </row>
    <row r="4903" spans="1:5" ht="15" customHeight="1" x14ac:dyDescent="0.2">
      <c r="A4903" s="1" t="s">
        <v>9795</v>
      </c>
      <c r="B4903" s="1">
        <v>0</v>
      </c>
      <c r="C4903" s="3">
        <v>44541.856620370374</v>
      </c>
      <c r="D4903" s="1" t="s">
        <v>9796</v>
      </c>
      <c r="E4903" s="1" t="str">
        <f ca="1">IFERROR(__xludf.DUMMYFUNCTION("GOOGLETRANSLATE(A1702 , ""tr"" , ""en"")"),"@drfahrettinkoca sn.bakanim Please start the 3rdise vaccination for those who fill in 3 and 4 months. Let's be our principal without spreading variant")</f>
        <v>@drfahrettinkoca sn.bakanim Please start the 3rdise vaccination for those who fill in 3 and 4 months. Let's be our principal without spreading variant</v>
      </c>
    </row>
    <row r="4904" spans="1:5" ht="15" customHeight="1" x14ac:dyDescent="0.2">
      <c r="A4904" s="1" t="s">
        <v>9797</v>
      </c>
      <c r="B4904" s="1">
        <v>7</v>
      </c>
      <c r="C4904" s="3">
        <v>44541.856539351851</v>
      </c>
      <c r="D4904" s="1" t="s">
        <v>9798</v>
      </c>
      <c r="E4904" s="1" t="str">
        <f ca="1">IFERROR(__xludf.DUMMYFUNCTION("GOOGLETRANSLATE(A1703 , ""tr"" , ""en"")"),"@drfahrettinka we got too many physician enemies in this country. If you are very jealous of you to enter the exam, finish ... https://t.co/xz8j3zzpdr")</f>
        <v>@drfahrettinka we got too many physician enemies in this country. If you are very jealous of you to enter the exam, finish ... https://t.co/xz8j3zzpdr</v>
      </c>
    </row>
    <row r="4905" spans="1:5" ht="15" customHeight="1" x14ac:dyDescent="0.2">
      <c r="A4905" s="1" t="s">
        <v>9799</v>
      </c>
      <c r="B4905" s="1">
        <v>0</v>
      </c>
      <c r="C4905" s="3">
        <v>44541.856504629628</v>
      </c>
      <c r="D4905" s="1" t="s">
        <v>9800</v>
      </c>
      <c r="E4905" s="1" t="str">
        <f ca="1">IFERROR(__xludf.DUMMYFUNCTION("GOOGLETRANSLATE(A1704 , ""tr"" , ""en"")"),"@drfahrettinkoca We are truly tired of working for two pennys as at the Atansak private sector")</f>
        <v>@drfahrettinkoca We are truly tired of working for two pennys as at the Atansak private sector</v>
      </c>
    </row>
    <row r="4906" spans="1:5" ht="15" customHeight="1" x14ac:dyDescent="0.2">
      <c r="A4906" s="1" t="s">
        <v>9801</v>
      </c>
      <c r="B4906" s="1">
        <v>4</v>
      </c>
      <c r="C4906" s="3">
        <v>44541.856412037036</v>
      </c>
      <c r="D4906" s="1" t="s">
        <v>9802</v>
      </c>
      <c r="E4906" s="1" t="str">
        <f ca="1">IFERROR(__xludf.DUMMYFUNCTION("GOOGLETRANSLATE(A1705 , ""tr"" , ""en"")"),"@drfahrettinkoca If you can't avoid violence !!! #Pussies to @rterdogan @tcbestepe @iletisim @ drfahrettinkoca ... https://t.co/qdogneaglr")</f>
        <v>@drfahrettinkoca If you can't avoid violence !!! #Pussies to @rterdogan @tcbestepe @iletisim @ drfahrettinkoca ... https://t.co/qdogneaglr</v>
      </c>
    </row>
    <row r="4907" spans="1:5" ht="15" customHeight="1" x14ac:dyDescent="0.2">
      <c r="A4907" s="1" t="s">
        <v>9803</v>
      </c>
      <c r="B4907" s="1">
        <v>24</v>
      </c>
      <c r="C4907" s="3">
        <v>44541.856377314813</v>
      </c>
      <c r="D4907" s="1" t="s">
        <v>9804</v>
      </c>
      <c r="E4907" s="1" t="str">
        <f ca="1">IFERROR(__xludf.DUMMYFUNCTION("GOOGLETRANSLATE(A1706 , ""tr"" , ""en"")"),"@drfahrettinkoca is our life cheap? Why don't you have measures? Omicron takes all world measures, restricts ... https://t.co/Iyxxlktx7i")</f>
        <v>@drfahrettinkoca is our life cheap? Why don't you have measures? Omicron takes all world measures, restricts ... https://t.co/Iyxxlktx7i</v>
      </c>
    </row>
    <row r="4908" spans="1:5" ht="15" customHeight="1" x14ac:dyDescent="0.2">
      <c r="A4908" s="1" t="s">
        <v>9805</v>
      </c>
      <c r="B4908" s="1">
        <v>0</v>
      </c>
      <c r="C4908" s="3">
        <v>44541.856238425928</v>
      </c>
      <c r="D4908" s="1" t="s">
        <v>9806</v>
      </c>
      <c r="E4908" s="1" t="str">
        <f ca="1">IFERROR(__xludf.DUMMYFUNCTION("GOOGLETRANSLATE(A1707 , ""tr"" , ""en"")"),"Don't forget to forget @drfahrettinkoca? Fahrettin staring at the husband.")</f>
        <v>Don't forget to forget @drfahrettinkoca? Fahrettin staring at the husband.</v>
      </c>
    </row>
    <row r="4909" spans="1:5" ht="15" customHeight="1" x14ac:dyDescent="0.2">
      <c r="A4909" s="1" t="s">
        <v>9807</v>
      </c>
      <c r="B4909" s="1">
        <v>0</v>
      </c>
      <c r="C4909" s="3">
        <v>44541.855671296296</v>
      </c>
      <c r="D4909" s="1" t="s">
        <v>9808</v>
      </c>
      <c r="E4909" s="1" t="str">
        <f ca="1">IFERROR(__xludf.DUMMYFUNCTION("GOOGLETRANSLATE(A1708 , ""tr"" , ""en"")"),"@drfahrettinkoca Give it in the money. Physicians Yesin Other Health Staff Start Hungry You are right on you")</f>
        <v>@drfahrettinkoca Give it in the money. Physicians Yesin Other Health Staff Start Hungry You are right on you</v>
      </c>
    </row>
    <row r="4910" spans="1:5" ht="15" customHeight="1" x14ac:dyDescent="0.2">
      <c r="A4910" s="1" t="s">
        <v>9809</v>
      </c>
      <c r="B4910" s="1">
        <v>0</v>
      </c>
      <c r="C4910" s="3">
        <v>44541.855520833335</v>
      </c>
      <c r="D4910" s="1" t="s">
        <v>9810</v>
      </c>
      <c r="E4910" s="1" t="str">
        <f ca="1">IFERROR(__xludf.DUMMYFUNCTION("GOOGLETRANSLATE(A1709 , ""tr"" , ""en"")"),"@drfahrettinkoca come on Let's see this in answer https://t.co/t4llwfd0jw")</f>
        <v>@drfahrettinkoca come on Let's see this in answer https://t.co/t4llwfd0jw</v>
      </c>
    </row>
    <row r="4911" spans="1:5" ht="15" customHeight="1" x14ac:dyDescent="0.2">
      <c r="A4911" s="1" t="s">
        <v>9811</v>
      </c>
      <c r="B4911" s="1">
        <v>15</v>
      </c>
      <c r="C4911" s="3">
        <v>44541.855486111112</v>
      </c>
      <c r="D4911" s="1" t="s">
        <v>9812</v>
      </c>
      <c r="E4911" s="1" t="str">
        <f ca="1">IFERROR(__xludf.DUMMYFUNCTION("GOOGLETRANSLATE(A1710 , ""tr"" , ""en"")"),"@drfahrettinkoca Sörlım Lookim We want our Right Rights like our colleagues working in the best countries.")</f>
        <v>@drfahrettinkoca Sörlım Lookim We want our Right Rights like our colleagues working in the best countries.</v>
      </c>
    </row>
    <row r="4912" spans="1:5" ht="15" customHeight="1" x14ac:dyDescent="0.2">
      <c r="A4912" s="1" t="s">
        <v>9813</v>
      </c>
      <c r="B4912" s="1">
        <v>0</v>
      </c>
      <c r="C4912" s="3">
        <v>44541.855381944442</v>
      </c>
      <c r="D4912" s="1" t="s">
        <v>9814</v>
      </c>
      <c r="E4912" s="1" t="str">
        <f ca="1">IFERROR(__xludf.DUMMYFUNCTION("GOOGLETRANSLATE(A1711 , ""tr"" , ""en"")"),"@drfahrettinkoca are the rest ???")</f>
        <v>@drfahrettinkoca are the rest ???</v>
      </c>
    </row>
    <row r="4913" spans="1:5" ht="15" customHeight="1" x14ac:dyDescent="0.2">
      <c r="A4913" s="1" t="s">
        <v>9815</v>
      </c>
      <c r="B4913" s="1">
        <v>0</v>
      </c>
      <c r="C4913" s="3">
        <v>44541.855381944442</v>
      </c>
      <c r="D4913" s="1" t="s">
        <v>9816</v>
      </c>
      <c r="E4913" s="1" t="str">
        <f ca="1">IFERROR(__xludf.DUMMYFUNCTION("GOOGLETRANSLATE(A1712 , ""tr"" , ""en"")"),"@drfahrettinkoca Last Minute Minimum Wage Description .... https://t.co/pele1qpmf1")</f>
        <v>@drfahrettinkoca Last Minute Minimum Wage Description .... https://t.co/pele1qpmf1</v>
      </c>
    </row>
    <row r="4914" spans="1:5" ht="15" customHeight="1" x14ac:dyDescent="0.2">
      <c r="A4914" s="1" t="s">
        <v>9817</v>
      </c>
      <c r="B4914" s="1">
        <v>13</v>
      </c>
      <c r="C4914" s="3">
        <v>44541.855300925927</v>
      </c>
      <c r="D4914" s="1" t="s">
        <v>9818</v>
      </c>
      <c r="E4914" s="1" t="str">
        <f ca="1">IFERROR(__xludf.DUMMYFUNCTION("GOOGLETRANSLATE(A1713 , ""tr"" , ""en"")"),"@drfahrettinka finally you stop hiding that omicron is. Now also take measures and schools distance ... https://t.co/etfkmtumor")</f>
        <v>@drfahrettinka finally you stop hiding that omicron is. Now also take measures and schools distance ... https://t.co/etfkmtumor</v>
      </c>
    </row>
    <row r="4915" spans="1:5" ht="15" customHeight="1" x14ac:dyDescent="0.2">
      <c r="A4915" s="1" t="s">
        <v>9819</v>
      </c>
      <c r="B4915" s="1">
        <v>14</v>
      </c>
      <c r="C4915" s="3">
        <v>44541.855266203704</v>
      </c>
      <c r="D4915" s="1" t="s">
        <v>9820</v>
      </c>
      <c r="E4915" s="1" t="str">
        <f ca="1">IFERROR(__xludf.DUMMYFUNCTION("GOOGLETRANSLATE(A1714 , ""tr"" , ""en"")"),"@drfahrettinkoca 😃😃😃 Ohtaatkar prescription doctors? If you don't have the physicians you're talking about my pfizer tongs? Narrow time now ... https://t.co/6iqkoGSIWNOW")</f>
        <v>@drfahrettinkoca 😃😃😃 Ohtaatkar prescription doctors? If you don't have the physicians you're talking about my pfizer tongs? Narrow time now ... https://t.co/6iqkoGSIWNOW</v>
      </c>
    </row>
    <row r="4916" spans="1:5" ht="15" customHeight="1" x14ac:dyDescent="0.2">
      <c r="A4916" s="1" t="s">
        <v>9821</v>
      </c>
      <c r="B4916" s="1">
        <v>0</v>
      </c>
      <c r="C4916" s="3">
        <v>44541.855162037034</v>
      </c>
      <c r="D4916" s="1" t="s">
        <v>9822</v>
      </c>
      <c r="E4916" s="1" t="str">
        <f ca="1">IFERROR(__xludf.DUMMYFUNCTION("GOOGLETRANSLATE(A1715 , ""tr"" , ""en"")"),"@drfahrettinka https://t.co/tejyhm0ud2")</f>
        <v>@drfahrettinka https://t.co/tejyhm0ud2</v>
      </c>
    </row>
    <row r="4917" spans="1:5" ht="15" customHeight="1" x14ac:dyDescent="0.2">
      <c r="A4917" s="1" t="s">
        <v>9823</v>
      </c>
      <c r="B4917" s="1">
        <v>1</v>
      </c>
      <c r="C4917" s="3">
        <v>44541.855057870373</v>
      </c>
      <c r="D4917" s="1" t="s">
        <v>9824</v>
      </c>
      <c r="E4917" s="1" t="str">
        <f ca="1">IFERROR(__xludf.DUMMYFUNCTION("GOOGLETRANSLATE(A1716 , ""tr"" , ""en"")"),"@drfahrettinkoca most richest countries buyer, physicians creduit, citizen nece Dear @drfahrettinkoca 😎 # Physicians ... https://t.co/gva1npgzau")</f>
        <v>@drfahrettinkoca most richest countries buyer, physicians creduit, citizen nece Dear @drfahrettinkoca 😎 # Physicians ... https://t.co/gva1npgzau</v>
      </c>
    </row>
    <row r="4918" spans="1:5" ht="15" customHeight="1" x14ac:dyDescent="0.2">
      <c r="A4918" s="1" t="s">
        <v>9825</v>
      </c>
      <c r="B4918" s="1">
        <v>0</v>
      </c>
      <c r="C4918" s="3">
        <v>44541.854710648149</v>
      </c>
      <c r="D4918" s="1" t="s">
        <v>9826</v>
      </c>
      <c r="E4918" s="1" t="str">
        <f ca="1">IFERROR(__xludf.DUMMYFUNCTION("GOOGLETRANSLATE(A1717 , ""tr"" , ""en"")"),"@drfahrettinkoca staring Bey Standing Forty Lies again 😅")</f>
        <v>@drfahrettinkoca staring Bey Standing Forty Lies again 😅</v>
      </c>
    </row>
    <row r="4919" spans="1:5" ht="15" customHeight="1" x14ac:dyDescent="0.2">
      <c r="A4919" s="1" t="s">
        <v>9827</v>
      </c>
      <c r="B4919" s="1">
        <v>0</v>
      </c>
      <c r="C4919" s="3">
        <v>44541.85355324074</v>
      </c>
      <c r="D4919" s="1" t="s">
        <v>9828</v>
      </c>
      <c r="E4919" s="1" t="str">
        <f ca="1">IFERROR(__xludf.DUMMYFUNCTION("GOOGLETRANSLATE(A1718 , ""tr"" , ""en"")"),"@drfahrettinka you have raised it!")</f>
        <v>@drfahrettinka you have raised it!</v>
      </c>
    </row>
    <row r="4920" spans="1:5" ht="15" customHeight="1" x14ac:dyDescent="0.2">
      <c r="A4920" s="1" t="s">
        <v>9829</v>
      </c>
      <c r="B4920" s="1">
        <v>2</v>
      </c>
      <c r="C4920" s="3">
        <v>44541.853055555555</v>
      </c>
      <c r="D4920" s="1" t="s">
        <v>9830</v>
      </c>
      <c r="E4920" s="1" t="str">
        <f ca="1">IFERROR(__xludf.DUMMYFUNCTION("GOOGLETRANSLATE(A1719 , ""tr"" , ""en"")"),"What is the @drfahrettinkoca explanation as 40 thousand and now explaining the division? If you won't be able to quit !!")</f>
        <v>What is the @drfahrettinkoca explanation as 40 thousand and now explaining the division? If you won't be able to quit !!</v>
      </c>
    </row>
    <row r="4921" spans="1:5" ht="15" customHeight="1" x14ac:dyDescent="0.2">
      <c r="A4921" s="1" t="s">
        <v>9831</v>
      </c>
      <c r="B4921" s="1">
        <v>3</v>
      </c>
      <c r="C4921" s="3">
        <v>44541.85261574074</v>
      </c>
      <c r="D4921" s="1" t="s">
        <v>9832</v>
      </c>
      <c r="E4921" s="1" t="str">
        <f ca="1">IFERROR(__xludf.DUMMYFUNCTION("GOOGLETRANSLATE(A1720 , ""tr"" , ""en"")"),"@drfahrettinkoca We had the best of all the best in Mr. Minister, tas that you give the importance to the importance of the importance of ... https://t.co/xgykahbx7r")</f>
        <v>@drfahrettinkoca We had the best of all the best in Mr. Minister, tas that you give the importance to the importance of the importance of ... https://t.co/xgykahbx7r</v>
      </c>
    </row>
    <row r="4922" spans="1:5" ht="15" customHeight="1" x14ac:dyDescent="0.2">
      <c r="A4922" s="1" t="s">
        <v>9833</v>
      </c>
      <c r="B4922" s="1">
        <v>0</v>
      </c>
      <c r="C4922" s="3">
        <v>44541.852430555555</v>
      </c>
      <c r="D4922" s="1" t="s">
        <v>9834</v>
      </c>
      <c r="E4922" s="1" t="str">
        <f ca="1">IFERROR(__xludf.DUMMYFUNCTION("GOOGLETRANSLATE(A1721 , ""tr"" , ""en"")"),"@drfahrettinkoca hmmm")</f>
        <v>@drfahrettinkoca hmmm</v>
      </c>
    </row>
    <row r="4923" spans="1:5" ht="15" customHeight="1" x14ac:dyDescent="0.2">
      <c r="A4923" s="1" t="s">
        <v>9835</v>
      </c>
      <c r="B4923" s="1">
        <v>0</v>
      </c>
      <c r="C4923" s="3">
        <v>44541.852013888885</v>
      </c>
      <c r="D4923" s="1" t="s">
        <v>9836</v>
      </c>
      <c r="E4923" s="1" t="str">
        <f ca="1">IFERROR(__xludf.DUMMYFUNCTION("GOOGLETRANSLATE(A1722 , ""tr"" , ""en"")"),"@drfahrettinkoca nurses")</f>
        <v>@drfahrettinkoca nurses</v>
      </c>
    </row>
    <row r="4924" spans="1:5" ht="15" customHeight="1" x14ac:dyDescent="0.2">
      <c r="A4924" s="1" t="s">
        <v>9837</v>
      </c>
      <c r="B4924" s="1">
        <v>0</v>
      </c>
      <c r="C4924" s="3">
        <v>44541.851863425924</v>
      </c>
      <c r="D4924" s="1" t="s">
        <v>9838</v>
      </c>
      <c r="E4924" s="1" t="str">
        <f ca="1">IFERROR(__xludf.DUMMYFUNCTION("GOOGLETRANSLATE(A1723 , ""tr"" , ""en"")"),"@drfahrettinkoca 👏👏👏")</f>
        <v>@drfahrettinkoca 👏👏👏</v>
      </c>
    </row>
    <row r="4925" spans="1:5" ht="15" customHeight="1" x14ac:dyDescent="0.2">
      <c r="A4925" s="1" t="s">
        <v>9839</v>
      </c>
      <c r="B4925" s="1">
        <v>0</v>
      </c>
      <c r="C4925" s="3">
        <v>44541.851759259262</v>
      </c>
      <c r="D4925" s="1" t="s">
        <v>9840</v>
      </c>
      <c r="E4925" s="1" t="str">
        <f ca="1">IFERROR(__xludf.DUMMYFUNCTION("GOOGLETRANSLATE(A1724 , ""tr"" , ""en"")"),"@drfahrettinkoca okay")</f>
        <v>@drfahrettinkoca okay</v>
      </c>
    </row>
    <row r="4926" spans="1:5" ht="15" customHeight="1" x14ac:dyDescent="0.2">
      <c r="A4926" s="1" t="s">
        <v>9841</v>
      </c>
      <c r="B4926" s="1">
        <v>3</v>
      </c>
      <c r="C4926" s="3">
        <v>44541.851550925923</v>
      </c>
      <c r="D4926" s="1" t="s">
        <v>9842</v>
      </c>
      <c r="E4926" s="1" t="str">
        <f ca="1">IFERROR(__xludf.DUMMYFUNCTION("GOOGLETRANSLATE(A1725 , ""tr"" , ""en"")"),"@drfahrettinkoca is not the Ministry of Doctor, the day you understand that you manage the Ministry of Health, many trouble spontaneously ... https://t.co/k8nfa4jffs")</f>
        <v>@drfahrettinkoca is not the Ministry of Doctor, the day you understand that you manage the Ministry of Health, many trouble spontaneously ... https://t.co/k8nfa4jffs</v>
      </c>
    </row>
    <row r="4927" spans="1:5" ht="15" customHeight="1" x14ac:dyDescent="0.2">
      <c r="A4927" s="1" t="s">
        <v>9843</v>
      </c>
      <c r="B4927" s="1">
        <v>1</v>
      </c>
      <c r="C4927" s="3">
        <v>44541.851446759261</v>
      </c>
      <c r="D4927" s="1" t="s">
        <v>9844</v>
      </c>
      <c r="E4927" s="1" t="str">
        <f ca="1">IFERROR(__xludf.DUMMYFUNCTION("GOOGLETRANSLATE(A1726 , ""tr"" , ""en"")"),"@drfahrettinkoca hocam you have exceeded your capacity in conversation, so glad that.")</f>
        <v>@drfahrettinkoca hocam you have exceeded your capacity in conversation, so glad that.</v>
      </c>
    </row>
    <row r="4928" spans="1:5" ht="15" customHeight="1" x14ac:dyDescent="0.2">
      <c r="A4928" s="1" t="s">
        <v>9845</v>
      </c>
      <c r="B4928" s="1">
        <v>1</v>
      </c>
      <c r="C4928" s="3">
        <v>44541.851388888892</v>
      </c>
      <c r="D4928" s="1" t="s">
        <v>9846</v>
      </c>
      <c r="E4928" s="1" t="str">
        <f ca="1">IFERROR(__xludf.DUMMYFUNCTION("GOOGLETRANSLATE(A1727 , ""tr"" , ""en"")"),"@drfahrettinkoca why do you tell us yourself. If you don't look at them we will not find the physician to look at us tomorrow")</f>
        <v>@drfahrettinkoca why do you tell us yourself. If you don't look at them we will not find the physician to look at us tomorrow</v>
      </c>
    </row>
    <row r="4929" spans="1:5" ht="15" customHeight="1" x14ac:dyDescent="0.2">
      <c r="A4929" s="1" t="s">
        <v>9847</v>
      </c>
      <c r="B4929" s="1">
        <v>0</v>
      </c>
      <c r="C4929" s="3">
        <v>44541.851261574076</v>
      </c>
      <c r="D4929" s="1" t="s">
        <v>9848</v>
      </c>
      <c r="E4929" s="1" t="str">
        <f ca="1">IFERROR(__xludf.DUMMYFUNCTION("GOOGLETRANSLATE(A1728 , ""tr"" , ""en"")"),"@drfahrettinka Dear Minister Mardine Emergency Ramotology Doctor Needs")</f>
        <v>@drfahrettinka Dear Minister Mardine Emergency Ramotology Doctor Needs</v>
      </c>
    </row>
    <row r="4930" spans="1:5" ht="15" customHeight="1" x14ac:dyDescent="0.2">
      <c r="A4930" s="1" t="s">
        <v>9849</v>
      </c>
      <c r="B4930" s="1">
        <v>0</v>
      </c>
      <c r="C4930" s="3">
        <v>44541.850902777776</v>
      </c>
      <c r="D4930" s="1" t="s">
        <v>9850</v>
      </c>
      <c r="E4930" s="1" t="str">
        <f ca="1">IFERROR(__xludf.DUMMYFUNCTION("GOOGLETRANSLATE(A1729 , ""tr"" , ""en"")"),"@drfahrettinka schools get online")</f>
        <v>@drfahrettinka schools get online</v>
      </c>
    </row>
    <row r="4931" spans="1:5" ht="15" customHeight="1" x14ac:dyDescent="0.2">
      <c r="A4931" s="1" t="s">
        <v>9851</v>
      </c>
      <c r="B4931" s="1">
        <v>0</v>
      </c>
      <c r="C4931" s="3">
        <v>44541.850624999999</v>
      </c>
      <c r="D4931" s="1" t="s">
        <v>9852</v>
      </c>
      <c r="E4931" s="1" t="str">
        <f ca="1">IFERROR(__xludf.DUMMYFUNCTION("GOOGLETRANSLATE(A1730 , ""tr"" , ""en"")"),"@drfahrettinka 40bin calling in two and break down the hopes of people Mr. Minister")</f>
        <v>@drfahrettinka 40bin calling in two and break down the hopes of people Mr. Minister</v>
      </c>
    </row>
    <row r="4932" spans="1:5" ht="15" customHeight="1" x14ac:dyDescent="0.2">
      <c r="A4932" s="1" t="s">
        <v>9853</v>
      </c>
      <c r="B4932" s="1">
        <v>0</v>
      </c>
      <c r="C4932" s="3">
        <v>44541.850057870368</v>
      </c>
      <c r="D4932" s="1" t="s">
        <v>9854</v>
      </c>
      <c r="E4932" s="1" t="str">
        <f ca="1">IFERROR(__xludf.DUMMYFUNCTION("GOOGLETRANSLATE(A1731 , ""tr"" , ""en"")"),"@drfahrettinkoca eeeee")</f>
        <v>@drfahrettinkoca eeeee</v>
      </c>
    </row>
    <row r="4933" spans="1:5" ht="15" customHeight="1" x14ac:dyDescent="0.2">
      <c r="A4933" s="1" t="s">
        <v>9855</v>
      </c>
      <c r="B4933" s="1">
        <v>0</v>
      </c>
      <c r="C4933" s="3">
        <v>44541.849988425929</v>
      </c>
      <c r="D4933" s="1" t="s">
        <v>9856</v>
      </c>
      <c r="E4933" s="1" t="str">
        <f ca="1">IFERROR(__xludf.DUMMYFUNCTION("GOOGLETRANSLATE(A1732 , ""tr"" , ""en"")"),"@drfahrettinkoca @indiryo")</f>
        <v>@drfahrettinkoca @indiryo</v>
      </c>
    </row>
    <row r="4934" spans="1:5" ht="15" customHeight="1" x14ac:dyDescent="0.2">
      <c r="A4934" s="1" t="s">
        <v>9857</v>
      </c>
      <c r="B4934" s="1">
        <v>2</v>
      </c>
      <c r="C4934" s="3">
        <v>44541.849872685183</v>
      </c>
      <c r="D4934" s="1" t="s">
        <v>9858</v>
      </c>
      <c r="E4934" s="1" t="str">
        <f ca="1">IFERROR(__xludf.DUMMYFUNCTION("GOOGLETRANSLATE(A1733 , ""tr"" , ""en"")"),"@drfahrettinkoca carrrrt")</f>
        <v>@drfahrettinkoca carrrrt</v>
      </c>
    </row>
    <row r="4935" spans="1:5" ht="15" customHeight="1" x14ac:dyDescent="0.2">
      <c r="A4935" s="1" t="s">
        <v>9859</v>
      </c>
      <c r="B4935" s="1">
        <v>3</v>
      </c>
      <c r="C4935" s="3">
        <v>44541.849872685183</v>
      </c>
      <c r="D4935" s="1" t="s">
        <v>9860</v>
      </c>
      <c r="E4935" s="1" t="str">
        <f ca="1">IFERROR(__xludf.DUMMYFUNCTION("GOOGLETRANSLATE(A1734 , ""tr"" , ""en"")"),"@drfahrettinkoca Health workers have never seen any semesters in your period. Ha today is tomorrow diy ... https://t.co/mxg2cuedxp")</f>
        <v>@drfahrettinkoca Health workers have never seen any semesters in your period. Ha today is tomorrow diy ... https://t.co/mxg2cuedxp</v>
      </c>
    </row>
    <row r="4936" spans="1:5" ht="15" customHeight="1" x14ac:dyDescent="0.2">
      <c r="A4936" s="1" t="s">
        <v>9861</v>
      </c>
      <c r="B4936" s="1">
        <v>6</v>
      </c>
      <c r="C4936" s="3">
        <v>44541.849803240744</v>
      </c>
      <c r="D4936" s="1" t="s">
        <v>9862</v>
      </c>
      <c r="E4936" s="1" t="str">
        <f ca="1">IFERROR(__xludf.DUMMYFUNCTION("GOOGLETRANSLATE(A1735 , ""tr"" , ""en"")"),"@drfahrettinka https://t.co/2774A23ZWI")</f>
        <v>@drfahrettinka https://t.co/2774A23ZWI</v>
      </c>
    </row>
    <row r="4937" spans="1:5" ht="15" customHeight="1" x14ac:dyDescent="0.2">
      <c r="A4937" s="1" t="s">
        <v>9863</v>
      </c>
      <c r="B4937" s="1">
        <v>0</v>
      </c>
      <c r="C4937" s="3">
        <v>44541.849780092591</v>
      </c>
      <c r="D4937" s="1" t="s">
        <v>9864</v>
      </c>
      <c r="E4937" s="1" t="str">
        <f ca="1">IFERROR(__xludf.DUMMYFUNCTION("GOOGLETRANSLATE(A1736 , ""tr"" , ""en"")"),"@drfahrettinkoca ie ... result ...")</f>
        <v>@drfahrettinkoca ie ... result ...</v>
      </c>
    </row>
    <row r="4938" spans="1:5" ht="15" customHeight="1" x14ac:dyDescent="0.2">
      <c r="A4938" s="1" t="s">
        <v>9865</v>
      </c>
      <c r="B4938" s="1">
        <v>0</v>
      </c>
      <c r="C4938" s="3">
        <v>44541.849722222221</v>
      </c>
      <c r="D4938" s="1" t="s">
        <v>9866</v>
      </c>
      <c r="E4938" s="1" t="str">
        <f ca="1">IFERROR(__xludf.DUMMYFUNCTION("GOOGLETRANSLATE(A1737 , ""tr"" , ""en"")"),"@drfahrettinkoca laflara Our tummy tok is no longer applause of the Minister of Minister Healthiers Waiting for improvement")</f>
        <v>@drfahrettinkoca laflara Our tummy tok is no longer applause of the Minister of Minister Healthiers Waiting for improvement</v>
      </c>
    </row>
    <row r="4939" spans="1:5" ht="15" customHeight="1" x14ac:dyDescent="0.2">
      <c r="A4939" s="1" t="s">
        <v>9867</v>
      </c>
      <c r="B4939" s="1">
        <v>0</v>
      </c>
      <c r="C4939" s="3">
        <v>44541.84951388889</v>
      </c>
      <c r="D4939" s="1" t="s">
        <v>9868</v>
      </c>
      <c r="E4939" s="1" t="str">
        <f ca="1">IFERROR(__xludf.DUMMYFUNCTION("GOOGLETRANSLATE(A1738 , ""tr"" , ""en"")"),"@drfahrettinkoca Mr. Ministry These hospitals have doctors money gamp If you have parans if you have the law if there is no law.")</f>
        <v>@drfahrettinkoca Mr. Ministry These hospitals have doctors money gamp If you have parans if you have the law if there is no law.</v>
      </c>
    </row>
    <row r="4940" spans="1:5" ht="15" customHeight="1" x14ac:dyDescent="0.2">
      <c r="A4940" s="1" t="s">
        <v>9869</v>
      </c>
      <c r="B4940" s="1">
        <v>3</v>
      </c>
      <c r="C4940" s="3">
        <v>44541.849490740744</v>
      </c>
      <c r="D4940" s="1" t="s">
        <v>9870</v>
      </c>
      <c r="E4940" s="1" t="str">
        <f ca="1">IFERROR(__xludf.DUMMYFUNCTION("GOOGLETRANSLATE(A1739 , ""tr"" , ""en"")"),"@drfahrettinka physicians don't say bisey but your doctors have the order of the order of Bill Gatesin and drug companies")</f>
        <v>@drfahrettinka physicians don't say bisey but your doctors have the order of the order of Bill Gatesin and drug companies</v>
      </c>
    </row>
    <row r="4941" spans="1:5" ht="15" customHeight="1" x14ac:dyDescent="0.2">
      <c r="A4941" s="1" t="s">
        <v>9871</v>
      </c>
      <c r="B4941" s="1">
        <v>17</v>
      </c>
      <c r="C4941" s="3">
        <v>44541.849305555559</v>
      </c>
      <c r="D4941" s="1" t="s">
        <v>9872</v>
      </c>
      <c r="E4941" s="1" t="str">
        <f ca="1">IFERROR(__xludf.DUMMYFUNCTION("GOOGLETRANSLATE(A1740 , ""tr"" , ""en"")"),"@drfahrettinkoca Hicbirine Our Guven's Rear People There are Rare People !! Allah Doctor Doctor Doctor !! Coer ... https://t.co/udo8vszqnp")</f>
        <v>@drfahrettinkoca Hicbirine Our Guven's Rear People There are Rare People !! Allah Doctor Doctor Doctor !! Coer ... https://t.co/udo8vszqnp</v>
      </c>
    </row>
    <row r="4942" spans="1:5" ht="15" customHeight="1" x14ac:dyDescent="0.2">
      <c r="A4942" s="1" t="s">
        <v>9873</v>
      </c>
      <c r="B4942" s="1">
        <v>1</v>
      </c>
      <c r="C4942" s="3">
        <v>44541.849131944444</v>
      </c>
      <c r="D4942" s="1" t="s">
        <v>9874</v>
      </c>
      <c r="E4942" s="1" t="str">
        <f ca="1">IFERROR(__xludf.DUMMYFUNCTION("GOOGLETRANSLATE(A1741 , ""tr"" , ""en"")"),"@drfahrettinkoca CDC had said that PCR tests will be removed in May 31, Bill Gates de 2022 de Cor ... https://t.co/bnhn2xwcxp")</f>
        <v>@drfahrettinkoca CDC had said that PCR tests will be removed in May 31, Bill Gates de 2022 de Cor ... https://t.co/bnhn2xwcxp</v>
      </c>
    </row>
    <row r="4943" spans="1:5" ht="15" customHeight="1" x14ac:dyDescent="0.2">
      <c r="A4943" s="1" t="s">
        <v>9875</v>
      </c>
      <c r="B4943" s="1">
        <v>71</v>
      </c>
      <c r="C4943" s="3">
        <v>44541.849108796298</v>
      </c>
      <c r="D4943" s="1" t="s">
        <v>9876</v>
      </c>
      <c r="E4943" s="1" t="str">
        <f ca="1">IFERROR(__xludf.DUMMYFUNCTION("GOOGLETRANSLATE(A1742 , ""tr"" , ""en"")"),"@drfahrettinkoca we also say this to Mr. Minister.")</f>
        <v>@drfahrettinkoca we also say this to Mr. Minister.</v>
      </c>
    </row>
    <row r="4944" spans="1:5" ht="15" customHeight="1" x14ac:dyDescent="0.2">
      <c r="A4944" s="1" t="s">
        <v>9877</v>
      </c>
      <c r="B4944" s="1">
        <v>14</v>
      </c>
      <c r="C4944" s="3">
        <v>44541.848530092589</v>
      </c>
      <c r="D4944" s="1" t="s">
        <v>9878</v>
      </c>
      <c r="E4944" s="1" t="str">
        <f ca="1">IFERROR(__xludf.DUMMYFUNCTION("GOOGLETRANSLATE(A1743 , ""tr"" , ""en"")"),"@drfahrettinkoca students most of our students want to go most of these teens, in front of these teenagers BI obstacle y ... https://t.co/rqa89kmtqz")</f>
        <v>@drfahrettinkoca students most of our students want to go most of these teens, in front of these teenagers BI obstacle y ... https://t.co/rqa89kmtqz</v>
      </c>
    </row>
    <row r="4945" spans="1:5" ht="15" customHeight="1" x14ac:dyDescent="0.2">
      <c r="A4945" s="1" t="s">
        <v>9879</v>
      </c>
      <c r="B4945" s="1">
        <v>0</v>
      </c>
      <c r="C4945" s="3">
        <v>44541.847696759258</v>
      </c>
      <c r="D4945" s="1" t="s">
        <v>9880</v>
      </c>
      <c r="E4945" s="1" t="str">
        <f ca="1">IFERROR(__xludf.DUMMYFUNCTION("GOOGLETRANSLATE(A1744 , ""tr"" , ""en"")"),"@drfahrettinkoca ?????????????")</f>
        <v>@drfahrettinkoca ?????????????</v>
      </c>
    </row>
    <row r="4946" spans="1:5" ht="15" customHeight="1" x14ac:dyDescent="0.2">
      <c r="A4946" s="1" t="s">
        <v>9881</v>
      </c>
      <c r="B4946" s="1">
        <v>4</v>
      </c>
      <c r="C4946" s="3">
        <v>44541.847546296296</v>
      </c>
      <c r="D4946" s="1" t="s">
        <v>9882</v>
      </c>
      <c r="E4946" s="1" t="str">
        <f ca="1">IFERROR(__xludf.DUMMYFUNCTION("GOOGLETRANSLATE(A1745 , ""tr"" , ""en"")"),"@drfahrettinka we are also afraid of that already. The recent-quality physician may not remain in our country. Everything cheap ... https://t.co/bsu8bfvkrq")</f>
        <v>@drfahrettinka we are also afraid of that already. The recent-quality physician may not remain in our country. Everything cheap ... https://t.co/bsu8bfvkrq</v>
      </c>
    </row>
    <row r="4947" spans="1:5" ht="15" customHeight="1" x14ac:dyDescent="0.2">
      <c r="A4947" s="1" t="s">
        <v>9883</v>
      </c>
      <c r="B4947" s="1">
        <v>0</v>
      </c>
      <c r="C4947" s="3">
        <v>44541.847418981481</v>
      </c>
      <c r="D4947" s="1" t="s">
        <v>9884</v>
      </c>
      <c r="E4947" s="1" t="str">
        <f ca="1">IFERROR(__xludf.DUMMYFUNCTION("GOOGLETRANSLATE(A1746 , ""tr"" , ""en"")"),"@drfahrettinkoca, I'm tired of the opposite to either Lying Dola Ya is 20 thousand 20 thousand, I'm not halal of the right or")</f>
        <v>@drfahrettinkoca, I'm tired of the opposite to either Lying Dola Ya is 20 thousand 20 thousand, I'm not halal of the right or</v>
      </c>
    </row>
    <row r="4948" spans="1:5" ht="15" customHeight="1" x14ac:dyDescent="0.2">
      <c r="A4948" s="1" t="s">
        <v>9885</v>
      </c>
      <c r="B4948" s="1">
        <v>162</v>
      </c>
      <c r="C4948" s="3">
        <v>44541.847314814811</v>
      </c>
      <c r="D4948" s="1" t="s">
        <v>9886</v>
      </c>
      <c r="E4948" s="1" t="str">
        <f ca="1">IFERROR(__xludf.DUMMYFUNCTION("GOOGLETRANSLATE(A1747 , ""tr"" , ""en"")"),"@drfahrettinkoca is a motorized courier's practitioner to receive the same salary as a member. Fix the conditions of physicians ... https://t.co/c0h22clpsj")</f>
        <v>@drfahrettinkoca is a motorized courier's practitioner to receive the same salary as a member. Fix the conditions of physicians ... https://t.co/c0h22clpsj</v>
      </c>
    </row>
    <row r="4949" spans="1:5" ht="15" customHeight="1" x14ac:dyDescent="0.2">
      <c r="A4949" s="1" t="s">
        <v>9887</v>
      </c>
      <c r="B4949" s="1">
        <v>0</v>
      </c>
      <c r="C4949" s="3">
        <v>44541.847175925926</v>
      </c>
      <c r="D4949" s="1" t="s">
        <v>9888</v>
      </c>
      <c r="E4949" s="1" t="str">
        <f ca="1">IFERROR(__xludf.DUMMYFUNCTION("GOOGLETRANSLATE(A1748 , ""tr"" , ""en"")"),"@drfahrettinkoca How will you give the plague of so people")</f>
        <v>@drfahrettinkoca How will you give the plague of so people</v>
      </c>
    </row>
    <row r="4950" spans="1:5" ht="15" customHeight="1" x14ac:dyDescent="0.2">
      <c r="A4950" s="1" t="s">
        <v>9889</v>
      </c>
      <c r="B4950" s="1">
        <v>0</v>
      </c>
      <c r="C4950" s="3">
        <v>44541.84716435185</v>
      </c>
      <c r="D4950" s="1" t="s">
        <v>9890</v>
      </c>
      <c r="E4950" s="1" t="str">
        <f ca="1">IFERROR(__xludf.DUMMYFUNCTION("GOOGLETRANSLATE(A1749 , ""tr"" , ""en"")"),"@drfahrettinkoca When is the vaccination to our children?")</f>
        <v>@drfahrettinkoca When is the vaccination to our children?</v>
      </c>
    </row>
    <row r="4951" spans="1:5" ht="15" customHeight="1" x14ac:dyDescent="0.2">
      <c r="A4951" s="1" t="s">
        <v>9891</v>
      </c>
      <c r="B4951" s="1">
        <v>0</v>
      </c>
      <c r="C4951" s="3">
        <v>44541.847083333334</v>
      </c>
      <c r="D4951" s="1" t="s">
        <v>9892</v>
      </c>
      <c r="E4951" s="1" t="str">
        <f ca="1">IFERROR(__xludf.DUMMYFUNCTION("GOOGLETRANSLATE(A1750 , ""tr"" , ""en"")"),"@drfahrettinkoca @saglikbakanligi Let's make this Minister of advertising. There is no other biney doing continuous advertising. Continuous ... https://t.co/rwgh7lslzx")</f>
        <v>@drfahrettinkoca @saglikbakanligi Let's make this Minister of advertising. There is no other biney doing continuous advertising. Continuous ... https://t.co/rwgh7lslzx</v>
      </c>
    </row>
    <row r="4952" spans="1:5" ht="15" customHeight="1" x14ac:dyDescent="0.2">
      <c r="A4952" s="1" t="s">
        <v>9893</v>
      </c>
      <c r="B4952" s="1">
        <v>0</v>
      </c>
      <c r="C4952" s="3">
        <v>44541.846886574072</v>
      </c>
      <c r="D4952" s="1" t="s">
        <v>9894</v>
      </c>
      <c r="E4952" s="1" t="str">
        <f ca="1">IFERROR(__xludf.DUMMYFUNCTION("GOOGLETRANSLATE(A1751 , ""tr"" , ""en"")"),"@drfahrettinkoca is the confession that we are poor country")</f>
        <v>@drfahrettinkoca is the confession that we are poor country</v>
      </c>
    </row>
    <row r="4953" spans="1:5" ht="15" customHeight="1" x14ac:dyDescent="0.2">
      <c r="A4953" s="1" t="s">
        <v>9895</v>
      </c>
      <c r="B4953" s="1">
        <v>0</v>
      </c>
      <c r="C4953" s="3">
        <v>44541.846736111111</v>
      </c>
      <c r="D4953" s="1" t="s">
        <v>9896</v>
      </c>
      <c r="E4953" s="1" t="str">
        <f ca="1">IFERROR(__xludf.DUMMYFUNCTION("GOOGLETRANSLATE(A1752 , ""tr"" , ""en"")"),"@drfahrettinkoca so they get it all already")</f>
        <v>@drfahrettinkoca so they get it all already</v>
      </c>
    </row>
    <row r="4954" spans="1:5" ht="15" customHeight="1" x14ac:dyDescent="0.2">
      <c r="A4954" s="1" t="s">
        <v>9897</v>
      </c>
      <c r="B4954" s="1">
        <v>1</v>
      </c>
      <c r="C4954" s="3">
        <v>44541.846712962964</v>
      </c>
      <c r="D4954" s="1" t="s">
        <v>9898</v>
      </c>
      <c r="E4954" s="1" t="str">
        <f ca="1">IFERROR(__xludf.DUMMYFUNCTION("GOOGLETRANSLATE(A1753 , ""tr"" , ""en"")"),"@drfahrettinkoca is good then treat physicians like physicians")</f>
        <v>@drfahrettinkoca is good then treat physicians like physicians</v>
      </c>
    </row>
    <row r="4955" spans="1:5" ht="15" customHeight="1" x14ac:dyDescent="0.2">
      <c r="A4955" s="1" t="s">
        <v>9899</v>
      </c>
      <c r="B4955" s="1">
        <v>0</v>
      </c>
      <c r="C4955" s="3">
        <v>44541.846701388888</v>
      </c>
      <c r="D4955" s="1" t="s">
        <v>9900</v>
      </c>
      <c r="E4955" s="1" t="str">
        <f ca="1">IFERROR(__xludf.DUMMYFUNCTION("GOOGLETRANSLATE(A1754 , ""tr"" , ""en"")"),"@drfahrettinkoca 40 thousand, 30 thousand, 20 thousand, how many thousands?")</f>
        <v>@drfahrettinkoca 40 thousand, 30 thousand, 20 thousand, how many thousands?</v>
      </c>
    </row>
    <row r="4956" spans="1:5" ht="15" customHeight="1" x14ac:dyDescent="0.2">
      <c r="A4956" s="1" t="s">
        <v>9901</v>
      </c>
      <c r="B4956" s="1">
        <v>42</v>
      </c>
      <c r="C4956" s="3">
        <v>44541.846643518518</v>
      </c>
      <c r="D4956" s="1" t="s">
        <v>9902</v>
      </c>
      <c r="E4956" s="1" t="str">
        <f ca="1">IFERROR(__xludf.DUMMYFUNCTION("GOOGLETRANSLATE(A1755 , ""tr"" , ""en"")"),"@drfahrettinka Mr. Minister Now go to some partial restrictions. Switch to online education. Gradual working order ... https://t.co/belqgpw8ww")</f>
        <v>@drfahrettinka Mr. Minister Now go to some partial restrictions. Switch to online education. Gradual working order ... https://t.co/belqgpw8ww</v>
      </c>
    </row>
    <row r="4957" spans="1:5" ht="15" customHeight="1" x14ac:dyDescent="0.2">
      <c r="A4957" s="1" t="s">
        <v>9903</v>
      </c>
      <c r="B4957" s="1">
        <v>0</v>
      </c>
      <c r="C4957" s="3">
        <v>44541.84648148148</v>
      </c>
      <c r="D4957" s="1" t="s">
        <v>9904</v>
      </c>
      <c r="E4957" s="1" t="str">
        <f ca="1">IFERROR(__xludf.DUMMYFUNCTION("GOOGLETRANSLATE(A1756 , ""tr"" , ""en"")"),"@drfahrettinkoca I have been exported to him! Without knowing what I was charged with, with two lines of investigation ... pity ...")</f>
        <v>@drfahrettinkoca I have been exported to him! Without knowing what I was charged with, with two lines of investigation ... pity ...</v>
      </c>
    </row>
    <row r="4958" spans="1:5" ht="15" customHeight="1" x14ac:dyDescent="0.2">
      <c r="A4958" s="1" t="s">
        <v>9905</v>
      </c>
      <c r="B4958" s="1">
        <v>2</v>
      </c>
      <c r="C4958" s="3">
        <v>44541.846354166664</v>
      </c>
      <c r="D4958" s="1" t="s">
        <v>9906</v>
      </c>
      <c r="E4958" s="1" t="str">
        <f ca="1">IFERROR(__xludf.DUMMYFUNCTION("GOOGLETRANSLATE(A1757 , ""tr"" , ""en"")"),"@drfahrettinkoca whatever table is doing with this table. Your self-refuted 2021 years not reflecting the truth! Right ... https://t.co/0uqjoblxje")</f>
        <v>@drfahrettinkoca whatever table is doing with this table. Your self-refuted 2021 years not reflecting the truth! Right ... https://t.co/0uqjoblxje</v>
      </c>
    </row>
    <row r="4959" spans="1:5" ht="15" customHeight="1" x14ac:dyDescent="0.2">
      <c r="A4959" s="1" t="s">
        <v>9907</v>
      </c>
      <c r="B4959" s="1">
        <v>30</v>
      </c>
      <c r="C4959" s="3">
        <v>44541.846215277779</v>
      </c>
      <c r="D4959" s="1" t="s">
        <v>9908</v>
      </c>
      <c r="E4959" s="1" t="str">
        <f ca="1">IFERROR(__xludf.DUMMYFUNCTION("GOOGLETRANSLATE(A1758 , ""tr"" , ""en"")"),"@drfahrettinkoca How do you think about the contagiousness of Omicrona? These people do not wear the mask to be vaccinated and unwind ... https://t.co/wk6sawjeoe")</f>
        <v>@drfahrettinkoca How do you think about the contagiousness of Omicrona? These people do not wear the mask to be vaccinated and unwind ... https://t.co/wk6sawjeoe</v>
      </c>
    </row>
    <row r="4960" spans="1:5" ht="15" customHeight="1" x14ac:dyDescent="0.2">
      <c r="A4960" s="1" t="s">
        <v>9909</v>
      </c>
      <c r="B4960" s="1">
        <v>2</v>
      </c>
      <c r="C4960" s="3">
        <v>44541.846064814818</v>
      </c>
      <c r="D4960" s="1" t="s">
        <v>9910</v>
      </c>
      <c r="E4960" s="1" t="str">
        <f ca="1">IFERROR(__xludf.DUMMYFUNCTION("GOOGLETRANSLATE(A1759 , ""tr"" , ""en"")"),"@drfahrettinkoca I don't halal my right")</f>
        <v>@drfahrettinkoca I don't halal my right</v>
      </c>
    </row>
    <row r="4961" spans="1:5" ht="15" customHeight="1" x14ac:dyDescent="0.2">
      <c r="A4961" s="1" t="s">
        <v>9911</v>
      </c>
      <c r="B4961" s="1">
        <v>0</v>
      </c>
      <c r="C4961" s="3">
        <v>44541.845173611109</v>
      </c>
      <c r="D4961" s="1" t="s">
        <v>9912</v>
      </c>
      <c r="E4961" s="1" t="str">
        <f ca="1">IFERROR(__xludf.DUMMYFUNCTION("GOOGLETRANSLATE(A1760 , ""tr"" , ""en"")"),"@drfahrettinkoca Health in your mouth.")</f>
        <v>@drfahrettinkoca Health in your mouth.</v>
      </c>
    </row>
    <row r="4962" spans="1:5" ht="15" customHeight="1" x14ac:dyDescent="0.2">
      <c r="A4962" s="1" t="s">
        <v>9913</v>
      </c>
      <c r="B4962" s="1">
        <v>0</v>
      </c>
      <c r="C4962" s="3">
        <v>44541.844953703701</v>
      </c>
      <c r="D4962" s="1" t="s">
        <v>9914</v>
      </c>
      <c r="E4962" s="1" t="str">
        <f ca="1">IFERROR(__xludf.DUMMYFUNCTION("GOOGLETRANSLATE(A1761 , ""tr"" , ""en"")"),"@drfahrettinkoca Why did the assignment of the assignment, ... !!!!")</f>
        <v>@drfahrettinkoca Why did the assignment of the assignment, ... !!!!</v>
      </c>
    </row>
    <row r="4963" spans="1:5" ht="15" customHeight="1" x14ac:dyDescent="0.2">
      <c r="A4963" s="1" t="s">
        <v>9915</v>
      </c>
      <c r="B4963" s="1">
        <v>5</v>
      </c>
      <c r="C4963" s="3">
        <v>44541.84443287037</v>
      </c>
      <c r="D4963" s="1" t="s">
        <v>9916</v>
      </c>
      <c r="E4963" s="1" t="str">
        <f ca="1">IFERROR(__xludf.DUMMYFUNCTION("GOOGLETRANSLATE(A1762 , ""tr"" , ""en"")"),"@drfahrettinkoca physicians so are not our doctors! # HERYERISTALLALHERNAGE")</f>
        <v>@drfahrettinkoca physicians so are not our doctors! # HERYERISTALLALHERNAGE</v>
      </c>
    </row>
    <row r="4964" spans="1:5" ht="15" customHeight="1" x14ac:dyDescent="0.2">
      <c r="A4964" s="1" t="s">
        <v>9917</v>
      </c>
      <c r="B4964" s="1">
        <v>0</v>
      </c>
      <c r="C4964" s="3">
        <v>44541.844236111108</v>
      </c>
      <c r="D4964" s="1" t="s">
        <v>9918</v>
      </c>
      <c r="E4964" s="1" t="str">
        <f ca="1">IFERROR(__xludf.DUMMYFUNCTION("GOOGLETRANSLATE(A1763 , ""tr"" , ""en"")"),"@drfahrettinkoca Minister You are disappointing by dividing the acquisition of health personnel. Readqn Kids' Crime What Giant ... https://t.co/avnsrzwncv")</f>
        <v>@drfahrettinkoca Minister You are disappointing by dividing the acquisition of health personnel. Readqn Kids' Crime What Giant ... https://t.co/avnsrzwncv</v>
      </c>
    </row>
    <row r="4965" spans="1:5" ht="15" customHeight="1" x14ac:dyDescent="0.2">
      <c r="A4965" s="1" t="s">
        <v>9919</v>
      </c>
      <c r="B4965" s="1">
        <v>4</v>
      </c>
      <c r="C4965" s="3">
        <v>44541.844224537039</v>
      </c>
      <c r="D4965" s="1" t="s">
        <v>9920</v>
      </c>
      <c r="E4965" s="1" t="str">
        <f ca="1">IFERROR(__xludf.DUMMYFUNCTION("GOOGLETRANSLATE(A1764 , ""tr"" , ""en"")"),"@drfahrettinkoca these physicians in this physicians, remove the murderers.")</f>
        <v>@drfahrettinkoca these physicians in this physicians, remove the murderers.</v>
      </c>
    </row>
    <row r="4966" spans="1:5" ht="15" customHeight="1" x14ac:dyDescent="0.2">
      <c r="A4966" s="1" t="s">
        <v>9921</v>
      </c>
      <c r="B4966" s="1">
        <v>1</v>
      </c>
      <c r="C4966" s="3">
        <v>44541.84412037037</v>
      </c>
      <c r="D4966" s="1" t="s">
        <v>9922</v>
      </c>
      <c r="E4966" s="1" t="str">
        <f ca="1">IFERROR(__xludf.DUMMYFUNCTION("GOOGLETRANSLATE(A1765 , ""tr"" , ""en"")"),"@drfahrettinkoca don't need to be embarrassed? We have not to serve your own citizen, we are transferred to the footballer ... https://t.co/pdczjfe8yq")</f>
        <v>@drfahrettinkoca don't need to be embarrassed? We have not to serve your own citizen, we are transferred to the footballer ... https://t.co/pdczjfe8yq</v>
      </c>
    </row>
    <row r="4967" spans="1:5" ht="15" customHeight="1" x14ac:dyDescent="0.2">
      <c r="A4967" s="1" t="s">
        <v>9923</v>
      </c>
      <c r="B4967" s="1">
        <v>1</v>
      </c>
      <c r="C4967" s="3">
        <v>44541.844004629631</v>
      </c>
      <c r="D4967" s="1" t="s">
        <v>9924</v>
      </c>
      <c r="E4967" s="1" t="str">
        <f ca="1">IFERROR(__xludf.DUMMYFUNCTION("GOOGLETRANSLATE(A1766 , ""tr"" , ""en"")"),"@drfahrettinka physicians are not the export product?")</f>
        <v>@drfahrettinka physicians are not the export product?</v>
      </c>
    </row>
    <row r="4968" spans="1:5" ht="15" customHeight="1" x14ac:dyDescent="0.2">
      <c r="A4968" s="1" t="s">
        <v>9925</v>
      </c>
      <c r="B4968" s="1">
        <v>0</v>
      </c>
      <c r="C4968" s="3">
        <v>44541.843854166669</v>
      </c>
      <c r="D4968" s="1" t="s">
        <v>9926</v>
      </c>
      <c r="E4968" s="1" t="str">
        <f ca="1">IFERROR(__xludf.DUMMYFUNCTION("GOOGLETRANSLATE(A1767 , ""tr"" , ""en"")"),"@drfahrettinkoca slowly started escape from country. This is what you make the person who does not know what is the management. Twee ... https://t.co/zuypntu6IC")</f>
        <v>@drfahrettinkoca slowly started escape from country. This is what you make the person who does not know what is the management. Twee ... https://t.co/zuypntu6IC</v>
      </c>
    </row>
    <row r="4969" spans="1:5" ht="15" customHeight="1" x14ac:dyDescent="0.2">
      <c r="A4969" s="1" t="s">
        <v>9927</v>
      </c>
      <c r="B4969" s="1">
        <v>0</v>
      </c>
      <c r="C4969" s="3">
        <v>44541.84337962963</v>
      </c>
      <c r="D4969" s="1" t="s">
        <v>9928</v>
      </c>
      <c r="E4969" s="1" t="str">
        <f ca="1">IFERROR(__xludf.DUMMYFUNCTION("GOOGLETRANSLATE(A1768 , ""tr"" , ""en"")"),"@drfahrettinkoca how you can say how to say that, so our physicians are the best physicians but we give the fee ... https://t.co/aezwutaqal")</f>
        <v>@drfahrettinkoca how you can say how to say that, so our physicians are the best physicians but we give the fee ... https://t.co/aezwutaqal</v>
      </c>
    </row>
    <row r="4970" spans="1:5" ht="15" customHeight="1" x14ac:dyDescent="0.2">
      <c r="A4970" s="1" t="s">
        <v>9929</v>
      </c>
      <c r="B4970" s="1">
        <v>0</v>
      </c>
      <c r="C4970" s="3">
        <v>44541.842800925922</v>
      </c>
      <c r="D4970" s="1" t="s">
        <v>9930</v>
      </c>
      <c r="E4970" s="1" t="str">
        <f ca="1">IFERROR(__xludf.DUMMYFUNCTION("GOOGLETRANSLATE(A1769 , ""tr"" , ""en"")"),"@drfahrettinkoca allah give your trouble")</f>
        <v>@drfahrettinkoca allah give your trouble</v>
      </c>
    </row>
    <row r="4971" spans="1:5" ht="15" customHeight="1" x14ac:dyDescent="0.2">
      <c r="A4971" s="1" t="s">
        <v>9931</v>
      </c>
      <c r="B4971" s="1">
        <v>0</v>
      </c>
      <c r="C4971" s="3">
        <v>44541.842800925922</v>
      </c>
      <c r="D4971" s="1" t="s">
        <v>9932</v>
      </c>
      <c r="E4971" s="1" t="str">
        <f ca="1">IFERROR(__xludf.DUMMYFUNCTION("GOOGLETRANSLATE(A1770 , ""tr"" , ""en"")"),"@drfahrettinkoca physicians were a little guy, after this pandemia there are cacts in our head again in the reis lawyers ... https://t.co/mgrkwj9pis")</f>
        <v>@drfahrettinkoca physicians were a little guy, after this pandemia there are cacts in our head again in the reis lawyers ... https://t.co/mgrkwj9pis</v>
      </c>
    </row>
    <row r="4972" spans="1:5" ht="15" customHeight="1" x14ac:dyDescent="0.2">
      <c r="A4972" s="1" t="s">
        <v>9933</v>
      </c>
      <c r="B4972" s="1">
        <v>1</v>
      </c>
      <c r="C4972" s="3">
        <v>44541.842511574076</v>
      </c>
      <c r="D4972" s="1" t="s">
        <v>9934</v>
      </c>
      <c r="E4972" s="1" t="str">
        <f ca="1">IFERROR(__xludf.DUMMYFUNCTION("GOOGLETRANSLATE(A1771 , ""tr"" , ""en"")"),"@drfahrettinkoca Know that now people .............................................. .............. ......... ........ ... https://t.co/wt9ht7p59v")</f>
        <v>@drfahrettinkoca Know that now people .............................................. .............. ......... ........ ... https://t.co/wt9ht7p59v</v>
      </c>
    </row>
    <row r="4973" spans="1:5" ht="15" customHeight="1" x14ac:dyDescent="0.2">
      <c r="A4973" s="1" t="s">
        <v>9935</v>
      </c>
      <c r="B4973" s="1">
        <v>8</v>
      </c>
      <c r="C4973" s="3">
        <v>44541.842407407406</v>
      </c>
      <c r="D4973" s="1" t="s">
        <v>9936</v>
      </c>
      <c r="E4973" s="1" t="str">
        <f ca="1">IFERROR(__xludf.DUMMYFUNCTION("GOOGLETRANSLATE(A1772 , ""tr"" , ""en"")"),"@drfahrettinkoca https://t.co/j6rttt2kbma")</f>
        <v>@drfahrettinkoca https://t.co/j6rttt2kbma</v>
      </c>
    </row>
    <row r="4974" spans="1:5" ht="15" customHeight="1" x14ac:dyDescent="0.2">
      <c r="A4974" s="1" t="s">
        <v>9937</v>
      </c>
      <c r="B4974" s="1">
        <v>2</v>
      </c>
      <c r="C4974" s="3">
        <v>44541.842037037037</v>
      </c>
      <c r="D4974" s="1" t="s">
        <v>9938</v>
      </c>
      <c r="E4974" s="1" t="str">
        <f ca="1">IFERROR(__xludf.DUMMYFUNCTION("GOOGLETRANSLATE(A1773 , ""tr"" , ""en"")"),"@drfahrettinkoca Koskoca to hold on to a year to hold on to the 30 thousand healthcare people or all our hopes get the pity ... https://t.co/8tkcqceyrj")</f>
        <v>@drfahrettinkoca Koskoca to hold on to a year to hold on to the 30 thousand healthcare people or all our hopes get the pity ... https://t.co/8tkcqceyrj</v>
      </c>
    </row>
    <row r="4975" spans="1:5" ht="15" customHeight="1" x14ac:dyDescent="0.2">
      <c r="A4975" s="1" t="s">
        <v>9939</v>
      </c>
      <c r="B4975" s="1">
        <v>29</v>
      </c>
      <c r="C4975" s="3">
        <v>44541.841909722221</v>
      </c>
      <c r="D4975" s="1" t="s">
        <v>9940</v>
      </c>
      <c r="E4975" s="1" t="str">
        <f ca="1">IFERROR(__xludf.DUMMYFUNCTION("GOOGLETRANSLATE(A1774 , ""tr"" , ""en"")"),"@drfahrettinkoca 2021 DE 40K Health Worker will be employed, you said that you have gotten up the expectation then 10K of the work ... https://t.co/8oinjxhhfb")</f>
        <v>@drfahrettinkoca 2021 DE 40K Health Worker will be employed, you said that you have gotten up the expectation then 10K of the work ... https://t.co/8oinjxhhfb</v>
      </c>
    </row>
    <row r="4976" spans="1:5" ht="15" customHeight="1" x14ac:dyDescent="0.2">
      <c r="A4976" s="1" t="s">
        <v>9941</v>
      </c>
      <c r="B4976" s="1">
        <v>91</v>
      </c>
      <c r="C4976" s="3">
        <v>44541.841678240744</v>
      </c>
      <c r="D4976" s="1" t="s">
        <v>9942</v>
      </c>
      <c r="E4976" s="1" t="str">
        <f ca="1">IFERROR(__xludf.DUMMYFUNCTION("GOOGLETRANSLATE(A1775 , ""tr"" , ""en"")"),"@drfahrettinkoca 9bin physician resigned. I wonder why? They work in the yogun and very heavy conditions and right to date ... https://t.co/rwlrtombkt")</f>
        <v>@drfahrettinkoca 9bin physician resigned. I wonder why? They work in the yogun and very heavy conditions and right to date ... https://t.co/rwlrtombkt</v>
      </c>
    </row>
    <row r="4977" spans="1:5" ht="15" customHeight="1" x14ac:dyDescent="0.2">
      <c r="A4977" s="1" t="s">
        <v>9943</v>
      </c>
      <c r="B4977" s="1">
        <v>0</v>
      </c>
      <c r="C4977" s="3">
        <v>44541.841261574074</v>
      </c>
      <c r="D4977" s="1" t="s">
        <v>9944</v>
      </c>
      <c r="E4977" s="1" t="str">
        <f ca="1">IFERROR(__xludf.DUMMYFUNCTION("GOOGLETRANSLATE(A1776 , ""tr"" , ""en"")"),"@drfahrettinkoca then exit physicians, take precautions against the mobbing of the member of the member of the sect.")</f>
        <v>@drfahrettinkoca then exit physicians, take precautions against the mobbing of the member of the member of the sect.</v>
      </c>
    </row>
    <row r="4978" spans="1:5" ht="15" customHeight="1" x14ac:dyDescent="0.2">
      <c r="A4978" s="1" t="s">
        <v>9945</v>
      </c>
      <c r="B4978" s="1">
        <v>6</v>
      </c>
      <c r="C4978" s="3">
        <v>44541.840821759259</v>
      </c>
      <c r="D4978" s="1" t="s">
        <v>9946</v>
      </c>
      <c r="E4978" s="1" t="str">
        <f ca="1">IFERROR(__xludf.DUMMYFUNCTION("GOOGLETRANSLATE(A1777 , ""tr"" , ""en"")"),"@drfahrettinkoca I don't believe that you are a person from this world or is human! You are other than you have never existed biskey.")</f>
        <v>@drfahrettinkoca I don't believe that you are a person from this world or is human! You are other than you have never existed biskey.</v>
      </c>
    </row>
    <row r="4979" spans="1:5" ht="15" customHeight="1" x14ac:dyDescent="0.2">
      <c r="A4979" s="1" t="s">
        <v>9947</v>
      </c>
      <c r="B4979" s="1">
        <v>0</v>
      </c>
      <c r="C4979" s="3">
        <v>44541.840011574073</v>
      </c>
      <c r="D4979" s="1" t="s">
        <v>9948</v>
      </c>
      <c r="E4979" s="1" t="str">
        <f ca="1">IFERROR(__xludf.DUMMYFUNCTION("GOOGLETRANSLATE(A1778 , ""tr"" , ""en"")"),"@drfahrettinkoca with physicians happily staring at your physician")</f>
        <v>@drfahrettinkoca with physicians happily staring at your physician</v>
      </c>
    </row>
    <row r="4980" spans="1:5" ht="15" customHeight="1" x14ac:dyDescent="0.2">
      <c r="A4980" s="1" t="s">
        <v>9949</v>
      </c>
      <c r="B4980" s="1">
        <v>1</v>
      </c>
      <c r="C4980" s="3">
        <v>44541.839930555558</v>
      </c>
      <c r="D4980" s="1" t="s">
        <v>9950</v>
      </c>
      <c r="E4980" s="1" t="str">
        <f ca="1">IFERROR(__xludf.DUMMYFUNCTION("GOOGLETRANSLATE(A1779 , ""tr"" , ""en"")"),"@drfahrettinkoca yes but the best in other countries, those who can also go abroad, we were very lovinned Sn. The gap ... https://t.co/wudg1j1o0r")</f>
        <v>@drfahrettinkoca yes but the best in other countries, those who can also go abroad, we were very lovinned Sn. The gap ... https://t.co/wudg1j1o0r</v>
      </c>
    </row>
    <row r="4981" spans="1:5" ht="15" customHeight="1" x14ac:dyDescent="0.2">
      <c r="A4981" s="1" t="s">
        <v>9951</v>
      </c>
      <c r="B4981" s="1">
        <v>51</v>
      </c>
      <c r="C4981" s="3">
        <v>44541.839780092596</v>
      </c>
      <c r="D4981" s="1" t="s">
        <v>9952</v>
      </c>
      <c r="E4981" s="1" t="str">
        <f ca="1">IFERROR(__xludf.DUMMYFUNCTION("GOOGLETRANSLATE(A1780 , ""tr"" , ""en"")"),"@drfahrettinkoca you forget it first 36 hours work 36 hours working out against human rights Keepers in the edge of the corner ... https://t.co/j31bcdehxk")</f>
        <v>@drfahrettinkoca you forget it first 36 hours work 36 hours working out against human rights Keepers in the edge of the corner ... https://t.co/j31bcdehxk</v>
      </c>
    </row>
    <row r="4982" spans="1:5" ht="15" customHeight="1" x14ac:dyDescent="0.2">
      <c r="A4982" s="1" t="s">
        <v>9953</v>
      </c>
      <c r="B4982" s="1">
        <v>0</v>
      </c>
      <c r="C4982" s="3">
        <v>44541.839733796296</v>
      </c>
      <c r="D4982" s="1" t="s">
        <v>9954</v>
      </c>
      <c r="E4982" s="1" t="str">
        <f ca="1">IFERROR(__xludf.DUMMYFUNCTION("GOOGLETRANSLATE(A1781 , ""tr"" , ""en"")"),"@drfahrettinkoca We know why you are allowing you abroad. Give money and reputation Dignity give to see if I go?")</f>
        <v>@drfahrettinkoca We know why you are allowing you abroad. Give money and reputation Dignity give to see if I go?</v>
      </c>
    </row>
    <row r="4983" spans="1:5" ht="15" customHeight="1" x14ac:dyDescent="0.2">
      <c r="A4983" s="1" t="s">
        <v>9955</v>
      </c>
      <c r="B4983" s="1">
        <v>0</v>
      </c>
      <c r="C4983" s="3">
        <v>44541.839687500003</v>
      </c>
      <c r="D4983" s="1" t="s">
        <v>9956</v>
      </c>
      <c r="E4983" s="1" t="str">
        <f ca="1">IFERROR(__xludf.DUMMYFUNCTION("GOOGLETRANSLATE(A1782 , ""tr"" , ""en"")"),"@drfahrettinkoca Hemserni in one of me in Sorta in Sorta I tell me the order with the bar")</f>
        <v>@drfahrettinkoca Hemserni in one of me in Sorta in Sorta I tell me the order with the bar</v>
      </c>
    </row>
    <row r="4984" spans="1:5" ht="15" customHeight="1" x14ac:dyDescent="0.2">
      <c r="A4984" s="1" t="s">
        <v>9957</v>
      </c>
      <c r="B4984" s="1">
        <v>0</v>
      </c>
      <c r="C4984" s="3">
        <v>44541.83934027778</v>
      </c>
      <c r="D4984" s="1" t="s">
        <v>9958</v>
      </c>
      <c r="E4984" s="1" t="str">
        <f ca="1">IFERROR(__xludf.DUMMYFUNCTION("GOOGLETRANSLATE(A1783 , ""tr"" , ""en"")"),"@drfahrettinkoca we know but good morning to you too 🤣🤣🤣👏👏👏👏")</f>
        <v>@drfahrettinkoca we know but good morning to you too 🤣🤣🤣👏👏👏👏</v>
      </c>
    </row>
    <row r="4985" spans="1:5" ht="15" customHeight="1" x14ac:dyDescent="0.2">
      <c r="A4985" s="1" t="s">
        <v>9959</v>
      </c>
      <c r="B4985" s="1">
        <v>0</v>
      </c>
      <c r="C4985" s="3">
        <v>44541.838831018518</v>
      </c>
      <c r="D4985" s="1" t="s">
        <v>9960</v>
      </c>
      <c r="E4985" s="1" t="str">
        <f ca="1">IFERROR(__xludf.DUMMYFUNCTION("GOOGLETRANSLATE(A1784 , ""tr"" , ""en"")"),"@drfahrettinka you forgot!")</f>
        <v>@drfahrettinka you forgot!</v>
      </c>
    </row>
    <row r="4986" spans="1:5" ht="15" customHeight="1" x14ac:dyDescent="0.2">
      <c r="A4986" s="1" t="s">
        <v>9961</v>
      </c>
      <c r="B4986" s="1">
        <v>0</v>
      </c>
      <c r="C4986" s="3">
        <v>44541.838495370372</v>
      </c>
      <c r="D4986" s="1" t="s">
        <v>9962</v>
      </c>
      <c r="E4986" s="1" t="str">
        <f ca="1">IFERROR(__xludf.DUMMYFUNCTION("GOOGLETRANSLATE(A1785 , ""tr"" , ""en"")"),"@drfahrettinka should not forget your hukumet in your icons.")</f>
        <v>@drfahrettinka should not forget your hukumet in your icons.</v>
      </c>
    </row>
    <row r="4987" spans="1:5" ht="15" customHeight="1" x14ac:dyDescent="0.2">
      <c r="A4987" s="1" t="s">
        <v>9963</v>
      </c>
      <c r="B4987" s="1">
        <v>7</v>
      </c>
      <c r="C4987" s="3">
        <v>44541.837905092594</v>
      </c>
      <c r="D4987" s="1" t="s">
        <v>9964</v>
      </c>
      <c r="E4987" s="1" t="str">
        <f ca="1">IFERROR(__xludf.DUMMYFUNCTION("GOOGLETRANSLATE(A1786 , ""tr"" , ""en"")"),"@drfahrettinkoca We know we are already overlooking the Minister. The principal you forget and exit our physicians. Last period Binl ... https://t.co/bqy7iymoyv")</f>
        <v>@drfahrettinkoca We know we are already overlooking the Minister. The principal you forget and exit our physicians. Last period Binl ... https://t.co/bqy7iymoyv</v>
      </c>
    </row>
    <row r="4988" spans="1:5" ht="15" customHeight="1" x14ac:dyDescent="0.2">
      <c r="A4988" s="1" t="s">
        <v>9965</v>
      </c>
      <c r="B4988" s="1">
        <v>0</v>
      </c>
      <c r="C4988" s="3">
        <v>44541.83761574074</v>
      </c>
      <c r="D4988" s="1" t="s">
        <v>9966</v>
      </c>
      <c r="E4988" s="1" t="str">
        <f ca="1">IFERROR(__xludf.DUMMYFUNCTION("GOOGLETRANSLATE(A1787 , ""tr"" , ""en"")"),"@drfahrettinka is already in many physicians so go abroad and get on abroad and settle there and settle there and get on the holiday in our country, I think 🤔")</f>
        <v>@drfahrettinka is already in many physicians so go abroad and get on abroad and settle there and settle there and get on the holiday in our country, I think 🤔</v>
      </c>
    </row>
    <row r="4989" spans="1:5" ht="15" customHeight="1" x14ac:dyDescent="0.2">
      <c r="A4989" s="1" t="s">
        <v>9967</v>
      </c>
      <c r="B4989" s="1">
        <v>1</v>
      </c>
      <c r="C4989" s="3">
        <v>44541.837604166663</v>
      </c>
      <c r="D4989" s="1" t="s">
        <v>9968</v>
      </c>
      <c r="E4989" s="1" t="str">
        <f ca="1">IFERROR(__xludf.DUMMYFUNCTION("GOOGLETRANSLATE(A1788 , ""tr"" , ""en"")"),"@drfahrettinka urgently distance education!")</f>
        <v>@drfahrettinka urgently distance education!</v>
      </c>
    </row>
    <row r="4990" spans="1:5" ht="15" customHeight="1" x14ac:dyDescent="0.2">
      <c r="A4990" s="1" t="s">
        <v>9969</v>
      </c>
      <c r="B4990" s="1">
        <v>7</v>
      </c>
      <c r="C4990" s="3">
        <v>44541.837465277778</v>
      </c>
      <c r="D4990" s="1" t="s">
        <v>9970</v>
      </c>
      <c r="E4990" s="1" t="str">
        <f ca="1">IFERROR(__xludf.DUMMYFUNCTION("GOOGLETRANSLATE(A1789 , ""tr"" , ""en"")"),"@drfahrettinka Mr. Minister Now that we are looking forward to tangible steps as physicians")</f>
        <v>@drfahrettinka Mr. Minister Now that we are looking forward to tangible steps as physicians</v>
      </c>
    </row>
    <row r="4991" spans="1:5" ht="15" customHeight="1" x14ac:dyDescent="0.2">
      <c r="A4991" s="1" t="s">
        <v>9971</v>
      </c>
      <c r="B4991" s="1">
        <v>0</v>
      </c>
      <c r="C4991" s="3">
        <v>44541.83730324074</v>
      </c>
      <c r="D4991" s="1" t="s">
        <v>9972</v>
      </c>
      <c r="E4991" s="1" t="str">
        <f ca="1">IFERROR(__xludf.DUMMYFUNCTION("GOOGLETRANSLATE(A1790 , ""tr"" , ""en"")"),"@drfahrettinkoca Moldovyadan, Ukrainnia, Romania, Romania, Lale of Lale for Suitcase Trading DKTR, Gritmn, Hmşre le ... https://t.co/b6jrrq5kzx")</f>
        <v>@drfahrettinkoca Moldovyadan, Ukrainnia, Romania, Romania, Lale of Lale for Suitcase Trading DKTR, Gritmn, Hmşre le ... https://t.co/b6jrrq5kzx</v>
      </c>
    </row>
    <row r="4992" spans="1:5" ht="15" customHeight="1" x14ac:dyDescent="0.2">
      <c r="A4992" s="1" t="s">
        <v>9973</v>
      </c>
      <c r="B4992" s="1">
        <v>2</v>
      </c>
      <c r="C4992" s="3">
        <v>44541.836585648147</v>
      </c>
      <c r="D4992" s="1" t="s">
        <v>9974</v>
      </c>
      <c r="E4992" s="1" t="str">
        <f ca="1">IFERROR(__xludf.DUMMYFUNCTION("GOOGLETRANSLATE(A1791 , ""tr"" , ""en"")"),"@drfahrettinkoca SN: Minister waiting for the Kado Kado🙏🙏🙏 h https://t.co/BNSZVIX7WF")</f>
        <v>@drfahrettinkoca SN: Minister waiting for the Kado Kado🙏🙏🙏 h https://t.co/BNSZVIX7WF</v>
      </c>
    </row>
    <row r="4993" spans="1:5" ht="15" customHeight="1" x14ac:dyDescent="0.2">
      <c r="A4993" s="1" t="s">
        <v>9975</v>
      </c>
      <c r="B4993" s="1">
        <v>0</v>
      </c>
      <c r="C4993" s="3">
        <v>44541.836446759262</v>
      </c>
      <c r="D4993" s="1" t="s">
        <v>9976</v>
      </c>
      <c r="E4993" s="1" t="str">
        <f ca="1">IFERROR(__xludf.DUMMYFUNCTION("GOOGLETRANSLATE(A1792 , ""tr"" , ""en"")"),"@drfahrettinka we do not want to compliment our requests @drfahrettinkoca")</f>
        <v>@drfahrettinka we do not want to compliment our requests @drfahrettinkoca</v>
      </c>
    </row>
    <row r="4994" spans="1:5" ht="15" customHeight="1" x14ac:dyDescent="0.2">
      <c r="A4994" s="1" t="s">
        <v>9977</v>
      </c>
      <c r="B4994" s="1">
        <v>0</v>
      </c>
      <c r="C4994" s="3">
        <v>44541.836145833331</v>
      </c>
      <c r="D4994" s="1" t="s">
        <v>9978</v>
      </c>
      <c r="E4994" s="1" t="str">
        <f ca="1">IFERROR(__xludf.DUMMYFUNCTION("GOOGLETRANSLATE(A1793 , ""tr"" , ""en"")"),"@drfahrettinkoca ALSİRLAR they see the charity that the richest countries.")</f>
        <v>@drfahrettinkoca ALSİRLAR they see the charity that the richest countries.</v>
      </c>
    </row>
    <row r="4995" spans="1:5" ht="15" customHeight="1" x14ac:dyDescent="0.2">
      <c r="A4995" s="1" t="s">
        <v>9979</v>
      </c>
      <c r="B4995" s="1">
        <v>9</v>
      </c>
      <c r="C4995" s="3">
        <v>44541.835960648146</v>
      </c>
      <c r="D4995" s="1" t="s">
        <v>9980</v>
      </c>
      <c r="E4995" s="1" t="str">
        <f ca="1">IFERROR(__xludf.DUMMYFUNCTION("GOOGLETRANSLATE(A1794 , ""tr"" , ""en"")"),"@drfahrettinkoca Mr. Minister The hitting the physicians going out going you don't have any ..")</f>
        <v>@drfahrettinkoca Mr. Minister The hitting the physicians going out going you don't have any ..</v>
      </c>
    </row>
    <row r="4996" spans="1:5" ht="15" customHeight="1" x14ac:dyDescent="0.2">
      <c r="A4996" s="1" t="s">
        <v>9981</v>
      </c>
      <c r="B4996" s="1">
        <v>25</v>
      </c>
      <c r="C4996" s="3">
        <v>44541.835925925923</v>
      </c>
      <c r="D4996" s="1" t="s">
        <v>9982</v>
      </c>
      <c r="E4996" s="1" t="str">
        <f ca="1">IFERROR(__xludf.DUMMYFUNCTION("GOOGLETRANSLATE(A1795 , ""tr"" , ""en"")"),"@drfahrettinkoca will not remain qualified health thanks to your health services, just dr. Not helpful Perso ... https://t.co/BKHQL4INQF")</f>
        <v>@drfahrettinkoca will not remain qualified health thanks to your health services, just dr. Not helpful Perso ... https://t.co/BKHQL4INQF</v>
      </c>
    </row>
    <row r="4997" spans="1:5" ht="15" customHeight="1" x14ac:dyDescent="0.2">
      <c r="A4997" s="1" t="s">
        <v>9983</v>
      </c>
      <c r="B4997" s="1">
        <v>1</v>
      </c>
      <c r="C4997" s="3">
        <v>44541.835543981484</v>
      </c>
      <c r="D4997" s="1" t="s">
        <v>9984</v>
      </c>
      <c r="E4997" s="1" t="str">
        <f ca="1">IFERROR(__xludf.DUMMYFUNCTION("GOOGLETRANSLATE(A1796 , ""tr"" , ""en"")"),"@drfahrettinkoca 🤣🤣🤣 What side is the camera laughing on what side.")</f>
        <v>@drfahrettinkoca 🤣🤣🤣 What side is the camera laughing on what side.</v>
      </c>
    </row>
    <row r="4998" spans="1:5" ht="15" customHeight="1" x14ac:dyDescent="0.2">
      <c r="A4998" s="1" t="s">
        <v>9985</v>
      </c>
      <c r="B4998" s="1">
        <v>3</v>
      </c>
      <c r="C4998" s="3">
        <v>44541.83520833333</v>
      </c>
      <c r="D4998" s="1" t="s">
        <v>9986</v>
      </c>
      <c r="E4998" s="1" t="str">
        <f ca="1">IFERROR(__xludf.DUMMYFUNCTION("GOOGLETRANSLATE(A1797 , ""tr"" , ""en"")"),"@drfahrettinkoca has the best growing health workers. Look femoral catheters placed by doctors ... https://t.co/lr7sjtwurs")</f>
        <v>@drfahrettinkoca has the best growing health workers. Look femoral catheters placed by doctors ... https://t.co/lr7sjtwurs</v>
      </c>
    </row>
    <row r="4999" spans="1:5" ht="15" customHeight="1" x14ac:dyDescent="0.2">
      <c r="A4999" s="1" t="s">
        <v>9987</v>
      </c>
      <c r="B4999" s="1">
        <v>0</v>
      </c>
      <c r="C4999" s="3">
        <v>44541.835138888891</v>
      </c>
      <c r="D4999" s="1" t="s">
        <v>9988</v>
      </c>
      <c r="E4999" s="1" t="str">
        <f ca="1">IFERROR(__xludf.DUMMYFUNCTION("GOOGLETRANSLATE(A1798 , ""tr"" , ""en"")"),"@drfahrettinkoca Transfer fee We say that I look at my minister")</f>
        <v>@drfahrettinkoca Transfer fee We say that I look at my minister</v>
      </c>
    </row>
    <row r="5000" spans="1:5" ht="15" customHeight="1" x14ac:dyDescent="0.2">
      <c r="A5000" s="1" t="s">
        <v>9989</v>
      </c>
      <c r="B5000" s="1">
        <v>0</v>
      </c>
      <c r="C5000" s="3">
        <v>44541.834988425922</v>
      </c>
      <c r="D5000" s="1" t="s">
        <v>9990</v>
      </c>
      <c r="E5000" s="1" t="str">
        <f ca="1">IFERROR(__xludf.DUMMYFUNCTION("GOOGLETRANSLATE(A1799 , ""tr"" , ""en"")"),"@drfahrettinkoca Settlement Houses 495.000 How to paid on how we did not want to mandatory gust @ rterdogan ... https://t.co/1et6crt7rf")</f>
        <v>@drfahrettinkoca Settlement Houses 495.000 How to paid on how we did not want to mandatory gust @ rterdogan ... https://t.co/1et6crt7rf</v>
      </c>
    </row>
    <row r="5001" spans="1:5" ht="15" customHeight="1" x14ac:dyDescent="0.2">
      <c r="A5001" s="1" t="s">
        <v>9991</v>
      </c>
      <c r="B5001" s="1">
        <v>74</v>
      </c>
      <c r="C5001" s="3">
        <v>44541.834745370368</v>
      </c>
      <c r="D5001" s="1" t="s">
        <v>9992</v>
      </c>
      <c r="E5001" s="1" t="str">
        <f ca="1">IFERROR(__xludf.DUMMYFUNCTION("GOOGLETRANSLATE(A1800 , ""tr"" , ""en"")"),"@drfahrettinkoca physicians should no longer be deserved. Material-spiritual should be provided.")</f>
        <v>@drfahrettinkoca physicians should no longer be deserved. Material-spiritual should be provided.</v>
      </c>
    </row>
    <row r="5002" spans="1:5" ht="15" customHeight="1" x14ac:dyDescent="0.2">
      <c r="A5002" s="1" t="s">
        <v>9993</v>
      </c>
      <c r="B5002" s="1">
        <v>0</v>
      </c>
      <c r="C5002" s="3">
        <v>44541.834409722222</v>
      </c>
      <c r="D5002" s="1" t="s">
        <v>9994</v>
      </c>
      <c r="E5002" s="1" t="str">
        <f ca="1">IFERROR(__xludf.DUMMYFUNCTION("GOOGLETRANSLATE(A1801 , ""tr"" , ""en"")"),"@drfahrettinkoca yet-every !!!")</f>
        <v>@drfahrettinkoca yet-every !!!</v>
      </c>
    </row>
    <row r="5003" spans="1:5" ht="15" customHeight="1" x14ac:dyDescent="0.2">
      <c r="A5003" s="1" t="s">
        <v>9995</v>
      </c>
      <c r="B5003" s="1">
        <v>1</v>
      </c>
      <c r="C5003" s="3">
        <v>44541.834328703706</v>
      </c>
      <c r="D5003" s="1" t="s">
        <v>9996</v>
      </c>
      <c r="E5003" s="1" t="str">
        <f ca="1">IFERROR(__xludf.DUMMYFUNCTION("GOOGLETRANSLATE(A1802 , ""tr"" , ""en"")"),"@drfahrettinka guide guide guide guide guide guide guide guide guide guide guide guide kina ... https://t.co/czo1mbpdzw")</f>
        <v>@drfahrettinka guide guide guide guide guide guide guide guide guide guide guide guide kina ... https://t.co/czo1mbpdzw</v>
      </c>
    </row>
    <row r="5004" spans="1:5" ht="15" customHeight="1" x14ac:dyDescent="0.2">
      <c r="A5004" s="1" t="s">
        <v>9997</v>
      </c>
      <c r="B5004" s="1">
        <v>12</v>
      </c>
      <c r="C5004" s="3">
        <v>44541.834270833337</v>
      </c>
      <c r="D5004" s="1" t="s">
        <v>9998</v>
      </c>
      <c r="E5004" s="1" t="str">
        <f ca="1">IFERROR(__xludf.DUMMYFUNCTION("GOOGLETRANSLATE(A1803 , ""tr"" , ""en"")"),"@drfahrettinkoca! 🤔🤔🤔🤔🤔🤔🤔🤔🤔🤔🤔🤔🤔🤔! ️")</f>
        <v>@drfahrettinkoca! 🤔🤔🤔🤔🤔🤔🤔🤔🤔🤔🤔🤔🤔🤔! ️</v>
      </c>
    </row>
    <row r="5005" spans="1:5" ht="15" customHeight="1" x14ac:dyDescent="0.2">
      <c r="A5005" s="1" t="s">
        <v>9999</v>
      </c>
      <c r="B5005" s="1">
        <v>0</v>
      </c>
      <c r="C5005" s="3">
        <v>44541.834085648145</v>
      </c>
      <c r="D5005" s="1" t="s">
        <v>10000</v>
      </c>
      <c r="E5005" s="1" t="str">
        <f ca="1">IFERROR(__xludf.DUMMYFUNCTION("GOOGLETRANSLATE(A1804 , ""tr"" , ""en"")"),"@drfahrettinkoca EYW The Ministry of Health at the Ministry of Health Staff SA to our siblings working in the Ministry of Health ... https://t.co/e8qkoczkjy")</f>
        <v>@drfahrettinkoca EYW The Ministry of Health at the Ministry of Health Staff SA to our siblings working in the Ministry of Health ... https://t.co/e8qkoczkjy</v>
      </c>
    </row>
    <row r="5006" spans="1:5" ht="15" customHeight="1" x14ac:dyDescent="0.2">
      <c r="A5006" s="1" t="s">
        <v>10001</v>
      </c>
      <c r="B5006" s="1">
        <v>0</v>
      </c>
      <c r="C5006" s="3">
        <v>44541.833668981482</v>
      </c>
      <c r="D5006" s="1" t="s">
        <v>10002</v>
      </c>
      <c r="E5006" s="1" t="str">
        <f ca="1">IFERROR(__xludf.DUMMYFUNCTION("GOOGLETRANSLATE(A1805 , ""tr"" , ""en"")"),"@drfahrettinka we don't want to go through the reality. But I need to close the difference")</f>
        <v>@drfahrettinka we don't want to go through the reality. But I need to close the difference</v>
      </c>
    </row>
    <row r="5007" spans="1:5" ht="15" customHeight="1" x14ac:dyDescent="0.2">
      <c r="A5007" s="1" t="s">
        <v>7148</v>
      </c>
      <c r="B5007" s="1">
        <v>0</v>
      </c>
      <c r="C5007" s="3">
        <v>44541.833414351851</v>
      </c>
      <c r="D5007" s="1" t="s">
        <v>10003</v>
      </c>
      <c r="E5007" s="1" t="str">
        <f ca="1">IFERROR(__xludf.DUMMYFUNCTION("GOOGLETRANSLATE(A1806 , ""tr"" , ""en"")"),"@drfahrettinkoca is ok")</f>
        <v>@drfahrettinkoca is ok</v>
      </c>
    </row>
    <row r="5008" spans="1:5" ht="15" customHeight="1" x14ac:dyDescent="0.2">
      <c r="A5008" s="1" t="s">
        <v>10004</v>
      </c>
      <c r="B5008" s="1">
        <v>11</v>
      </c>
      <c r="C5008" s="3">
        <v>44541.833344907405</v>
      </c>
      <c r="D5008" s="1" t="s">
        <v>10005</v>
      </c>
      <c r="E5008" s="1" t="str">
        <f ca="1">IFERROR(__xludf.DUMMYFUNCTION("GOOGLETRANSLATE(A1807 , ""tr"" , ""en"")"),"@drfahrettinkoca thanks for saying the veritals. It is not a medicine of YSP. Populist Send ... https://t.co/W4KOFLQIUE")</f>
        <v>@drfahrettinkoca thanks for saying the veritals. It is not a medicine of YSP. Populist Send ... https://t.co/W4KOFLQIUE</v>
      </c>
    </row>
    <row r="5009" spans="1:5" ht="15" customHeight="1" x14ac:dyDescent="0.2">
      <c r="A5009" s="1" t="s">
        <v>10006</v>
      </c>
      <c r="B5009" s="1">
        <v>0</v>
      </c>
      <c r="C5009" s="3">
        <v>44541.83326388889</v>
      </c>
      <c r="D5009" s="1" t="s">
        <v>10007</v>
      </c>
      <c r="E5009" s="1" t="str">
        <f ca="1">IFERROR(__xludf.DUMMYFUNCTION("GOOGLETRANSLATE(A1808 , ""tr"" , ""en"")"),"@drfahrettinkoca so they go there the courier going there 😁🤪")</f>
        <v>@drfahrettinkoca so they go there the courier going there 😁🤪</v>
      </c>
    </row>
    <row r="5010" spans="1:5" ht="15" customHeight="1" x14ac:dyDescent="0.2">
      <c r="A5010" s="1" t="s">
        <v>10008</v>
      </c>
      <c r="B5010" s="1">
        <v>0</v>
      </c>
      <c r="C5010" s="3">
        <v>44541.833124999997</v>
      </c>
      <c r="D5010" s="1" t="s">
        <v>10009</v>
      </c>
      <c r="E5010" s="1" t="str">
        <f ca="1">IFERROR(__xludf.DUMMYFUNCTION("GOOGLETRANSLATE(A1809 , ""tr"" , ""en"")"),"@drfahrettinkoca guide look forward to")</f>
        <v>@drfahrettinkoca guide look forward to</v>
      </c>
    </row>
    <row r="5011" spans="1:5" ht="15" customHeight="1" x14ac:dyDescent="0.2">
      <c r="A5011" s="1" t="s">
        <v>10010</v>
      </c>
      <c r="B5011" s="1">
        <v>0</v>
      </c>
      <c r="C5011" s="3">
        <v>44541.832939814813</v>
      </c>
      <c r="D5011" s="1" t="s">
        <v>10011</v>
      </c>
      <c r="E5011" s="1" t="str">
        <f ca="1">IFERROR(__xludf.DUMMYFUNCTION("GOOGLETRANSLATE(A1810 , ""tr"" , ""en"")"),"If you have @drfahrettinkoca or physicians, pity ..")</f>
        <v>If you have @drfahrettinkoca or physicians, pity ..</v>
      </c>
    </row>
    <row r="5012" spans="1:5" ht="15" customHeight="1" x14ac:dyDescent="0.2">
      <c r="A5012" s="1" t="s">
        <v>10012</v>
      </c>
      <c r="B5012" s="1">
        <v>0</v>
      </c>
      <c r="C5012" s="3">
        <v>44541.832881944443</v>
      </c>
      <c r="D5012" s="1" t="s">
        <v>10013</v>
      </c>
      <c r="E5012" s="1" t="str">
        <f ca="1">IFERROR(__xludf.DUMMYFUNCTION("GOOGLETRANSLATE(A1811 , ""tr"" , ""en"")"),"@drfahrettinkoca taaabi")</f>
        <v>@drfahrettinkoca taaabi</v>
      </c>
    </row>
    <row r="5013" spans="1:5" ht="15" customHeight="1" x14ac:dyDescent="0.2">
      <c r="A5013" s="1" t="s">
        <v>10014</v>
      </c>
      <c r="B5013" s="1">
        <v>15</v>
      </c>
      <c r="C5013" s="3">
        <v>44541.832870370374</v>
      </c>
      <c r="D5013" s="1" t="s">
        <v>10015</v>
      </c>
      <c r="E5013" s="1" t="str">
        <f ca="1">IFERROR(__xludf.DUMMYFUNCTION("GOOGLETRANSLATE(A1812 , ""tr"" , ""en"")"),"@drfahrettinka Sure us is already stupid. We have seen how much quality they are. Pollar firms will come for the future ... https://t.co/5qye05gw17")</f>
        <v>@drfahrettinka Sure us is already stupid. We have seen how much quality they are. Pollar firms will come for the future ... https://t.co/5qye05gw17</v>
      </c>
    </row>
    <row r="5014" spans="1:5" ht="15" customHeight="1" x14ac:dyDescent="0.2">
      <c r="A5014" s="1" t="s">
        <v>10016</v>
      </c>
      <c r="B5014" s="1">
        <v>2</v>
      </c>
      <c r="C5014" s="3">
        <v>44541.832557870373</v>
      </c>
      <c r="D5014" s="1" t="s">
        <v>10017</v>
      </c>
      <c r="E5014" s="1" t="str">
        <f ca="1">IFERROR(__xludf.DUMMYFUNCTION("GOOGLETRANSLATE(A1813 , ""tr"" , ""en"")"),"@drfahrettinkoca Health Minister @drfahrettinkoca disrespectfully commentation nurse do not host nurse in your budget .. ... https://t.co/fkuxzmvxxr")</f>
        <v>@drfahrettinkoca Health Minister @drfahrettinkoca disrespectfully commentation nurse do not host nurse in your budget .. ... https://t.co/fkuxzmvxxr</v>
      </c>
    </row>
    <row r="5015" spans="1:5" ht="15" customHeight="1" x14ac:dyDescent="0.2">
      <c r="A5015" s="1" t="s">
        <v>10018</v>
      </c>
      <c r="B5015" s="1">
        <v>0</v>
      </c>
      <c r="C5015" s="3">
        <v>44541.832476851851</v>
      </c>
      <c r="D5015" s="1" t="s">
        <v>10019</v>
      </c>
      <c r="E5015" s="1" t="str">
        <f ca="1">IFERROR(__xludf.DUMMYFUNCTION("GOOGLETRANSLATE(A1814 , ""tr"" , ""en"")"),"@drfahrettinkoca is obvious on the friendly bad day. Of course the right of the right, but not physicians, but also doctors ... https://t.co/ynf08sdjjn")</f>
        <v>@drfahrettinkoca is obvious on the friendly bad day. Of course the right of the right, but not physicians, but also doctors ... https://t.co/ynf08sdjjn</v>
      </c>
    </row>
    <row r="5016" spans="1:5" ht="15" customHeight="1" x14ac:dyDescent="0.2">
      <c r="A5016" s="1" t="s">
        <v>10020</v>
      </c>
      <c r="B5016" s="1">
        <v>9</v>
      </c>
      <c r="C5016" s="3">
        <v>44541.832476851851</v>
      </c>
      <c r="D5016" s="1" t="s">
        <v>10021</v>
      </c>
      <c r="E5016" s="1" t="str">
        <f ca="1">IFERROR(__xludf.DUMMYFUNCTION("GOOGLETRANSLATE(A1815 , ""tr"" , ""en"")"),"@drfahrettinkoca I think your first priority is to be known to know the apparatus of our dear faculty ... https://t.co/2oumfmtfgp")</f>
        <v>@drfahrettinkoca I think your first priority is to be known to know the apparatus of our dear faculty ... https://t.co/2oumfmtfgp</v>
      </c>
    </row>
    <row r="5017" spans="1:5" ht="15" customHeight="1" x14ac:dyDescent="0.2">
      <c r="A5017" s="1" t="s">
        <v>10022</v>
      </c>
      <c r="B5017" s="1">
        <v>0</v>
      </c>
      <c r="C5017" s="3">
        <v>44541.832141203704</v>
      </c>
      <c r="D5017" s="1" t="s">
        <v>10023</v>
      </c>
      <c r="E5017" s="1" t="str">
        <f ca="1">IFERROR(__xludf.DUMMYFUNCTION("GOOGLETRANSLATE(A1816 , ""tr"" , ""en"")"),"@drfahrettinkoca We are my stepman already")</f>
        <v>@drfahrettinkoca We are my stepman already</v>
      </c>
    </row>
    <row r="5018" spans="1:5" ht="15" customHeight="1" x14ac:dyDescent="0.2">
      <c r="A5018" s="1" t="s">
        <v>10024</v>
      </c>
      <c r="B5018" s="1">
        <v>16</v>
      </c>
      <c r="C5018" s="3">
        <v>44541.83185185185</v>
      </c>
      <c r="D5018" s="1" t="s">
        <v>10025</v>
      </c>
      <c r="E5018" s="1" t="str">
        <f ca="1">IFERROR(__xludf.DUMMYFUNCTION("GOOGLETRANSLATE(A1817 , ""tr"" , ""en"")"),"@drfahrettinkoca I think you don't forget ... Magandas make oral / physical violence when you are practicing, humanitarian work ... https://t.co/xei5yag23u")</f>
        <v>@drfahrettinkoca I think you don't forget ... Magandas make oral / physical violence when you are practicing, humanitarian work ... https://t.co/xei5yag23u</v>
      </c>
    </row>
    <row r="5019" spans="1:5" ht="15" customHeight="1" x14ac:dyDescent="0.2">
      <c r="A5019" s="1" t="s">
        <v>10026</v>
      </c>
      <c r="B5019" s="1">
        <v>0</v>
      </c>
      <c r="C5019" s="3">
        <v>44541.831759259258</v>
      </c>
      <c r="D5019" s="1" t="s">
        <v>10027</v>
      </c>
      <c r="E5019" s="1" t="str">
        <f ca="1">IFERROR(__xludf.DUMMYFUNCTION("GOOGLETRANSLATE(A1818 , ""tr"" , ""en"")"),"@drfahrettinkoca physicians run https://t.co/vp69hts5sbununa bragging them you")</f>
        <v>@drfahrettinkoca physicians run https://t.co/vp69hts5sbununa bragging them you</v>
      </c>
    </row>
    <row r="5020" spans="1:5" ht="15" customHeight="1" x14ac:dyDescent="0.2">
      <c r="A5020" s="1" t="s">
        <v>10028</v>
      </c>
      <c r="B5020" s="1">
        <v>0</v>
      </c>
      <c r="C5020" s="3">
        <v>44541.831643518519</v>
      </c>
      <c r="D5020" s="1" t="s">
        <v>10029</v>
      </c>
      <c r="E5020" s="1" t="str">
        <f ca="1">IFERROR(__xludf.DUMMYFUNCTION("GOOGLETRANSLATE(A1819 , ""tr"" , ""en"")"),"@drfahrettinkoca @saglikbakanligi President COK HARD CASE CASE IN YIM Adana City Hospital 6 years DIR Cal ... https://t.co/1jhs9pw3in")</f>
        <v>@drfahrettinkoca @saglikbakanligi President COK HARD CASE CASE IN YIM Adana City Hospital 6 years DIR Cal ... https://t.co/1jhs9pw3in</v>
      </c>
    </row>
    <row r="5021" spans="1:5" ht="15" customHeight="1" x14ac:dyDescent="0.2">
      <c r="A5021" s="1" t="s">
        <v>10030</v>
      </c>
      <c r="B5021" s="1">
        <v>81</v>
      </c>
      <c r="C5021" s="3">
        <v>44541.831562500003</v>
      </c>
      <c r="D5021" s="1" t="s">
        <v>10031</v>
      </c>
      <c r="E5021" s="1" t="str">
        <f ca="1">IFERROR(__xludf.DUMMYFUNCTION("GOOGLETRANSLATE(A1820 , ""tr"" , ""en"")"),"@drfahrettinkoca you are not intimate Mr. Minister, it is the best-grown physicians why you quit and go abroad ... https://t.co/4npyebfcfd")</f>
        <v>@drfahrettinkoca you are not intimate Mr. Minister, it is the best-grown physicians why you quit and go abroad ... https://t.co/4npyebfcfd</v>
      </c>
    </row>
    <row r="5022" spans="1:5" ht="15" customHeight="1" x14ac:dyDescent="0.2">
      <c r="A5022" s="1" t="s">
        <v>10032</v>
      </c>
      <c r="B5022" s="1">
        <v>0</v>
      </c>
      <c r="C5022" s="3">
        <v>44541.831122685187</v>
      </c>
      <c r="D5022" s="1" t="s">
        <v>10033</v>
      </c>
      <c r="E5022" s="1" t="str">
        <f ca="1">IFERROR(__xludf.DUMMYFUNCTION("GOOGLETRANSLATE(A1821 , ""tr"" , ""en"")"),"@drfahrettinkoca Problems We're out of days we are already")</f>
        <v>@drfahrettinkoca Problems We're out of days we are already</v>
      </c>
    </row>
    <row r="5023" spans="1:5" ht="15" customHeight="1" x14ac:dyDescent="0.2">
      <c r="A5023" s="1" t="s">
        <v>10034</v>
      </c>
      <c r="B5023" s="1">
        <v>0</v>
      </c>
      <c r="C5023" s="3">
        <v>44541.830983796295</v>
      </c>
      <c r="D5023" s="1" t="s">
        <v>10035</v>
      </c>
      <c r="E5023" s="1" t="str">
        <f ca="1">IFERROR(__xludf.DUMMYFUNCTION("GOOGLETRANSLATE(A1822 , ""tr"" , ""en"")"),"@drfahrettinkoca is attempting to increase the number of intake according to the publication of the guide is trying to increase the number of intake")</f>
        <v>@drfahrettinkoca is attempting to increase the number of intake according to the publication of the guide is trying to increase the number of intake</v>
      </c>
    </row>
    <row r="5024" spans="1:5" ht="15" customHeight="1" x14ac:dyDescent="0.2">
      <c r="A5024" s="1" t="s">
        <v>10036</v>
      </c>
      <c r="B5024" s="1">
        <v>5</v>
      </c>
      <c r="C5024" s="3">
        <v>44541.830972222226</v>
      </c>
      <c r="D5024" s="1" t="s">
        <v>10037</v>
      </c>
      <c r="E5024" s="1" t="str">
        <f ca="1">IFERROR(__xludf.DUMMYFUNCTION("GOOGLETRANSLATE(A1823 , ""tr"" , ""en"")"),"@drfahrettinkoca Ministry of concrete solution ???")</f>
        <v>@drfahrettinkoca Ministry of concrete solution ???</v>
      </c>
    </row>
    <row r="5025" spans="1:5" ht="15" customHeight="1" x14ac:dyDescent="0.2">
      <c r="A5025" s="1" t="s">
        <v>10038</v>
      </c>
      <c r="B5025" s="1">
        <v>0</v>
      </c>
      <c r="C5025" s="3">
        <v>44541.830787037034</v>
      </c>
      <c r="D5025" s="1" t="s">
        <v>10039</v>
      </c>
      <c r="E5025" s="1" t="str">
        <f ca="1">IFERROR(__xludf.DUMMYFUNCTION("GOOGLETRANSLATE(A1824 , ""tr"" , ""en"")"),"@drfahrettinkoca says this is no problem except you are the minister of health while saying this is what we tell you the original")</f>
        <v>@drfahrettinkoca says this is no problem except you are the minister of health while saying this is what we tell you the original</v>
      </c>
    </row>
    <row r="5026" spans="1:5" ht="15" customHeight="1" x14ac:dyDescent="0.2">
      <c r="A5026" s="1" t="s">
        <v>10040</v>
      </c>
      <c r="B5026" s="1">
        <v>0</v>
      </c>
      <c r="C5026" s="3">
        <v>44541.830590277779</v>
      </c>
      <c r="D5026" s="1" t="s">
        <v>10041</v>
      </c>
      <c r="E5026" s="1" t="str">
        <f ca="1">IFERROR(__xludf.DUMMYFUNCTION("GOOGLETRANSLATE(A1825 , ""tr"" , ""en"")"),"@drfahrettinkoca to whom you say to God's sake")</f>
        <v>@drfahrettinkoca to whom you say to God's sake</v>
      </c>
    </row>
    <row r="5027" spans="1:5" ht="15" customHeight="1" x14ac:dyDescent="0.2">
      <c r="A5027" s="1" t="s">
        <v>10042</v>
      </c>
      <c r="B5027" s="1">
        <v>0</v>
      </c>
      <c r="C5027" s="3">
        <v>44541.830451388887</v>
      </c>
      <c r="D5027" s="1" t="s">
        <v>10043</v>
      </c>
      <c r="E5027" s="1" t="str">
        <f ca="1">IFERROR(__xludf.DUMMYFUNCTION("GOOGLETRANSLATE(A1826 , ""tr"" , ""en"")"),"@drfahrettinka you have forgotten healthparts but Mr. Minister. The guide was full of 1 year.")</f>
        <v>@drfahrettinka you have forgotten healthparts but Mr. Minister. The guide was full of 1 year.</v>
      </c>
    </row>
    <row r="5028" spans="1:5" ht="15" customHeight="1" x14ac:dyDescent="0.2">
      <c r="A5028" s="1" t="s">
        <v>10044</v>
      </c>
      <c r="B5028" s="1">
        <v>4</v>
      </c>
      <c r="C5028" s="3">
        <v>44541.830254629633</v>
      </c>
      <c r="D5028" s="1" t="s">
        <v>10045</v>
      </c>
      <c r="E5028" s="1" t="str">
        <f ca="1">IFERROR(__xludf.DUMMYFUNCTION("GOOGLETRANSLATE(A1827 , ""tr"" , ""en"")"),"@drfahrettinkoca yeah she is expense in our physicians so you have already stayed in our ulk, what you are doing ... https://t.co/eojo7xqor0")</f>
        <v>@drfahrettinkoca yeah she is expense in our physicians so you have already stayed in our ulk, what you are doing ... https://t.co/eojo7xqor0</v>
      </c>
    </row>
    <row r="5029" spans="1:5" ht="15" customHeight="1" x14ac:dyDescent="0.2">
      <c r="A5029" s="1" t="s">
        <v>10046</v>
      </c>
      <c r="B5029" s="1">
        <v>0</v>
      </c>
      <c r="C5029" s="3">
        <v>44541.830196759256</v>
      </c>
      <c r="D5029" s="1" t="s">
        <v>10047</v>
      </c>
      <c r="E5029" s="1" t="str">
        <f ca="1">IFERROR(__xludf.DUMMYFUNCTION("GOOGLETRANSLATE(A1828 , ""tr"" , ""en"")"),"@drfahrettinkoca becomes.")</f>
        <v>@drfahrettinkoca becomes.</v>
      </c>
    </row>
    <row r="5030" spans="1:5" ht="15" customHeight="1" x14ac:dyDescent="0.2">
      <c r="A5030" s="1" t="s">
        <v>10048</v>
      </c>
      <c r="B5030" s="1">
        <v>1</v>
      </c>
      <c r="C5030" s="3">
        <v>44541.829675925925</v>
      </c>
      <c r="D5030" s="1" t="s">
        <v>10049</v>
      </c>
      <c r="E5030" s="1" t="str">
        <f ca="1">IFERROR(__xludf.DUMMYFUNCTION("GOOGLETRANSLATE(A1829 , ""tr"" , ""en"")"),"@drfahrettinkoca # anesthesia3000atama requirement This guide must be a fighter bi guide 15 thousand nurse 5 thousand midwives ... https://t.co/fwvmxcrgy4")</f>
        <v>@drfahrettinkoca # anesthesia3000atama requirement This guide must be a fighter bi guide 15 thousand nurse 5 thousand midwives ... https://t.co/fwvmxcrgy4</v>
      </c>
    </row>
    <row r="5031" spans="1:5" ht="15" customHeight="1" x14ac:dyDescent="0.2">
      <c r="A5031" s="1" t="s">
        <v>10050</v>
      </c>
      <c r="B5031" s="1">
        <v>1</v>
      </c>
      <c r="C5031" s="3">
        <v>44541.829560185186</v>
      </c>
      <c r="D5031" s="1" t="s">
        <v>10051</v>
      </c>
      <c r="E5031" s="1" t="str">
        <f ca="1">IFERROR(__xludf.DUMMYFUNCTION("GOOGLETRANSLATE(A1830 , ""tr"" , ""en"")"),"@drfahrettinkoca online training we want to Mr. Minister")</f>
        <v>@drfahrettinkoca online training we want to Mr. Minister</v>
      </c>
    </row>
    <row r="5032" spans="1:5" ht="15" customHeight="1" x14ac:dyDescent="0.2">
      <c r="A5032" s="1" t="s">
        <v>10052</v>
      </c>
      <c r="B5032" s="1">
        <v>2</v>
      </c>
      <c r="C5032" s="3">
        <v>44541.829502314817</v>
      </c>
      <c r="D5032" s="1" t="s">
        <v>10053</v>
      </c>
      <c r="E5032" s="1" t="str">
        <f ca="1">IFERROR(__xludf.DUMMYFUNCTION("GOOGLETRANSLATE(A1831 , ""tr"" , ""en"")"),"@drfahrettinkoca why are you kidnapping rich countries Know the masmet to rich then our physicians")</f>
        <v>@drfahrettinkoca why are you kidnapping rich countries Know the masmet to rich then our physicians</v>
      </c>
    </row>
    <row r="5033" spans="1:5" ht="15" customHeight="1" x14ac:dyDescent="0.2">
      <c r="A5033" s="1" t="s">
        <v>10054</v>
      </c>
      <c r="B5033" s="1">
        <v>0</v>
      </c>
      <c r="C5033" s="3">
        <v>44541.829432870371</v>
      </c>
      <c r="D5033" s="1" t="s">
        <v>10055</v>
      </c>
      <c r="E5033" s="1" t="str">
        <f ca="1">IFERROR(__xludf.DUMMYFUNCTION("GOOGLETRANSLATE(A1832 , ""tr"" , ""en"")"),"Assign @drfahrettinkoca")</f>
        <v>Assign @drfahrettinkoca</v>
      </c>
    </row>
    <row r="5034" spans="1:5" ht="15" customHeight="1" x14ac:dyDescent="0.2">
      <c r="A5034" s="1" t="s">
        <v>10056</v>
      </c>
      <c r="B5034" s="1">
        <v>0</v>
      </c>
      <c r="C5034" s="3">
        <v>44541.829375000001</v>
      </c>
      <c r="D5034" s="1" t="s">
        <v>10057</v>
      </c>
      <c r="E5034" s="1" t="str">
        <f ca="1">IFERROR(__xludf.DUMMYFUNCTION("GOOGLETRANSLATE(A1833 , ""tr"" , ""en"")"),"@drfahrettinkoca for allah sake of allah love now guide")</f>
        <v>@drfahrettinkoca for allah sake of allah love now guide</v>
      </c>
    </row>
    <row r="5035" spans="1:5" ht="15" customHeight="1" x14ac:dyDescent="0.2">
      <c r="A5035" s="1" t="s">
        <v>10058</v>
      </c>
      <c r="B5035" s="1">
        <v>1</v>
      </c>
      <c r="C5035" s="3">
        <v>44541.829108796293</v>
      </c>
      <c r="D5035" s="1" t="s">
        <v>10059</v>
      </c>
      <c r="E5035" s="1" t="str">
        <f ca="1">IFERROR(__xludf.DUMMYFUNCTION("GOOGLETRANSLATE(A1834 , ""tr"" , ""en"")"),"@drfahrettinkoca Guide")</f>
        <v>@drfahrettinkoca Guide</v>
      </c>
    </row>
    <row r="5036" spans="1:5" ht="15" customHeight="1" x14ac:dyDescent="0.2">
      <c r="A5036" s="1" t="s">
        <v>10060</v>
      </c>
      <c r="B5036" s="1">
        <v>0</v>
      </c>
      <c r="C5036" s="3">
        <v>44541.828958333332</v>
      </c>
      <c r="D5036" s="1" t="s">
        <v>10061</v>
      </c>
      <c r="E5036" s="1" t="str">
        <f ca="1">IFERROR(__xludf.DUMMYFUNCTION("GOOGLETRANSLATE(A1835 , ""tr"" , ""en"")"),"@drfahrettinkoca Guide where Mr. Minister")</f>
        <v>@drfahrettinkoca Guide where Mr. Minister</v>
      </c>
    </row>
    <row r="5037" spans="1:5" ht="15" customHeight="1" x14ac:dyDescent="0.2">
      <c r="A5037" s="1" t="s">
        <v>10062</v>
      </c>
      <c r="B5037" s="1">
        <v>0</v>
      </c>
      <c r="C5037" s="3">
        <v>44541.828958333332</v>
      </c>
      <c r="D5037" s="1" t="s">
        <v>10063</v>
      </c>
      <c r="E5037" s="1" t="str">
        <f ca="1">IFERROR(__xludf.DUMMYFUNCTION("GOOGLETRANSLATE(A1836 , ""tr"" , ""en"")"),"@drfahrettinkoca Today is 39 years old expert doctors in German course.")</f>
        <v>@drfahrettinkoca Today is 39 years old expert doctors in German course.</v>
      </c>
    </row>
    <row r="5038" spans="1:5" ht="15" customHeight="1" x14ac:dyDescent="0.2">
      <c r="A5038" s="1" t="s">
        <v>10064</v>
      </c>
      <c r="B5038" s="1">
        <v>6</v>
      </c>
      <c r="C5038" s="3">
        <v>44541.828865740739</v>
      </c>
      <c r="D5038" s="1" t="s">
        <v>10065</v>
      </c>
      <c r="E5038" s="1" t="str">
        <f ca="1">IFERROR(__xludf.DUMMYFUNCTION("GOOGLETRANSLATE(A1837 , ""tr"" , ""en"")"),"@drfahrettinka see those physicians need to wear a healthy person's mask https://t.co/ypxrq7rwrc")</f>
        <v>@drfahrettinka see those physicians need to wear a healthy person's mask https://t.co/ypxrq7rwrc</v>
      </c>
    </row>
    <row r="5039" spans="1:5" ht="15" customHeight="1" x14ac:dyDescent="0.2">
      <c r="A5039" s="1" t="s">
        <v>10066</v>
      </c>
      <c r="B5039" s="1">
        <v>4</v>
      </c>
      <c r="C5039" s="3">
        <v>44541.828668981485</v>
      </c>
      <c r="D5039" s="1" t="s">
        <v>10067</v>
      </c>
      <c r="E5039" s="1" t="str">
        <f ca="1">IFERROR(__xludf.DUMMYFUNCTION("GOOGLETRANSLATE(A1838 , ""tr"" , ""en"")"),"@drfahrettinkoca is not assigned healthpieces are also looking at rich countries with the buyer's eye seeing @drfahrettinkoca # budget")</f>
        <v>@drfahrettinkoca is not assigned healthpieces are also looking at rich countries with the buyer's eye seeing @drfahrettinkoca # budget</v>
      </c>
    </row>
    <row r="5040" spans="1:5" ht="15" customHeight="1" x14ac:dyDescent="0.2">
      <c r="A5040" s="1" t="s">
        <v>10068</v>
      </c>
      <c r="B5040" s="1">
        <v>64</v>
      </c>
      <c r="C5040" s="3">
        <v>44541.828645833331</v>
      </c>
      <c r="D5040" s="1" t="s">
        <v>10069</v>
      </c>
      <c r="E5040" s="1" t="str">
        <f ca="1">IFERROR(__xludf.DUMMYFUNCTION("GOOGLETRANSLATE(A1839 , ""tr"" , ""en"")"),"@drfahrettinkoca receiver The physicians looked at the eye are going abroad, there is nothing to do for your colleagues?")</f>
        <v>@drfahrettinkoca receiver The physicians looked at the eye are going abroad, there is nothing to do for your colleagues?</v>
      </c>
    </row>
    <row r="5041" spans="1:5" ht="15" customHeight="1" x14ac:dyDescent="0.2">
      <c r="A5041" s="1" t="s">
        <v>10070</v>
      </c>
      <c r="B5041" s="1">
        <v>5</v>
      </c>
      <c r="C5041" s="3">
        <v>44541.828587962962</v>
      </c>
      <c r="D5041" s="1" t="s">
        <v>10071</v>
      </c>
      <c r="E5041" s="1" t="str">
        <f ca="1">IFERROR(__xludf.DUMMYFUNCTION("GOOGLETRANSLATE(A1840 , ""tr"" , ""en"")"),"@drfahrettinkoca 1) Fed up as students and poorly in bad situation should be credited to online education 2) physic ... https://t.co/fp7jckmo2q")</f>
        <v>@drfahrettinkoca 1) Fed up as students and poorly in bad situation should be credited to online education 2) physic ... https://t.co/fp7jckmo2q</v>
      </c>
    </row>
    <row r="5042" spans="1:5" ht="15" customHeight="1" x14ac:dyDescent="0.2">
      <c r="A5042" s="1" t="s">
        <v>10072</v>
      </c>
      <c r="B5042" s="1">
        <v>0</v>
      </c>
      <c r="C5042" s="3">
        <v>44541.82849537037</v>
      </c>
      <c r="D5042" s="1" t="s">
        <v>10073</v>
      </c>
      <c r="E5042" s="1" t="str">
        <f ca="1">IFERROR(__xludf.DUMMYFUNCTION("GOOGLETRANSLATE(A1841 , ""tr"" , ""en"")"),"@drfahrettinkoca praise me Give me money Mr. Ministry")</f>
        <v>@drfahrettinkoca praise me Give me money Mr. Ministry</v>
      </c>
    </row>
    <row r="5043" spans="1:5" ht="15" customHeight="1" x14ac:dyDescent="0.2">
      <c r="A5043" s="1" t="s">
        <v>10074</v>
      </c>
      <c r="B5043" s="1">
        <v>0</v>
      </c>
      <c r="C5043" s="3">
        <v>44541.828136574077</v>
      </c>
      <c r="D5043" s="1" t="s">
        <v>10075</v>
      </c>
      <c r="E5043" s="1" t="str">
        <f ca="1">IFERROR(__xludf.DUMMYFUNCTION("GOOGLETRANSLATE(A1842 , ""tr"" , ""en"")"),"@drfahrettinkoca guide ???")</f>
        <v>@drfahrettinkoca guide ???</v>
      </c>
    </row>
    <row r="5044" spans="1:5" ht="15" customHeight="1" x14ac:dyDescent="0.2">
      <c r="A5044" s="1" t="s">
        <v>10076</v>
      </c>
      <c r="B5044" s="1">
        <v>0</v>
      </c>
      <c r="C5044" s="3">
        <v>44541.828043981484</v>
      </c>
      <c r="D5044" s="1" t="s">
        <v>10077</v>
      </c>
      <c r="E5044" s="1" t="str">
        <f ca="1">IFERROR(__xludf.DUMMYFUNCTION("GOOGLETRANSLATE(A1843 , ""tr"" , ""en"")"),"@drfahrettinkoca you voted from you😀😀 Already the case they are also sizesydisdisina")</f>
        <v>@drfahrettinkoca you voted from you😀😀 Already the case they are also sizesydisdisina</v>
      </c>
    </row>
    <row r="5045" spans="1:5" ht="15" customHeight="1" x14ac:dyDescent="0.2">
      <c r="A5045" s="1" t="s">
        <v>10078</v>
      </c>
      <c r="B5045" s="1">
        <v>0</v>
      </c>
      <c r="C5045" s="3">
        <v>44541.827893518515</v>
      </c>
      <c r="D5045" s="1" t="s">
        <v>10079</v>
      </c>
      <c r="E5045" s="1" t="str">
        <f ca="1">IFERROR(__xludf.DUMMYFUNCTION("GOOGLETRANSLATE(A1844 , ""tr"" , ""en"")"),"@drfahrettinkoca Here are the country that they are going to know that on them.")</f>
        <v>@drfahrettinkoca Here are the country that they are going to know that on them.</v>
      </c>
    </row>
    <row r="5046" spans="1:5" ht="15" customHeight="1" x14ac:dyDescent="0.2">
      <c r="A5046" s="1" t="s">
        <v>10080</v>
      </c>
      <c r="B5046" s="1">
        <v>0</v>
      </c>
      <c r="C5046" s="3">
        <v>44541.827870370369</v>
      </c>
      <c r="D5046" s="1" t="s">
        <v>10081</v>
      </c>
      <c r="E5046" s="1" t="str">
        <f ca="1">IFERROR(__xludf.DUMMYFUNCTION("GOOGLETRANSLATE(A1845 , ""tr"" , ""en"")"),"@drfahrettinkoca assignment?")</f>
        <v>@drfahrettinkoca assignment?</v>
      </c>
    </row>
    <row r="5047" spans="1:5" ht="15" customHeight="1" x14ac:dyDescent="0.2">
      <c r="A5047" s="1" t="s">
        <v>10082</v>
      </c>
      <c r="B5047" s="1">
        <v>0</v>
      </c>
      <c r="C5047" s="3">
        <v>44541.8278587963</v>
      </c>
      <c r="D5047" s="1" t="s">
        <v>10083</v>
      </c>
      <c r="E5047" s="1" t="str">
        <f ca="1">IFERROR(__xludf.DUMMYFUNCTION("GOOGLETRANSLATE(A1846 , ""tr"" , ""en"")"),"@drfahrettinkoca Yes we are the only country that does not know the correct values")</f>
        <v>@drfahrettinkoca Yes we are the only country that does not know the correct values</v>
      </c>
    </row>
    <row r="5048" spans="1:5" ht="15" customHeight="1" x14ac:dyDescent="0.2">
      <c r="A5048" s="1" t="s">
        <v>10084</v>
      </c>
      <c r="B5048" s="1">
        <v>0</v>
      </c>
      <c r="C5048" s="3">
        <v>44541.827835648146</v>
      </c>
      <c r="D5048" s="1" t="s">
        <v>10085</v>
      </c>
      <c r="E5048" s="1" t="str">
        <f ca="1">IFERROR(__xludf.DUMMYFUNCTION("GOOGLETRANSLATE(A1847 , ""tr"" , ""en"")"),"@drfahrettinkoca you still have a favid to the patient with Covid as of yesterday.")</f>
        <v>@drfahrettinkoca you still have a favid to the patient with Covid as of yesterday.</v>
      </c>
    </row>
    <row r="5049" spans="1:5" ht="15" customHeight="1" x14ac:dyDescent="0.2">
      <c r="A5049" s="1" t="s">
        <v>10086</v>
      </c>
      <c r="B5049" s="1">
        <v>0</v>
      </c>
      <c r="C5049" s="3">
        <v>44541.8278125</v>
      </c>
      <c r="D5049" s="1" t="s">
        <v>10087</v>
      </c>
      <c r="E5049" s="1" t="str">
        <f ca="1">IFERROR(__xludf.DUMMYFUNCTION("GOOGLETRANSLATE(A1848 , ""tr"" , ""en"")"),"@drfahrettinkoca guide or kilavuzzz")</f>
        <v>@drfahrettinkoca guide or kilavuzzz</v>
      </c>
    </row>
    <row r="5050" spans="1:5" ht="15" customHeight="1" x14ac:dyDescent="0.2">
      <c r="A5050" s="1" t="s">
        <v>10088</v>
      </c>
      <c r="B5050" s="1">
        <v>2</v>
      </c>
      <c r="C5050" s="3">
        <v>44541.827453703707</v>
      </c>
      <c r="D5050" s="1" t="s">
        <v>10089</v>
      </c>
      <c r="E5050" s="1" t="str">
        <f ca="1">IFERROR(__xludf.DUMMYFUNCTION("GOOGLETRANSLATE(A1849 , ""tr"" , ""en"")"),"@drfahrettinkoca especially in the first 5 thousand of the first 5 thousand in the University Exam.")</f>
        <v>@drfahrettinkoca especially in the first 5 thousand of the first 5 thousand in the University Exam.</v>
      </c>
    </row>
    <row r="5051" spans="1:5" ht="15" customHeight="1" x14ac:dyDescent="0.2">
      <c r="A5051" s="1" t="s">
        <v>10090</v>
      </c>
      <c r="B5051" s="1">
        <v>2</v>
      </c>
      <c r="C5051" s="3">
        <v>44541.827326388891</v>
      </c>
      <c r="D5051" s="1" t="s">
        <v>10091</v>
      </c>
      <c r="E5051" s="1" t="str">
        <f ca="1">IFERROR(__xludf.DUMMYFUNCTION("GOOGLETRANSLATE(A1850 , ""tr"" , ""en"")"),"@drfahrettinkoca they go")</f>
        <v>@drfahrettinkoca they go</v>
      </c>
    </row>
    <row r="5052" spans="1:5" ht="15" customHeight="1" x14ac:dyDescent="0.2">
      <c r="A5052" s="1" t="s">
        <v>10092</v>
      </c>
      <c r="B5052" s="1">
        <v>0</v>
      </c>
      <c r="C5052" s="3">
        <v>44541.827233796299</v>
      </c>
      <c r="D5052" s="1" t="s">
        <v>10093</v>
      </c>
      <c r="E5052" s="1" t="str">
        <f ca="1">IFERROR(__xludf.DUMMYFUNCTION("GOOGLETRANSLATE(A1851 , ""tr"" , ""en"")"),"@drfahrettinkoca @saglikbakanligi #DOKTORTS HAND WHEN?")</f>
        <v>@drfahrettinkoca @saglikbakanligi #DOKTORTS HAND WHEN?</v>
      </c>
    </row>
    <row r="5053" spans="1:5" ht="15" customHeight="1" x14ac:dyDescent="0.2">
      <c r="A5053" s="1" t="s">
        <v>10094</v>
      </c>
      <c r="B5053" s="1">
        <v>0</v>
      </c>
      <c r="C5053" s="3">
        <v>44541.827164351853</v>
      </c>
      <c r="D5053" s="1" t="s">
        <v>10095</v>
      </c>
      <c r="E5053" s="1" t="str">
        <f ca="1">IFERROR(__xludf.DUMMYFUNCTION("GOOGLETRANSLATE(A1852 , ""tr"" , ""en"")"),"@drfahrettinka We hope you say that with the permission of SN.Cumhur ...")</f>
        <v>@drfahrettinka We hope you say that with the permission of SN.Cumhur ...</v>
      </c>
    </row>
    <row r="5054" spans="1:5" ht="15" customHeight="1" x14ac:dyDescent="0.2">
      <c r="A5054" s="1" t="s">
        <v>10096</v>
      </c>
      <c r="B5054" s="1">
        <v>0</v>
      </c>
      <c r="C5054" s="3">
        <v>44541.827141203707</v>
      </c>
      <c r="D5054" s="1" t="s">
        <v>10097</v>
      </c>
      <c r="E5054" s="1" t="str">
        <f ca="1">IFERROR(__xludf.DUMMYFUNCTION("GOOGLETRANSLATE(A1853 , ""tr"" , ""en"")"),"@drfahrettinkoca yes so he is going to escape your opportunity.")</f>
        <v>@drfahrettinkoca yes so he is going to escape your opportunity.</v>
      </c>
    </row>
    <row r="5055" spans="1:5" ht="15" customHeight="1" x14ac:dyDescent="0.2">
      <c r="A5055" s="1" t="s">
        <v>10098</v>
      </c>
      <c r="B5055" s="1">
        <v>22</v>
      </c>
      <c r="C5055" s="3">
        <v>44541.826932870368</v>
      </c>
      <c r="D5055" s="1" t="s">
        <v>10099</v>
      </c>
      <c r="E5055" s="1" t="str">
        <f ca="1">IFERROR(__xludf.DUMMYFUNCTION("GOOGLETRANSLATE(A1854 , ""tr"" , ""en"")"),"?")</f>
        <v>?</v>
      </c>
    </row>
    <row r="5056" spans="1:5" ht="15" customHeight="1" x14ac:dyDescent="0.2">
      <c r="A5056" s="1" t="s">
        <v>10100</v>
      </c>
      <c r="B5056" s="1">
        <v>0</v>
      </c>
      <c r="C5056" s="3">
        <v>44541.826921296299</v>
      </c>
      <c r="D5056" s="1" t="s">
        <v>10101</v>
      </c>
      <c r="E5056" s="1" t="str">
        <f ca="1">IFERROR(__xludf.DUMMYFUNCTION("GOOGLETRANSLATE(A1855 , ""tr"" , ""en"")"),"@drfahrettinka https://t.co/zsehx3xcod")</f>
        <v>@drfahrettinka https://t.co/zsehx3xcod</v>
      </c>
    </row>
    <row r="5057" spans="1:5" ht="15" customHeight="1" x14ac:dyDescent="0.2">
      <c r="A5057" s="1" t="s">
        <v>10102</v>
      </c>
      <c r="B5057" s="1">
        <v>1</v>
      </c>
      <c r="C5057" s="3">
        <v>44541.826909722222</v>
      </c>
      <c r="D5057" s="1" t="s">
        <v>10103</v>
      </c>
      <c r="E5057" s="1" t="str">
        <f ca="1">IFERROR(__xludf.DUMMYFUNCTION("GOOGLETRANSLATE(A1856 , ""tr"" , ""en"")"),"@drfahrettinkoca @saglikbakanligi SLM The President of the President of the President of Adana City Hospital, they were in the city Hospital ... HTTPS://T.CO/L4OXHXLFP7")</f>
        <v>@drfahrettinkoca @saglikbakanligi SLM The President of the President of the President of Adana City Hospital, they were in the city Hospital ... HTTPS://T.CO/L4OXHXLFP7</v>
      </c>
    </row>
    <row r="5058" spans="1:5" ht="15" customHeight="1" x14ac:dyDescent="0.2">
      <c r="A5058" s="1" t="s">
        <v>10104</v>
      </c>
      <c r="B5058" s="1">
        <v>0</v>
      </c>
      <c r="C5058" s="3">
        <v>44541.826851851853</v>
      </c>
      <c r="D5058" s="1" t="s">
        <v>10105</v>
      </c>
      <c r="E5058" s="1" t="str">
        <f ca="1">IFERROR(__xludf.DUMMYFUNCTION("GOOGLETRANSLATE(A1857 , ""tr"" , ""en"")"),"@drfahrettinkoca bravo 👏")</f>
        <v>@drfahrettinkoca bravo 👏</v>
      </c>
    </row>
    <row r="5059" spans="1:5" ht="15" customHeight="1" x14ac:dyDescent="0.2">
      <c r="A5059" s="1" t="s">
        <v>10106</v>
      </c>
      <c r="B5059" s="1">
        <v>0</v>
      </c>
      <c r="C5059" s="3">
        <v>44541.826828703706</v>
      </c>
      <c r="D5059" s="1" t="s">
        <v>10107</v>
      </c>
      <c r="E5059" s="1" t="str">
        <f ca="1">IFERROR(__xludf.DUMMYFUNCTION("GOOGLETRANSLATE(A1858 , ""tr"" , ""en"")"),"@drfahrettinkoca guide no other bije remember that again healthcare")</f>
        <v>@drfahrettinkoca guide no other bije remember that again healthcare</v>
      </c>
    </row>
    <row r="5060" spans="1:5" ht="15" customHeight="1" x14ac:dyDescent="0.2">
      <c r="A5060" s="1" t="s">
        <v>10108</v>
      </c>
      <c r="B5060" s="1">
        <v>0</v>
      </c>
      <c r="C5060" s="3">
        <v>44541.826643518521</v>
      </c>
      <c r="D5060" s="1" t="s">
        <v>10109</v>
      </c>
      <c r="E5060" s="1" t="str">
        <f ca="1">IFERROR(__xludf.DUMMYFUNCTION("GOOGLETRANSLATE(A1859 , ""tr"" , ""en"")"),"Would you provide clear information about @drfahrettinkoca guide")</f>
        <v>Would you provide clear information about @drfahrettinkoca guide</v>
      </c>
    </row>
    <row r="5061" spans="1:5" ht="15" customHeight="1" x14ac:dyDescent="0.2">
      <c r="A5061" s="1" t="s">
        <v>10110</v>
      </c>
      <c r="B5061" s="1">
        <v>1</v>
      </c>
      <c r="C5061" s="3">
        <v>44541.826342592591</v>
      </c>
      <c r="D5061" s="1" t="s">
        <v>10111</v>
      </c>
      <c r="E5061" s="1" t="str">
        <f ca="1">IFERROR(__xludf.DUMMYFUNCTION("GOOGLETRANSLATE(A1860 , ""tr"" , ""en"")"),"@drfahrettinkoca omicron turkey do you have in Turkey? England explains 👇 https://t.co/cpeqzjmmua")</f>
        <v>@drfahrettinkoca omicron turkey do you have in Turkey? England explains 👇 https://t.co/cpeqzjmmua</v>
      </c>
    </row>
    <row r="5062" spans="1:5" ht="15" customHeight="1" x14ac:dyDescent="0.2">
      <c r="A5062" s="1" t="s">
        <v>10112</v>
      </c>
      <c r="B5062" s="1">
        <v>0</v>
      </c>
      <c r="C5062" s="3">
        <v>44541.826307870368</v>
      </c>
      <c r="D5062" s="1" t="s">
        <v>10113</v>
      </c>
      <c r="E5062" s="1" t="str">
        <f ca="1">IFERROR(__xludf.DUMMYFUNCTION("GOOGLETRANSLATE(A1861 , ""tr"" , ""en"")"),"@drfahrettinka https://t.co/wzz4fotial @rterdogan @tcbestepe")</f>
        <v>@drfahrettinka https://t.co/wzz4fotial @rterdogan @tcbestepe</v>
      </c>
    </row>
    <row r="5063" spans="1:5" ht="15" customHeight="1" x14ac:dyDescent="0.2">
      <c r="A5063" s="1" t="s">
        <v>10114</v>
      </c>
      <c r="B5063" s="1">
        <v>5</v>
      </c>
      <c r="C5063" s="3">
        <v>44541.826168981483</v>
      </c>
      <c r="D5063" s="1" t="s">
        <v>10115</v>
      </c>
      <c r="E5063" s="1" t="str">
        <f ca="1">IFERROR(__xludf.DUMMYFUNCTION("GOOGLETRANSLATE(A1862 , ""tr"" , ""en"")"),"@drfahrettinkoca is the health team business .. # Assembly")</f>
        <v>@drfahrettinkoca is the health team business .. # Assembly</v>
      </c>
    </row>
    <row r="5064" spans="1:5" ht="15" customHeight="1" x14ac:dyDescent="0.2">
      <c r="A5064" s="1" t="s">
        <v>10116</v>
      </c>
      <c r="B5064" s="1">
        <v>0</v>
      </c>
      <c r="C5064" s="3">
        <v>44541.82613425926</v>
      </c>
      <c r="D5064" s="1" t="s">
        <v>10117</v>
      </c>
      <c r="E5064" s="1" t="str">
        <f ca="1">IFERROR(__xludf.DUMMYFUNCTION("GOOGLETRANSLATE(A1863 , ""tr"" , ""en"")"),"@drfahrettinkoca Send to those countries we also get rid of profiles as well")</f>
        <v>@drfahrettinkoca Send to those countries we also get rid of profiles as well</v>
      </c>
    </row>
    <row r="5065" spans="1:5" ht="15" customHeight="1" x14ac:dyDescent="0.2">
      <c r="A5065" s="1" t="s">
        <v>10118</v>
      </c>
      <c r="B5065" s="1">
        <v>0</v>
      </c>
      <c r="C5065" s="3">
        <v>44541.825995370367</v>
      </c>
      <c r="D5065" s="1" t="s">
        <v>10119</v>
      </c>
      <c r="E5065" s="1" t="str">
        <f ca="1">IFERROR(__xludf.DUMMYFUNCTION("GOOGLETRANSLATE(A1864 , ""tr"" , ""en"")"),"@drfahrettinkoca Online Training Term is to die young I don't want to die")</f>
        <v>@drfahrettinkoca Online Training Term is to die young I don't want to die</v>
      </c>
    </row>
    <row r="5066" spans="1:5" ht="15" customHeight="1" x14ac:dyDescent="0.2">
      <c r="A5066" s="1" t="s">
        <v>10120</v>
      </c>
      <c r="B5066" s="1">
        <v>14</v>
      </c>
      <c r="C5066" s="3">
        <v>44541.825555555559</v>
      </c>
      <c r="D5066" s="1" t="s">
        <v>10121</v>
      </c>
      <c r="E5066" s="1" t="str">
        <f ca="1">IFERROR(__xludf.DUMMYFUNCTION("GOOGLETRANSLATE(A1865 , ""tr"" , ""en"")"),"@drfahrettinkoca @saglikbakanligi I don't have my grandfather as well as the big browse. I don't have my grandfather's mules in anyone ... https://t.co/poq1dg52o6")</f>
        <v>@drfahrettinkoca @saglikbakanligi I don't have my grandfather as well as the big browse. I don't have my grandfather's mules in anyone ... https://t.co/poq1dg52o6</v>
      </c>
    </row>
    <row r="5067" spans="1:5" ht="15" customHeight="1" x14ac:dyDescent="0.2">
      <c r="A5067" s="1" t="s">
        <v>10122</v>
      </c>
      <c r="B5067" s="1">
        <v>0</v>
      </c>
      <c r="C5067" s="3">
        <v>44541.825335648151</v>
      </c>
      <c r="D5067" s="1" t="s">
        <v>10123</v>
      </c>
      <c r="E5067" s="1" t="str">
        <f ca="1">IFERROR(__xludf.DUMMYFUNCTION("GOOGLETRANSLATE(A1866 , ""tr"" , ""en"")"),"@drfahrettinkoca mask lets get up biktim water made of")</f>
        <v>@drfahrettinkoca mask lets get up biktim water made of</v>
      </c>
    </row>
    <row r="5068" spans="1:5" ht="15" customHeight="1" x14ac:dyDescent="0.2">
      <c r="A5068" s="1" t="s">
        <v>10124</v>
      </c>
      <c r="B5068" s="1">
        <v>2</v>
      </c>
      <c r="C5068" s="3">
        <v>44541.825254629628</v>
      </c>
      <c r="D5068" s="1" t="s">
        <v>10125</v>
      </c>
      <c r="E5068" s="1" t="str">
        <f ca="1">IFERROR(__xludf.DUMMYFUNCTION("GOOGLETRANSLATE(A1867 , ""tr"" , ""en"")"),"@drfahrettinkoca Allah has the account there is up to six in the top of this soil. Whoever entered the Vebaline where you have to go to bed.")</f>
        <v>@drfahrettinkoca Allah has the account there is up to six in the top of this soil. Whoever entered the Vebaline where you have to go to bed.</v>
      </c>
    </row>
    <row r="5069" spans="1:5" ht="15" customHeight="1" x14ac:dyDescent="0.2">
      <c r="A5069" s="1" t="s">
        <v>10126</v>
      </c>
      <c r="B5069" s="1">
        <v>0</v>
      </c>
      <c r="C5069" s="3">
        <v>44541.825219907405</v>
      </c>
      <c r="D5069" s="1" t="s">
        <v>10127</v>
      </c>
      <c r="E5069" s="1" t="str">
        <f ca="1">IFERROR(__xludf.DUMMYFUNCTION("GOOGLETRANSLATE(A1868 , ""tr"" , ""en"")"),"@drfahrettinkoca prisoners demalbiniduyunu justice dagitin320bin is inmate in their families in the situation a ... https://t.co/cszkylfqfo")</f>
        <v>@drfahrettinkoca prisoners demalbiniduyunu justice dagitin320bin is inmate in their families in the situation a ... https://t.co/cszkylfqfo</v>
      </c>
    </row>
    <row r="5070" spans="1:5" ht="15" customHeight="1" x14ac:dyDescent="0.2">
      <c r="A5070" s="1" t="s">
        <v>10128</v>
      </c>
      <c r="B5070" s="1">
        <v>6</v>
      </c>
      <c r="C5070" s="3">
        <v>44541.825104166666</v>
      </c>
      <c r="D5070" s="1" t="s">
        <v>10129</v>
      </c>
      <c r="E5070" s="1" t="str">
        <f ca="1">IFERROR(__xludf.DUMMYFUNCTION("GOOGLETRANSLATE(A1869 , ""tr"" , ""en"")"),"@drfahrettinkoca I think this situation you do not forget and provide the rights, work and life requirements both Https://t.co/tfrnh4s2jg")</f>
        <v>@drfahrettinkoca I think this situation you do not forget and provide the rights, work and life requirements both Https://t.co/tfrnh4s2jg</v>
      </c>
    </row>
    <row r="5071" spans="1:5" ht="15" customHeight="1" x14ac:dyDescent="0.2">
      <c r="A5071" s="1" t="s">
        <v>10130</v>
      </c>
      <c r="B5071" s="1">
        <v>5</v>
      </c>
      <c r="C5071" s="3">
        <v>44541.825057870374</v>
      </c>
      <c r="D5071" s="1" t="s">
        <v>10131</v>
      </c>
      <c r="E5071" s="1" t="str">
        <f ca="1">IFERROR(__xludf.DUMMYFUNCTION("GOOGLETRANSLATE(A1870 , ""tr"" , ""en"")"),"@drfahrettinkoca Don't Give Attachment Attachment Again We Any Residual Cancer We Want Cancer")</f>
        <v>@drfahrettinkoca Don't Give Attachment Attachment Again We Any Residual Cancer We Want Cancer</v>
      </c>
    </row>
    <row r="5072" spans="1:5" ht="15" customHeight="1" x14ac:dyDescent="0.2">
      <c r="A5072" s="1" t="s">
        <v>10132</v>
      </c>
      <c r="B5072" s="1">
        <v>2</v>
      </c>
      <c r="C5072" s="3">
        <v>44541.824895833335</v>
      </c>
      <c r="D5072" s="1" t="s">
        <v>10133</v>
      </c>
      <c r="E5072" s="1" t="str">
        <f ca="1">IFERROR(__xludf.DUMMYFUNCTION("GOOGLETRANSLATE(A1871 , ""tr"" , ""en"")"),"@drfahrettinkoca Mr. @rterdogan You have given 40,000 personnel employment employment but yet movement GE ... https://t.co/oic25ccui0")</f>
        <v>@drfahrettinkoca Mr. @rterdogan You have given 40,000 personnel employment employment but yet movement GE ... https://t.co/oic25ccui0</v>
      </c>
    </row>
    <row r="5073" spans="1:5" ht="15" customHeight="1" x14ac:dyDescent="0.2">
      <c r="A5073" s="1" t="s">
        <v>10134</v>
      </c>
      <c r="B5073" s="1">
        <v>0</v>
      </c>
      <c r="C5073" s="3">
        <v>44541.824837962966</v>
      </c>
      <c r="D5073" s="1" t="s">
        <v>10135</v>
      </c>
      <c r="E5073" s="1" t="str">
        <f ca="1">IFERROR(__xludf.DUMMYFUNCTION("GOOGLETRANSLATE(A1872 , ""tr"" , ""en"")"),"@drfahrettinkoca What did he say? what did you say?")</f>
        <v>@drfahrettinkoca What did he say? what did you say?</v>
      </c>
    </row>
    <row r="5074" spans="1:5" ht="15" customHeight="1" x14ac:dyDescent="0.2">
      <c r="A5074" s="1" t="s">
        <v>10136</v>
      </c>
      <c r="B5074" s="1">
        <v>3</v>
      </c>
      <c r="C5074" s="3">
        <v>44541.824780092589</v>
      </c>
      <c r="D5074" s="1" t="s">
        <v>10137</v>
      </c>
      <c r="E5074" s="1" t="str">
        <f ca="1">IFERROR(__xludf.DUMMYFUNCTION("GOOGLETRANSLATE(A1873 , ""tr"" , ""en"")"),"@drfahrettinkoca we are not, you forget! We are already the crown of the crown! They leave the country in your number!")</f>
        <v>@drfahrettinkoca we are not, you forget! We are already the crown of the crown! They leave the country in your number!</v>
      </c>
    </row>
    <row r="5075" spans="1:5" ht="15" customHeight="1" x14ac:dyDescent="0.2">
      <c r="A5075" s="1" t="s">
        <v>10138</v>
      </c>
      <c r="B5075" s="1">
        <v>1</v>
      </c>
      <c r="C5075" s="3">
        <v>44541.82472222222</v>
      </c>
      <c r="D5075" s="1" t="s">
        <v>10139</v>
      </c>
      <c r="E5075" s="1" t="str">
        <f ca="1">IFERROR(__xludf.DUMMYFUNCTION("GOOGLETRANSLATE(A1874 , ""tr"" , ""en"")"),"@drfahrettinka Don't forget you don't miss our physicians.")</f>
        <v>@drfahrettinka Don't forget you don't miss our physicians.</v>
      </c>
    </row>
    <row r="5076" spans="1:5" ht="15" customHeight="1" x14ac:dyDescent="0.2">
      <c r="A5076" s="1" t="s">
        <v>10140</v>
      </c>
      <c r="B5076" s="1">
        <v>3</v>
      </c>
      <c r="C5076" s="3">
        <v>44541.824641203704</v>
      </c>
      <c r="D5076" s="1" t="s">
        <v>10141</v>
      </c>
      <c r="E5076" s="1" t="str">
        <f ca="1">IFERROR(__xludf.DUMMYFUNCTION("GOOGLETRANSLATE(A1875 , ""tr"" , ""en"")"),"@drfahrettinka especially in Thailand has a lot of demand to Mr. Minister Minister. Kick-boxing will teach and send back. Because ... https://t.co/lhpzhj9gux")</f>
        <v>@drfahrettinka especially in Thailand has a lot of demand to Mr. Minister Minister. Kick-boxing will teach and send back. Because ... https://t.co/lhpzhj9gux</v>
      </c>
    </row>
    <row r="5077" spans="1:5" ht="15" customHeight="1" x14ac:dyDescent="0.2">
      <c r="A5077" s="1" t="s">
        <v>10142</v>
      </c>
      <c r="B5077" s="1">
        <v>4</v>
      </c>
      <c r="C5077" s="3">
        <v>44541.824571759258</v>
      </c>
      <c r="D5077" s="1" t="s">
        <v>10143</v>
      </c>
      <c r="E5077" s="1" t="str">
        <f ca="1">IFERROR(__xludf.DUMMYFUNCTION("GOOGLETRANSLATE(A1876 , ""tr"" , ""en"")"),"@drfahrettinkoca is not an exhausted healther that you have not been exceeded that you are still doing the guide you didn't explain the guide ... https://t.co/hqx42wxmrp")</f>
        <v>@drfahrettinkoca is not an exhausted healther that you have not been exceeded that you are still doing the guide you didn't explain the guide ... https://t.co/hqx42wxmrp</v>
      </c>
    </row>
    <row r="5078" spans="1:5" ht="15" customHeight="1" x14ac:dyDescent="0.2">
      <c r="A5078" s="1" t="s">
        <v>10144</v>
      </c>
      <c r="B5078" s="1">
        <v>0</v>
      </c>
      <c r="C5078" s="3">
        <v>44541.824456018519</v>
      </c>
      <c r="D5078" s="1" t="s">
        <v>10145</v>
      </c>
      <c r="E5078" s="1" t="str">
        <f ca="1">IFERROR(__xludf.DUMMYFUNCTION("GOOGLETRANSLATE(A1877 , ""tr"" , ""en"")"),"@drfahrettinkoca we saw this pandemide how they silenced")</f>
        <v>@drfahrettinkoca we saw this pandemide how they silenced</v>
      </c>
    </row>
    <row r="5079" spans="1:5" ht="15" customHeight="1" x14ac:dyDescent="0.2">
      <c r="A5079" s="1" t="s">
        <v>10146</v>
      </c>
      <c r="B5079" s="1">
        <v>1</v>
      </c>
      <c r="C5079" s="3">
        <v>44541.824444444443</v>
      </c>
      <c r="D5079" s="1" t="s">
        <v>10147</v>
      </c>
      <c r="E5079" s="1" t="str">
        <f ca="1">IFERROR(__xludf.DUMMYFUNCTION("GOOGLETRANSLATE(A1878 , ""tr"" , ""en"")"),"@drfahrettinkoca moneyless physicians ....")</f>
        <v>@drfahrettinkoca moneyless physicians ....</v>
      </c>
    </row>
    <row r="5080" spans="1:5" ht="15" customHeight="1" x14ac:dyDescent="0.2">
      <c r="A5080" s="1" t="s">
        <v>10148</v>
      </c>
      <c r="B5080" s="1">
        <v>0</v>
      </c>
      <c r="C5080" s="3">
        <v>44541.824444444443</v>
      </c>
      <c r="D5080" s="1" t="s">
        <v>10149</v>
      </c>
      <c r="E5080" s="1" t="str">
        <f ca="1">IFERROR(__xludf.DUMMYFUNCTION("GOOGLETRANSLATE(A1879 , ""tr"" , ""en"")"),"@drfahrettinkoca is the necessary value in the audiology")</f>
        <v>@drfahrettinkoca is the necessary value in the audiology</v>
      </c>
    </row>
    <row r="5081" spans="1:5" ht="15" customHeight="1" x14ac:dyDescent="0.2">
      <c r="A5081" s="1" t="s">
        <v>10150</v>
      </c>
      <c r="B5081" s="1">
        <v>6</v>
      </c>
      <c r="C5081" s="3">
        <v>44541.82440972222</v>
      </c>
      <c r="D5081" s="1" t="s">
        <v>10151</v>
      </c>
      <c r="E5081" s="1" t="str">
        <f ca="1">IFERROR(__xludf.DUMMYFUNCTION("GOOGLETRANSLATE(A1880 , ""tr"" , ""en"")"),"What either guide @drfahrettinka")</f>
        <v>What either guide @drfahrettinka</v>
      </c>
    </row>
    <row r="5082" spans="1:5" ht="15" customHeight="1" x14ac:dyDescent="0.2">
      <c r="A5082" s="1" t="s">
        <v>10152</v>
      </c>
      <c r="B5082" s="1">
        <v>13</v>
      </c>
      <c r="C5082" s="3">
        <v>44541.824374999997</v>
      </c>
      <c r="D5082" s="1" t="s">
        <v>10153</v>
      </c>
      <c r="E5082" s="1" t="str">
        <f ca="1">IFERROR(__xludf.DUMMYFUNCTION("GOOGLETRANSLATE(A1881 , ""tr"" , ""en"")"),"@drfahrettinkoca we know you are not aware")</f>
        <v>@drfahrettinkoca we know you are not aware</v>
      </c>
    </row>
    <row r="5083" spans="1:5" ht="15" customHeight="1" x14ac:dyDescent="0.2">
      <c r="A5083" s="1" t="s">
        <v>10154</v>
      </c>
      <c r="B5083" s="1">
        <v>0</v>
      </c>
      <c r="C5083" s="3">
        <v>44541.824363425927</v>
      </c>
      <c r="D5083" s="1" t="s">
        <v>10155</v>
      </c>
      <c r="E5083" s="1" t="str">
        <f ca="1">IFERROR(__xludf.DUMMYFUNCTION("GOOGLETRANSLATE(A1882 , ""tr"" , ""en"")"),"@drfahrettinka https://t.co/eujyyaudgf")</f>
        <v>@drfahrettinka https://t.co/eujyyaudgf</v>
      </c>
    </row>
    <row r="5084" spans="1:5" ht="15" customHeight="1" x14ac:dyDescent="0.2">
      <c r="A5084" s="1" t="s">
        <v>10156</v>
      </c>
      <c r="B5084" s="1">
        <v>5</v>
      </c>
      <c r="C5084" s="3">
        <v>44541.824363425927</v>
      </c>
      <c r="D5084" s="1" t="s">
        <v>10157</v>
      </c>
      <c r="E5084" s="1" t="str">
        <f ca="1">IFERROR(__xludf.DUMMYFUNCTION("GOOGLETRANSLATE(A1883 , ""tr"" , ""en"")"),"@drfahrettinkoca give the rights most of them resign or go abroad.")</f>
        <v>@drfahrettinkoca give the rights most of them resign or go abroad.</v>
      </c>
    </row>
    <row r="5085" spans="1:5" ht="15" customHeight="1" x14ac:dyDescent="0.2">
      <c r="A5085" s="1" t="s">
        <v>10158</v>
      </c>
      <c r="B5085" s="1">
        <v>56</v>
      </c>
      <c r="C5085" s="3">
        <v>44541.824340277781</v>
      </c>
      <c r="D5085" s="1" t="s">
        <v>10159</v>
      </c>
      <c r="E5085" s="1" t="str">
        <f ca="1">IFERROR(__xludf.DUMMYFUNCTION("GOOGLETRANSLATE(A1884 , ""tr"" , ""en"")"),"@drfahrettinkoca So our Turkish Doctor resigns one by one we will not find the doctor to run soon ... https://t.co/qqvfnnu1cy")</f>
        <v>@drfahrettinkoca So our Turkish Doctor resigns one by one we will not find the doctor to run soon ... https://t.co/qqvfnnu1cy</v>
      </c>
    </row>
    <row r="5086" spans="1:5" ht="15" customHeight="1" x14ac:dyDescent="0.2">
      <c r="A5086" s="1" t="s">
        <v>10160</v>
      </c>
      <c r="B5086" s="1">
        <v>1</v>
      </c>
      <c r="C5086" s="3">
        <v>44541.824317129627</v>
      </c>
      <c r="D5086" s="1" t="s">
        <v>10161</v>
      </c>
      <c r="E5086" s="1" t="str">
        <f ca="1">IFERROR(__xludf.DUMMYFUNCTION("GOOGLETRANSLATE(A1885 , ""tr"" , ""en"")"),"@drfahrettinkoca I think don't forget to prepare the salaries.")</f>
        <v>@drfahrettinkoca I think don't forget to prepare the salaries.</v>
      </c>
    </row>
    <row r="5087" spans="1:5" ht="15" customHeight="1" x14ac:dyDescent="0.2">
      <c r="A5087" s="1" t="s">
        <v>10162</v>
      </c>
      <c r="B5087" s="1">
        <v>3</v>
      </c>
      <c r="C5087" s="3">
        <v>44541.824270833335</v>
      </c>
      <c r="D5087" s="1" t="s">
        <v>10163</v>
      </c>
      <c r="E5087" s="1" t="str">
        <f ca="1">IFERROR(__xludf.DUMMYFUNCTION("GOOGLETRANSLATE(A1886 , ""tr"" , ""en"")"),"@drfahrettinkoca everyday giving death and fear pressure call we ate at home")</f>
        <v>@drfahrettinkoca everyday giving death and fear pressure call we ate at home</v>
      </c>
    </row>
    <row r="5088" spans="1:5" ht="15" customHeight="1" x14ac:dyDescent="0.2">
      <c r="A5088" s="1" t="s">
        <v>10164</v>
      </c>
      <c r="B5088" s="1">
        <v>0</v>
      </c>
      <c r="C5088" s="3">
        <v>44541.824224537035</v>
      </c>
      <c r="D5088" s="1" t="s">
        <v>10165</v>
      </c>
      <c r="E5088" s="1" t="str">
        <f ca="1">IFERROR(__xludf.DUMMYFUNCTION("GOOGLETRANSLATE(A1887 , ""tr"" , ""en"")"),"@drfahrettinkoca continued with nurses and minister")</f>
        <v>@drfahrettinkoca continued with nurses and minister</v>
      </c>
    </row>
    <row r="5089" spans="1:5" ht="15" customHeight="1" x14ac:dyDescent="0.2">
      <c r="A5089" s="1" t="s">
        <v>10166</v>
      </c>
      <c r="B5089" s="1">
        <v>0</v>
      </c>
      <c r="C5089" s="3">
        <v>44541.824189814812</v>
      </c>
      <c r="D5089" s="1" t="s">
        <v>10167</v>
      </c>
      <c r="E5089" s="1" t="str">
        <f ca="1">IFERROR(__xludf.DUMMYFUNCTION("GOOGLETRANSLATE(A1888 , ""tr"" , ""en"")"),"@drfahrettinkoca they mean they're going to")</f>
        <v>@drfahrettinkoca they mean they're going to</v>
      </c>
    </row>
    <row r="5090" spans="1:5" ht="15" customHeight="1" x14ac:dyDescent="0.2">
      <c r="A5090" s="1" t="s">
        <v>10168</v>
      </c>
      <c r="B5090" s="1">
        <v>0</v>
      </c>
      <c r="C5090" s="3">
        <v>44541.824189814812</v>
      </c>
      <c r="D5090" s="1" t="s">
        <v>10169</v>
      </c>
      <c r="E5090" s="1" t="str">
        <f ca="1">IFERROR(__xludf.DUMMYFUNCTION("GOOGLETRANSLATE(A1889 , ""tr"" , ""en"")"),"@drfahrettinka what about physiotherapists")</f>
        <v>@drfahrettinka what about physiotherapists</v>
      </c>
    </row>
    <row r="5091" spans="1:5" ht="15" customHeight="1" x14ac:dyDescent="0.2">
      <c r="A5091" s="1" t="s">
        <v>10170</v>
      </c>
      <c r="B5091" s="1">
        <v>0</v>
      </c>
      <c r="C5091" s="3">
        <v>44541.824178240742</v>
      </c>
      <c r="D5091" s="1" t="s">
        <v>10171</v>
      </c>
      <c r="E5091" s="1" t="str">
        <f ca="1">IFERROR(__xludf.DUMMYFUNCTION("GOOGLETRANSLATE(A1890 , ""tr"" , ""en"")"),"@drfahrettinkoca didn't get permission to get the boss anything wrong with nothing")</f>
        <v>@drfahrettinkoca didn't get permission to get the boss anything wrong with nothing</v>
      </c>
    </row>
    <row r="5092" spans="1:5" ht="15" customHeight="1" x14ac:dyDescent="0.2">
      <c r="A5092" s="1" t="s">
        <v>10172</v>
      </c>
      <c r="B5092" s="1">
        <v>11</v>
      </c>
      <c r="C5092" s="3">
        <v>44541.824097222219</v>
      </c>
      <c r="D5092" s="1" t="s">
        <v>10173</v>
      </c>
      <c r="E5092" s="1" t="str">
        <f ca="1">IFERROR(__xludf.DUMMYFUNCTION("GOOGLETRANSLATE(A1891 , ""tr"" , ""en"")"),"@drfahrettinkoca parsing and polarization must be your area of ​​expertise as a physician ... before the physicians ... https://t.co/npll0tw5om")</f>
        <v>@drfahrettinkoca parsing and polarization must be your area of ​​expertise as a physician ... before the physicians ... https://t.co/npll0tw5om</v>
      </c>
    </row>
    <row r="5093" spans="1:5" ht="15" customHeight="1" x14ac:dyDescent="0.2">
      <c r="A5093" s="1" t="s">
        <v>10174</v>
      </c>
      <c r="B5093" s="1">
        <v>0</v>
      </c>
      <c r="C5093" s="3">
        <v>44541.82408564815</v>
      </c>
      <c r="D5093" s="1" t="s">
        <v>10175</v>
      </c>
      <c r="E5093" s="1" t="str">
        <f ca="1">IFERROR(__xludf.DUMMYFUNCTION("GOOGLETRANSLATE(A1892 , ""tr"" , ""en"")"),"What is @drfahrettinka what either saglikcilar")</f>
        <v>What is @drfahrettinka what either saglikcilar</v>
      </c>
    </row>
    <row r="5094" spans="1:5" ht="15" customHeight="1" x14ac:dyDescent="0.2">
      <c r="A5094" s="1" t="s">
        <v>10176</v>
      </c>
      <c r="B5094" s="1">
        <v>0</v>
      </c>
      <c r="C5094" s="3">
        <v>44541.82403935185</v>
      </c>
      <c r="D5094" s="1" t="s">
        <v>10177</v>
      </c>
      <c r="E5094" s="1" t="str">
        <f ca="1">IFERROR(__xludf.DUMMYFUNCTION("GOOGLETRANSLATE(A1893 , ""tr"" , ""en"")"),"@drfahrettinkoca then you don't get up")</f>
        <v>@drfahrettinkoca then you don't get up</v>
      </c>
    </row>
    <row r="5095" spans="1:5" ht="15" customHeight="1" x14ac:dyDescent="0.2">
      <c r="A5095" s="1" t="s">
        <v>9727</v>
      </c>
      <c r="B5095" s="1">
        <v>1</v>
      </c>
      <c r="C5095" s="3">
        <v>44541.82403935185</v>
      </c>
      <c r="D5095" s="1" t="s">
        <v>10178</v>
      </c>
      <c r="E5095" s="1" t="str">
        <f ca="1">IFERROR(__xludf.DUMMYFUNCTION("GOOGLETRANSLATE(A1894 , ""tr"" , ""en"")"),"@drfahrettinkoca #AccountsMandization")</f>
        <v>@drfahrettinkoca #AccountsMandization</v>
      </c>
    </row>
    <row r="5096" spans="1:5" ht="15" customHeight="1" x14ac:dyDescent="0.2">
      <c r="A5096" s="1" t="s">
        <v>10179</v>
      </c>
      <c r="B5096" s="1">
        <v>121</v>
      </c>
      <c r="C5096" s="3">
        <v>44541.824016203704</v>
      </c>
      <c r="D5096" s="1" t="s">
        <v>10180</v>
      </c>
      <c r="E5096" s="1" t="str">
        <f ca="1">IFERROR(__xludf.DUMMYFUNCTION("GOOGLETRANSLATE(A1895 , ""tr"" , ""en"")"),"@drfahrettinkoca eee don't get it out of health then stop the mobbings to the mobbings in health be missing low fees ... https://t.co/h6txıpmjqo")</f>
        <v>@drfahrettinkoca eee don't get it out of health then stop the mobbings to the mobbings in health be missing low fees ... https://t.co/h6txıpmjqo</v>
      </c>
    </row>
    <row r="5097" spans="1:5" ht="15" customHeight="1" x14ac:dyDescent="0.2">
      <c r="A5097" s="1" t="s">
        <v>10181</v>
      </c>
      <c r="B5097" s="1">
        <v>11</v>
      </c>
      <c r="C5097" s="3">
        <v>44541.823912037034</v>
      </c>
      <c r="D5097" s="1" t="s">
        <v>10182</v>
      </c>
      <c r="E5097" s="1" t="str">
        <f ca="1">IFERROR(__xludf.DUMMYFUNCTION("GOOGLETRANSLATE(A1896 , ""tr"" , ""en"")"),"@drfahrettinkoca is not assignment of 13 months")</f>
        <v>@drfahrettinkoca is not assignment of 13 months</v>
      </c>
    </row>
    <row r="5098" spans="1:5" ht="15" customHeight="1" x14ac:dyDescent="0.2">
      <c r="A5098" s="1" t="s">
        <v>10183</v>
      </c>
      <c r="B5098" s="1">
        <v>15</v>
      </c>
      <c r="C5098" s="3">
        <v>44541.823738425926</v>
      </c>
      <c r="D5098" s="1" t="s">
        <v>10184</v>
      </c>
      <c r="E5098" s="1" t="str">
        <f ca="1">IFERROR(__xludf.DUMMYFUNCTION("GOOGLETRANSLATE(A1897 , ""tr"" , ""en"")"),"@drfahrettinkoca ditto so are our physicians as they will get countries overlooking the receiving eyes")</f>
        <v>@drfahrettinkoca ditto so are our physicians as they will get countries overlooking the receiving eyes</v>
      </c>
    </row>
    <row r="5099" spans="1:5" ht="15" customHeight="1" x14ac:dyDescent="0.2">
      <c r="A5099" s="1" t="s">
        <v>10185</v>
      </c>
      <c r="B5099" s="1">
        <v>22</v>
      </c>
      <c r="C5099" s="3">
        <v>44541.82372685185</v>
      </c>
      <c r="D5099" s="1" t="s">
        <v>10186</v>
      </c>
      <c r="E5099" s="1" t="str">
        <f ca="1">IFERROR(__xludf.DUMMYFUNCTION("GOOGLETRANSLATE(A1898 , ""tr"" , ""en"")"),"@drfahrettinkoca ürffff Anca crowd. Do you have Omicron explain it. #AccountsManding Wooden")</f>
        <v>@drfahrettinkoca ürffff Anca crowd. Do you have Omicron explain it. #AccountsManding Wooden</v>
      </c>
    </row>
    <row r="5100" spans="1:5" ht="15" customHeight="1" x14ac:dyDescent="0.2">
      <c r="A5100" s="1" t="s">
        <v>10187</v>
      </c>
      <c r="B5100" s="1">
        <v>24</v>
      </c>
      <c r="C5100" s="3">
        <v>44541.823692129627</v>
      </c>
      <c r="D5100" s="1" t="s">
        <v>10188</v>
      </c>
      <c r="E5100" s="1" t="str">
        <f ca="1">IFERROR(__xludf.DUMMYFUNCTION("GOOGLETRANSLATE(A1899 , ""tr"" , ""en"")"),"@drfahrettinkoca But you are forgetting us. Let the guide now !!!")</f>
        <v>@drfahrettinkoca But you are forgetting us. Let the guide now !!!</v>
      </c>
    </row>
    <row r="5101" spans="1:5" ht="15" customHeight="1" x14ac:dyDescent="0.2">
      <c r="A5101" s="1" t="s">
        <v>10189</v>
      </c>
      <c r="B5101" s="1">
        <v>1</v>
      </c>
      <c r="C5101" s="3">
        <v>44541.823634259257</v>
      </c>
      <c r="D5101" s="1" t="s">
        <v>10190</v>
      </c>
      <c r="E5101" s="1" t="str">
        <f ca="1">IFERROR(__xludf.DUMMYFUNCTION("GOOGLETRANSLATE(A1900 , ""tr"" , ""en"")"),"@drfahrettinkoca has not been employed to dialysis technicians. The victimization of the Dialysis technicians of words SO ... https://t.co/swcccksrdf")</f>
        <v>@drfahrettinkoca has not been employed to dialysis technicians. The victimization of the Dialysis technicians of words SO ... https://t.co/swcccksrdf</v>
      </c>
    </row>
    <row r="5102" spans="1:5" ht="15" customHeight="1" x14ac:dyDescent="0.2">
      <c r="A5102" s="1" t="s">
        <v>10191</v>
      </c>
      <c r="B5102" s="1">
        <v>6</v>
      </c>
      <c r="C5102" s="3">
        <v>44541.823599537034</v>
      </c>
      <c r="D5102" s="1" t="s">
        <v>10192</v>
      </c>
      <c r="E5102" s="1" t="str">
        <f ca="1">IFERROR(__xludf.DUMMYFUNCTION("GOOGLETRANSLATE(A1901 , ""tr"" , ""en"")"),"@drfahrettinkoca physiotherapists ??")</f>
        <v>@drfahrettinkoca physiotherapists ??</v>
      </c>
    </row>
    <row r="5103" spans="1:5" ht="15" customHeight="1" x14ac:dyDescent="0.2">
      <c r="A5103" s="1" t="s">
        <v>10193</v>
      </c>
      <c r="B5103" s="1">
        <v>1</v>
      </c>
      <c r="C5103" s="3">
        <v>44541.823587962965</v>
      </c>
      <c r="D5103" s="1" t="s">
        <v>10194</v>
      </c>
      <c r="E5103" s="1" t="str">
        <f ca="1">IFERROR(__xludf.DUMMYFUNCTION("GOOGLETRANSLATE(A1902 , ""tr"" , ""en"")"),"@drfahrettinkoca Where do you collect the Board of Science?")</f>
        <v>@drfahrettinkoca Where do you collect the Board of Science?</v>
      </c>
    </row>
    <row r="5104" spans="1:5" ht="15" customHeight="1" x14ac:dyDescent="0.2">
      <c r="A5104" s="1" t="s">
        <v>10195</v>
      </c>
      <c r="B5104" s="1">
        <v>22</v>
      </c>
      <c r="C5104" s="3">
        <v>44541.823553240742</v>
      </c>
      <c r="D5104" s="1" t="s">
        <v>10196</v>
      </c>
      <c r="E5104" s="1" t="str">
        <f ca="1">IFERROR(__xludf.DUMMYFUNCTION("GOOGLETRANSLATE(A1903 , ""tr"" , ""en"")"),"@drfahrettinkoca guide looking forward to Mr. Ministry Guide")</f>
        <v>@drfahrettinkoca guide looking forward to Mr. Ministry Guide</v>
      </c>
    </row>
    <row r="5105" spans="1:5" ht="15" customHeight="1" x14ac:dyDescent="0.2">
      <c r="A5105" s="1" t="s">
        <v>10197</v>
      </c>
      <c r="B5105" s="1">
        <v>1</v>
      </c>
      <c r="C5105" s="3">
        <v>44541.823541666665</v>
      </c>
      <c r="D5105" s="1" t="s">
        <v>10198</v>
      </c>
      <c r="E5105" s="1" t="str">
        <f ca="1">IFERROR(__xludf.DUMMYFUNCTION("GOOGLETRANSLATE(A1904 , ""tr"" , ""en"")"),"@drfahrettinkoca hospitals for the continuity of dialysis therapies in hospitals Edited PDC numbers of PDC numbers ... https://t.co/ejqmt9dpl8")</f>
        <v>@drfahrettinkoca hospitals for the continuity of dialysis therapies in hospitals Edited PDC numbers of PDC numbers ... https://t.co/ejqmt9dpl8</v>
      </c>
    </row>
    <row r="5106" spans="1:5" ht="15" customHeight="1" x14ac:dyDescent="0.2">
      <c r="A5106" s="1" t="s">
        <v>10199</v>
      </c>
      <c r="B5106" s="1">
        <v>23</v>
      </c>
      <c r="C5106" s="3">
        <v>44541.823506944442</v>
      </c>
      <c r="D5106" s="1" t="s">
        <v>10200</v>
      </c>
      <c r="E5106" s="1" t="str">
        <f ca="1">IFERROR(__xludf.DUMMYFUNCTION("GOOGLETRANSLATE(A1905 , ""tr"" , ""en"")"),"@drfahrettinkoca shut up")</f>
        <v>@drfahrettinkoca shut up</v>
      </c>
    </row>
    <row r="5107" spans="1:5" ht="15" customHeight="1" x14ac:dyDescent="0.2">
      <c r="A5107" s="1" t="s">
        <v>10201</v>
      </c>
      <c r="B5107" s="1">
        <v>0</v>
      </c>
      <c r="C5107" s="3">
        <v>44541.823495370372</v>
      </c>
      <c r="D5107" s="1" t="s">
        <v>10202</v>
      </c>
      <c r="E5107" s="1" t="str">
        <f ca="1">IFERROR(__xludf.DUMMYFUNCTION("GOOGLETRANSLATE(A1906 , ""tr"" , ""en"")"),"@drfahrettinkoca yall is no longer")</f>
        <v>@drfahrettinkoca yall is no longer</v>
      </c>
    </row>
    <row r="5108" spans="1:5" ht="15" customHeight="1" x14ac:dyDescent="0.2">
      <c r="A5108" s="1" t="s">
        <v>10203</v>
      </c>
      <c r="B5108" s="1">
        <v>0</v>
      </c>
      <c r="C5108" s="3">
        <v>44541.823472222219</v>
      </c>
      <c r="D5108" s="1" t="s">
        <v>10204</v>
      </c>
      <c r="E5108" s="1" t="str">
        <f ca="1">IFERROR(__xludf.DUMMYFUNCTION("GOOGLETRANSLATE(A1907 , ""tr"" , ""en"")"),"@drfahrettinkoca ya tmm we know sharging hdhdh")</f>
        <v>@drfahrettinkoca ya tmm we know sharging hdhdh</v>
      </c>
    </row>
    <row r="5109" spans="1:5" ht="15" customHeight="1" x14ac:dyDescent="0.2">
      <c r="A5109" s="1" t="s">
        <v>10205</v>
      </c>
      <c r="B5109" s="1">
        <v>0</v>
      </c>
      <c r="C5109" s="3">
        <v>44542.910879629628</v>
      </c>
      <c r="D5109" s="1" t="s">
        <v>10206</v>
      </c>
      <c r="E5109" s="1" t="str">
        <f ca="1">IFERROR(__xludf.DUMMYFUNCTION("GOOGLETRANSLATE(A1908 , ""tr"" , ""en"")"),"@drfahrettinkoca but you are making empty we @ don't want anything from you we just want us")</f>
        <v>@drfahrettinkoca but you are making empty we @ don't want anything from you we just want us</v>
      </c>
    </row>
    <row r="5110" spans="1:5" ht="15" customHeight="1" x14ac:dyDescent="0.2">
      <c r="A5110" s="1" t="s">
        <v>10207</v>
      </c>
      <c r="B5110" s="1">
        <v>1</v>
      </c>
      <c r="C5110" s="3">
        <v>44542.908425925925</v>
      </c>
      <c r="D5110" s="1" t="s">
        <v>10208</v>
      </c>
      <c r="E5110" s="1" t="str">
        <f ca="1">IFERROR(__xludf.DUMMYFUNCTION("GOOGLETRANSLATE(A1909 , ""tr"" , ""en"")"),"@drfahrettinkoca praise is like cologne, smelly but should not be swallowed.")</f>
        <v>@drfahrettinkoca praise is like cologne, smelly but should not be swallowed.</v>
      </c>
    </row>
    <row r="5111" spans="1:5" ht="15" customHeight="1" x14ac:dyDescent="0.2">
      <c r="A5111" s="1" t="s">
        <v>10209</v>
      </c>
      <c r="B5111" s="1">
        <v>0</v>
      </c>
      <c r="C5111" s="3">
        <v>44542.903020833335</v>
      </c>
      <c r="D5111" s="1" t="s">
        <v>10210</v>
      </c>
      <c r="E5111" s="1" t="str">
        <f ca="1">IFERROR(__xludf.DUMMYFUNCTION("GOOGLETRANSLATE(A1910 , ""tr"" , ""en"")"),"@drfahrettinkoca 😱😱😱 https://t.co/f9vgtytyjb")</f>
        <v>@drfahrettinkoca 😱😱😱 https://t.co/f9vgtytyjb</v>
      </c>
    </row>
    <row r="5112" spans="1:5" ht="15" customHeight="1" x14ac:dyDescent="0.2">
      <c r="A5112" s="1" t="s">
        <v>10211</v>
      </c>
      <c r="B5112" s="1">
        <v>0</v>
      </c>
      <c r="C5112" s="3">
        <v>44542.897083333337</v>
      </c>
      <c r="D5112" s="1" t="s">
        <v>10212</v>
      </c>
      <c r="E5112" s="1" t="str">
        <f ca="1">IFERROR(__xludf.DUMMYFUNCTION("GOOGLETRANSLATE(A1911 , ""tr"" , ""en"")"),"@drfahrettinka https://t.co/wujpw4kiIl")</f>
        <v>@drfahrettinka https://t.co/wujpw4kiIl</v>
      </c>
    </row>
    <row r="5113" spans="1:5" ht="15" customHeight="1" x14ac:dyDescent="0.2">
      <c r="A5113" s="1" t="s">
        <v>10213</v>
      </c>
      <c r="B5113" s="1">
        <v>0</v>
      </c>
      <c r="C5113" s="3">
        <v>44542.896284722221</v>
      </c>
      <c r="D5113" s="1" t="s">
        <v>10214</v>
      </c>
      <c r="E5113" s="1" t="str">
        <f ca="1">IFERROR(__xludf.DUMMYFUNCTION("GOOGLETRANSLATE(A1912 , ""tr"" , ""en"")"),"If @drfahrettinkoca family physicians are forgotten, the transition to family health centers and the system's functioning and quality can be very damaged.")</f>
        <v>If @drfahrettinkoca family physicians are forgotten, the transition to family health centers and the system's functioning and quality can be very damaged.</v>
      </c>
    </row>
    <row r="5114" spans="1:5" ht="15" customHeight="1" x14ac:dyDescent="0.2">
      <c r="A5114" s="1" t="s">
        <v>10215</v>
      </c>
      <c r="B5114" s="1">
        <v>0</v>
      </c>
      <c r="C5114" s="3">
        <v>44542.892106481479</v>
      </c>
      <c r="D5114" s="1" t="s">
        <v>10216</v>
      </c>
      <c r="E5114" s="1" t="str">
        <f ca="1">IFERROR(__xludf.DUMMYFUNCTION("GOOGLETRANSLATE(A1913 , ""tr"" , ""en"")"),"@drfahrettinka https://t.co/fbee3mlgkm")</f>
        <v>@drfahrettinka https://t.co/fbee3mlgkm</v>
      </c>
    </row>
    <row r="5115" spans="1:5" ht="15" customHeight="1" x14ac:dyDescent="0.2">
      <c r="A5115" s="1" t="s">
        <v>10217</v>
      </c>
      <c r="B5115" s="1">
        <v>0</v>
      </c>
      <c r="C5115" s="3">
        <v>44542.891782407409</v>
      </c>
      <c r="D5115" s="1" t="s">
        <v>10218</v>
      </c>
      <c r="E5115" s="1" t="str">
        <f ca="1">IFERROR(__xludf.DUMMYFUNCTION("GOOGLETRANSLATE(A1914 , ""tr"" , ""en"")"),"@drfahrettinkoca Ministry We have not appointed any part of hospitals for 2 years")</f>
        <v>@drfahrettinkoca Ministry We have not appointed any part of hospitals for 2 years</v>
      </c>
    </row>
    <row r="5116" spans="1:5" ht="15" customHeight="1" x14ac:dyDescent="0.2">
      <c r="A5116" s="1" t="s">
        <v>10219</v>
      </c>
      <c r="B5116" s="1">
        <v>12</v>
      </c>
      <c r="C5116" s="3">
        <v>44542.870949074073</v>
      </c>
      <c r="D5116" s="1" t="s">
        <v>10220</v>
      </c>
      <c r="E5116" s="1" t="str">
        <f ca="1">IFERROR(__xludf.DUMMYFUNCTION("GOOGLETRANSLATE(A1915 , ""tr"" , ""en"")"),"@drfahrettinkoca I will find the exact location, let me share it. Get yours on the patient who is there. https://t.co/mj099nmpkw")</f>
        <v>@drfahrettinkoca I will find the exact location, let me share it. Get yours on the patient who is there. https://t.co/mj099nmpkw</v>
      </c>
    </row>
    <row r="5117" spans="1:5" ht="15" customHeight="1" x14ac:dyDescent="0.2">
      <c r="A5117" s="1" t="s">
        <v>10221</v>
      </c>
      <c r="B5117" s="1">
        <v>0</v>
      </c>
      <c r="C5117" s="3">
        <v>44542.861932870372</v>
      </c>
      <c r="D5117" s="1" t="s">
        <v>10222</v>
      </c>
      <c r="E5117" s="1" t="str">
        <f ca="1">IFERROR(__xludf.DUMMYFUNCTION("GOOGLETRANSLATE(A1916 , ""tr"" , ""en"")"),"@drfahrettinkoca heeee .... eeeeee ... a a")</f>
        <v>@drfahrettinkoca heeee .... eeeeee ... a a</v>
      </c>
    </row>
    <row r="5118" spans="1:5" ht="15" customHeight="1" x14ac:dyDescent="0.2">
      <c r="A5118" s="1" t="s">
        <v>10223</v>
      </c>
      <c r="B5118" s="1">
        <v>0</v>
      </c>
      <c r="C5118" s="3">
        <v>44542.835752314815</v>
      </c>
      <c r="D5118" s="1" t="s">
        <v>10224</v>
      </c>
      <c r="E5118" s="1" t="str">
        <f ca="1">IFERROR(__xludf.DUMMYFUNCTION("GOOGLETRANSLATE(A1917 , ""tr"" , ""en"")"),"@drfahrettinkoca Mr. Ministry of Ministry Execution At least the new future physician friends remain in the country in the country ... https://t.co/7n78cwxqy7")</f>
        <v>@drfahrettinkoca Mr. Ministry of Ministry Execution At least the new future physician friends remain in the country in the country ... https://t.co/7n78cwxqy7</v>
      </c>
    </row>
    <row r="5119" spans="1:5" ht="15" customHeight="1" x14ac:dyDescent="0.2">
      <c r="A5119" s="1" t="s">
        <v>10225</v>
      </c>
      <c r="B5119" s="1">
        <v>0</v>
      </c>
      <c r="C5119" s="3">
        <v>44542.834293981483</v>
      </c>
      <c r="D5119" s="1" t="s">
        <v>10226</v>
      </c>
      <c r="E5119" s="1" t="str">
        <f ca="1">IFERROR(__xludf.DUMMYFUNCTION("GOOGLETRANSLATE(A1918 , ""tr"" , ""en"")"),"@drfahrettinkoca Ministry I get me a washing machine")</f>
        <v>@drfahrettinkoca Ministry I get me a washing machine</v>
      </c>
    </row>
    <row r="5120" spans="1:5" ht="15" customHeight="1" x14ac:dyDescent="0.2">
      <c r="A5120" s="1" t="s">
        <v>10227</v>
      </c>
      <c r="B5120" s="1">
        <v>1</v>
      </c>
      <c r="C5120" s="3">
        <v>44542.798229166663</v>
      </c>
      <c r="D5120" s="1" t="s">
        <v>10228</v>
      </c>
      <c r="E5120" s="1" t="str">
        <f ca="1">IFERROR(__xludf.DUMMYFUNCTION("GOOGLETRANSLATE(A1919 , ""tr"" , ""en"")"),"@drfahrettinka how much we were yesterday how much we were happy, but you have received the right of us today")</f>
        <v>@drfahrettinka how much we were yesterday how much we were happy, but you have received the right of us today</v>
      </c>
    </row>
    <row r="5121" spans="1:5" ht="15" customHeight="1" x14ac:dyDescent="0.2">
      <c r="A5121" s="1" t="s">
        <v>10229</v>
      </c>
      <c r="B5121" s="1">
        <v>1</v>
      </c>
      <c r="C5121" s="3">
        <v>44542.79760416667</v>
      </c>
      <c r="D5121" s="1" t="s">
        <v>10230</v>
      </c>
      <c r="E5121" s="1" t="str">
        <f ca="1">IFERROR(__xludf.DUMMYFUNCTION("GOOGLETRANSLATE(A1920 , ""tr"" , ""en"")"),"@drfahrettinka You couldn't stop behind your word even. Hani 2500 TL Hani 5000 TL. Shame on you.")</f>
        <v>@drfahrettinka You couldn't stop behind your word even. Hani 2500 TL Hani 5000 TL. Shame on you.</v>
      </c>
    </row>
    <row r="5122" spans="1:5" ht="15" customHeight="1" x14ac:dyDescent="0.2">
      <c r="A5122" s="1" t="s">
        <v>10231</v>
      </c>
      <c r="B5122" s="1">
        <v>0</v>
      </c>
      <c r="C5122" s="3">
        <v>44542.785960648151</v>
      </c>
      <c r="D5122" s="1" t="s">
        <v>10232</v>
      </c>
      <c r="E5122" s="1" t="str">
        <f ca="1">IFERROR(__xludf.DUMMYFUNCTION("GOOGLETRANSLATE(A1921 , ""tr"" , ""en"")"),"@drfahrettinkoca Mr. Overlooking This is already like this we don't forget that, but you forget that !!!")</f>
        <v>@drfahrettinkoca Mr. Overlooking This is already like this we don't forget that, but you forget that !!!</v>
      </c>
    </row>
    <row r="5123" spans="1:5" ht="15" customHeight="1" x14ac:dyDescent="0.2">
      <c r="A5123" s="1" t="s">
        <v>10233</v>
      </c>
      <c r="B5123" s="1">
        <v>0</v>
      </c>
      <c r="C5123" s="3">
        <v>44542.782453703701</v>
      </c>
      <c r="D5123" s="1" t="s">
        <v>10234</v>
      </c>
      <c r="E5123" s="1" t="str">
        <f ca="1">IFERROR(__xludf.DUMMYFUNCTION("GOOGLETRANSLATE(A1922 , ""tr"" , ""en"")"),"@drfahrettinkoca is the main")</f>
        <v>@drfahrettinkoca is the main</v>
      </c>
    </row>
    <row r="5124" spans="1:5" ht="15" customHeight="1" x14ac:dyDescent="0.2">
      <c r="A5124" s="1" t="s">
        <v>10235</v>
      </c>
      <c r="B5124" s="1">
        <v>0</v>
      </c>
      <c r="C5124" s="3">
        <v>44542.777141203704</v>
      </c>
      <c r="D5124" s="1" t="s">
        <v>10236</v>
      </c>
      <c r="E5124" s="1" t="str">
        <f ca="1">IFERROR(__xludf.DUMMYFUNCTION("GOOGLETRANSLATE(A1923 , ""tr"" , ""en"")"),"@drfahrettinkoca This is going to Turkey in Turkey")</f>
        <v>@drfahrettinkoca This is going to Turkey in Turkey</v>
      </c>
    </row>
    <row r="5125" spans="1:5" ht="15" customHeight="1" x14ac:dyDescent="0.2">
      <c r="A5125" s="1" t="s">
        <v>10237</v>
      </c>
      <c r="B5125" s="1">
        <v>0</v>
      </c>
      <c r="C5125" s="3">
        <v>44542.775694444441</v>
      </c>
      <c r="D5125" s="1" t="s">
        <v>10238</v>
      </c>
      <c r="E5125" s="1" t="str">
        <f ca="1">IFERROR(__xludf.DUMMYFUNCTION("GOOGLETRANSLATE(A1924 , ""tr"" , ""en"")"),"@drfahrettinkoca is the real you.")</f>
        <v>@drfahrettinkoca is the real you.</v>
      </c>
    </row>
    <row r="5126" spans="1:5" ht="15" customHeight="1" x14ac:dyDescent="0.2">
      <c r="A5126" s="1" t="s">
        <v>10239</v>
      </c>
      <c r="B5126" s="1">
        <v>0</v>
      </c>
      <c r="C5126" s="3">
        <v>44542.770057870373</v>
      </c>
      <c r="D5126" s="1" t="s">
        <v>10240</v>
      </c>
      <c r="E5126" s="1" t="str">
        <f ca="1">IFERROR(__xludf.DUMMYFUNCTION("GOOGLETRANSLATE(A1925 , ""tr"" , ""en"")"),"@drfahrettinkoca is you! ️")</f>
        <v>@drfahrettinkoca is you! ️</v>
      </c>
    </row>
    <row r="5127" spans="1:5" ht="15" customHeight="1" x14ac:dyDescent="0.2">
      <c r="A5127" s="1" t="s">
        <v>10241</v>
      </c>
      <c r="B5127" s="1">
        <v>0</v>
      </c>
      <c r="C5127" s="3">
        <v>44542.759571759256</v>
      </c>
      <c r="D5127" s="1" t="s">
        <v>10242</v>
      </c>
      <c r="E5127" s="1" t="str">
        <f ca="1">IFERROR(__xludf.DUMMYFUNCTION("GOOGLETRANSLATE(A1926 , ""tr"" , ""en"")"),"@drfahrettinkoca is the only correct. You are a bit right on that.")</f>
        <v>@drfahrettinkoca is the only correct. You are a bit right on that.</v>
      </c>
    </row>
    <row r="5128" spans="1:5" ht="15" customHeight="1" x14ac:dyDescent="0.2">
      <c r="A5128" s="1" t="s">
        <v>10243</v>
      </c>
      <c r="B5128" s="1">
        <v>2</v>
      </c>
      <c r="C5128" s="3">
        <v>44542.751331018517</v>
      </c>
      <c r="D5128" s="1" t="s">
        <v>10244</v>
      </c>
      <c r="E5128" s="1" t="str">
        <f ca="1">IFERROR(__xludf.DUMMYFUNCTION("GOOGLETRANSLATE(A1927 , ""tr"" , ""en"")"),"@drfahrettinka https://t.co/20lyvyp20v")</f>
        <v>@drfahrettinka https://t.co/20lyvyp20v</v>
      </c>
    </row>
    <row r="5129" spans="1:5" ht="15" customHeight="1" x14ac:dyDescent="0.2">
      <c r="A5129" s="1" t="s">
        <v>10245</v>
      </c>
      <c r="B5129" s="1">
        <v>4</v>
      </c>
      <c r="C5129" s="3">
        <v>44542.743449074071</v>
      </c>
      <c r="D5129" s="1" t="s">
        <v>10246</v>
      </c>
      <c r="E5129" s="1" t="str">
        <f ca="1">IFERROR(__xludf.DUMMYFUNCTION("GOOGLETRANSLATE(A1928 , ""tr"" , ""en"")"),"@drfahrettinka so what?")</f>
        <v>@drfahrettinka so what?</v>
      </c>
    </row>
    <row r="5130" spans="1:5" ht="15" customHeight="1" x14ac:dyDescent="0.2">
      <c r="A5130" s="1" t="s">
        <v>10247</v>
      </c>
      <c r="B5130" s="1">
        <v>0</v>
      </c>
      <c r="C5130" s="3">
        <v>44542.743252314816</v>
      </c>
      <c r="D5130" s="1" t="s">
        <v>10248</v>
      </c>
      <c r="E5130" s="1" t="str">
        <f ca="1">IFERROR(__xludf.DUMMYFUNCTION("GOOGLETRANSLATE(A1929 , ""tr"" , ""en"")"),"@drfahrettinka results?")</f>
        <v>@drfahrettinka results?</v>
      </c>
    </row>
    <row r="5131" spans="1:5" ht="15" customHeight="1" x14ac:dyDescent="0.2">
      <c r="A5131" s="1" t="s">
        <v>10249</v>
      </c>
      <c r="B5131" s="1">
        <v>3</v>
      </c>
      <c r="C5131" s="3">
        <v>44542.736481481479</v>
      </c>
      <c r="D5131" s="1" t="s">
        <v>10250</v>
      </c>
      <c r="E5131" s="1" t="str">
        <f ca="1">IFERROR(__xludf.DUMMYFUNCTION("GOOGLETRANSLATE(A1930 , ""tr"" , ""en"")"),"@drfahrettinkoca Here we are going to go to our Minister. In these conditions, we are interested in these conditions, we do not want to work more.")</f>
        <v>@drfahrettinkoca Here we are going to go to our Minister. In these conditions, we are interested in these conditions, we do not want to work more.</v>
      </c>
    </row>
    <row r="5132" spans="1:5" ht="15" customHeight="1" x14ac:dyDescent="0.2">
      <c r="A5132" s="1" t="s">
        <v>10251</v>
      </c>
      <c r="B5132" s="1">
        <v>0</v>
      </c>
      <c r="C5132" s="3">
        <v>44542.726643518516</v>
      </c>
      <c r="D5132" s="1" t="s">
        <v>10252</v>
      </c>
      <c r="E5132" s="1" t="str">
        <f ca="1">IFERROR(__xludf.DUMMYFUNCTION("GOOGLETRANSLATE(A1931 , ""tr"" , ""en"")"),"@drfahrettinkoca How many money?")</f>
        <v>@drfahrettinkoca How many money?</v>
      </c>
    </row>
    <row r="5133" spans="1:5" ht="15" customHeight="1" x14ac:dyDescent="0.2">
      <c r="A5133" s="1" t="s">
        <v>10253</v>
      </c>
      <c r="B5133" s="1">
        <v>0</v>
      </c>
      <c r="C5133" s="3">
        <v>44542.722997685189</v>
      </c>
      <c r="D5133" s="1" t="s">
        <v>10254</v>
      </c>
      <c r="E5133" s="1" t="str">
        <f ca="1">IFERROR(__xludf.DUMMYFUNCTION("GOOGLETRANSLATE(A1932 , ""tr"" , ""en"")"),"@drfahrettinka yeah the Turkish physicians are really all of our grur resources but you have given them ... https://t.co/whd5lot5yv")</f>
        <v>@drfahrettinka yeah the Turkish physicians are really all of our grur resources but you have given them ... https://t.co/whd5lot5yv</v>
      </c>
    </row>
    <row r="5134" spans="1:5" ht="15" customHeight="1" x14ac:dyDescent="0.2">
      <c r="A5134" s="1" t="s">
        <v>10255</v>
      </c>
      <c r="B5134" s="1">
        <v>0</v>
      </c>
      <c r="C5134" s="3">
        <v>44543.958124999997</v>
      </c>
      <c r="D5134" s="1" t="s">
        <v>10256</v>
      </c>
      <c r="E5134" s="1" t="str">
        <f ca="1">IFERROR(__xludf.DUMMYFUNCTION("GOOGLETRANSLATE(A1933 , ""tr"" , ""en"")"),"@drfahrettinkoca If human life is unable to die with money can not be given to death, cannot be returned to the Uzvu, can't be returned ... https://t.co/bnasg7yo8c")</f>
        <v>@drfahrettinkoca If human life is unable to die with money can not be given to death, cannot be returned to the Uzvu, can't be returned ... https://t.co/bnasg7yo8c</v>
      </c>
    </row>
    <row r="5135" spans="1:5" ht="15" customHeight="1" x14ac:dyDescent="0.2">
      <c r="A5135" s="1" t="s">
        <v>10257</v>
      </c>
      <c r="B5135" s="1">
        <v>0</v>
      </c>
      <c r="C5135" s="3">
        <v>44543.923437500001</v>
      </c>
      <c r="D5135" s="1" t="s">
        <v>10258</v>
      </c>
      <c r="E5135" s="1" t="str">
        <f ca="1">IFERROR(__xludf.DUMMYFUNCTION("GOOGLETRANSLATE(A1934 , ""tr"" , ""en"")"),"@drfahrettinkoca @saglikbakanligi a minister who has not lost the physician 👍")</f>
        <v>@drfahrettinkoca @saglikbakanligi a minister who has not lost the physician 👍</v>
      </c>
    </row>
    <row r="5136" spans="1:5" ht="15" customHeight="1" x14ac:dyDescent="0.2">
      <c r="A5136" s="1" t="s">
        <v>10259</v>
      </c>
      <c r="B5136" s="1">
        <v>0</v>
      </c>
      <c r="C5136" s="3">
        <v>44543.915266203701</v>
      </c>
      <c r="D5136" s="1" t="s">
        <v>10260</v>
      </c>
      <c r="E5136" s="1" t="str">
        <f ca="1">IFERROR(__xludf.DUMMYFUNCTION("GOOGLETRANSLATE(A1935 , ""tr"" , ""en"")"),"@drfahrettinkoca Supervisory Mechanism To be strengthened how many hospitals are unaware per day You are inspecting the Minister Minister")</f>
        <v>@drfahrettinkoca Supervisory Mechanism To be strengthened how many hospitals are unaware per day You are inspecting the Minister Minister</v>
      </c>
    </row>
    <row r="5137" spans="1:5" ht="15" customHeight="1" x14ac:dyDescent="0.2">
      <c r="A5137" s="1" t="s">
        <v>10261</v>
      </c>
      <c r="B5137" s="1">
        <v>0</v>
      </c>
      <c r="C5137" s="3">
        <v>44541.991793981484</v>
      </c>
      <c r="D5137" s="1" t="s">
        <v>10262</v>
      </c>
      <c r="E5137" s="1" t="str">
        <f ca="1">IFERROR(__xludf.DUMMYFUNCTION("GOOGLETRANSLATE(A1936 , ""tr"" , ""en"")"),"@drfahrettinkoca your right is definitely no paid .........")</f>
        <v>@drfahrettinkoca your right is definitely no paid .........</v>
      </c>
    </row>
    <row r="5138" spans="1:5" ht="15" customHeight="1" x14ac:dyDescent="0.2">
      <c r="A5138" s="1" t="s">
        <v>9331</v>
      </c>
      <c r="B5138" s="1">
        <v>0</v>
      </c>
      <c r="C5138" s="3">
        <v>44541.967997685184</v>
      </c>
      <c r="D5138" s="1" t="s">
        <v>10263</v>
      </c>
      <c r="E5138" s="1" t="str">
        <f ca="1">IFERROR(__xludf.DUMMYFUNCTION("GOOGLETRANSLATE(A1937 , ""tr"" , ""en"")"),"@drfahrettinkoca @saglikbakanligi https://t.co/pxlo52wiw9")</f>
        <v>@drfahrettinkoca @saglikbakanligi https://t.co/pxlo52wiw9</v>
      </c>
    </row>
    <row r="5139" spans="1:5" ht="15" customHeight="1" x14ac:dyDescent="0.2">
      <c r="A5139" s="1" t="s">
        <v>10264</v>
      </c>
      <c r="B5139" s="1">
        <v>0</v>
      </c>
      <c r="C5139" s="3">
        <v>44541.954791666663</v>
      </c>
      <c r="D5139" s="1" t="s">
        <v>10265</v>
      </c>
      <c r="E5139" s="1" t="str">
        <f ca="1">IFERROR(__xludf.DUMMYFUNCTION("GOOGLETRANSLATE(A1938 , ""tr"" , ""en"")"),"@drfahrettinkoca good then some doctors do wrong treatment. Whether people are caused. You also fit the sheath 😡😡")</f>
        <v>@drfahrettinkoca good then some doctors do wrong treatment. Whether people are caused. You also fit the sheath 😡😡</v>
      </c>
    </row>
    <row r="5140" spans="1:5" ht="15" customHeight="1" x14ac:dyDescent="0.2">
      <c r="A5140" s="1" t="s">
        <v>10266</v>
      </c>
      <c r="B5140" s="1">
        <v>0</v>
      </c>
      <c r="C5140" s="3">
        <v>44541.950798611113</v>
      </c>
      <c r="D5140" s="1" t="s">
        <v>10267</v>
      </c>
      <c r="E5140" s="1" t="str">
        <f ca="1">IFERROR(__xludf.DUMMYFUNCTION("GOOGLETRANSLATE(A1939 , ""tr"" , ""en"")"),"@drfahrettinkoca does not have so staring, everyone will give you the account of what they do.")</f>
        <v>@drfahrettinkoca does not have so staring, everyone will give you the account of what they do.</v>
      </c>
    </row>
    <row r="5141" spans="1:5" ht="15" customHeight="1" x14ac:dyDescent="0.2">
      <c r="A5141" s="1" t="s">
        <v>10268</v>
      </c>
      <c r="B5141" s="1">
        <v>0</v>
      </c>
      <c r="C5141" s="3">
        <v>44541.943414351852</v>
      </c>
      <c r="D5141" s="1" t="s">
        <v>10269</v>
      </c>
      <c r="E5141" s="1" t="str">
        <f ca="1">IFERROR(__xludf.DUMMYFUNCTION("GOOGLETRANSLATE(A1940 , ""tr"" , ""en"")"),"@drfahrettinkoca what time will you leave the following empty repugnantine. 40 thousand 40k advertisers, 13 months height ... https://t.co/vks0zlksay")</f>
        <v>@drfahrettinkoca what time will you leave the following empty repugnantine. 40 thousand 40k advertisers, 13 months height ... https://t.co/vks0zlksay</v>
      </c>
    </row>
    <row r="5142" spans="1:5" ht="15" customHeight="1" x14ac:dyDescent="0.2">
      <c r="A5142" s="1" t="s">
        <v>10270</v>
      </c>
      <c r="B5142" s="1">
        <v>1</v>
      </c>
      <c r="C5142" s="3">
        <v>44541.938321759262</v>
      </c>
      <c r="D5142" s="1" t="s">
        <v>10271</v>
      </c>
      <c r="E5142" s="1" t="str">
        <f ca="1">IFERROR(__xludf.DUMMYFUNCTION("GOOGLETRANSLATE(A1941 , ""tr"" , ""en"")"),"@drfahrettinkoca None, they found the square empty, they wander like a wandered shepherd. The stick of Allah is close. Everyone will mow that you are sowing.")</f>
        <v>@drfahrettinkoca None, they found the square empty, they wander like a wandered shepherd. The stick of Allah is close. Everyone will mow that you are sowing.</v>
      </c>
    </row>
    <row r="5143" spans="1:5" ht="15" customHeight="1" x14ac:dyDescent="0.2">
      <c r="A5143" s="1" t="s">
        <v>10272</v>
      </c>
      <c r="B5143" s="1">
        <v>0</v>
      </c>
      <c r="C5143" s="3">
        <v>44541.933796296296</v>
      </c>
      <c r="D5143" s="1" t="s">
        <v>10273</v>
      </c>
      <c r="E5143" s="1" t="str">
        <f ca="1">IFERROR(__xludf.DUMMYFUNCTION("GOOGLETRANSLATE(A1942 , ""tr"" , ""en"")"),"@drfahrettinkoca you speak very nice wish you are the Minister of Health")</f>
        <v>@drfahrettinkoca you speak very nice wish you are the Minister of Health</v>
      </c>
    </row>
    <row r="5144" spans="1:5" ht="15" customHeight="1" x14ac:dyDescent="0.2">
      <c r="A5144" s="1" t="s">
        <v>10274</v>
      </c>
      <c r="B5144" s="1">
        <v>15</v>
      </c>
      <c r="C5144" s="3">
        <v>44541.928773148145</v>
      </c>
      <c r="D5144" s="1" t="s">
        <v>10275</v>
      </c>
      <c r="E5144" s="1" t="str">
        <f ca="1">IFERROR(__xludf.DUMMYFUNCTION("GOOGLETRANSLATE(A1943 , ""tr"" , ""en"")"),"When @drfahrettinkoca Read the comments, we see tens of people who have an idea on issues that they don't know. Ignorant c ... https://t.co/pxskyl5ams")</f>
        <v>When @drfahrettinkoca Read the comments, we see tens of people who have an idea on issues that they don't know. Ignorant c ... https://t.co/pxskyl5ams</v>
      </c>
    </row>
    <row r="5145" spans="1:5" ht="15" customHeight="1" x14ac:dyDescent="0.2">
      <c r="A5145" s="1" t="s">
        <v>10276</v>
      </c>
      <c r="B5145" s="1">
        <v>1</v>
      </c>
      <c r="C5145" s="3">
        <v>44541.921388888892</v>
      </c>
      <c r="D5145" s="1" t="s">
        <v>10277</v>
      </c>
      <c r="E5145" s="1" t="str">
        <f ca="1">IFERROR(__xludf.DUMMYFUNCTION("GOOGLETRANSLATE(A1944 , ""tr"" , ""en"")"),"@drfahrettinkoca quarantine those who come from abroad. Why don't you have such measures.")</f>
        <v>@drfahrettinkoca quarantine those who come from abroad. Why don't you have such measures.</v>
      </c>
    </row>
    <row r="5146" spans="1:5" ht="15" customHeight="1" x14ac:dyDescent="0.2">
      <c r="A5146" s="1" t="s">
        <v>10278</v>
      </c>
      <c r="B5146" s="1">
        <v>0</v>
      </c>
      <c r="C5146" s="3">
        <v>44541.920543981483</v>
      </c>
      <c r="D5146" s="1" t="s">
        <v>10279</v>
      </c>
      <c r="E5146" s="1" t="str">
        <f ca="1">IFERROR(__xludf.DUMMYFUNCTION("GOOGLETRANSLATE(A1945 , ""tr"" , ""en"")"),"@drfahrettinkoca @diskamu I didn't think you care amazed")</f>
        <v>@drfahrettinkoca @diskamu I didn't think you care amazed</v>
      </c>
    </row>
    <row r="5147" spans="1:5" ht="15" customHeight="1" x14ac:dyDescent="0.2">
      <c r="A5147" s="1" t="s">
        <v>10280</v>
      </c>
      <c r="B5147" s="1">
        <v>0</v>
      </c>
      <c r="C5147" s="3">
        <v>44541.919236111113</v>
      </c>
      <c r="D5147" s="1" t="s">
        <v>10281</v>
      </c>
      <c r="E5147" s="1" t="str">
        <f ca="1">IFERROR(__xludf.DUMMYFUNCTION("GOOGLETRANSLATE(A1946 , ""tr"" , ""en"")"),"@drfahrettinkoca Magduriyon We have 4 / C while we don't go to 4 / b we could not go to 4 / b")</f>
        <v>@drfahrettinkoca Magduriyon We have 4 / C while we don't go to 4 / b we could not go to 4 / b</v>
      </c>
    </row>
    <row r="5148" spans="1:5" ht="15" customHeight="1" x14ac:dyDescent="0.2">
      <c r="A5148" s="1" t="s">
        <v>10282</v>
      </c>
      <c r="B5148" s="1">
        <v>1</v>
      </c>
      <c r="C5148" s="3">
        <v>44541.91269675926</v>
      </c>
      <c r="D5148" s="1" t="s">
        <v>10283</v>
      </c>
      <c r="E5148" s="1" t="str">
        <f ca="1">IFERROR(__xludf.DUMMYFUNCTION("GOOGLETRANSLATE(A1947 , ""tr"" , ""en"")"),"@drfahrettinkoca Health workers start and say by saying physicians ...")</f>
        <v>@drfahrettinkoca Health workers start and say by saying physicians ...</v>
      </c>
    </row>
    <row r="5149" spans="1:5" ht="15" customHeight="1" x14ac:dyDescent="0.2">
      <c r="A5149" s="1" t="s">
        <v>10284</v>
      </c>
      <c r="B5149" s="1">
        <v>0</v>
      </c>
      <c r="C5149" s="3">
        <v>44541.904027777775</v>
      </c>
      <c r="D5149" s="1" t="s">
        <v>10285</v>
      </c>
      <c r="E5149" s="1" t="str">
        <f ca="1">IFERROR(__xludf.DUMMYFUNCTION("GOOGLETRANSLATE(A1948 , ""tr"" , ""en"")"),"@drfahrettinkoca becomes hocam you don't have any hardships, you are brushing, they give the verg but the monthly hundred bini ke ... https://t.co/bduevsqb3w")</f>
        <v>@drfahrettinkoca becomes hocam you don't have any hardships, you are brushing, they give the verg but the monthly hundred bini ke ... https://t.co/bduevsqb3w</v>
      </c>
    </row>
    <row r="5150" spans="1:5" ht="15" customHeight="1" x14ac:dyDescent="0.2">
      <c r="A5150" s="1" t="s">
        <v>10286</v>
      </c>
      <c r="B5150" s="1">
        <v>0</v>
      </c>
      <c r="C5150" s="3">
        <v>44541.898865740739</v>
      </c>
      <c r="D5150" s="1" t="s">
        <v>10287</v>
      </c>
      <c r="E5150" s="1" t="str">
        <f ca="1">IFERROR(__xludf.DUMMYFUNCTION("GOOGLETRANSLATE(A1949 , ""tr"" , ""en"")"),"@drfahrettinkoca why?")</f>
        <v>@drfahrettinkoca why?</v>
      </c>
    </row>
    <row r="5151" spans="1:5" ht="15" customHeight="1" x14ac:dyDescent="0.2">
      <c r="A5151" s="1" t="s">
        <v>10288</v>
      </c>
      <c r="B5151" s="1">
        <v>0</v>
      </c>
      <c r="C5151" s="3">
        <v>44541.88962962963</v>
      </c>
      <c r="D5151" s="1" t="s">
        <v>10289</v>
      </c>
      <c r="E5151" s="1" t="str">
        <f ca="1">IFERROR(__xludf.DUMMYFUNCTION("GOOGLETRANSLATE(A1950 , ""tr"" , ""en"")"),"@drfahrettinkoca Gene What you are up to Mr. Minister Already not interested in the smart nation Send the prescription Send the prescription Y ... https://t.co/q7tso1buyb")</f>
        <v>@drfahrettinkoca Gene What you are up to Mr. Minister Already not interested in the smart nation Send the prescription Send the prescription Y ... https://t.co/q7tso1buyb</v>
      </c>
    </row>
    <row r="5152" spans="1:5" ht="15" customHeight="1" x14ac:dyDescent="0.2">
      <c r="A5152" s="1" t="s">
        <v>10290</v>
      </c>
      <c r="B5152" s="1">
        <v>1</v>
      </c>
      <c r="C5152" s="3">
        <v>44541.884155092594</v>
      </c>
      <c r="D5152" s="1" t="s">
        <v>10291</v>
      </c>
      <c r="E5152" s="1" t="str">
        <f ca="1">IFERROR(__xludf.DUMMYFUNCTION("GOOGLETRANSLATE(A1951 , ""tr"" , ""en"")"),"@drfahrettinkoca you have said 40 thousand before you said 30 thousand healthier 10 thousand workers have said 10 thousand workers ... https://t.co/pab54ltpzh")</f>
        <v>@drfahrettinkoca you have said 40 thousand before you said 30 thousand healthier 10 thousand workers have said 10 thousand workers ... https://t.co/pab54ltpzh</v>
      </c>
    </row>
    <row r="5153" spans="1:5" ht="15" customHeight="1" x14ac:dyDescent="0.2">
      <c r="A5153" s="1" t="s">
        <v>9388</v>
      </c>
      <c r="B5153" s="1">
        <v>2</v>
      </c>
      <c r="C5153" s="3">
        <v>44541.881643518522</v>
      </c>
      <c r="D5153" s="1" t="s">
        <v>10292</v>
      </c>
      <c r="E5153" s="1" t="str">
        <f ca="1">IFERROR(__xludf.DUMMYFUNCTION("GOOGLETRANSLATE(A1952 , ""tr"" , ""en"")"),"@drfahrettinkoca # Birbakan40kocayalan")</f>
        <v>@drfahrettinkoca # Birbakan40kocayalan</v>
      </c>
    </row>
    <row r="5154" spans="1:5" ht="15" customHeight="1" x14ac:dyDescent="0.2">
      <c r="A5154" s="1" t="s">
        <v>10293</v>
      </c>
      <c r="B5154" s="1">
        <v>2</v>
      </c>
      <c r="C5154" s="3">
        <v>44541.880462962959</v>
      </c>
      <c r="D5154" s="1" t="s">
        <v>10294</v>
      </c>
      <c r="E5154" s="1" t="str">
        <f ca="1">IFERROR(__xludf.DUMMYFUNCTION("GOOGLETRANSLATE(A1953 , ""tr"" , ""en"")"),"@drfahrettinka you save yourself plandemi minister. Nice person died in Covid drug trials Because Hospitals ... https://t.co/rgh9cf3hbu")</f>
        <v>@drfahrettinka you save yourself plandemi minister. Nice person died in Covid drug trials Because Hospitals ... https://t.co/rgh9cf3hbu</v>
      </c>
    </row>
    <row r="5155" spans="1:5" ht="15" customHeight="1" x14ac:dyDescent="0.2">
      <c r="A5155" s="1" t="s">
        <v>10295</v>
      </c>
      <c r="B5155" s="1">
        <v>2</v>
      </c>
      <c r="C5155" s="3">
        <v>44541.8750462963</v>
      </c>
      <c r="D5155" s="1" t="s">
        <v>10296</v>
      </c>
      <c r="E5155" s="1" t="str">
        <f ca="1">IFERROR(__xludf.DUMMYFUNCTION("GOOGLETRANSLATE(A1954 , ""tr"" , ""en"")"),"@drfahrettinkoca s: Minister, you will be exposed to the heaviest cases when I think Covid 19 Planemis is finished.")</f>
        <v>@drfahrettinkoca s: Minister, you will be exposed to the heaviest cases when I think Covid 19 Planemis is finished.</v>
      </c>
    </row>
    <row r="5156" spans="1:5" ht="15" customHeight="1" x14ac:dyDescent="0.2">
      <c r="A5156" s="1" t="s">
        <v>10297</v>
      </c>
      <c r="B5156" s="1">
        <v>1</v>
      </c>
      <c r="C5156" s="3">
        <v>44541.874641203707</v>
      </c>
      <c r="D5156" s="1" t="s">
        <v>10298</v>
      </c>
      <c r="E5156" s="1" t="str">
        <f ca="1">IFERROR(__xludf.DUMMYFUNCTION("GOOGLETRANSLATE(A1955 , ""tr"" , ""en"")"),"@drfahrettinkoca Gelde Family Health In the Health Center Go to the Public Terror without getting up from their destinations to the hurtile Grievade ... HTTPS://T.CO/DMIO5Q5MDU")</f>
        <v>@drfahrettinkoca Gelde Family Health In the Health Center Go to the Public Terror without getting up from their destinations to the hurtile Grievade ... HTTPS://T.CO/DMIO5Q5MDU</v>
      </c>
    </row>
    <row r="5157" spans="1:5" ht="15" customHeight="1" x14ac:dyDescent="0.2">
      <c r="A5157" s="1" t="s">
        <v>10299</v>
      </c>
      <c r="B5157" s="1">
        <v>1</v>
      </c>
      <c r="C5157" s="3">
        <v>44541.874247685184</v>
      </c>
      <c r="D5157" s="1" t="s">
        <v>10300</v>
      </c>
      <c r="E5157" s="1" t="str">
        <f ca="1">IFERROR(__xludf.DUMMYFUNCTION("GOOGLETRANSLATE(A1956 , ""tr"" , ""en"")"),"@drfahrettinkoca Minister Bey You have to pay the case compensation of people you are running on your command in your command ... HTTPS://T.CO/KILYFYGLTA")</f>
        <v>@drfahrettinkoca Minister Bey You have to pay the case compensation of people you are running on your command in your command ... HTTPS://T.CO/KILYFYGLTA</v>
      </c>
    </row>
    <row r="5158" spans="1:5" ht="15" customHeight="1" x14ac:dyDescent="0.2">
      <c r="A5158" s="1" t="s">
        <v>10301</v>
      </c>
      <c r="B5158" s="1">
        <v>0</v>
      </c>
      <c r="C5158" s="3">
        <v>44541.873981481483</v>
      </c>
      <c r="D5158" s="1" t="s">
        <v>10302</v>
      </c>
      <c r="E5158" s="1" t="str">
        <f ca="1">IFERROR(__xludf.DUMMYFUNCTION("GOOGLETRANSLATE(A1957 , ""tr"" , ""en"")"),"@drfahrettinkoca Güya You think so much")</f>
        <v>@drfahrettinkoca Güya You think so much</v>
      </c>
    </row>
    <row r="5159" spans="1:5" ht="15" customHeight="1" x14ac:dyDescent="0.2">
      <c r="A5159" s="1" t="s">
        <v>10303</v>
      </c>
      <c r="B5159" s="1">
        <v>0</v>
      </c>
      <c r="C5159" s="3">
        <v>44541.870069444441</v>
      </c>
      <c r="D5159" s="1" t="s">
        <v>10304</v>
      </c>
      <c r="E5159" s="1" t="str">
        <f ca="1">IFERROR(__xludf.DUMMYFUNCTION("GOOGLETRANSLATE(A1958 , ""tr"" , ""en"")"),"@drfahrettinkoca You have to have such mj to the healthpieces how to get out of everyone else how do you like to take the purchase tonight")</f>
        <v>@drfahrettinkoca You have to have such mj to the healthpieces how to get out of everyone else how do you like to take the purchase tonight</v>
      </c>
    </row>
    <row r="5160" spans="1:5" ht="15" customHeight="1" x14ac:dyDescent="0.2">
      <c r="A5160" s="1" t="s">
        <v>10305</v>
      </c>
      <c r="B5160" s="1">
        <v>0</v>
      </c>
      <c r="C5160" s="3">
        <v>44541.868692129632</v>
      </c>
      <c r="D5160" s="1" t="s">
        <v>10306</v>
      </c>
      <c r="E5160" s="1" t="str">
        <f ca="1">IFERROR(__xludf.DUMMYFUNCTION("GOOGLETRANSLATE(A1959 , ""tr"" , ""en"")"),"@drfahrettinkoca @drfahrettinkoca @drfahrettinkoca @rterdogan How do you people black out our lives We are your youth our blood ... https://t.co/3mbchlm2g2")</f>
        <v>@drfahrettinkoca @drfahrettinkoca @drfahrettinkoca @rterdogan How do you people black out our lives We are your youth our blood ... https://t.co/3mbchlm2g2</v>
      </c>
    </row>
    <row r="5161" spans="1:5" ht="15" customHeight="1" x14ac:dyDescent="0.2">
      <c r="A5161" s="1" t="s">
        <v>10307</v>
      </c>
      <c r="B5161" s="1">
        <v>0</v>
      </c>
      <c r="C5161" s="3">
        <v>44541.868356481478</v>
      </c>
      <c r="D5161" s="1" t="s">
        <v>10308</v>
      </c>
      <c r="E5161" s="1" t="str">
        <f ca="1">IFERROR(__xludf.DUMMYFUNCTION("GOOGLETRANSLATE(A1960 , ""tr"" , ""en"")"),"@drfahrettinkoca you are not overlooking the pardon? You are in the Solution Authority, not in the complaining authority.")</f>
        <v>@drfahrettinkoca you are not overlooking the pardon? You are in the Solution Authority, not in the complaining authority.</v>
      </c>
    </row>
    <row r="5162" spans="1:5" ht="15" customHeight="1" x14ac:dyDescent="0.2">
      <c r="A5162" s="1" t="s">
        <v>10309</v>
      </c>
      <c r="B5162" s="1">
        <v>0</v>
      </c>
      <c r="C5162" s="3">
        <v>44541.867361111108</v>
      </c>
      <c r="D5162" s="1" t="s">
        <v>10310</v>
      </c>
      <c r="E5162" s="1" t="str">
        <f ca="1">IFERROR(__xludf.DUMMYFUNCTION("GOOGLETRANSLATE(A1961 , ""tr"" , ""en"")"),"@drfahrettinka https://t.co/j4mfux12mc")</f>
        <v>@drfahrettinka https://t.co/j4mfux12mc</v>
      </c>
    </row>
    <row r="5163" spans="1:5" ht="15" customHeight="1" x14ac:dyDescent="0.2">
      <c r="A5163" s="1" t="s">
        <v>10311</v>
      </c>
      <c r="B5163" s="1">
        <v>0</v>
      </c>
      <c r="C5163" s="3">
        <v>44541.866840277777</v>
      </c>
      <c r="D5163" s="1" t="s">
        <v>10312</v>
      </c>
      <c r="E5163" s="1" t="str">
        <f ca="1">IFERROR(__xludf.DUMMYFUNCTION("GOOGLETRANSLATE(A1962 , ""tr"" , ""en"")"),"@drfahrettinkoca Mr. Mr. Minister SGK Head by removing drugs from the payment list when you will say ... https://t.co/ueu4nczdns")</f>
        <v>@drfahrettinkoca Mr. Mr. Minister SGK Head by removing drugs from the payment list when you will say ... https://t.co/ueu4nczdns</v>
      </c>
    </row>
    <row r="5164" spans="1:5" ht="15" customHeight="1" x14ac:dyDescent="0.2">
      <c r="A5164" s="1" t="s">
        <v>10313</v>
      </c>
      <c r="B5164" s="1">
        <v>0</v>
      </c>
      <c r="C5164" s="3">
        <v>44541.865879629629</v>
      </c>
      <c r="D5164" s="1" t="s">
        <v>10314</v>
      </c>
      <c r="E5164" s="1" t="str">
        <f ca="1">IFERROR(__xludf.DUMMYFUNCTION("GOOGLETRANSLATE(A1963 , ""tr"" , ""en"")"),"@drfahrettinkoca hay allah 🙊")</f>
        <v>@drfahrettinkoca hay allah 🙊</v>
      </c>
    </row>
    <row r="5165" spans="1:5" ht="15" customHeight="1" x14ac:dyDescent="0.2">
      <c r="A5165" s="1" t="s">
        <v>10315</v>
      </c>
      <c r="B5165" s="1">
        <v>1</v>
      </c>
      <c r="C5165" s="3">
        <v>44541.865706018521</v>
      </c>
      <c r="D5165" s="1" t="s">
        <v>10316</v>
      </c>
      <c r="E5165" s="1" t="str">
        <f ca="1">IFERROR(__xludf.DUMMYFUNCTION("GOOGLETRANSLATE(A1964 , ""tr"" , ""en"")"),"@drfahrettinka vaccines are when the side effects was the subject ?? You are looking for the right to folks ??")</f>
        <v>@drfahrettinka vaccines are when the side effects was the subject ?? You are looking for the right to folks ??</v>
      </c>
    </row>
    <row r="5166" spans="1:5" ht="15" customHeight="1" x14ac:dyDescent="0.2">
      <c r="A5166" s="1" t="s">
        <v>10317</v>
      </c>
      <c r="B5166" s="1">
        <v>0</v>
      </c>
      <c r="C5166" s="3">
        <v>44541.863425925927</v>
      </c>
      <c r="D5166" s="1" t="s">
        <v>10318</v>
      </c>
      <c r="E5166" s="1" t="str">
        <f ca="1">IFERROR(__xludf.DUMMYFUNCTION("GOOGLETRANSLATE(A1965 , ""tr"" , ""en"")"),"@drfahrettinkoca Unfortunately doctors make a lot of misdiagnosing. We are unable to complain.")</f>
        <v>@drfahrettinkoca Unfortunately doctors make a lot of misdiagnosing. We are unable to complain.</v>
      </c>
    </row>
    <row r="5167" spans="1:5" ht="15" customHeight="1" x14ac:dyDescent="0.2">
      <c r="A5167" s="1" t="s">
        <v>10319</v>
      </c>
      <c r="B5167" s="1">
        <v>8</v>
      </c>
      <c r="C5167" s="3">
        <v>44541.861817129633</v>
      </c>
      <c r="D5167" s="1" t="s">
        <v>10320</v>
      </c>
      <c r="E5167" s="1" t="str">
        <f ca="1">IFERROR(__xludf.DUMMYFUNCTION("GOOGLETRANSLATE(A1966 , ""tr"" , ""en"")"),"@drfahrettinkoca is our life cheap? Every day there are 200 decefines, you did not take precautions to the country you have received everyone in the vaccine ... https://t.co/nk1x6hsrgr")</f>
        <v>@drfahrettinkoca is our life cheap? Every day there are 200 decefines, you did not take precautions to the country you have received everyone in the vaccine ... https://t.co/nk1x6hsrgr</v>
      </c>
    </row>
    <row r="5168" spans="1:5" ht="15" customHeight="1" x14ac:dyDescent="0.2">
      <c r="A5168" s="1" t="s">
        <v>10321</v>
      </c>
      <c r="B5168" s="1">
        <v>0</v>
      </c>
      <c r="C5168" s="3">
        <v>44541.857129629629</v>
      </c>
      <c r="D5168" s="1" t="s">
        <v>10322</v>
      </c>
      <c r="E5168" s="1" t="str">
        <f ca="1">IFERROR(__xludf.DUMMYFUNCTION("GOOGLETRANSLATE(A1967 , ""tr"" , ""en"")"),"@drfahrettinkoca is the most important problem to solve")</f>
        <v>@drfahrettinkoca is the most important problem to solve</v>
      </c>
    </row>
    <row r="5169" spans="1:5" ht="15" customHeight="1" x14ac:dyDescent="0.2">
      <c r="A5169" s="1" t="s">
        <v>9815</v>
      </c>
      <c r="B5169" s="1">
        <v>0</v>
      </c>
      <c r="C5169" s="3">
        <v>44541.855462962965</v>
      </c>
      <c r="D5169" s="1" t="s">
        <v>10323</v>
      </c>
      <c r="E5169" s="1" t="str">
        <f ca="1">IFERROR(__xludf.DUMMYFUNCTION("GOOGLETRANSLATE(A1968 , ""tr"" , ""en"")"),"@drfahrettinkoca Last Minute Minimum Wage Description .... https://t.co/pele1qpmf1")</f>
        <v>@drfahrettinkoca Last Minute Minimum Wage Description .... https://t.co/pele1qpmf1</v>
      </c>
    </row>
    <row r="5170" spans="1:5" ht="15" customHeight="1" x14ac:dyDescent="0.2">
      <c r="A5170" s="1" t="s">
        <v>10324</v>
      </c>
      <c r="B5170" s="1">
        <v>0</v>
      </c>
      <c r="C5170" s="3">
        <v>44541.853993055556</v>
      </c>
      <c r="D5170" s="1" t="s">
        <v>10325</v>
      </c>
      <c r="E5170" s="1" t="str">
        <f ca="1">IFERROR(__xludf.DUMMYFUNCTION("GOOGLETRANSLATE(A1969 , ""tr"" , ""en"")"),"@drfahrettinkoca Ministry of Health Physician Ministry? What a pity")</f>
        <v>@drfahrettinkoca Ministry of Health Physician Ministry? What a pity</v>
      </c>
    </row>
    <row r="5171" spans="1:5" ht="15" customHeight="1" x14ac:dyDescent="0.2">
      <c r="A5171" s="1" t="s">
        <v>10326</v>
      </c>
      <c r="B5171" s="1">
        <v>1</v>
      </c>
      <c r="C5171" s="3">
        <v>44541.852407407408</v>
      </c>
      <c r="D5171" s="1" t="s">
        <v>10327</v>
      </c>
      <c r="E5171" s="1" t="str">
        <f ca="1">IFERROR(__xludf.DUMMYFUNCTION("GOOGLETRANSLATE(A1970 , ""tr"" , ""en"")"),"@drfahrettinkoca HIMMM This is showing that the situation with emotional serches; You also give you the IBAN soon, you are.")</f>
        <v>@drfahrettinkoca HIMMM This is showing that the situation with emotional serches; You also give you the IBAN soon, you are.</v>
      </c>
    </row>
    <row r="5172" spans="1:5" ht="15" customHeight="1" x14ac:dyDescent="0.2">
      <c r="A5172" s="1" t="s">
        <v>10328</v>
      </c>
      <c r="B5172" s="1">
        <v>19</v>
      </c>
      <c r="C5172" s="3">
        <v>44541.850555555553</v>
      </c>
      <c r="D5172" s="1" t="s">
        <v>10329</v>
      </c>
      <c r="E5172" s="1" t="str">
        <f ca="1">IFERROR(__xludf.DUMMYFUNCTION("GOOGLETRANSLATE(A1971 , ""tr"" , ""en"")"),"@drfahrettinkoca give a little on some physicians. This occupation came to the point that will not be done to the artic. 80 patient valves a day, https://t.co/b9g6donapd")</f>
        <v>@drfahrettinkoca give a little on some physicians. This occupation came to the point that will not be done to the artic. 80 patient valves a day, https://t.co/b9g6donapd</v>
      </c>
    </row>
    <row r="5173" spans="1:5" ht="15" customHeight="1" x14ac:dyDescent="0.2">
      <c r="A5173" s="1" t="s">
        <v>10330</v>
      </c>
      <c r="B5173" s="1">
        <v>1</v>
      </c>
      <c r="C5173" s="3">
        <v>44541.849965277775</v>
      </c>
      <c r="D5173" s="1" t="s">
        <v>10331</v>
      </c>
      <c r="E5173" s="1" t="str">
        <f ca="1">IFERROR(__xludf.DUMMYFUNCTION("GOOGLETRANSLATE(A1972 , ""tr"" , ""en"")"),"@drfahrettinkoca Hope it would be by law and viciness")</f>
        <v>@drfahrettinkoca Hope it would be by law and viciness</v>
      </c>
    </row>
    <row r="5174" spans="1:5" ht="15" customHeight="1" x14ac:dyDescent="0.2">
      <c r="A5174" s="1" t="s">
        <v>10332</v>
      </c>
      <c r="B5174" s="1">
        <v>0</v>
      </c>
      <c r="C5174" s="3">
        <v>44541.849490740744</v>
      </c>
      <c r="D5174" s="1" t="s">
        <v>10333</v>
      </c>
      <c r="E5174" s="1" t="str">
        <f ca="1">IFERROR(__xludf.DUMMYFUNCTION("GOOGLETRANSLATE(A1973 , ""tr"" , ""en"")"),"@drfahrettinka https://t.co/ra99nhsyxb")</f>
        <v>@drfahrettinka https://t.co/ra99nhsyxb</v>
      </c>
    </row>
    <row r="5175" spans="1:5" ht="15" customHeight="1" x14ac:dyDescent="0.2">
      <c r="A5175" s="1" t="s">
        <v>10334</v>
      </c>
      <c r="B5175" s="1">
        <v>0</v>
      </c>
      <c r="C5175" s="3">
        <v>44541.849456018521</v>
      </c>
      <c r="D5175" s="1" t="s">
        <v>10335</v>
      </c>
      <c r="E5175" s="1" t="str">
        <f ca="1">IFERROR(__xludf.DUMMYFUNCTION("GOOGLETRANSLATE(A1974 , ""tr"" , ""en"")"),"@drfahrettinkoca omicron New Varyanta is the whole world on the trigger when you push people to unwind? Contagious ... https://t.co/r8Iww2hsnq")</f>
        <v>@drfahrettinkoca omicron New Varyanta is the whole world on the trigger when you push people to unwind? Contagious ... https://t.co/r8Iww2hsnq</v>
      </c>
    </row>
    <row r="5176" spans="1:5" ht="15" customHeight="1" x14ac:dyDescent="0.2">
      <c r="A5176" s="1" t="s">
        <v>10336</v>
      </c>
      <c r="B5176" s="1">
        <v>1</v>
      </c>
      <c r="C5176" s="3">
        <v>44541.848506944443</v>
      </c>
      <c r="D5176" s="1" t="s">
        <v>10337</v>
      </c>
      <c r="E5176" s="1" t="str">
        <f ca="1">IFERROR(__xludf.DUMMYFUNCTION("GOOGLETRANSLATE(A1975 , ""tr"" , ""en"")"),"@drfahrettinkoca Mr. Minister if you are thinking of health personnel first saying the gospel in January 2020 ... HTTPS://T.CO/T3UGQIUGTM")</f>
        <v>@drfahrettinkoca Mr. Minister if you are thinking of health personnel first saying the gospel in January 2020 ... HTTPS://T.CO/T3UGQIUGTM</v>
      </c>
    </row>
    <row r="5177" spans="1:5" ht="15" customHeight="1" x14ac:dyDescent="0.2">
      <c r="A5177" s="1" t="s">
        <v>10338</v>
      </c>
      <c r="B5177" s="1">
        <v>0</v>
      </c>
      <c r="C5177" s="3">
        <v>44541.84814814815</v>
      </c>
      <c r="D5177" s="1" t="s">
        <v>10339</v>
      </c>
      <c r="E5177" s="1" t="str">
        <f ca="1">IFERROR(__xludf.DUMMYFUNCTION("GOOGLETRANSLATE(A1976 , ""tr"" , ""en"")"),"@drfahrettinkoca is not valid for each physician this situation especially the physicians in public hospitals unfortunately butcher Gi ... https://t.co/3kn6yv3wgr")</f>
        <v>@drfahrettinkoca is not valid for each physician this situation especially the physicians in public hospitals unfortunately butcher Gi ... https://t.co/3kn6yv3wgr</v>
      </c>
    </row>
    <row r="5178" spans="1:5" ht="15" customHeight="1" x14ac:dyDescent="0.2">
      <c r="A5178" s="1" t="s">
        <v>10340</v>
      </c>
      <c r="B5178" s="1">
        <v>1</v>
      </c>
      <c r="C5178" s="3">
        <v>44541.847245370373</v>
      </c>
      <c r="D5178" s="1" t="s">
        <v>10341</v>
      </c>
      <c r="E5178" s="1" t="str">
        <f ca="1">IFERROR(__xludf.DUMMYFUNCTION("GOOGLETRANSLATE(A1977 , ""tr"" , ""en"")"),"@drfahrettinkoca yahu what is an incapable of an individual, you will miss the bottom of Tayyip, you'll be looking up to your guy. MOLE everyday ... https://t.co/axqpfkddid")</f>
        <v>@drfahrettinkoca yahu what is an incapable of an individual, you will miss the bottom of Tayyip, you'll be looking up to your guy. MOLE everyday ... https://t.co/axqpfkddid</v>
      </c>
    </row>
    <row r="5179" spans="1:5" ht="15" customHeight="1" x14ac:dyDescent="0.2">
      <c r="A5179" s="1" t="s">
        <v>10342</v>
      </c>
      <c r="B5179" s="1">
        <v>42</v>
      </c>
      <c r="C5179" s="3">
        <v>44541.846886574072</v>
      </c>
      <c r="D5179" s="1" t="s">
        <v>10343</v>
      </c>
      <c r="E5179" s="1" t="str">
        <f ca="1">IFERROR(__xludf.DUMMYFUNCTION("GOOGLETRANSLATE(A1978 , ""tr"" , ""en"")"),"@drfahrettinka Mr. Minister If this is not prevented, we will not be able to find a surgeon in our years")</f>
        <v>@drfahrettinka Mr. Minister If this is not prevented, we will not be able to find a surgeon in our years</v>
      </c>
    </row>
    <row r="5180" spans="1:5" ht="15" customHeight="1" x14ac:dyDescent="0.2">
      <c r="A5180" s="1" t="s">
        <v>10344</v>
      </c>
      <c r="B5180" s="1">
        <v>2</v>
      </c>
      <c r="C5180" s="3">
        <v>44541.846701388888</v>
      </c>
      <c r="D5180" s="1" t="s">
        <v>10345</v>
      </c>
      <c r="E5180" s="1" t="str">
        <f ca="1">IFERROR(__xludf.DUMMYFUNCTION("GOOGLETRANSLATE(A1979 , ""tr"" , ""en"")"),"@drfahrettinkoca What relevance are either? The yanlay teshise honey case is urgent !! Want to Want Astronomical Coins B ... https://t.co/pouo69m305")</f>
        <v>@drfahrettinkoca What relevance are either? The yanlay teshise honey case is urgent !! Want to Want Astronomical Coins B ... https://t.co/pouo69m305</v>
      </c>
    </row>
    <row r="5181" spans="1:5" ht="15" customHeight="1" x14ac:dyDescent="0.2">
      <c r="A5181" s="1" t="s">
        <v>10346</v>
      </c>
      <c r="B5181" s="1">
        <v>4</v>
      </c>
      <c r="C5181" s="3">
        <v>44541.844166666669</v>
      </c>
      <c r="D5181" s="1" t="s">
        <v>10347</v>
      </c>
      <c r="E5181" s="1" t="str">
        <f ca="1">IFERROR(__xludf.DUMMYFUNCTION("GOOGLETRANSLATE(A1980 , ""tr"" , ""en"")"),"@drfahrettinka omicron variant in the country. To do not pass through the cylinder, the people's health and CAN Health i ... https://t.co/fhqmucv9n5")</f>
        <v>@drfahrettinka omicron variant in the country. To do not pass through the cylinder, the people's health and CAN Health i ... https://t.co/fhqmucv9n5</v>
      </c>
    </row>
    <row r="5182" spans="1:5" ht="15" customHeight="1" x14ac:dyDescent="0.2">
      <c r="A5182" s="1" t="s">
        <v>10348</v>
      </c>
      <c r="B5182" s="1">
        <v>0</v>
      </c>
      <c r="C5182" s="3">
        <v>44541.843043981484</v>
      </c>
      <c r="D5182" s="1" t="s">
        <v>10349</v>
      </c>
      <c r="E5182" s="1" t="str">
        <f ca="1">IFERROR(__xludf.DUMMYFUNCTION("GOOGLETRANSLATE(A1981 , ""tr"" , ""en"")"),"@drfahrettinka again bi surpriiiizzzzzz you divided the reception again be Halal 👏")</f>
        <v>@drfahrettinka again bi surpriiiizzzzzz you divided the reception again be Halal 👏</v>
      </c>
    </row>
    <row r="5183" spans="1:5" ht="15" customHeight="1" x14ac:dyDescent="0.2">
      <c r="A5183" s="1" t="s">
        <v>10350</v>
      </c>
      <c r="B5183" s="1">
        <v>1</v>
      </c>
      <c r="C5183" s="3">
        <v>44541.841932870368</v>
      </c>
      <c r="D5183" s="1" t="s">
        <v>10351</v>
      </c>
      <c r="E5183" s="1" t="str">
        <f ca="1">IFERROR(__xludf.DUMMYFUNCTION("GOOGLETRANSLATE(A1982 , ""tr"" , ""en"")"),"@drfahrettinkoca Do not try to protect the Minister. Be physicians that do not fulfill your task and practice orders.? Template App ... https://t.co/jdwbab9tzy")</f>
        <v>@drfahrettinkoca Do not try to protect the Minister. Be physicians that do not fulfill your task and practice orders.? Template App ... https://t.co/jdwbab9tzy</v>
      </c>
    </row>
    <row r="5184" spans="1:5" ht="15" customHeight="1" x14ac:dyDescent="0.2">
      <c r="A5184" s="1" t="s">
        <v>10352</v>
      </c>
      <c r="B5184" s="1">
        <v>0</v>
      </c>
      <c r="C5184" s="3">
        <v>44541.841099537036</v>
      </c>
      <c r="D5184" s="1" t="s">
        <v>10353</v>
      </c>
      <c r="E5184" s="1" t="str">
        <f ca="1">IFERROR(__xludf.DUMMYFUNCTION("GOOGLETRANSLATE(A1983 , ""tr"" , ""en"")"),"@drfahrettinkoca is also looking forward to the solution from you on this topic sec. Minister...")</f>
        <v>@drfahrettinkoca is also looking forward to the solution from you on this topic sec. Minister...</v>
      </c>
    </row>
    <row r="5185" spans="1:5" ht="15" customHeight="1" x14ac:dyDescent="0.2">
      <c r="A5185" s="1" t="s">
        <v>10354</v>
      </c>
      <c r="B5185" s="1">
        <v>7</v>
      </c>
      <c r="C5185" s="3">
        <v>44541.839143518519</v>
      </c>
      <c r="D5185" s="1" t="s">
        <v>10355</v>
      </c>
      <c r="E5185" s="1" t="str">
        <f ca="1">IFERROR(__xludf.DUMMYFUNCTION("GOOGLETRANSLATE(A1984 , ""tr"" , ""en"")"),"@drfahrettinka Well the vaccine persecution of the vaccine in the nation using the Health System in the vaccine in love with the fear of business ... https://t.co/g2b82cresj")</f>
        <v>@drfahrettinka Well the vaccine persecution of the vaccine in the nation using the Health System in the vaccine in love with the fear of business ... https://t.co/g2b82cresj</v>
      </c>
    </row>
    <row r="5186" spans="1:5" ht="15" customHeight="1" x14ac:dyDescent="0.2">
      <c r="A5186" s="1" t="s">
        <v>10356</v>
      </c>
      <c r="B5186" s="1">
        <v>0</v>
      </c>
      <c r="C5186" s="3">
        <v>44541.838564814818</v>
      </c>
      <c r="D5186" s="1" t="s">
        <v>10357</v>
      </c>
      <c r="E5186" s="1" t="str">
        <f ca="1">IFERROR(__xludf.DUMMYFUNCTION("GOOGLETRANSLATE(A1985 , ""tr"" , ""en"")"),"@drfahrettinkoca everyday deposits pain and hungry mom please help me please help me https://t.co/jzzvxx29hg https://t.co/ojzpd9ex6x")</f>
        <v>@drfahrettinkoca everyday deposits pain and hungry mom please help me please help me https://t.co/jzzvxx29hg https://t.co/ojzpd9ex6x</v>
      </c>
    </row>
    <row r="5187" spans="1:5" ht="15" customHeight="1" x14ac:dyDescent="0.2">
      <c r="A5187" s="1" t="s">
        <v>10358</v>
      </c>
      <c r="B5187" s="1">
        <v>0</v>
      </c>
      <c r="C5187" s="3">
        <v>44541.835590277777</v>
      </c>
      <c r="D5187" s="1" t="s">
        <v>10359</v>
      </c>
      <c r="E5187" s="1" t="str">
        <f ca="1">IFERROR(__xludf.DUMMYFUNCTION("GOOGLETRANSLATE(A1986 , ""tr"" , ""en"")"),"@drfahrettinkoca Sapkan Housing Houses 495.000 I paid on how we did not want to mandate gust @ rterdogan ... https://t.co/hsxuphbusf")</f>
        <v>@drfahrettinkoca Sapkan Housing Houses 495.000 I paid on how we did not want to mandate gust @ rterdogan ... https://t.co/hsxuphbusf</v>
      </c>
    </row>
    <row r="5188" spans="1:5" ht="15" customHeight="1" x14ac:dyDescent="0.2">
      <c r="A5188" s="1" t="s">
        <v>10360</v>
      </c>
      <c r="B5188" s="1">
        <v>10</v>
      </c>
      <c r="C5188" s="3">
        <v>44541.833564814813</v>
      </c>
      <c r="D5188" s="1" t="s">
        <v>10361</v>
      </c>
      <c r="E5188" s="1" t="str">
        <f ca="1">IFERROR(__xludf.DUMMYFUNCTION("GOOGLETRANSLATE(A1987 , ""tr"" , ""en"")"),"@drfahrettinkoca sec. The Minister; Malpractice law, improvement in the rights of interest, effective solutions to violence, chain ... https://t.co/cgatnpwfx5")</f>
        <v>@drfahrettinkoca sec. The Minister; Malpractice law, improvement in the rights of interest, effective solutions to violence, chain ... https://t.co/cgatnpwfx5</v>
      </c>
    </row>
    <row r="5189" spans="1:5" ht="15" customHeight="1" x14ac:dyDescent="0.2">
      <c r="A5189" s="1" t="s">
        <v>10362</v>
      </c>
      <c r="B5189" s="1">
        <v>2</v>
      </c>
      <c r="C5189" s="3">
        <v>44541.833425925928</v>
      </c>
      <c r="D5189" s="1" t="s">
        <v>10363</v>
      </c>
      <c r="E5189" s="1" t="str">
        <f ca="1">IFERROR(__xludf.DUMMYFUNCTION("GOOGLETRANSLATE(A1988 , ""tr"" , ""en"")"),"@drfahrettinkoca is the same fear to sign the consent form to not take responsibility of the results of experiment fluids ... https://t.co/fkduczybws")</f>
        <v>@drfahrettinkoca is the same fear to sign the consent form to not take responsibility of the results of experiment fluids ... https://t.co/fkduczybws</v>
      </c>
    </row>
    <row r="5190" spans="1:5" ht="15" customHeight="1" x14ac:dyDescent="0.2">
      <c r="A5190" s="1" t="s">
        <v>10364</v>
      </c>
      <c r="B5190" s="1">
        <v>5</v>
      </c>
      <c r="C5190" s="3">
        <v>44541.833043981482</v>
      </c>
      <c r="D5190" s="1" t="s">
        <v>10365</v>
      </c>
      <c r="E5190" s="1" t="str">
        <f ca="1">IFERROR(__xludf.DUMMYFUNCTION("GOOGLETRANSLATE(A1989 , ""tr"" , ""en"")"),"@drfahrettinka This is the most important health problem in the Minister of Minister. Necessarily a reasonable upper limit. AYL ... https://t.co/hyaidat9zg")</f>
        <v>@drfahrettinka This is the most important health problem in the Minister of Minister. Necessarily a reasonable upper limit. AYL ... https://t.co/hyaidat9zg</v>
      </c>
    </row>
    <row r="5191" spans="1:5" ht="15" customHeight="1" x14ac:dyDescent="0.2">
      <c r="A5191" s="1" t="s">
        <v>10366</v>
      </c>
      <c r="B5191" s="1">
        <v>2</v>
      </c>
      <c r="C5191" s="3">
        <v>44541.829409722224</v>
      </c>
      <c r="D5191" s="1" t="s">
        <v>10367</v>
      </c>
      <c r="E5191" s="1" t="str">
        <f ca="1">IFERROR(__xludf.DUMMYFUNCTION("GOOGLETRANSLATE(A1990 , ""tr"" , ""en"")"),"@drfahrettinkoca Leave as we don't think of us")</f>
        <v>@drfahrettinkoca Leave as we don't think of us</v>
      </c>
    </row>
    <row r="5192" spans="1:5" ht="15" customHeight="1" x14ac:dyDescent="0.2">
      <c r="A5192" s="1" t="s">
        <v>10368</v>
      </c>
      <c r="B5192" s="1">
        <v>0</v>
      </c>
      <c r="C5192" s="3">
        <v>44541.829155092593</v>
      </c>
      <c r="D5192" s="1" t="s">
        <v>10369</v>
      </c>
      <c r="E5192" s="1" t="str">
        <f ca="1">IFERROR(__xludf.DUMMYFUNCTION("GOOGLETRANSLATE(A1991 , ""tr"" , ""en"")"),"@drfahrettinkoca officers tear until they are tear after no one else will have crossed the bridge to the state.")</f>
        <v>@drfahrettinkoca officers tear until they are tear after no one else will have crossed the bridge to the state.</v>
      </c>
    </row>
    <row r="5193" spans="1:5" ht="15" customHeight="1" x14ac:dyDescent="0.2">
      <c r="A5193" s="1" t="s">
        <v>10370</v>
      </c>
      <c r="B5193" s="1">
        <v>4</v>
      </c>
      <c r="C5193" s="3">
        <v>44541.828761574077</v>
      </c>
      <c r="D5193" s="1" t="s">
        <v>10371</v>
      </c>
      <c r="E5193" s="1" t="str">
        <f ca="1">IFERROR(__xludf.DUMMYFUNCTION("GOOGLETRANSLATE(A1992 , ""tr"" , ""en"")"),"@drfahrettinkoca If we want merit in the country, we cannot pass the responsibility of the authority to the authority. With populist union discourses ... https://t.co/r0q9wlbxgx")</f>
        <v>@drfahrettinkoca If we want merit in the country, we cannot pass the responsibility of the authority to the authority. With populist union discourses ... https://t.co/r0q9wlbxgx</v>
      </c>
    </row>
    <row r="5194" spans="1:5" ht="15" customHeight="1" x14ac:dyDescent="0.2">
      <c r="A5194" s="1" t="s">
        <v>10372</v>
      </c>
      <c r="B5194" s="1">
        <v>0</v>
      </c>
      <c r="C5194" s="3">
        <v>44541.828680555554</v>
      </c>
      <c r="D5194" s="1" t="s">
        <v>10373</v>
      </c>
      <c r="E5194" s="1" t="str">
        <f ca="1">IFERROR(__xludf.DUMMYFUNCTION("GOOGLETRANSLATE(A1993 , ""tr"" , ""en"")"),"@drfahrettinkoca October, November. He was in December. He was January. You have consumed us, be happy with that.")</f>
        <v>@drfahrettinkoca October, November. He was in December. He was January. You have consumed us, be happy with that.</v>
      </c>
    </row>
    <row r="5195" spans="1:5" ht="15" customHeight="1" x14ac:dyDescent="0.2">
      <c r="A5195" s="1" t="s">
        <v>10374</v>
      </c>
      <c r="B5195" s="1">
        <v>0</v>
      </c>
      <c r="C5195" s="3">
        <v>44541.828587962962</v>
      </c>
      <c r="D5195" s="1" t="s">
        <v>10375</v>
      </c>
      <c r="E5195" s="1" t="str">
        <f ca="1">IFERROR(__xludf.DUMMYFUNCTION("GOOGLETRANSLATE(A1994 , ""tr"" , ""en"")"),"@drfahrettinkoca Check private hospitals as the Ministry of Health. For example, let me give an example of myself 2020 ... https://t.co/moas8lqv9w")</f>
        <v>@drfahrettinkoca Check private hospitals as the Ministry of Health. For example, let me give an example of myself 2020 ... https://t.co/moas8lqv9w</v>
      </c>
    </row>
    <row r="5196" spans="1:5" ht="15" customHeight="1" x14ac:dyDescent="0.2">
      <c r="A5196" s="1" t="s">
        <v>10376</v>
      </c>
      <c r="B5196" s="1">
        <v>3</v>
      </c>
      <c r="C5196" s="3">
        <v>44541.8284375</v>
      </c>
      <c r="D5196" s="1" t="s">
        <v>10377</v>
      </c>
      <c r="E5196" s="1" t="str">
        <f ca="1">IFERROR(__xludf.DUMMYFUNCTION("GOOGLETRANSLATE(A1995 , ""tr"" , ""en"")"),"@drfahrettinkoca Mr. Ministry As before years ago, our physician's physicians and us are economic v ... https://t.co/cfdak09fx5")</f>
        <v>@drfahrettinkoca Mr. Ministry As before years ago, our physician's physicians and us are economic v ... https://t.co/cfdak09fx5</v>
      </c>
    </row>
    <row r="5197" spans="1:5" ht="15" customHeight="1" x14ac:dyDescent="0.2">
      <c r="A5197" s="1" t="s">
        <v>10378</v>
      </c>
      <c r="B5197" s="1">
        <v>0</v>
      </c>
      <c r="C5197" s="3">
        <v>44541.827974537038</v>
      </c>
      <c r="D5197" s="1" t="s">
        <v>10379</v>
      </c>
      <c r="E5197" s="1" t="str">
        <f ca="1">IFERROR(__xludf.DUMMYFUNCTION("GOOGLETRANSLATE(A1996 , ""tr"" , ""en"")"),"@drfahrettinkoca Latest Model Automobile Buying Money While Luxury Villas There is Money While Sitting Also Cut Current Due to the Bug ... https://t.co/xhu3ywczg4")</f>
        <v>@drfahrettinkoca Latest Model Automobile Buying Money While Luxury Villas There is Money While Sitting Also Cut Current Due to the Bug ... https://t.co/xhu3ywczg4</v>
      </c>
    </row>
    <row r="5198" spans="1:5" ht="15" customHeight="1" x14ac:dyDescent="0.2">
      <c r="A5198" s="1" t="s">
        <v>10380</v>
      </c>
      <c r="B5198" s="1">
        <v>0</v>
      </c>
      <c r="C5198" s="3">
        <v>44541.82775462963</v>
      </c>
      <c r="D5198" s="1" t="s">
        <v>10381</v>
      </c>
      <c r="E5198" s="1" t="str">
        <f ca="1">IFERROR(__xludf.DUMMYFUNCTION("GOOGLETRANSLATE(A1997 , ""tr"" , ""en"")"),"@drfahrettinkoca @saglikbakanligi #doktor")</f>
        <v>@drfahrettinkoca @saglikbakanligi #doktor</v>
      </c>
    </row>
    <row r="5199" spans="1:5" ht="15" customHeight="1" x14ac:dyDescent="0.2">
      <c r="A5199" s="1" t="s">
        <v>10382</v>
      </c>
      <c r="B5199" s="1">
        <v>0</v>
      </c>
      <c r="C5199" s="3">
        <v>44541.826898148145</v>
      </c>
      <c r="D5199" s="1" t="s">
        <v>10383</v>
      </c>
      <c r="E5199" s="1" t="str">
        <f ca="1">IFERROR(__xludf.DUMMYFUNCTION("GOOGLETRANSLATE(A1998 , ""tr"" , ""en"")"),"@drfahrettinkoca valla I'm the pre-intervention costs to not accept baby from emergency from the head bloods ... https:///.co/rnbkpbqwx4")</f>
        <v>@drfahrettinkoca valla I'm the pre-intervention costs to not accept baby from emergency from the head bloods ... https:///.co/rnbkpbqwx4</v>
      </c>
    </row>
    <row r="5200" spans="1:5" ht="15" customHeight="1" x14ac:dyDescent="0.2">
      <c r="A5200" s="1" t="s">
        <v>10384</v>
      </c>
      <c r="B5200" s="1">
        <v>34</v>
      </c>
      <c r="C5200" s="3">
        <v>44541.826689814814</v>
      </c>
      <c r="D5200" s="1" t="s">
        <v>10385</v>
      </c>
      <c r="E5200" s="1" t="str">
        <f ca="1">IFERROR(__xludf.DUMMYFUNCTION("GOOGLETRANSLATE(A1999 , ""tr"" , ""en"")"),"@drfahrettinkoca Mr. Minister Physician Physician Health Staff Come and Tweet Six ... https://t.co/3w4aokqtvq")</f>
        <v>@drfahrettinkoca Mr. Minister Physician Physician Health Staff Come and Tweet Six ... https://t.co/3w4aokqtvq</v>
      </c>
    </row>
    <row r="5201" spans="1:5" ht="15" customHeight="1" x14ac:dyDescent="0.2">
      <c r="A5201" s="1" t="s">
        <v>10386</v>
      </c>
      <c r="B5201" s="1">
        <v>0</v>
      </c>
      <c r="C5201" s="3">
        <v>44541.826574074075</v>
      </c>
      <c r="D5201" s="1" t="s">
        <v>10387</v>
      </c>
      <c r="E5201" s="1" t="str">
        <f ca="1">IFERROR(__xludf.DUMMYFUNCTION("GOOGLETRANSLATE(A2000 , ""tr"" , ""en"")"),"@drfahrettinkoca dr good do your job don't understand work no place in the health industry has no place in health industry")</f>
        <v>@drfahrettinkoca dr good do your job don't understand work no place in the health industry has no place in health industry</v>
      </c>
    </row>
    <row r="5202" spans="1:5" ht="15" customHeight="1" x14ac:dyDescent="0.2">
      <c r="A5202" s="1" t="s">
        <v>10388</v>
      </c>
      <c r="B5202" s="1">
        <v>59</v>
      </c>
      <c r="C5202" s="3">
        <v>44541.826412037037</v>
      </c>
      <c r="D5202" s="1" t="s">
        <v>10389</v>
      </c>
      <c r="E5202" s="1" t="str">
        <f ca="1">IFERROR(__xludf.DUMMYFUNCTION("GOOGLETRANSLATE(A2001 , ""tr"" , ""en"")"),"@drfahrettinka is the most important reason why new graduating physicians prefer surgical branches, thanks for your interest.")</f>
        <v>@drfahrettinka is the most important reason why new graduating physicians prefer surgical branches, thanks for your interest.</v>
      </c>
    </row>
    <row r="5203" spans="1:5" ht="15" customHeight="1" x14ac:dyDescent="0.2">
      <c r="A5203" s="1" t="s">
        <v>10390</v>
      </c>
      <c r="B5203" s="1">
        <v>7</v>
      </c>
      <c r="C5203" s="3">
        <v>44541.825833333336</v>
      </c>
      <c r="D5203" s="1" t="s">
        <v>10391</v>
      </c>
      <c r="E5203" s="1" t="str">
        <f ca="1">IFERROR(__xludf.DUMMYFUNCTION("GOOGLETRANSLATE(A2002 , ""tr"" , ""en"")"),"@drfahrettinkoca @saglikbakanligi Hospitals All Special Practice with Doctors in Trading Trade ... Https://t.co/orpr5rof2l")</f>
        <v>@drfahrettinkoca @saglikbakanligi Hospitals All Special Practice with Doctors in Trading Trade ... Https://t.co/orpr5rof2l</v>
      </c>
    </row>
    <row r="5204" spans="1:5" ht="15" customHeight="1" x14ac:dyDescent="0.2">
      <c r="A5204" s="1" t="s">
        <v>10392</v>
      </c>
      <c r="B5204" s="1">
        <v>7</v>
      </c>
      <c r="C5204" s="3">
        <v>44541.824513888889</v>
      </c>
      <c r="D5204" s="1" t="s">
        <v>10393</v>
      </c>
      <c r="E5204" s="1" t="str">
        <f ca="1">IFERROR(__xludf.DUMMYFUNCTION("GOOGLETRANSLATE(A2003 , ""tr"" , ""en"")"),"@drfahrettinka I have examined my daughter in Konya Beyhekim Hospital. A hospital remote 20 km to the city. ""Doctor Bey ta ... https://t.co/lvepco9wfr")</f>
        <v>@drfahrettinka I have examined my daughter in Konya Beyhekim Hospital. A hospital remote 20 km to the city. "Doctor Bey ta ... https://t.co/lvepco9wfr</v>
      </c>
    </row>
    <row r="5205" spans="1:5" ht="15" customHeight="1" x14ac:dyDescent="0.2">
      <c r="A5205" s="1" t="s">
        <v>10394</v>
      </c>
      <c r="B5205" s="1">
        <v>0</v>
      </c>
      <c r="C5205" s="3">
        <v>44541.823773148149</v>
      </c>
      <c r="D5205" s="1" t="s">
        <v>10395</v>
      </c>
      <c r="E5205" s="1" t="str">
        <f ca="1">IFERROR(__xludf.DUMMYFUNCTION("GOOGLETRANSLATE(A2004 , ""tr"" , ""en"")"),"@drfahrettinka physicians are really unnecessary compensation, but you are not protected by the verbs that should not be protected, please.")</f>
        <v>@drfahrettinka physicians are really unnecessary compensation, but you are not protected by the verbs that should not be protected, please.</v>
      </c>
    </row>
    <row r="5206" spans="1:5" ht="15" customHeight="1" x14ac:dyDescent="0.2">
      <c r="A5206" s="1" t="s">
        <v>10396</v>
      </c>
      <c r="B5206" s="1">
        <v>0</v>
      </c>
      <c r="C5206" s="3">
        <v>44541.823344907411</v>
      </c>
      <c r="D5206" s="1" t="s">
        <v>10397</v>
      </c>
      <c r="E5206" s="1" t="str">
        <f ca="1">IFERROR(__xludf.DUMMYFUNCTION("GOOGLETRANSLATE(A2005 , ""tr"" , ""en"")"),"@drfahrettinkoca # Çukurovabayturinş Mr.ukurova Holding Chairman Mehmet Emin Karamehmet Managers ... https://t.co/djobjjwla9")</f>
        <v>@drfahrettinkoca # Çukurovabayturinş Mr.ukurova Holding Chairman Mehmet Emin Karamehmet Managers ... https://t.co/djobjjwla9</v>
      </c>
    </row>
    <row r="5207" spans="1:5" ht="15" customHeight="1" x14ac:dyDescent="0.2">
      <c r="A5207" s="1" t="s">
        <v>10398</v>
      </c>
      <c r="B5207" s="1">
        <v>1</v>
      </c>
      <c r="C5207" s="3">
        <v>44541.823194444441</v>
      </c>
      <c r="D5207" s="1" t="s">
        <v>10399</v>
      </c>
      <c r="E5207" s="1" t="str">
        <f ca="1">IFERROR(__xludf.DUMMYFUNCTION("GOOGLETRANSLATE(A2006 , ""tr"" , ""en"")"),"@drfahrettinkoca ""Let your leave, kill, let go!"" different version of your word.")</f>
        <v>@drfahrettinkoca "Let your leave, kill, let go!" different version of your word.</v>
      </c>
    </row>
    <row r="5208" spans="1:5" ht="15" customHeight="1" x14ac:dyDescent="0.2">
      <c r="A5208" s="1" t="s">
        <v>10400</v>
      </c>
      <c r="B5208" s="1">
        <v>0</v>
      </c>
      <c r="C5208" s="3">
        <v>44541.823101851849</v>
      </c>
      <c r="D5208" s="1" t="s">
        <v>10401</v>
      </c>
      <c r="E5208" s="1" t="str">
        <f ca="1">IFERROR(__xludf.DUMMYFUNCTION("GOOGLETRANSLATE(A2007 , ""tr"" , ""en"")"),"@drfahrettinkoca Physicians Get Your Mind Based No One Stands At The Back of Any Short")</f>
        <v>@drfahrettinkoca Physicians Get Your Mind Based No One Stands At The Back of Any Short</v>
      </c>
    </row>
    <row r="5209" spans="1:5" ht="15" customHeight="1" x14ac:dyDescent="0.2">
      <c r="A5209" s="1" t="s">
        <v>10402</v>
      </c>
      <c r="B5209" s="1">
        <v>0</v>
      </c>
      <c r="C5209" s="3">
        <v>44541.822858796295</v>
      </c>
      <c r="D5209" s="1" t="s">
        <v>10403</v>
      </c>
      <c r="E5209" s="1" t="str">
        <f ca="1">IFERROR(__xludf.DUMMYFUNCTION("GOOGLETRANSLATE(A2008 , ""tr"" , ""en"")"),"@drfahrettinka is focused on our assignments and focused on the cases where doctors eat. Hocam yaa 😂😂")</f>
        <v>@drfahrettinka is focused on our assignments and focused on the cases where doctors eat. Hocam yaa 😂😂</v>
      </c>
    </row>
    <row r="5210" spans="1:5" ht="15" customHeight="1" x14ac:dyDescent="0.2">
      <c r="A5210" s="1" t="s">
        <v>10404</v>
      </c>
      <c r="B5210" s="1">
        <v>3</v>
      </c>
      <c r="C5210" s="3">
        <v>44541.822835648149</v>
      </c>
      <c r="D5210" s="1" t="s">
        <v>10405</v>
      </c>
      <c r="E5210" s="1" t="str">
        <f ca="1">IFERROR(__xludf.DUMMYFUNCTION("GOOGLETRANSLATE(A2009 , ""tr"" , ""en"")"),"@drfahrettinkoca @saglikbakanligi Hospital Employee Hbys So Information Processing Personnel Subcontracting Law Victimist ... https://t.co/mhxfxdepdv")</f>
        <v>@drfahrettinkoca @saglikbakanligi Hospital Employee Hbys So Information Processing Personnel Subcontracting Law Victimist ... https://t.co/mhxfxdepdv</v>
      </c>
    </row>
    <row r="5211" spans="1:5" ht="15" customHeight="1" x14ac:dyDescent="0.2">
      <c r="A5211" s="1" t="s">
        <v>10406</v>
      </c>
      <c r="B5211" s="1">
        <v>2</v>
      </c>
      <c r="C5211" s="3">
        <v>44541.822743055556</v>
      </c>
      <c r="D5211" s="1" t="s">
        <v>10407</v>
      </c>
      <c r="E5211" s="1" t="str">
        <f ca="1">IFERROR(__xludf.DUMMYFUNCTION("GOOGLETRANSLATE(A2010 , ""tr"" , ""en"")"),"@drfahrettinkoca Someone is establishing new stalls to be exempted from responsibility he also know the specialist courts ... https://t.co/mpx3bkwvup")</f>
        <v>@drfahrettinkoca Someone is establishing new stalls to be exempted from responsibility he also know the specialist courts ... https://t.co/mpx3bkwvup</v>
      </c>
    </row>
    <row r="5212" spans="1:5" ht="15" customHeight="1" x14ac:dyDescent="0.2">
      <c r="A5212" s="1" t="s">
        <v>10408</v>
      </c>
      <c r="B5212" s="1">
        <v>32</v>
      </c>
      <c r="C5212" s="3">
        <v>44541.822592592594</v>
      </c>
      <c r="D5212" s="1" t="s">
        <v>10409</v>
      </c>
      <c r="E5212" s="1" t="str">
        <f ca="1">IFERROR(__xludf.DUMMYFUNCTION("GOOGLETRANSLATE(A2011 , ""tr"" , ""en"")"),"@drfahrettinkoca Mr. Minister, compensation cases will not open to the health worker who performs the law due to the law, angle to the Ministry ... https://t.co/buz7v22phw")</f>
        <v>@drfahrettinkoca Mr. Minister, compensation cases will not open to the health worker who performs the law due to the law, angle to the Ministry ... https://t.co/buz7v22phw</v>
      </c>
    </row>
    <row r="5213" spans="1:5" ht="15" customHeight="1" x14ac:dyDescent="0.2">
      <c r="A5213" s="1" t="s">
        <v>10410</v>
      </c>
      <c r="B5213" s="1">
        <v>1</v>
      </c>
      <c r="C5213" s="3">
        <v>44541.822488425925</v>
      </c>
      <c r="D5213" s="1" t="s">
        <v>10411</v>
      </c>
      <c r="E5213" s="1" t="str">
        <f ca="1">IFERROR(__xludf.DUMMYFUNCTION("GOOGLETRANSLATE(A2012 , ""tr"" , ""en"")"),"@drfahrettinkoca you do as you are thinking of health workers .. Anygo Yaaa")</f>
        <v>@drfahrettinkoca you do as you are thinking of health workers .. Anygo Yaaa</v>
      </c>
    </row>
    <row r="5214" spans="1:5" ht="15" customHeight="1" x14ac:dyDescent="0.2">
      <c r="A5214" s="1" t="s">
        <v>10412</v>
      </c>
      <c r="B5214" s="1">
        <v>4</v>
      </c>
      <c r="C5214" s="3">
        <v>44541.822118055556</v>
      </c>
      <c r="D5214" s="1" t="s">
        <v>10413</v>
      </c>
      <c r="E5214" s="1" t="str">
        <f ca="1">IFERROR(__xludf.DUMMYFUNCTION("GOOGLETRANSLATE(A2013 , ""tr"" , ""en"")"),"@drfahrettinkoca physicians with vaccines, caused the death of how many people with treatment protocols ..? These incentives are for your partnership ..")</f>
        <v>@drfahrettinkoca physicians with vaccines, caused the death of how many people with treatment protocols ..? These incentives are for your partnership ..</v>
      </c>
    </row>
    <row r="5215" spans="1:5" ht="15" customHeight="1" x14ac:dyDescent="0.2">
      <c r="A5215" s="1" t="s">
        <v>10414</v>
      </c>
      <c r="B5215" s="1">
        <v>0</v>
      </c>
      <c r="C5215" s="3">
        <v>44541.821979166663</v>
      </c>
      <c r="D5215" s="1" t="s">
        <v>10415</v>
      </c>
      <c r="E5215" s="1" t="str">
        <f ca="1">IFERROR(__xludf.DUMMYFUNCTION("GOOGLETRANSLATE(A2014 , ""tr"" , ""en"")"),"@drfahrettinka you are what you speak. So if he pays heavy compensation. Look at what it tells instead of correcting their imperfections.")</f>
        <v>@drfahrettinka you are what you speak. So if he pays heavy compensation. Look at what it tells instead of correcting their imperfections.</v>
      </c>
    </row>
    <row r="5216" spans="1:5" ht="15" customHeight="1" x14ac:dyDescent="0.2">
      <c r="A5216" s="1" t="s">
        <v>10416</v>
      </c>
      <c r="B5216" s="1">
        <v>0</v>
      </c>
      <c r="C5216" s="3">
        <v>44541.821875000001</v>
      </c>
      <c r="D5216" s="1" t="s">
        <v>10417</v>
      </c>
      <c r="E5216" s="1" t="str">
        <f ca="1">IFERROR(__xludf.DUMMYFUNCTION("GOOGLETRANSLATE(A2015 , ""tr"" , ""en"")"),"@drfahrettinkoca Guide where Dear @drfahrettinkoca")</f>
        <v>@drfahrettinkoca Guide where Dear @drfahrettinkoca</v>
      </c>
    </row>
    <row r="5217" spans="1:5" ht="15" customHeight="1" x14ac:dyDescent="0.2">
      <c r="A5217" s="1" t="s">
        <v>10418</v>
      </c>
      <c r="B5217" s="1">
        <v>8</v>
      </c>
      <c r="C5217" s="3">
        <v>44541.821458333332</v>
      </c>
      <c r="D5217" s="1" t="s">
        <v>10419</v>
      </c>
      <c r="E5217" s="1" t="str">
        <f ca="1">IFERROR(__xludf.DUMMYFUNCTION("GOOGLETRANSLATE(A2016 , ""tr"" , ""en"")"),"@drfahrettinka if you are preparing against the side effects and mortal results of the vaccine, avail.")</f>
        <v>@drfahrettinka if you are preparing against the side effects and mortal results of the vaccine, avail.</v>
      </c>
    </row>
    <row r="5218" spans="1:5" ht="15" customHeight="1" x14ac:dyDescent="0.2">
      <c r="A5218" s="1" t="s">
        <v>10420</v>
      </c>
      <c r="B5218" s="1">
        <v>0</v>
      </c>
      <c r="C5218" s="3">
        <v>44541.820717592593</v>
      </c>
      <c r="D5218" s="1" t="s">
        <v>10421</v>
      </c>
      <c r="E5218" s="1" t="str">
        <f ca="1">IFERROR(__xludf.DUMMYFUNCTION("GOOGLETRANSLATE(A2017 , ""tr"" , ""en"")"),"@drfahrettinkoca Health System does not only comprise the physician Mr. Overlooking the career not counting # Budget")</f>
        <v>@drfahrettinkoca Health System does not only comprise the physician Mr. Overlooking the career not counting # Budget</v>
      </c>
    </row>
    <row r="5219" spans="1:5" ht="15" customHeight="1" x14ac:dyDescent="0.2">
      <c r="A5219" s="1" t="s">
        <v>10422</v>
      </c>
      <c r="B5219" s="1">
        <v>0</v>
      </c>
      <c r="C5219" s="3">
        <v>44542.91814814815</v>
      </c>
      <c r="D5219" s="1" t="s">
        <v>10423</v>
      </c>
      <c r="E5219" s="1" t="str">
        <f ca="1">IFERROR(__xludf.DUMMYFUNCTION("GOOGLETRANSLATE(A2018 , ""tr"" , ""en"")"),"@drfahrettinka Stop combining us under the health worker's laffa now. We know health teamwork ZA ... https://t.co/dllx7vuh9n")</f>
        <v>@drfahrettinka Stop combining us under the health worker's laffa now. We know health teamwork ZA ... https://t.co/dllx7vuh9n</v>
      </c>
    </row>
    <row r="5220" spans="1:5" ht="15" customHeight="1" x14ac:dyDescent="0.2">
      <c r="A5220" s="1" t="s">
        <v>10424</v>
      </c>
      <c r="B5220" s="1">
        <v>0</v>
      </c>
      <c r="C5220" s="3">
        <v>44542.895879629628</v>
      </c>
      <c r="D5220" s="1" t="s">
        <v>10425</v>
      </c>
      <c r="E5220" s="1" t="str">
        <f ca="1">IFERROR(__xludf.DUMMYFUNCTION("GOOGLETRANSLATE(A2019 , ""tr"" , ""en"")"),"@drfahrettinkoca Health Workers are not exposed to heavy compensation, you would say physicians Surface of your language: Https://t.co/tscmgpcsq7")</f>
        <v>@drfahrettinkoca Health Workers are not exposed to heavy compensation, you would say physicians Surface of your language: Https://t.co/tscmgpcsq7</v>
      </c>
    </row>
    <row r="5221" spans="1:5" ht="15" customHeight="1" x14ac:dyDescent="0.2">
      <c r="A5221" s="1" t="s">
        <v>10426</v>
      </c>
      <c r="B5221" s="1">
        <v>0</v>
      </c>
      <c r="C5221" s="3">
        <v>44542.886099537034</v>
      </c>
      <c r="D5221" s="1" t="s">
        <v>10427</v>
      </c>
      <c r="E5221" s="1" t="str">
        <f ca="1">IFERROR(__xludf.DUMMYFUNCTION("GOOGLETRANSLATE(A2020 , ""tr"" , ""en"")"),"@drfahrettinkoca has not left my heart to read the comments, I didn't want to answer the answer one, but I don't want to be a muhattap, ... https://t.co/egqc9npff3")</f>
        <v>@drfahrettinkoca has not left my heart to read the comments, I didn't want to answer the answer one, but I don't want to be a muhattap, ... https://t.co/egqc9npff3</v>
      </c>
    </row>
    <row r="5222" spans="1:5" ht="15" customHeight="1" x14ac:dyDescent="0.2">
      <c r="A5222" s="1" t="s">
        <v>10428</v>
      </c>
      <c r="B5222" s="1">
        <v>6</v>
      </c>
      <c r="C5222" s="3">
        <v>44542.871319444443</v>
      </c>
      <c r="D5222" s="1" t="s">
        <v>10429</v>
      </c>
      <c r="E5222" s="1" t="str">
        <f ca="1">IFERROR(__xludf.DUMMYFUNCTION("GOOGLETRANSLATE(A2021 , ""tr"" , ""en"")"),"@drfahrettinkoca I put here on here he is one of your health workers.! https://t.co/nktyd6duf3")</f>
        <v>@drfahrettinkoca I put here on here he is one of your health workers.! https://t.co/nktyd6duf3</v>
      </c>
    </row>
    <row r="5223" spans="1:5" ht="15" customHeight="1" x14ac:dyDescent="0.2">
      <c r="A5223" s="1" t="s">
        <v>10430</v>
      </c>
      <c r="B5223" s="1">
        <v>0</v>
      </c>
      <c r="C5223" s="3">
        <v>44542.866319444445</v>
      </c>
      <c r="D5223" s="1" t="s">
        <v>10431</v>
      </c>
      <c r="E5223" s="1" t="str">
        <f ca="1">IFERROR(__xludf.DUMMYFUNCTION("GOOGLETRANSLATE(A2022 , ""tr"" , ""en"")"),"@drfahrettinkoca Haydi Genetim Greve👋👋")</f>
        <v>@drfahrettinkoca Haydi Genetim Greve👋👋</v>
      </c>
    </row>
    <row r="5224" spans="1:5" ht="15" customHeight="1" x14ac:dyDescent="0.2">
      <c r="A5224" s="1" t="s">
        <v>10432</v>
      </c>
      <c r="B5224" s="1">
        <v>0</v>
      </c>
      <c r="C5224" s="3">
        <v>44542.866122685184</v>
      </c>
      <c r="D5224" s="1" t="s">
        <v>10433</v>
      </c>
      <c r="E5224" s="1" t="str">
        <f ca="1">IFERROR(__xludf.DUMMYFUNCTION("GOOGLETRANSLATE(A2023 , ""tr"" , ""en"")"),"@drfahrettinkoca physicians are subject to heavy cases. Gyphysis Greve !!!")</f>
        <v>@drfahrettinkoca physicians are subject to heavy cases. Gyphysis Greve !!!</v>
      </c>
    </row>
    <row r="5225" spans="1:5" ht="15" customHeight="1" x14ac:dyDescent="0.2">
      <c r="A5225" s="1" t="s">
        <v>10434</v>
      </c>
      <c r="B5225" s="1">
        <v>0</v>
      </c>
      <c r="C5225" s="3">
        <v>44542.865694444445</v>
      </c>
      <c r="D5225" s="1" t="s">
        <v>10435</v>
      </c>
      <c r="E5225" s="1" t="str">
        <f ca="1">IFERROR(__xludf.DUMMYFUNCTION("GOOGLETRANSLATE(A2024 , ""tr"" , ""en"")"),"@drfahrettinkoca strike time")</f>
        <v>@drfahrettinkoca strike time</v>
      </c>
    </row>
    <row r="5226" spans="1:5" ht="15" customHeight="1" x14ac:dyDescent="0.2">
      <c r="A5226" s="1" t="s">
        <v>10436</v>
      </c>
      <c r="B5226" s="1">
        <v>7</v>
      </c>
      <c r="C5226" s="3">
        <v>44542.86482638889</v>
      </c>
      <c r="D5226" s="1" t="s">
        <v>10437</v>
      </c>
      <c r="E5226" s="1" t="str">
        <f ca="1">IFERROR(__xludf.DUMMYFUNCTION("GOOGLETRANSLATE(A2025 , ""tr"" , ""en"")"),"@drfahrettinkoca Health workers don't pay anything. Whenever they do a wrong, I called me this, I'm bilm ... https://t.co/od4tsvewmu")</f>
        <v>@drfahrettinkoca Health workers don't pay anything. Whenever they do a wrong, I called me this, I'm bilm ... https://t.co/od4tsvewmu</v>
      </c>
    </row>
    <row r="5227" spans="1:5" ht="15" customHeight="1" x14ac:dyDescent="0.2">
      <c r="A5227" s="1" t="s">
        <v>10438</v>
      </c>
      <c r="B5227" s="1">
        <v>1</v>
      </c>
      <c r="C5227" s="3">
        <v>44542.841574074075</v>
      </c>
      <c r="D5227" s="1" t="s">
        <v>10439</v>
      </c>
      <c r="E5227" s="1" t="str">
        <f ca="1">IFERROR(__xludf.DUMMYFUNCTION("GOOGLETRANSLATE(A2026 , ""tr"" , ""en"")"),"@drfahrettinka will not be worth the street animals in the new world layout. There will be morriis and slaves")</f>
        <v>@drfahrettinka will not be worth the street animals in the new world layout. There will be morriis and slaves</v>
      </c>
    </row>
    <row r="5228" spans="1:5" ht="15" customHeight="1" x14ac:dyDescent="0.2">
      <c r="A5228" s="1" t="s">
        <v>10440</v>
      </c>
      <c r="B5228" s="1">
        <v>0</v>
      </c>
      <c r="C5228" s="3">
        <v>44542.771435185183</v>
      </c>
      <c r="D5228" s="1" t="s">
        <v>10441</v>
      </c>
      <c r="E5228" s="1" t="str">
        <f ca="1">IFERROR(__xludf.DUMMYFUNCTION("GOOGLETRANSLATE(A2027 , ""tr"" , ""en"")"),"@drfahrettinkoca Adjust the law to yourself Comfortable Comfortable Casual Incompatibility will be judged No other way")</f>
        <v>@drfahrettinkoca Adjust the law to yourself Comfortable Comfortable Casual Incompatibility will be judged No other way</v>
      </c>
    </row>
    <row r="5229" spans="1:5" ht="15" customHeight="1" x14ac:dyDescent="0.2">
      <c r="A5229" s="1" t="s">
        <v>10442</v>
      </c>
      <c r="B5229" s="1">
        <v>0</v>
      </c>
      <c r="C5229" s="3">
        <v>44542.765810185185</v>
      </c>
      <c r="D5229" s="1" t="s">
        <v>10443</v>
      </c>
      <c r="E5229" s="1" t="str">
        <f ca="1">IFERROR(__xludf.DUMMYFUNCTION("GOOGLETRANSLATE(A2028 , ""tr"" , ""en"")"),"@drfahrettinkoca everyone has bad existing but if the system is not good, it is useless when you are not good. So your system is faulty.")</f>
        <v>@drfahrettinkoca everyone has bad existing but if the system is not good, it is useless when you are not good. So your system is faulty.</v>
      </c>
    </row>
    <row r="5230" spans="1:5" ht="15" customHeight="1" x14ac:dyDescent="0.2">
      <c r="A5230" s="1" t="s">
        <v>10444</v>
      </c>
      <c r="B5230" s="1">
        <v>0</v>
      </c>
      <c r="C5230" s="3">
        <v>44542.763460648152</v>
      </c>
      <c r="D5230" s="1" t="s">
        <v>10445</v>
      </c>
      <c r="E5230" s="1" t="str">
        <f ca="1">IFERROR(__xludf.DUMMYFUNCTION("GOOGLETRANSLATE(A2029 , ""tr"" , ""en"")"),"@drfahrettinka Mr. Ministry of Health Law Separately and Health Legal Courts are also separate B ... https://t.co/epox1wz3he")</f>
        <v>@drfahrettinka Mr. Ministry of Health Law Separately and Health Legal Courts are also separate B ... https://t.co/epox1wz3he</v>
      </c>
    </row>
    <row r="5231" spans="1:5" ht="15" customHeight="1" x14ac:dyDescent="0.2">
      <c r="A5231" s="1" t="s">
        <v>10446</v>
      </c>
      <c r="B5231" s="1">
        <v>0</v>
      </c>
      <c r="C5231" s="3">
        <v>44542.733634259261</v>
      </c>
      <c r="D5231" s="1" t="s">
        <v>10447</v>
      </c>
      <c r="E5231" s="1" t="str">
        <f ca="1">IFERROR(__xludf.DUMMYFUNCTION("GOOGLETRANSLATE(A2030 , ""tr"" , ""en"")"),"@drfahrettinkoca Physician Handle Handle You Tend You People Don't Trust You And Your Health System ... Https://t.co/yhtwa29zuo")</f>
        <v>@drfahrettinkoca Physician Handle Handle You Tend You People Don't Trust You And Your Health System ... Https://t.co/yhtwa29zuo</v>
      </c>
    </row>
    <row r="5232" spans="1:5" ht="15" customHeight="1" x14ac:dyDescent="0.2">
      <c r="A5232" s="1" t="s">
        <v>10448</v>
      </c>
      <c r="B5232" s="1">
        <v>1</v>
      </c>
      <c r="C5232" s="3">
        <v>44542.718622685185</v>
      </c>
      <c r="D5232" s="1" t="s">
        <v>10449</v>
      </c>
      <c r="E5232" s="1" t="str">
        <f ca="1">IFERROR(__xludf.DUMMYFUNCTION("GOOGLETRANSLATE(A2031 , ""tr"" , ""en"")"),"@drfahrettinkoca is the respected, you can break the hands of the health workers we have delivered and are given rights.")</f>
        <v>@drfahrettinkoca is the respected, you can break the hands of the health workers we have delivered and are given rights.</v>
      </c>
    </row>
    <row r="5233" spans="1:5" ht="15" customHeight="1" x14ac:dyDescent="0.2">
      <c r="A5233" s="1" t="s">
        <v>10450</v>
      </c>
      <c r="B5233" s="1">
        <v>0</v>
      </c>
      <c r="C5233" s="3">
        <v>44541.99113425926</v>
      </c>
      <c r="D5233" s="1" t="s">
        <v>10451</v>
      </c>
      <c r="E5233" s="1" t="str">
        <f ca="1">IFERROR(__xludf.DUMMYFUNCTION("GOOGLETRANSLATE(A2032 , ""tr"" , ""en"")"),"@drfahrettinkoca Your right is definitely never paid ,,,,,,,,,")</f>
        <v>@drfahrettinkoca Your right is definitely never paid ,,,,,,,,,</v>
      </c>
    </row>
    <row r="5234" spans="1:5" ht="15" customHeight="1" x14ac:dyDescent="0.2">
      <c r="A5234" s="1" t="s">
        <v>10452</v>
      </c>
      <c r="B5234" s="1">
        <v>0</v>
      </c>
      <c r="C5234" s="3">
        <v>44541.954479166663</v>
      </c>
      <c r="D5234" s="1" t="s">
        <v>10453</v>
      </c>
      <c r="E5234" s="1" t="str">
        <f ca="1">IFERROR(__xludf.DUMMYFUNCTION("GOOGLETRANSLATE(A2033 , ""tr"" , ""en"")"),"@drfahrettinkoca Da Gorun Da Gorun Lutfen Assignment Dieticians to Dieticians Dieticians Dietitians Dietitians ... https://t.co/vz6uqohzvq")</f>
        <v>@drfahrettinkoca Da Gorun Da Gorun Lutfen Assignment Dieticians to Dieticians Dieticians Dietitians Dietitians ... https://t.co/vz6uqohzvq</v>
      </c>
    </row>
    <row r="5235" spans="1:5" ht="15" customHeight="1" x14ac:dyDescent="0.2">
      <c r="A5235" s="1" t="s">
        <v>7766</v>
      </c>
      <c r="B5235" s="1">
        <v>0</v>
      </c>
      <c r="C5235" s="3">
        <v>44541.953888888886</v>
      </c>
      <c r="D5235" s="1" t="s">
        <v>10454</v>
      </c>
      <c r="E5235" s="1" t="str">
        <f ca="1">IFERROR(__xludf.DUMMYFUNCTION("GOOGLETRANSLATE(A2034 , ""tr"" , ""en"")"),"@drfahrettinkoca Dieticians are welcome to assign the assignment to the dietitians The minister is still the agencies with 90 above points")</f>
        <v>@drfahrettinkoca Dieticians are welcome to assign the assignment to the dietitians The minister is still the agencies with 90 above points</v>
      </c>
    </row>
    <row r="5236" spans="1:5" ht="15" customHeight="1" x14ac:dyDescent="0.2">
      <c r="A5236" s="1" t="s">
        <v>10455</v>
      </c>
      <c r="B5236" s="1">
        <v>3</v>
      </c>
      <c r="C5236" s="3">
        <v>44541.948310185187</v>
      </c>
      <c r="D5236" s="1" t="s">
        <v>10456</v>
      </c>
      <c r="E5236" s="1" t="str">
        <f ca="1">IFERROR(__xludf.DUMMYFUNCTION("GOOGLETRANSLATE(A2035 , ""tr"" , ""en"")"),"@drfahrettinkoca If you are so right, you are in the US and Europe, the GBI public opinion, RNA acylari's side effects ... https://t.co/gwnku4nljg")</f>
        <v>@drfahrettinkoca If you are so right, you are in the US and Europe, the GBI public opinion, RNA acylari's side effects ... https://t.co/gwnku4nljg</v>
      </c>
    </row>
    <row r="5237" spans="1:5" ht="15" customHeight="1" x14ac:dyDescent="0.2">
      <c r="A5237" s="1" t="s">
        <v>10457</v>
      </c>
      <c r="B5237" s="1">
        <v>0</v>
      </c>
      <c r="C5237" s="3">
        <v>44541.945752314816</v>
      </c>
      <c r="D5237" s="1" t="s">
        <v>10458</v>
      </c>
      <c r="E5237" s="1" t="str">
        <f ca="1">IFERROR(__xludf.DUMMYFUNCTION("GOOGLETRANSLATE(A2036 , ""tr"" , ""en"")"),"@drfahrettinkoca Which Law ?? Https://t.co/qg3oaeoqse")</f>
        <v>@drfahrettinkoca Which Law ?? Https://t.co/qg3oaeoqse</v>
      </c>
    </row>
    <row r="5238" spans="1:5" ht="15" customHeight="1" x14ac:dyDescent="0.2">
      <c r="A5238" s="1" t="s">
        <v>10459</v>
      </c>
      <c r="B5238" s="1">
        <v>1</v>
      </c>
      <c r="C5238" s="3">
        <v>44541.943877314814</v>
      </c>
      <c r="D5238" s="1" t="s">
        <v>10460</v>
      </c>
      <c r="E5238" s="1" t="str">
        <f ca="1">IFERROR(__xludf.DUMMYFUNCTION("GOOGLETRANSLATE(A2037 , ""tr"" , ""en"")"),"@drfahrettinkoca will taste every living death. That day, for some, it will be a lot of gangs. On who you are playing for ... https://t.co/okjkguexgz")</f>
        <v>@drfahrettinkoca will taste every living death. That day, for some, it will be a lot of gangs. On who you are playing for ... https://t.co/okjkguexgz</v>
      </c>
    </row>
    <row r="5239" spans="1:5" ht="15" customHeight="1" x14ac:dyDescent="0.2">
      <c r="A5239" s="1" t="s">
        <v>10461</v>
      </c>
      <c r="B5239" s="1">
        <v>0</v>
      </c>
      <c r="C5239" s="3">
        <v>44541.941979166666</v>
      </c>
      <c r="D5239" s="1" t="s">
        <v>10462</v>
      </c>
      <c r="E5239" s="1" t="str">
        <f ca="1">IFERROR(__xludf.DUMMYFUNCTION("GOOGLETRANSLATE(A2038 , ""tr"" , ""en"")"),"@drfahrettinkoca Courts say I'm preserving my guys without starting. How will you run from the divine justice? Fuel t ... https://t.co/xrthwge4kr")</f>
        <v>@drfahrettinkoca Courts say I'm preserving my guys without starting. How will you run from the divine justice? Fuel t ... https://t.co/xrthwge4kr</v>
      </c>
    </row>
    <row r="5240" spans="1:5" ht="15" customHeight="1" x14ac:dyDescent="0.2">
      <c r="A5240" s="1" t="s">
        <v>10463</v>
      </c>
      <c r="B5240" s="1">
        <v>2</v>
      </c>
      <c r="C5240" s="3">
        <v>44541.937395833331</v>
      </c>
      <c r="D5240" s="1" t="s">
        <v>10464</v>
      </c>
      <c r="E5240" s="1" t="str">
        <f ca="1">IFERROR(__xludf.DUMMYFUNCTION("GOOGLETRANSLATE(A2039 , ""tr"" , ""en"")"),"@drfahrettinkoca is a deterrent punishment and no laws, are there any laws that apply? The tip is on and implementing ... https://t.co/b0nqnyc7vy")</f>
        <v>@drfahrettinkoca is a deterrent punishment and no laws, are there any laws that apply? The tip is on and implementing ... https://t.co/b0nqnyc7vy</v>
      </c>
    </row>
    <row r="5241" spans="1:5" ht="15" customHeight="1" x14ac:dyDescent="0.2">
      <c r="A5241" s="1" t="s">
        <v>10465</v>
      </c>
      <c r="B5241" s="1">
        <v>0</v>
      </c>
      <c r="C5241" s="3">
        <v>44541.926215277781</v>
      </c>
      <c r="D5241" s="1" t="s">
        <v>10466</v>
      </c>
      <c r="E5241" s="1" t="str">
        <f ca="1">IFERROR(__xludf.DUMMYFUNCTION("GOOGLETRANSLATE(A2040 , ""tr"" , ""en"")"),"@drfahrettinkoca why can't we get an appointment?")</f>
        <v>@drfahrettinkoca why can't we get an appointment?</v>
      </c>
    </row>
    <row r="5242" spans="1:5" ht="15" customHeight="1" x14ac:dyDescent="0.2">
      <c r="A5242" s="1" t="s">
        <v>10467</v>
      </c>
      <c r="B5242" s="1">
        <v>0</v>
      </c>
      <c r="C5242" s="3">
        <v>44541.894236111111</v>
      </c>
      <c r="D5242" s="1" t="s">
        <v>10468</v>
      </c>
      <c r="E5242" s="1" t="str">
        <f ca="1">IFERROR(__xludf.DUMMYFUNCTION("GOOGLETRANSLATE(A2041 , ""tr"" , ""en"")"),"@drfahrettinka Mr. Minister, I'm a psychiatry specialist, except for appointment patients, forensic case, service consultation, AC ... https://t.co/kv90wlahyd")</f>
        <v>@drfahrettinka Mr. Minister, I'm a psychiatry specialist, except for appointment patients, forensic case, service consultation, AC ... https://t.co/kv90wlahyd</v>
      </c>
    </row>
    <row r="5243" spans="1:5" ht="15" customHeight="1" x14ac:dyDescent="0.2">
      <c r="A5243" s="1" t="s">
        <v>9388</v>
      </c>
      <c r="B5243" s="1">
        <v>2</v>
      </c>
      <c r="C5243" s="3">
        <v>44541.88175925926</v>
      </c>
      <c r="D5243" s="1" t="s">
        <v>10469</v>
      </c>
      <c r="E5243" s="1" t="str">
        <f ca="1">IFERROR(__xludf.DUMMYFUNCTION("GOOGLETRANSLATE(A2042 , ""tr"" , ""en"")"),"@drfahrettinkoca # Birbakan40kocayalan")</f>
        <v>@drfahrettinkoca # Birbakan40kocayalan</v>
      </c>
    </row>
    <row r="5244" spans="1:5" ht="15" customHeight="1" x14ac:dyDescent="0.2">
      <c r="A5244" s="1" t="s">
        <v>10470</v>
      </c>
      <c r="B5244" s="1">
        <v>5</v>
      </c>
      <c r="C5244" s="3">
        <v>44541.879814814813</v>
      </c>
      <c r="D5244" s="1" t="s">
        <v>10471</v>
      </c>
      <c r="E5244" s="1" t="str">
        <f ca="1">IFERROR(__xludf.DUMMYFUNCTION("GOOGLETRANSLATE(A2043 , ""tr"" , ""en"")"),"@drfahrettinkoca 20 thousand buying what to say in half what do you say 40 thousand you say 10 thousand workers to call 10 thousand work now ... HTTPS://T.CO/WZVIEPDGYZ")</f>
        <v>@drfahrettinkoca 20 thousand buying what to say in half what do you say 40 thousand you say 10 thousand workers to call 10 thousand work now ... HTTPS://T.CO/WZVIEPDGYZ</v>
      </c>
    </row>
    <row r="5245" spans="1:5" ht="15" customHeight="1" x14ac:dyDescent="0.2">
      <c r="A5245" s="1" t="s">
        <v>10472</v>
      </c>
      <c r="B5245" s="1">
        <v>0</v>
      </c>
      <c r="C5245" s="3">
        <v>44541.873263888891</v>
      </c>
      <c r="D5245" s="1" t="s">
        <v>10473</v>
      </c>
      <c r="E5245" s="1" t="str">
        <f ca="1">IFERROR(__xludf.DUMMYFUNCTION("GOOGLETRANSLATE(A2044 , ""tr"" , ""en"")"),"@drfahrettinkoca would be 40 thousand assignments. You have pityed us")</f>
        <v>@drfahrettinkoca would be 40 thousand assignments. You have pityed us</v>
      </c>
    </row>
    <row r="5246" spans="1:5" ht="15" customHeight="1" x14ac:dyDescent="0.2">
      <c r="A5246" s="1" t="s">
        <v>10474</v>
      </c>
      <c r="B5246" s="1">
        <v>0</v>
      </c>
      <c r="C5246" s="3">
        <v>44541.87164351852</v>
      </c>
      <c r="D5246" s="1" t="s">
        <v>10475</v>
      </c>
      <c r="E5246" s="1" t="str">
        <f ca="1">IFERROR(__xludf.DUMMYFUNCTION("GOOGLETRANSLATE(A2045 , ""tr"" , ""en"")"),"@drfahrettinkoca he used to be the patient now")</f>
        <v>@drfahrettinkoca he used to be the patient now</v>
      </c>
    </row>
    <row r="5247" spans="1:5" ht="15" customHeight="1" x14ac:dyDescent="0.2">
      <c r="A5247" s="1" t="s">
        <v>10476</v>
      </c>
      <c r="B5247" s="1">
        <v>0</v>
      </c>
      <c r="C5247" s="3">
        <v>44541.868784722225</v>
      </c>
      <c r="D5247" s="1" t="s">
        <v>10477</v>
      </c>
      <c r="E5247" s="1" t="str">
        <f ca="1">IFERROR(__xludf.DUMMYFUNCTION("GOOGLETRANSLATE(A2046 , ""tr"" , ""en"")"),"@drfahrettinkoca @drfahrettinkoca @drfahrettinkoca @rterdogan How do you guys black out our lives, our youth our blood ... https://t.co/ayut37jpdk")</f>
        <v>@drfahrettinkoca @drfahrettinkoca @drfahrettinkoca @rterdogan How do you guys black out our lives, our youth our blood ... https://t.co/ayut37jpdk</v>
      </c>
    </row>
    <row r="5248" spans="1:5" ht="15" customHeight="1" x14ac:dyDescent="0.2">
      <c r="A5248" s="1" t="s">
        <v>10478</v>
      </c>
      <c r="B5248" s="1">
        <v>0</v>
      </c>
      <c r="C5248" s="3">
        <v>44541.867407407408</v>
      </c>
      <c r="D5248" s="1" t="s">
        <v>10479</v>
      </c>
      <c r="E5248" s="1" t="str">
        <f ca="1">IFERROR(__xludf.DUMMYFUNCTION("GOOGLETRANSLATE(A2047 , ""tr"" , ""en"")"),"@drfahrettinka https://t.co/ffqs0ufvbf")</f>
        <v>@drfahrettinka https://t.co/ffqs0ufvbf</v>
      </c>
    </row>
    <row r="5249" spans="1:5" ht="15" customHeight="1" x14ac:dyDescent="0.2">
      <c r="A5249" s="1" t="s">
        <v>10480</v>
      </c>
      <c r="B5249" s="1">
        <v>6</v>
      </c>
      <c r="C5249" s="3">
        <v>44541.867407407408</v>
      </c>
      <c r="D5249" s="1" t="s">
        <v>10481</v>
      </c>
      <c r="E5249" s="1" t="str">
        <f ca="1">IFERROR(__xludf.DUMMYFUNCTION("GOOGLETRANSLATE(A2048 , ""tr"" , ""en"")"),"@drfahrettinkoca all the world's action against the Omicron Variant when you tested what way you have tested the contagion of ... https://t.co/88qzkjms10")</f>
        <v>@drfahrettinkoca all the world's action against the Omicron Variant when you tested what way you have tested the contagion of ... https://t.co/88qzkjms10</v>
      </c>
    </row>
    <row r="5250" spans="1:5" ht="15" customHeight="1" x14ac:dyDescent="0.2">
      <c r="A5250" s="1" t="s">
        <v>10482</v>
      </c>
      <c r="B5250" s="1">
        <v>14</v>
      </c>
      <c r="C5250" s="3">
        <v>44541.86519675926</v>
      </c>
      <c r="D5250" s="1" t="s">
        <v>10483</v>
      </c>
      <c r="E5250" s="1" t="str">
        <f ca="1">IFERROR(__xludf.DUMMYFUNCTION("GOOGLETRANSLATE(A2049 , ""tr"" , ""en"")"),"@drfahrettinkoca Omicron Where is your description? How have you tested the infectiousness of the contagion, you have been to this judgment ...")</f>
        <v>@drfahrettinkoca Omicron Where is your description? How have you tested the infectiousness of the contagion, you have been to this judgment ...</v>
      </c>
    </row>
    <row r="5251" spans="1:5" ht="15" customHeight="1" x14ac:dyDescent="0.2">
      <c r="A5251" s="1" t="s">
        <v>10484</v>
      </c>
      <c r="B5251" s="1">
        <v>0</v>
      </c>
      <c r="C5251" s="3">
        <v>44541.862881944442</v>
      </c>
      <c r="D5251" s="1" t="s">
        <v>10485</v>
      </c>
      <c r="E5251" s="1" t="str">
        <f ca="1">IFERROR(__xludf.DUMMYFUNCTION("GOOGLETRANSLATE(A2050 , ""tr"" , ""en"")"),"@drfahrettinkoca Mr. Minister, are you only doctors from health workers?")</f>
        <v>@drfahrettinkoca Mr. Minister, are you only doctors from health workers?</v>
      </c>
    </row>
    <row r="5252" spans="1:5" ht="15" customHeight="1" x14ac:dyDescent="0.2">
      <c r="A5252" s="1" t="s">
        <v>10486</v>
      </c>
      <c r="B5252" s="1">
        <v>0</v>
      </c>
      <c r="C5252" s="3">
        <v>44541.859675925924</v>
      </c>
      <c r="D5252" s="1" t="s">
        <v>10487</v>
      </c>
      <c r="E5252" s="1" t="str">
        <f ca="1">IFERROR(__xludf.DUMMYFUNCTION("GOOGLETRANSLATE(A2051 , ""tr"" , ""en"")"),"@drfahrettinkoca I wish the Labor Minister is someone who will defend workers' right in the TBMM")</f>
        <v>@drfahrettinkoca I wish the Labor Minister is someone who will defend workers' right in the TBMM</v>
      </c>
    </row>
    <row r="5253" spans="1:5" ht="15" customHeight="1" x14ac:dyDescent="0.2">
      <c r="A5253" s="1" t="s">
        <v>10488</v>
      </c>
      <c r="B5253" s="1">
        <v>0</v>
      </c>
      <c r="C5253" s="3">
        <v>44541.850925925923</v>
      </c>
      <c r="D5253" s="1" t="s">
        <v>10489</v>
      </c>
      <c r="E5253" s="1" t="str">
        <f ca="1">IFERROR(__xludf.DUMMYFUNCTION("GOOGLETRANSLATE(A2052 , ""tr"" , ""en"")"),"@drfahrettinka https://t.co/xsao0cffaI")</f>
        <v>@drfahrettinka https://t.co/xsao0cffaI</v>
      </c>
    </row>
    <row r="5254" spans="1:5" ht="15" customHeight="1" x14ac:dyDescent="0.2">
      <c r="A5254" s="1" t="s">
        <v>10490</v>
      </c>
      <c r="B5254" s="1">
        <v>0</v>
      </c>
      <c r="C5254" s="3">
        <v>44541.843726851854</v>
      </c>
      <c r="D5254" s="1" t="s">
        <v>10491</v>
      </c>
      <c r="E5254" s="1" t="str">
        <f ca="1">IFERROR(__xludf.DUMMYFUNCTION("GOOGLETRANSLATE(A2053 , ""tr"" , ""en"")"),"@drfahrettinkoca is very indulging in ÇOOOKK, then they think it's too much to look at the patient's face.")</f>
        <v>@drfahrettinkoca is very indulging in ÇOOOKK, then they think it's too much to look at the patient's face.</v>
      </c>
    </row>
    <row r="5255" spans="1:5" ht="15" customHeight="1" x14ac:dyDescent="0.2">
      <c r="A5255" s="1" t="s">
        <v>10492</v>
      </c>
      <c r="B5255" s="1">
        <v>0</v>
      </c>
      <c r="C5255" s="3">
        <v>44541.8359837963</v>
      </c>
      <c r="D5255" s="1" t="s">
        <v>10493</v>
      </c>
      <c r="E5255" s="1" t="str">
        <f ca="1">IFERROR(__xludf.DUMMYFUNCTION("GOOGLETRANSLATE(A2054 , ""tr"" , ""en"")"),"@drfahrettinkoca Settlement Residential Housing 495,000 How to Pay I Wished We've Mandatory Gust @ Rterdogan ... HTTPS://T.CO/INEXCOOXPG")</f>
        <v>@drfahrettinkoca Settlement Residential Housing 495,000 How to Pay I Wished We've Mandatory Gust @ Rterdogan ... HTTPS://T.CO/INEXCOOXPG</v>
      </c>
    </row>
    <row r="5256" spans="1:5" ht="15" customHeight="1" x14ac:dyDescent="0.2">
      <c r="A5256" s="1" t="s">
        <v>10494</v>
      </c>
      <c r="B5256" s="1">
        <v>1</v>
      </c>
      <c r="C5256" s="3">
        <v>44541.833749999998</v>
      </c>
      <c r="D5256" s="1" t="s">
        <v>10495</v>
      </c>
      <c r="E5256" s="1" t="str">
        <f ca="1">IFERROR(__xludf.DUMMYFUNCTION("GOOGLETRANSLATE(A2055 , ""tr"" , ""en"")"),"@drfahrettinkoca oh COK Sukur Lafta Although you are and you are and what happens in this time you stay in Lafta ... https://t.co/x5na7mlsux")</f>
        <v>@drfahrettinkoca oh COK Sukur Lafta Although you are and you are and what happens in this time you stay in Lafta ... https://t.co/x5na7mlsux</v>
      </c>
    </row>
    <row r="5257" spans="1:5" ht="15" customHeight="1" x14ac:dyDescent="0.2">
      <c r="A5257" s="1" t="s">
        <v>10496</v>
      </c>
      <c r="B5257" s="1">
        <v>0</v>
      </c>
      <c r="C5257" s="3">
        <v>44541.830972222226</v>
      </c>
      <c r="D5257" s="1" t="s">
        <v>10497</v>
      </c>
      <c r="E5257" s="1" t="str">
        <f ca="1">IFERROR(__xludf.DUMMYFUNCTION("GOOGLETRANSLATE(A2056 , ""tr"" , ""en"")"),"@drfahrettinkoca tell me to those doctors you answer people like people. Va ... https://t.co/wwpy4mqerd")</f>
        <v>@drfahrettinkoca tell me to those doctors you answer people like people. Va ... https://t.co/wwpy4mqerd</v>
      </c>
    </row>
    <row r="5258" spans="1:5" ht="15" customHeight="1" x14ac:dyDescent="0.2">
      <c r="A5258" s="1" t="s">
        <v>10498</v>
      </c>
      <c r="B5258" s="1">
        <v>1</v>
      </c>
      <c r="C5258" s="3">
        <v>44541.829039351855</v>
      </c>
      <c r="D5258" s="1" t="s">
        <v>10499</v>
      </c>
      <c r="E5258" s="1" t="str">
        <f ca="1">IFERROR(__xludf.DUMMYFUNCTION("GOOGLETRANSLATE(A2057 , ""tr"" , ""en"")"),"@drfahrettinkoca results we waited for hours to show the doctors allowed to have gone tomorrow they said the bride, the same part 3 ... https://t.co/vmjo02hugg")</f>
        <v>@drfahrettinkoca results we waited for hours to show the doctors allowed to have gone tomorrow they said the bride, the same part 3 ... https://t.co/vmjo02hugg</v>
      </c>
    </row>
    <row r="5259" spans="1:5" ht="15" customHeight="1" x14ac:dyDescent="0.2">
      <c r="A5259" s="1" t="s">
        <v>10500</v>
      </c>
      <c r="B5259" s="1">
        <v>0</v>
      </c>
      <c r="C5259" s="3">
        <v>44541.828090277777</v>
      </c>
      <c r="D5259" s="1" t="s">
        <v>10501</v>
      </c>
      <c r="E5259" s="1" t="str">
        <f ca="1">IFERROR(__xludf.DUMMYFUNCTION("GOOGLETRANSLATE(A2058 , ""tr"" , ""en"")"),"@drfahrettinkoca Mr. Ministry is against the violence of violence but please causes these violence in hospitals ... https://t.co/0rqeeei3jr")</f>
        <v>@drfahrettinkoca Mr. Ministry is against the violence of violence but please causes these violence in hospitals ... https://t.co/0rqeeei3jr</v>
      </c>
    </row>
    <row r="5260" spans="1:5" ht="15" customHeight="1" x14ac:dyDescent="0.2">
      <c r="A5260" s="1" t="s">
        <v>10502</v>
      </c>
      <c r="B5260" s="1">
        <v>11</v>
      </c>
      <c r="C5260" s="3">
        <v>44541.827210648145</v>
      </c>
      <c r="D5260" s="1" t="s">
        <v>10503</v>
      </c>
      <c r="E5260" s="1" t="str">
        <f ca="1">IFERROR(__xludf.DUMMYFUNCTION("GOOGLETRANSLATE(A2059 , ""tr"" , ""en"")"),"@drfahrettinka is not made of root analysis of health violence in health. Why are these events rising? What's the reason? HA ... https://t.co/yqywuıkm04")</f>
        <v>@drfahrettinka is not made of root analysis of health violence in health. Why are these events rising? What's the reason? HA ... https://t.co/yqywuıkm04</v>
      </c>
    </row>
    <row r="5261" spans="1:5" ht="15" customHeight="1" x14ac:dyDescent="0.2">
      <c r="A5261" s="1" t="s">
        <v>10504</v>
      </c>
      <c r="B5261" s="1">
        <v>1</v>
      </c>
      <c r="C5261" s="3">
        <v>44541.82608796296</v>
      </c>
      <c r="D5261" s="1" t="s">
        <v>10505</v>
      </c>
      <c r="E5261" s="1" t="str">
        <f ca="1">IFERROR(__xludf.DUMMYFUNCTION("GOOGLETRANSLATE(A2060 , ""tr"" , ""en"")"),"@drfahrettinkoca Ya You Koskoca Located To Someone You Give Someone Your Hit Your Hand Tap on the Table Let's Stand on the Table")</f>
        <v>@drfahrettinkoca Ya You Koskoca Located To Someone You Give Someone Your Hit Your Hand Tap on the Table Let's Stand on the Table</v>
      </c>
    </row>
    <row r="5262" spans="1:5" ht="15" customHeight="1" x14ac:dyDescent="0.2">
      <c r="A5262" s="1" t="s">
        <v>10506</v>
      </c>
      <c r="B5262" s="1">
        <v>0</v>
      </c>
      <c r="C5262" s="3">
        <v>44541.824965277781</v>
      </c>
      <c r="D5262" s="1" t="s">
        <v>10507</v>
      </c>
      <c r="E5262" s="1" t="str">
        <f ca="1">IFERROR(__xludf.DUMMYFUNCTION("GOOGLETRANSLATE(A2061 , ""tr"" , ""en"")"),"@drfahrettinkoca is paying damages. You are not defect dr. You have taken off the penalty. Science, TIB Musa ... https://t.co/nxseucdbsn")</f>
        <v>@drfahrettinkoca is paying damages. You are not defect dr. You have taken off the penalty. Science, TIB Musa ... https://t.co/nxseucdbsn</v>
      </c>
    </row>
    <row r="5263" spans="1:5" ht="15" customHeight="1" x14ac:dyDescent="0.2">
      <c r="A5263" s="1" t="s">
        <v>10508</v>
      </c>
      <c r="B5263" s="1">
        <v>0</v>
      </c>
      <c r="C5263" s="3">
        <v>44541.824791666666</v>
      </c>
      <c r="D5263" s="1" t="s">
        <v>10509</v>
      </c>
      <c r="E5263" s="1" t="str">
        <f ca="1">IFERROR(__xludf.DUMMYFUNCTION("GOOGLETRANSLATE(A2062 , ""tr"" , ""en"")"),"@drfahrettinkoca We love you Allah will be Sleepless Stay in the nights you stay in the night of my eyes, be the blood dish from insomnia ... https://t.co/kylcctrmuo")</f>
        <v>@drfahrettinkoca We love you Allah will be Sleepless Stay in the nights you stay in the night of my eyes, be the blood dish from insomnia ... https://t.co/kylcctrmuo</v>
      </c>
    </row>
    <row r="5264" spans="1:5" ht="15" customHeight="1" x14ac:dyDescent="0.2">
      <c r="A5264" s="1" t="s">
        <v>10510</v>
      </c>
      <c r="B5264" s="1">
        <v>0</v>
      </c>
      <c r="C5264" s="3">
        <v>44541.823449074072</v>
      </c>
      <c r="D5264" s="1" t="s">
        <v>10511</v>
      </c>
      <c r="E5264" s="1" t="str">
        <f ca="1">IFERROR(__xludf.DUMMYFUNCTION("GOOGLETRANSLATE(A2063 , ""tr"" , ""en"")"),"@drfahrettinkoca Law could not protect the public from you can bless the Health")</f>
        <v>@drfahrettinkoca Law could not protect the public from you can bless the Health</v>
      </c>
    </row>
    <row r="5265" spans="1:5" ht="15" customHeight="1" x14ac:dyDescent="0.2">
      <c r="A5265" s="1" t="s">
        <v>10512</v>
      </c>
      <c r="B5265" s="1">
        <v>3</v>
      </c>
      <c r="C5265" s="3">
        <v>44542.872071759259</v>
      </c>
      <c r="D5265" s="1" t="s">
        <v>10513</v>
      </c>
      <c r="E5265" s="1" t="str">
        <f ca="1">IFERROR(__xludf.DUMMYFUNCTION("GOOGLETRANSLATE(A2064 , ""tr"" , ""en"")"),"@drfahrettinkoca Let's put here too! A good example of violence in health. Not deserved the plaque! https://t.co/oxkwkhlovl")</f>
        <v>@drfahrettinkoca Let's put here too! A good example of violence in health. Not deserved the plaque! https://t.co/oxkwkhlovl</v>
      </c>
    </row>
    <row r="5266" spans="1:5" ht="15" customHeight="1" x14ac:dyDescent="0.2">
      <c r="A5266" s="1" t="s">
        <v>10514</v>
      </c>
      <c r="B5266" s="1">
        <v>0</v>
      </c>
      <c r="C5266" s="3">
        <v>44542.859594907408</v>
      </c>
      <c r="D5266" s="1" t="s">
        <v>10515</v>
      </c>
      <c r="E5266" s="1" t="str">
        <f ca="1">IFERROR(__xludf.DUMMYFUNCTION("GOOGLETRANSLATE(A2065 , ""tr"" , ""en"")"),"@drfahrettinkoca sir ..?!?! Law!? !! Burasi Akpnin managed for how many years is Turkey!")</f>
        <v>@drfahrettinkoca sir ..?!?! Law!? !! Burasi Akpnin managed for how many years is Turkey!</v>
      </c>
    </row>
    <row r="5267" spans="1:5" ht="15" customHeight="1" x14ac:dyDescent="0.2">
      <c r="A5267" s="1" t="s">
        <v>10516</v>
      </c>
      <c r="B5267" s="1">
        <v>1</v>
      </c>
      <c r="C5267" s="3">
        <v>44542.769201388888</v>
      </c>
      <c r="D5267" s="1" t="s">
        <v>10517</v>
      </c>
      <c r="E5267" s="1" t="str">
        <f ca="1">IFERROR(__xludf.DUMMYFUNCTION("GOOGLETRANSLATE(A2066 , ""tr"" , ""en"")"),"@drfahrettinkoca criminals will eventually be tried at the end. The lawless order is a crime. Is guilty of wake up. https://t.co/t9jol9y0we")</f>
        <v>@drfahrettinkoca criminals will eventually be tried at the end. The lawless order is a crime. Is guilty of wake up. https://t.co/t9jol9y0we</v>
      </c>
    </row>
    <row r="5268" spans="1:5" ht="15" customHeight="1" x14ac:dyDescent="0.2">
      <c r="A5268" s="1" t="s">
        <v>10518</v>
      </c>
      <c r="B5268" s="1">
        <v>1</v>
      </c>
      <c r="C5268" s="3">
        <v>44542.76284722222</v>
      </c>
      <c r="D5268" s="1" t="s">
        <v>10519</v>
      </c>
      <c r="E5268" s="1" t="str">
        <f ca="1">IFERROR(__xludf.DUMMYFUNCTION("GOOGLETRANSLATE(A2067 , ""tr"" , ""en"")"),"@drfahrettinkoca @doktorersoz is sought by a physician minister during seizure A patient's close up G ... https://t.co/qdzdtsjqcg")</f>
        <v>@drfahrettinkoca @doktorersoz is sought by a physician minister during seizure A patient's close up G ... https://t.co/qdzdtsjqcg</v>
      </c>
    </row>
    <row r="5269" spans="1:5" ht="15" customHeight="1" x14ac:dyDescent="0.2">
      <c r="A5269" s="1" t="s">
        <v>10520</v>
      </c>
      <c r="B5269" s="1">
        <v>0</v>
      </c>
      <c r="C5269" s="3">
        <v>44542.744039351855</v>
      </c>
      <c r="D5269" s="1" t="s">
        <v>10521</v>
      </c>
      <c r="E5269" s="1" t="str">
        <f ca="1">IFERROR(__xludf.DUMMYFUNCTION("GOOGLETRANSLATE(A2068 , ""tr"" , ""en"")"),"@drfahrettinkoca attackers are unable to make the penalty required.")</f>
        <v>@drfahrettinkoca attackers are unable to make the penalty required.</v>
      </c>
    </row>
    <row r="5270" spans="1:5" ht="15" customHeight="1" x14ac:dyDescent="0.2">
      <c r="A5270" s="1" t="s">
        <v>10522</v>
      </c>
      <c r="B5270" s="1">
        <v>0</v>
      </c>
      <c r="C5270" s="3">
        <v>44541.972199074073</v>
      </c>
      <c r="D5270" s="1" t="s">
        <v>10523</v>
      </c>
      <c r="E5270" s="1" t="str">
        <f ca="1">IFERROR(__xludf.DUMMYFUNCTION("GOOGLETRANSLATE(A2069 , ""tr"" , ""en"")"),"@drfahrettinkoca Mr. Minister This future arrangement hope that all the healthcare community is. Front of specific occupational branches ... https://t.co/f7fuhsap3j")</f>
        <v>@drfahrettinkoca Mr. Minister This future arrangement hope that all the healthcare community is. Front of specific occupational branches ... https://t.co/f7fuhsap3j</v>
      </c>
    </row>
    <row r="5271" spans="1:5" ht="15" customHeight="1" x14ac:dyDescent="0.2">
      <c r="A5271" s="1" t="s">
        <v>10524</v>
      </c>
      <c r="B5271" s="1">
        <v>0</v>
      </c>
      <c r="C5271" s="3">
        <v>44541.944537037038</v>
      </c>
      <c r="D5271" s="1" t="s">
        <v>10525</v>
      </c>
      <c r="E5271" s="1" t="str">
        <f ca="1">IFERROR(__xludf.DUMMYFUNCTION("GOOGLETRANSLATE(A2070 , ""tr"" , ""en"")"),"@drfahrettinkoca but we are not supporting you in the elections.")</f>
        <v>@drfahrettinkoca but we are not supporting you in the elections.</v>
      </c>
    </row>
    <row r="5272" spans="1:5" ht="15" customHeight="1" x14ac:dyDescent="0.2">
      <c r="A5272" s="1" t="s">
        <v>10526</v>
      </c>
      <c r="B5272" s="1">
        <v>1</v>
      </c>
      <c r="C5272" s="3">
        <v>44541.934467592589</v>
      </c>
      <c r="D5272" s="1" t="s">
        <v>10527</v>
      </c>
      <c r="E5272" s="1" t="str">
        <f ca="1">IFERROR(__xludf.DUMMYFUNCTION("GOOGLETRANSLATE(A2071 , ""tr"" , ""en"")"),"@drfahrettinkoca What's the random what hike is this money? #Health10bintl #fahrettinkoca")</f>
        <v>@drfahrettinkoca What's the random what hike is this money? #Health10bintl #fahrettinkoca</v>
      </c>
    </row>
    <row r="5273" spans="1:5" ht="15" customHeight="1" x14ac:dyDescent="0.2">
      <c r="A5273" s="1" t="s">
        <v>7766</v>
      </c>
      <c r="B5273" s="1">
        <v>1</v>
      </c>
      <c r="C5273" s="3">
        <v>44541.923935185187</v>
      </c>
      <c r="D5273" s="1" t="s">
        <v>10528</v>
      </c>
      <c r="E5273" s="1" t="str">
        <f ca="1">IFERROR(__xludf.DUMMYFUNCTION("GOOGLETRANSLATE(A2072 , ""tr"" , ""en"")"),"@drfahrettinkoca Dieticians are welcome to assign the assignment to the dietitians The minister is still the agencies with 90 above points")</f>
        <v>@drfahrettinkoca Dieticians are welcome to assign the assignment to the dietitians The minister is still the agencies with 90 above points</v>
      </c>
    </row>
    <row r="5274" spans="1:5" ht="15" customHeight="1" x14ac:dyDescent="0.2">
      <c r="A5274" s="1" t="s">
        <v>10529</v>
      </c>
      <c r="B5274" s="1">
        <v>0</v>
      </c>
      <c r="C5274" s="3">
        <v>44541.902384259258</v>
      </c>
      <c r="D5274" s="1" t="s">
        <v>10530</v>
      </c>
      <c r="E5274" s="1" t="str">
        <f ca="1">IFERROR(__xludf.DUMMYFUNCTION("GOOGLETRANSLATE(A2073 , ""tr"" , ""en"")"),"@drfahrettinkoca What have been fooled with our hopes you have been playing 40 thousand assignments 10 Thousand workers now that we have been givin ... https://t.co/7fpkbaec3n")</f>
        <v>@drfahrettinkoca What have been fooled with our hopes you have been playing 40 thousand assignments 10 Thousand workers now that we have been givin ... https://t.co/7fpkbaec3n</v>
      </c>
    </row>
    <row r="5275" spans="1:5" ht="15" customHeight="1" x14ac:dyDescent="0.2">
      <c r="A5275" s="1" t="s">
        <v>10531</v>
      </c>
      <c r="B5275" s="1">
        <v>1</v>
      </c>
      <c r="C5275" s="3">
        <v>44541.902349537035</v>
      </c>
      <c r="D5275" s="1" t="s">
        <v>10532</v>
      </c>
      <c r="E5275" s="1" t="str">
        <f ca="1">IFERROR(__xludf.DUMMYFUNCTION("GOOGLETRANSLATE(A2074 , ""tr"" , ""en"")"),"@drfahrettinkoca Health workers can't get their rights in the pendemic period in which it is crushed in the pandemic period, our country's s ... https://t.co/g8lıpu2vto")</f>
        <v>@drfahrettinkoca Health workers can't get their rights in the pendemic period in which it is crushed in the pandemic period, our country's s ... https://t.co/g8lıpu2vto</v>
      </c>
    </row>
    <row r="5276" spans="1:5" ht="15" customHeight="1" x14ac:dyDescent="0.2">
      <c r="A5276" s="1" t="s">
        <v>10533</v>
      </c>
      <c r="B5276" s="1">
        <v>0</v>
      </c>
      <c r="C5276" s="3">
        <v>44541.898946759262</v>
      </c>
      <c r="D5276" s="1" t="s">
        <v>10534</v>
      </c>
      <c r="E5276" s="1" t="str">
        <f ca="1">IFERROR(__xludf.DUMMYFUNCTION("GOOGLETRANSLATE(A2075 , ""tr"" , ""en"")"),"@drfahrettinkoca Good Abi Result What is now ???")</f>
        <v>@drfahrettinkoca Good Abi Result What is now ???</v>
      </c>
    </row>
    <row r="5277" spans="1:5" ht="15" customHeight="1" x14ac:dyDescent="0.2">
      <c r="A5277" s="1" t="s">
        <v>10535</v>
      </c>
      <c r="B5277" s="1">
        <v>1</v>
      </c>
      <c r="C5277" s="3">
        <v>44541.896365740744</v>
      </c>
      <c r="D5277" s="1" t="s">
        <v>10536</v>
      </c>
      <c r="E5277" s="1" t="str">
        <f ca="1">IFERROR(__xludf.DUMMYFUNCTION("GOOGLETRANSLATE(A2076 , ""tr"" , ""en"")"),"@drfahrettinkoca Mr. Overlooking Public Public Pay -Lisans Our Most of His Make Say Maal ... Https://t.co/aq4zjkdofh")</f>
        <v>@drfahrettinkoca Mr. Overlooking Public Public Pay -Lisans Our Most of His Make Say Maal ... Https://t.co/aq4zjkdofh</v>
      </c>
    </row>
    <row r="5278" spans="1:5" ht="15" customHeight="1" x14ac:dyDescent="0.2">
      <c r="A5278" s="1" t="s">
        <v>10537</v>
      </c>
      <c r="B5278" s="1">
        <v>0</v>
      </c>
      <c r="C5278" s="3">
        <v>44541.896168981482</v>
      </c>
      <c r="D5278" s="1" t="s">
        <v>10538</v>
      </c>
      <c r="E5278" s="1" t="str">
        <f ca="1">IFERROR(__xludf.DUMMYFUNCTION("GOOGLETRANSLATE(A2077 , ""tr"" , ""en"")"),"@drfahrettinkoca ""I'm calling from the hospital. You have complained 112. We are not interested in 112"" says. ""Heart Kr ... https://t.co/ugnknr2twp")</f>
        <v>@drfahrettinkoca "I'm calling from the hospital. You have complained 112. We are not interested in 112" says. "Heart Kr ... https://t.co/ugnknr2twp</v>
      </c>
    </row>
    <row r="5279" spans="1:5" ht="15" customHeight="1" x14ac:dyDescent="0.2">
      <c r="A5279" s="1" t="s">
        <v>10539</v>
      </c>
      <c r="B5279" s="1">
        <v>0</v>
      </c>
      <c r="C5279" s="3">
        <v>44541.894814814812</v>
      </c>
      <c r="D5279" s="1" t="s">
        <v>10540</v>
      </c>
      <c r="E5279" s="1" t="str">
        <f ca="1">IFERROR(__xludf.DUMMYFUNCTION("GOOGLETRANSLATE(A2078 , ""tr"" , ""en"")"),"@drfahrettinka https://t.co/ts0oiqzwyo")</f>
        <v>@drfahrettinka https://t.co/ts0oiqzwyo</v>
      </c>
    </row>
    <row r="5280" spans="1:5" ht="15" customHeight="1" x14ac:dyDescent="0.2">
      <c r="A5280" s="1" t="s">
        <v>10541</v>
      </c>
      <c r="B5280" s="1">
        <v>0</v>
      </c>
      <c r="C5280" s="3">
        <v>44541.890879629631</v>
      </c>
      <c r="D5280" s="1" t="s">
        <v>10542</v>
      </c>
      <c r="E5280" s="1" t="str">
        <f ca="1">IFERROR(__xludf.DUMMYFUNCTION("GOOGLETRANSLATE(A2079 , ""tr"" , ""en"")"),"@drfahrettinkoca @drfahrettinka @drfahrettinkoca Dear Sleeping Squeezing ridiculous Https://t.co/qo1ia72ykj")</f>
        <v>@drfahrettinkoca @drfahrettinka @drfahrettinkoca Dear Sleeping Squeezing ridiculous Https://t.co/qo1ia72ykj</v>
      </c>
    </row>
    <row r="5281" spans="1:5" ht="15" customHeight="1" x14ac:dyDescent="0.2">
      <c r="A5281" s="1" t="s">
        <v>9388</v>
      </c>
      <c r="B5281" s="1">
        <v>2</v>
      </c>
      <c r="C5281" s="3">
        <v>44541.881840277776</v>
      </c>
      <c r="D5281" s="1" t="s">
        <v>10543</v>
      </c>
      <c r="E5281" s="1" t="str">
        <f ca="1">IFERROR(__xludf.DUMMYFUNCTION("GOOGLETRANSLATE(A2080 , ""tr"" , ""en"")"),"@drfahrettinkoca # Birbakan40kocayalan")</f>
        <v>@drfahrettinkoca # Birbakan40kocayalan</v>
      </c>
    </row>
    <row r="5282" spans="1:5" ht="15" customHeight="1" x14ac:dyDescent="0.2">
      <c r="A5282" s="1" t="s">
        <v>10544</v>
      </c>
      <c r="B5282" s="1">
        <v>0</v>
      </c>
      <c r="C5282" s="3">
        <v>44541.869155092594</v>
      </c>
      <c r="D5282" s="1" t="s">
        <v>10545</v>
      </c>
      <c r="E5282" s="1" t="str">
        <f ca="1">IFERROR(__xludf.DUMMYFUNCTION("GOOGLETRANSLATE(A2081 , ""tr"" , ""en"")"),"@drfahrettinkoca Are we covering the ""Health Workers"" you're talking about? Rights of Salary and Acult, in one of the day ... https://t.co/mkyellrkzo")</f>
        <v>@drfahrettinkoca Are we covering the "Health Workers" you're talking about? Rights of Salary and Acult, in one of the day ... https://t.co/mkyellrkzo</v>
      </c>
    </row>
    <row r="5283" spans="1:5" ht="15" customHeight="1" x14ac:dyDescent="0.2">
      <c r="A5283" s="1" t="s">
        <v>10546</v>
      </c>
      <c r="B5283" s="1">
        <v>0</v>
      </c>
      <c r="C5283" s="3">
        <v>44541.86886574074</v>
      </c>
      <c r="D5283" s="1" t="s">
        <v>10547</v>
      </c>
      <c r="E5283" s="1" t="str">
        <f ca="1">IFERROR(__xludf.DUMMYFUNCTION("GOOGLETRANSLATE(A2082 , ""tr"" , ""en"")"),"@drfahrettinkoca @drfahrettinkoca @drfahrettinkoca @rterdogan How do you people black out our lives We are your youth our blood ... https://t.co/s4gn1ydocg")</f>
        <v>@drfahrettinkoca @drfahrettinkoca @drfahrettinkoca @rterdogan How do you people black out our lives We are your youth our blood ... https://t.co/s4gn1ydocg</v>
      </c>
    </row>
    <row r="5284" spans="1:5" ht="15" customHeight="1" x14ac:dyDescent="0.2">
      <c r="A5284" s="1" t="s">
        <v>10548</v>
      </c>
      <c r="B5284" s="1">
        <v>0</v>
      </c>
      <c r="C5284" s="3">
        <v>44541.867997685185</v>
      </c>
      <c r="D5284" s="1" t="s">
        <v>10549</v>
      </c>
      <c r="E5284" s="1" t="str">
        <f ca="1">IFERROR(__xludf.DUMMYFUNCTION("GOOGLETRANSLATE(A2083 , ""tr"" , ""en"")"),"@drfahrettinkoca again in the health worker says all staff do not place steplap after")</f>
        <v>@drfahrettinkoca again in the health worker says all staff do not place steplap after</v>
      </c>
    </row>
    <row r="5285" spans="1:5" ht="15" customHeight="1" x14ac:dyDescent="0.2">
      <c r="A5285" s="1" t="s">
        <v>10550</v>
      </c>
      <c r="B5285" s="1">
        <v>0</v>
      </c>
      <c r="C5285" s="3">
        <v>44541.867476851854</v>
      </c>
      <c r="D5285" s="1" t="s">
        <v>10551</v>
      </c>
      <c r="E5285" s="1" t="str">
        <f ca="1">IFERROR(__xludf.DUMMYFUNCTION("GOOGLETRANSLATE(A2084 , ""tr"" , ""en"")"),"@drfahrettinka https://t.co/7Iuz355Ofy")</f>
        <v>@drfahrettinka https://t.co/7Iuz355Ofy</v>
      </c>
    </row>
    <row r="5286" spans="1:5" ht="15" customHeight="1" x14ac:dyDescent="0.2">
      <c r="A5286" s="1" t="s">
        <v>10552</v>
      </c>
      <c r="B5286" s="1">
        <v>0</v>
      </c>
      <c r="C5286" s="3">
        <v>44541.867094907408</v>
      </c>
      <c r="D5286" s="1" t="s">
        <v>10553</v>
      </c>
      <c r="E5286" s="1" t="str">
        <f ca="1">IFERROR(__xludf.DUMMYFUNCTION("GOOGLETRANSLATE(A2085 , ""tr"" , ""en"")"),"@drfahrettinka common will !!!!!!!")</f>
        <v>@drfahrettinka common will !!!!!!!</v>
      </c>
    </row>
    <row r="5287" spans="1:5" ht="15" customHeight="1" x14ac:dyDescent="0.2">
      <c r="A5287" s="1" t="s">
        <v>10554</v>
      </c>
      <c r="B5287" s="1">
        <v>0</v>
      </c>
      <c r="C5287" s="3">
        <v>44541.857673611114</v>
      </c>
      <c r="D5287" s="1" t="s">
        <v>10555</v>
      </c>
      <c r="E5287" s="1" t="str">
        <f ca="1">IFERROR(__xludf.DUMMYFUNCTION("GOOGLETRANSLATE(A2086 , ""tr"" , ""en"")"),"@drfahrettinkoca @saglikbakanligi Uniting Health Workers Rights What will be @ drfahrettinkocaistifa")</f>
        <v>@drfahrettinkoca @saglikbakanligi Uniting Health Workers Rights What will be @ drfahrettinkocaistifa</v>
      </c>
    </row>
    <row r="5288" spans="1:5" ht="15" customHeight="1" x14ac:dyDescent="0.2">
      <c r="A5288" s="1" t="s">
        <v>10556</v>
      </c>
      <c r="B5288" s="1">
        <v>11</v>
      </c>
      <c r="C5288" s="3">
        <v>44541.857407407406</v>
      </c>
      <c r="D5288" s="1" t="s">
        <v>10557</v>
      </c>
      <c r="E5288" s="1" t="str">
        <f ca="1">IFERROR(__xludf.DUMMYFUNCTION("GOOGLETRANSLATE(A2087 , ""tr"" , ""en"")"),"@drfahrettinka We want equal to work equal to 8 years ago in positive discrimination only equality. appointed after me ... https://t.co/umhmfybeci")</f>
        <v>@drfahrettinka We want equal to work equal to 8 years ago in positive discrimination only equality. appointed after me ... https://t.co/umhmfybeci</v>
      </c>
    </row>
    <row r="5289" spans="1:5" ht="15" customHeight="1" x14ac:dyDescent="0.2">
      <c r="A5289" s="1" t="s">
        <v>10558</v>
      </c>
      <c r="B5289" s="1">
        <v>11</v>
      </c>
      <c r="C5289" s="3">
        <v>44541.856608796297</v>
      </c>
      <c r="D5289" s="1" t="s">
        <v>10559</v>
      </c>
      <c r="E5289" s="1" t="str">
        <f ca="1">IFERROR(__xludf.DUMMYFUNCTION("GOOGLETRANSLATE(A2088 , ""tr"" , ""en"")"),"@drfahrettinkoca 2013 Given the staff in 2013 after 2016, the Diyanet was given in the Diyanette, 3 years later in health was given staff 4 + 2li ... https://t.co/pttpbrwlmq")</f>
        <v>@drfahrettinkoca 2013 Given the staff in 2013 after 2016, the Diyanet was given in the Diyanette, 3 years later in health was given staff 4 + 2li ... https://t.co/pttpbrwlmq</v>
      </c>
    </row>
    <row r="5290" spans="1:5" ht="15" customHeight="1" x14ac:dyDescent="0.2">
      <c r="A5290" s="1" t="s">
        <v>10560</v>
      </c>
      <c r="B5290" s="1">
        <v>0</v>
      </c>
      <c r="C5290" s="3">
        <v>44541.856458333335</v>
      </c>
      <c r="D5290" s="1" t="s">
        <v>10561</v>
      </c>
      <c r="E5290" s="1" t="str">
        <f ca="1">IFERROR(__xludf.DUMMYFUNCTION("GOOGLETRANSLATE(A2089 , ""tr"" , ""en"")"),"@drfahrettinkoca story blank conversion")</f>
        <v>@drfahrettinkoca story blank conversion</v>
      </c>
    </row>
    <row r="5291" spans="1:5" ht="15" customHeight="1" x14ac:dyDescent="0.2">
      <c r="A5291" s="1" t="s">
        <v>9815</v>
      </c>
      <c r="B5291" s="1">
        <v>0</v>
      </c>
      <c r="C5291" s="3">
        <v>44541.855810185189</v>
      </c>
      <c r="D5291" s="1" t="s">
        <v>10562</v>
      </c>
      <c r="E5291" s="1" t="str">
        <f ca="1">IFERROR(__xludf.DUMMYFUNCTION("GOOGLETRANSLATE(A2090 , ""tr"" , ""en"")"),"@drfahrettinkoca Last Minute Minimum Wage Description .... https://t.co/pele1qpmf1")</f>
        <v>@drfahrettinkoca Last Minute Minimum Wage Description .... https://t.co/pele1qpmf1</v>
      </c>
    </row>
    <row r="5292" spans="1:5" ht="15" customHeight="1" x14ac:dyDescent="0.2">
      <c r="A5292" s="1" t="s">
        <v>10563</v>
      </c>
      <c r="B5292" s="1">
        <v>0</v>
      </c>
      <c r="C5292" s="3">
        <v>44541.85255787037</v>
      </c>
      <c r="D5292" s="1" t="s">
        <v>10564</v>
      </c>
      <c r="E5292" s="1" t="str">
        <f ca="1">IFERROR(__xludf.DUMMYFUNCTION("GOOGLETRANSLATE(A2091 , ""tr"" , ""en"")"),"@drfahrettinkoca to you ... (me and in this process where he made an effort to announce the persecution of the persecution of the few numbers ... https://t.co/mke6kqefzz")</f>
        <v>@drfahrettinkoca to you ... (me and in this process where he made an effort to announce the persecution of the persecution of the few numbers ... https://t.co/mke6kqefzz</v>
      </c>
    </row>
    <row r="5293" spans="1:5" ht="15" customHeight="1" x14ac:dyDescent="0.2">
      <c r="A5293" s="1" t="s">
        <v>10565</v>
      </c>
      <c r="B5293" s="1">
        <v>0</v>
      </c>
      <c r="C5293" s="3">
        <v>44541.850740740738</v>
      </c>
      <c r="D5293" s="1" t="s">
        <v>10566</v>
      </c>
      <c r="E5293" s="1" t="str">
        <f ca="1">IFERROR(__xludf.DUMMYFUNCTION("GOOGLETRANSLATE(A2092 , ""tr"" , ""en"")"),"@drfahrettinkoca Mr. Minister If you are thinking of health personnel first saying the gospel in January 2020 ... https://t.co/rbw9awqinf")</f>
        <v>@drfahrettinkoca Mr. Minister If you are thinking of health personnel first saying the gospel in January 2020 ... https://t.co/rbw9awqinf</v>
      </c>
    </row>
    <row r="5294" spans="1:5" ht="15" customHeight="1" x14ac:dyDescent="0.2">
      <c r="A5294" s="1" t="s">
        <v>10567</v>
      </c>
      <c r="B5294" s="1">
        <v>0</v>
      </c>
      <c r="C5294" s="3">
        <v>44541.84883101852</v>
      </c>
      <c r="D5294" s="1" t="s">
        <v>10568</v>
      </c>
      <c r="E5294" s="1" t="str">
        <f ca="1">IFERROR(__xludf.DUMMYFUNCTION("GOOGLETRANSLATE(A2093 , ""tr"" , ""en"")"),"@drfahrettinkoca workers of the night differences in the workers and what will be overpaid overtime are two credited.")</f>
        <v>@drfahrettinkoca workers of the night differences in the workers and what will be overpaid overtime are two credited.</v>
      </c>
    </row>
    <row r="5295" spans="1:5" ht="15" customHeight="1" x14ac:dyDescent="0.2">
      <c r="A5295" s="1" t="s">
        <v>10569</v>
      </c>
      <c r="B5295" s="1">
        <v>2</v>
      </c>
      <c r="C5295" s="3">
        <v>44541.843344907407</v>
      </c>
      <c r="D5295" s="1" t="s">
        <v>10570</v>
      </c>
      <c r="E5295" s="1" t="str">
        <f ca="1">IFERROR(__xludf.DUMMYFUNCTION("GOOGLETRANSLATE(A2094 , ""tr"" , ""en"")"),"@drfahrettinka https://t.co/ko2s6psehd")</f>
        <v>@drfahrettinka https://t.co/ko2s6psehd</v>
      </c>
    </row>
    <row r="5296" spans="1:5" ht="15" customHeight="1" x14ac:dyDescent="0.2">
      <c r="A5296" s="1" t="s">
        <v>10571</v>
      </c>
      <c r="B5296" s="1">
        <v>0</v>
      </c>
      <c r="C5296" s="3">
        <v>44541.840694444443</v>
      </c>
      <c r="D5296" s="1" t="s">
        <v>10572</v>
      </c>
      <c r="E5296" s="1" t="str">
        <f ca="1">IFERROR(__xludf.DUMMYFUNCTION("GOOGLETRANSLATE(A2095 , ""tr"" , ""en"")"),"@drfahrettinkoca Intractory Non-Title Change: We are looking forward to the need for the collective agreement.")</f>
        <v>@drfahrettinkoca Intractory Non-Title Change: We are looking forward to the need for the collective agreement.</v>
      </c>
    </row>
    <row r="5297" spans="1:5" ht="15" customHeight="1" x14ac:dyDescent="0.2">
      <c r="A5297" s="1" t="s">
        <v>10573</v>
      </c>
      <c r="B5297" s="1">
        <v>0</v>
      </c>
      <c r="C5297" s="3">
        <v>44541.837835648148</v>
      </c>
      <c r="D5297" s="1" t="s">
        <v>10574</v>
      </c>
      <c r="E5297" s="1" t="str">
        <f ca="1">IFERROR(__xludf.DUMMYFUNCTION("GOOGLETRANSLATE(A2096 , ""tr"" , ""en"")"),"@drfahrettinkoca please hear our voice https://t.co/ojzpd9ex6x")</f>
        <v>@drfahrettinkoca please hear our voice https://t.co/ojzpd9ex6x</v>
      </c>
    </row>
    <row r="5298" spans="1:5" ht="15" customHeight="1" x14ac:dyDescent="0.2">
      <c r="A5298" s="1" t="s">
        <v>10575</v>
      </c>
      <c r="B5298" s="1">
        <v>1</v>
      </c>
      <c r="C5298" s="3">
        <v>44541.83761574074</v>
      </c>
      <c r="D5298" s="1" t="s">
        <v>10576</v>
      </c>
      <c r="E5298" s="1" t="str">
        <f ca="1">IFERROR(__xludf.DUMMYFUNCTION("GOOGLETRANSLATE(A2097 , ""tr"" , ""en"")"),"@drfahrettinkoca eee Result, our rights Odenmez 👏👏👏👏")</f>
        <v>@drfahrettinkoca eee Result, our rights Odenmez 👏👏👏👏</v>
      </c>
    </row>
    <row r="5299" spans="1:5" ht="15" customHeight="1" x14ac:dyDescent="0.2">
      <c r="A5299" s="1" t="s">
        <v>10577</v>
      </c>
      <c r="B5299" s="1">
        <v>0</v>
      </c>
      <c r="C5299" s="3">
        <v>44541.83693287037</v>
      </c>
      <c r="D5299" s="1" t="s">
        <v>10578</v>
      </c>
      <c r="E5299" s="1" t="str">
        <f ca="1">IFERROR(__xludf.DUMMYFUNCTION("GOOGLETRANSLATE(A2098 , ""tr"" , ""en"")"),"@drfahrettinka indefinitely contracted medical personnel waiting staff Mr. Ministry")</f>
        <v>@drfahrettinka indefinitely contracted medical personnel waiting staff Mr. Ministry</v>
      </c>
    </row>
    <row r="5300" spans="1:5" ht="15" customHeight="1" x14ac:dyDescent="0.2">
      <c r="A5300" s="1" t="s">
        <v>10579</v>
      </c>
      <c r="B5300" s="1">
        <v>7</v>
      </c>
      <c r="C5300" s="3">
        <v>44541.836493055554</v>
      </c>
      <c r="D5300" s="1" t="s">
        <v>10580</v>
      </c>
      <c r="E5300" s="1" t="str">
        <f ca="1">IFERROR(__xludf.DUMMYFUNCTION("GOOGLETRANSLATE(A2099 , ""tr"" , ""en"")"),"@drfahrettinkoca Ministry We are working for two years of homeland nationality We are working on our voice not turned out twice You applauded it too ... https://t.co/tsrsphao18")</f>
        <v>@drfahrettinkoca Ministry We are working for two years of homeland nationality We are working on our voice not turned out twice You applauded it too ... https://t.co/tsrsphao18</v>
      </c>
    </row>
    <row r="5301" spans="1:5" ht="15" customHeight="1" x14ac:dyDescent="0.2">
      <c r="A5301" s="1" t="s">
        <v>10581</v>
      </c>
      <c r="B5301" s="1">
        <v>0</v>
      </c>
      <c r="C5301" s="3">
        <v>44541.835729166669</v>
      </c>
      <c r="D5301" s="1" t="s">
        <v>10582</v>
      </c>
      <c r="E5301" s="1" t="str">
        <f ca="1">IFERROR(__xludf.DUMMYFUNCTION("GOOGLETRANSLATE(A2100 , ""tr"" , ""en"")"),"@drfahrettinkoca Well, you've been looking for working to work, awaiting healthy people in a while !!! Why are you ignoring us")</f>
        <v>@drfahrettinkoca Well, you've been looking for working to work, awaiting healthy people in a while !!! Why are you ignoring us</v>
      </c>
    </row>
    <row r="5302" spans="1:5" ht="15" customHeight="1" x14ac:dyDescent="0.2">
      <c r="A5302" s="1" t="s">
        <v>10583</v>
      </c>
      <c r="B5302" s="1">
        <v>0</v>
      </c>
      <c r="C5302" s="3">
        <v>44541.834421296298</v>
      </c>
      <c r="D5302" s="1" t="s">
        <v>10584</v>
      </c>
      <c r="E5302" s="1" t="str">
        <f ca="1">IFERROR(__xludf.DUMMYFUNCTION("GOOGLETRANSLATE(A2101 , ""tr"" , ""en"")"),"@drfahrettinkoca Employees in private hospitals should also benefit from these rights")</f>
        <v>@drfahrettinkoca Employees in private hospitals should also benefit from these rights</v>
      </c>
    </row>
    <row r="5303" spans="1:5" ht="15" customHeight="1" x14ac:dyDescent="0.2">
      <c r="A5303" s="1" t="s">
        <v>10585</v>
      </c>
      <c r="B5303" s="1">
        <v>0</v>
      </c>
      <c r="C5303" s="3">
        <v>44541.834409722222</v>
      </c>
      <c r="D5303" s="1" t="s">
        <v>10586</v>
      </c>
      <c r="E5303" s="1" t="str">
        <f ca="1">IFERROR(__xludf.DUMMYFUNCTION("GOOGLETRANSLATE(A2102 , ""tr"" , ""en"")"),"@drfahrettinkoca i hope our entitlement is given")</f>
        <v>@drfahrettinkoca i hope our entitlement is given</v>
      </c>
    </row>
    <row r="5304" spans="1:5" ht="15" customHeight="1" x14ac:dyDescent="0.2">
      <c r="A5304" s="1" t="s">
        <v>10587</v>
      </c>
      <c r="B5304" s="1">
        <v>0</v>
      </c>
      <c r="C5304" s="3">
        <v>44541.834340277775</v>
      </c>
      <c r="D5304" s="1" t="s">
        <v>10588</v>
      </c>
      <c r="E5304" s="1" t="str">
        <f ca="1">IFERROR(__xludf.DUMMYFUNCTION("GOOGLETRANSLATE(A2103 , ""tr"" , ""en"")"),"@drfahrettinkoca salaries will be under the minimum wage, always see all together")</f>
        <v>@drfahrettinkoca salaries will be under the minimum wage, always see all together</v>
      </c>
    </row>
    <row r="5305" spans="1:5" ht="15" customHeight="1" x14ac:dyDescent="0.2">
      <c r="A5305" s="1" t="s">
        <v>10589</v>
      </c>
      <c r="B5305" s="1">
        <v>5</v>
      </c>
      <c r="C5305" s="3">
        <v>44541.83153935185</v>
      </c>
      <c r="D5305" s="1" t="s">
        <v>10590</v>
      </c>
      <c r="E5305" s="1" t="str">
        <f ca="1">IFERROR(__xludf.DUMMYFUNCTION("GOOGLETRANSLATE(A2104 , ""tr"" , ""en"")"),"@drfahrettinkoca @drfahrettinkoca Health Worker You say not only physician, nurse, midwife, Laboranti, helpful ... https://t.co/rbxlq6ougd")</f>
        <v>@drfahrettinkoca @drfahrettinkoca Health Worker You say not only physician, nurse, midwife, Laboranti, helpful ... https://t.co/rbxlq6ougd</v>
      </c>
    </row>
    <row r="5306" spans="1:5" ht="15" customHeight="1" x14ac:dyDescent="0.2">
      <c r="A5306" s="1" t="s">
        <v>10591</v>
      </c>
      <c r="B5306" s="1">
        <v>0</v>
      </c>
      <c r="C5306" s="3">
        <v>44541.830428240741</v>
      </c>
      <c r="D5306" s="1" t="s">
        <v>10592</v>
      </c>
      <c r="E5306" s="1" t="str">
        <f ca="1">IFERROR(__xludf.DUMMYFUNCTION("GOOGLETRANSLATE(A2105 , ""tr"" , ""en"")"),"@drfahrettinkoca I hope this is the knowledge of what you say. You have a scolding Mazallah. We're sorry as folks.")</f>
        <v>@drfahrettinkoca I hope this is the knowledge of what you say. You have a scolding Mazallah. We're sorry as folks.</v>
      </c>
    </row>
    <row r="5307" spans="1:5" ht="15" customHeight="1" x14ac:dyDescent="0.2">
      <c r="A5307" s="1" t="s">
        <v>10593</v>
      </c>
      <c r="B5307" s="1">
        <v>0</v>
      </c>
      <c r="C5307" s="3">
        <v>44541.829942129632</v>
      </c>
      <c r="D5307" s="1" t="s">
        <v>10594</v>
      </c>
      <c r="E5307" s="1" t="str">
        <f ca="1">IFERROR(__xludf.DUMMYFUNCTION("GOOGLETRANSLATE(A2106 , ""tr"" , ""en"")"),"@drfahrettinka Let's make an appointment from the hospital Let's seek the resort to our diseases. Special hospital has open pandema ... https://t.co/9my1lmy9uv")</f>
        <v>@drfahrettinka Let's make an appointment from the hospital Let's seek the resort to our diseases. Special hospital has open pandema ... https://t.co/9my1lmy9uv</v>
      </c>
    </row>
    <row r="5308" spans="1:5" ht="15" customHeight="1" x14ac:dyDescent="0.2">
      <c r="A5308" s="1" t="s">
        <v>10595</v>
      </c>
      <c r="B5308" s="1">
        <v>0</v>
      </c>
      <c r="C5308" s="3">
        <v>44541.829351851855</v>
      </c>
      <c r="D5308" s="1" t="s">
        <v>10596</v>
      </c>
      <c r="E5308" s="1" t="str">
        <f ca="1">IFERROR(__xludf.DUMMYFUNCTION("GOOGLETRANSLATE(A2107 , ""tr"" , ""en"")"),"@drfahrettinkoca let's not distinguish between healthcare. We are making a cinfor her baft. Psychologists, Biologists, Medical ... https://t.co/0vg4fureho")</f>
        <v>@drfahrettinkoca let's not distinguish between healthcare. We are making a cinfor her baft. Psychologists, Biologists, Medical ... https://t.co/0vg4fureho</v>
      </c>
    </row>
    <row r="5309" spans="1:5" ht="15" customHeight="1" x14ac:dyDescent="0.2">
      <c r="A5309" s="1" t="s">
        <v>10597</v>
      </c>
      <c r="B5309" s="1">
        <v>2</v>
      </c>
      <c r="C5309" s="3">
        <v>44541.827164351853</v>
      </c>
      <c r="D5309" s="1" t="s">
        <v>10598</v>
      </c>
      <c r="E5309" s="1" t="str">
        <f ca="1">IFERROR(__xludf.DUMMYFUNCTION("GOOGLETRANSLATE(A2108 , ""tr"" , ""en"")"),"@drfahrettinkoca A little bit of the dental Olde Health Works Kim Bi Say Kim Sagikcian Not Bilki ... https://t.co/o3ywgfwdwd")</f>
        <v>@drfahrettinkoca A little bit of the dental Olde Health Works Kim Bi Say Kim Sagikcian Not Bilki ... https://t.co/o3ywgfwdwd</v>
      </c>
    </row>
    <row r="5310" spans="1:5" ht="15" customHeight="1" x14ac:dyDescent="0.2">
      <c r="A5310" s="1" t="s">
        <v>10599</v>
      </c>
      <c r="B5310" s="1">
        <v>0</v>
      </c>
      <c r="C5310" s="3">
        <v>44541.826932870368</v>
      </c>
      <c r="D5310" s="1" t="s">
        <v>10600</v>
      </c>
      <c r="E5310" s="1" t="str">
        <f ca="1">IFERROR(__xludf.DUMMYFUNCTION("GOOGLETRANSLATE(A2109 , ""tr"" , ""en"")"),"@drfahrettinkoca Doctor Bey I'm not saying I don't say I'm not saying. You don't even hear the benefit of patients ... https://t.co/IfSIBQ3Tay")</f>
        <v>@drfahrettinkoca Doctor Bey I'm not saying I don't say I'm not saying. You don't even hear the benefit of patients ... https://t.co/IfSIBQ3Tay</v>
      </c>
    </row>
    <row r="5311" spans="1:5" ht="15" customHeight="1" x14ac:dyDescent="0.2">
      <c r="A5311" s="1" t="s">
        <v>10601</v>
      </c>
      <c r="B5311" s="1">
        <v>5</v>
      </c>
      <c r="C5311" s="3">
        <v>44541.825370370374</v>
      </c>
      <c r="D5311" s="1" t="s">
        <v>10602</v>
      </c>
      <c r="E5311" s="1" t="str">
        <f ca="1">IFERROR(__xludf.DUMMYFUNCTION("GOOGLETRANSLATE(A2110 , ""tr"" , ""en"")"),"@drfahrettinkoca is the provision of new employment in the study area is the right to health worker @drfahrettinkoca # budget")</f>
        <v>@drfahrettinkoca is the provision of new employment in the study area is the right to health worker @drfahrettinkoca # budget</v>
      </c>
    </row>
    <row r="5312" spans="1:5" ht="15" customHeight="1" x14ac:dyDescent="0.2">
      <c r="A5312" s="1" t="s">
        <v>10603</v>
      </c>
      <c r="B5312" s="1">
        <v>5</v>
      </c>
      <c r="C5312" s="3">
        <v>44541.823437500003</v>
      </c>
      <c r="D5312" s="1" t="s">
        <v>10604</v>
      </c>
      <c r="E5312" s="1" t="str">
        <f ca="1">IFERROR(__xludf.DUMMYFUNCTION("GOOGLETRANSLATE(A2111 , ""tr"" , ""en"")"),"@drfahrettinkoca is fully reflected in retirement, over the poverty line, 3600 additional indicators, Seyanen Zamla Des ... https://t.co/9z0fghdaın")</f>
        <v>@drfahrettinkoca is fully reflected in retirement, over the poverty line, 3600 additional indicators, Seyanen Zamla Des ... https://t.co/9z0fghdaın</v>
      </c>
    </row>
    <row r="5313" spans="1:5" ht="15" customHeight="1" x14ac:dyDescent="0.2">
      <c r="A5313" s="1" t="s">
        <v>10605</v>
      </c>
      <c r="B5313" s="1">
        <v>9</v>
      </c>
      <c r="C5313" s="3">
        <v>44541.823009259257</v>
      </c>
      <c r="D5313" s="1" t="s">
        <v>10606</v>
      </c>
      <c r="E5313" s="1" t="str">
        <f ca="1">IFERROR(__xludf.DUMMYFUNCTION("GOOGLETRANSLATE(A2112 , ""tr"" , ""en"")"),"@drfahrettinkoca Mr. Minister Hospitals Brain Team HBYS Data Processing Employees What time ... https://t.co/ut9rj7k4om")</f>
        <v>@drfahrettinkoca Mr. Minister Hospitals Brain Team HBYS Data Processing Employees What time ... https://t.co/ut9rj7k4om</v>
      </c>
    </row>
    <row r="5314" spans="1:5" ht="15" customHeight="1" x14ac:dyDescent="0.2">
      <c r="A5314" s="1" t="s">
        <v>10607</v>
      </c>
      <c r="B5314" s="1">
        <v>3</v>
      </c>
      <c r="C5314" s="3">
        <v>44541.822326388887</v>
      </c>
      <c r="D5314" s="1" t="s">
        <v>10608</v>
      </c>
      <c r="E5314" s="1" t="str">
        <f ca="1">IFERROR(__xludf.DUMMYFUNCTION("GOOGLETRANSLATE(A2113 , ""tr"" , ""en"")"),"@drfahrettinka When hospitals are promised to promise to the brain team HBYS computing employees ... https://t.co/asq7tlabcn")</f>
        <v>@drfahrettinka When hospitals are promised to promise to the brain team HBYS computing employees ... https://t.co/asq7tlabcn</v>
      </c>
    </row>
    <row r="5315" spans="1:5" ht="15" customHeight="1" x14ac:dyDescent="0.2">
      <c r="A5315" s="1" t="s">
        <v>10609</v>
      </c>
      <c r="B5315" s="1">
        <v>0</v>
      </c>
      <c r="C5315" s="3">
        <v>44541.822314814817</v>
      </c>
      <c r="D5315" s="1" t="s">
        <v>10610</v>
      </c>
      <c r="E5315" s="1" t="str">
        <f ca="1">IFERROR(__xludf.DUMMYFUNCTION("GOOGLETRANSLATE(A2114 , ""tr"" , ""en"")"),"@drfahrettinkoca We don't understand anything from this LAF crowds Net talk no longer. Has the hugly hike? Y ... https://t.co/clobm0IMYG")</f>
        <v>@drfahrettinkoca We don't understand anything from this LAF crowds Net talk no longer. Has the hugly hike? Y ... https://t.co/clobm0IMYG</v>
      </c>
    </row>
    <row r="5316" spans="1:5" ht="15" customHeight="1" x14ac:dyDescent="0.2">
      <c r="A5316" s="1" t="s">
        <v>10611</v>
      </c>
      <c r="B5316" s="1">
        <v>0</v>
      </c>
      <c r="C5316" s="3">
        <v>44541.821689814817</v>
      </c>
      <c r="D5316" s="1" t="s">
        <v>10612</v>
      </c>
      <c r="E5316" s="1" t="str">
        <f ca="1">IFERROR(__xludf.DUMMYFUNCTION("GOOGLETRANSLATE(A2115 , ""tr"" , ""en"")"),"@drfahrettinkoca What did the Abi tell? Seriously I can't understand.")</f>
        <v>@drfahrettinkoca What did the Abi tell? Seriously I can't understand.</v>
      </c>
    </row>
    <row r="5317" spans="1:5" ht="15" customHeight="1" x14ac:dyDescent="0.2">
      <c r="A5317" s="1" t="s">
        <v>10613</v>
      </c>
      <c r="B5317" s="1">
        <v>6</v>
      </c>
      <c r="C5317" s="3">
        <v>44541.821643518517</v>
      </c>
      <c r="D5317" s="1" t="s">
        <v>10614</v>
      </c>
      <c r="E5317" s="1" t="str">
        <f ca="1">IFERROR(__xludf.DUMMYFUNCTION("GOOGLETRANSLATE(A2116 , ""tr"" , ""en"")"),"@drfahrettinkoca Don't explain the guide that you have already been exhausted to the Health Health You are still doing not to explain the guide ... https://t.co/btqp5cceog")</f>
        <v>@drfahrettinkoca Don't explain the guide that you have already been exhausted to the Health Health You are still doing not to explain the guide ... https://t.co/btqp5cceog</v>
      </c>
    </row>
    <row r="5318" spans="1:5" ht="15" customHeight="1" x14ac:dyDescent="0.2">
      <c r="A5318" s="1" t="s">
        <v>10615</v>
      </c>
      <c r="B5318" s="1">
        <v>1</v>
      </c>
      <c r="C5318" s="3">
        <v>44541.821516203701</v>
      </c>
      <c r="D5318" s="1" t="s">
        <v>10616</v>
      </c>
      <c r="E5318" s="1" t="str">
        <f ca="1">IFERROR(__xludf.DUMMYFUNCTION("GOOGLETRANSLATE(A2117 , ""tr"" , ""en"")"),"@drfahrettinkoca When to give hospitals brain team HBYS Trading employees to give the staff to promise ... https://t.co/5c9tmr6qwq")</f>
        <v>@drfahrettinkoca When to give hospitals brain team HBYS Trading employees to give the staff to promise ... https://t.co/5c9tmr6qwq</v>
      </c>
    </row>
    <row r="5319" spans="1:5" ht="15" customHeight="1" x14ac:dyDescent="0.2">
      <c r="A5319" s="1" t="s">
        <v>10617</v>
      </c>
      <c r="B5319" s="1">
        <v>0</v>
      </c>
      <c r="C5319" s="3">
        <v>44541.820833333331</v>
      </c>
      <c r="D5319" s="1" t="s">
        <v>10618</v>
      </c>
      <c r="E5319" s="1" t="str">
        <f ca="1">IFERROR(__xludf.DUMMYFUNCTION("GOOGLETRANSLATE(A2118 , ""tr"" , ""en"")"),"@drfahrettinkoca @drfahrettinkoca I'm used to this way to conversations. Praise Praise After Material Manev to Healthier ... https://t.co/gmhdxlqxe4")</f>
        <v>@drfahrettinkoca @drfahrettinkoca I'm used to this way to conversations. Praise Praise After Material Manev to Healthier ... https://t.co/gmhdxlqxe4</v>
      </c>
    </row>
    <row r="5320" spans="1:5" ht="15" customHeight="1" x14ac:dyDescent="0.2">
      <c r="A5320" s="1" t="s">
        <v>10619</v>
      </c>
      <c r="B5320" s="1">
        <v>0</v>
      </c>
      <c r="C5320" s="3">
        <v>44541.820798611108</v>
      </c>
      <c r="D5320" s="1" t="s">
        <v>10620</v>
      </c>
      <c r="E5320" s="1" t="str">
        <f ca="1">IFERROR(__xludf.DUMMYFUNCTION("GOOGLETRANSLATE(A2119 , ""tr"" , ""en"")"),"@drfahrettinkoca What did you say? What did you say? What did he tell you? Did you have the figure up? 🙈🙈🙈🙈")</f>
        <v>@drfahrettinkoca What did you say? What did you say? What did he tell you? Did you have the figure up? 🙈🙈🙈🙈</v>
      </c>
    </row>
    <row r="5321" spans="1:5" ht="15" customHeight="1" x14ac:dyDescent="0.2">
      <c r="A5321" s="1" t="s">
        <v>10621</v>
      </c>
      <c r="B5321" s="1">
        <v>1</v>
      </c>
      <c r="C5321" s="3">
        <v>44541.820717592593</v>
      </c>
      <c r="D5321" s="1" t="s">
        <v>10622</v>
      </c>
      <c r="E5321" s="1" t="str">
        <f ca="1">IFERROR(__xludf.DUMMYFUNCTION("GOOGLETRANSLATE(A2120 , ""tr"" , ""en"")"),"@drfahrettinkoca You will see when you hear about HBYS Did you not mention employees in Hbys 4 years ago? ... https://t.co/tdyusu1Iu")</f>
        <v>@drfahrettinkoca You will see when you hear about HBYS Did you not mention employees in Hbys 4 years ago? ... https://t.co/tdyusu1Iu</v>
      </c>
    </row>
    <row r="5322" spans="1:5" ht="15" customHeight="1" x14ac:dyDescent="0.2">
      <c r="A5322" s="1" t="s">
        <v>10623</v>
      </c>
      <c r="B5322" s="1">
        <v>0</v>
      </c>
      <c r="C5322" s="3">
        <v>44541.820625</v>
      </c>
      <c r="D5322" s="1" t="s">
        <v>10624</v>
      </c>
      <c r="E5322" s="1" t="str">
        <f ca="1">IFERROR(__xludf.DUMMYFUNCTION("GOOGLETRANSLATE(A2121 , ""tr"" , ""en"")"),"@drfahrettinkoca s: Ministry of Sagden Ministry and Registration institutions Saying Covid19 without day night ... HTTPS://T.CO/1GEQS7FL5A")</f>
        <v>@drfahrettinkoca s: Ministry of Sagden Ministry and Registration institutions Saying Covid19 without day night ... HTTPS://T.CO/1GEQS7FL5A</v>
      </c>
    </row>
    <row r="5323" spans="1:5" ht="15" customHeight="1" x14ac:dyDescent="0.2">
      <c r="A5323" s="1" t="s">
        <v>10625</v>
      </c>
      <c r="B5323" s="1">
        <v>1</v>
      </c>
      <c r="C5323" s="3">
        <v>44541.820497685185</v>
      </c>
      <c r="D5323" s="1" t="s">
        <v>10626</v>
      </c>
      <c r="E5323" s="1" t="str">
        <f ca="1">IFERROR(__xludf.DUMMYFUNCTION("GOOGLETRANSLATE(A2122 , ""tr"" , ""en"")"),"@drfahrettinkoca When you hear and see 4 years ago HBYS Did you not promise to promise to your employees? ... https://t.co/yengjcf1og")</f>
        <v>@drfahrettinkoca When you hear and see 4 years ago HBYS Did you not promise to promise to your employees? ... https://t.co/yengjcf1og</v>
      </c>
    </row>
    <row r="5324" spans="1:5" ht="15" customHeight="1" x14ac:dyDescent="0.2">
      <c r="A5324" s="1" t="s">
        <v>10627</v>
      </c>
      <c r="B5324" s="1">
        <v>0</v>
      </c>
      <c r="C5324" s="3">
        <v>44541.956087962964</v>
      </c>
      <c r="D5324" s="1" t="s">
        <v>10628</v>
      </c>
      <c r="E5324" s="1" t="str">
        <f ca="1">IFERROR(__xludf.DUMMYFUNCTION("GOOGLETRANSLATE(A2123 , ""tr"" , ""en"")"),"@drfahrettinkoca I think you only talk as physician Mr. Minister")</f>
        <v>@drfahrettinkoca I think you only talk as physician Mr. Minister</v>
      </c>
    </row>
    <row r="5325" spans="1:5" ht="15" customHeight="1" x14ac:dyDescent="0.2">
      <c r="A5325" s="1" t="s">
        <v>10629</v>
      </c>
      <c r="B5325" s="1">
        <v>1</v>
      </c>
      <c r="C5325" s="3">
        <v>44541.946296296293</v>
      </c>
      <c r="D5325" s="1" t="s">
        <v>10630</v>
      </c>
      <c r="E5325" s="1" t="str">
        <f ca="1">IFERROR(__xludf.DUMMYFUNCTION("GOOGLETRANSLATE(A2124 , ""tr"" , ""en"")"),"@drfahrettinkoca We have never seen a medicine that has been baiting Hippocrates.But you have worked hard as the vaccine companies.")</f>
        <v>@drfahrettinkoca We have never seen a medicine that has been baiting Hippocrates.But you have worked hard as the vaccine companies.</v>
      </c>
    </row>
    <row r="5326" spans="1:5" ht="15" customHeight="1" x14ac:dyDescent="0.2">
      <c r="A5326" s="1" t="s">
        <v>10631</v>
      </c>
      <c r="B5326" s="1">
        <v>0</v>
      </c>
      <c r="C5326" s="3">
        <v>44541.943101851852</v>
      </c>
      <c r="D5326" s="1" t="s">
        <v>10632</v>
      </c>
      <c r="E5326" s="1" t="str">
        <f ca="1">IFERROR(__xludf.DUMMYFUNCTION("GOOGLETRANSLATE(A2125 , ""tr"" , ""en"")"),"@drfahrettinkoca what happened to the man experimenting with babies")</f>
        <v>@drfahrettinkoca what happened to the man experimenting with babies</v>
      </c>
    </row>
    <row r="5327" spans="1:5" ht="15" customHeight="1" x14ac:dyDescent="0.2">
      <c r="A5327" s="1" t="s">
        <v>10633</v>
      </c>
      <c r="B5327" s="1">
        <v>0</v>
      </c>
      <c r="C5327" s="3">
        <v>44541.939027777778</v>
      </c>
      <c r="D5327" s="1" t="s">
        <v>10634</v>
      </c>
      <c r="E5327" s="1" t="str">
        <f ca="1">IFERROR(__xludf.DUMMYFUNCTION("GOOGLETRANSLATE(A2126 , ""tr"" , ""en"")"),"@drfahrettinkoca 30000 Numbers Verify and delight and then notifying that you do notify your minister is so excitedly waiting in ... https://t.co/md5by2l5mz")</f>
        <v>@drfahrettinkoca 30000 Numbers Verify and delight and then notifying that you do notify your minister is so excitedly waiting in ... https://t.co/md5by2l5mz</v>
      </c>
    </row>
    <row r="5328" spans="1:5" ht="15" customHeight="1" x14ac:dyDescent="0.2">
      <c r="A5328" s="1" t="s">
        <v>10635</v>
      </c>
      <c r="B5328" s="1">
        <v>0</v>
      </c>
      <c r="C5328" s="3">
        <v>44541.937013888892</v>
      </c>
      <c r="D5328" s="1" t="s">
        <v>10636</v>
      </c>
      <c r="E5328" s="1" t="str">
        <f ca="1">IFERROR(__xludf.DUMMYFUNCTION("GOOGLETRANSLATE(A2127 , ""tr"" , ""en"")"),"@drfahrettinka Ministry of Health Care Appointment The 20 is more than the day I can't get more than every Thursday and Tuesday ... https://t.co/snogznpbou")</f>
        <v>@drfahrettinka Ministry of Health Care Appointment The 20 is more than the day I can't get more than every Thursday and Tuesday ... https://t.co/snogznpbou</v>
      </c>
    </row>
    <row r="5329" spans="1:5" ht="15" customHeight="1" x14ac:dyDescent="0.2">
      <c r="A5329" s="1" t="s">
        <v>10637</v>
      </c>
      <c r="B5329" s="1">
        <v>0</v>
      </c>
      <c r="C5329" s="3">
        <v>44541.925613425927</v>
      </c>
      <c r="D5329" s="1" t="s">
        <v>10638</v>
      </c>
      <c r="E5329" s="1" t="str">
        <f ca="1">IFERROR(__xludf.DUMMYFUNCTION("GOOGLETRANSLATE(A2128 , ""tr"" , ""en"")"),"@drfahrettinkoca This week is 26 TL clothing helped. I think I think as Uzm Dr is not bad money with 26 TL.")</f>
        <v>@drfahrettinkoca This week is 26 TL clothing helped. I think I think as Uzm Dr is not bad money with 26 TL.</v>
      </c>
    </row>
    <row r="5330" spans="1:5" ht="15" customHeight="1" x14ac:dyDescent="0.2">
      <c r="A5330" s="1" t="s">
        <v>7766</v>
      </c>
      <c r="B5330" s="1">
        <v>0</v>
      </c>
      <c r="C5330" s="3">
        <v>44541.92386574074</v>
      </c>
      <c r="D5330" s="1" t="s">
        <v>10639</v>
      </c>
      <c r="E5330" s="1" t="str">
        <f ca="1">IFERROR(__xludf.DUMMYFUNCTION("GOOGLETRANSLATE(A2129 , ""tr"" , ""en"")"),"@drfahrettinkoca Dieticians are welcome to assign the assignment to the dietitians The minister is still the agencies with 90 above points")</f>
        <v>@drfahrettinkoca Dieticians are welcome to assign the assignment to the dietitians The minister is still the agencies with 90 above points</v>
      </c>
    </row>
    <row r="5331" spans="1:5" ht="15" customHeight="1" x14ac:dyDescent="0.2">
      <c r="A5331" s="1" t="s">
        <v>10640</v>
      </c>
      <c r="B5331" s="1">
        <v>0</v>
      </c>
      <c r="C5331" s="3">
        <v>44541.900034722225</v>
      </c>
      <c r="D5331" s="1" t="s">
        <v>10641</v>
      </c>
      <c r="E5331" s="1" t="str">
        <f ca="1">IFERROR(__xludf.DUMMYFUNCTION("GOOGLETRANSLATE(A2130 , ""tr"" , ""en"")"),"@drfahrettinkoca I'm embarrassed now really")</f>
        <v>@drfahrettinkoca I'm embarrassed now really</v>
      </c>
    </row>
    <row r="5332" spans="1:5" ht="15" customHeight="1" x14ac:dyDescent="0.2">
      <c r="A5332" s="1" t="s">
        <v>10642</v>
      </c>
      <c r="B5332" s="1">
        <v>0</v>
      </c>
      <c r="C5332" s="3">
        <v>44541.889594907407</v>
      </c>
      <c r="D5332" s="1" t="s">
        <v>10643</v>
      </c>
      <c r="E5332" s="1" t="str">
        <f ca="1">IFERROR(__xludf.DUMMYFUNCTION("GOOGLETRANSLATE(A2131 , ""tr"" , ""en"")"),"@drfahrettinkoca Hani physicians did not parse? Many of your present doctors parse all aspects. ... https://t.co/aodvettoyr")</f>
        <v>@drfahrettinkoca Hani physicians did not parse? Many of your present doctors parse all aspects. ... https://t.co/aodvettoyr</v>
      </c>
    </row>
    <row r="5333" spans="1:5" ht="15" customHeight="1" x14ac:dyDescent="0.2">
      <c r="A5333" s="1" t="s">
        <v>10644</v>
      </c>
      <c r="B5333" s="1">
        <v>0</v>
      </c>
      <c r="C5333" s="3">
        <v>44541.886342592596</v>
      </c>
      <c r="D5333" s="1" t="s">
        <v>10645</v>
      </c>
      <c r="E5333" s="1" t="str">
        <f ca="1">IFERROR(__xludf.DUMMYFUNCTION("GOOGLETRANSLATE(A2132 , ""tr"" , ""en"")"),"@drfahrettinkoca is called a doctor to don't do that. This is the event that")</f>
        <v>@drfahrettinkoca is called a doctor to don't do that. This is the event that</v>
      </c>
    </row>
    <row r="5334" spans="1:5" ht="15" customHeight="1" x14ac:dyDescent="0.2">
      <c r="A5334" s="1" t="s">
        <v>10646</v>
      </c>
      <c r="B5334" s="1">
        <v>0</v>
      </c>
      <c r="C5334" s="3">
        <v>44541.885879629626</v>
      </c>
      <c r="D5334" s="1" t="s">
        <v>10647</v>
      </c>
      <c r="E5334" s="1" t="str">
        <f ca="1">IFERROR(__xludf.DUMMYFUNCTION("GOOGLETRANSLATE(A2133 , ""tr"" , ""en"")"),"@drfahrettinkoca I'm on myself as I hate you here")</f>
        <v>@drfahrettinkoca I'm on myself as I hate you here</v>
      </c>
    </row>
    <row r="5335" spans="1:5" ht="15" customHeight="1" x14ac:dyDescent="0.2">
      <c r="A5335" s="1" t="s">
        <v>10648</v>
      </c>
      <c r="B5335" s="1">
        <v>3</v>
      </c>
      <c r="C5335" s="3">
        <v>44541.883831018517</v>
      </c>
      <c r="D5335" s="1" t="s">
        <v>10649</v>
      </c>
      <c r="E5335" s="1" t="str">
        <f ca="1">IFERROR(__xludf.DUMMYFUNCTION("GOOGLETRANSLATE(A2134 , ""tr"" , ""en"")"),"@drfahrettinkoca is that you don't do your doctor. #AccountsManding Wooden")</f>
        <v>@drfahrettinkoca is that you don't do your doctor. #AccountsManding Wooden</v>
      </c>
    </row>
    <row r="5336" spans="1:5" ht="15" customHeight="1" x14ac:dyDescent="0.2">
      <c r="A5336" s="1" t="s">
        <v>9388</v>
      </c>
      <c r="B5336" s="1">
        <v>1</v>
      </c>
      <c r="C5336" s="3">
        <v>44541.881921296299</v>
      </c>
      <c r="D5336" s="1" t="s">
        <v>10650</v>
      </c>
      <c r="E5336" s="1" t="str">
        <f ca="1">IFERROR(__xludf.DUMMYFUNCTION("GOOGLETRANSLATE(A2135 , ""tr"" , ""en"")"),"@drfahrettinkoca # Birbakan40kocayalan")</f>
        <v>@drfahrettinkoca # Birbakan40kocayalan</v>
      </c>
    </row>
    <row r="5337" spans="1:5" ht="15" customHeight="1" x14ac:dyDescent="0.2">
      <c r="A5337" s="1" t="s">
        <v>10651</v>
      </c>
      <c r="B5337" s="1">
        <v>8</v>
      </c>
      <c r="C5337" s="3">
        <v>44541.881724537037</v>
      </c>
      <c r="D5337" s="1" t="s">
        <v>10652</v>
      </c>
      <c r="E5337" s="1" t="str">
        <f ca="1">IFERROR(__xludf.DUMMYFUNCTION("GOOGLETRANSLATE(A2136 , ""tr"" , ""en"")"),"@drfahrettinka even in a country not given 16 sugars per day, how to stop us with 16 medicines on a day !! ... https://t.co/mxmkupyard")</f>
        <v>@drfahrettinka even in a country not given 16 sugars per day, how to stop us with 16 medicines on a day !! ... https://t.co/mxmkupyard</v>
      </c>
    </row>
    <row r="5338" spans="1:5" ht="15" customHeight="1" x14ac:dyDescent="0.2">
      <c r="A5338" s="1" t="s">
        <v>10653</v>
      </c>
      <c r="B5338" s="1">
        <v>0</v>
      </c>
      <c r="C5338" s="3">
        <v>44541.879363425927</v>
      </c>
      <c r="D5338" s="1" t="s">
        <v>10654</v>
      </c>
      <c r="E5338" s="1" t="str">
        <f ca="1">IFERROR(__xludf.DUMMYFUNCTION("GOOGLETRANSLATE(A2137 , ""tr"" , ""en"")"),"@drfahrettinka doctors crying blood crying Mr.")</f>
        <v>@drfahrettinka doctors crying blood crying Mr.</v>
      </c>
    </row>
    <row r="5339" spans="1:5" ht="15" customHeight="1" x14ac:dyDescent="0.2">
      <c r="A5339" s="1" t="s">
        <v>10655</v>
      </c>
      <c r="B5339" s="1">
        <v>0</v>
      </c>
      <c r="C5339" s="3">
        <v>44541.879328703704</v>
      </c>
      <c r="D5339" s="1" t="s">
        <v>10656</v>
      </c>
      <c r="E5339" s="1" t="str">
        <f ca="1">IFERROR(__xludf.DUMMYFUNCTION("GOOGLETRANSLATE(A2138 , ""tr"" , ""en"")"),"@drfahrettinkoca nurses and other health members do not have compassion, mercy, conscience only ... HTTPS://T.CO/CJNTBIGDY4")</f>
        <v>@drfahrettinkoca nurses and other health members do not have compassion, mercy, conscience only ... HTTPS://T.CO/CJNTBIGDY4</v>
      </c>
    </row>
    <row r="5340" spans="1:5" ht="15" customHeight="1" x14ac:dyDescent="0.2">
      <c r="A5340" s="1" t="s">
        <v>10657</v>
      </c>
      <c r="B5340" s="1">
        <v>0</v>
      </c>
      <c r="C5340" s="3">
        <v>44541.876261574071</v>
      </c>
      <c r="D5340" s="1" t="s">
        <v>10658</v>
      </c>
      <c r="E5340" s="1" t="str">
        <f ca="1">IFERROR(__xludf.DUMMYFUNCTION("GOOGLETRANSLATE(A2139 , ""tr"" , ""en"")"),"@drfahrettinkoca distance education")</f>
        <v>@drfahrettinkoca distance education</v>
      </c>
    </row>
    <row r="5341" spans="1:5" ht="15" customHeight="1" x14ac:dyDescent="0.2">
      <c r="A5341" s="1" t="s">
        <v>10659</v>
      </c>
      <c r="B5341" s="1">
        <v>1</v>
      </c>
      <c r="C5341" s="3">
        <v>44541.876238425924</v>
      </c>
      <c r="D5341" s="1" t="s">
        <v>10660</v>
      </c>
      <c r="E5341" s="1" t="str">
        <f ca="1">IFERROR(__xludf.DUMMYFUNCTION("GOOGLETRANSLATE(A2140 , ""tr"" , ""en"")"),"@drfahrettinkoca I said I said this time this time will not be the same, they said that the young people say 40 thousand they said, the result Ko ... https://t.co/vxh5u6sqsr")</f>
        <v>@drfahrettinkoca I said I said this time this time will not be the same, they said that the young people say 40 thousand they said, the result Ko ... https://t.co/vxh5u6sqsr</v>
      </c>
    </row>
    <row r="5342" spans="1:5" ht="15" customHeight="1" x14ac:dyDescent="0.2">
      <c r="A5342" s="1" t="s">
        <v>10661</v>
      </c>
      <c r="B5342" s="1">
        <v>1</v>
      </c>
      <c r="C5342" s="3">
        <v>44541.875150462962</v>
      </c>
      <c r="D5342" s="1" t="s">
        <v>10662</v>
      </c>
      <c r="E5342" s="1" t="str">
        <f ca="1">IFERROR(__xludf.DUMMYFUNCTION("GOOGLETRANSLATE(A2141 , ""tr"" , ""en"")"),"@drfahrettinkoca Mr. Minister You regret the doctor you are doctor, your good literary side is strong, poet ... https://t.co/jopf6cnayi")</f>
        <v>@drfahrettinkoca Mr. Minister You regret the doctor you are doctor, your good literary side is strong, poet ... https://t.co/jopf6cnayi</v>
      </c>
    </row>
    <row r="5343" spans="1:5" ht="15" customHeight="1" x14ac:dyDescent="0.2">
      <c r="A5343" s="1" t="s">
        <v>10663</v>
      </c>
      <c r="B5343" s="1">
        <v>2</v>
      </c>
      <c r="C5343" s="3">
        <v>44541.869386574072</v>
      </c>
      <c r="D5343" s="1" t="s">
        <v>10664</v>
      </c>
      <c r="E5343" s="1" t="str">
        <f ca="1">IFERROR(__xludf.DUMMYFUNCTION("GOOGLETRANSLATE(A2142 , ""tr"" , ""en"")"),"@drfahrettinkoca 40 thousand explanation and dropped the number up to 20 thousand! We are the right to be haram of you all! We Gen ... https://t.co/fcbw4b4ep5")</f>
        <v>@drfahrettinkoca 40 thousand explanation and dropped the number up to 20 thousand! We are the right to be haram of you all! We Gen ... https://t.co/fcbw4b4ep5</v>
      </c>
    </row>
    <row r="5344" spans="1:5" ht="15" customHeight="1" x14ac:dyDescent="0.2">
      <c r="A5344" s="1" t="s">
        <v>10665</v>
      </c>
      <c r="B5344" s="1">
        <v>0</v>
      </c>
      <c r="C5344" s="3">
        <v>44541.868946759256</v>
      </c>
      <c r="D5344" s="1" t="s">
        <v>10666</v>
      </c>
      <c r="E5344" s="1" t="str">
        <f ca="1">IFERROR(__xludf.DUMMYFUNCTION("GOOGLETRANSLATE(A2143 , ""tr"" , ""en"")"),"@drfahrettinkoca @drfahrettinkoca @drfahrettinkoca @rterdogan How do you guys black out our lives We are your youth Our blood ... https://t.co/aulaefwjvt")</f>
        <v>@drfahrettinkoca @drfahrettinkoca @drfahrettinkoca @rterdogan How do you guys black out our lives We are your youth Our blood ... https://t.co/aulaefwjvt</v>
      </c>
    </row>
    <row r="5345" spans="1:5" ht="15" customHeight="1" x14ac:dyDescent="0.2">
      <c r="A5345" s="1" t="s">
        <v>10667</v>
      </c>
      <c r="B5345" s="1">
        <v>0</v>
      </c>
      <c r="C5345" s="3">
        <v>44541.867129629631</v>
      </c>
      <c r="D5345" s="1" t="s">
        <v>10668</v>
      </c>
      <c r="E5345" s="1" t="str">
        <f ca="1">IFERROR(__xludf.DUMMYFUNCTION("GOOGLETRANSLATE(A2144 , ""tr"" , ""en"")"),"@drfahrettinkoca what was good formerly health system. Hospitals seemed heavy, people in operation scissors, ... https://t.co/7wbfinfzol")</f>
        <v>@drfahrettinkoca what was good formerly health system. Hospitals seemed heavy, people in operation scissors, ... https://t.co/7wbfinfzol</v>
      </c>
    </row>
    <row r="5346" spans="1:5" ht="15" customHeight="1" x14ac:dyDescent="0.2">
      <c r="A5346" s="1" t="s">
        <v>10669</v>
      </c>
      <c r="B5346" s="1">
        <v>0</v>
      </c>
      <c r="C5346" s="3">
        <v>44541.866435185184</v>
      </c>
      <c r="D5346" s="1" t="s">
        <v>10670</v>
      </c>
      <c r="E5346" s="1" t="str">
        <f ca="1">IFERROR(__xludf.DUMMYFUNCTION("GOOGLETRANSLATE(A2145 , ""tr"" , ""en"")"),"@drfahrettinkoca About 1200 complaints are the psychopat two doctors in the sultanagize don't you ask this k ... https://t.co/vjyhkhfya1")</f>
        <v>@drfahrettinkoca About 1200 complaints are the psychopat two doctors in the sultanagize don't you ask this k ... https://t.co/vjyhkhfya1</v>
      </c>
    </row>
    <row r="5347" spans="1:5" ht="15" customHeight="1" x14ac:dyDescent="0.2">
      <c r="A5347" s="1" t="s">
        <v>10671</v>
      </c>
      <c r="B5347" s="1">
        <v>0</v>
      </c>
      <c r="C5347" s="3">
        <v>44541.860127314816</v>
      </c>
      <c r="D5347" s="1" t="s">
        <v>10672</v>
      </c>
      <c r="E5347" s="1" t="str">
        <f ca="1">IFERROR(__xludf.DUMMYFUNCTION("GOOGLETRANSLATE(A2146 , ""tr"" , ""en"")"),"@drfahrettinkoca ha doctor, ha doctor minister noticed what")</f>
        <v>@drfahrettinkoca ha doctor, ha doctor minister noticed what</v>
      </c>
    </row>
    <row r="5348" spans="1:5" ht="15" customHeight="1" x14ac:dyDescent="0.2">
      <c r="A5348" s="1" t="s">
        <v>10673</v>
      </c>
      <c r="B5348" s="1">
        <v>0</v>
      </c>
      <c r="C5348" s="3">
        <v>44541.856574074074</v>
      </c>
      <c r="D5348" s="1" t="s">
        <v>10674</v>
      </c>
      <c r="E5348" s="1" t="str">
        <f ca="1">IFERROR(__xludf.DUMMYFUNCTION("GOOGLETRANSLATE(A2147 , ""tr"" , ""en"")"),"@drfahrettinkoca @saglikbakanligi Unitable Health Workers Rights What will be")</f>
        <v>@drfahrettinkoca @saglikbakanligi Unitable Health Workers Rights What will be</v>
      </c>
    </row>
    <row r="5349" spans="1:5" ht="15" customHeight="1" x14ac:dyDescent="0.2">
      <c r="A5349" s="1" t="s">
        <v>10675</v>
      </c>
      <c r="B5349" s="1">
        <v>6</v>
      </c>
      <c r="C5349" s="3">
        <v>44541.848935185182</v>
      </c>
      <c r="D5349" s="1" t="s">
        <v>10676</v>
      </c>
      <c r="E5349" s="1" t="str">
        <f ca="1">IFERROR(__xludf.DUMMYFUNCTION("GOOGLETRANSLATE(A2148 , ""tr"" , ""en"")"),"@drfahrettinkoca has reduced patients with health workers for two years. People also respect, love, taham ... https://t.co/wvntcxa6d9")</f>
        <v>@drfahrettinkoca has reduced patients with health workers for two years. People also respect, love, taham ... https://t.co/wvntcxa6d9</v>
      </c>
    </row>
    <row r="5350" spans="1:5" ht="15" customHeight="1" x14ac:dyDescent="0.2">
      <c r="A5350" s="1" t="s">
        <v>10677</v>
      </c>
      <c r="B5350" s="1">
        <v>1</v>
      </c>
      <c r="C5350" s="3">
        <v>44541.845601851855</v>
      </c>
      <c r="D5350" s="1" t="s">
        <v>10678</v>
      </c>
      <c r="E5350" s="1" t="str">
        <f ca="1">IFERROR(__xludf.DUMMYFUNCTION("GOOGLETRANSLATE(A2149 , ""tr"" , ""en"")"),"@drfahrettinkoca mom 78 years old 4-stage chest cancer is in the heart and the problem in the kidney Ankara City Hospital Yacht ... https://t.co/r9cesrwpe1")</f>
        <v>@drfahrettinkoca mom 78 years old 4-stage chest cancer is in the heart and the problem in the kidney Ankara City Hospital Yacht ... https://t.co/r9cesrwpe1</v>
      </c>
    </row>
    <row r="5351" spans="1:5" ht="15" customHeight="1" x14ac:dyDescent="0.2">
      <c r="A5351" s="1" t="s">
        <v>10679</v>
      </c>
      <c r="B5351" s="1">
        <v>2</v>
      </c>
      <c r="C5351" s="3">
        <v>44541.842210648145</v>
      </c>
      <c r="D5351" s="1" t="s">
        <v>10680</v>
      </c>
      <c r="E5351" s="1" t="str">
        <f ca="1">IFERROR(__xludf.DUMMYFUNCTION("GOOGLETRANSLATE(A2150 , ""tr"" , ""en"")"),"I'm in @drfahrettinkoca shock but I'm glad to remember your occupation. Unfortunately for some reason in this period ... https://t.co/x94mb78poe")</f>
        <v>I'm in @drfahrettinkoca shock but I'm glad to remember your occupation. Unfortunately for some reason in this period ... https://t.co/x94mb78poe</v>
      </c>
    </row>
    <row r="5352" spans="1:5" ht="15" customHeight="1" x14ac:dyDescent="0.2">
      <c r="A5352" s="1" t="s">
        <v>10681</v>
      </c>
      <c r="B5352" s="1">
        <v>6</v>
      </c>
      <c r="C5352" s="3">
        <v>44541.83929398148</v>
      </c>
      <c r="D5352" s="1" t="s">
        <v>10682</v>
      </c>
      <c r="E5352" s="1" t="str">
        <f ca="1">IFERROR(__xludf.DUMMYFUNCTION("GOOGLETRANSLATE(A2151 , ""tr"" , ""en"")"),"@drfahrettinkoca So in this country is only doctorated in Doctor. Other employees are not unfair b ... https://t.co/9SS5MCRIUW")</f>
        <v>@drfahrettinkoca So in this country is only doctorated in Doctor. Other employees are not unfair b ... https://t.co/9SS5MCRIUW</v>
      </c>
    </row>
    <row r="5353" spans="1:5" ht="15" customHeight="1" x14ac:dyDescent="0.2">
      <c r="A5353" s="1" t="s">
        <v>10683</v>
      </c>
      <c r="B5353" s="1">
        <v>0</v>
      </c>
      <c r="C5353" s="3">
        <v>44541.837581018517</v>
      </c>
      <c r="D5353" s="1" t="s">
        <v>10684</v>
      </c>
      <c r="E5353" s="1" t="str">
        <f ca="1">IFERROR(__xludf.DUMMYFUNCTION("GOOGLETRANSLATE(A2152 , ""tr"" , ""en"")"),"@drfahrettinkoca SMA Forgot kids 😢 https://t.co/ojzpd9ex6x")</f>
        <v>@drfahrettinkoca SMA Forgot kids 😢 https://t.co/ojzpd9ex6x</v>
      </c>
    </row>
    <row r="5354" spans="1:5" ht="15" customHeight="1" x14ac:dyDescent="0.2">
      <c r="A5354" s="1" t="s">
        <v>10685</v>
      </c>
      <c r="B5354" s="1">
        <v>0</v>
      </c>
      <c r="C5354" s="3">
        <v>44541.831747685188</v>
      </c>
      <c r="D5354" s="1" t="s">
        <v>10686</v>
      </c>
      <c r="E5354" s="1" t="str">
        <f ca="1">IFERROR(__xludf.DUMMYFUNCTION("GOOGLETRANSLATE(A2153 , ""tr"" , ""en"")"),"@drfahrettinkoca no oayle-yes yes physicians press the taci but health team is a team trail to all of us ... https://t.co/j9xd88fskf")</f>
        <v>@drfahrettinkoca no oayle-yes yes physicians press the taci but health team is a team trail to all of us ... https://t.co/j9xd88fskf</v>
      </c>
    </row>
    <row r="5355" spans="1:5" ht="15" customHeight="1" x14ac:dyDescent="0.2">
      <c r="A5355" s="1" t="s">
        <v>10687</v>
      </c>
      <c r="B5355" s="1">
        <v>1</v>
      </c>
      <c r="C5355" s="3">
        <v>44541.830300925925</v>
      </c>
      <c r="D5355" s="1" t="s">
        <v>10688</v>
      </c>
      <c r="E5355" s="1" t="str">
        <f ca="1">IFERROR(__xludf.DUMMYFUNCTION("GOOGLETRANSLATE(A2154 , ""tr"" , ""en"")"),"@drfahrettinkoca Don't be nurse whatever you are.")</f>
        <v>@drfahrettinkoca Don't be nurse whatever you are.</v>
      </c>
    </row>
    <row r="5356" spans="1:5" ht="15" customHeight="1" x14ac:dyDescent="0.2">
      <c r="A5356" s="1" t="s">
        <v>10689</v>
      </c>
      <c r="B5356" s="1">
        <v>0</v>
      </c>
      <c r="C5356" s="3">
        <v>44541.828206018516</v>
      </c>
      <c r="D5356" s="1" t="s">
        <v>10690</v>
      </c>
      <c r="E5356" s="1" t="str">
        <f ca="1">IFERROR(__xludf.DUMMYFUNCTION("GOOGLETRANSLATE(A2155 , ""tr"" , ""en"")"),"@drfahrettinkoca ie the result, dying donkey dying ...")</f>
        <v>@drfahrettinkoca ie the result, dying donkey dying ...</v>
      </c>
    </row>
    <row r="5357" spans="1:5" ht="15" customHeight="1" x14ac:dyDescent="0.2">
      <c r="A5357" s="1" t="s">
        <v>10691</v>
      </c>
      <c r="B5357" s="1">
        <v>0</v>
      </c>
      <c r="C5357" s="3">
        <v>44541.825381944444</v>
      </c>
      <c r="D5357" s="1" t="s">
        <v>10692</v>
      </c>
      <c r="E5357" s="1" t="str">
        <f ca="1">IFERROR(__xludf.DUMMYFUNCTION("GOOGLETRANSLATE(A2156 , ""tr"" , ""en"")"),"@drfahrettinkoca Mr. Minister, please bother bi Search for Bi State Hospital. Look, let's see it ... https://t.co/lng9znm9db")</f>
        <v>@drfahrettinkoca Mr. Minister, please bother bi Search for Bi State Hospital. Look, let's see it ... https://t.co/lng9znm9db</v>
      </c>
    </row>
    <row r="5358" spans="1:5" ht="15" customHeight="1" x14ac:dyDescent="0.2">
      <c r="A5358" s="1" t="s">
        <v>10693</v>
      </c>
      <c r="B5358" s="1">
        <v>0</v>
      </c>
      <c r="C5358" s="3">
        <v>44541.824502314812</v>
      </c>
      <c r="D5358" s="1" t="s">
        <v>10694</v>
      </c>
      <c r="E5358" s="1" t="str">
        <f ca="1">IFERROR(__xludf.DUMMYFUNCTION("GOOGLETRANSLATE(A2157 , ""tr"" , ""en"")"),"@drfahrettinkoca Really comma, don't know what to do the point?")</f>
        <v>@drfahrettinkoca Really comma, don't know what to do the point?</v>
      </c>
    </row>
    <row r="5359" spans="1:5" ht="15" customHeight="1" x14ac:dyDescent="0.2">
      <c r="A5359" s="1" t="s">
        <v>10695</v>
      </c>
      <c r="B5359" s="1">
        <v>3</v>
      </c>
      <c r="C5359" s="3">
        <v>44541.823159722226</v>
      </c>
      <c r="D5359" s="1" t="s">
        <v>10696</v>
      </c>
      <c r="E5359" s="1" t="str">
        <f ca="1">IFERROR(__xludf.DUMMYFUNCTION("GOOGLETRANSLATE(A2158 , ""tr"" , ""en"")"),"@drfahrettinkoca We are most doctors who do not be a doctor of the doctors the veterinarian, he also replaces the animals, ha ... https://t.co/zh6sqywyrw")</f>
        <v>@drfahrettinkoca We are most doctors who do not be a doctor of the doctors the veterinarian, he also replaces the animals, ha ... https://t.co/zh6sqywyrw</v>
      </c>
    </row>
    <row r="5360" spans="1:5" ht="15" customHeight="1" x14ac:dyDescent="0.2">
      <c r="A5360" s="1" t="s">
        <v>10697</v>
      </c>
      <c r="B5360" s="1">
        <v>1</v>
      </c>
      <c r="C5360" s="3">
        <v>44541.821331018517</v>
      </c>
      <c r="D5360" s="1" t="s">
        <v>10698</v>
      </c>
      <c r="E5360" s="1" t="str">
        <f ca="1">IFERROR(__xludf.DUMMYFUNCTION("GOOGLETRANSLATE(A2159 , ""tr"" , ""en"")"),"@drfahrettinkoca @saglikbakanligi You don't say the Covid Minister ??? What is the medical minister ???")</f>
        <v>@drfahrettinkoca @saglikbakanligi You don't say the Covid Minister ??? What is the medical minister ???</v>
      </c>
    </row>
    <row r="5361" spans="1:5" ht="15" customHeight="1" x14ac:dyDescent="0.2">
      <c r="A5361" s="1" t="s">
        <v>10699</v>
      </c>
      <c r="B5361" s="1">
        <v>0</v>
      </c>
      <c r="C5361" s="3">
        <v>44542.9141087963</v>
      </c>
      <c r="D5361" s="1" t="s">
        <v>10700</v>
      </c>
      <c r="E5361" s="1" t="str">
        <f ca="1">IFERROR(__xludf.DUMMYFUNCTION("GOOGLETRANSLATE(A2160 , ""tr"" , ""en"")"),"@drfahrettinkoca We don't want to love Libital Respect I wish they are .2 years of chronic diseases control O ... https://t.co/I1zg9rhspa")</f>
        <v>@drfahrettinkoca We don't want to love Libital Respect I wish they are .2 years of chronic diseases control O ... https://t.co/I1zg9rhspa</v>
      </c>
    </row>
    <row r="5362" spans="1:5" ht="15" customHeight="1" x14ac:dyDescent="0.2">
      <c r="A5362" s="1" t="s">
        <v>10701</v>
      </c>
      <c r="B5362" s="1">
        <v>0</v>
      </c>
      <c r="C5362" s="3">
        <v>44542.90965277778</v>
      </c>
      <c r="D5362" s="1" t="s">
        <v>10702</v>
      </c>
      <c r="E5362" s="1" t="str">
        <f ca="1">IFERROR(__xludf.DUMMYFUNCTION("GOOGLETRANSLATE(A2161 , ""tr"" , ""en"")"),"@drfahrettinkoca we spent the pandema with a corrupted Turkish guy overlooking the paper in front of 5 seconds in 5 seconds ..")</f>
        <v>@drfahrettinkoca we spent the pandema with a corrupted Turkish guy overlooking the paper in front of 5 seconds in 5 seconds ..</v>
      </c>
    </row>
    <row r="5363" spans="1:5" ht="15" customHeight="1" x14ac:dyDescent="0.2">
      <c r="A5363" s="1" t="s">
        <v>10703</v>
      </c>
      <c r="B5363" s="1">
        <v>0</v>
      </c>
      <c r="C5363" s="3">
        <v>44542.86037037037</v>
      </c>
      <c r="D5363" s="1" t="s">
        <v>10704</v>
      </c>
      <c r="E5363" s="1" t="str">
        <f ca="1">IFERROR(__xludf.DUMMYFUNCTION("GOOGLETRANSLATE(A2162 , ""tr"" , ""en"")"),"@drfahrettinkoca weeks are not hearing our voice, you are blind, deaf.")</f>
        <v>@drfahrettinkoca weeks are not hearing our voice, you are blind, deaf.</v>
      </c>
    </row>
    <row r="5364" spans="1:5" ht="15" customHeight="1" x14ac:dyDescent="0.2">
      <c r="A5364" s="1" t="s">
        <v>10705</v>
      </c>
      <c r="B5364" s="1">
        <v>0</v>
      </c>
      <c r="C5364" s="3">
        <v>44542.818553240744</v>
      </c>
      <c r="D5364" s="1" t="s">
        <v>10706</v>
      </c>
      <c r="E5364" s="1" t="str">
        <f ca="1">IFERROR(__xludf.DUMMYFUNCTION("GOOGLETRANSLATE(A2163 , ""tr"" , ""en"")"),"@drfahrettinkoca We can't examine the university hospital in the hospital, because the teachers are private at the time of work ... https://t.co/16jaskepnr")</f>
        <v>@drfahrettinkoca We can't examine the university hospital in the hospital, because the teachers are private at the time of work ... https://t.co/16jaskepnr</v>
      </c>
    </row>
    <row r="5365" spans="1:5" ht="15" customHeight="1" x14ac:dyDescent="0.2">
      <c r="A5365" s="1" t="s">
        <v>10707</v>
      </c>
      <c r="B5365" s="1">
        <v>1</v>
      </c>
      <c r="C5365" s="3">
        <v>44542.817314814813</v>
      </c>
      <c r="D5365" s="1" t="s">
        <v>10708</v>
      </c>
      <c r="E5365" s="1" t="str">
        <f ca="1">IFERROR(__xludf.DUMMYFUNCTION("GOOGLETRANSLATE(A2164 , ""tr"" , ""en"")"),"@drfahrettinkoca Vip patients in university hospitals were viewed, what was the crime of Anatolian man, or the university is ... https://t.co/gfigmltgm")</f>
        <v>@drfahrettinkoca Vip patients in university hospitals were viewed, what was the crime of Anatolian man, or the university is ... https://t.co/gfigmltgm</v>
      </c>
    </row>
    <row r="5366" spans="1:5" ht="15" customHeight="1" x14ac:dyDescent="0.2">
      <c r="A5366" s="1" t="s">
        <v>10709</v>
      </c>
      <c r="B5366" s="1">
        <v>0</v>
      </c>
      <c r="C5366" s="3">
        <v>44542.815069444441</v>
      </c>
      <c r="D5366" s="1" t="s">
        <v>10710</v>
      </c>
      <c r="E5366" s="1" t="str">
        <f ca="1">IFERROR(__xludf.DUMMYFUNCTION("GOOGLETRANSLATE(A2165 , ""tr"" , ""en"")"),"@drfahrettinkoca State hospitals you pay Covit in University hospitals to the Board of Directors in University hospitals BI ... https://t.co/t5zfuqo9zi")</f>
        <v>@drfahrettinkoca State hospitals you pay Covit in University hospitals to the Board of Directors in University hospitals BI ... https://t.co/t5zfuqo9zi</v>
      </c>
    </row>
    <row r="5367" spans="1:5" ht="15" customHeight="1" x14ac:dyDescent="0.2">
      <c r="A5367" s="1" t="s">
        <v>10711</v>
      </c>
      <c r="B5367" s="1">
        <v>2</v>
      </c>
      <c r="C5367" s="3">
        <v>44542.813923611109</v>
      </c>
      <c r="D5367" s="1" t="s">
        <v>10712</v>
      </c>
      <c r="E5367" s="1" t="str">
        <f ca="1">IFERROR(__xludf.DUMMYFUNCTION("GOOGLETRANSLATE(A2166 , ""tr"" , ""en"")"),"@drfahrettinkoca I'm at the university hospital I'm roster but I'm assigned and I'm not gonna be gonna be gone to another institution. Determination of Spouse Status i ... https://t.co/bbbbgfyora")</f>
        <v>@drfahrettinkoca I'm at the university hospital I'm roster but I'm assigned and I'm not gonna be gonna be gone to another institution. Determination of Spouse Status i ... https://t.co/bbbbgfyora</v>
      </c>
    </row>
    <row r="5368" spans="1:5" ht="15" customHeight="1" x14ac:dyDescent="0.2">
      <c r="A5368" s="1" t="s">
        <v>10713</v>
      </c>
      <c r="B5368" s="1">
        <v>0</v>
      </c>
      <c r="C5368" s="3">
        <v>44542.812337962961</v>
      </c>
      <c r="D5368" s="1" t="s">
        <v>10714</v>
      </c>
      <c r="E5368" s="1" t="str">
        <f ca="1">IFERROR(__xludf.DUMMYFUNCTION("GOOGLETRANSLATE(A2167 , ""tr"" , ""en"")"),"@drfahrettinkoca dr, physician dr, only drives to your mind when you say the physician. I wish Dr. Department and health ... https://t.co/khqlm08pb5")</f>
        <v>@drfahrettinkoca dr, physician dr, only drives to your mind when you say the physician. I wish Dr. Department and health ... https://t.co/khqlm08pb5</v>
      </c>
    </row>
    <row r="5369" spans="1:5" ht="15" customHeight="1" x14ac:dyDescent="0.2">
      <c r="A5369" s="1" t="s">
        <v>10715</v>
      </c>
      <c r="B5369" s="1">
        <v>0</v>
      </c>
      <c r="C5369" s="3">
        <v>44542.776909722219</v>
      </c>
      <c r="D5369" s="1" t="s">
        <v>10716</v>
      </c>
      <c r="E5369" s="1" t="str">
        <f ca="1">IFERROR(__xludf.DUMMYFUNCTION("GOOGLETRANSLATE(A2168 , ""tr"" , ""en"")"),"@drfahrettinkoca, go to bi no longer, or we are going ...")</f>
        <v>@drfahrettinkoca, go to bi no longer, or we are going ...</v>
      </c>
    </row>
    <row r="5370" spans="1:5" ht="15" customHeight="1" x14ac:dyDescent="0.2">
      <c r="A5370" s="1" t="s">
        <v>10717</v>
      </c>
      <c r="B5370" s="1">
        <v>0</v>
      </c>
      <c r="C5370" s="3">
        <v>44542.731168981481</v>
      </c>
      <c r="D5370" s="1" t="s">
        <v>10718</v>
      </c>
      <c r="E5370" s="1" t="str">
        <f ca="1">IFERROR(__xludf.DUMMYFUNCTION("GOOGLETRANSLATE(A2169 , ""tr"" , ""en"")"),"@drfahrettinkoca School Close Up Yavan Kovit Olacazav")</f>
        <v>@drfahrettinkoca School Close Up Yavan Kovit Olacazav</v>
      </c>
    </row>
    <row r="5371" spans="1:5" ht="15" customHeight="1" x14ac:dyDescent="0.2">
      <c r="A5371" s="1" t="s">
        <v>10719</v>
      </c>
      <c r="B5371" s="1">
        <v>0</v>
      </c>
      <c r="C5371" s="3">
        <v>44543.920856481483</v>
      </c>
      <c r="D5371" s="1" t="s">
        <v>10720</v>
      </c>
      <c r="E5371" s="1" t="str">
        <f ca="1">IFERROR(__xludf.DUMMYFUNCTION("GOOGLETRANSLATE(A2170 , ""tr"" , ""en"")"),"@drfahrettinka https://t.co/h5ifloqr81")</f>
        <v>@drfahrettinka https://t.co/h5ifloqr81</v>
      </c>
    </row>
    <row r="5372" spans="1:5" ht="15" customHeight="1" x14ac:dyDescent="0.2">
      <c r="A5372" s="1" t="s">
        <v>10721</v>
      </c>
      <c r="B5372" s="1">
        <v>0</v>
      </c>
      <c r="C5372" s="3">
        <v>44541.991493055553</v>
      </c>
      <c r="D5372" s="1" t="s">
        <v>10722</v>
      </c>
      <c r="E5372" s="1" t="str">
        <f ca="1">IFERROR(__xludf.DUMMYFUNCTION("GOOGLETRANSLATE(A2171 , ""tr"" , ""en"")"),"@drfahrettinka Mr. Minister The medical materials we give to hospitals have not received the payment of 18 months. In this budget ... https://t.co/Ikaop0zshc")</f>
        <v>@drfahrettinka Mr. Minister The medical materials we give to hospitals have not received the payment of 18 months. In this budget ... https://t.co/Ikaop0zshc</v>
      </c>
    </row>
    <row r="5373" spans="1:5" ht="15" customHeight="1" x14ac:dyDescent="0.2">
      <c r="A5373" s="1" t="s">
        <v>10723</v>
      </c>
      <c r="B5373" s="1">
        <v>1</v>
      </c>
      <c r="C5373" s="3">
        <v>44541.975439814814</v>
      </c>
      <c r="D5373" s="1" t="s">
        <v>10724</v>
      </c>
      <c r="E5373" s="1" t="str">
        <f ca="1">IFERROR(__xludf.DUMMYFUNCTION("GOOGLETRANSLATE(A2172 , ""tr"" , ""en"")"),"@drfahrettinkoca Disabled Health People Want to be Provided for 4 years Nadirara / d0nspbhtmy")</f>
        <v>@drfahrettinkoca Disabled Health People Want to be Provided for 4 years Nadirara / d0nspbhtmy</v>
      </c>
    </row>
    <row r="5374" spans="1:5" ht="15" customHeight="1" x14ac:dyDescent="0.2">
      <c r="A5374" s="1" t="s">
        <v>10725</v>
      </c>
      <c r="B5374" s="1">
        <v>0</v>
      </c>
      <c r="C5374" s="3">
        <v>44541.974363425928</v>
      </c>
      <c r="D5374" s="1" t="s">
        <v>10726</v>
      </c>
      <c r="E5374" s="1" t="str">
        <f ca="1">IFERROR(__xludf.DUMMYFUNCTION("GOOGLETRANSLATE(A2173 , ""tr"" , ""en"")"),"@drfahrettinkoca Disabled Health People Want to be Provided for 4 years Nadirara / cpmspck8hs")</f>
        <v>@drfahrettinkoca Disabled Health People Want to be Provided for 4 years Nadirara / cpmspck8hs</v>
      </c>
    </row>
    <row r="5375" spans="1:5" ht="15" customHeight="1" x14ac:dyDescent="0.2">
      <c r="A5375" s="1" t="s">
        <v>10727</v>
      </c>
      <c r="B5375" s="1">
        <v>0</v>
      </c>
      <c r="C5375" s="3">
        <v>44541.974108796298</v>
      </c>
      <c r="D5375" s="1" t="s">
        <v>10728</v>
      </c>
      <c r="E5375" s="1" t="str">
        <f ca="1">IFERROR(__xludf.DUMMYFUNCTION("GOOGLETRANSLATE(A2174 , ""tr"" , ""en"")"),"@drfahrettinkoca Disabled Health People Want to be Provided for 4 years Nadirara / rcl0hybbvu")</f>
        <v>@drfahrettinkoca Disabled Health People Want to be Provided for 4 years Nadirara / rcl0hybbvu</v>
      </c>
    </row>
    <row r="5376" spans="1:5" ht="15" customHeight="1" x14ac:dyDescent="0.2">
      <c r="A5376" s="1" t="s">
        <v>10729</v>
      </c>
      <c r="B5376" s="1">
        <v>0</v>
      </c>
      <c r="C5376" s="3">
        <v>44541.974016203705</v>
      </c>
      <c r="D5376" s="1" t="s">
        <v>10730</v>
      </c>
      <c r="E5376" s="1" t="str">
        <f ca="1">IFERROR(__xludf.DUMMYFUNCTION("GOOGLETRANSLATE(A2175 , ""tr"" , ""en"")"),"@drfahrettinkoca Disabled Health People Want to be Provided for 4 years Nadirara / 7ofkqunocq")</f>
        <v>@drfahrettinkoca Disabled Health People Want to be Provided for 4 years Nadirara / 7ofkqunocq</v>
      </c>
    </row>
    <row r="5377" spans="1:5" ht="15" customHeight="1" x14ac:dyDescent="0.2">
      <c r="A5377" s="1" t="s">
        <v>10731</v>
      </c>
      <c r="B5377" s="1">
        <v>0</v>
      </c>
      <c r="C5377" s="3">
        <v>44541.973935185182</v>
      </c>
      <c r="D5377" s="1" t="s">
        <v>10732</v>
      </c>
      <c r="E5377" s="1" t="str">
        <f ca="1">IFERROR(__xludf.DUMMYFUNCTION("GOOGLETRANSLATE(A2176 , ""tr"" , ""en"")"),"@drfahrettinkoca Disabled Health People Want to be Provided for 4 years Nadirara / Gcvjlvroot")</f>
        <v>@drfahrettinkoca Disabled Health People Want to be Provided for 4 years Nadirara / Gcvjlvroot</v>
      </c>
    </row>
    <row r="5378" spans="1:5" ht="15" customHeight="1" x14ac:dyDescent="0.2">
      <c r="A5378" s="1" t="s">
        <v>10733</v>
      </c>
      <c r="B5378" s="1">
        <v>0</v>
      </c>
      <c r="C5378" s="3">
        <v>44541.968391203707</v>
      </c>
      <c r="D5378" s="1" t="s">
        <v>10734</v>
      </c>
      <c r="E5378" s="1" t="str">
        <f ca="1">IFERROR(__xludf.DUMMYFUNCTION("GOOGLETRANSLATE(A2177 , ""tr"" , ""en"")"),"@drfahrettinkoca I have lost my cone I can't find you don't find it. If I find my belief in my convenience but. Unfortunately I don't have. Earth Co ... https://t.co/1568vj076w")</f>
        <v>@drfahrettinkoca I have lost my cone I can't find you don't find it. If I find my belief in my convenience but. Unfortunately I don't have. Earth Co ... https://t.co/1568vj076w</v>
      </c>
    </row>
    <row r="5379" spans="1:5" ht="15" customHeight="1" x14ac:dyDescent="0.2">
      <c r="A5379" s="1" t="s">
        <v>10735</v>
      </c>
      <c r="B5379" s="1">
        <v>0</v>
      </c>
      <c r="C5379" s="3">
        <v>44541.967546296299</v>
      </c>
      <c r="D5379" s="1" t="s">
        <v>10736</v>
      </c>
      <c r="E5379" s="1" t="str">
        <f ca="1">IFERROR(__xludf.DUMMYFUNCTION("GOOGLETRANSLATE(A2178 , ""tr"" , ""en"")"),"@drfahrettinkoca sec The 12 TL Yoghurt I received from the place of view I received yesterday was 18 TL. Milk 15/18 LITS A ... https://t.co/2jfufqzoge")</f>
        <v>@drfahrettinkoca sec The 12 TL Yoghurt I received from the place of view I received yesterday was 18 TL. Milk 15/18 LITS A ... https://t.co/2jfufqzoge</v>
      </c>
    </row>
    <row r="5380" spans="1:5" ht="15" customHeight="1" x14ac:dyDescent="0.2">
      <c r="A5380" s="1" t="s">
        <v>10737</v>
      </c>
      <c r="B5380" s="1">
        <v>0</v>
      </c>
      <c r="C5380" s="3">
        <v>44541.967465277776</v>
      </c>
      <c r="D5380" s="1" t="s">
        <v>10738</v>
      </c>
      <c r="E5380" s="1" t="str">
        <f ca="1">IFERROR(__xludf.DUMMYFUNCTION("GOOGLETRANSLATE(A2179 , ""tr"" , ""en"")"),"@drfahrettinkoca doctor when my daughter goes abroad, I will cut the victim.")</f>
        <v>@drfahrettinkoca doctor when my daughter goes abroad, I will cut the victim.</v>
      </c>
    </row>
    <row r="5381" spans="1:5" ht="15" customHeight="1" x14ac:dyDescent="0.2">
      <c r="A5381" s="1" t="s">
        <v>10739</v>
      </c>
      <c r="B5381" s="1">
        <v>0</v>
      </c>
      <c r="C5381" s="3">
        <v>44541.963321759256</v>
      </c>
      <c r="D5381" s="1" t="s">
        <v>10740</v>
      </c>
      <c r="E5381" s="1" t="str">
        <f ca="1">IFERROR(__xludf.DUMMYFUNCTION("GOOGLETRANSLATE(A2180 , ""tr"" , ""en"")"),"@drfahrettinkoca Leave all of the conscience it was enough to have mercy")</f>
        <v>@drfahrettinkoca Leave all of the conscience it was enough to have mercy</v>
      </c>
    </row>
    <row r="5382" spans="1:5" ht="15" customHeight="1" x14ac:dyDescent="0.2">
      <c r="A5382" s="1" t="s">
        <v>10741</v>
      </c>
      <c r="B5382" s="1">
        <v>0</v>
      </c>
      <c r="C5382" s="3">
        <v>44541.962789351855</v>
      </c>
      <c r="D5382" s="1" t="s">
        <v>10742</v>
      </c>
      <c r="E5382" s="1" t="str">
        <f ca="1">IFERROR(__xludf.DUMMYFUNCTION("GOOGLETRANSLATE(A2181 , ""tr"" , ""en"")"),"@drfahrettinkoca Possibility This says, you will be found to believe, but not right.")</f>
        <v>@drfahrettinkoca Possibility This says, you will be found to believe, but not right.</v>
      </c>
    </row>
    <row r="5383" spans="1:5" ht="15" customHeight="1" x14ac:dyDescent="0.2">
      <c r="A5383" s="1" t="s">
        <v>10743</v>
      </c>
      <c r="B5383" s="1">
        <v>0</v>
      </c>
      <c r="C5383" s="3">
        <v>44541.961423611108</v>
      </c>
      <c r="D5383" s="1" t="s">
        <v>10744</v>
      </c>
      <c r="E5383" s="1" t="str">
        <f ca="1">IFERROR(__xludf.DUMMYFUNCTION("GOOGLETRANSLATE(A2182 , ""tr"" , ""en"")"),"@drfahrettinkoca Do you have an equivalent and fair income distribution in this budget Mr. Minister ??")</f>
        <v>@drfahrettinkoca Do you have an equivalent and fair income distribution in this budget Mr. Minister ??</v>
      </c>
    </row>
    <row r="5384" spans="1:5" ht="15" customHeight="1" x14ac:dyDescent="0.2">
      <c r="A5384" s="1" t="s">
        <v>10745</v>
      </c>
      <c r="B5384" s="1">
        <v>0</v>
      </c>
      <c r="C5384" s="3">
        <v>44541.956712962965</v>
      </c>
      <c r="D5384" s="1" t="s">
        <v>10746</v>
      </c>
      <c r="E5384" s="1" t="str">
        <f ca="1">IFERROR(__xludf.DUMMYFUNCTION("GOOGLETRANSLATE(A2183 , ""tr"" , ""en"")"),"@drfahrettinkoca Sayin Minister, so there is a hike to doctors, I don't have Hemsire and Other Surgery Calisans. Birin b ... https://t.co/cxmwerdt70")</f>
        <v>@drfahrettinkoca Sayin Minister, so there is a hike to doctors, I don't have Hemsire and Other Surgery Calisans. Birin b ... https://t.co/cxmwerdt70</v>
      </c>
    </row>
    <row r="5385" spans="1:5" ht="15" customHeight="1" x14ac:dyDescent="0.2">
      <c r="A5385" s="1" t="s">
        <v>10747</v>
      </c>
      <c r="B5385" s="1">
        <v>1</v>
      </c>
      <c r="C5385" s="3">
        <v>44541.955497685187</v>
      </c>
      <c r="D5385" s="1" t="s">
        <v>10748</v>
      </c>
      <c r="E5385" s="1" t="str">
        <f ca="1">IFERROR(__xludf.DUMMYFUNCTION("GOOGLETRANSLATE(A2184 , ""tr"" , ""en"")"),"@drfahrettinkoca When you are talking to Reisten, do you take the permission to get off then it is fleveling you.")</f>
        <v>@drfahrettinkoca When you are talking to Reisten, do you take the permission to get off then it is fleveling you.</v>
      </c>
    </row>
    <row r="5386" spans="1:5" ht="15" customHeight="1" x14ac:dyDescent="0.2">
      <c r="A5386" s="1" t="s">
        <v>10749</v>
      </c>
      <c r="B5386" s="1">
        <v>0</v>
      </c>
      <c r="C5386" s="3">
        <v>44541.946597222224</v>
      </c>
      <c r="D5386" s="1" t="s">
        <v>10750</v>
      </c>
      <c r="E5386" s="1" t="str">
        <f ca="1">IFERROR(__xludf.DUMMYFUNCTION("GOOGLETRANSLATE(A2185 , ""tr"" , ""en"")"),"@drfahrettinka we couldn't see why")</f>
        <v>@drfahrettinka we couldn't see why</v>
      </c>
    </row>
    <row r="5387" spans="1:5" ht="15" customHeight="1" x14ac:dyDescent="0.2">
      <c r="A5387" s="1" t="s">
        <v>10751</v>
      </c>
      <c r="B5387" s="1">
        <v>0</v>
      </c>
      <c r="C5387" s="3">
        <v>44541.932152777779</v>
      </c>
      <c r="D5387" s="1" t="s">
        <v>10752</v>
      </c>
      <c r="E5387" s="1" t="str">
        <f ca="1">IFERROR(__xludf.DUMMYFUNCTION("GOOGLETRANSLATE(A2186 , ""tr"" , ""en"")"),"@drfahrettinkoca You have no place to bed in your varia You have no seats for how many months are you waiting. The number of assignments ... https://t.co/y6xet9nbkp")</f>
        <v>@drfahrettinkoca You have no place to bed in your varia You have no seats for how many months are you waiting. The number of assignments ... https://t.co/y6xet9nbkp</v>
      </c>
    </row>
    <row r="5388" spans="1:5" ht="15" customHeight="1" x14ac:dyDescent="0.2">
      <c r="A5388" s="1" t="s">
        <v>10753</v>
      </c>
      <c r="B5388" s="1">
        <v>0</v>
      </c>
      <c r="C5388" s="3">
        <v>44541.928923611114</v>
      </c>
      <c r="D5388" s="1" t="s">
        <v>10754</v>
      </c>
      <c r="E5388" s="1" t="str">
        <f ca="1">IFERROR(__xludf.DUMMYFUNCTION("GOOGLETRANSLATE(A2187 , ""tr"" , ""en"")"),"@drfahrettinkoca I don't halic my right to you as a non-public family health worker ...... We are most preliminary in health ... https://t.co/bqgxuaxxmc")</f>
        <v>@drfahrettinkoca I don't halic my right to you as a non-public family health worker ...... We are most preliminary in health ... https://t.co/bqgxuaxxmc</v>
      </c>
    </row>
    <row r="5389" spans="1:5" ht="15" customHeight="1" x14ac:dyDescent="0.2">
      <c r="A5389" s="1" t="s">
        <v>7766</v>
      </c>
      <c r="B5389" s="1">
        <v>0</v>
      </c>
      <c r="C5389" s="3">
        <v>44541.923796296294</v>
      </c>
      <c r="D5389" s="1" t="s">
        <v>10755</v>
      </c>
      <c r="E5389" s="1" t="str">
        <f ca="1">IFERROR(__xludf.DUMMYFUNCTION("GOOGLETRANSLATE(A2188 , ""tr"" , ""en"")"),"@drfahrettinkoca Dieticians are welcome to assign the assignment to the dietitians The minister is still the agencies with 90 above points")</f>
        <v>@drfahrettinkoca Dieticians are welcome to assign the assignment to the dietitians The minister is still the agencies with 90 above points</v>
      </c>
    </row>
    <row r="5390" spans="1:5" ht="15" customHeight="1" x14ac:dyDescent="0.2">
      <c r="A5390" s="1" t="s">
        <v>10756</v>
      </c>
      <c r="B5390" s="1">
        <v>0</v>
      </c>
      <c r="C5390" s="3">
        <v>44541.920636574076</v>
      </c>
      <c r="D5390" s="1" t="s">
        <v>10757</v>
      </c>
      <c r="E5390" s="1" t="str">
        <f ca="1">IFERROR(__xludf.DUMMYFUNCTION("GOOGLETRANSLATE(A2189 , ""tr"" , ""en"")"),"@drfahrettinkoca yav he he")</f>
        <v>@drfahrettinkoca yav he he</v>
      </c>
    </row>
    <row r="5391" spans="1:5" ht="15" customHeight="1" x14ac:dyDescent="0.2">
      <c r="A5391" s="1" t="s">
        <v>10758</v>
      </c>
      <c r="B5391" s="1">
        <v>1</v>
      </c>
      <c r="C5391" s="3">
        <v>44541.919456018521</v>
      </c>
      <c r="D5391" s="1" t="s">
        <v>10759</v>
      </c>
      <c r="E5391" s="1" t="str">
        <f ca="1">IFERROR(__xludf.DUMMYFUNCTION("GOOGLETRANSLATE(A2190 , ""tr"" , ""en"")"),"@drfahrettinkoca Mr. Minister, expect the development of zolgensma drugs, please have thousands of married in umu ... https://t.co/r7tm0vl06r")</f>
        <v>@drfahrettinkoca Mr. Minister, expect the development of zolgensma drugs, please have thousands of married in umu ... https://t.co/r7tm0vl06r</v>
      </c>
    </row>
    <row r="5392" spans="1:5" ht="15" customHeight="1" x14ac:dyDescent="0.2">
      <c r="A5392" s="1" t="s">
        <v>10760</v>
      </c>
      <c r="B5392" s="1">
        <v>0</v>
      </c>
      <c r="C5392" s="3">
        <v>44541.89984953704</v>
      </c>
      <c r="D5392" s="1" t="s">
        <v>10761</v>
      </c>
      <c r="E5392" s="1" t="str">
        <f ca="1">IFERROR(__xludf.DUMMYFUNCTION("GOOGLETRANSLATE(A2191 , ""tr"" , ""en"")"),"@drfahrettinka you don't give us our right to us.")</f>
        <v>@drfahrettinka you don't give us our right to us.</v>
      </c>
    </row>
    <row r="5393" spans="1:5" ht="15" customHeight="1" x14ac:dyDescent="0.2">
      <c r="A5393" s="1" t="s">
        <v>10762</v>
      </c>
      <c r="B5393" s="1">
        <v>0</v>
      </c>
      <c r="C5393" s="3">
        <v>44541.896365740744</v>
      </c>
      <c r="D5393" s="1" t="s">
        <v>10763</v>
      </c>
      <c r="E5393" s="1" t="str">
        <f ca="1">IFERROR(__xludf.DUMMYFUNCTION("GOOGLETRANSLATE(A2192 , ""tr"" , ""en"")"),"@drfahrettinkoca what is the mercy of what are you telling what are you telling what you are telling you that your healthy is in families https://t.co/w9ldz4nhtp")</f>
        <v>@drfahrettinkoca what is the mercy of what are you telling what are you telling what you are telling you that your healthy is in families https://t.co/w9ldz4nhtp</v>
      </c>
    </row>
    <row r="5394" spans="1:5" ht="15" customHeight="1" x14ac:dyDescent="0.2">
      <c r="A5394" s="1" t="s">
        <v>10764</v>
      </c>
      <c r="B5394" s="1">
        <v>8</v>
      </c>
      <c r="C5394" s="3">
        <v>44541.896168981482</v>
      </c>
      <c r="D5394" s="1" t="s">
        <v>10765</v>
      </c>
      <c r="E5394" s="1" t="str">
        <f ca="1">IFERROR(__xludf.DUMMYFUNCTION("GOOGLETRANSLATE(A2193 , ""tr"" , ""en"")"),"@drfahrettinkoca has no dietitian in this budget, no healthcare, no hope of young people.")</f>
        <v>@drfahrettinkoca has no dietitian in this budget, no healthcare, no hope of young people.</v>
      </c>
    </row>
    <row r="5395" spans="1:5" ht="15" customHeight="1" x14ac:dyDescent="0.2">
      <c r="A5395" s="1" t="s">
        <v>10766</v>
      </c>
      <c r="B5395" s="1">
        <v>1</v>
      </c>
      <c r="C5395" s="3">
        <v>44541.892546296294</v>
      </c>
      <c r="D5395" s="1" t="s">
        <v>10767</v>
      </c>
      <c r="E5395" s="1" t="str">
        <f ca="1">IFERROR(__xludf.DUMMYFUNCTION("GOOGLETRANSLATE(A2194 , ""tr"" , ""en"")"),"@drfahrettinkoca Words that are not kept in this budget, unassigned healthcareists and their AHI have forgotten to write him ... https://t.co/cqhaneumsi")</f>
        <v>@drfahrettinkoca Words that are not kept in this budget, unassigned healthcareists and their AHI have forgotten to write him ... https://t.co/cqhaneumsi</v>
      </c>
    </row>
    <row r="5396" spans="1:5" ht="15" customHeight="1" x14ac:dyDescent="0.2">
      <c r="A5396" s="1" t="s">
        <v>10768</v>
      </c>
      <c r="B5396" s="1">
        <v>0</v>
      </c>
      <c r="C5396" s="3">
        <v>44541.892291666663</v>
      </c>
      <c r="D5396" s="1" t="s">
        <v>10769</v>
      </c>
      <c r="E5396" s="1" t="str">
        <f ca="1">IFERROR(__xludf.DUMMYFUNCTION("GOOGLETRANSLATE(A2195 , ""tr"" , ""en"")"),"@drfahrettinka has an interest in TL 254 billion. Get this nation will go to the interest rate. What are you honey? In this budget ... https://t.co/pehkgz74dw")</f>
        <v>@drfahrettinka has an interest in TL 254 billion. Get this nation will go to the interest rate. What are you honey? In this budget ... https://t.co/pehkgz74dw</v>
      </c>
    </row>
    <row r="5397" spans="1:5" ht="15" customHeight="1" x14ac:dyDescent="0.2">
      <c r="A5397" s="1" t="s">
        <v>10770</v>
      </c>
      <c r="B5397" s="1">
        <v>5</v>
      </c>
      <c r="C5397" s="3">
        <v>44541.886041666665</v>
      </c>
      <c r="D5397" s="1" t="s">
        <v>10771</v>
      </c>
      <c r="E5397" s="1" t="str">
        <f ca="1">IFERROR(__xludf.DUMMYFUNCTION("GOOGLETRANSLATE(A2196 , ""tr"" , ""en"")"),"@drfahrettinkoca People You Are Earning Our Now Conscientation Fahrettin Husband Humor Hot Chever ... https://t.co/igx7g4c05p")</f>
        <v>@drfahrettinkoca People You Are Earning Our Now Conscientation Fahrettin Husband Humor Hot Chever ... https://t.co/igx7g4c05p</v>
      </c>
    </row>
    <row r="5398" spans="1:5" ht="15" customHeight="1" x14ac:dyDescent="0.2">
      <c r="A5398" s="1" t="s">
        <v>10772</v>
      </c>
      <c r="B5398" s="1">
        <v>2</v>
      </c>
      <c r="C5398" s="3">
        <v>44541.884502314817</v>
      </c>
      <c r="D5398" s="1" t="s">
        <v>10773</v>
      </c>
      <c r="E5398" s="1" t="str">
        <f ca="1">IFERROR(__xludf.DUMMYFUNCTION("GOOGLETRANSLATE(A2197 , ""tr"" , ""en"")"),"@drfahrettinka Do you fill out these pockets? https://t.co/xI45pc4r2x")</f>
        <v>@drfahrettinka Do you fill out these pockets? https://t.co/xI45pc4r2x</v>
      </c>
    </row>
    <row r="5399" spans="1:5" ht="15" customHeight="1" x14ac:dyDescent="0.2">
      <c r="A5399" s="1" t="s">
        <v>10774</v>
      </c>
      <c r="B5399" s="1">
        <v>0</v>
      </c>
      <c r="C5399" s="3">
        <v>44541.878622685188</v>
      </c>
      <c r="D5399" s="1" t="s">
        <v>10775</v>
      </c>
      <c r="E5399" s="1" t="str">
        <f ca="1">IFERROR(__xludf.DUMMYFUNCTION("GOOGLETRANSLATE(A2198 , ""tr"" , ""en"")"),"@drfahrettinka you first call 10 thousand people output Now you are now dividing the purchase of your face even gain your face ... https://t.co/v4nduhzfwz")</f>
        <v>@drfahrettinka you first call 10 thousand people output Now you are now dividing the purchase of your face even gain your face ... https://t.co/v4nduhzfwz</v>
      </c>
    </row>
    <row r="5400" spans="1:5" ht="15" customHeight="1" x14ac:dyDescent="0.2">
      <c r="A5400" s="1" t="s">
        <v>10776</v>
      </c>
      <c r="B5400" s="1">
        <v>0</v>
      </c>
      <c r="C5400" s="3">
        <v>44541.878611111111</v>
      </c>
      <c r="D5400" s="1" t="s">
        <v>10777</v>
      </c>
      <c r="E5400" s="1" t="str">
        <f ca="1">IFERROR(__xludf.DUMMYFUNCTION("GOOGLETRANSLATE(A2199 , ""tr"" , ""en"")"),"Depending on @drfahrettinkoca omicron variant")</f>
        <v>Depending on @drfahrettinkoca omicron variant</v>
      </c>
    </row>
    <row r="5401" spans="1:5" ht="15" customHeight="1" x14ac:dyDescent="0.2">
      <c r="A5401" s="1" t="s">
        <v>10778</v>
      </c>
      <c r="B5401" s="1">
        <v>0</v>
      </c>
      <c r="C5401" s="3">
        <v>44541.877812500003</v>
      </c>
      <c r="D5401" s="1" t="s">
        <v>10779</v>
      </c>
      <c r="E5401" s="1" t="str">
        <f ca="1">IFERROR(__xludf.DUMMYFUNCTION("GOOGLETRANSLATE(A2200 , ""tr"" , ""en"")"),"@drfahrettinkoca Shadowing Don't want any other ...")</f>
        <v>@drfahrettinkoca Shadowing Don't want any other ...</v>
      </c>
    </row>
    <row r="5402" spans="1:5" ht="15" customHeight="1" x14ac:dyDescent="0.2">
      <c r="A5402" s="1" t="s">
        <v>10780</v>
      </c>
      <c r="B5402" s="1">
        <v>36</v>
      </c>
      <c r="C5402" s="3">
        <v>44541.873680555553</v>
      </c>
      <c r="D5402" s="1" t="s">
        <v>10781</v>
      </c>
      <c r="E5402" s="1" t="str">
        <f ca="1">IFERROR(__xludf.DUMMYFUNCTION("GOOGLETRANSLATE(A2201 , ""tr"" , ""en"")"),"@drfahrettinka ButceDe I don't have Hemsire, I'm taking less than the table Basi Calisan Officer. We are at night and risky shift. N ... https://t.co/ayyf6lv3a1")</f>
        <v>@drfahrettinka ButceDe I don't have Hemsire, I'm taking less than the table Basi Calisan Officer. We are at night and risky shift. N ... https://t.co/ayyf6lv3a1</v>
      </c>
    </row>
    <row r="5403" spans="1:5" ht="15" customHeight="1" x14ac:dyDescent="0.2">
      <c r="A5403" s="1" t="s">
        <v>10782</v>
      </c>
      <c r="B5403" s="1">
        <v>0</v>
      </c>
      <c r="C5403" s="3">
        <v>44541.873518518521</v>
      </c>
      <c r="D5403" s="1" t="s">
        <v>10783</v>
      </c>
      <c r="E5403" s="1" t="str">
        <f ca="1">IFERROR(__xludf.DUMMYFUNCTION("GOOGLETRANSLATE(A2202 , ""tr"" , ""en"")"),"@drfahrettinkoca Emir Kulu is poor. https://t.co/qbgukxj9q7")</f>
        <v>@drfahrettinkoca Emir Kulu is poor. https://t.co/qbgukxj9q7</v>
      </c>
    </row>
    <row r="5404" spans="1:5" ht="15" customHeight="1" x14ac:dyDescent="0.2">
      <c r="A5404" s="1" t="s">
        <v>10784</v>
      </c>
      <c r="B5404" s="1">
        <v>6</v>
      </c>
      <c r="C5404" s="3">
        <v>44541.870694444442</v>
      </c>
      <c r="D5404" s="1" t="s">
        <v>10785</v>
      </c>
      <c r="E5404" s="1" t="str">
        <f ca="1">IFERROR(__xludf.DUMMYFUNCTION("GOOGLETRANSLATE(A2203 , ""tr"" , ""en"")"),"@drfahrettinkoca plandemi lies to the hospital standing in the hospital, the account of people who died with the vaccine year and ... https://t.co/aaz0rblw0p")</f>
        <v>@drfahrettinkoca plandemi lies to the hospital standing in the hospital, the account of people who died with the vaccine year and ... https://t.co/aaz0rblw0p</v>
      </c>
    </row>
    <row r="5405" spans="1:5" ht="15" customHeight="1" x14ac:dyDescent="0.2">
      <c r="A5405" s="1" t="s">
        <v>10786</v>
      </c>
      <c r="B5405" s="1">
        <v>0</v>
      </c>
      <c r="C5405" s="3">
        <v>44541.86959490741</v>
      </c>
      <c r="D5405" s="1" t="s">
        <v>10787</v>
      </c>
      <c r="E5405" s="1" t="str">
        <f ca="1">IFERROR(__xludf.DUMMYFUNCTION("GOOGLETRANSLATE(A2204 , ""tr"" , ""en"")"),"@drfahrettinkoca @vedatbilgn @drfahrettinkoca @ssbsemihdurmus @_aliyalcin_ In the newly done arrangement ... https://t.co/kccexzsnod")</f>
        <v>@drfahrettinkoca @vedatbilgn @drfahrettinkoca @ssbsemihdurmus @_aliyalcin_ In the newly done arrangement ... https://t.co/kccexzsnod</v>
      </c>
    </row>
    <row r="5406" spans="1:5" ht="15" customHeight="1" x14ac:dyDescent="0.2">
      <c r="A5406" s="1" t="s">
        <v>10788</v>
      </c>
      <c r="B5406" s="1">
        <v>0</v>
      </c>
      <c r="C5406" s="3">
        <v>44541.869027777779</v>
      </c>
      <c r="D5406" s="1" t="s">
        <v>10789</v>
      </c>
      <c r="E5406" s="1" t="str">
        <f ca="1">IFERROR(__xludf.DUMMYFUNCTION("GOOGLETRANSLATE(A2205 , ""tr"" , ""en"")"),"@drfahrettinkoca @drfahrettinkoca @drfahrettinkoca @rterdogan How do you guys black out our lives, our youth is our blood ... https://t.co/crqfrjlj46")</f>
        <v>@drfahrettinkoca @drfahrettinkoca @drfahrettinkoca @rterdogan How do you guys black out our lives, our youth is our blood ... https://t.co/crqfrjlj46</v>
      </c>
    </row>
    <row r="5407" spans="1:5" ht="15" customHeight="1" x14ac:dyDescent="0.2">
      <c r="A5407" s="1" t="s">
        <v>10790</v>
      </c>
      <c r="B5407" s="1">
        <v>0</v>
      </c>
      <c r="C5407" s="3">
        <v>44541.868344907409</v>
      </c>
      <c r="D5407" s="1" t="s">
        <v>10791</v>
      </c>
      <c r="E5407" s="1" t="str">
        <f ca="1">IFERROR(__xludf.DUMMYFUNCTION("GOOGLETRANSLATE(A2206 , ""tr"" , ""en"")"),"@drfahrettinkoca This budget also has the right to assign the people who wait for the people who wait for the assignment, there are people you give hope and destroy their hopes")</f>
        <v>@drfahrettinkoca This budget also has the right to assign the people who wait for the people who wait for the assignment, there are people you give hope and destroy their hopes</v>
      </c>
    </row>
    <row r="5408" spans="1:5" ht="15" customHeight="1" x14ac:dyDescent="0.2">
      <c r="A5408" s="1" t="s">
        <v>10792</v>
      </c>
      <c r="B5408" s="1">
        <v>2</v>
      </c>
      <c r="C5408" s="3">
        <v>44541.867534722223</v>
      </c>
      <c r="D5408" s="1" t="s">
        <v>10793</v>
      </c>
      <c r="E5408" s="1" t="str">
        <f ca="1">IFERROR(__xludf.DUMMYFUNCTION("GOOGLETRANSLATE(A2207 , ""tr"" , ""en"")"),"@drfahrettinkoca but on budget # no medical febrile payments Mr. Minister")</f>
        <v>@drfahrettinkoca but on budget # no medical febrile payments Mr. Minister</v>
      </c>
    </row>
    <row r="5409" spans="1:5" ht="15" customHeight="1" x14ac:dyDescent="0.2">
      <c r="A5409" s="1" t="s">
        <v>10794</v>
      </c>
      <c r="B5409" s="1">
        <v>3</v>
      </c>
      <c r="C5409" s="3">
        <v>44541.867314814815</v>
      </c>
      <c r="D5409" s="1" t="s">
        <v>10795</v>
      </c>
      <c r="E5409" s="1" t="str">
        <f ca="1">IFERROR(__xludf.DUMMYFUNCTION("GOOGLETRANSLATE(A2208 , ""tr"" , ""en"")"),"@drfahrettinkoca poison can be died with drugs with vaccines that you are doing with our coins in DSO's slavery ... https://t.co/8w0jvcwkxv")</f>
        <v>@drfahrettinkoca poison can be died with drugs with vaccines that you are doing with our coins in DSO's slavery ... https://t.co/8w0jvcwkxv</v>
      </c>
    </row>
    <row r="5410" spans="1:5" ht="15" customHeight="1" x14ac:dyDescent="0.2">
      <c r="A5410" s="1" t="s">
        <v>10796</v>
      </c>
      <c r="B5410" s="1">
        <v>0</v>
      </c>
      <c r="C5410" s="3">
        <v>44541.864583333336</v>
      </c>
      <c r="D5410" s="1" t="s">
        <v>10797</v>
      </c>
      <c r="E5410" s="1" t="str">
        <f ca="1">IFERROR(__xludf.DUMMYFUNCTION("GOOGLETRANSLATE(A2209 , ""tr"" , ""en"")"),"@drfahrettinkoca my faith left in the name of my person. You have already dropped each other very guzel, we're not all he was all scattered.")</f>
        <v>@drfahrettinkoca my faith left in the name of my person. You have already dropped each other very guzel, we're not all he was all scattered.</v>
      </c>
    </row>
    <row r="5411" spans="1:5" ht="15" customHeight="1" x14ac:dyDescent="0.2">
      <c r="A5411" s="1" t="s">
        <v>10798</v>
      </c>
      <c r="B5411" s="1">
        <v>0</v>
      </c>
      <c r="C5411" s="3">
        <v>44541.862534722219</v>
      </c>
      <c r="D5411" s="1" t="s">
        <v>10799</v>
      </c>
      <c r="E5411" s="1" t="str">
        <f ca="1">IFERROR(__xludf.DUMMYFUNCTION("GOOGLETRANSLATE(A2210 , ""tr"" , ""en"")"),"@drfahrettinkoca ha ha repliques written from the same center. A famous Prof Covid vaccines, also for treatments ... https://t.co/0pmy88pwbq")</f>
        <v>@drfahrettinkoca ha ha repliques written from the same center. A famous Prof Covid vaccines, also for treatments ... https://t.co/0pmy88pwbq</v>
      </c>
    </row>
    <row r="5412" spans="1:5" ht="15" customHeight="1" x14ac:dyDescent="0.2">
      <c r="A5412" s="1" t="s">
        <v>10800</v>
      </c>
      <c r="B5412" s="1">
        <v>0</v>
      </c>
      <c r="C5412" s="3">
        <v>44541.859432870369</v>
      </c>
      <c r="D5412" s="1" t="s">
        <v>10801</v>
      </c>
      <c r="E5412" s="1" t="str">
        <f ca="1">IFERROR(__xludf.DUMMYFUNCTION("GOOGLETRANSLATE(A2211 , ""tr"" , ""en"")"),"@drfahrettinkoca Ministry Embreeding The State's Vault has been appointed to the assignment that has been discharged and March is found to be welded")</f>
        <v>@drfahrettinkoca Ministry Embreeding The State's Vault has been appointed to the assignment that has been discharged and March is found to be welded</v>
      </c>
    </row>
    <row r="5413" spans="1:5" ht="15" customHeight="1" x14ac:dyDescent="0.2">
      <c r="A5413" s="1" t="s">
        <v>10802</v>
      </c>
      <c r="B5413" s="1">
        <v>0</v>
      </c>
      <c r="C5413" s="3">
        <v>44541.858032407406</v>
      </c>
      <c r="D5413" s="1" t="s">
        <v>10803</v>
      </c>
      <c r="E5413" s="1" t="str">
        <f ca="1">IFERROR(__xludf.DUMMYFUNCTION("GOOGLETRANSLATE(A2212 , ""tr"" , ""en"")"),"@drfahrettinkoca overlooking the resignation")</f>
        <v>@drfahrettinkoca overlooking the resignation</v>
      </c>
    </row>
    <row r="5414" spans="1:5" ht="15" customHeight="1" x14ac:dyDescent="0.2">
      <c r="A5414" s="1" t="s">
        <v>10804</v>
      </c>
      <c r="B5414" s="1">
        <v>0</v>
      </c>
      <c r="C5414" s="3">
        <v>44541.858020833337</v>
      </c>
      <c r="D5414" s="1" t="s">
        <v>10805</v>
      </c>
      <c r="E5414" s="1" t="str">
        <f ca="1">IFERROR(__xludf.DUMMYFUNCTION("GOOGLETRANSLATE(A2213 , ""tr"" , ""en"")"),"@drfahrettinkoca 259 billion pounds. Let's write the old be stunning. 259 quadrillion. Health expenditure. TUE DATA. This is ... https://t.co/b0nfkanjcw")</f>
        <v>@drfahrettinkoca 259 billion pounds. Let's write the old be stunning. 259 quadrillion. Health expenditure. TUE DATA. This is ... https://t.co/b0nfkanjcw</v>
      </c>
    </row>
    <row r="5415" spans="1:5" ht="15" customHeight="1" x14ac:dyDescent="0.2">
      <c r="A5415" s="1" t="s">
        <v>10806</v>
      </c>
      <c r="B5415" s="1">
        <v>2</v>
      </c>
      <c r="C5415" s="3">
        <v>44541.856898148151</v>
      </c>
      <c r="D5415" s="1" t="s">
        <v>10807</v>
      </c>
      <c r="E5415" s="1" t="str">
        <f ca="1">IFERROR(__xludf.DUMMYFUNCTION("GOOGLETRANSLATE(A2214 , ""tr"" , ""en"")"),"@drfahrettinkoca Physicum Do you have Mr. Minister ???")</f>
        <v>@drfahrettinkoca Physicum Do you have Mr. Minister ???</v>
      </c>
    </row>
    <row r="5416" spans="1:5" ht="15" customHeight="1" x14ac:dyDescent="0.2">
      <c r="A5416" s="1" t="s">
        <v>10808</v>
      </c>
      <c r="B5416" s="1">
        <v>1</v>
      </c>
      <c r="C5416" s="3">
        <v>44541.855983796297</v>
      </c>
      <c r="D5416" s="1" t="s">
        <v>10809</v>
      </c>
      <c r="E5416" s="1" t="str">
        <f ca="1">IFERROR(__xludf.DUMMYFUNCTION("GOOGLETRANSLATE(A2215 , ""tr"" , ""en"")"),"@drfahrettinkoca Are you sure you are facing the Bey? 😁")</f>
        <v>@drfahrettinkoca Are you sure you are facing the Bey? 😁</v>
      </c>
    </row>
    <row r="5417" spans="1:5" ht="15" customHeight="1" x14ac:dyDescent="0.2">
      <c r="A5417" s="1" t="s">
        <v>10810</v>
      </c>
      <c r="B5417" s="1">
        <v>0</v>
      </c>
      <c r="C5417" s="3">
        <v>44541.855798611112</v>
      </c>
      <c r="D5417" s="1" t="s">
        <v>10811</v>
      </c>
      <c r="E5417" s="1" t="str">
        <f ca="1">IFERROR(__xludf.DUMMYFUNCTION("GOOGLETRANSLATE(A2216 , ""tr"" , ""en"")"),"@drfahrettinkoca @drfahrettinka @saglikbakanligi assign time determined now, thousands of people expect to say something, ... https://t.co/fhzgn70fxf")</f>
        <v>@drfahrettinkoca @drfahrettinka @saglikbakanligi assign time determined now, thousands of people expect to say something, ... https://t.co/fhzgn70fxf</v>
      </c>
    </row>
    <row r="5418" spans="1:5" ht="15" customHeight="1" x14ac:dyDescent="0.2">
      <c r="A5418" s="1" t="s">
        <v>10812</v>
      </c>
      <c r="B5418" s="1">
        <v>17</v>
      </c>
      <c r="C5418" s="3">
        <v>44541.853958333333</v>
      </c>
      <c r="D5418" s="1" t="s">
        <v>10813</v>
      </c>
      <c r="E5418" s="1" t="str">
        <f ca="1">IFERROR(__xludf.DUMMYFUNCTION("GOOGLETRANSLATE(A2217 , ""tr"" , ""en"")"),"@drfahrettinkoca has been assigned before us took the staff in 2013. After 7 + 1 year after the appointees 2016 staff ... https://t.co/ms9ptajhb1")</f>
        <v>@drfahrettinkoca has been assigned before us took the staff in 2013. After 7 + 1 year after the appointees 2016 staff ... https://t.co/ms9ptajhb1</v>
      </c>
    </row>
    <row r="5419" spans="1:5" ht="15" customHeight="1" x14ac:dyDescent="0.2">
      <c r="A5419" s="1" t="s">
        <v>10814</v>
      </c>
      <c r="B5419" s="1">
        <v>0</v>
      </c>
      <c r="C5419" s="3">
        <v>44541.852893518517</v>
      </c>
      <c r="D5419" s="1" t="s">
        <v>10815</v>
      </c>
      <c r="E5419" s="1" t="str">
        <f ca="1">IFERROR(__xludf.DUMMYFUNCTION("GOOGLETRANSLATE(A2218 , ""tr"" , ""en"")"),"@drfahrettinkoca @saglikbakanligi Those conscious women, children, seniors and workers die.")</f>
        <v>@drfahrettinkoca @saglikbakanligi Those conscious women, children, seniors and workers die.</v>
      </c>
    </row>
    <row r="5420" spans="1:5" ht="15" customHeight="1" x14ac:dyDescent="0.2">
      <c r="A5420" s="1" t="s">
        <v>10816</v>
      </c>
      <c r="B5420" s="1">
        <v>0</v>
      </c>
      <c r="C5420" s="3">
        <v>44541.852546296293</v>
      </c>
      <c r="D5420" s="1" t="s">
        <v>10817</v>
      </c>
      <c r="E5420" s="1" t="str">
        <f ca="1">IFERROR(__xludf.DUMMYFUNCTION("GOOGLETRANSLATE(A2219 , ""tr"" , ""en"")"),"@drfahrettinkoca We only see physicians but")</f>
        <v>@drfahrettinkoca We only see physicians but</v>
      </c>
    </row>
    <row r="5421" spans="1:5" ht="15" customHeight="1" x14ac:dyDescent="0.2">
      <c r="A5421" s="1" t="s">
        <v>10818</v>
      </c>
      <c r="B5421" s="1">
        <v>0</v>
      </c>
      <c r="C5421" s="3">
        <v>44541.851817129631</v>
      </c>
      <c r="D5421" s="1" t="s">
        <v>10819</v>
      </c>
      <c r="E5421" s="1" t="str">
        <f ca="1">IFERROR(__xludf.DUMMYFUNCTION("GOOGLETRANSLATE(A2220 , ""tr"" , ""en"")"),"If @drfahrettinkoca is not affected by inflation, the test is 32 TL. Daily 11.200,000. Monthly 336,000,000 vaccines Bio 19 € ... https://t.co/hr95ic6p8t")</f>
        <v>If @drfahrettinkoca is not affected by inflation, the test is 32 TL. Daily 11.200,000. Monthly 336,000,000 vaccines Bio 19 € ... https://t.co/hr95ic6p8t</v>
      </c>
    </row>
    <row r="5422" spans="1:5" ht="15" customHeight="1" x14ac:dyDescent="0.2">
      <c r="A5422" s="1" t="s">
        <v>10820</v>
      </c>
      <c r="B5422" s="1">
        <v>1</v>
      </c>
      <c r="C5422" s="3">
        <v>44541.848217592589</v>
      </c>
      <c r="D5422" s="1" t="s">
        <v>10821</v>
      </c>
      <c r="E5422" s="1" t="str">
        <f ca="1">IFERROR(__xludf.DUMMYFUNCTION("GOOGLETRANSLATE(A2221 , ""tr"" , ""en"")"),"@drfahrettinkoca You don't have your profession morals in this budget. You have victimized hundreds of thousand people waiting for months. ... https://t.co/ffczbkyvtl")</f>
        <v>@drfahrettinkoca You don't have your profession morals in this budget. You have victimized hundreds of thousand people waiting for months. ... https://t.co/ffczbkyvtl</v>
      </c>
    </row>
    <row r="5423" spans="1:5" ht="15" customHeight="1" x14ac:dyDescent="0.2">
      <c r="A5423" s="1" t="s">
        <v>10822</v>
      </c>
      <c r="B5423" s="1">
        <v>0</v>
      </c>
      <c r="C5423" s="3">
        <v>44541.847372685188</v>
      </c>
      <c r="D5423" s="1" t="s">
        <v>10823</v>
      </c>
      <c r="E5423" s="1" t="str">
        <f ca="1">IFERROR(__xludf.DUMMYFUNCTION("GOOGLETRANSLATE(A2222 , ""tr"" , ""en"")"),"@drfahrettinkoca Overlooking you that we have seen you from us AKP Li After this time this Health Workers do this Health Workers' Information is from you")</f>
        <v>@drfahrettinkoca Overlooking you that we have seen you from us AKP Li After this time this Health Workers do this Health Workers' Information is from you</v>
      </c>
    </row>
    <row r="5424" spans="1:5" ht="15" customHeight="1" x14ac:dyDescent="0.2">
      <c r="A5424" s="1" t="s">
        <v>10824</v>
      </c>
      <c r="B5424" s="1">
        <v>0</v>
      </c>
      <c r="C5424" s="3">
        <v>44541.847268518519</v>
      </c>
      <c r="D5424" s="1" t="s">
        <v>10825</v>
      </c>
      <c r="E5424" s="1" t="str">
        <f ca="1">IFERROR(__xludf.DUMMYFUNCTION("GOOGLETRANSLATE(A2223 , ""tr"" , ""en"")"),"@drfahrettinkoca 40 purchases are going to send the OSYM 20 thousand purchases. You have the right to the lower their plans.")</f>
        <v>@drfahrettinkoca 40 purchases are going to send the OSYM 20 thousand purchases. You have the right to the lower their plans.</v>
      </c>
    </row>
    <row r="5425" spans="1:5" ht="15" customHeight="1" x14ac:dyDescent="0.2">
      <c r="A5425" s="1" t="s">
        <v>10826</v>
      </c>
      <c r="B5425" s="1">
        <v>1</v>
      </c>
      <c r="C5425" s="3">
        <v>44541.845254629632</v>
      </c>
      <c r="D5425" s="1" t="s">
        <v>10827</v>
      </c>
      <c r="E5425" s="1" t="str">
        <f ca="1">IFERROR(__xludf.DUMMYFUNCTION("GOOGLETRANSLATE(A2224 , ""tr"" , ""en"")"),"@drfahrettinkoca When will you bring the quick test ??? Even there is Lezoto. EU countries are also selling 15 € 5 ... https://t.co/xyo5fyqxck")</f>
        <v>@drfahrettinkoca When will you bring the quick test ??? Even there is Lezoto. EU countries are also selling 15 € 5 ... https://t.co/xyo5fyqxck</v>
      </c>
    </row>
    <row r="5426" spans="1:5" ht="15" customHeight="1" x14ac:dyDescent="0.2">
      <c r="A5426" s="1" t="s">
        <v>10828</v>
      </c>
      <c r="B5426" s="1">
        <v>0</v>
      </c>
      <c r="C5426" s="3">
        <v>44541.842199074075</v>
      </c>
      <c r="D5426" s="1" t="s">
        <v>10829</v>
      </c>
      <c r="E5426" s="1" t="str">
        <f ca="1">IFERROR(__xludf.DUMMYFUNCTION("GOOGLETRANSLATE(A2225 , ""tr"" , ""en"")"),"@drfahrettinka you don't believe yourself that you say yourself")</f>
        <v>@drfahrettinka you don't believe yourself that you say yourself</v>
      </c>
    </row>
    <row r="5427" spans="1:5" ht="15" customHeight="1" x14ac:dyDescent="0.2">
      <c r="A5427" s="1" t="s">
        <v>10830</v>
      </c>
      <c r="B5427" s="1">
        <v>0</v>
      </c>
      <c r="C5427" s="3">
        <v>44541.839930555558</v>
      </c>
      <c r="D5427" s="1" t="s">
        <v>10831</v>
      </c>
      <c r="E5427" s="1" t="str">
        <f ca="1">IFERROR(__xludf.DUMMYFUNCTION("GOOGLETRANSLATE(A2226 , ""tr"" , ""en"")"),"@drfahrettinkoca We always say ornate words but I wish your citizen is the health of the children of this country ... https://t.co/3w1v6ubbvo")</f>
        <v>@drfahrettinkoca We always say ornate words but I wish your citizen is the health of the children of this country ... https://t.co/3w1v6ubbvo</v>
      </c>
    </row>
    <row r="5428" spans="1:5" ht="15" customHeight="1" x14ac:dyDescent="0.2">
      <c r="A5428" s="1" t="s">
        <v>10832</v>
      </c>
      <c r="B5428" s="1">
        <v>0</v>
      </c>
      <c r="C5428" s="3">
        <v>44541.83965277778</v>
      </c>
      <c r="D5428" s="1" t="s">
        <v>10833</v>
      </c>
      <c r="E5428" s="1" t="str">
        <f ca="1">IFERROR(__xludf.DUMMYFUNCTION("GOOGLETRANSLATE(A2227 , ""tr"" , ""en"")"),"@drfahrettinkoca Do not promise to be held no longer")</f>
        <v>@drfahrettinkoca Do not promise to be held no longer</v>
      </c>
    </row>
    <row r="5429" spans="1:5" ht="15" customHeight="1" x14ac:dyDescent="0.2">
      <c r="A5429" s="1" t="s">
        <v>10834</v>
      </c>
      <c r="B5429" s="1">
        <v>5</v>
      </c>
      <c r="C5429" s="3">
        <v>44541.839398148149</v>
      </c>
      <c r="D5429" s="1" t="s">
        <v>10835</v>
      </c>
      <c r="E5429" s="1" t="str">
        <f ca="1">IFERROR(__xludf.DUMMYFUNCTION("GOOGLETRANSLATE(A2228 , ""tr"" , ""en"")"),"@drfahrettinkoca you have mentioned morals though you are not quitting in spite of the reaction you received. If you make it your planisemia ... https://t.co/qexzokwvvy")</f>
        <v>@drfahrettinkoca you have mentioned morals though you are not quitting in spite of the reaction you received. If you make it your planisemia ... https://t.co/qexzokwvvy</v>
      </c>
    </row>
    <row r="5430" spans="1:5" ht="15" customHeight="1" x14ac:dyDescent="0.2">
      <c r="A5430" s="1" t="s">
        <v>10836</v>
      </c>
      <c r="B5430" s="1">
        <v>0</v>
      </c>
      <c r="C5430" s="3">
        <v>44541.839236111111</v>
      </c>
      <c r="D5430" s="1" t="s">
        <v>10837</v>
      </c>
      <c r="E5430" s="1" t="str">
        <f ca="1">IFERROR(__xludf.DUMMYFUNCTION("GOOGLETRANSLATE(A2229 , ""tr"" , ""en"")"),"@drfahrettinkoca Hani Wide-scale Bi purchase @drfahrettinkoca")</f>
        <v>@drfahrettinkoca Hani Wide-scale Bi purchase @drfahrettinkoca</v>
      </c>
    </row>
    <row r="5431" spans="1:5" ht="15" customHeight="1" x14ac:dyDescent="0.2">
      <c r="A5431" s="1" t="s">
        <v>10838</v>
      </c>
      <c r="B5431" s="1">
        <v>0</v>
      </c>
      <c r="C5431" s="3">
        <v>44541.83898148148</v>
      </c>
      <c r="D5431" s="1" t="s">
        <v>10839</v>
      </c>
      <c r="E5431" s="1" t="str">
        <f ca="1">IFERROR(__xludf.DUMMYFUNCTION("GOOGLETRANSLATE(A2230 , ""tr"" , ""en"")"),"@drfahrettinkoca piders have you been for 1 year or have we waited @drfahrettinkoca")</f>
        <v>@drfahrettinkoca piders have you been for 1 year or have we waited @drfahrettinkoca</v>
      </c>
    </row>
    <row r="5432" spans="1:5" ht="15" customHeight="1" x14ac:dyDescent="0.2">
      <c r="A5432" s="1" t="s">
        <v>10840</v>
      </c>
      <c r="B5432" s="1">
        <v>0</v>
      </c>
      <c r="C5432" s="3">
        <v>44541.837824074071</v>
      </c>
      <c r="D5432" s="1" t="s">
        <v>10841</v>
      </c>
      <c r="E5432" s="1" t="str">
        <f ca="1">IFERROR(__xludf.DUMMYFUNCTION("GOOGLETRANSLATE(A2231 , ""tr"" , ""en"")"),"@drfahrettinkoca is a vaccine about 122 million dose of about 122 million dose about 1.8milyar euros. The requested budget is about 10 million ... https://t.co/cfiybtetb8")</f>
        <v>@drfahrettinkoca is a vaccine about 122 million dose of about 122 million dose about 1.8milyar euros. The requested budget is about 10 million ... https://t.co/cfiybtetb8</v>
      </c>
    </row>
    <row r="5433" spans="1:5" ht="15" customHeight="1" x14ac:dyDescent="0.2">
      <c r="A5433" s="1" t="s">
        <v>10842</v>
      </c>
      <c r="B5433" s="1">
        <v>0</v>
      </c>
      <c r="C5433" s="3">
        <v>44541.837291666663</v>
      </c>
      <c r="D5433" s="1" t="s">
        <v>10843</v>
      </c>
      <c r="E5433" s="1" t="str">
        <f ca="1">IFERROR(__xludf.DUMMYFUNCTION("GOOGLETRANSLATE(A2232 , ""tr"" , ""en"")"),"@drfahrettinkoca has unfair in this budget there is poverty in this budget")</f>
        <v>@drfahrettinkoca has unfair in this budget there is poverty in this budget</v>
      </c>
    </row>
    <row r="5434" spans="1:5" ht="15" customHeight="1" x14ac:dyDescent="0.2">
      <c r="A5434" s="1" t="s">
        <v>10844</v>
      </c>
      <c r="B5434" s="1">
        <v>1</v>
      </c>
      <c r="C5434" s="3">
        <v>44541.837060185186</v>
      </c>
      <c r="D5434" s="1" t="s">
        <v>10845</v>
      </c>
      <c r="E5434" s="1" t="str">
        <f ca="1">IFERROR(__xludf.DUMMYFUNCTION("GOOGLETRANSLATE(A2233 , ""tr"" , ""en"")"),"@drfahrettinkoca Plantemia with your imposition, you threaten with his job, vaccine, even with his health and died ... https://t.co/flfjlddrz6")</f>
        <v>@drfahrettinkoca Plantemia with your imposition, you threaten with his job, vaccine, even with his health and died ... https://t.co/flfjlddrz6</v>
      </c>
    </row>
    <row r="5435" spans="1:5" ht="15" customHeight="1" x14ac:dyDescent="0.2">
      <c r="A5435" s="1" t="s">
        <v>10846</v>
      </c>
      <c r="B5435" s="1">
        <v>0</v>
      </c>
      <c r="C5435" s="3">
        <v>44541.835312499999</v>
      </c>
      <c r="D5435" s="1" t="s">
        <v>10847</v>
      </c>
      <c r="E5435" s="1" t="str">
        <f ca="1">IFERROR(__xludf.DUMMYFUNCTION("GOOGLETRANSLATE(A2234 , ""tr"" , ""en"")"),"@drfahrettinkoca has no human in budget")</f>
        <v>@drfahrettinkoca has no human in budget</v>
      </c>
    </row>
    <row r="5436" spans="1:5" ht="15" customHeight="1" x14ac:dyDescent="0.2">
      <c r="A5436" s="1" t="s">
        <v>10848</v>
      </c>
      <c r="B5436" s="1">
        <v>0</v>
      </c>
      <c r="C5436" s="3">
        <v>44541.835219907407</v>
      </c>
      <c r="D5436" s="1" t="s">
        <v>10849</v>
      </c>
      <c r="E5436" s="1" t="str">
        <f ca="1">IFERROR(__xludf.DUMMYFUNCTION("GOOGLETRANSLATE(A2235 , ""tr"" , ""en"")"),"@drfahrettinkoca has no guide in this budget already everything! @drfahrettinkoca")</f>
        <v>@drfahrettinkoca has no guide in this budget already everything! @drfahrettinkoca</v>
      </c>
    </row>
    <row r="5437" spans="1:5" ht="15" customHeight="1" x14ac:dyDescent="0.2">
      <c r="A5437" s="1" t="s">
        <v>10850</v>
      </c>
      <c r="B5437" s="1">
        <v>0</v>
      </c>
      <c r="C5437" s="3">
        <v>44541.834953703707</v>
      </c>
      <c r="D5437" s="1" t="s">
        <v>10851</v>
      </c>
      <c r="E5437" s="1" t="str">
        <f ca="1">IFERROR(__xludf.DUMMYFUNCTION("GOOGLETRANSLATE(A2236 , ""tr"" , ""en"")"),"@drfahrettinkoca We listen to the paragraph of the day")</f>
        <v>@drfahrettinkoca We listen to the paragraph of the day</v>
      </c>
    </row>
    <row r="5438" spans="1:5" ht="15" customHeight="1" x14ac:dyDescent="0.2">
      <c r="A5438" s="1" t="s">
        <v>10852</v>
      </c>
      <c r="B5438" s="1">
        <v>0</v>
      </c>
      <c r="C5438" s="3">
        <v>44541.832592592589</v>
      </c>
      <c r="D5438" s="1" t="s">
        <v>10853</v>
      </c>
      <c r="E5438" s="1" t="str">
        <f ca="1">IFERROR(__xludf.DUMMYFUNCTION("GOOGLETRANSLATE(A2237 , ""tr"" , ""en"")"),"@drfahrettinkoca ahahahahha 🤣🤣")</f>
        <v>@drfahrettinkoca ahahahahha 🤣🤣</v>
      </c>
    </row>
    <row r="5439" spans="1:5" ht="15" customHeight="1" x14ac:dyDescent="0.2">
      <c r="A5439" s="1" t="s">
        <v>10854</v>
      </c>
      <c r="B5439" s="1">
        <v>0</v>
      </c>
      <c r="C5439" s="3">
        <v>44541.831979166665</v>
      </c>
      <c r="D5439" s="1" t="s">
        <v>10855</v>
      </c>
      <c r="E5439" s="1" t="str">
        <f ca="1">IFERROR(__xludf.DUMMYFUNCTION("GOOGLETRANSLATE(A2238 , ""tr"" , ""en"")"),"@drfahrettinkoca 🇹🇷👏🤲")</f>
        <v>@drfahrettinkoca 🇹🇷👏🤲</v>
      </c>
    </row>
    <row r="5440" spans="1:5" ht="15" customHeight="1" x14ac:dyDescent="0.2">
      <c r="A5440" s="1" t="s">
        <v>10856</v>
      </c>
      <c r="B5440" s="1">
        <v>0</v>
      </c>
      <c r="C5440" s="3">
        <v>44541.831157407411</v>
      </c>
      <c r="D5440" s="1" t="s">
        <v>10857</v>
      </c>
      <c r="E5440" s="1" t="str">
        <f ca="1">IFERROR(__xludf.DUMMYFUNCTION("GOOGLETRANSLATE(A2239 , ""tr"" , ""en"")"),"@drfahrettinkoca If I was appointed on budget, I don't know the bari.atama waiting for Bari.atama If you assign these to these young people ... https://t.co/mjiI3esa6a")</f>
        <v>@drfahrettinkoca If I was appointed on budget, I don't know the bari.atama waiting for Bari.atama If you assign these to these young people ... https://t.co/mjiI3esa6a</v>
      </c>
    </row>
    <row r="5441" spans="1:5" ht="15" customHeight="1" x14ac:dyDescent="0.2">
      <c r="A5441" s="1" t="s">
        <v>10858</v>
      </c>
      <c r="B5441" s="1">
        <v>0</v>
      </c>
      <c r="C5441" s="3">
        <v>44541.830983796295</v>
      </c>
      <c r="D5441" s="1" t="s">
        <v>10859</v>
      </c>
      <c r="E5441" s="1" t="str">
        <f ca="1">IFERROR(__xludf.DUMMYFUNCTION("GOOGLETRANSLATE(A2240 , ""tr"" , ""en"")"),"@drfahrettinkoca haram get the zikkım")</f>
        <v>@drfahrettinkoca haram get the zikkım</v>
      </c>
    </row>
    <row r="5442" spans="1:5" ht="15" customHeight="1" x14ac:dyDescent="0.2">
      <c r="A5442" s="1" t="s">
        <v>10860</v>
      </c>
      <c r="B5442" s="1">
        <v>0</v>
      </c>
      <c r="C5442" s="3">
        <v>44541.829143518517</v>
      </c>
      <c r="D5442" s="1" t="s">
        <v>10861</v>
      </c>
      <c r="E5442" s="1" t="str">
        <f ca="1">IFERROR(__xludf.DUMMYFUNCTION("GOOGLETRANSLATE(A2241 , ""tr"" , ""en"")"),"@drfahrettinkoca but no staff have no assignment No Maas Improvement We are Butce Acigi Environment Inflant HiC")</f>
        <v>@drfahrettinkoca but no staff have no assignment No Maas Improvement We are Butce Acigi Environment Inflant HiC</v>
      </c>
    </row>
    <row r="5443" spans="1:5" ht="15" customHeight="1" x14ac:dyDescent="0.2">
      <c r="A5443" s="1" t="s">
        <v>10862</v>
      </c>
      <c r="B5443" s="1">
        <v>0</v>
      </c>
      <c r="C5443" s="3">
        <v>44541.827905092592</v>
      </c>
      <c r="D5443" s="1" t="s">
        <v>10863</v>
      </c>
      <c r="E5443" s="1" t="str">
        <f ca="1">IFERROR(__xludf.DUMMYFUNCTION("GOOGLETRANSLATE(A2242 , ""tr"" , ""en"")"),"@drfahrettinkoca eye i love has been more than a year no assamaaaaa")</f>
        <v>@drfahrettinkoca eye i love has been more than a year no assamaaaaa</v>
      </c>
    </row>
    <row r="5444" spans="1:5" ht="15" customHeight="1" x14ac:dyDescent="0.2">
      <c r="A5444" s="1" t="s">
        <v>10864</v>
      </c>
      <c r="B5444" s="1">
        <v>1</v>
      </c>
      <c r="C5444" s="3">
        <v>44541.827766203707</v>
      </c>
      <c r="D5444" s="1" t="s">
        <v>10865</v>
      </c>
      <c r="E5444" s="1" t="str">
        <f ca="1">IFERROR(__xludf.DUMMYFUNCTION("GOOGLETRANSLATE(A2243 , ""tr"" , ""en"")"),"@drfahrettinkoca on this budget we don't have, WHO has a New World Order, have artificial scarcity, there is PCR fascistics,")</f>
        <v>@drfahrettinkoca on this budget we don't have, WHO has a New World Order, have artificial scarcity, there is PCR fascistics,</v>
      </c>
    </row>
    <row r="5445" spans="1:5" ht="15" customHeight="1" x14ac:dyDescent="0.2">
      <c r="A5445" s="1" t="s">
        <v>10866</v>
      </c>
      <c r="B5445" s="1">
        <v>0</v>
      </c>
      <c r="C5445" s="3">
        <v>44541.826631944445</v>
      </c>
      <c r="D5445" s="1" t="s">
        <v>10867</v>
      </c>
      <c r="E5445" s="1" t="str">
        <f ca="1">IFERROR(__xludf.DUMMYFUNCTION("GOOGLETRANSLATE(A2244 , ""tr"" , ""en"")"),"@drfahrettinkoca has no")</f>
        <v>@drfahrettinkoca has no</v>
      </c>
    </row>
    <row r="5446" spans="1:5" ht="15" customHeight="1" x14ac:dyDescent="0.2">
      <c r="A5446" s="1" t="s">
        <v>10868</v>
      </c>
      <c r="B5446" s="1">
        <v>5</v>
      </c>
      <c r="C5446" s="3">
        <v>44541.826377314814</v>
      </c>
      <c r="D5446" s="1" t="s">
        <v>10869</v>
      </c>
      <c r="E5446" s="1" t="str">
        <f ca="1">IFERROR(__xludf.DUMMYFUNCTION("GOOGLETRANSLATE(A2245 , ""tr"" , ""en"")"),"@drfahrettinkoca is the assignment that has not been made for 1 year Including conscience and mercy, Mr. @drfahrettinkoca # BudgetInstalization")</f>
        <v>@drfahrettinkoca is the assignment that has not been made for 1 year Including conscience and mercy, Mr. @drfahrettinkoca # BudgetInstalization</v>
      </c>
    </row>
    <row r="5447" spans="1:5" ht="15" customHeight="1" x14ac:dyDescent="0.2">
      <c r="A5447" s="1" t="s">
        <v>10870</v>
      </c>
      <c r="B5447" s="1">
        <v>0</v>
      </c>
      <c r="C5447" s="3">
        <v>44541.824074074073</v>
      </c>
      <c r="D5447" s="1" t="s">
        <v>10871</v>
      </c>
      <c r="E5447" s="1" t="str">
        <f ca="1">IFERROR(__xludf.DUMMYFUNCTION("GOOGLETRANSLATE(A2246 , ""tr"" , ""en"")"),"@drfahrettinkoca assignment where atamaaaaa ends 2021 ???")</f>
        <v>@drfahrettinkoca assignment where atamaaaaa ends 2021 ???</v>
      </c>
    </row>
    <row r="5448" spans="1:5" ht="15" customHeight="1" x14ac:dyDescent="0.2">
      <c r="A5448" s="1" t="s">
        <v>10872</v>
      </c>
      <c r="B5448" s="1">
        <v>0</v>
      </c>
      <c r="C5448" s="3">
        <v>44541.823368055557</v>
      </c>
      <c r="D5448" s="1" t="s">
        <v>10873</v>
      </c>
      <c r="E5448" s="1" t="str">
        <f ca="1">IFERROR(__xludf.DUMMYFUNCTION("GOOGLETRANSLATE(A2247 , ""tr"" , ""en"")"),"@drfahrettinkoca 2021 Health Budget has not been assigned to assignment Why not assignment still")</f>
        <v>@drfahrettinkoca 2021 Health Budget has not been assigned to assignment Why not assignment still</v>
      </c>
    </row>
    <row r="5449" spans="1:5" ht="15" customHeight="1" x14ac:dyDescent="0.2">
      <c r="A5449" s="1" t="s">
        <v>10874</v>
      </c>
      <c r="B5449" s="1">
        <v>2</v>
      </c>
      <c r="C5449" s="3">
        <v>44541.822627314818</v>
      </c>
      <c r="D5449" s="1" t="s">
        <v>10875</v>
      </c>
      <c r="E5449" s="1" t="str">
        <f ca="1">IFERROR(__xludf.DUMMYFUNCTION("GOOGLETRANSLATE(A2248 , ""tr"" , ""en"")"),"@drfahrettinkoca no concrete in this budget I have no bishayset but you are not surprised")</f>
        <v>@drfahrettinkoca no concrete in this budget I have no bishayset but you are not surprised</v>
      </c>
    </row>
    <row r="5450" spans="1:5" ht="15" customHeight="1" x14ac:dyDescent="0.2">
      <c r="A5450" s="1" t="s">
        <v>10876</v>
      </c>
      <c r="B5450" s="1">
        <v>0</v>
      </c>
      <c r="C5450" s="3">
        <v>44541.822372685187</v>
      </c>
      <c r="D5450" s="1" t="s">
        <v>10877</v>
      </c>
      <c r="E5450" s="1" t="str">
        <f ca="1">IFERROR(__xludf.DUMMYFUNCTION("GOOGLETRANSLATE(A2249 , ""tr"" , ""en"")"),"@drfahrettinkoca that budget has interest in the budget, have cruelty, the right.")</f>
        <v>@drfahrettinkoca that budget has interest in the budget, have cruelty, the right.</v>
      </c>
    </row>
    <row r="5451" spans="1:5" ht="15" customHeight="1" x14ac:dyDescent="0.2">
      <c r="A5451" s="1" t="s">
        <v>10878</v>
      </c>
      <c r="B5451" s="1">
        <v>1</v>
      </c>
      <c r="C5451" s="3">
        <v>44541.821979166663</v>
      </c>
      <c r="D5451" s="1" t="s">
        <v>10879</v>
      </c>
      <c r="E5451" s="1" t="str">
        <f ca="1">IFERROR(__xludf.DUMMYFUNCTION("GOOGLETRANSLATE(A2250 , ""tr"" , ""en"")"),"@drfahrettinkoca is the order avoidance 4. 5. PCR has to continue the challenge")</f>
        <v>@drfahrettinkoca is the order avoidance 4. 5. PCR has to continue the challenge</v>
      </c>
    </row>
    <row r="5452" spans="1:5" ht="15" customHeight="1" x14ac:dyDescent="0.2">
      <c r="A5452" s="1" t="s">
        <v>10880</v>
      </c>
      <c r="B5452" s="1">
        <v>0</v>
      </c>
      <c r="C5452" s="3">
        <v>44541.820625</v>
      </c>
      <c r="D5452" s="1" t="s">
        <v>10881</v>
      </c>
      <c r="E5452" s="1" t="str">
        <f ca="1">IFERROR(__xludf.DUMMYFUNCTION("GOOGLETRANSLATE(A2251 , ""tr"" , ""en"")"),"@drfahrettinkoca has an unknown MRN vaccine in this budget")</f>
        <v>@drfahrettinkoca has an unknown MRN vaccine in this budget</v>
      </c>
    </row>
    <row r="5453" spans="1:5" ht="15" customHeight="1" x14ac:dyDescent="0.2">
      <c r="A5453" s="1" t="s">
        <v>10882</v>
      </c>
      <c r="B5453" s="1">
        <v>1</v>
      </c>
      <c r="C5453" s="3">
        <v>44541.820601851854</v>
      </c>
      <c r="D5453" s="1" t="s">
        <v>10883</v>
      </c>
      <c r="E5453" s="1" t="str">
        <f ca="1">IFERROR(__xludf.DUMMYFUNCTION("GOOGLETRANSLATE(A2252 , ""tr"" , ""en"")"),"@drfahrettinkoca What are you sharing with face? Don't ever be ashamed of you!")</f>
        <v>@drfahrettinkoca What are you sharing with face? Don't ever be ashamed of you!</v>
      </c>
    </row>
    <row r="5454" spans="1:5" ht="15" customHeight="1" x14ac:dyDescent="0.2">
      <c r="A5454" s="1" t="s">
        <v>10884</v>
      </c>
      <c r="B5454" s="1">
        <v>0</v>
      </c>
      <c r="C5454" s="3">
        <v>44541.820509259262</v>
      </c>
      <c r="D5454" s="1" t="s">
        <v>10885</v>
      </c>
      <c r="E5454" s="1" t="str">
        <f ca="1">IFERROR(__xludf.DUMMYFUNCTION("GOOGLETRANSLATE(A2253 , ""tr"" , ""en"")"),"@drfahrettinkoca Mr. facing Immediately Go out of the seat Go to Erdogan, you are damaging Erdogan 😡😡😡😡😡")</f>
        <v>@drfahrettinkoca Mr. facing Immediately Go out of the seat Go to Erdogan, you are damaging Erdogan 😡😡😡😡😡</v>
      </c>
    </row>
    <row r="5455" spans="1:5" ht="15" customHeight="1" x14ac:dyDescent="0.2">
      <c r="A5455" s="1" t="s">
        <v>10886</v>
      </c>
      <c r="B5455" s="1">
        <v>0</v>
      </c>
      <c r="C5455" s="3">
        <v>44542.811157407406</v>
      </c>
      <c r="D5455" s="1" t="s">
        <v>10887</v>
      </c>
      <c r="E5455" s="1" t="str">
        <f ca="1">IFERROR(__xludf.DUMMYFUNCTION("GOOGLETRANSLATE(A2254 , ""tr"" , ""en"")"),"@drfahrettinkoca Ministry of Safety Employees and Dr lar as you parse us. The easiest conditions are working at ... https://t.co/8nkxudjdov")</f>
        <v>@drfahrettinkoca Ministry of Safety Employees and Dr lar as you parse us. The easiest conditions are working at ... https://t.co/8nkxudjdov</v>
      </c>
    </row>
    <row r="5456" spans="1:5" ht="15" customHeight="1" x14ac:dyDescent="0.2">
      <c r="A5456" s="1" t="s">
        <v>10888</v>
      </c>
      <c r="B5456" s="1">
        <v>0</v>
      </c>
      <c r="C5456" s="3">
        <v>44542.795185185183</v>
      </c>
      <c r="D5456" s="1" t="s">
        <v>10889</v>
      </c>
      <c r="E5456" s="1" t="str">
        <f ca="1">IFERROR(__xludf.DUMMYFUNCTION("GOOGLETRANSLATE(A2255 , ""tr"" , ""en"")"),"@drfahrettinkoca medicalers medical consumables employees also minister human count")</f>
        <v>@drfahrettinkoca medicalers medical consumables employees also minister human count</v>
      </c>
    </row>
    <row r="5457" spans="1:5" ht="15" customHeight="1" x14ac:dyDescent="0.2">
      <c r="A5457" s="1" t="s">
        <v>10890</v>
      </c>
      <c r="B5457" s="1">
        <v>0</v>
      </c>
      <c r="C5457" s="3">
        <v>44542.746076388888</v>
      </c>
      <c r="D5457" s="1" t="s">
        <v>10891</v>
      </c>
      <c r="E5457" s="1" t="str">
        <f ca="1">IFERROR(__xludf.DUMMYFUNCTION("GOOGLETRANSLATE(A2256 , ""tr"" , ""en"")"),"@drfahrettinkoca has the right to health workers on your budget Is the medical medical malfunction of hospitals in your budget ... https://t.co/m43p1r2zku")</f>
        <v>@drfahrettinkoca has the right to health workers on your budget Is the medical medical malfunction of hospitals in your budget ... https://t.co/m43p1r2zku</v>
      </c>
    </row>
    <row r="5458" spans="1:5" ht="15" customHeight="1" x14ac:dyDescent="0.2">
      <c r="A5458" s="1" t="s">
        <v>10892</v>
      </c>
      <c r="B5458" s="1">
        <v>0</v>
      </c>
      <c r="C5458" s="3">
        <v>44542.728009259263</v>
      </c>
      <c r="D5458" s="1" t="s">
        <v>10893</v>
      </c>
      <c r="E5458" s="1" t="str">
        <f ca="1">IFERROR(__xludf.DUMMYFUNCTION("GOOGLETRANSLATE(A2257 , ""tr"" , ""en"")"),"@drfahrettinkoca Minister I would like to request workers and officers working in your service SHIPPING G ... https://t.co/sttbl6en4s")</f>
        <v>@drfahrettinkoca Minister I would like to request workers and officers working in your service SHIPPING G ... https://t.co/sttbl6en4s</v>
      </c>
    </row>
    <row r="5459" spans="1:5" ht="15" customHeight="1" x14ac:dyDescent="0.2">
      <c r="A5459" s="1" t="s">
        <v>10894</v>
      </c>
      <c r="B5459" s="1">
        <v>0</v>
      </c>
      <c r="C5459" s="3">
        <v>44542.724629629629</v>
      </c>
      <c r="D5459" s="1" t="s">
        <v>10895</v>
      </c>
      <c r="E5459" s="1" t="str">
        <f ca="1">IFERROR(__xludf.DUMMYFUNCTION("GOOGLETRANSLATE(A2258 , ""tr"" , ""en"")"),"@drfahrettinkoca physicians to CUD 2500 to CUD CUD CUM to be hike, even if you do not rebell, even come to your mind that comes to your mind ... https://t.co/jfwm0rrohi")</f>
        <v>@drfahrettinkoca physicians to CUD 2500 to CUD CUD CUM to be hike, even if you do not rebell, even come to your mind that comes to your mind ... https://t.co/jfwm0rrohi</v>
      </c>
    </row>
    <row r="5460" spans="1:5" ht="15" customHeight="1" x14ac:dyDescent="0.2">
      <c r="A5460" s="1" t="s">
        <v>10896</v>
      </c>
      <c r="B5460" s="1">
        <v>0</v>
      </c>
      <c r="C5460" s="3">
        <v>44543.878194444442</v>
      </c>
      <c r="D5460" s="1" t="s">
        <v>10897</v>
      </c>
      <c r="E5460" s="1" t="str">
        <f ca="1">IFERROR(__xludf.DUMMYFUNCTION("GOOGLETRANSLATE(A2259 , ""tr"" , ""en"")"),"@drfahrettinkoca Tenderly Sweet Language Good Heart-Heart Mr. Ministry Let's have our doctors!")</f>
        <v>@drfahrettinkoca Tenderly Sweet Language Good Heart-Heart Mr. Ministry Let's have our doctors!</v>
      </c>
    </row>
    <row r="5461" spans="1:5" ht="15" customHeight="1" x14ac:dyDescent="0.2">
      <c r="A5461" s="1" t="s">
        <v>10898</v>
      </c>
      <c r="B5461" s="1">
        <v>0</v>
      </c>
      <c r="C5461" s="3">
        <v>44543.875833333332</v>
      </c>
      <c r="D5461" s="1" t="s">
        <v>10899</v>
      </c>
      <c r="E5461" s="1" t="str">
        <f ca="1">IFERROR(__xludf.DUMMYFUNCTION("GOOGLETRANSLATE(A2260 , ""tr"" , ""en"")"),"@drfahrettinkoca I found my doctor others what others don't")</f>
        <v>@drfahrettinkoca I found my doctor others what others don't</v>
      </c>
    </row>
    <row r="5462" spans="1:5" ht="15" customHeight="1" x14ac:dyDescent="0.2">
      <c r="A5462" s="1" t="s">
        <v>10900</v>
      </c>
      <c r="B5462" s="1">
        <v>0</v>
      </c>
      <c r="C5462" s="3">
        <v>44543.874652777777</v>
      </c>
      <c r="D5462" s="1" t="s">
        <v>10901</v>
      </c>
      <c r="E5462" s="1" t="str">
        <f ca="1">IFERROR(__xludf.DUMMYFUNCTION("GOOGLETRANSLATE(A2261 , ""tr"" , ""en"")"),"@drfahrettinka Mr. Minister My country has not settle for a doctor from our country Our Grown Doctors Avru ... https://t.co/cmuqf7sfkl")</f>
        <v>@drfahrettinka Mr. Minister My country has not settle for a doctor from our country Our Grown Doctors Avru ... https://t.co/cmuqf7sfkl</v>
      </c>
    </row>
    <row r="5463" spans="1:5" ht="15" customHeight="1" x14ac:dyDescent="0.2">
      <c r="A5463" s="1" t="s">
        <v>10902</v>
      </c>
      <c r="B5463" s="1">
        <v>0</v>
      </c>
      <c r="C5463" s="3">
        <v>44541.985856481479</v>
      </c>
      <c r="D5463" s="1" t="s">
        <v>10903</v>
      </c>
      <c r="E5463" s="1" t="str">
        <f ca="1">IFERROR(__xludf.DUMMYFUNCTION("GOOGLETRANSLATE(A2262 , ""tr"" , ""en"")"),"@drfahrettinkoca I can get the largest share of 2022 in spite of the pandemia")</f>
        <v>@drfahrettinkoca I can get the largest share of 2022 in spite of the pandemia</v>
      </c>
    </row>
    <row r="5464" spans="1:5" ht="15" customHeight="1" x14ac:dyDescent="0.2">
      <c r="A5464" s="1" t="s">
        <v>10904</v>
      </c>
      <c r="B5464" s="1">
        <v>1</v>
      </c>
      <c r="C5464" s="3">
        <v>44541.970092592594</v>
      </c>
      <c r="D5464" s="1" t="s">
        <v>10905</v>
      </c>
      <c r="E5464" s="1" t="str">
        <f ca="1">IFERROR(__xludf.DUMMYFUNCTION("GOOGLETRANSLATE(A2263 , ""tr"" , ""en"")"),"@drfahrettinkoca Question Too Simple 1. Your own hospital as you may damage the Ministry of the Device and its connected institutions ... https://t.co/ytseI8ynvd")</f>
        <v>@drfahrettinkoca Question Too Simple 1. Your own hospital as you may damage the Ministry of the Device and its connected institutions ... https://t.co/ytseI8ynvd</v>
      </c>
    </row>
    <row r="5465" spans="1:5" ht="15" customHeight="1" x14ac:dyDescent="0.2">
      <c r="A5465" s="1" t="s">
        <v>10906</v>
      </c>
      <c r="B5465" s="1">
        <v>0</v>
      </c>
      <c r="C5465" s="3">
        <v>44541.968969907408</v>
      </c>
      <c r="D5465" s="1" t="s">
        <v>10907</v>
      </c>
      <c r="E5465" s="1" t="str">
        <f ca="1">IFERROR(__xludf.DUMMYFUNCTION("GOOGLETRANSLATE(A2264 , ""tr"" , ""en"")"),"@drfahrettinkoca Saglikci is unable to night ....")</f>
        <v>@drfahrettinkoca Saglikci is unable to night ....</v>
      </c>
    </row>
    <row r="5466" spans="1:5" ht="15" customHeight="1" x14ac:dyDescent="0.2">
      <c r="A5466" s="1" t="s">
        <v>10908</v>
      </c>
      <c r="B5466" s="1">
        <v>0</v>
      </c>
      <c r="C5466" s="3">
        <v>44541.968564814815</v>
      </c>
      <c r="D5466" s="1" t="s">
        <v>10909</v>
      </c>
      <c r="E5466" s="1" t="str">
        <f ca="1">IFERROR(__xludf.DUMMYFUNCTION("GOOGLETRANSLATE(A2265 , ""tr"" , ""en"")"),"@drfahrettinkoca # 2021This40binate")</f>
        <v>@drfahrettinkoca # 2021This40binate</v>
      </c>
    </row>
    <row r="5467" spans="1:5" ht="15" customHeight="1" x14ac:dyDescent="0.2">
      <c r="A5467" s="1" t="s">
        <v>10910</v>
      </c>
      <c r="B5467" s="1">
        <v>0</v>
      </c>
      <c r="C5467" s="3">
        <v>44541.939930555556</v>
      </c>
      <c r="D5467" s="1" t="s">
        <v>10911</v>
      </c>
      <c r="E5467" s="1" t="str">
        <f ca="1">IFERROR(__xludf.DUMMYFUNCTION("GOOGLETRANSLATE(A2266 , ""tr"" , ""en"")"),"@drfahrettinka 2021, we want 30 thousand healthier assignments (40 binds). # Receptayyiperdogan #fahrettinkoca")</f>
        <v>@drfahrettinka 2021, we want 30 thousand healthier assignments (40 binds). # Receptayyiperdogan #fahrettinkoca</v>
      </c>
    </row>
    <row r="5468" spans="1:5" ht="15" customHeight="1" x14ac:dyDescent="0.2">
      <c r="A5468" s="1" t="s">
        <v>7766</v>
      </c>
      <c r="B5468" s="1">
        <v>0</v>
      </c>
      <c r="C5468" s="3">
        <v>44541.923703703702</v>
      </c>
      <c r="D5468" s="1" t="s">
        <v>10912</v>
      </c>
      <c r="E5468" s="1" t="str">
        <f ca="1">IFERROR(__xludf.DUMMYFUNCTION("GOOGLETRANSLATE(A2267 , ""tr"" , ""en"")"),"@drfahrettinkoca Dieticians are welcome to assign the assignment to the dietitians The minister is still the agencies with 90 above points")</f>
        <v>@drfahrettinkoca Dieticians are welcome to assign the assignment to the dietitians The minister is still the agencies with 90 above points</v>
      </c>
    </row>
    <row r="5469" spans="1:5" ht="15" customHeight="1" x14ac:dyDescent="0.2">
      <c r="A5469" s="1" t="s">
        <v>10913</v>
      </c>
      <c r="B5469" s="1">
        <v>2</v>
      </c>
      <c r="C5469" s="3">
        <v>44541.920497685183</v>
      </c>
      <c r="D5469" s="1" t="s">
        <v>10914</v>
      </c>
      <c r="E5469" s="1" t="str">
        <f ca="1">IFERROR(__xludf.DUMMYFUNCTION("GOOGLETRANSLATE(A2268 , ""tr"" , ""en"")"),"@drfahrettinka https://t.co/8xokvhawmy")</f>
        <v>@drfahrettinka https://t.co/8xokvhawmy</v>
      </c>
    </row>
    <row r="5470" spans="1:5" ht="15" customHeight="1" x14ac:dyDescent="0.2">
      <c r="A5470" s="1" t="s">
        <v>10915</v>
      </c>
      <c r="B5470" s="1">
        <v>1</v>
      </c>
      <c r="C5470" s="3">
        <v>44541.92046296296</v>
      </c>
      <c r="D5470" s="1" t="s">
        <v>10916</v>
      </c>
      <c r="E5470" s="1" t="str">
        <f ca="1">IFERROR(__xludf.DUMMYFUNCTION("GOOGLETRANSLATE(A2269 , ""tr"" , ""en"")"),"@drfahrettinka https://t.co/epknxo1q5k")</f>
        <v>@drfahrettinka https://t.co/epknxo1q5k</v>
      </c>
    </row>
    <row r="5471" spans="1:5" ht="15" customHeight="1" x14ac:dyDescent="0.2">
      <c r="A5471" s="1" t="s">
        <v>10917</v>
      </c>
      <c r="B5471" s="1">
        <v>2</v>
      </c>
      <c r="C5471" s="3">
        <v>44541.914606481485</v>
      </c>
      <c r="D5471" s="1" t="s">
        <v>10918</v>
      </c>
      <c r="E5471" s="1" t="str">
        <f ca="1">IFERROR(__xludf.DUMMYFUNCTION("GOOGLETRANSLATE(A2270 , ""tr"" , ""en"")"),"@drfahrettinka wants to be saved on a continued citizen ... but they do not wear sweaters in their homes .. ... https://t.co/si6kuznmkg")</f>
        <v>@drfahrettinka wants to be saved on a continued citizen ... but they do not wear sweaters in their homes .. ... https://t.co/si6kuznmkg</v>
      </c>
    </row>
    <row r="5472" spans="1:5" ht="15" customHeight="1" x14ac:dyDescent="0.2">
      <c r="A5472" s="1" t="s">
        <v>10919</v>
      </c>
      <c r="B5472" s="1">
        <v>0</v>
      </c>
      <c r="C5472" s="3">
        <v>44541.908067129632</v>
      </c>
      <c r="D5472" s="1" t="s">
        <v>10920</v>
      </c>
      <c r="E5472" s="1" t="str">
        <f ca="1">IFERROR(__xludf.DUMMYFUNCTION("GOOGLETRANSLATE(A2271 , ""tr"" , ""en"")"),"@drfahrettinkoca let's destroy all the big head and small heads to save the world. Direction of the demons of the devils ... https://t.co/o2w9tmfwtp")</f>
        <v>@drfahrettinkoca let's destroy all the big head and small heads to save the world. Direction of the demons of the devils ... https://t.co/o2w9tmfwtp</v>
      </c>
    </row>
    <row r="5473" spans="1:5" ht="15" customHeight="1" x14ac:dyDescent="0.2">
      <c r="A5473" s="1" t="s">
        <v>10921</v>
      </c>
      <c r="B5473" s="1">
        <v>0</v>
      </c>
      <c r="C5473" s="3">
        <v>44541.906458333331</v>
      </c>
      <c r="D5473" s="1" t="s">
        <v>10922</v>
      </c>
      <c r="E5473" s="1" t="str">
        <f ca="1">IFERROR(__xludf.DUMMYFUNCTION("GOOGLETRANSLATE(A2272 , ""tr"" , ""en"")"),"@drfahrettinkoca is the reason for the current situation, you and their owners are the residue.")</f>
        <v>@drfahrettinkoca is the reason for the current situation, you and their owners are the residue.</v>
      </c>
    </row>
    <row r="5474" spans="1:5" ht="15" customHeight="1" x14ac:dyDescent="0.2">
      <c r="A5474" s="1" t="s">
        <v>10923</v>
      </c>
      <c r="B5474" s="1">
        <v>0</v>
      </c>
      <c r="C5474" s="3">
        <v>44541.888379629629</v>
      </c>
      <c r="D5474" s="1" t="s">
        <v>10924</v>
      </c>
      <c r="E5474" s="1" t="str">
        <f ca="1">IFERROR(__xludf.DUMMYFUNCTION("GOOGLETRANSLATE(A2273 , ""tr"" , ""en"")"),"@drfahrettinkoca and he used the following ibe sentences from that rostrum. ""He looked closely followed by the world and has viewed ... https://t.co/12AMSXIKYC")</f>
        <v>@drfahrettinkoca and he used the following ibe sentences from that rostrum. "He looked closely followed by the world and has viewed ... https://t.co/12AMSXIKYC</v>
      </c>
    </row>
    <row r="5475" spans="1:5" ht="15" customHeight="1" x14ac:dyDescent="0.2">
      <c r="A5475" s="1" t="s">
        <v>10925</v>
      </c>
      <c r="B5475" s="1">
        <v>2</v>
      </c>
      <c r="C5475" s="3">
        <v>44541.872974537036</v>
      </c>
      <c r="D5475" s="1" t="s">
        <v>10926</v>
      </c>
      <c r="E5475" s="1" t="str">
        <f ca="1">IFERROR(__xludf.DUMMYFUNCTION("GOOGLETRANSLATE(A2274 , ""tr"" , ""en"")"),"@drfahrettinkoca pity doesn't we have 20 thousand to our employees 20 thousand to @drfahrettinkoca gentlig ruined this ha ... https://t.co/j91toythkr")</f>
        <v>@drfahrettinkoca pity doesn't we have 20 thousand to our employees 20 thousand to @drfahrettinkoca gentlig ruined this ha ... https://t.co/j91toythkr</v>
      </c>
    </row>
    <row r="5476" spans="1:5" ht="15" customHeight="1" x14ac:dyDescent="0.2">
      <c r="A5476" s="1" t="s">
        <v>10927</v>
      </c>
      <c r="B5476" s="1">
        <v>0</v>
      </c>
      <c r="C5476" s="3">
        <v>44541.869108796294</v>
      </c>
      <c r="D5476" s="1" t="s">
        <v>10928</v>
      </c>
      <c r="E5476" s="1" t="str">
        <f ca="1">IFERROR(__xludf.DUMMYFUNCTION("GOOGLETRANSLATE(A2275 , ""tr"" , ""en"")"),"@drfahrettinkoca @drfahrettinkoca @drfahrettinkoca @rterdogan How do you guys black out our lives We are your teenage Kidki ... https://t.co/pjxa5uz3xt")</f>
        <v>@drfahrettinkoca @drfahrettinkoca @drfahrettinkoca @rterdogan How do you guys black out our lives We are your teenage Kidki ... https://t.co/pjxa5uz3xt</v>
      </c>
    </row>
    <row r="5477" spans="1:5" ht="15" customHeight="1" x14ac:dyDescent="0.2">
      <c r="A5477" s="1" t="s">
        <v>10929</v>
      </c>
      <c r="B5477" s="1">
        <v>0</v>
      </c>
      <c r="C5477" s="3">
        <v>44541.867569444446</v>
      </c>
      <c r="D5477" s="1" t="s">
        <v>10930</v>
      </c>
      <c r="E5477" s="1" t="str">
        <f ca="1">IFERROR(__xludf.DUMMYFUNCTION("GOOGLETRANSLATE(A2276 , ""tr"" , ""en"")"),"@drfahrettinkoca WHO.")</f>
        <v>@drfahrettinkoca WHO.</v>
      </c>
    </row>
    <row r="5478" spans="1:5" ht="15" customHeight="1" x14ac:dyDescent="0.2">
      <c r="A5478" s="1" t="s">
        <v>10931</v>
      </c>
      <c r="B5478" s="1">
        <v>0</v>
      </c>
      <c r="C5478" s="3">
        <v>44541.860520833332</v>
      </c>
      <c r="D5478" s="1" t="s">
        <v>10932</v>
      </c>
      <c r="E5478" s="1" t="str">
        <f ca="1">IFERROR(__xludf.DUMMYFUNCTION("GOOGLETRANSLATE(A2277 , ""tr"" , ""en"")"),"@drfahrettinkoca @saglikbakanligi Assignment to assign the waiting healthpieces this way is easy for you to wait but our ... https://t.co/ephs9t20v6")</f>
        <v>@drfahrettinkoca @saglikbakanligi Assignment to assign the waiting healthpieces this way is easy for you to wait but our ... https://t.co/ephs9t20v6</v>
      </c>
    </row>
    <row r="5479" spans="1:5" ht="15" customHeight="1" x14ac:dyDescent="0.2">
      <c r="A5479" s="1" t="s">
        <v>10933</v>
      </c>
      <c r="B5479" s="1">
        <v>0</v>
      </c>
      <c r="C5479" s="3">
        <v>44541.858310185184</v>
      </c>
      <c r="D5479" s="1" t="s">
        <v>10934</v>
      </c>
      <c r="E5479" s="1" t="str">
        <f ca="1">IFERROR(__xludf.DUMMYFUNCTION("GOOGLETRANSLATE(A2278 , ""tr"" , ""en"")"),"@drfahrettinkoca @saglikbakanligi What more to do something, El Insafff")</f>
        <v>@drfahrettinkoca @saglikbakanligi What more to do something, El Insafff</v>
      </c>
    </row>
    <row r="5480" spans="1:5" ht="15" customHeight="1" x14ac:dyDescent="0.2">
      <c r="A5480" s="1" t="s">
        <v>10935</v>
      </c>
      <c r="B5480" s="1">
        <v>0</v>
      </c>
      <c r="C5480" s="3">
        <v>44541.849814814814</v>
      </c>
      <c r="D5480" s="1" t="s">
        <v>10936</v>
      </c>
      <c r="E5480" s="1" t="str">
        <f ca="1">IFERROR(__xludf.DUMMYFUNCTION("GOOGLETRANSLATE(A2279 , ""tr"" , ""en"")"),"@drfahrettinkoca If you go out at 250 billion, you will deposit in vaccine again? Because he doesn't get out of your pocket 🤫")</f>
        <v>@drfahrettinkoca If you go out at 250 billion, you will deposit in vaccine again? Because he doesn't get out of your pocket 🤫</v>
      </c>
    </row>
    <row r="5481" spans="1:5" ht="15" customHeight="1" x14ac:dyDescent="0.2">
      <c r="A5481" s="1" t="s">
        <v>10937</v>
      </c>
      <c r="B5481" s="1">
        <v>1</v>
      </c>
      <c r="C5481" s="3">
        <v>44541.849120370367</v>
      </c>
      <c r="D5481" s="1" t="s">
        <v>10938</v>
      </c>
      <c r="E5481" s="1" t="str">
        <f ca="1">IFERROR(__xludf.DUMMYFUNCTION("GOOGLETRANSLATE(A2280 , ""tr"" , ""en"")"),"@drfahrettinkoca Dear Minister Don't stupefly but you say that the tail in Hani Hospital has finished with the queue ... HTTPS://T.CO/GEIBSUEWOV")</f>
        <v>@drfahrettinkoca Dear Minister Don't stupefly but you say that the tail in Hani Hospital has finished with the queue ... HTTPS://T.CO/GEIBSUEWOV</v>
      </c>
    </row>
    <row r="5482" spans="1:5" ht="15" customHeight="1" x14ac:dyDescent="0.2">
      <c r="A5482" s="1" t="s">
        <v>10939</v>
      </c>
      <c r="B5482" s="1">
        <v>1</v>
      </c>
      <c r="C5482" s="3">
        <v>44541.828726851854</v>
      </c>
      <c r="D5482" s="1" t="s">
        <v>10940</v>
      </c>
      <c r="E5482" s="1" t="str">
        <f ca="1">IFERROR(__xludf.DUMMYFUNCTION("GOOGLETRANSLATE(A2281 , ""tr"" , ""en"")"),"@drfahrettinkoca is given 40 thousand assignment gospets due to the reactions of the opposition. It's so much time over it's still ... https://t.co/ikhujrqht")</f>
        <v>@drfahrettinkoca is given 40 thousand assignment gospets due to the reactions of the opposition. It's so much time over it's still ... https://t.co/ikhujrqht</v>
      </c>
    </row>
    <row r="5483" spans="1:5" ht="15" customHeight="1" x14ac:dyDescent="0.2">
      <c r="A5483" s="1" t="s">
        <v>10941</v>
      </c>
      <c r="B5483" s="1">
        <v>0</v>
      </c>
      <c r="C5483" s="3">
        <v>44541.82371527778</v>
      </c>
      <c r="D5483" s="1" t="s">
        <v>10942</v>
      </c>
      <c r="E5483" s="1" t="str">
        <f ca="1">IFERROR(__xludf.DUMMYFUNCTION("GOOGLETRANSLATE(A2282 , ""tr"" , ""en"")"),"@drfahrettinkoca post post now Mr. Minister")</f>
        <v>@drfahrettinkoca post post now Mr. Minister</v>
      </c>
    </row>
    <row r="5484" spans="1:5" ht="15" customHeight="1" x14ac:dyDescent="0.2">
      <c r="A5484" s="1" t="s">
        <v>10943</v>
      </c>
      <c r="B5484" s="1">
        <v>0</v>
      </c>
      <c r="C5484" s="3">
        <v>44541.821446759262</v>
      </c>
      <c r="D5484" s="1" t="s">
        <v>10944</v>
      </c>
      <c r="E5484" s="1" t="str">
        <f ca="1">IFERROR(__xludf.DUMMYFUNCTION("GOOGLETRANSLATE(A2283 , ""tr"" , ""en"")"),"@drfahrettinkoca #sma patient's treatment of children. You are already in the country of the economy ... https://t.co/i4hfppjqa7")</f>
        <v>@drfahrettinkoca #sma patient's treatment of children. You are already in the country of the economy ... https://t.co/i4hfppjqa7</v>
      </c>
    </row>
    <row r="5485" spans="1:5" ht="15" customHeight="1" x14ac:dyDescent="0.2">
      <c r="A5485" s="1" t="s">
        <v>10945</v>
      </c>
      <c r="B5485" s="1">
        <v>0</v>
      </c>
      <c r="C5485" s="3">
        <v>44541.992638888885</v>
      </c>
      <c r="D5485" s="1" t="s">
        <v>10946</v>
      </c>
      <c r="E5485" s="1" t="str">
        <f ca="1">IFERROR(__xludf.DUMMYFUNCTION("GOOGLETRANSLATE(A2284 , ""tr"" , ""en"")"),"@drfahrettinka Ditto in the middle of the vaccine. Daily Case: 100 Deaths: 1 You're Funny Ya.😅")</f>
        <v>@drfahrettinka Ditto in the middle of the vaccine. Daily Case: 100 Deaths: 1 You're Funny Ya.😅</v>
      </c>
    </row>
    <row r="5486" spans="1:5" ht="15" customHeight="1" x14ac:dyDescent="0.2">
      <c r="A5486" s="1" t="s">
        <v>10947</v>
      </c>
      <c r="B5486" s="1">
        <v>0</v>
      </c>
      <c r="C5486" s="3">
        <v>44541.991620370369</v>
      </c>
      <c r="D5486" s="1" t="s">
        <v>10948</v>
      </c>
      <c r="E5486" s="1" t="str">
        <f ca="1">IFERROR(__xludf.DUMMYFUNCTION("GOOGLETRANSLATE(A2285 , ""tr"" , ""en"")"),"@drfahrettinkoca Whole Bill Gavatesin Briefly the amq.o jerk fluids of the global gang of the global gang ... https://t.co/dpjooojwhug")</f>
        <v>@drfahrettinkoca Whole Bill Gavatesin Briefly the amq.o jerk fluids of the global gang of the global gang ... https://t.co/dpjooojwhug</v>
      </c>
    </row>
    <row r="5487" spans="1:5" ht="15" customHeight="1" x14ac:dyDescent="0.2">
      <c r="A5487" s="1" t="s">
        <v>10949</v>
      </c>
      <c r="B5487" s="1">
        <v>0</v>
      </c>
      <c r="C5487" s="3">
        <v>44541.990370370368</v>
      </c>
      <c r="D5487" s="1" t="s">
        <v>10950</v>
      </c>
      <c r="E5487" s="1" t="str">
        <f ca="1">IFERROR(__xludf.DUMMYFUNCTION("GOOGLETRANSLATE(A2286 , ""tr"" , ""en"")"),"@drfahrettinkoca No. 11 December 2020 Vaccine! Number of tests: 208.873 Cases: 32.106 Number of patients: 5,607 Death: 226 11 Search ... https://t.co/me7zcjtxgd")</f>
        <v>@drfahrettinkoca No. 11 December 2020 Vaccine! Number of tests: 208.873 Cases: 32.106 Number of patients: 5,607 Death: 226 11 Search ... https://t.co/me7zcjtxgd</v>
      </c>
    </row>
    <row r="5488" spans="1:5" ht="15" customHeight="1" x14ac:dyDescent="0.2">
      <c r="A5488" s="1" t="s">
        <v>10951</v>
      </c>
      <c r="B5488" s="1">
        <v>2</v>
      </c>
      <c r="C5488" s="3">
        <v>44541.989907407406</v>
      </c>
      <c r="D5488" s="1" t="s">
        <v>10952</v>
      </c>
      <c r="E5488" s="1" t="str">
        <f ca="1">IFERROR(__xludf.DUMMYFUNCTION("GOOGLETRANSLATE(A2287 , ""tr"" , ""en"")"),"@drfahrettinka you can fool yourself, you can fool this nation as well, but God can't fool theory ... https://t.co/c4wuwta3z8")</f>
        <v>@drfahrettinka you can fool yourself, you can fool this nation as well, but God can't fool theory ... https://t.co/c4wuwta3z8</v>
      </c>
    </row>
    <row r="5489" spans="1:5" ht="15" customHeight="1" x14ac:dyDescent="0.2">
      <c r="A5489" s="1" t="s">
        <v>10953</v>
      </c>
      <c r="B5489" s="1">
        <v>0</v>
      </c>
      <c r="C5489" s="3">
        <v>44541.985277777778</v>
      </c>
      <c r="D5489" s="1" t="s">
        <v>10954</v>
      </c>
      <c r="E5489" s="1" t="str">
        <f ca="1">IFERROR(__xludf.DUMMYFUNCTION("GOOGLETRANSLATE(A2288 , ""tr"" , ""en"")"),"@drfahrettinkoca ie folks don't have an intelligent, no mind, and do you say not being vaccinated by someone else ??? Our nation k ... https://t.co/kr2k4iy5m7")</f>
        <v>@drfahrettinkoca ie folks don't have an intelligent, no mind, and do you say not being vaccinated by someone else ??? Our nation k ... https://t.co/kr2k4iy5m7</v>
      </c>
    </row>
    <row r="5490" spans="1:5" ht="15" customHeight="1" x14ac:dyDescent="0.2">
      <c r="A5490" s="1" t="s">
        <v>10955</v>
      </c>
      <c r="B5490" s="1">
        <v>0</v>
      </c>
      <c r="C5490" s="3">
        <v>44541.981215277781</v>
      </c>
      <c r="D5490" s="1" t="s">
        <v>10956</v>
      </c>
      <c r="E5490" s="1" t="str">
        <f ca="1">IFERROR(__xludf.DUMMYFUNCTION("GOOGLETRANSLATE(A2289 , ""tr"" , ""en"")"),"@drfahrettinkoca Don't mock people's mind take precaution Everything is in the middle")</f>
        <v>@drfahrettinkoca Don't mock people's mind take precaution Everything is in the middle</v>
      </c>
    </row>
    <row r="5491" spans="1:5" ht="15" customHeight="1" x14ac:dyDescent="0.2">
      <c r="A5491" s="1" t="s">
        <v>10957</v>
      </c>
      <c r="B5491" s="1">
        <v>0</v>
      </c>
      <c r="C5491" s="3">
        <v>44541.980509259258</v>
      </c>
      <c r="D5491" s="1" t="s">
        <v>10958</v>
      </c>
      <c r="E5491" s="1" t="str">
        <f ca="1">IFERROR(__xludf.DUMMYFUNCTION("GOOGLETRANSLATE(A2290 , ""tr"" , ""en"")"),"@drfahrettinka https://t.co/t6ovb7hyq4")</f>
        <v>@drfahrettinka https://t.co/t6ovb7hyq4</v>
      </c>
    </row>
    <row r="5492" spans="1:5" ht="15" customHeight="1" x14ac:dyDescent="0.2">
      <c r="A5492" s="1" t="s">
        <v>10959</v>
      </c>
      <c r="B5492" s="1">
        <v>0</v>
      </c>
      <c r="C5492" s="3">
        <v>44541.980162037034</v>
      </c>
      <c r="D5492" s="1" t="s">
        <v>10960</v>
      </c>
      <c r="E5492" s="1" t="str">
        <f ca="1">IFERROR(__xludf.DUMMYFUNCTION("GOOGLETRANSLATE(A2291 , ""tr"" , ""en"")"),"@drfahrettinkoca Every day the same empty patients in Izmir are the most of the Omicron infected patients in Izmir, this variant is the most i ... https://t.co/gh2otrikzg")</f>
        <v>@drfahrettinkoca Every day the same empty patients in Izmir are the most of the Omicron infected patients in Izmir, this variant is the most i ... https://t.co/gh2otrikzg</v>
      </c>
    </row>
    <row r="5493" spans="1:5" ht="15" customHeight="1" x14ac:dyDescent="0.2">
      <c r="A5493" s="1" t="s">
        <v>10961</v>
      </c>
      <c r="B5493" s="1">
        <v>0</v>
      </c>
      <c r="C5493" s="3">
        <v>44541.978807870371</v>
      </c>
      <c r="D5493" s="1" t="s">
        <v>10962</v>
      </c>
      <c r="E5493" s="1" t="str">
        <f ca="1">IFERROR(__xludf.DUMMYFUNCTION("GOOGLETRANSLATE(A2292 , ""tr"" , ""en"")"),"@drfahrettinka https://t.co/2zwh66v9l8")</f>
        <v>@drfahrettinka https://t.co/2zwh66v9l8</v>
      </c>
    </row>
    <row r="5494" spans="1:5" ht="15" customHeight="1" x14ac:dyDescent="0.2">
      <c r="A5494" s="1" t="s">
        <v>10963</v>
      </c>
      <c r="B5494" s="1">
        <v>0</v>
      </c>
      <c r="C5494" s="3">
        <v>44541.977789351855</v>
      </c>
      <c r="D5494" s="1" t="s">
        <v>10964</v>
      </c>
      <c r="E5494" s="1" t="str">
        <f ca="1">IFERROR(__xludf.DUMMYFUNCTION("GOOGLETRANSLATE(A2293 , ""tr"" , ""en"")"),"Results of @drfahrettinka vaccines https://t.co/rb6se5ko0t in the middle")</f>
        <v>Results of @drfahrettinka vaccines https://t.co/rb6se5ko0t in the middle</v>
      </c>
    </row>
    <row r="5495" spans="1:5" ht="15" customHeight="1" x14ac:dyDescent="0.2">
      <c r="A5495" s="1" t="s">
        <v>10965</v>
      </c>
      <c r="B5495" s="1">
        <v>3</v>
      </c>
      <c r="C5495" s="3">
        <v>44541.977743055555</v>
      </c>
      <c r="D5495" s="1" t="s">
        <v>10966</v>
      </c>
      <c r="E5495" s="1" t="str">
        <f ca="1">IFERROR(__xludf.DUMMYFUNCTION("GOOGLETRANSLATE(A2294 , ""tr"" , ""en"")"),"@drfahrettinkoca Yoo I'm standing up. I've got the most nurofen. One night disturbed nausea. His exterior ... https://t.co/dlekn10mal")</f>
        <v>@drfahrettinkoca Yoo I'm standing up. I've got the most nurofen. One night disturbed nausea. His exterior ... https://t.co/dlekn10mal</v>
      </c>
    </row>
    <row r="5496" spans="1:5" ht="15" customHeight="1" x14ac:dyDescent="0.2">
      <c r="A5496" s="1" t="s">
        <v>10967</v>
      </c>
      <c r="B5496" s="1">
        <v>0</v>
      </c>
      <c r="C5496" s="3">
        <v>44541.977488425924</v>
      </c>
      <c r="D5496" s="1" t="s">
        <v>10968</v>
      </c>
      <c r="E5496" s="1" t="str">
        <f ca="1">IFERROR(__xludf.DUMMYFUNCTION("GOOGLETRANSLATE(A2295 , ""tr"" , ""en"")"),"@drfahrettinka https://t.co/mfho6IZCCC")</f>
        <v>@drfahrettinka https://t.co/mfho6IZCCC</v>
      </c>
    </row>
    <row r="5497" spans="1:5" ht="15" customHeight="1" x14ac:dyDescent="0.2">
      <c r="A5497" s="1" t="s">
        <v>10969</v>
      </c>
      <c r="B5497" s="1">
        <v>0</v>
      </c>
      <c r="C5497" s="3">
        <v>44541.967037037037</v>
      </c>
      <c r="D5497" s="1" t="s">
        <v>10970</v>
      </c>
      <c r="E5497" s="1" t="str">
        <f ca="1">IFERROR(__xludf.DUMMYFUNCTION("GOOGLETRANSLATE(A2296 , ""tr"" , ""en"")"),"@drfahrettinkoca you have never witnessed what you say is the casket going out on foot")</f>
        <v>@drfahrettinkoca you have never witnessed what you say is the casket going out on foot</v>
      </c>
    </row>
    <row r="5498" spans="1:5" ht="15" customHeight="1" x14ac:dyDescent="0.2">
      <c r="A5498" s="1" t="s">
        <v>10971</v>
      </c>
      <c r="B5498" s="1">
        <v>0</v>
      </c>
      <c r="C5498" s="3">
        <v>44541.966099537036</v>
      </c>
      <c r="D5498" s="1" t="s">
        <v>10972</v>
      </c>
      <c r="E5498" s="1" t="str">
        <f ca="1">IFERROR(__xludf.DUMMYFUNCTION("GOOGLETRANSLATE(A2297 , ""tr"" , ""en"")"),"@drfahrettinkoca I have never been vaccinated, I have chronic discomfort, your PCR tests have shown positive. I have spent without feeling.")</f>
        <v>@drfahrettinkoca I have never been vaccinated, I have chronic discomfort, your PCR tests have shown positive. I have spent without feeling.</v>
      </c>
    </row>
    <row r="5499" spans="1:5" ht="15" customHeight="1" x14ac:dyDescent="0.2">
      <c r="A5499" s="1" t="s">
        <v>10973</v>
      </c>
      <c r="B5499" s="1">
        <v>0</v>
      </c>
      <c r="C5499" s="3">
        <v>44541.965891203705</v>
      </c>
      <c r="D5499" s="1" t="s">
        <v>10974</v>
      </c>
      <c r="E5499" s="1" t="str">
        <f ca="1">IFERROR(__xludf.DUMMYFUNCTION("GOOGLETRANSLATE(A2298 , ""tr"" , ""en"")"),"@drfahrettinkoca Bill Gates How much I gave you FAHredit!")</f>
        <v>@drfahrettinkoca Bill Gates How much I gave you FAHredit!</v>
      </c>
    </row>
    <row r="5500" spans="1:5" ht="15" customHeight="1" x14ac:dyDescent="0.2">
      <c r="A5500" s="1" t="s">
        <v>10975</v>
      </c>
      <c r="B5500" s="1">
        <v>3</v>
      </c>
      <c r="C5500" s="3">
        <v>44541.960393518515</v>
      </c>
      <c r="D5500" s="1" t="s">
        <v>10976</v>
      </c>
      <c r="E5500" s="1" t="str">
        <f ca="1">IFERROR(__xludf.DUMMYFUNCTION("GOOGLETRANSLATE(A2299 , ""tr"" , ""en"")"),"Why @drfahrettinkoca is not expiring 6 months after the second vaccine Why doesn't make an appointment? Does 6 months have a scientific basis?")</f>
        <v>Why @drfahrettinkoca is not expiring 6 months after the second vaccine Why doesn't make an appointment? Does 6 months have a scientific basis?</v>
      </c>
    </row>
    <row r="5501" spans="1:5" ht="15" customHeight="1" x14ac:dyDescent="0.2">
      <c r="A5501" s="1" t="s">
        <v>10977</v>
      </c>
      <c r="B5501" s="1">
        <v>0</v>
      </c>
      <c r="C5501" s="3">
        <v>44541.959733796299</v>
      </c>
      <c r="D5501" s="1" t="s">
        <v>10978</v>
      </c>
      <c r="E5501" s="1" t="str">
        <f ca="1">IFERROR(__xludf.DUMMYFUNCTION("GOOGLETRANSLATE(A2300 , ""tr"" , ""en"")"),"@drfahrettinkoca After vaccines, the heart attack is too much plus. It is a pity to people who trust the state. WHO i ... HTTPS://T.CO/ZOKWGENIMZ")</f>
        <v>@drfahrettinkoca After vaccines, the heart attack is too much plus. It is a pity to people who trust the state. WHO i ... HTTPS://T.CO/ZOKWGENIMZ</v>
      </c>
    </row>
    <row r="5502" spans="1:5" ht="15" customHeight="1" x14ac:dyDescent="0.2">
      <c r="A5502" s="1" t="s">
        <v>10979</v>
      </c>
      <c r="B5502" s="1">
        <v>0</v>
      </c>
      <c r="C5502" s="3">
        <v>44541.956597222219</v>
      </c>
      <c r="D5502" s="1" t="s">
        <v>10980</v>
      </c>
      <c r="E5502" s="1" t="str">
        <f ca="1">IFERROR(__xludf.DUMMYFUNCTION("GOOGLETRANSLATE(A2301 , ""tr"" , ""en"")"),"@drfahrettinkoca I'm not liquid I'm doing the opposite of you to say alhamdulillah I haven't been sick")</f>
        <v>@drfahrettinkoca I'm not liquid I'm doing the opposite of you to say alhamdulillah I haven't been sick</v>
      </c>
    </row>
    <row r="5503" spans="1:5" ht="15" customHeight="1" x14ac:dyDescent="0.2">
      <c r="A5503" s="1" t="s">
        <v>10981</v>
      </c>
      <c r="B5503" s="1">
        <v>0</v>
      </c>
      <c r="C5503" s="3">
        <v>44541.949687499997</v>
      </c>
      <c r="D5503" s="1" t="s">
        <v>10982</v>
      </c>
      <c r="E5503" s="1" t="str">
        <f ca="1">IFERROR(__xludf.DUMMYFUNCTION("GOOGLETRANSLATE(A2302 , ""tr"" , ""en"")"),"@drfahrettinkoca lie, husband lie")</f>
        <v>@drfahrettinkoca lie, husband lie</v>
      </c>
    </row>
    <row r="5504" spans="1:5" ht="15" customHeight="1" x14ac:dyDescent="0.2">
      <c r="A5504" s="1" t="s">
        <v>10983</v>
      </c>
      <c r="B5504" s="1">
        <v>0</v>
      </c>
      <c r="C5504" s="3">
        <v>44541.949317129627</v>
      </c>
      <c r="D5504" s="1" t="s">
        <v>10984</v>
      </c>
      <c r="E5504" s="1" t="str">
        <f ca="1">IFERROR(__xludf.DUMMYFUNCTION("GOOGLETRANSLATE(A2303 , ""tr"" , ""en"")"),"@drfahrettinka https://t.co/4dscyq07af")</f>
        <v>@drfahrettinka https://t.co/4dscyq07af</v>
      </c>
    </row>
    <row r="5505" spans="1:5" ht="15" customHeight="1" x14ac:dyDescent="0.2">
      <c r="A5505" s="1" t="s">
        <v>10985</v>
      </c>
      <c r="B5505" s="1">
        <v>0</v>
      </c>
      <c r="C5505" s="3">
        <v>44541.944548611114</v>
      </c>
      <c r="D5505" s="1" t="s">
        <v>10986</v>
      </c>
      <c r="E5505" s="1" t="str">
        <f ca="1">IFERROR(__xludf.DUMMYFUNCTION("GOOGLETRANSLATE(A2304 , ""tr"" , ""en"")"),"@drfahrettinkoca Mr. Looking at what you are using before writing these tweets. Because these tweets are not written with sober head. ... https://t.co/I5cnrlha6t")</f>
        <v>@drfahrettinkoca Mr. Looking at what you are using before writing these tweets. Because these tweets are not written with sober head. ... https://t.co/I5cnrlha6t</v>
      </c>
    </row>
    <row r="5506" spans="1:5" ht="15" customHeight="1" x14ac:dyDescent="0.2">
      <c r="A5506" s="1" t="s">
        <v>10987</v>
      </c>
      <c r="B5506" s="1">
        <v>0</v>
      </c>
      <c r="C5506" s="3">
        <v>44541.941851851851</v>
      </c>
      <c r="D5506" s="1" t="s">
        <v>10988</v>
      </c>
      <c r="E5506" s="1" t="str">
        <f ca="1">IFERROR(__xludf.DUMMYFUNCTION("GOOGLETRANSLATE(A2305 , ""tr"" , ""en"")"),"@drfahrettinka https://t.co/2q5jdja1pp")</f>
        <v>@drfahrettinka https://t.co/2q5jdja1pp</v>
      </c>
    </row>
    <row r="5507" spans="1:5" ht="15" customHeight="1" x14ac:dyDescent="0.2">
      <c r="A5507" s="1" t="s">
        <v>10989</v>
      </c>
      <c r="B5507" s="1">
        <v>0</v>
      </c>
      <c r="C5507" s="3">
        <v>44541.941550925927</v>
      </c>
      <c r="D5507" s="1" t="s">
        <v>10990</v>
      </c>
      <c r="E5507" s="1" t="str">
        <f ca="1">IFERROR(__xludf.DUMMYFUNCTION("GOOGLETRANSLATE(A2306 , ""tr"" , ""en"")"),"@drfahrettinkoca https://t.co/lohcfalzth")</f>
        <v>@drfahrettinkoca https://t.co/lohcfalzth</v>
      </c>
    </row>
    <row r="5508" spans="1:5" ht="15" customHeight="1" x14ac:dyDescent="0.2">
      <c r="A5508" s="1" t="s">
        <v>10991</v>
      </c>
      <c r="B5508" s="1">
        <v>0</v>
      </c>
      <c r="C5508" s="3">
        <v>44541.941365740742</v>
      </c>
      <c r="D5508" s="1" t="s">
        <v>10992</v>
      </c>
      <c r="E5508" s="1" t="str">
        <f ca="1">IFERROR(__xludf.DUMMYFUNCTION("GOOGLETRANSLATE(A2307 , ""tr"" , ""en"")"),"@drfahrettinkoca https://t.co/SGS8SNISEZ")</f>
        <v>@drfahrettinkoca https://t.co/SGS8SNISEZ</v>
      </c>
    </row>
    <row r="5509" spans="1:5" ht="15" customHeight="1" x14ac:dyDescent="0.2">
      <c r="A5509" s="1" t="s">
        <v>10993</v>
      </c>
      <c r="B5509" s="1">
        <v>0</v>
      </c>
      <c r="C5509" s="3">
        <v>44541.94127314815</v>
      </c>
      <c r="D5509" s="1" t="s">
        <v>10994</v>
      </c>
      <c r="E5509" s="1" t="str">
        <f ca="1">IFERROR(__xludf.DUMMYFUNCTION("GOOGLETRANSLATE(A2308 , ""tr"" , ""en"")"),"@drfahrettinka https://t.co/qoe2viloym")</f>
        <v>@drfahrettinka https://t.co/qoe2viloym</v>
      </c>
    </row>
    <row r="5510" spans="1:5" ht="15" customHeight="1" x14ac:dyDescent="0.2">
      <c r="A5510" s="1" t="s">
        <v>10995</v>
      </c>
      <c r="B5510" s="1">
        <v>0</v>
      </c>
      <c r="C5510" s="3">
        <v>44541.941168981481</v>
      </c>
      <c r="D5510" s="1" t="s">
        <v>10996</v>
      </c>
      <c r="E5510" s="1" t="str">
        <f ca="1">IFERROR(__xludf.DUMMYFUNCTION("GOOGLETRANSLATE(A2309 , ""tr"" , ""en"")"),"@drfahrettinka https://t.co/uodm815boh")</f>
        <v>@drfahrettinka https://t.co/uodm815boh</v>
      </c>
    </row>
    <row r="5511" spans="1:5" ht="15" customHeight="1" x14ac:dyDescent="0.2">
      <c r="A5511" s="1" t="s">
        <v>10997</v>
      </c>
      <c r="B5511" s="1">
        <v>0</v>
      </c>
      <c r="C5511" s="3">
        <v>44541.941018518519</v>
      </c>
      <c r="D5511" s="1" t="s">
        <v>10998</v>
      </c>
      <c r="E5511" s="1" t="str">
        <f ca="1">IFERROR(__xludf.DUMMYFUNCTION("GOOGLETRANSLATE(A2310 , ""tr"" , ""en"")"),"@drfahrettinka https://t.co/9bm0l8rhpp")</f>
        <v>@drfahrettinka https://t.co/9bm0l8rhpp</v>
      </c>
    </row>
    <row r="5512" spans="1:5" ht="15" customHeight="1" x14ac:dyDescent="0.2">
      <c r="A5512" s="1" t="s">
        <v>10999</v>
      </c>
      <c r="B5512" s="1">
        <v>0</v>
      </c>
      <c r="C5512" s="3">
        <v>44541.940891203703</v>
      </c>
      <c r="D5512" s="1" t="s">
        <v>11000</v>
      </c>
      <c r="E5512" s="1" t="str">
        <f ca="1">IFERROR(__xludf.DUMMYFUNCTION("GOOGLETRANSLATE(A2311 , ""tr"" , ""en"")"),"@drfahrettinka https://t.co/0uu5uhmrxh")</f>
        <v>@drfahrettinka https://t.co/0uu5uhmrxh</v>
      </c>
    </row>
    <row r="5513" spans="1:5" ht="15" customHeight="1" x14ac:dyDescent="0.2">
      <c r="A5513" s="1" t="s">
        <v>11001</v>
      </c>
      <c r="B5513" s="1">
        <v>0</v>
      </c>
      <c r="C5513" s="3">
        <v>44541.940798611111</v>
      </c>
      <c r="D5513" s="1" t="s">
        <v>11002</v>
      </c>
      <c r="E5513" s="1" t="str">
        <f ca="1">IFERROR(__xludf.DUMMYFUNCTION("GOOGLETRANSLATE(A2312 , ""tr"" , ""en"")"),"@drfahrettinka https://t.co/96oh6he1VI")</f>
        <v>@drfahrettinka https://t.co/96oh6he1VI</v>
      </c>
    </row>
    <row r="5514" spans="1:5" ht="15" customHeight="1" x14ac:dyDescent="0.2">
      <c r="A5514" s="1" t="s">
        <v>11003</v>
      </c>
      <c r="B5514" s="1">
        <v>0</v>
      </c>
      <c r="C5514" s="3">
        <v>44541.940682870372</v>
      </c>
      <c r="D5514" s="1" t="s">
        <v>11004</v>
      </c>
      <c r="E5514" s="1" t="str">
        <f ca="1">IFERROR(__xludf.DUMMYFUNCTION("GOOGLETRANSLATE(A2313 , ""tr"" , ""en"")"),"@drfahrettinka https://t.co/gv0amha7w9")</f>
        <v>@drfahrettinka https://t.co/gv0amha7w9</v>
      </c>
    </row>
    <row r="5515" spans="1:5" ht="15" customHeight="1" x14ac:dyDescent="0.2">
      <c r="A5515" s="1" t="s">
        <v>11005</v>
      </c>
      <c r="B5515" s="1">
        <v>0</v>
      </c>
      <c r="C5515" s="3">
        <v>44541.940509259257</v>
      </c>
      <c r="D5515" s="1" t="s">
        <v>11006</v>
      </c>
      <c r="E5515" s="1" t="str">
        <f ca="1">IFERROR(__xludf.DUMMYFUNCTION("GOOGLETRANSLATE(A2314 , ""tr"" , ""en"")"),"@drfahrettinka https://t.co/qfjkqwlkzg")</f>
        <v>@drfahrettinka https://t.co/qfjkqwlkzg</v>
      </c>
    </row>
    <row r="5516" spans="1:5" ht="15" customHeight="1" x14ac:dyDescent="0.2">
      <c r="A5516" s="1" t="s">
        <v>11007</v>
      </c>
      <c r="B5516" s="1">
        <v>0</v>
      </c>
      <c r="C5516" s="3">
        <v>44541.940451388888</v>
      </c>
      <c r="D5516" s="1" t="s">
        <v>11008</v>
      </c>
      <c r="E5516" s="1" t="str">
        <f ca="1">IFERROR(__xludf.DUMMYFUNCTION("GOOGLETRANSLATE(A2315 , ""tr"" , ""en"")"),"@drfahrettinka https://t.co/zvuugezcri")</f>
        <v>@drfahrettinka https://t.co/zvuugezcri</v>
      </c>
    </row>
    <row r="5517" spans="1:5" ht="15" customHeight="1" x14ac:dyDescent="0.2">
      <c r="A5517" s="1" t="s">
        <v>11009</v>
      </c>
      <c r="B5517" s="1">
        <v>0</v>
      </c>
      <c r="C5517" s="3">
        <v>44541.940335648149</v>
      </c>
      <c r="D5517" s="1" t="s">
        <v>11010</v>
      </c>
      <c r="E5517" s="1" t="str">
        <f ca="1">IFERROR(__xludf.DUMMYFUNCTION("GOOGLETRANSLATE(A2316 , ""tr"" , ""en"")"),"@drfahrettinka https://t.co/wlleiytxav")</f>
        <v>@drfahrettinka https://t.co/wlleiytxav</v>
      </c>
    </row>
    <row r="5518" spans="1:5" ht="15" customHeight="1" x14ac:dyDescent="0.2">
      <c r="A5518" s="1" t="s">
        <v>11011</v>
      </c>
      <c r="B5518" s="1">
        <v>0</v>
      </c>
      <c r="C5518" s="3">
        <v>44541.940243055556</v>
      </c>
      <c r="D5518" s="1" t="s">
        <v>11012</v>
      </c>
      <c r="E5518" s="1" t="str">
        <f ca="1">IFERROR(__xludf.DUMMYFUNCTION("GOOGLETRANSLATE(A2317 , ""tr"" , ""en"")"),"@drfahrettinka https://t.co/pzov079k4p")</f>
        <v>@drfahrettinka https://t.co/pzov079k4p</v>
      </c>
    </row>
    <row r="5519" spans="1:5" ht="15" customHeight="1" x14ac:dyDescent="0.2">
      <c r="A5519" s="1" t="s">
        <v>11013</v>
      </c>
      <c r="B5519" s="1">
        <v>0</v>
      </c>
      <c r="C5519" s="3">
        <v>44541.940196759257</v>
      </c>
      <c r="D5519" s="1" t="s">
        <v>11014</v>
      </c>
      <c r="E5519" s="1" t="str">
        <f ca="1">IFERROR(__xludf.DUMMYFUNCTION("GOOGLETRANSLATE(A2318 , ""tr"" , ""en"")"),"@drfahrettinka https://t.co/qvhzfyxwv1")</f>
        <v>@drfahrettinka https://t.co/qvhzfyxwv1</v>
      </c>
    </row>
    <row r="5520" spans="1:5" ht="15" customHeight="1" x14ac:dyDescent="0.2">
      <c r="A5520" s="1" t="s">
        <v>11015</v>
      </c>
      <c r="B5520" s="1">
        <v>1</v>
      </c>
      <c r="C5520" s="3">
        <v>44541.932314814818</v>
      </c>
      <c r="D5520" s="1" t="s">
        <v>11016</v>
      </c>
      <c r="E5520" s="1" t="str">
        <f ca="1">IFERROR(__xludf.DUMMYFUNCTION("GOOGLETRANSLATE(A2319 , ""tr"" , ""en"")"),"@drfahrettinka vaccines are dying, 3rd dose is in a definite few weeks. You know that too. HTTPS://T.CO/QWHWCE2PWB")</f>
        <v>@drfahrettinka vaccines are dying, 3rd dose is in a definite few weeks. You know that too. HTTPS://T.CO/QWHWCE2PWB</v>
      </c>
    </row>
    <row r="5521" spans="1:5" ht="15" customHeight="1" x14ac:dyDescent="0.2">
      <c r="A5521" s="1" t="s">
        <v>11017</v>
      </c>
      <c r="B5521" s="1">
        <v>0</v>
      </c>
      <c r="C5521" s="3">
        <v>44541.930995370371</v>
      </c>
      <c r="D5521" s="1" t="s">
        <v>11018</v>
      </c>
      <c r="E5521" s="1" t="str">
        <f ca="1">IFERROR(__xludf.DUMMYFUNCTION("GOOGLETRANSLATE(A2320 , ""tr"" , ""en"")"),"@drfahrettinkoca o Your dopping days are an explain? How is the weary days? Exactly what's the content?")</f>
        <v>@drfahrettinkoca o Your dopping days are an explain? How is the weary days? Exactly what's the content?</v>
      </c>
    </row>
    <row r="5522" spans="1:5" ht="15" customHeight="1" x14ac:dyDescent="0.2">
      <c r="A5522" s="1" t="s">
        <v>11019</v>
      </c>
      <c r="B5522" s="1">
        <v>0</v>
      </c>
      <c r="C5522" s="3">
        <v>44541.928703703707</v>
      </c>
      <c r="D5522" s="1" t="s">
        <v>11020</v>
      </c>
      <c r="E5522" s="1" t="str">
        <f ca="1">IFERROR(__xludf.DUMMYFUNCTION("GOOGLETRANSLATE(A2321 , ""tr"" , ""en"")"),"@drfahrettinkoca hocam oil kac money boniyonu economy Duzeltin What vaccine Askina 10th year fat is 5th Yill ... https://t.co/nzyhy9ltq2")</f>
        <v>@drfahrettinkoca hocam oil kac money boniyonu economy Duzeltin What vaccine Askina 10th year fat is 5th Yill ... https://t.co/nzyhy9ltq2</v>
      </c>
    </row>
    <row r="5523" spans="1:5" ht="15" customHeight="1" x14ac:dyDescent="0.2">
      <c r="A5523" s="1" t="s">
        <v>11021</v>
      </c>
      <c r="B5523" s="1">
        <v>0</v>
      </c>
      <c r="C5523" s="3">
        <v>44541.923761574071</v>
      </c>
      <c r="D5523" s="1" t="s">
        <v>11022</v>
      </c>
      <c r="E5523" s="1" t="str">
        <f ca="1">IFERROR(__xludf.DUMMYFUNCTION("GOOGLETRANSLATE(A2322 , ""tr"" , ""en"")"),"@drfahrettinkoca We don't have a rough vaccine in Hadtahsnahs in some of them in the grave")</f>
        <v>@drfahrettinkoca We don't have a rough vaccine in Hadtahsnahs in some of them in the grave</v>
      </c>
    </row>
    <row r="5524" spans="1:5" ht="15" customHeight="1" x14ac:dyDescent="0.2">
      <c r="A5524" s="1" t="s">
        <v>11023</v>
      </c>
      <c r="B5524" s="1">
        <v>24</v>
      </c>
      <c r="C5524" s="3">
        <v>44541.923020833332</v>
      </c>
      <c r="D5524" s="1" t="s">
        <v>11024</v>
      </c>
      <c r="E5524" s="1" t="str">
        <f ca="1">IFERROR(__xludf.DUMMYFUNCTION("GOOGLETRANSLATE(A2323 , ""tr"" , ""en"")"),"@drfahrettinkoca 191 has a 30-year-old mother who has been married to his stomach in his abdomen and standing today. 8 years old ... https://t.co/y3j0njel3z")</f>
        <v>@drfahrettinkoca 191 has a 30-year-old mother who has been married to his stomach in his abdomen and standing today. 8 years old ... https://t.co/y3j0njel3z</v>
      </c>
    </row>
    <row r="5525" spans="1:5" ht="15" customHeight="1" x14ac:dyDescent="0.2">
      <c r="A5525" s="1" t="s">
        <v>11025</v>
      </c>
      <c r="B5525" s="1">
        <v>0</v>
      </c>
      <c r="C5525" s="3">
        <v>44541.922743055555</v>
      </c>
      <c r="D5525" s="1" t="s">
        <v>11026</v>
      </c>
      <c r="E5525" s="1" t="str">
        <f ca="1">IFERROR(__xludf.DUMMYFUNCTION("GOOGLETRANSLATE(A2324 , ""tr"" , ""en"")"),"@drfahrettinkoca has never been blushed from talking from talking from the beginning")</f>
        <v>@drfahrettinkoca has never been blushed from talking from talking from the beginning</v>
      </c>
    </row>
    <row r="5526" spans="1:5" ht="15" customHeight="1" x14ac:dyDescent="0.2">
      <c r="A5526" s="1" t="s">
        <v>11027</v>
      </c>
      <c r="B5526" s="1">
        <v>0</v>
      </c>
      <c r="C5526" s="3">
        <v>44541.921678240738</v>
      </c>
      <c r="D5526" s="1" t="s">
        <v>11028</v>
      </c>
      <c r="E5526" s="1" t="str">
        <f ca="1">IFERROR(__xludf.DUMMYFUNCTION("GOOGLETRANSLATE(A2325 , ""tr"" , ""en"")"),"@drfahrettinkoca Portugal is 98% grafted but there is an increase in this variant.")</f>
        <v>@drfahrettinkoca Portugal is 98% grafted but there is an increase in this variant.</v>
      </c>
    </row>
    <row r="5527" spans="1:5" ht="15" customHeight="1" x14ac:dyDescent="0.2">
      <c r="A5527" s="1" t="s">
        <v>11029</v>
      </c>
      <c r="B5527" s="1">
        <v>0</v>
      </c>
      <c r="C5527" s="3">
        <v>44541.916215277779</v>
      </c>
      <c r="D5527" s="1" t="s">
        <v>11030</v>
      </c>
      <c r="E5527" s="1" t="str">
        <f ca="1">IFERROR(__xludf.DUMMYFUNCTION("GOOGLETRANSLATE(A2326 , ""tr"" , ""en"")"),"@drfahrettinkoca science treatment is not against drugs we have doubts against fake epidemic")</f>
        <v>@drfahrettinkoca science treatment is not against drugs we have doubts against fake epidemic</v>
      </c>
    </row>
    <row r="5528" spans="1:5" ht="15" customHeight="1" x14ac:dyDescent="0.2">
      <c r="A5528" s="1" t="s">
        <v>11031</v>
      </c>
      <c r="B5528" s="1">
        <v>3</v>
      </c>
      <c r="C5528" s="3">
        <v>44541.910011574073</v>
      </c>
      <c r="D5528" s="1" t="s">
        <v>11032</v>
      </c>
      <c r="E5528" s="1" t="str">
        <f ca="1">IFERROR(__xludf.DUMMYFUNCTION("GOOGLETRANSLATE(A2327 , ""tr"" , ""en"")"),"@drfahrettinkoca is either vaccine in the surroundings that are spilled in the robber pads.")</f>
        <v>@drfahrettinkoca is either vaccine in the surroundings that are spilled in the robber pads.</v>
      </c>
    </row>
    <row r="5529" spans="1:5" ht="15" customHeight="1" x14ac:dyDescent="0.2">
      <c r="A5529" s="1" t="s">
        <v>11033</v>
      </c>
      <c r="B5529" s="1">
        <v>0</v>
      </c>
      <c r="C5529" s="3">
        <v>44541.908483796295</v>
      </c>
      <c r="D5529" s="1" t="s">
        <v>11034</v>
      </c>
      <c r="E5529" s="1" t="str">
        <f ca="1">IFERROR(__xludf.DUMMYFUNCTION("GOOGLETRANSLATE(A2328 , ""tr"" , ""en"")"),"@drfahrettinkoca you will be pregnant to imposed the vaccine is not vaccinated to be vaccinated to anyone that much right ... https://t.co/11JI95CP6I")</f>
        <v>@drfahrettinkoca you will be pregnant to imposed the vaccine is not vaccinated to be vaccinated to anyone that much right ... https://t.co/11JI95CP6I</v>
      </c>
    </row>
    <row r="5530" spans="1:5" ht="15" customHeight="1" x14ac:dyDescent="0.2">
      <c r="A5530" s="1" t="s">
        <v>11035</v>
      </c>
      <c r="B5530" s="1">
        <v>1</v>
      </c>
      <c r="C5530" s="3">
        <v>44541.90792824074</v>
      </c>
      <c r="D5530" s="1" t="s">
        <v>11036</v>
      </c>
      <c r="E5530" s="1" t="str">
        <f ca="1">IFERROR(__xludf.DUMMYFUNCTION("GOOGLETRANSLATE(A2329 , ""tr"" , ""en"")"),"Subject to @drfahrettinkoca We are subject to Turkish Gercek Doctors and foreign doctors His benefit is harmful ... https://t.co/wvekazgnzi")</f>
        <v>Subject to @drfahrettinkoca We are subject to Turkish Gercek Doctors and foreign doctors His benefit is harmful ... https://t.co/wvekazgnzi</v>
      </c>
    </row>
    <row r="5531" spans="1:5" ht="15" customHeight="1" x14ac:dyDescent="0.2">
      <c r="A5531" s="1" t="s">
        <v>11037</v>
      </c>
      <c r="B5531" s="1">
        <v>0</v>
      </c>
      <c r="C5531" s="3">
        <v>44541.906597222223</v>
      </c>
      <c r="D5531" s="1" t="s">
        <v>11038</v>
      </c>
      <c r="E5531" s="1" t="str">
        <f ca="1">IFERROR(__xludf.DUMMYFUNCTION("GOOGLETRANSLATE(A2330 , ""tr"" , ""en"")"),"@drfahrettinkoca has the omicron variant in our country and the future of the country, the measures taken for young people: - Click, click on ... https://t.co/ng70hmsl0a")</f>
        <v>@drfahrettinkoca has the omicron variant in our country and the future of the country, the measures taken for young people: - Click, click on ... https://t.co/ng70hmsl0a</v>
      </c>
    </row>
    <row r="5532" spans="1:5" ht="15" customHeight="1" x14ac:dyDescent="0.2">
      <c r="A5532" s="1" t="s">
        <v>11039</v>
      </c>
      <c r="B5532" s="1">
        <v>0</v>
      </c>
      <c r="C5532" s="3">
        <v>44541.904861111114</v>
      </c>
      <c r="D5532" s="1" t="s">
        <v>11040</v>
      </c>
      <c r="E5532" s="1" t="str">
        <f ca="1">IFERROR(__xludf.DUMMYFUNCTION("GOOGLETRANSLATE(A2331 , ""tr"" , ""en"")"),"@drfahrettinkoca we don't believe. We are evaluating the words of the science guys. believe you. Our Tibba Guven is not staying. same to you.")</f>
        <v>@drfahrettinkoca we don't believe. We are evaluating the words of the science guys. believe you. Our Tibba Guven is not staying. same to you.</v>
      </c>
    </row>
    <row r="5533" spans="1:5" ht="15" customHeight="1" x14ac:dyDescent="0.2">
      <c r="A5533" s="1" t="s">
        <v>11041</v>
      </c>
      <c r="B5533" s="1">
        <v>5</v>
      </c>
      <c r="C5533" s="3">
        <v>44541.903425925928</v>
      </c>
      <c r="D5533" s="1" t="s">
        <v>11042</v>
      </c>
      <c r="E5533" s="1" t="str">
        <f ca="1">IFERROR(__xludf.DUMMYFUNCTION("GOOGLETRANSLATE(A2332 , ""tr"" , ""en"")"),"@drfahrettinkoca How many months are the first case in the first case in the army vaccination that the first case says that the vaccination is useful in the patient ... https://t.co/lrujkcdxyb")</f>
        <v>@drfahrettinkoca How many months are the first case in the first case in the army vaccination that the first case says that the vaccination is useful in the patient ... https://t.co/lrujkcdxyb</v>
      </c>
    </row>
    <row r="5534" spans="1:5" ht="15" customHeight="1" x14ac:dyDescent="0.2">
      <c r="A5534" s="1" t="s">
        <v>11043</v>
      </c>
      <c r="B5534" s="1">
        <v>0</v>
      </c>
      <c r="C5534" s="3">
        <v>44541.901597222219</v>
      </c>
      <c r="D5534" s="1" t="s">
        <v>11044</v>
      </c>
      <c r="E5534" s="1" t="str">
        <f ca="1">IFERROR(__xludf.DUMMYFUNCTION("GOOGLETRANSLATE(A2333 , ""tr"" , ""en"")"),"@drfahrettinkoca acceptance-admit please")</f>
        <v>@drfahrettinkoca acceptance-admit please</v>
      </c>
    </row>
    <row r="5535" spans="1:5" ht="15" customHeight="1" x14ac:dyDescent="0.2">
      <c r="A5535" s="1" t="s">
        <v>11045</v>
      </c>
      <c r="B5535" s="1">
        <v>2</v>
      </c>
      <c r="C5535" s="3">
        <v>44541.900694444441</v>
      </c>
      <c r="D5535" s="1" t="s">
        <v>11046</v>
      </c>
      <c r="E5535" s="1" t="str">
        <f ca="1">IFERROR(__xludf.DUMMYFUNCTION("GOOGLETRANSLATE(A2334 , ""tr"" , ""en"")"),"@drfahrettinkoca Mr. Minister Don't you think that? Because they know and see those who pass away around them. Vaccine o ... https://t.co/ldymzcv7pd")</f>
        <v>@drfahrettinkoca Mr. Minister Don't you think that? Because they know and see those who pass away around them. Vaccine o ... https://t.co/ldymzcv7pd</v>
      </c>
    </row>
    <row r="5536" spans="1:5" ht="15" customHeight="1" x14ac:dyDescent="0.2">
      <c r="A5536" s="1" t="s">
        <v>11047</v>
      </c>
      <c r="B5536" s="1">
        <v>0</v>
      </c>
      <c r="C5536" s="3">
        <v>44541.899189814816</v>
      </c>
      <c r="D5536" s="1" t="s">
        <v>11048</v>
      </c>
      <c r="E5536" s="1" t="str">
        <f ca="1">IFERROR(__xludf.DUMMYFUNCTION("GOOGLETRANSLATE(A2335 , ""tr"" , ""en"")"),"@drfahrettinkoca vaccine increased, as they have increased, the measures were prohibitions when there are no vaccines, the human Hare ... https://t.co/93eovqv6br")</f>
        <v>@drfahrettinkoca vaccine increased, as they have increased, the measures were prohibitions when there are no vaccines, the human Hare ... https://t.co/93eovqv6br</v>
      </c>
    </row>
    <row r="5537" spans="1:5" ht="15" customHeight="1" x14ac:dyDescent="0.2">
      <c r="A5537" s="1" t="s">
        <v>11049</v>
      </c>
      <c r="B5537" s="1">
        <v>0</v>
      </c>
      <c r="C5537" s="3">
        <v>44541.896597222221</v>
      </c>
      <c r="D5537" s="1" t="s">
        <v>11050</v>
      </c>
      <c r="E5537" s="1" t="str">
        <f ca="1">IFERROR(__xludf.DUMMYFUNCTION("GOOGLETRANSLATE(A2336 , ""tr"" , ""en"")"),"@drfahrettinka has created danger because the test result of the test result is negative but the PCR is not received. Enough ... https://t.co/xat9slib85")</f>
        <v>@drfahrettinka has created danger because the test result of the test result is negative but the PCR is not received. Enough ... https://t.co/xat9slib85</v>
      </c>
    </row>
    <row r="5538" spans="1:5" ht="15" customHeight="1" x14ac:dyDescent="0.2">
      <c r="A5538" s="1" t="s">
        <v>11051</v>
      </c>
      <c r="B5538" s="1">
        <v>0</v>
      </c>
      <c r="C5538" s="3">
        <v>44541.895856481482</v>
      </c>
      <c r="D5538" s="1" t="s">
        <v>11052</v>
      </c>
      <c r="E5538" s="1" t="str">
        <f ca="1">IFERROR(__xludf.DUMMYFUNCTION("GOOGLETRANSLATE(A2337 , ""tr"" , ""en"")"),"@drfahrettinkoca I lost my faith in the virus, my regrets in vaccines is also the cabin.")</f>
        <v>@drfahrettinkoca I lost my faith in the virus, my regrets in vaccines is also the cabin.</v>
      </c>
    </row>
    <row r="5539" spans="1:5" ht="15" customHeight="1" x14ac:dyDescent="0.2">
      <c r="A5539" s="1" t="s">
        <v>11053</v>
      </c>
      <c r="B5539" s="1">
        <v>0</v>
      </c>
      <c r="C5539" s="3">
        <v>44541.895428240743</v>
      </c>
      <c r="D5539" s="1" t="s">
        <v>11054</v>
      </c>
      <c r="E5539" s="1" t="str">
        <f ca="1">IFERROR(__xludf.DUMMYFUNCTION("GOOGLETRANSLATE(A2338 , ""tr"" , ""en"")"),"@drfahrettinkoca is so unsuccessful process can be managed. Three tests are primarily grafted or non-exhausted ... Https://t.co/rhf38pmtac")</f>
        <v>@drfahrettinkoca is so unsuccessful process can be managed. Three tests are primarily grafted or non-exhausted ... Https://t.co/rhf38pmtac</v>
      </c>
    </row>
    <row r="5540" spans="1:5" ht="15" customHeight="1" x14ac:dyDescent="0.2">
      <c r="A5540" s="1" t="s">
        <v>11055</v>
      </c>
      <c r="B5540" s="1">
        <v>2</v>
      </c>
      <c r="C5540" s="3">
        <v>44541.893842592595</v>
      </c>
      <c r="D5540" s="1" t="s">
        <v>11056</v>
      </c>
      <c r="E5540" s="1" t="str">
        <f ca="1">IFERROR(__xludf.DUMMYFUNCTION("GOOGLETRANSLATE(A2339 , ""tr"" , ""en"")"),"@drfahrettinkoca is full. How many dose dose of two dose hospitalization of hospitalization 100% prevented.")</f>
        <v>@drfahrettinkoca is full. How many dose dose of two dose hospitalization of hospitalization 100% prevented.</v>
      </c>
    </row>
    <row r="5541" spans="1:5" ht="15" customHeight="1" x14ac:dyDescent="0.2">
      <c r="A5541" s="1" t="s">
        <v>11057</v>
      </c>
      <c r="B5541" s="1">
        <v>5</v>
      </c>
      <c r="C5541" s="3">
        <v>44541.893819444442</v>
      </c>
      <c r="D5541" s="1" t="s">
        <v>11058</v>
      </c>
      <c r="E5541" s="1" t="str">
        <f ca="1">IFERROR(__xludf.DUMMYFUNCTION("GOOGLETRANSLATE(A2340 , ""tr"" , ""en"")"),"@drfahrettinkoca Describe the figures as you say madem. KSÇ T. KSÇ T ... Https://t.co/ww8nq3uicn")</f>
        <v>@drfahrettinkoca Describe the figures as you say madem. KSÇ T. KSÇ T ... Https://t.co/ww8nq3uicn</v>
      </c>
    </row>
    <row r="5542" spans="1:5" ht="15" customHeight="1" x14ac:dyDescent="0.2">
      <c r="A5542" s="1" t="s">
        <v>11059</v>
      </c>
      <c r="B5542" s="1">
        <v>0</v>
      </c>
      <c r="C5542" s="3">
        <v>44541.893611111111</v>
      </c>
      <c r="D5542" s="1" t="s">
        <v>11060</v>
      </c>
      <c r="E5542" s="1" t="str">
        <f ca="1">IFERROR(__xludf.DUMMYFUNCTION("GOOGLETRANSLATE(A2341 , ""tr"" , ""en"")"),"@drfahrettinka you will fall in the first choice. Red AKP (CHP) will come to power bi 4 years more people's economic politic ... https://t.co/3tg5ecjtph")</f>
        <v>@drfahrettinka you will fall in the first choice. Red AKP (CHP) will come to power bi 4 years more people's economic politic ... https://t.co/3tg5ecjtph</v>
      </c>
    </row>
    <row r="5543" spans="1:5" ht="15" customHeight="1" x14ac:dyDescent="0.2">
      <c r="A5543" s="1" t="s">
        <v>11061</v>
      </c>
      <c r="B5543" s="1">
        <v>2</v>
      </c>
      <c r="C5543" s="3">
        <v>44541.892870370371</v>
      </c>
      <c r="D5543" s="1" t="s">
        <v>11062</v>
      </c>
      <c r="E5543" s="1" t="str">
        <f ca="1">IFERROR(__xludf.DUMMYFUNCTION("GOOGLETRANSLATE(A2342 , ""tr"" , ""en"")"),"@drfahrettinkoca my wife spent 5 days no sore sore throat has never been sore throat is just ingredient ... https://t.co/idtdkleg5d")</f>
        <v>@drfahrettinkoca my wife spent 5 days no sore sore throat has never been sore throat is just ingredient ... https://t.co/idtdkleg5d</v>
      </c>
    </row>
    <row r="5544" spans="1:5" ht="15" customHeight="1" x14ac:dyDescent="0.2">
      <c r="A5544" s="1" t="s">
        <v>11063</v>
      </c>
      <c r="B5544" s="1">
        <v>0</v>
      </c>
      <c r="C5544" s="3">
        <v>44541.891388888886</v>
      </c>
      <c r="D5544" s="1" t="s">
        <v>11064</v>
      </c>
      <c r="E5544" s="1" t="str">
        <f ca="1">IFERROR(__xludf.DUMMYFUNCTION("GOOGLETRANSLATE(A2343 , ""tr"" , ""en"")"),"@drfahrettinkoca has no relevance. What is the number of cases in the middle neither the number of cases fell or death? Rather people from side effects ... https://t.co/wht54z7vpc")</f>
        <v>@drfahrettinkoca has no relevance. What is the number of cases in the middle neither the number of cases fell or death? Rather people from side effects ... https://t.co/wht54z7vpc</v>
      </c>
    </row>
    <row r="5545" spans="1:5" ht="15" customHeight="1" x14ac:dyDescent="0.2">
      <c r="A5545" s="1" t="s">
        <v>11065</v>
      </c>
      <c r="B5545" s="1">
        <v>0</v>
      </c>
      <c r="C5545" s="3">
        <v>44541.890856481485</v>
      </c>
      <c r="D5545" s="1" t="s">
        <v>11066</v>
      </c>
      <c r="E5545" s="1" t="str">
        <f ca="1">IFERROR(__xludf.DUMMYFUNCTION("GOOGLETRANSLATE(A2344 , ""tr"" , ""en"")"),"@drfahrettinka vaccine results in the middle of the middle. Error of other Tiwit")</f>
        <v>@drfahrettinka vaccine results in the middle of the middle. Error of other Tiwit</v>
      </c>
    </row>
    <row r="5546" spans="1:5" ht="15" customHeight="1" x14ac:dyDescent="0.2">
      <c r="A5546" s="1" t="s">
        <v>11067</v>
      </c>
      <c r="B5546" s="1">
        <v>9</v>
      </c>
      <c r="C5546" s="3">
        <v>44541.889710648145</v>
      </c>
      <c r="D5546" s="1" t="s">
        <v>11068</v>
      </c>
      <c r="E5546" s="1" t="str">
        <f ca="1">IFERROR(__xludf.DUMMYFUNCTION("GOOGLETRANSLATE(A2345 , ""tr"" , ""en"")"),"@drfahrettinkoca Look at the head, he has escaped customers because of their vaccination. Yahu has tasted 91 percent of the country, ... https://t.co/gtxcce29iI")</f>
        <v>@drfahrettinkoca Look at the head, he has escaped customers because of their vaccination. Yahu has tasted 91 percent of the country, ... https://t.co/gtxcce29iI</v>
      </c>
    </row>
    <row r="5547" spans="1:5" ht="15" customHeight="1" x14ac:dyDescent="0.2">
      <c r="A5547" s="1" t="s">
        <v>11069</v>
      </c>
      <c r="B5547" s="1">
        <v>1</v>
      </c>
      <c r="C5547" s="3">
        <v>44541.888310185182</v>
      </c>
      <c r="D5547" s="1" t="s">
        <v>11070</v>
      </c>
      <c r="E5547" s="1" t="str">
        <f ca="1">IFERROR(__xludf.DUMMYFUNCTION("GOOGLETRANSLATE(A2346 , ""tr"" , ""en"")"),"@drfahrettinkoca again the fond of the evil upper mind of the evil top mind is the commoner of the country's economy and citizen's bishology ... https://t.co/LVSDIJ3U9U")</f>
        <v>@drfahrettinkoca again the fond of the evil upper mind of the evil top mind is the commoner of the country's economy and citizen's bishology ... https://t.co/LVSDIJ3U9U</v>
      </c>
    </row>
    <row r="5548" spans="1:5" ht="15" customHeight="1" x14ac:dyDescent="0.2">
      <c r="A5548" s="1" t="s">
        <v>11071</v>
      </c>
      <c r="B5548" s="1">
        <v>1</v>
      </c>
      <c r="C5548" s="3">
        <v>44541.885000000002</v>
      </c>
      <c r="D5548" s="1" t="s">
        <v>11072</v>
      </c>
      <c r="E5548" s="1" t="str">
        <f ca="1">IFERROR(__xludf.DUMMYFUNCTION("GOOGLETRANSLATE(A2347 , ""tr"" , ""en"")"),"@drfahrettinka non-vaccine that lf the vaccine for the consent of Allah in Luf, we entered the quarantine process of 15 days ... https://t.co/e0ktnljibi")</f>
        <v>@drfahrettinka non-vaccine that lf the vaccine for the consent of Allah in Luf, we entered the quarantine process of 15 days ... https://t.co/e0ktnljibi</v>
      </c>
    </row>
    <row r="5549" spans="1:5" ht="15" customHeight="1" x14ac:dyDescent="0.2">
      <c r="A5549" s="1" t="s">
        <v>11073</v>
      </c>
      <c r="B5549" s="1">
        <v>0</v>
      </c>
      <c r="C5549" s="3">
        <v>44541.884120370371</v>
      </c>
      <c r="D5549" s="1" t="s">
        <v>11074</v>
      </c>
      <c r="E5549" s="1" t="str">
        <f ca="1">IFERROR(__xludf.DUMMYFUNCTION("GOOGLETRANSLATE(A2348 , ""tr"" , ""en"")"),"@drfahrettinkoca yaw hocam he he. 91% Achieved Request what you want. So that's what is there is that. Mean that the continuation will come. .")</f>
        <v>@drfahrettinkoca yaw hocam he he. 91% Achieved Request what you want. So that's what is there is that. Mean that the continuation will come. .</v>
      </c>
    </row>
    <row r="5550" spans="1:5" ht="15" customHeight="1" x14ac:dyDescent="0.2">
      <c r="A5550" s="1" t="s">
        <v>11075</v>
      </c>
      <c r="B5550" s="1">
        <v>0</v>
      </c>
      <c r="C5550" s="3">
        <v>44541.88354166667</v>
      </c>
      <c r="D5550" s="1" t="s">
        <v>11076</v>
      </c>
      <c r="E5550" s="1" t="str">
        <f ca="1">IFERROR(__xludf.DUMMYFUNCTION("GOOGLETRANSLATE(A2349 , ""tr"" , ""en"")"),"@drfahrettinkoca The natural immunity of my Lord is enough to give us the gript you haven't even gript Thanks very much to you ... https://t.co/x1uqz10byf")</f>
        <v>@drfahrettinkoca The natural immunity of my Lord is enough to give us the gript you haven't even gript Thanks very much to you ... https://t.co/x1uqz10byf</v>
      </c>
    </row>
    <row r="5551" spans="1:5" ht="15" customHeight="1" x14ac:dyDescent="0.2">
      <c r="A5551" s="1" t="s">
        <v>11077</v>
      </c>
      <c r="B5551" s="1">
        <v>1</v>
      </c>
      <c r="C5551" s="3">
        <v>44541.883159722223</v>
      </c>
      <c r="D5551" s="1" t="s">
        <v>11078</v>
      </c>
      <c r="E5551" s="1" t="str">
        <f ca="1">IFERROR(__xludf.DUMMYFUNCTION("GOOGLETRANSLATE(A2350 , ""tr"" , ""en"")"),"@drfahrettinkoca ahaha we are experiencing the opposite how is it going on? The liquid area also recovers that also recovers the lakin Nerdeys ... https://t.co/v1sw2krscm")</f>
        <v>@drfahrettinkoca ahaha we are experiencing the opposite how is it going on? The liquid area also recovers that also recovers the lakin Nerdeys ... https://t.co/v1sw2krscm</v>
      </c>
    </row>
    <row r="5552" spans="1:5" ht="15" customHeight="1" x14ac:dyDescent="0.2">
      <c r="A5552" s="1" t="s">
        <v>11079</v>
      </c>
      <c r="B5552" s="1">
        <v>0</v>
      </c>
      <c r="C5552" s="3">
        <v>44541.882314814815</v>
      </c>
      <c r="D5552" s="1" t="s">
        <v>11080</v>
      </c>
      <c r="E5552" s="1" t="str">
        <f ca="1">IFERROR(__xludf.DUMMYFUNCTION("GOOGLETRANSLATE(A2351 , ""tr"" , ""en"")"),"@drfahrettinka is in the middle yes :)")</f>
        <v>@drfahrettinka is in the middle yes :)</v>
      </c>
    </row>
    <row r="5553" spans="1:5" ht="15" customHeight="1" x14ac:dyDescent="0.2">
      <c r="A5553" s="1" t="s">
        <v>11081</v>
      </c>
      <c r="B5553" s="1">
        <v>0</v>
      </c>
      <c r="C5553" s="3">
        <v>44541.881365740737</v>
      </c>
      <c r="D5553" s="1" t="s">
        <v>11082</v>
      </c>
      <c r="E5553" s="1" t="str">
        <f ca="1">IFERROR(__xludf.DUMMYFUNCTION("GOOGLETRANSLATE(A2352 , ""tr"" , ""en"")"),"@drfahrettinkoca is also undergoing no vaccines")</f>
        <v>@drfahrettinkoca is also undergoing no vaccines</v>
      </c>
    </row>
    <row r="5554" spans="1:5" ht="15" customHeight="1" x14ac:dyDescent="0.2">
      <c r="A5554" s="1" t="s">
        <v>11083</v>
      </c>
      <c r="B5554" s="1">
        <v>18</v>
      </c>
      <c r="C5554" s="3">
        <v>44541.881006944444</v>
      </c>
      <c r="D5554" s="1" t="s">
        <v>11084</v>
      </c>
      <c r="E5554" s="1" t="str">
        <f ca="1">IFERROR(__xludf.DUMMYFUNCTION("GOOGLETRANSLATE(A2353 , ""tr"" , ""en"")"),"@drfahrettinka you are not invited. # HERYERISTALLALHERYRENDIŞ https://t.co/5xdwlxinh")</f>
        <v>@drfahrettinka you are not invited. # HERYERISTALLALHERYRENDIŞ https://t.co/5xdwlxinh</v>
      </c>
    </row>
    <row r="5555" spans="1:5" ht="15" customHeight="1" x14ac:dyDescent="0.2">
      <c r="A5555" s="1" t="s">
        <v>11085</v>
      </c>
      <c r="B5555" s="1">
        <v>0</v>
      </c>
      <c r="C5555" s="3">
        <v>44541.880590277775</v>
      </c>
      <c r="D5555" s="1" t="s">
        <v>11086</v>
      </c>
      <c r="E5555" s="1" t="str">
        <f ca="1">IFERROR(__xludf.DUMMYFUNCTION("GOOGLETRANSLATE(A2354 , ""tr"" , ""en"")"),"@drfahrettinka nation's revenge will give great pleasure.")</f>
        <v>@drfahrettinka nation's revenge will give great pleasure.</v>
      </c>
    </row>
    <row r="5556" spans="1:5" ht="15" customHeight="1" x14ac:dyDescent="0.2">
      <c r="A5556" s="1" t="s">
        <v>11087</v>
      </c>
      <c r="B5556" s="1">
        <v>0</v>
      </c>
      <c r="C5556" s="3">
        <v>44541.879560185182</v>
      </c>
      <c r="D5556" s="1" t="s">
        <v>11088</v>
      </c>
      <c r="E5556" s="1" t="str">
        <f ca="1">IFERROR(__xludf.DUMMYFUNCTION("GOOGLETRANSLATE(A2355 , ""tr"" , ""en"")"),"@drfahrettinkoca everyone is looking from his own window. Everyone thinks himself right. There is nothing in the middle. Believe i ... https://t.co/tmufjgs7bv")</f>
        <v>@drfahrettinkoca everyone is looking from his own window. Everyone thinks himself right. There is nothing in the middle. Believe i ... https://t.co/tmufjgs7bv</v>
      </c>
    </row>
    <row r="5557" spans="1:5" ht="15" customHeight="1" x14ac:dyDescent="0.2">
      <c r="A5557" s="1" t="s">
        <v>11089</v>
      </c>
      <c r="B5557" s="1">
        <v>0</v>
      </c>
      <c r="C5557" s="3">
        <v>44541.879432870373</v>
      </c>
      <c r="D5557" s="1" t="s">
        <v>11090</v>
      </c>
      <c r="E5557" s="1" t="str">
        <f ca="1">IFERROR(__xludf.DUMMYFUNCTION("GOOGLETRANSLATE(A2356 , ""tr"" , ""en"")"),"@drfahrettinkoca was three synovac vaccine, I was positive. I have used the given medicine. Thank goodness in a comfortable way ... https://t.co/nmrgmblc3l")</f>
        <v>@drfahrettinkoca was three synovac vaccine, I was positive. I have used the given medicine. Thank goodness in a comfortable way ... https://t.co/nmrgmblc3l</v>
      </c>
    </row>
    <row r="5558" spans="1:5" ht="15" customHeight="1" x14ac:dyDescent="0.2">
      <c r="A5558" s="1" t="s">
        <v>11091</v>
      </c>
      <c r="B5558" s="1">
        <v>1</v>
      </c>
      <c r="C5558" s="3">
        <v>44541.879317129627</v>
      </c>
      <c r="D5558" s="1" t="s">
        <v>11092</v>
      </c>
      <c r="E5558" s="1" t="str">
        <f ca="1">IFERROR(__xludf.DUMMYFUNCTION("GOOGLETRANSLATE(A2357 , ""tr"" , ""en"")"),"@drfahrettinkoca Would you also describe the vaccination rate of the deceased? What's out of grafts Avoid out of space? Though thoroughly died of dying d ... https://t.co/hxmuhfopfu")</f>
        <v>@drfahrettinkoca Would you also describe the vaccination rate of the deceased? What's out of grafts Avoid out of space? Though thoroughly died of dying d ... https://t.co/hxmuhfopfu</v>
      </c>
    </row>
    <row r="5559" spans="1:5" ht="15" customHeight="1" x14ac:dyDescent="0.2">
      <c r="A5559" s="1" t="s">
        <v>11093</v>
      </c>
      <c r="B5559" s="1">
        <v>0</v>
      </c>
      <c r="C5559" s="3">
        <v>44541.878888888888</v>
      </c>
      <c r="D5559" s="1" t="s">
        <v>11094</v>
      </c>
      <c r="E5559" s="1" t="str">
        <f ca="1">IFERROR(__xludf.DUMMYFUNCTION("GOOGLETRANSLATE(A2358 , ""tr"" , ""en"")"),"The results of @drfahrettinkoca vaccine are in the middle of the middle minister. Anyone saw too, if only you can see the bi")</f>
        <v>The results of @drfahrettinkoca vaccine are in the middle of the middle minister. Anyone saw too, if only you can see the bi</v>
      </c>
    </row>
    <row r="5560" spans="1:5" ht="15" customHeight="1" x14ac:dyDescent="0.2">
      <c r="A5560" s="1" t="s">
        <v>11095</v>
      </c>
      <c r="B5560" s="1">
        <v>0</v>
      </c>
      <c r="C5560" s="3">
        <v>44541.877615740741</v>
      </c>
      <c r="D5560" s="1" t="s">
        <v>11096</v>
      </c>
      <c r="E5560" s="1" t="str">
        <f ca="1">IFERROR(__xludf.DUMMYFUNCTION("GOOGLETRANSLATE(A2359 , ""tr"" , ""en"")"),"@drfahrettinkoca Ahhh Ahhhh Covit19 When we arrived at all the risks, we've carried the patients while the patients were running ... https://t.co/zwkijvo1el")</f>
        <v>@drfahrettinkoca Ahhh Ahhhh Covit19 When we arrived at all the risks, we've carried the patients while the patients were running ... https://t.co/zwkijvo1el</v>
      </c>
    </row>
    <row r="5561" spans="1:5" ht="15" customHeight="1" x14ac:dyDescent="0.2">
      <c r="A5561" s="1" t="s">
        <v>11097</v>
      </c>
      <c r="B5561" s="1">
        <v>0</v>
      </c>
      <c r="C5561" s="3">
        <v>44541.877106481479</v>
      </c>
      <c r="D5561" s="1" t="s">
        <v>11098</v>
      </c>
      <c r="E5561" s="1" t="str">
        <f ca="1">IFERROR(__xludf.DUMMYFUNCTION("GOOGLETRANSLATE(A2360 , ""tr"" , ""en"")"),"@drfahrettinkoca 😂😂😂😂😂😂😂")</f>
        <v>@drfahrettinkoca 😂😂😂😂😂😂😂</v>
      </c>
    </row>
    <row r="5562" spans="1:5" ht="15" customHeight="1" x14ac:dyDescent="0.2">
      <c r="A5562" s="1" t="s">
        <v>11099</v>
      </c>
      <c r="B5562" s="1">
        <v>0</v>
      </c>
      <c r="C5562" s="3">
        <v>44541.876666666663</v>
      </c>
      <c r="D5562" s="1" t="s">
        <v>11100</v>
      </c>
      <c r="E5562" s="1" t="str">
        <f ca="1">IFERROR(__xludf.DUMMYFUNCTION("GOOGLETRANSLATE(A2361 , ""tr"" , ""en"")"),"@drfahrettinkoca everyone comfortably https:///.co/dqfpm60cli students in schools, dormitory, dormitory ... https://t.co/zqhn8lyw3f")</f>
        <v>@drfahrettinkoca everyone comfortably https:///.co/dqfpm60cli students in schools, dormitory, dormitory ... https://t.co/zqhn8lyw3f</v>
      </c>
    </row>
    <row r="5563" spans="1:5" ht="15" customHeight="1" x14ac:dyDescent="0.2">
      <c r="A5563" s="1" t="s">
        <v>11101</v>
      </c>
      <c r="B5563" s="1">
        <v>0</v>
      </c>
      <c r="C5563" s="3">
        <v>44541.875810185185</v>
      </c>
      <c r="D5563" s="1" t="s">
        <v>11102</v>
      </c>
      <c r="E5563" s="1" t="str">
        <f ca="1">IFERROR(__xludf.DUMMYFUNCTION("GOOGLETRANSLATE(A2362 , ""tr"" , ""en"")"),"@drfahrettinkoca What I say that the person who finds the vaccine is 100 days after the vaccine doesn't work partly what do you tell who are you telling")</f>
        <v>@drfahrettinkoca What I say that the person who finds the vaccine is 100 days after the vaccine doesn't work partly what do you tell who are you telling</v>
      </c>
    </row>
    <row r="5564" spans="1:5" ht="15" customHeight="1" x14ac:dyDescent="0.2">
      <c r="A5564" s="1" t="s">
        <v>11103</v>
      </c>
      <c r="B5564" s="1">
        <v>0</v>
      </c>
      <c r="C5564" s="3">
        <v>44541.875671296293</v>
      </c>
      <c r="D5564" s="1" t="s">
        <v>11104</v>
      </c>
      <c r="E5564" s="1" t="str">
        <f ca="1">IFERROR(__xludf.DUMMYFUNCTION("GOOGLETRANSLATE(A2363 , ""tr"" , ""en"")"),"@drfahrettinkoca papiranda dubs in December 2022, the virus that will end in December 2022.")</f>
        <v>@drfahrettinkoca papiranda dubs in December 2022, the virus that will end in December 2022.</v>
      </c>
    </row>
    <row r="5565" spans="1:5" ht="15" customHeight="1" x14ac:dyDescent="0.2">
      <c r="A5565" s="1" t="s">
        <v>11105</v>
      </c>
      <c r="B5565" s="1">
        <v>6</v>
      </c>
      <c r="C5565" s="3">
        <v>44541.875532407408</v>
      </c>
      <c r="D5565" s="1" t="s">
        <v>11106</v>
      </c>
      <c r="E5565" s="1" t="str">
        <f ca="1">IFERROR(__xludf.DUMMYFUNCTION("GOOGLETRANSLATE(A2364 , ""tr"" , ""en"")"),"@drfahrettinkoca yes results are in the middle and don't work. Continue Reminder Reminding Sleeping Sanding Doses ... https://t.co/zzehianwrz")</f>
        <v>@drfahrettinkoca yes results are in the middle and don't work. Continue Reminder Reminding Sleeping Sanding Doses ... https://t.co/zzehianwrz</v>
      </c>
    </row>
    <row r="5566" spans="1:5" ht="15" customHeight="1" x14ac:dyDescent="0.2">
      <c r="A5566" s="1" t="s">
        <v>11107</v>
      </c>
      <c r="B5566" s="1">
        <v>0</v>
      </c>
      <c r="C5566" s="3">
        <v>44541.87537037037</v>
      </c>
      <c r="D5566" s="1" t="s">
        <v>11108</v>
      </c>
      <c r="E5566" s="1" t="str">
        <f ca="1">IFERROR(__xludf.DUMMYFUNCTION("GOOGLETRANSLATE(A2365 , ""tr"" , ""en"")"),"@drfahrettinka which vaccinate? There were vaccines in the middle and we don't know? You are the most liar types I have seen in this world ... https://t.co/tr0kqlpezw")</f>
        <v>@drfahrettinka which vaccinate? There were vaccines in the middle and we don't know? You are the most liar types I have seen in this world ... https://t.co/tr0kqlpezw</v>
      </c>
    </row>
    <row r="5567" spans="1:5" ht="15" customHeight="1" x14ac:dyDescent="0.2">
      <c r="A5567" s="1" t="s">
        <v>11109</v>
      </c>
      <c r="B5567" s="1">
        <v>2</v>
      </c>
      <c r="C5567" s="3">
        <v>44541.874988425923</v>
      </c>
      <c r="D5567" s="1" t="s">
        <v>11110</v>
      </c>
      <c r="E5567" s="1" t="str">
        <f ca="1">IFERROR(__xludf.DUMMYFUNCTION("GOOGLETRANSLATE(A2366 , ""tr"" , ""en"")"),"@drfahrettinkoca What you told you pretty in the middle of the vaccine! Only what kind of results are tiny ... https://t.co/9p83f8soxm")</f>
        <v>@drfahrettinkoca What you told you pretty in the middle of the vaccine! Only what kind of results are tiny ... https://t.co/9p83f8soxm</v>
      </c>
    </row>
    <row r="5568" spans="1:5" ht="15" customHeight="1" x14ac:dyDescent="0.2">
      <c r="A5568" s="1" t="s">
        <v>11111</v>
      </c>
      <c r="B5568" s="1">
        <v>0</v>
      </c>
      <c r="C5568" s="3">
        <v>44541.87358796296</v>
      </c>
      <c r="D5568" s="1" t="s">
        <v>11112</v>
      </c>
      <c r="E5568" s="1" t="str">
        <f ca="1">IFERROR(__xludf.DUMMYFUNCTION("GOOGLETRANSLATE(A2367 , ""tr"" , ""en"")"),"@drfahrettinkoca pardon according to you how many people are full grafted and after that the vaccine will not be the liquid called?")</f>
        <v>@drfahrettinkoca pardon according to you how many people are full grafted and after that the vaccine will not be the liquid called?</v>
      </c>
    </row>
    <row r="5569" spans="1:5" ht="15" customHeight="1" x14ac:dyDescent="0.2">
      <c r="A5569" s="1" t="s">
        <v>11113</v>
      </c>
      <c r="B5569" s="1">
        <v>1</v>
      </c>
      <c r="C5569" s="3">
        <v>44541.873530092591</v>
      </c>
      <c r="D5569" s="1" t="s">
        <v>11114</v>
      </c>
      <c r="E5569" s="1" t="str">
        <f ca="1">IFERROR(__xludf.DUMMYFUNCTION("GOOGLETRANSLATE(A2368 , ""tr"" , ""en"")"),"@drfahrettinkoca What did he say to you? None sir I can talk to you without permission from you? After I say I can't get this guy to KAALE.")</f>
        <v>@drfahrettinkoca What did he say to you? None sir I can talk to you without permission from you? After I say I can't get this guy to KAALE.</v>
      </c>
    </row>
    <row r="5570" spans="1:5" ht="15" customHeight="1" x14ac:dyDescent="0.2">
      <c r="A5570" s="1" t="s">
        <v>11115</v>
      </c>
      <c r="B5570" s="1">
        <v>0</v>
      </c>
      <c r="C5570" s="3">
        <v>44541.873298611114</v>
      </c>
      <c r="D5570" s="1" t="s">
        <v>11116</v>
      </c>
      <c r="E5570" s="1" t="str">
        <f ca="1">IFERROR(__xludf.DUMMYFUNCTION("GOOGLETRANSLATE(A2369 , ""tr"" , ""en"")"),"@drfahrettinkoca Health Department uses nation as guinea pigs instead of protecting nation in biological battle")</f>
        <v>@drfahrettinkoca Health Department uses nation as guinea pigs instead of protecting nation in biological battle</v>
      </c>
    </row>
    <row r="5571" spans="1:5" ht="15" customHeight="1" x14ac:dyDescent="0.2">
      <c r="A5571" s="1" t="s">
        <v>11117</v>
      </c>
      <c r="B5571" s="1">
        <v>0</v>
      </c>
      <c r="C5571" s="3">
        <v>44541.873159722221</v>
      </c>
      <c r="D5571" s="1" t="s">
        <v>11118</v>
      </c>
      <c r="E5571" s="1" t="str">
        <f ca="1">IFERROR(__xludf.DUMMYFUNCTION("GOOGLETRANSLATE(A2370 , ""tr"" , ""en"")"),"@drfahrettinkoca HIMM I say I've been to 3.4 days I have been recovered to why there was a pure up to a major 3.4. Dose is as if a way is being done.")</f>
        <v>@drfahrettinkoca HIMM I say I've been to 3.4 days I have been recovered to why there was a pure up to a major 3.4. Dose is as if a way is being done.</v>
      </c>
    </row>
    <row r="5572" spans="1:5" ht="15" customHeight="1" x14ac:dyDescent="0.2">
      <c r="A5572" s="1" t="s">
        <v>11119</v>
      </c>
      <c r="B5572" s="1">
        <v>0</v>
      </c>
      <c r="C5572" s="3">
        <v>44541.872986111113</v>
      </c>
      <c r="D5572" s="1" t="s">
        <v>11120</v>
      </c>
      <c r="E5572" s="1" t="str">
        <f ca="1">IFERROR(__xludf.DUMMYFUNCTION("GOOGLETRANSLATE(A2371 , ""tr"" , ""en"")"),"@drfahrettinkoca is alternative to your hand if you will be against something. What's the alternative to the vaccines? Stayed Walk ... https://t.co/h1ar4wuodz")</f>
        <v>@drfahrettinkoca is alternative to your hand if you will be against something. What's the alternative to the vaccines? Stayed Walk ... https://t.co/h1ar4wuodz</v>
      </c>
    </row>
    <row r="5573" spans="1:5" ht="15" customHeight="1" x14ac:dyDescent="0.2">
      <c r="A5573" s="1" t="s">
        <v>11121</v>
      </c>
      <c r="B5573" s="1">
        <v>0</v>
      </c>
      <c r="C5573" s="3">
        <v>44541.872129629628</v>
      </c>
      <c r="D5573" s="1" t="s">
        <v>11122</v>
      </c>
      <c r="E5573" s="1" t="str">
        <f ca="1">IFERROR(__xludf.DUMMYFUNCTION("GOOGLETRANSLATE(A2372 , ""tr"" , ""en"")"),"@drfahrettinkoca Hani Asi Asi what you say what case is over be death. That was the ... What is the benefit of the acin. Asidan Once D ... https://t.co/rprnp3gfzu")</f>
        <v>@drfahrettinkoca Hani Asi Asi what you say what case is over be death. That was the ... What is the benefit of the acin. Asidan Once D ... https://t.co/rprnp3gfzu</v>
      </c>
    </row>
    <row r="5574" spans="1:5" ht="15" customHeight="1" x14ac:dyDescent="0.2">
      <c r="A5574" s="1" t="s">
        <v>11123</v>
      </c>
      <c r="B5574" s="1">
        <v>0</v>
      </c>
      <c r="C5574" s="3">
        <v>44541.871701388889</v>
      </c>
      <c r="D5574" s="1" t="s">
        <v>11124</v>
      </c>
      <c r="E5574" s="1" t="str">
        <f ca="1">IFERROR(__xludf.DUMMYFUNCTION("GOOGLETRANSLATE(A2373 , ""tr"" , ""en"")"),"@drfahrettinkoca you know that the minister is you know that people are not to protect the tricks to the flu and species of globalists ... https://t.co/mqgl6o6sut")</f>
        <v>@drfahrettinkoca you know that the minister is you know that people are not to protect the tricks to the flu and species of globalists ... https://t.co/mqgl6o6sut</v>
      </c>
    </row>
    <row r="5575" spans="1:5" ht="15" customHeight="1" x14ac:dyDescent="0.2">
      <c r="A5575" s="1" t="s">
        <v>11125</v>
      </c>
      <c r="B5575" s="1">
        <v>0</v>
      </c>
      <c r="C5575" s="3">
        <v>44541.871689814812</v>
      </c>
      <c r="D5575" s="1" t="s">
        <v>11126</v>
      </c>
      <c r="E5575" s="1" t="str">
        <f ca="1">IFERROR(__xludf.DUMMYFUNCTION("GOOGLETRANSLATE(A2374 , ""tr"" , ""en"")"),"@drfahrettinkoca water hai s has no rebellious those who are sanctioned to those themselves all things ala vera")</f>
        <v>@drfahrettinkoca water hai s has no rebellious those who are sanctioned to those themselves all things ala vera</v>
      </c>
    </row>
    <row r="5576" spans="1:5" ht="15" customHeight="1" x14ac:dyDescent="0.2">
      <c r="A5576" s="1" t="s">
        <v>11127</v>
      </c>
      <c r="B5576" s="1">
        <v>0</v>
      </c>
      <c r="C5576" s="3">
        <v>44541.870393518519</v>
      </c>
      <c r="D5576" s="1" t="s">
        <v>11128</v>
      </c>
      <c r="E5576" s="1" t="str">
        <f ca="1">IFERROR(__xludf.DUMMYFUNCTION("GOOGLETRANSLATE(A2375 , ""tr"" , ""en"")"),"@drfahrettinkoca 2. Hydal was in case of 5.5 months. 3 The appointment for the ASI will be urgent at the end of the rite.")</f>
        <v>@drfahrettinkoca 2. Hydal was in case of 5.5 months. 3 The appointment for the ASI will be urgent at the end of the rite.</v>
      </c>
    </row>
    <row r="5577" spans="1:5" ht="15" customHeight="1" x14ac:dyDescent="0.2">
      <c r="A5577" s="1" t="s">
        <v>11129</v>
      </c>
      <c r="B5577" s="1">
        <v>0</v>
      </c>
      <c r="C5577" s="3">
        <v>44541.869571759256</v>
      </c>
      <c r="D5577" s="1" t="s">
        <v>11130</v>
      </c>
      <c r="E5577" s="1" t="str">
        <f ca="1">IFERROR(__xludf.DUMMYFUNCTION("GOOGLETRANSLATE(A2376 , ""tr"" , ""en"")"),"Can @drfahrettinkoca be a new perception in terms of health? The number of vaccines at the rate of vaccination could not be reached ... https://t.co/mpiwiobu2y")</f>
        <v>Can @drfahrettinkoca be a new perception in terms of health? The number of vaccines at the rate of vaccination could not be reached ... https://t.co/mpiwiobu2y</v>
      </c>
    </row>
    <row r="5578" spans="1:5" ht="15" customHeight="1" x14ac:dyDescent="0.2">
      <c r="A5578" s="1" t="s">
        <v>11131</v>
      </c>
      <c r="B5578" s="1">
        <v>0</v>
      </c>
      <c r="C5578" s="3">
        <v>44541.869189814817</v>
      </c>
      <c r="D5578" s="1" t="s">
        <v>11132</v>
      </c>
      <c r="E5578" s="1" t="str">
        <f ca="1">IFERROR(__xludf.DUMMYFUNCTION("GOOGLETRANSLATE(A2377 , ""tr"" , ""en"")"),"@drfahrettinkoca @drfahrettinkoca @drfahrettinkoca @rterdogan How do you guys black out our lives We are your youth our blood ... https://t.co/aejrznsn3p")</f>
        <v>@drfahrettinkoca @drfahrettinkoca @drfahrettinkoca @rterdogan How do you guys black out our lives We are your youth our blood ... https://t.co/aejrznsn3p</v>
      </c>
    </row>
    <row r="5579" spans="1:5" ht="15" customHeight="1" x14ac:dyDescent="0.2">
      <c r="A5579" s="1" t="s">
        <v>11133</v>
      </c>
      <c r="B5579" s="1">
        <v>0</v>
      </c>
      <c r="C5579" s="3">
        <v>44541.866215277776</v>
      </c>
      <c r="D5579" s="1" t="s">
        <v>11134</v>
      </c>
      <c r="E5579" s="1" t="str">
        <f ca="1">IFERROR(__xludf.DUMMYFUNCTION("GOOGLETRANSLATE(A2378 , ""tr"" , ""en"")"),"@drfahrettinkoca should be cursing crime.")</f>
        <v>@drfahrettinkoca should be cursing crime.</v>
      </c>
    </row>
    <row r="5580" spans="1:5" ht="15" customHeight="1" x14ac:dyDescent="0.2">
      <c r="A5580" s="1" t="s">
        <v>11135</v>
      </c>
      <c r="B5580" s="1">
        <v>41</v>
      </c>
      <c r="C5580" s="3">
        <v>44541.865243055552</v>
      </c>
      <c r="D5580" s="1" t="s">
        <v>11136</v>
      </c>
      <c r="E5580" s="1" t="str">
        <f ca="1">IFERROR(__xludf.DUMMYFUNCTION("GOOGLETRANSLATE(A2379 , ""tr"" , ""en"")"),"@drfahrettinkoca I'm insistent on your minister. The Guneydogu provinces are still unable to be yellow or blue. What is the reason??")</f>
        <v>@drfahrettinkoca I'm insistent on your minister. The Guneydogu provinces are still unable to be yellow or blue. What is the reason??</v>
      </c>
    </row>
    <row r="5581" spans="1:5" ht="15" customHeight="1" x14ac:dyDescent="0.2">
      <c r="A5581" s="1" t="s">
        <v>11137</v>
      </c>
      <c r="B5581" s="1">
        <v>0</v>
      </c>
      <c r="C5581" s="3">
        <v>44541.864710648151</v>
      </c>
      <c r="D5581" s="1" t="s">
        <v>11138</v>
      </c>
      <c r="E5581" s="1" t="str">
        <f ca="1">IFERROR(__xludf.DUMMYFUNCTION("GOOGLETRANSLATE(A2380 , ""tr"" , ""en"")"),"@drfahrettinkoca Yettin anymore")</f>
        <v>@drfahrettinkoca Yettin anymore</v>
      </c>
    </row>
    <row r="5582" spans="1:5" ht="15" customHeight="1" x14ac:dyDescent="0.2">
      <c r="A5582" s="1" t="s">
        <v>11139</v>
      </c>
      <c r="B5582" s="1">
        <v>0</v>
      </c>
      <c r="C5582" s="3">
        <v>44541.863923611112</v>
      </c>
      <c r="D5582" s="1" t="s">
        <v>11140</v>
      </c>
      <c r="E5582" s="1" t="str">
        <f ca="1">IFERROR(__xludf.DUMMYFUNCTION("GOOGLETRANSLATE(A2381 , ""tr"" , ""en"")"),"@drfahrettinkoca asi are visible way that does not have a thing that is still no-assist on why.")</f>
        <v>@drfahrettinkoca asi are visible way that does not have a thing that is still no-assist on why.</v>
      </c>
    </row>
    <row r="5583" spans="1:5" ht="15" customHeight="1" x14ac:dyDescent="0.2">
      <c r="A5583" s="1" t="s">
        <v>11141</v>
      </c>
      <c r="B5583" s="1">
        <v>0</v>
      </c>
      <c r="C5583" s="3">
        <v>44541.863865740743</v>
      </c>
      <c r="D5583" s="1" t="s">
        <v>11142</v>
      </c>
      <c r="E5583" s="1" t="str">
        <f ca="1">IFERROR(__xludf.DUMMYFUNCTION("GOOGLETRANSLATE(A2382 , ""tr"" , ""en"")"),"@drfahrettinkoca Your huge laving")</f>
        <v>@drfahrettinkoca Your huge laving</v>
      </c>
    </row>
    <row r="5584" spans="1:5" ht="15" customHeight="1" x14ac:dyDescent="0.2">
      <c r="A5584" s="1" t="s">
        <v>11143</v>
      </c>
      <c r="B5584" s="1">
        <v>0</v>
      </c>
      <c r="C5584" s="3">
        <v>44541.861909722225</v>
      </c>
      <c r="D5584" s="1" t="s">
        <v>11144</v>
      </c>
      <c r="E5584" s="1" t="str">
        <f ca="1">IFERROR(__xludf.DUMMYFUNCTION("GOOGLETRANSLATE(A2383 , ""tr"" , ""en"")"),"@drfahrettinkoca New Variant is also logged in to our country without more late delay #AccountsMandize")</f>
        <v>@drfahrettinkoca New Variant is also logged in to our country without more late delay #AccountsMandize</v>
      </c>
    </row>
    <row r="5585" spans="1:5" ht="15" customHeight="1" x14ac:dyDescent="0.2">
      <c r="A5585" s="1" t="s">
        <v>11145</v>
      </c>
      <c r="B5585" s="1">
        <v>0</v>
      </c>
      <c r="C5585" s="3">
        <v>44541.860717592594</v>
      </c>
      <c r="D5585" s="1" t="s">
        <v>11146</v>
      </c>
      <c r="E5585" s="1" t="str">
        <f ca="1">IFERROR(__xludf.DUMMYFUNCTION("GOOGLETRANSLATE(A2384 , ""tr"" , ""en"")"),"@drfahrettinka https://t.co/py6qmn5rtf")</f>
        <v>@drfahrettinka https://t.co/py6qmn5rtf</v>
      </c>
    </row>
    <row r="5586" spans="1:5" ht="15" customHeight="1" x14ac:dyDescent="0.2">
      <c r="A5586" s="1" t="s">
        <v>11147</v>
      </c>
      <c r="B5586" s="1">
        <v>1</v>
      </c>
      <c r="C5586" s="3">
        <v>44541.859363425923</v>
      </c>
      <c r="D5586" s="1" t="s">
        <v>11148</v>
      </c>
      <c r="E5586" s="1" t="str">
        <f ca="1">IFERROR(__xludf.DUMMYFUNCTION("GOOGLETRANSLATE(A2385 , ""tr"" , ""en"")"),"@drfahrettinkoca Throwing recep you break the windows. Omicron is coming to the cracks is still unable to open the 4thdosis. Scientists Ban ... https://t.co/mkvxrgzkkc")</f>
        <v>@drfahrettinkoca Throwing recep you break the windows. Omicron is coming to the cracks is still unable to open the 4thdosis. Scientists Ban ... https://t.co/mkvxrgzkkc</v>
      </c>
    </row>
    <row r="5587" spans="1:5" ht="15" customHeight="1" x14ac:dyDescent="0.2">
      <c r="A5587" s="1" t="s">
        <v>11149</v>
      </c>
      <c r="B5587" s="1">
        <v>0</v>
      </c>
      <c r="C5587" s="3">
        <v>44541.859305555554</v>
      </c>
      <c r="D5587" s="1" t="s">
        <v>11150</v>
      </c>
      <c r="E5587" s="1" t="str">
        <f ca="1">IFERROR(__xludf.DUMMYFUNCTION("GOOGLETRANSLATE(A2386 , ""tr"" , ""en"")"),"@drfahrettinkoca dying, paralyzed, which is blind, most pairs of dual dose is grafted # biontechyanetki, vaccines, etc., etc.")</f>
        <v>@drfahrettinkoca dying, paralyzed, which is blind, most pairs of dual dose is grafted # biontechyanetki, vaccines, etc., etc.</v>
      </c>
    </row>
    <row r="5588" spans="1:5" ht="15" customHeight="1" x14ac:dyDescent="0.2">
      <c r="A5588" s="1" t="s">
        <v>11151</v>
      </c>
      <c r="B5588" s="1">
        <v>0</v>
      </c>
      <c r="C5588" s="3">
        <v>44541.859259259261</v>
      </c>
      <c r="D5588" s="1" t="s">
        <v>11152</v>
      </c>
      <c r="E5588" s="1" t="str">
        <f ca="1">IFERROR(__xludf.DUMMYFUNCTION("GOOGLETRANSLATE(A2387 , ""tr"" , ""en"")"),"@drfahrettinkoca you are a liar")</f>
        <v>@drfahrettinkoca you are a liar</v>
      </c>
    </row>
    <row r="5589" spans="1:5" ht="15" customHeight="1" x14ac:dyDescent="0.2">
      <c r="A5589" s="1" t="s">
        <v>11153</v>
      </c>
      <c r="B5589" s="1">
        <v>2</v>
      </c>
      <c r="C5589" s="3">
        <v>44541.859131944446</v>
      </c>
      <c r="D5589" s="1" t="s">
        <v>11154</v>
      </c>
      <c r="E5589" s="1" t="str">
        <f ca="1">IFERROR(__xludf.DUMMYFUNCTION("GOOGLETRANSLATE(A2388 , ""tr"" , ""en"")"),"@drfahrettinkoca Your writings are vaccinated and don't hide those who died and sick. The sack isn't going to the spear anymore.")</f>
        <v>@drfahrettinkoca Your writings are vaccinated and don't hide those who died and sick. The sack isn't going to the spear anymore.</v>
      </c>
    </row>
    <row r="5590" spans="1:5" ht="15" customHeight="1" x14ac:dyDescent="0.2">
      <c r="A5590" s="1" t="s">
        <v>11155</v>
      </c>
      <c r="B5590" s="1">
        <v>0</v>
      </c>
      <c r="C5590" s="3">
        <v>44541.858993055554</v>
      </c>
      <c r="D5590" s="1" t="s">
        <v>11156</v>
      </c>
      <c r="E5590" s="1" t="str">
        <f ca="1">IFERROR(__xludf.DUMMYFUNCTION("GOOGLETRANSLATE(A2389 , ""tr"" , ""en"")"),"@drfahrettinkoca or Drop Hocam What in the middle of the vaccine in the middle because people were getting healed in their home ... https://t.co/iwmdtyp0cf")</f>
        <v>@drfahrettinkoca or Drop Hocam What in the middle of the vaccine in the middle because people were getting healed in their home ... https://t.co/iwmdtyp0cf</v>
      </c>
    </row>
    <row r="5591" spans="1:5" ht="15" customHeight="1" x14ac:dyDescent="0.2">
      <c r="A5591" s="1" t="s">
        <v>11157</v>
      </c>
      <c r="B5591" s="1">
        <v>0</v>
      </c>
      <c r="C5591" s="3">
        <v>44541.857245370367</v>
      </c>
      <c r="D5591" s="1" t="s">
        <v>11158</v>
      </c>
      <c r="E5591" s="1" t="str">
        <f ca="1">IFERROR(__xludf.DUMMYFUNCTION("GOOGLETRANSLATE(A2390 , ""tr"" , ""en"")"),"@drfahrettinkoca Either everyone without vaccinations stop talking Gbi anymore. ""Vaccine is equal to life, corona equal ... https://t.co/dgerv4a5hh")</f>
        <v>@drfahrettinkoca Either everyone without vaccinations stop talking Gbi anymore. "Vaccine is equal to life, corona equal ... https://t.co/dgerv4a5hh</v>
      </c>
    </row>
    <row r="5592" spans="1:5" ht="15" customHeight="1" x14ac:dyDescent="0.2">
      <c r="A5592" s="1" t="s">
        <v>11159</v>
      </c>
      <c r="B5592" s="1">
        <v>0</v>
      </c>
      <c r="C5592" s="3">
        <v>44541.856516203705</v>
      </c>
      <c r="D5592" s="1" t="s">
        <v>11160</v>
      </c>
      <c r="E5592" s="1" t="str">
        <f ca="1">IFERROR(__xludf.DUMMYFUNCTION("GOOGLETRANSLATE(A2391 , ""tr"" , ""en"")"),"@drfahrettinka https://t.co/ioieg1fu5i")</f>
        <v>@drfahrettinka https://t.co/ioieg1fu5i</v>
      </c>
    </row>
    <row r="5593" spans="1:5" ht="15" customHeight="1" x14ac:dyDescent="0.2">
      <c r="A5593" s="1" t="s">
        <v>11161</v>
      </c>
      <c r="B5593" s="1">
        <v>1</v>
      </c>
      <c r="C5593" s="3">
        <v>44541.856342592589</v>
      </c>
      <c r="D5593" s="1" t="s">
        <v>11162</v>
      </c>
      <c r="E5593" s="1" t="str">
        <f ca="1">IFERROR(__xludf.DUMMYFUNCTION("GOOGLETRANSLATE(A2392 , ""tr"" , ""en"")"),"@drfahrettinka yes the result is in the middle and as written in the report #lenfoma 2 dose bi10tek *** after lymphoma diagnosis topic ... https://t.co/195ndyxb2d")</f>
        <v>@drfahrettinka yes the result is in the middle and as written in the report #lenfoma 2 dose bi10tek *** after lymphoma diagnosis topic ... https://t.co/195ndyxb2d</v>
      </c>
    </row>
    <row r="5594" spans="1:5" ht="15" customHeight="1" x14ac:dyDescent="0.2">
      <c r="A5594" s="1" t="s">
        <v>11163</v>
      </c>
      <c r="B5594" s="1">
        <v>0</v>
      </c>
      <c r="C5594" s="3">
        <v>44541.856342592589</v>
      </c>
      <c r="D5594" s="1" t="s">
        <v>11164</v>
      </c>
      <c r="E5594" s="1" t="str">
        <f ca="1">IFERROR(__xludf.DUMMYFUNCTION("GOOGLETRANSLATE(A2393 , ""tr"" , ""en"")"),"@drfahrettinkoca Full vaccine ones have a slightly omitting the koviti. He also doesn't even be kovite, non-vaccines. 😂")</f>
        <v>@drfahrettinkoca Full vaccine ones have a slightly omitting the koviti. He also doesn't even be kovite, non-vaccines. 😂</v>
      </c>
    </row>
    <row r="5595" spans="1:5" ht="15" customHeight="1" x14ac:dyDescent="0.2">
      <c r="A5595" s="1" t="s">
        <v>11165</v>
      </c>
      <c r="B5595" s="1">
        <v>2</v>
      </c>
      <c r="C5595" s="3">
        <v>44541.855706018519</v>
      </c>
      <c r="D5595" s="1" t="s">
        <v>11166</v>
      </c>
      <c r="E5595" s="1" t="str">
        <f ca="1">IFERROR(__xludf.DUMMYFUNCTION("GOOGLETRANSLATE(A2394 , ""tr"" , ""en"")"),"@drfahrettinkoca yes the results kill the vaccine in the middle")</f>
        <v>@drfahrettinkoca yes the results kill the vaccine in the middle</v>
      </c>
    </row>
    <row r="5596" spans="1:5" ht="15" customHeight="1" x14ac:dyDescent="0.2">
      <c r="A5596" s="1" t="s">
        <v>11167</v>
      </c>
      <c r="B5596" s="1">
        <v>0</v>
      </c>
      <c r="C5596" s="3">
        <v>44541.85565972222</v>
      </c>
      <c r="D5596" s="1" t="s">
        <v>11168</v>
      </c>
      <c r="E5596" s="1" t="str">
        <f ca="1">IFERROR(__xludf.DUMMYFUNCTION("GOOGLETRANSLATE(A2395 , ""tr"" , ""en"")"),"@drfahrettinkoca Sayin Master I told you that the liar's wax burns until the yesterday of the Omrion virus you ... https://t.co/k678tg6gou")</f>
        <v>@drfahrettinkoca Sayin Master I told you that the liar's wax burns until the yesterday of the Omrion virus you ... https://t.co/k678tg6gou</v>
      </c>
    </row>
    <row r="5597" spans="1:5" ht="15" customHeight="1" x14ac:dyDescent="0.2">
      <c r="A5597" s="1" t="s">
        <v>11169</v>
      </c>
      <c r="B5597" s="1">
        <v>6</v>
      </c>
      <c r="C5597" s="3">
        <v>44541.855578703704</v>
      </c>
      <c r="D5597" s="1" t="s">
        <v>11170</v>
      </c>
      <c r="E5597" s="1" t="str">
        <f ca="1">IFERROR(__xludf.DUMMYFUNCTION("GOOGLETRANSLATE(A2396 , ""tr"" , ""en"")"),"@drfahrettinka Ditto the results of such 121.600.540 million dose of overdose of 121.600.540 million daily 190-210 Death 👏👏")</f>
        <v>@drfahrettinka Ditto the results of such 121.600.540 million dose of overdose of 121.600.540 million daily 190-210 Death 👏👏</v>
      </c>
    </row>
    <row r="5598" spans="1:5" ht="15" customHeight="1" x14ac:dyDescent="0.2">
      <c r="A5598" s="1" t="s">
        <v>11171</v>
      </c>
      <c r="B5598" s="1">
        <v>0</v>
      </c>
      <c r="C5598" s="3">
        <v>44541.855219907404</v>
      </c>
      <c r="D5598" s="1" t="s">
        <v>11172</v>
      </c>
      <c r="E5598" s="1" t="str">
        <f ca="1">IFERROR(__xludf.DUMMYFUNCTION("GOOGLETRANSLATE(A2397 , ""tr"" , ""en"")"),"@drfahrettinkoca is nothing in the middle. Your Ministry does not share any data. Your universities have no research ... https://t.co/hdrfolg5d1")</f>
        <v>@drfahrettinkoca is nothing in the middle. Your Ministry does not share any data. Your universities have no research ... https://t.co/hdrfolg5d1</v>
      </c>
    </row>
    <row r="5599" spans="1:5" ht="15" customHeight="1" x14ac:dyDescent="0.2">
      <c r="A5599" s="1" t="s">
        <v>11173</v>
      </c>
      <c r="B5599" s="1">
        <v>18</v>
      </c>
      <c r="C5599" s="3">
        <v>44541.854166666664</v>
      </c>
      <c r="D5599" s="1" t="s">
        <v>11174</v>
      </c>
      <c r="E5599" s="1" t="str">
        <f ca="1">IFERROR(__xludf.DUMMYFUNCTION("GOOGLETRANSLATE(A2398 , ""tr"" , ""en"")"),"@drfahrettinkoca omicron has already come, ours so cheap is our search for all this search on the same thing on the neighbardous arc ... https://t.co/yvg4r1vl3d")</f>
        <v>@drfahrettinkoca omicron has already come, ours so cheap is our search for all this search on the same thing on the neighbardous arc ... https://t.co/yvg4r1vl3d</v>
      </c>
    </row>
    <row r="5600" spans="1:5" ht="15" customHeight="1" x14ac:dyDescent="0.2">
      <c r="A5600" s="1" t="s">
        <v>11175</v>
      </c>
      <c r="B5600" s="1">
        <v>0</v>
      </c>
      <c r="C5600" s="3">
        <v>44541.851597222223</v>
      </c>
      <c r="D5600" s="1" t="s">
        <v>11176</v>
      </c>
      <c r="E5600" s="1" t="str">
        <f ca="1">IFERROR(__xludf.DUMMYFUNCTION("GOOGLETRANSLATE(A2399 , ""tr"" , ""en"")"),"@drfahrettinkoca Schools urgently Come to Online Training Amicron Variant Come Also Know Who Knows Of How many people contacted")</f>
        <v>@drfahrettinkoca Schools urgently Come to Online Training Amicron Variant Come Also Know Who Knows Of How many people contacted</v>
      </c>
    </row>
    <row r="5601" spans="1:5" ht="15" customHeight="1" x14ac:dyDescent="0.2">
      <c r="A5601" s="1" t="s">
        <v>11177</v>
      </c>
      <c r="B5601" s="1">
        <v>0</v>
      </c>
      <c r="C5601" s="3">
        <v>44541.8515625</v>
      </c>
      <c r="D5601" s="1" t="s">
        <v>11178</v>
      </c>
      <c r="E5601" s="1" t="str">
        <f ca="1">IFERROR(__xludf.DUMMYFUNCTION("GOOGLETRANSLATE(A2400 , ""tr"" , ""en"")"),"@drfahrettinkoca what vaccine pardon? We didn't have a mood ... We didn't need gene therapy ... First Rainy Hav ... https://t.co/hxrlpepbua")</f>
        <v>@drfahrettinkoca what vaccine pardon? We didn't have a mood ... We didn't need gene therapy ... First Rainy Hav ... https://t.co/hxrlpepbua</v>
      </c>
    </row>
    <row r="5602" spans="1:5" ht="15" customHeight="1" x14ac:dyDescent="0.2">
      <c r="A5602" s="1" t="s">
        <v>11179</v>
      </c>
      <c r="B5602" s="1">
        <v>15</v>
      </c>
      <c r="C5602" s="3">
        <v>44541.851134259261</v>
      </c>
      <c r="D5602" s="1" t="s">
        <v>11180</v>
      </c>
      <c r="E5602" s="1" t="str">
        <f ca="1">IFERROR(__xludf.DUMMYFUNCTION("GOOGLETRANSLATE(A2401 , ""tr"" , ""en"")"),"@drfahrettinkoca all of the passengers and crews have gave all of the Covid Brilliant on a FUL graft Norwegian Cruise ship. 100% FU ... https://t.co/j4yjq1ra0z")</f>
        <v>@drfahrettinkoca all of the passengers and crews have gave all of the Covid Brilliant on a FUL graft Norwegian Cruise ship. 100% FU ... https://t.co/j4yjq1ra0z</v>
      </c>
    </row>
    <row r="5603" spans="1:5" ht="15" customHeight="1" x14ac:dyDescent="0.2">
      <c r="A5603" s="1" t="s">
        <v>11181</v>
      </c>
      <c r="B5603" s="1">
        <v>22</v>
      </c>
      <c r="C5603" s="3">
        <v>44541.849594907406</v>
      </c>
      <c r="D5603" s="1" t="s">
        <v>11182</v>
      </c>
      <c r="E5603" s="1" t="str">
        <f ca="1">IFERROR(__xludf.DUMMYFUNCTION("GOOGLETRANSLATE(A2402 , ""tr"" , ""en"")"),"@drfahrettinkoca This time of the night is explained to be 6 omicron in the country. Did it be detected now Description This Satt ... https://t.co/z0t8fa4fln")</f>
        <v>@drfahrettinkoca This time of the night is explained to be 6 omicron in the country. Did it be detected now Description This Satt ... https://t.co/z0t8fa4fln</v>
      </c>
    </row>
    <row r="5604" spans="1:5" ht="15" customHeight="1" x14ac:dyDescent="0.2">
      <c r="A5604" s="1" t="s">
        <v>11183</v>
      </c>
      <c r="B5604" s="1">
        <v>0</v>
      </c>
      <c r="C5604" s="3">
        <v>44541.849340277775</v>
      </c>
      <c r="D5604" s="1" t="s">
        <v>11184</v>
      </c>
      <c r="E5604" s="1" t="str">
        <f ca="1">IFERROR(__xludf.DUMMYFUNCTION("GOOGLETRANSLATE(A2403 , ""tr"" , ""en"")"),"@drfahrettinkoca didn't sat down friends didn't feel like lies!")</f>
        <v>@drfahrettinkoca didn't sat down friends didn't feel like lies!</v>
      </c>
    </row>
    <row r="5605" spans="1:5" ht="15" customHeight="1" x14ac:dyDescent="0.2">
      <c r="A5605" s="1" t="s">
        <v>11185</v>
      </c>
      <c r="B5605" s="1">
        <v>0</v>
      </c>
      <c r="C5605" s="3">
        <v>44541.849189814813</v>
      </c>
      <c r="D5605" s="1" t="s">
        <v>11186</v>
      </c>
      <c r="E5605" s="1" t="str">
        <f ca="1">IFERROR(__xludf.DUMMYFUNCTION("GOOGLETRANSLATE(A2404 , ""tr"" , ""en"")"),"@drfahrettinkoca Mr. Ministry Every day you are cheating on yourself, and I'm sure you are writing ... https://t.co/xdatuvz6fv")</f>
        <v>@drfahrettinkoca Mr. Ministry Every day you are cheating on yourself, and I'm sure you are writing ... https://t.co/xdatuvz6fv</v>
      </c>
    </row>
    <row r="5606" spans="1:5" ht="15" customHeight="1" x14ac:dyDescent="0.2">
      <c r="A5606" s="1" t="s">
        <v>11187</v>
      </c>
      <c r="B5606" s="1">
        <v>1</v>
      </c>
      <c r="C5606" s="3">
        <v>44541.84648148148</v>
      </c>
      <c r="D5606" s="1" t="s">
        <v>11188</v>
      </c>
      <c r="E5606" s="1" t="str">
        <f ca="1">IFERROR(__xludf.DUMMYFUNCTION("GOOGLETRANSLATE(A2405 , ""tr"" , ""en"")"),"@drfahrettinkoca Yes the results of the vaccine are as well as pumpkin in the middle")</f>
        <v>@drfahrettinkoca Yes the results of the vaccine are as well as pumpkin in the middle</v>
      </c>
    </row>
    <row r="5607" spans="1:5" ht="15" customHeight="1" x14ac:dyDescent="0.2">
      <c r="A5607" s="1" t="s">
        <v>11189</v>
      </c>
      <c r="B5607" s="1">
        <v>0</v>
      </c>
      <c r="C5607" s="3">
        <v>44541.846192129633</v>
      </c>
      <c r="D5607" s="1" t="s">
        <v>11190</v>
      </c>
      <c r="E5607" s="1" t="str">
        <f ca="1">IFERROR(__xludf.DUMMYFUNCTION("GOOGLETRANSLATE(A2406 , ""tr"" , ""en"")"),"Results of @drfahrettinka vaccine Yes in the middle, cases and deaths were not so much in the middle o deaths also wrong ... https://t.co/5htyiyhefc")</f>
        <v>Results of @drfahrettinka vaccine Yes in the middle, cases and deaths were not so much in the middle o deaths also wrong ... https://t.co/5htyiyhefc</v>
      </c>
    </row>
    <row r="5608" spans="1:5" ht="15" customHeight="1" x14ac:dyDescent="0.2">
      <c r="A5608" s="1" t="s">
        <v>11191</v>
      </c>
      <c r="B5608" s="1">
        <v>0</v>
      </c>
      <c r="C5608" s="3">
        <v>44541.845254629632</v>
      </c>
      <c r="D5608" s="1" t="s">
        <v>11192</v>
      </c>
      <c r="E5608" s="1" t="str">
        <f ca="1">IFERROR(__xludf.DUMMYFUNCTION("GOOGLETRANSLATE(A2407 , ""tr"" , ""en"")"),"@drfahrettinkoca You have become your vaccine Mr. Minister ???")</f>
        <v>@drfahrettinkoca You have become your vaccine Mr. Minister ???</v>
      </c>
    </row>
    <row r="5609" spans="1:5" ht="15" customHeight="1" x14ac:dyDescent="0.2">
      <c r="A5609" s="1" t="s">
        <v>11193</v>
      </c>
      <c r="B5609" s="1">
        <v>0</v>
      </c>
      <c r="C5609" s="3">
        <v>44541.845196759263</v>
      </c>
      <c r="D5609" s="1" t="s">
        <v>11194</v>
      </c>
      <c r="E5609" s="1" t="str">
        <f ca="1">IFERROR(__xludf.DUMMYFUNCTION("GOOGLETRANSLATE(A2408 , ""tr"" , ""en"")"),"@drfahrettinkoca yodcak You have to be mentioned in the dear that you are sworn to the place of swear.")</f>
        <v>@drfahrettinkoca yodcak You have to be mentioned in the dear that you are sworn to the place of swear.</v>
      </c>
    </row>
    <row r="5610" spans="1:5" ht="15" customHeight="1" x14ac:dyDescent="0.2">
      <c r="A5610" s="1" t="s">
        <v>11195</v>
      </c>
      <c r="B5610" s="1">
        <v>0</v>
      </c>
      <c r="C5610" s="3">
        <v>44541.844953703701</v>
      </c>
      <c r="D5610" s="1" t="s">
        <v>11196</v>
      </c>
      <c r="E5610" s="1" t="str">
        <f ca="1">IFERROR(__xludf.DUMMYFUNCTION("GOOGLETRANSLATE(A2409 , ""tr"" , ""en"")"),"@drfahrettinkoca Yes the results of the vaccine have more coops over the middle of the middle.")</f>
        <v>@drfahrettinkoca Yes the results of the vaccine have more coops over the middle of the middle.</v>
      </c>
    </row>
    <row r="5611" spans="1:5" ht="15" customHeight="1" x14ac:dyDescent="0.2">
      <c r="A5611" s="1" t="s">
        <v>11197</v>
      </c>
      <c r="B5611" s="1">
        <v>2</v>
      </c>
      <c r="C5611" s="3">
        <v>44541.844317129631</v>
      </c>
      <c r="D5611" s="1" t="s">
        <v>11198</v>
      </c>
      <c r="E5611" s="1" t="str">
        <f ca="1">IFERROR(__xludf.DUMMYFUNCTION("GOOGLETRANSLATE(A2410 , ""tr"" , ""en"")"),"@drfahrettinkoca orange seen places vaccine rate is less than the case of less than the case of less than the number of cases and belonging is better g ... https://t.co/jslıuxrqpc")</f>
        <v>@drfahrettinkoca orange seen places vaccine rate is less than the case of less than the case of less than the number of cases and belonging is better g ... https://t.co/jslıuxrqpc</v>
      </c>
    </row>
    <row r="5612" spans="1:5" ht="15" customHeight="1" x14ac:dyDescent="0.2">
      <c r="A5612" s="1" t="s">
        <v>11199</v>
      </c>
      <c r="B5612" s="1">
        <v>1</v>
      </c>
      <c r="C5612" s="3">
        <v>44541.844131944446</v>
      </c>
      <c r="D5612" s="1" t="s">
        <v>11200</v>
      </c>
      <c r="E5612" s="1" t="str">
        <f ca="1">IFERROR(__xludf.DUMMYFUNCTION("GOOGLETRANSLATE(A2411 , ""tr"" , ""en"")"),"@drfahrettinkoca You have nothing to say to the purchase of you to increase")</f>
        <v>@drfahrettinkoca You have nothing to say to the purchase of you to increase</v>
      </c>
    </row>
    <row r="5613" spans="1:5" ht="15" customHeight="1" x14ac:dyDescent="0.2">
      <c r="A5613" s="1" t="s">
        <v>11201</v>
      </c>
      <c r="B5613" s="1">
        <v>1</v>
      </c>
      <c r="C5613" s="3">
        <v>44541.843113425923</v>
      </c>
      <c r="D5613" s="1" t="s">
        <v>11202</v>
      </c>
      <c r="E5613" s="1" t="str">
        <f ca="1">IFERROR(__xludf.DUMMYFUNCTION("GOOGLETRANSLATE(A2412 , ""tr"" , ""en"")"),"@drfahrettinkoca is dipped himself too snaps. Husband, you lost its credibility is a huge zero in the eye of the nation ...")</f>
        <v>@drfahrettinkoca is dipped himself too snaps. Husband, you lost its credibility is a huge zero in the eye of the nation ...</v>
      </c>
    </row>
    <row r="5614" spans="1:5" ht="15" customHeight="1" x14ac:dyDescent="0.2">
      <c r="A5614" s="1" t="s">
        <v>11203</v>
      </c>
      <c r="B5614" s="1">
        <v>1</v>
      </c>
      <c r="C5614" s="3">
        <v>44541.842731481483</v>
      </c>
      <c r="D5614" s="1" t="s">
        <v>11204</v>
      </c>
      <c r="E5614" s="1" t="str">
        <f ca="1">IFERROR(__xludf.DUMMYFUNCTION("GOOGLETRANSLATE(A2413 , ""tr"" , ""en"")"),"@drfahrettinka get pity !!!!!")</f>
        <v>@drfahrettinka get pity !!!!!</v>
      </c>
    </row>
    <row r="5615" spans="1:5" ht="15" customHeight="1" x14ac:dyDescent="0.2">
      <c r="A5615" s="1" t="s">
        <v>11205</v>
      </c>
      <c r="B5615" s="1">
        <v>0</v>
      </c>
      <c r="C5615" s="3">
        <v>44541.840486111112</v>
      </c>
      <c r="D5615" s="1" t="s">
        <v>11206</v>
      </c>
      <c r="E5615" s="1" t="str">
        <f ca="1">IFERROR(__xludf.DUMMYFUNCTION("GOOGLETRANSLATE(A2414 , ""tr"" , ""en"")"),"@drfahrettinkoca Mr. Minister PLEASE PLEASE GO NEW YOU TODAY Today I have to reduce the number of Case numbers now")</f>
        <v>@drfahrettinkoca Mr. Minister PLEASE PLEASE GO NEW YOU TODAY Today I have to reduce the number of Case numbers now</v>
      </c>
    </row>
    <row r="5616" spans="1:5" ht="15" customHeight="1" x14ac:dyDescent="0.2">
      <c r="A5616" s="1" t="s">
        <v>11207</v>
      </c>
      <c r="B5616" s="1">
        <v>1</v>
      </c>
      <c r="C5616" s="3">
        <v>44541.837824074071</v>
      </c>
      <c r="D5616" s="1" t="s">
        <v>11208</v>
      </c>
      <c r="E5616" s="1" t="str">
        <f ca="1">IFERROR(__xludf.DUMMYFUNCTION("GOOGLETRANSLATE(A2415 , ""tr"" , ""en"")"),"@drfahrettinkoca case numbers fall but death numbers do not fall at the same rate 🧐☹️")</f>
        <v>@drfahrettinkoca case numbers fall but death numbers do not fall at the same rate 🧐☹️</v>
      </c>
    </row>
    <row r="5617" spans="1:5" ht="15" customHeight="1" x14ac:dyDescent="0.2">
      <c r="A5617" s="1" t="s">
        <v>11209</v>
      </c>
      <c r="B5617" s="1">
        <v>1</v>
      </c>
      <c r="C5617" s="3">
        <v>44541.836828703701</v>
      </c>
      <c r="D5617" s="1" t="s">
        <v>11210</v>
      </c>
      <c r="E5617" s="1" t="str">
        <f ca="1">IFERROR(__xludf.DUMMYFUNCTION("GOOGLETRANSLATE(A2416 , ""tr"" , ""en"")"),"Why vaccine to @drfahrettinkoca government officers not required? Private SEKTORE mandatory. Is this not standard?")</f>
        <v>Why vaccine to @drfahrettinkoca government officers not required? Private SEKTORE mandatory. Is this not standard?</v>
      </c>
    </row>
    <row r="5618" spans="1:5" ht="15" customHeight="1" x14ac:dyDescent="0.2">
      <c r="A5618" s="1" t="s">
        <v>11211</v>
      </c>
      <c r="B5618" s="1">
        <v>0</v>
      </c>
      <c r="C5618" s="3">
        <v>44541.836168981485</v>
      </c>
      <c r="D5618" s="1" t="s">
        <v>11212</v>
      </c>
      <c r="E5618" s="1" t="str">
        <f ca="1">IFERROR(__xludf.DUMMYFUNCTION("GOOGLETRANSLATE(A2417 , ""tr"" , ""en"")"),"@drfahrettinkoca Protection of this vaccine does not come unconvincing")</f>
        <v>@drfahrettinkoca Protection of this vaccine does not come unconvincing</v>
      </c>
    </row>
    <row r="5619" spans="1:5" ht="15" customHeight="1" x14ac:dyDescent="0.2">
      <c r="A5619" s="1" t="s">
        <v>11213</v>
      </c>
      <c r="B5619" s="1">
        <v>1</v>
      </c>
      <c r="C5619" s="3">
        <v>44541.833993055552</v>
      </c>
      <c r="D5619" s="1" t="s">
        <v>11214</v>
      </c>
      <c r="E5619" s="1" t="str">
        <f ca="1">IFERROR(__xludf.DUMMYFUNCTION("GOOGLETRANSLATE(A2418 , ""tr"" , ""en"")"),"@drfahrettinkoca is nothing like a stone")</f>
        <v>@drfahrettinkoca is nothing like a stone</v>
      </c>
    </row>
    <row r="5620" spans="1:5" ht="15" customHeight="1" x14ac:dyDescent="0.2">
      <c r="A5620" s="1" t="s">
        <v>11215</v>
      </c>
      <c r="B5620" s="1">
        <v>1</v>
      </c>
      <c r="C5620" s="3">
        <v>44541.831886574073</v>
      </c>
      <c r="D5620" s="1" t="s">
        <v>11216</v>
      </c>
      <c r="E5620" s="1" t="str">
        <f ca="1">IFERROR(__xludf.DUMMYFUNCTION("GOOGLETRANSLATE(A2419 , ""tr"" , ""en"")"),"@drfahrettinka 200 people daily dying still and you can still say everything is ok")</f>
        <v>@drfahrettinka 200 people daily dying still and you can still say everything is ok</v>
      </c>
    </row>
    <row r="5621" spans="1:5" ht="15" customHeight="1" x14ac:dyDescent="0.2">
      <c r="A5621" s="1" t="s">
        <v>11217</v>
      </c>
      <c r="B5621" s="1">
        <v>0</v>
      </c>
      <c r="C5621" s="3">
        <v>44541.831377314818</v>
      </c>
      <c r="D5621" s="1" t="s">
        <v>11218</v>
      </c>
      <c r="E5621" s="1" t="str">
        <f ca="1">IFERROR(__xludf.DUMMYFUNCTION("GOOGLETRANSLATE(A2420 , ""tr"" , ""en"")"),"@drfahrettinkoca 🇹🇷🤲👏")</f>
        <v>@drfahrettinkoca 🇹🇷🤲👏</v>
      </c>
    </row>
    <row r="5622" spans="1:5" ht="15" customHeight="1" x14ac:dyDescent="0.2">
      <c r="A5622" s="1" t="s">
        <v>11219</v>
      </c>
      <c r="B5622" s="1">
        <v>0</v>
      </c>
      <c r="C5622" s="3">
        <v>44541.830393518518</v>
      </c>
      <c r="D5622" s="1" t="s">
        <v>11220</v>
      </c>
      <c r="E5622" s="1" t="str">
        <f ca="1">IFERROR(__xludf.DUMMYFUNCTION("GOOGLETRANSLATE(A2421 , ""tr"" , ""en"")"),"If you describe the results of @drfahrettinkoca vaccine scientifically, the dense care of the liquid you are talking about ... https://t.co/tfwarojfdq")</f>
        <v>If you describe the results of @drfahrettinkoca vaccine scientifically, the dense care of the liquid you are talking about ... https://t.co/tfwarojfdq</v>
      </c>
    </row>
    <row r="5623" spans="1:5" ht="15" customHeight="1" x14ac:dyDescent="0.2">
      <c r="A5623" s="1" t="s">
        <v>11221</v>
      </c>
      <c r="B5623" s="1">
        <v>0</v>
      </c>
      <c r="C5623" s="3">
        <v>44541.829594907409</v>
      </c>
      <c r="D5623" s="1" t="s">
        <v>11222</v>
      </c>
      <c r="E5623" s="1" t="str">
        <f ca="1">IFERROR(__xludf.DUMMYFUNCTION("GOOGLETRANSLATE(A2422 , ""tr"" , ""en"")"),"@drfahrettinka Mr. Minister people die due to vaccines Why don't you give them CVP")</f>
        <v>@drfahrettinka Mr. Minister people die due to vaccines Why don't you give them CVP</v>
      </c>
    </row>
    <row r="5624" spans="1:5" ht="15" customHeight="1" x14ac:dyDescent="0.2">
      <c r="A5624" s="1" t="s">
        <v>11223</v>
      </c>
      <c r="B5624" s="1">
        <v>0</v>
      </c>
      <c r="C5624" s="3">
        <v>44541.828321759262</v>
      </c>
      <c r="D5624" s="1" t="s">
        <v>11224</v>
      </c>
      <c r="E5624" s="1" t="str">
        <f ca="1">IFERROR(__xludf.DUMMYFUNCTION("GOOGLETRANSLATE(A2423 , ""tr"" , ""en"")"),"@drfahrettinkoca Enched fear is experiencing grafts ...")</f>
        <v>@drfahrettinkoca Enched fear is experiencing grafts ...</v>
      </c>
    </row>
    <row r="5625" spans="1:5" ht="15" customHeight="1" x14ac:dyDescent="0.2">
      <c r="A5625" s="1" t="s">
        <v>11225</v>
      </c>
      <c r="B5625" s="1">
        <v>0</v>
      </c>
      <c r="C5625" s="3">
        <v>44541.827060185184</v>
      </c>
      <c r="D5625" s="1" t="s">
        <v>11226</v>
      </c>
      <c r="E5625" s="1" t="str">
        <f ca="1">IFERROR(__xludf.DUMMYFUNCTION("GOOGLETRANSLATE(A2424 , ""tr"" , ""en"")"),"@drfahrettinkoca Schools Outdoor Die is the best thing to close that way")</f>
        <v>@drfahrettinkoca Schools Outdoor Die is the best thing to close that way</v>
      </c>
    </row>
    <row r="5626" spans="1:5" ht="15" customHeight="1" x14ac:dyDescent="0.2">
      <c r="A5626" s="1" t="s">
        <v>11227</v>
      </c>
      <c r="B5626" s="1">
        <v>0</v>
      </c>
      <c r="C5626" s="3">
        <v>44541.826979166668</v>
      </c>
      <c r="D5626" s="1" t="s">
        <v>11228</v>
      </c>
      <c r="E5626" s="1" t="str">
        <f ca="1">IFERROR(__xludf.DUMMYFUNCTION("GOOGLETRANSLATE(A2425 , ""tr"" , ""en"")"),"@drfahrettinkoca Mr. Mr. The results of the Minister of Vaccine are not quite given in the consent form while the results are so many ??")</f>
        <v>@drfahrettinkoca Mr. Mr. The results of the Minister of Vaccine are not quite given in the consent form while the results are so many ??</v>
      </c>
    </row>
    <row r="5627" spans="1:5" ht="15" customHeight="1" x14ac:dyDescent="0.2">
      <c r="A5627" s="1" t="s">
        <v>11229</v>
      </c>
      <c r="B5627" s="1">
        <v>0</v>
      </c>
      <c r="C5627" s="3">
        <v>44541.826203703706</v>
      </c>
      <c r="D5627" s="1" t="s">
        <v>11230</v>
      </c>
      <c r="E5627" s="1" t="str">
        <f ca="1">IFERROR(__xludf.DUMMYFUNCTION("GOOGLETRANSLATE(A2426 , ""tr"" , ""en"")"),"@drfahrettinkoca is either another epidemic or the test results are wrong.")</f>
        <v>@drfahrettinkoca is either another epidemic or the test results are wrong.</v>
      </c>
    </row>
    <row r="5628" spans="1:5" ht="15" customHeight="1" x14ac:dyDescent="0.2">
      <c r="A5628" s="1" t="s">
        <v>11231</v>
      </c>
      <c r="B5628" s="1">
        <v>1</v>
      </c>
      <c r="C5628" s="3">
        <v>44541.824178240742</v>
      </c>
      <c r="D5628" s="1" t="s">
        <v>11232</v>
      </c>
      <c r="E5628" s="1" t="str">
        <f ca="1">IFERROR(__xludf.DUMMYFUNCTION("GOOGLETRANSLATE(A2427 , ""tr"" , ""en"")"),"@drfahrettinka we want the right of the age of 12")</f>
        <v>@drfahrettinka we want the right of the age of 12</v>
      </c>
    </row>
    <row r="5629" spans="1:5" ht="15" customHeight="1" x14ac:dyDescent="0.2">
      <c r="A5629" s="1" t="s">
        <v>11233</v>
      </c>
      <c r="B5629" s="1">
        <v>3</v>
      </c>
      <c r="C5629" s="3">
        <v>44541.822106481479</v>
      </c>
      <c r="D5629" s="1" t="s">
        <v>11234</v>
      </c>
      <c r="E5629" s="1" t="str">
        <f ca="1">IFERROR(__xludf.DUMMYFUNCTION("GOOGLETRANSLATE(A2428 , ""tr"" , ""en"")"),"@drfahrettinkoca would you have two pairs of this topic? Those people who pretend to have no Covid are to work to school ... https://t.co/jf2fz1pu18")</f>
        <v>@drfahrettinkoca would you have two pairs of this topic? Those people who pretend to have no Covid are to work to school ... https://t.co/jf2fz1pu18</v>
      </c>
    </row>
    <row r="5630" spans="1:5" ht="15" customHeight="1" x14ac:dyDescent="0.2">
      <c r="A5630" s="1" t="s">
        <v>11235</v>
      </c>
      <c r="B5630" s="1">
        <v>0</v>
      </c>
      <c r="C5630" s="3">
        <v>44541.821377314816</v>
      </c>
      <c r="D5630" s="1" t="s">
        <v>11236</v>
      </c>
      <c r="E5630" s="1" t="str">
        <f ca="1">IFERROR(__xludf.DUMMYFUNCTION("GOOGLETRANSLATE(A2429 , ""tr"" , ""en"")"),"@drfahrettinkoca hi hi ditto it 😏")</f>
        <v>@drfahrettinkoca hi hi ditto it 😏</v>
      </c>
    </row>
    <row r="5631" spans="1:5" ht="15" customHeight="1" x14ac:dyDescent="0.2">
      <c r="A5631" s="1" t="s">
        <v>11237</v>
      </c>
      <c r="B5631" s="1">
        <v>22</v>
      </c>
      <c r="C5631" s="3">
        <v>44541.821296296293</v>
      </c>
      <c r="D5631" s="1" t="s">
        <v>11238</v>
      </c>
      <c r="E5631" s="1" t="str">
        <f ca="1">IFERROR(__xludf.DUMMYFUNCTION("GOOGLETRANSLATE(A2430 , ""tr"" , ""en"")"),"@drfahrettinka Presence in our children's education, you have received the vaccination rights of the request of our children's vaccination. He was also ordered ... https://t.co/npp1r07l6t")</f>
        <v>@drfahrettinka Presence in our children's education, you have received the vaccination rights of the request of our children's vaccination. He was also ordered ... https://t.co/npp1r07l6t</v>
      </c>
    </row>
    <row r="5632" spans="1:5" ht="15" customHeight="1" x14ac:dyDescent="0.2">
      <c r="A5632" s="1" t="s">
        <v>11239</v>
      </c>
      <c r="B5632" s="1">
        <v>0</v>
      </c>
      <c r="C5632" s="3">
        <v>44541.820949074077</v>
      </c>
      <c r="D5632" s="1" t="s">
        <v>11240</v>
      </c>
      <c r="E5632" s="1" t="str">
        <f ca="1">IFERROR(__xludf.DUMMYFUNCTION("GOOGLETRANSLATE(A2431 , ""tr"" , ""en"")"),"@drfahrettinkoca Sağ Holding Only one of the victims I have deposited money 15 days at the head at the head of the head 15 days SO ... HTTPS://T.CO/MSSIFHD8SF")</f>
        <v>@drfahrettinkoca Sağ Holding Only one of the victims I have deposited money 15 days at the head at the head of the head 15 days SO ... HTTPS://T.CO/MSSIFHD8SF</v>
      </c>
    </row>
    <row r="5633" spans="1:5" ht="15" customHeight="1" x14ac:dyDescent="0.2">
      <c r="A5633" s="1" t="s">
        <v>11241</v>
      </c>
      <c r="B5633" s="1">
        <v>2</v>
      </c>
      <c r="C5633" s="3">
        <v>44541.82068287037</v>
      </c>
      <c r="D5633" s="1" t="s">
        <v>11242</v>
      </c>
      <c r="E5633" s="1" t="str">
        <f ca="1">IFERROR(__xludf.DUMMYFUNCTION("GOOGLETRANSLATE(A2432 , ""tr"" , ""en"")"),"@drfahrettinkoca Primary school has 2-3 clusters, A byi covers all, Covers, Covers Covers, 91% of a country 1.do ... https://t.co/z1zq61vphf")</f>
        <v>@drfahrettinkoca Primary school has 2-3 clusters, A byi covers all, Covers, Covers Covers, 91% of a country 1.do ... https://t.co/z1zq61vphf</v>
      </c>
    </row>
    <row r="5634" spans="1:5" ht="15" customHeight="1" x14ac:dyDescent="0.2">
      <c r="A5634" s="1" t="s">
        <v>11243</v>
      </c>
      <c r="B5634" s="1">
        <v>0</v>
      </c>
      <c r="C5634" s="3">
        <v>44542.961412037039</v>
      </c>
      <c r="D5634" s="1" t="s">
        <v>11244</v>
      </c>
      <c r="E5634" s="1" t="str">
        <f ca="1">IFERROR(__xludf.DUMMYFUNCTION("GOOGLETRANSLATE(A2433 , ""tr"" , ""en"")"),"@drfahrettinkoca If you are relying on Coukdar, there is a consent form. Go out and be something originated from the vaccine ... https://t.co/vssrf4cjmt")</f>
        <v>@drfahrettinkoca If you are relying on Coukdar, there is a consent form. Go out and be something originated from the vaccine ... https://t.co/vssrf4cjmt</v>
      </c>
    </row>
    <row r="5635" spans="1:5" ht="15" customHeight="1" x14ac:dyDescent="0.2">
      <c r="A5635" s="1" t="s">
        <v>11245</v>
      </c>
      <c r="B5635" s="1">
        <v>0</v>
      </c>
      <c r="C5635" s="3">
        <v>44542.792708333334</v>
      </c>
      <c r="D5635" s="1" t="s">
        <v>11246</v>
      </c>
      <c r="E5635" s="1" t="str">
        <f ca="1">IFERROR(__xludf.DUMMYFUNCTION("GOOGLETRANSLATE(A2434 , ""tr"" , ""en"")"),"@drfahrettinkoca folks woke up, wow.")</f>
        <v>@drfahrettinkoca folks woke up, wow.</v>
      </c>
    </row>
    <row r="5636" spans="1:5" ht="15" customHeight="1" x14ac:dyDescent="0.2">
      <c r="A5636" s="1" t="s">
        <v>11247</v>
      </c>
      <c r="B5636" s="1">
        <v>3</v>
      </c>
      <c r="C5636" s="3">
        <v>44542.759062500001</v>
      </c>
      <c r="D5636" s="1" t="s">
        <v>11248</v>
      </c>
      <c r="E5636" s="1" t="str">
        <f ca="1">IFERROR(__xludf.DUMMYFUNCTION("GOOGLETRANSLATE(A2435 , ""tr"" , ""en"")"),"@drfahrettinkoca is the number of vaccines to be full-grown? Full grafting means to be a vaccination in 3 months of life. B ... https://t.co/ungwoevxx0")</f>
        <v>@drfahrettinkoca is the number of vaccines to be full-grown? Full grafting means to be a vaccination in 3 months of life. B ... https://t.co/ungwoevxx0</v>
      </c>
    </row>
    <row r="5637" spans="1:5" ht="15" customHeight="1" x14ac:dyDescent="0.2">
      <c r="A5637" s="1" t="s">
        <v>11249</v>
      </c>
      <c r="B5637" s="1">
        <v>0</v>
      </c>
      <c r="C5637" s="3">
        <v>44542.758761574078</v>
      </c>
      <c r="D5637" s="1" t="s">
        <v>11250</v>
      </c>
      <c r="E5637" s="1" t="str">
        <f ca="1">IFERROR(__xludf.DUMMYFUNCTION("GOOGLETRANSLATE(A2436 , ""tr"" , ""en"")"),"@drfahrettinka https://t.co/9danmqxqvz")</f>
        <v>@drfahrettinka https://t.co/9danmqxqvz</v>
      </c>
    </row>
    <row r="5638" spans="1:5" ht="15" customHeight="1" x14ac:dyDescent="0.2">
      <c r="A5638" s="1" t="s">
        <v>11251</v>
      </c>
      <c r="B5638" s="1">
        <v>0</v>
      </c>
      <c r="C5638" s="3">
        <v>44542.7421412037</v>
      </c>
      <c r="D5638" s="1" t="s">
        <v>11252</v>
      </c>
      <c r="E5638" s="1" t="str">
        <f ca="1">IFERROR(__xludf.DUMMYFUNCTION("GOOGLETRANSLATE(A2437 , ""tr"" , ""en"")"),"@drfahrettinkoca's Lies of the Lies LiesiIIIIsIN❗️❗️")</f>
        <v>@drfahrettinkoca's Lies of the Lies LiesiIIIIsIN❗️❗️</v>
      </c>
    </row>
    <row r="5639" spans="1:5" ht="15" customHeight="1" x14ac:dyDescent="0.2">
      <c r="A5639" s="1" t="s">
        <v>11253</v>
      </c>
      <c r="B5639" s="1">
        <v>0</v>
      </c>
      <c r="C5639" s="3">
        <v>44542.726064814815</v>
      </c>
      <c r="D5639" s="1" t="s">
        <v>11254</v>
      </c>
      <c r="E5639" s="1" t="str">
        <f ca="1">IFERROR(__xludf.DUMMYFUNCTION("GOOGLETRANSLATE(A2438 , ""tr"" , ""en"")"),"@drfahrettinka Full vaccine How many pieces are going on.")</f>
        <v>@drfahrettinka Full vaccine How many pieces are going on.</v>
      </c>
    </row>
    <row r="5640" spans="1:5" ht="15" customHeight="1" x14ac:dyDescent="0.2">
      <c r="A5640" s="1" t="s">
        <v>11255</v>
      </c>
      <c r="B5640" s="1">
        <v>0</v>
      </c>
      <c r="C5640" s="3">
        <v>44541.94835648148</v>
      </c>
      <c r="D5640" s="1" t="s">
        <v>11256</v>
      </c>
      <c r="E5640" s="1" t="str">
        <f ca="1">IFERROR(__xludf.DUMMYFUNCTION("GOOGLETRANSLATE(A2439 , ""tr"" , ""en"")"),"@drfahrettinkoca 3. Will we be biontech?")</f>
        <v>@drfahrettinkoca 3. Will we be biontech?</v>
      </c>
    </row>
    <row r="5641" spans="1:5" ht="15" customHeight="1" x14ac:dyDescent="0.2">
      <c r="A5641" s="1" t="s">
        <v>11257</v>
      </c>
      <c r="B5641" s="1">
        <v>0</v>
      </c>
      <c r="C5641" s="3">
        <v>44541.905335648145</v>
      </c>
      <c r="D5641" s="1" t="s">
        <v>11258</v>
      </c>
      <c r="E5641" s="1" t="str">
        <f ca="1">IFERROR(__xludf.DUMMYFUNCTION("GOOGLETRANSLATE(A2440 , ""tr"" , ""en"")"),"@drfahrettinka https://t.co/z4ko0v39fx")</f>
        <v>@drfahrettinka https://t.co/z4ko0v39fx</v>
      </c>
    </row>
    <row r="5642" spans="1:5" ht="15" customHeight="1" x14ac:dyDescent="0.2">
      <c r="A5642" s="1" t="s">
        <v>11259</v>
      </c>
      <c r="B5642" s="1">
        <v>0</v>
      </c>
      <c r="C5642" s="3">
        <v>44541.883912037039</v>
      </c>
      <c r="D5642" s="1" t="s">
        <v>11260</v>
      </c>
      <c r="E5642" s="1" t="str">
        <f ca="1">IFERROR(__xludf.DUMMYFUNCTION("GOOGLETRANSLATE(A2441 , ""tr"" , ""en"")"),"@drfahrettinkoca you are tired of your tenderness from your tenderness, from your intimidation")</f>
        <v>@drfahrettinkoca you are tired of your tenderness from your tenderness, from your intimidation</v>
      </c>
    </row>
    <row r="5643" spans="1:5" ht="15" customHeight="1" x14ac:dyDescent="0.2">
      <c r="A5643" s="1" t="s">
        <v>11261</v>
      </c>
      <c r="B5643" s="1">
        <v>0</v>
      </c>
      <c r="C5643" s="3">
        <v>44541.869363425925</v>
      </c>
      <c r="D5643" s="1" t="s">
        <v>11262</v>
      </c>
      <c r="E5643" s="1" t="str">
        <f ca="1">IFERROR(__xludf.DUMMYFUNCTION("GOOGLETRANSLATE(A2442 , ""tr"" , ""en"")"),"@drfahrettinka reduce the vaccine range 6 months Make 5 months instead of going to go and do it at the time. One month ... https://t.co/koqtvouhjd")</f>
        <v>@drfahrettinka reduce the vaccine range 6 months Make 5 months instead of going to go and do it at the time. One month ... https://t.co/koqtvouhjd</v>
      </c>
    </row>
    <row r="5644" spans="1:5" ht="15" customHeight="1" x14ac:dyDescent="0.2">
      <c r="A5644" s="1" t="s">
        <v>11263</v>
      </c>
      <c r="B5644" s="1">
        <v>0</v>
      </c>
      <c r="C5644" s="3">
        <v>44541.869259259256</v>
      </c>
      <c r="D5644" s="1" t="s">
        <v>11264</v>
      </c>
      <c r="E5644" s="1" t="str">
        <f ca="1">IFERROR(__xludf.DUMMYFUNCTION("GOOGLETRANSLATE(A2443 , ""tr"" , ""en"")"),"@drfahrettinkoca @drfahrettinkoca @drfahrettinkoca @rterdogan How do you guys black out our lives We're your youth Our blood ... https://t.co/9yndgwzcmz")</f>
        <v>@drfahrettinkoca @drfahrettinkoca @drfahrettinkoca @rterdogan How do you guys black out our lives We're your youth Our blood ... https://t.co/9yndgwzcmz</v>
      </c>
    </row>
    <row r="5645" spans="1:5" ht="15" customHeight="1" x14ac:dyDescent="0.2">
      <c r="A5645" s="1" t="s">
        <v>11265</v>
      </c>
      <c r="B5645" s="1">
        <v>1</v>
      </c>
      <c r="C5645" s="3">
        <v>44541.867280092592</v>
      </c>
      <c r="D5645" s="1" t="s">
        <v>11266</v>
      </c>
      <c r="E5645" s="1" t="str">
        <f ca="1">IFERROR(__xludf.DUMMYFUNCTION("GOOGLETRANSLATE(A2444 , ""tr"" , ""en"")"),"@drfahrettinkoca Covid does not kill, the vaccine to do every 6 months is the petroleum me that is going to be done at all ... https://t.co/DiBhtyshvy")</f>
        <v>@drfahrettinkoca Covid does not kill, the vaccine to do every 6 months is the petroleum me that is going to be done at all ... https://t.co/DiBhtyshvy</v>
      </c>
    </row>
    <row r="5646" spans="1:5" ht="15" customHeight="1" x14ac:dyDescent="0.2">
      <c r="A5646" s="1" t="s">
        <v>11267</v>
      </c>
      <c r="B5646" s="1">
        <v>0</v>
      </c>
      <c r="C5646" s="3">
        <v>44541.866875</v>
      </c>
      <c r="D5646" s="1" t="s">
        <v>11268</v>
      </c>
      <c r="E5646" s="1" t="str">
        <f ca="1">IFERROR(__xludf.DUMMYFUNCTION("GOOGLETRANSLATE(A2445 , ""tr"" , ""en"")"),"@drfahrettinkoca or do not take people to the country what is the place where I live in Bulgarian What the distance")</f>
        <v>@drfahrettinkoca or do not take people to the country what is the place where I live in Bulgarian What the distance</v>
      </c>
    </row>
    <row r="5647" spans="1:5" ht="15" customHeight="1" x14ac:dyDescent="0.2">
      <c r="A5647" s="1" t="s">
        <v>11269</v>
      </c>
      <c r="B5647" s="1">
        <v>0</v>
      </c>
      <c r="C5647" s="3">
        <v>44541.863229166665</v>
      </c>
      <c r="D5647" s="1" t="s">
        <v>11270</v>
      </c>
      <c r="E5647" s="1" t="str">
        <f ca="1">IFERROR(__xludf.DUMMYFUNCTION("GOOGLETRANSLATE(A2446 , ""tr"" , ""en"")"),"@drfahrettinkoca Istanbul https://t.co/qusoafxlxf you will do?")</f>
        <v>@drfahrettinkoca Istanbul https://t.co/qusoafxlxf you will do?</v>
      </c>
    </row>
    <row r="5648" spans="1:5" ht="15" customHeight="1" x14ac:dyDescent="0.2">
      <c r="A5648" s="1" t="s">
        <v>11271</v>
      </c>
      <c r="B5648" s="1">
        <v>1</v>
      </c>
      <c r="C5648" s="3">
        <v>44541.861284722225</v>
      </c>
      <c r="D5648" s="1" t="s">
        <v>11272</v>
      </c>
      <c r="E5648" s="1" t="str">
        <f ca="1">IFERROR(__xludf.DUMMYFUNCTION("GOOGLETRANSLATE(A2447 , ""tr"" , ""en"")"),"@drfahrettinka 3 80-85% with overdose, how is still at risk! Or it still wears the mask as why! Because Science ... https://t.co/n5jnssrdlg")</f>
        <v>@drfahrettinka 3 80-85% with overdose, how is still at risk! Or it still wears the mask as why! Because Science ... https://t.co/n5jnssrdlg</v>
      </c>
    </row>
    <row r="5649" spans="1:5" ht="15" customHeight="1" x14ac:dyDescent="0.2">
      <c r="A5649" s="1" t="s">
        <v>11273</v>
      </c>
      <c r="B5649" s="1">
        <v>0</v>
      </c>
      <c r="C5649" s="3">
        <v>44541.857812499999</v>
      </c>
      <c r="D5649" s="1" t="s">
        <v>11274</v>
      </c>
      <c r="E5649" s="1" t="str">
        <f ca="1">IFERROR(__xludf.DUMMYFUNCTION("GOOGLETRANSLATE(A2448 , ""tr"" , ""en"")"),"@drfahrettinkoca SN Do you test close to people and contacts of people who are positive?")</f>
        <v>@drfahrettinkoca SN Do you test close to people and contacts of people who are positive?</v>
      </c>
    </row>
    <row r="5650" spans="1:5" ht="15" customHeight="1" x14ac:dyDescent="0.2">
      <c r="A5650" s="1" t="s">
        <v>11275</v>
      </c>
      <c r="B5650" s="1">
        <v>0</v>
      </c>
      <c r="C5650" s="3">
        <v>44542.947384259256</v>
      </c>
      <c r="D5650" s="1" t="s">
        <v>11276</v>
      </c>
      <c r="E5650" s="1" t="str">
        <f ca="1">IFERROR(__xludf.DUMMYFUNCTION("GOOGLETRANSLATE(A2449 , ""tr"" , ""en"")"),"@drfahrettinka https://t.co/4wwm8swkaz")</f>
        <v>@drfahrettinka https://t.co/4wwm8swkaz</v>
      </c>
    </row>
    <row r="5651" spans="1:5" ht="15" customHeight="1" x14ac:dyDescent="0.2">
      <c r="A5651" s="1" t="s">
        <v>11277</v>
      </c>
      <c r="B5651" s="1">
        <v>0</v>
      </c>
      <c r="C5651" s="3">
        <v>44540.998900462961</v>
      </c>
      <c r="D5651" s="1" t="s">
        <v>11278</v>
      </c>
      <c r="E5651" s="1" t="str">
        <f ca="1">IFERROR(__xludf.DUMMYFUNCTION("GOOGLETRANSLATE(A2450 , ""tr"" , ""en"")"),"@drfahrettinkoca enough yahu yeteeeeeeeeeeeeeerrrrrrll illallah is the nail of the homeland you say the vaccine you say the vaccine ... https://t.co/pk19iukeph")</f>
        <v>@drfahrettinkoca enough yahu yeteeeeeeeeeeeeeerrrrrrll illallah is the nail of the homeland you say the vaccine you say the vaccine ... https://t.co/pk19iukeph</v>
      </c>
    </row>
    <row r="5652" spans="1:5" ht="15" customHeight="1" x14ac:dyDescent="0.2">
      <c r="A5652" s="1" t="s">
        <v>11279</v>
      </c>
      <c r="B5652" s="1">
        <v>0</v>
      </c>
      <c r="C5652" s="3">
        <v>44540.987951388888</v>
      </c>
      <c r="D5652" s="1" t="s">
        <v>11280</v>
      </c>
      <c r="E5652" s="1" t="str">
        <f ca="1">IFERROR(__xludf.DUMMYFUNCTION("GOOGLETRANSLATE(A2451 , ""tr"" , ""en"")"),"@drfahrettinkca brother 13 months night by killing the night in the day took 80 points took 80 points medical documentation and secretive ... https://t.co/8joo7ktcqy")</f>
        <v>@drfahrettinkca brother 13 months night by killing the night in the day took 80 points took 80 points medical documentation and secretive ... https://t.co/8joo7ktcqy</v>
      </c>
    </row>
    <row r="5653" spans="1:5" ht="15" customHeight="1" x14ac:dyDescent="0.2">
      <c r="A5653" s="1" t="s">
        <v>11281</v>
      </c>
      <c r="B5653" s="1">
        <v>0</v>
      </c>
      <c r="C5653" s="3">
        <v>44540.978703703702</v>
      </c>
      <c r="D5653" s="1" t="s">
        <v>11282</v>
      </c>
      <c r="E5653" s="1" t="str">
        <f ca="1">IFERROR(__xludf.DUMMYFUNCTION("GOOGLETRANSLATE(A2452 , ""tr"" , ""en"")"),"@drfahrettinkoca go to one defol-")</f>
        <v>@drfahrettinkoca go to one defol-</v>
      </c>
    </row>
    <row r="5654" spans="1:5" ht="15" customHeight="1" x14ac:dyDescent="0.2">
      <c r="A5654" s="1" t="s">
        <v>11283</v>
      </c>
      <c r="B5654" s="1">
        <v>0</v>
      </c>
      <c r="C5654" s="3">
        <v>44540.970879629633</v>
      </c>
      <c r="D5654" s="1" t="s">
        <v>11284</v>
      </c>
      <c r="E5654" s="1" t="str">
        <f ca="1">IFERROR(__xludf.DUMMYFUNCTION("GOOGLETRANSLATE(A2453 , ""tr"" , ""en"")"),"@drfahrettinkoca Force the vaccine that does not take alcohol, BSR times Alcohol was the mother of every evil now Saving you ... https://t.co/zkalvabjkf")</f>
        <v>@drfahrettinkoca Force the vaccine that does not take alcohol, BSR times Alcohol was the mother of every evil now Saving you ... https://t.co/zkalvabjkf</v>
      </c>
    </row>
    <row r="5655" spans="1:5" ht="15" customHeight="1" x14ac:dyDescent="0.2">
      <c r="A5655" s="1" t="s">
        <v>11285</v>
      </c>
      <c r="B5655" s="1">
        <v>0</v>
      </c>
      <c r="C5655" s="3">
        <v>44540.968055555553</v>
      </c>
      <c r="D5655" s="1" t="s">
        <v>11286</v>
      </c>
      <c r="E5655" s="1" t="str">
        <f ca="1">IFERROR(__xludf.DUMMYFUNCTION("GOOGLETRANSLATE(A2454 , ""tr"" , ""en"")"),"@drfahrettinkoca procedure be brom.")</f>
        <v>@drfahrettinkoca procedure be brom.</v>
      </c>
    </row>
    <row r="5656" spans="1:5" ht="15" customHeight="1" x14ac:dyDescent="0.2">
      <c r="A5656" s="1" t="s">
        <v>11287</v>
      </c>
      <c r="B5656" s="1">
        <v>3</v>
      </c>
      <c r="C5656" s="3">
        <v>44540.967858796299</v>
      </c>
      <c r="D5656" s="1" t="s">
        <v>11288</v>
      </c>
      <c r="E5656" s="1" t="str">
        <f ca="1">IFERROR(__xludf.DUMMYFUNCTION("GOOGLETRANSLATE(A2455 , ""tr"" , ""en"")"),"@drfahrettinkoca is a very insisted what to poison into this liquid poison that is zamic to the body! It would be asking, not wanting; to whom what! VAKE ... HTTPS://T.CO/IDGEW74H8U")</f>
        <v>@drfahrettinkoca is a very insisted what to poison into this liquid poison that is zamic to the body! It would be asking, not wanting; to whom what! VAKE ... HTTPS://T.CO/IDGEW74H8U</v>
      </c>
    </row>
    <row r="5657" spans="1:5" ht="15" customHeight="1" x14ac:dyDescent="0.2">
      <c r="A5657" s="1" t="s">
        <v>11289</v>
      </c>
      <c r="B5657" s="1">
        <v>1</v>
      </c>
      <c r="C5657" s="3">
        <v>44540.963935185187</v>
      </c>
      <c r="D5657" s="1" t="s">
        <v>11290</v>
      </c>
      <c r="E5657" s="1" t="str">
        <f ca="1">IFERROR(__xludf.DUMMYFUNCTION("GOOGLETRANSLATE(A2456 , ""tr"" , ""en"")"),"@drfahrettinkoca If we have to have to have the following, remove the test request event is no longer. With the grafted now ... https://t.co/cy2qzyxhbq")</f>
        <v>@drfahrettinkoca If we have to have to have the following, remove the test request event is no longer. With the grafted now ... https://t.co/cy2qzyxhbq</v>
      </c>
    </row>
    <row r="5658" spans="1:5" ht="15" customHeight="1" x14ac:dyDescent="0.2">
      <c r="A5658" s="1" t="s">
        <v>11291</v>
      </c>
      <c r="B5658" s="1">
        <v>0</v>
      </c>
      <c r="C5658" s="3">
        <v>44540.956863425927</v>
      </c>
      <c r="D5658" s="1" t="s">
        <v>11292</v>
      </c>
      <c r="E5658" s="1" t="str">
        <f ca="1">IFERROR(__xludf.DUMMYFUNCTION("GOOGLETRANSLATE(A2457 , ""tr"" , ""en"")"),"@drfahrettinkoca Belief of Fahrettin Ditto")</f>
        <v>@drfahrettinkoca Belief of Fahrettin Ditto</v>
      </c>
    </row>
    <row r="5659" spans="1:5" ht="15" customHeight="1" x14ac:dyDescent="0.2">
      <c r="A5659" s="1" t="s">
        <v>11293</v>
      </c>
      <c r="B5659" s="1">
        <v>0</v>
      </c>
      <c r="C5659" s="3">
        <v>44540.956678240742</v>
      </c>
      <c r="D5659" s="1" t="s">
        <v>11294</v>
      </c>
      <c r="E5659" s="1" t="str">
        <f ca="1">IFERROR(__xludf.DUMMYFUNCTION("GOOGLETRANSLATE(A2458 , ""tr"" , ""en"")"),"@drfahrettinkoca Allah is the owner of attik @ m.")</f>
        <v>@drfahrettinkoca Allah is the owner of attik @ m.</v>
      </c>
    </row>
    <row r="5660" spans="1:5" ht="15" customHeight="1" x14ac:dyDescent="0.2">
      <c r="A5660" s="1" t="s">
        <v>11295</v>
      </c>
      <c r="B5660" s="1">
        <v>0</v>
      </c>
      <c r="C5660" s="3">
        <v>44540.955868055556</v>
      </c>
      <c r="D5660" s="1" t="s">
        <v>11296</v>
      </c>
      <c r="E5660" s="1" t="str">
        <f ca="1">IFERROR(__xludf.DUMMYFUNCTION("GOOGLETRANSLATE(A2459 , ""tr"" , ""en"")"),"@drfahrettinka feet head, starts the foot.")</f>
        <v>@drfahrettinka feet head, starts the foot.</v>
      </c>
    </row>
    <row r="5661" spans="1:5" ht="15" customHeight="1" x14ac:dyDescent="0.2">
      <c r="A5661" s="1" t="s">
        <v>11297</v>
      </c>
      <c r="B5661" s="1">
        <v>0</v>
      </c>
      <c r="C5661" s="3">
        <v>44540.95480324074</v>
      </c>
      <c r="D5661" s="1" t="s">
        <v>11298</v>
      </c>
      <c r="E5661" s="1" t="str">
        <f ca="1">IFERROR(__xludf.DUMMYFUNCTION("GOOGLETRANSLATE(A2460 , ""tr"" , ""en"")"),"@drfahrettinkoca is more than 35 years old 3 children's mother cancer died from cancer, you were a little bit of this drug in this drug I wish ... https://t.co/lrlblemgus")</f>
        <v>@drfahrettinkoca is more than 35 years old 3 children's mother cancer died from cancer, you were a little bit of this drug in this drug I wish ... https://t.co/lrlblemgus</v>
      </c>
    </row>
    <row r="5662" spans="1:5" ht="15" customHeight="1" x14ac:dyDescent="0.2">
      <c r="A5662" s="1" t="s">
        <v>11299</v>
      </c>
      <c r="B5662" s="1">
        <v>0</v>
      </c>
      <c r="C5662" s="3">
        <v>44540.954548611109</v>
      </c>
      <c r="D5662" s="1" t="s">
        <v>11300</v>
      </c>
      <c r="E5662" s="1" t="str">
        <f ca="1">IFERROR(__xludf.DUMMYFUNCTION("GOOGLETRANSLATE(A2461 , ""tr"" , ""en"")"),"@drfahrettinkoca horse lie is the belief of my dick. Publish the real numbers !!!")</f>
        <v>@drfahrettinkoca horse lie is the belief of my dick. Publish the real numbers !!!</v>
      </c>
    </row>
    <row r="5663" spans="1:5" ht="15" customHeight="1" x14ac:dyDescent="0.2">
      <c r="A5663" s="1" t="s">
        <v>11301</v>
      </c>
      <c r="B5663" s="1">
        <v>0</v>
      </c>
      <c r="C5663" s="3">
        <v>44540.9533912037</v>
      </c>
      <c r="D5663" s="1" t="s">
        <v>11302</v>
      </c>
      <c r="E5663" s="1" t="str">
        <f ca="1">IFERROR(__xludf.DUMMYFUNCTION("GOOGLETRANSLATE(A2462 , ""tr"" , ""en"")"),"@drfahrettinkoca My Abim and his family 3 dose in the short and all Covid. Do you have anything to rob the number of Minister?")</f>
        <v>@drfahrettinkoca My Abim and his family 3 dose in the short and all Covid. Do you have anything to rob the number of Minister?</v>
      </c>
    </row>
    <row r="5664" spans="1:5" ht="15" customHeight="1" x14ac:dyDescent="0.2">
      <c r="A5664" s="1" t="s">
        <v>11303</v>
      </c>
      <c r="B5664" s="1">
        <v>1</v>
      </c>
      <c r="C5664" s="3">
        <v>44540.953298611108</v>
      </c>
      <c r="D5664" s="1" t="s">
        <v>11304</v>
      </c>
      <c r="E5664" s="1" t="str">
        <f ca="1">IFERROR(__xludf.DUMMYFUNCTION("GOOGLETRANSLATE(A2463 , ""tr"" , ""en"")"),"@drfahrettinka you and the team you will not be able to manage you as you have been created in the Ezel you have created a trap ... https://t.co/041jebskz5")</f>
        <v>@drfahrettinka you and the team you will not be able to manage you as you have been created in the Ezel you have created a trap ... https://t.co/041jebskz5</v>
      </c>
    </row>
    <row r="5665" spans="1:5" ht="15" customHeight="1" x14ac:dyDescent="0.2">
      <c r="A5665" s="1" t="s">
        <v>11305</v>
      </c>
      <c r="B5665" s="1">
        <v>1</v>
      </c>
      <c r="C5665" s="3">
        <v>44540.950428240743</v>
      </c>
      <c r="D5665" s="1" t="s">
        <v>11306</v>
      </c>
      <c r="E5665" s="1" t="str">
        <f ca="1">IFERROR(__xludf.DUMMYFUNCTION("GOOGLETRANSLATE(A2464 , ""tr"" , ""en"")"),"@drfahrettinkoca the end of the road to you will give us the account of two years will not be able to remain your place that will not remain ... https://t.co/d8aiu6hisu")</f>
        <v>@drfahrettinkoca the end of the road to you will give us the account of two years will not be able to remain your place that will not remain ... https://t.co/d8aiu6hisu</v>
      </c>
    </row>
    <row r="5666" spans="1:5" ht="15" customHeight="1" x14ac:dyDescent="0.2">
      <c r="A5666" s="1" t="s">
        <v>11307</v>
      </c>
      <c r="B5666" s="1">
        <v>2</v>
      </c>
      <c r="C5666" s="3">
        <v>44540.950208333335</v>
      </c>
      <c r="D5666" s="1" t="s">
        <v>11308</v>
      </c>
      <c r="E5666" s="1" t="str">
        <f ca="1">IFERROR(__xludf.DUMMYFUNCTION("GOOGLETRANSLATE(A2465 , ""tr"" , ""en"")"),"@drfahrettinkoca bungun was filled with cases in emergency, the man's blood loss will go from the loss of blood asin ... https://t.co/byjtlgp4ay")</f>
        <v>@drfahrettinkoca bungun was filled with cases in emergency, the man's blood loss will go from the loss of blood asin ... https://t.co/byjtlgp4ay</v>
      </c>
    </row>
    <row r="5667" spans="1:5" ht="15" customHeight="1" x14ac:dyDescent="0.2">
      <c r="A5667" s="1" t="s">
        <v>11309</v>
      </c>
      <c r="B5667" s="1">
        <v>0</v>
      </c>
      <c r="C5667" s="3">
        <v>44540.94902777778</v>
      </c>
      <c r="D5667" s="1" t="s">
        <v>11310</v>
      </c>
      <c r="E5667" s="1" t="str">
        <f ca="1">IFERROR(__xludf.DUMMYFUNCTION("GOOGLETRANSLATE(A2466 , ""tr"" , ""en"")"),"@drfahrettinkoca Don't you fear God too")</f>
        <v>@drfahrettinkoca Don't you fear God too</v>
      </c>
    </row>
    <row r="5668" spans="1:5" ht="15" customHeight="1" x14ac:dyDescent="0.2">
      <c r="A5668" s="1" t="s">
        <v>11311</v>
      </c>
      <c r="B5668" s="1">
        <v>0</v>
      </c>
      <c r="C5668" s="3">
        <v>44540.946863425925</v>
      </c>
      <c r="D5668" s="1" t="s">
        <v>11312</v>
      </c>
      <c r="E5668" s="1" t="str">
        <f ca="1">IFERROR(__xludf.DUMMYFUNCTION("GOOGLETRANSLATE(A2467 , ""tr"" , ""en"")"),"@drfahrettinkoca What else did you do other than to be empty everyday?")</f>
        <v>@drfahrettinkoca What else did you do other than to be empty everyday?</v>
      </c>
    </row>
    <row r="5669" spans="1:5" ht="15" customHeight="1" x14ac:dyDescent="0.2">
      <c r="A5669" s="1" t="s">
        <v>11313</v>
      </c>
      <c r="B5669" s="1">
        <v>0</v>
      </c>
      <c r="C5669" s="3">
        <v>44540.946412037039</v>
      </c>
      <c r="D5669" s="1" t="s">
        <v>11314</v>
      </c>
      <c r="E5669" s="1" t="str">
        <f ca="1">IFERROR(__xludf.DUMMYFUNCTION("GOOGLETRANSLATE(A2468 , ""tr"" , ""en"")"),"@drfahrettinkoca People like to die ZANNAM")</f>
        <v>@drfahrettinkoca People like to die ZANNAM</v>
      </c>
    </row>
    <row r="5670" spans="1:5" ht="15" customHeight="1" x14ac:dyDescent="0.2">
      <c r="A5670" s="1" t="s">
        <v>11315</v>
      </c>
      <c r="B5670" s="1">
        <v>0</v>
      </c>
      <c r="C5670" s="3">
        <v>44540.945775462962</v>
      </c>
      <c r="D5670" s="1" t="s">
        <v>11316</v>
      </c>
      <c r="E5670" s="1" t="str">
        <f ca="1">IFERROR(__xludf.DUMMYFUNCTION("GOOGLETRANSLATE(A2469 , ""tr"" , ""en"")"),"@drfahrettinkoca sec Minister Leave This work is no longer the coordinator of the epidemic. Https://t.co/xh6x9nc7dt")</f>
        <v>@drfahrettinkoca sec Minister Leave This work is no longer the coordinator of the epidemic. Https://t.co/xh6x9nc7dt</v>
      </c>
    </row>
    <row r="5671" spans="1:5" ht="15" customHeight="1" x14ac:dyDescent="0.2">
      <c r="A5671" s="1" t="s">
        <v>11317</v>
      </c>
      <c r="B5671" s="1">
        <v>0</v>
      </c>
      <c r="C5671" s="3">
        <v>44540.9455787037</v>
      </c>
      <c r="D5671" s="1" t="s">
        <v>11318</v>
      </c>
      <c r="E5671" s="1" t="str">
        <f ca="1">IFERROR(__xludf.DUMMYFUNCTION("GOOGLETRANSLATE(A2470 , ""tr"" , ""en"")"),"@drfahrettinka Mr. Ministry of Ministry Notice from Turkish Vaccine?")</f>
        <v>@drfahrettinka Mr. Ministry of Ministry Notice from Turkish Vaccine?</v>
      </c>
    </row>
    <row r="5672" spans="1:5" ht="15" customHeight="1" x14ac:dyDescent="0.2">
      <c r="A5672" s="1" t="s">
        <v>11319</v>
      </c>
      <c r="B5672" s="1">
        <v>0</v>
      </c>
      <c r="C5672" s="3">
        <v>44540.945439814815</v>
      </c>
      <c r="D5672" s="1" t="s">
        <v>11320</v>
      </c>
      <c r="E5672" s="1" t="str">
        <f ca="1">IFERROR(__xludf.DUMMYFUNCTION("GOOGLETRANSLATE(A2471 , ""tr"" , ""en"")"),"@drfahrettinkoca relief number 176 So 176 fell in the house of the house as he truly says in the proverb, ""fire falls ... https://t.co/gmpoeph7dy")</f>
        <v>@drfahrettinkoca relief number 176 So 176 fell in the house of the house as he truly says in the proverb, "fire falls ... https://t.co/gmpoeph7dy</v>
      </c>
    </row>
    <row r="5673" spans="1:5" ht="15" customHeight="1" x14ac:dyDescent="0.2">
      <c r="A5673" s="1" t="s">
        <v>11321</v>
      </c>
      <c r="B5673" s="1">
        <v>0</v>
      </c>
      <c r="C5673" s="3">
        <v>44540.942685185182</v>
      </c>
      <c r="D5673" s="1" t="s">
        <v>11322</v>
      </c>
      <c r="E5673" s="1" t="str">
        <f ca="1">IFERROR(__xludf.DUMMYFUNCTION("GOOGLETRANSLATE(A2472 , ""tr"" , ""en"")"),"@drfahrettinkoca Doctor Bey See 👇👇 HTTPS://T.CO/Y4GZMVOGUI")</f>
        <v>@drfahrettinkoca Doctor Bey See 👇👇 HTTPS://T.CO/Y4GZMVOGUI</v>
      </c>
    </row>
    <row r="5674" spans="1:5" ht="15" customHeight="1" x14ac:dyDescent="0.2">
      <c r="A5674" s="1" t="s">
        <v>11323</v>
      </c>
      <c r="B5674" s="1">
        <v>0</v>
      </c>
      <c r="C5674" s="3">
        <v>44540.941493055558</v>
      </c>
      <c r="D5674" s="1" t="s">
        <v>11324</v>
      </c>
      <c r="E5674" s="1" t="str">
        <f ca="1">IFERROR(__xludf.DUMMYFUNCTION("GOOGLETRANSLATE(A2473 , ""tr"" , ""en"")"),"@drfahrettinka you say what you are still on yaaaa schools say social distance i'm laughing 😀😀👍😀")</f>
        <v>@drfahrettinka you say what you are still on yaaaa schools say social distance i'm laughing 😀😀👍😀</v>
      </c>
    </row>
    <row r="5675" spans="1:5" ht="15" customHeight="1" x14ac:dyDescent="0.2">
      <c r="A5675" s="1" t="s">
        <v>11325</v>
      </c>
      <c r="B5675" s="1">
        <v>1</v>
      </c>
      <c r="C5675" s="3">
        <v>44540.94121527778</v>
      </c>
      <c r="D5675" s="1" t="s">
        <v>11326</v>
      </c>
      <c r="E5675" s="1" t="str">
        <f ca="1">IFERROR(__xludf.DUMMYFUNCTION("GOOGLETRANSLATE(A2474 , ""tr"" , ""en"")"),"@drfahrettinka Mr. Minister @drfahrettinkca urgently urgently expel the opening of 5-11 years of age and 3rd doses to be taken forward!")</f>
        <v>@drfahrettinka Mr. Minister @drfahrettinkca urgently urgently expel the opening of 5-11 years of age and 3rd doses to be taken forward!</v>
      </c>
    </row>
    <row r="5676" spans="1:5" ht="15" customHeight="1" x14ac:dyDescent="0.2">
      <c r="A5676" s="1" t="s">
        <v>11327</v>
      </c>
      <c r="B5676" s="1">
        <v>8</v>
      </c>
      <c r="C5676" s="3">
        <v>44540.938738425924</v>
      </c>
      <c r="D5676" s="1" t="s">
        <v>11328</v>
      </c>
      <c r="E5676" s="1" t="str">
        <f ca="1">IFERROR(__xludf.DUMMYFUNCTION("GOOGLETRANSLATE(A2475 , ""tr"" , ""en"")"),"@drfahrettinkoca mask Even kids are infected by schools Covit without maskless short of mask Do you die for lunch? ... https://t.co/m4bxfbqnyx")</f>
        <v>@drfahrettinkoca mask Even kids are infected by schools Covit without maskless short of mask Do you die for lunch? ... https://t.co/m4bxfbqnyx</v>
      </c>
    </row>
    <row r="5677" spans="1:5" ht="15" customHeight="1" x14ac:dyDescent="0.2">
      <c r="A5677" s="1" t="s">
        <v>11329</v>
      </c>
      <c r="B5677" s="1">
        <v>8</v>
      </c>
      <c r="C5677" s="3">
        <v>44540.937604166669</v>
      </c>
      <c r="D5677" s="1" t="s">
        <v>11330</v>
      </c>
      <c r="E5677" s="1" t="str">
        <f ca="1">IFERROR(__xludf.DUMMYFUNCTION("GOOGLETRANSLATE(A2476 , ""tr"" , ""en"")"),"@drfahrettinkoca mask do you get up Mr. Fahrettin Bey Mahmut Bey Don't want to leave @OloniNlulu_ from Corona bitty ... htts://t.co/jahbdcmlnx")</f>
        <v>@drfahrettinkoca mask do you get up Mr. Fahrettin Bey Mahmut Bey Don't want to leave @OloniNlulu_ from Corona bitty ... htts://t.co/jahbdcmlnx</v>
      </c>
    </row>
    <row r="5678" spans="1:5" ht="15" customHeight="1" x14ac:dyDescent="0.2">
      <c r="A5678" s="1" t="s">
        <v>11331</v>
      </c>
      <c r="B5678" s="1">
        <v>0</v>
      </c>
      <c r="C5678" s="3">
        <v>44540.931041666663</v>
      </c>
      <c r="D5678" s="1" t="s">
        <v>11332</v>
      </c>
      <c r="E5678" s="1" t="str">
        <f ca="1">IFERROR(__xludf.DUMMYFUNCTION("GOOGLETRANSLATE(A2477 , ""tr"" , ""en"")"),"@drfahrettinkoca Sayin Dr. Husband, Daddy In Istanbul Tehir Hospital Week for Surgery Week, Sorcous ... https://t.co/ixfzw9kpus")</f>
        <v>@drfahrettinkoca Sayin Dr. Husband, Daddy In Istanbul Tehir Hospital Week for Surgery Week, Sorcous ... https://t.co/ixfzw9kpus</v>
      </c>
    </row>
    <row r="5679" spans="1:5" ht="15" customHeight="1" x14ac:dyDescent="0.2">
      <c r="A5679" s="1" t="s">
        <v>11333</v>
      </c>
      <c r="B5679" s="1">
        <v>1</v>
      </c>
      <c r="C5679" s="3">
        <v>44540.930763888886</v>
      </c>
      <c r="D5679" s="1" t="s">
        <v>11334</v>
      </c>
      <c r="E5679" s="1" t="str">
        <f ca="1">IFERROR(__xludf.DUMMYFUNCTION("GOOGLETRANSLATE(A2478 , ""tr"" , ""en"")"),"@drfahrettinka look! This flower returns to the smell of games such as painting to the children of the graphics! Don't be ... https://t.co/0ozprs3wxx")</f>
        <v>@drfahrettinka look! This flower returns to the smell of games such as painting to the children of the graphics! Don't be ... https://t.co/0ozprs3wxx</v>
      </c>
    </row>
    <row r="5680" spans="1:5" ht="15" customHeight="1" x14ac:dyDescent="0.2">
      <c r="A5680" s="1" t="s">
        <v>11335</v>
      </c>
      <c r="B5680" s="1">
        <v>2</v>
      </c>
      <c r="C5680" s="3">
        <v>44540.930231481485</v>
      </c>
      <c r="D5680" s="1" t="s">
        <v>11336</v>
      </c>
      <c r="E5680" s="1" t="str">
        <f ca="1">IFERROR(__xludf.DUMMYFUNCTION("GOOGLETRANSLATE(A2479 , ""tr"" , ""en"")"),"@drfahrettinkoca 🤦🏻♀🤦🤦🤦🤦🤦🤦🤦🤦🤦zzs is a day, feeling that ""u 'is returning.")</f>
        <v>@drfahrettinkoca 🤦🏻♀🤦🤦🤦🤦🤦🤦🤦🤦🤦zzs is a day, feeling that "u 'is returning.</v>
      </c>
    </row>
    <row r="5681" spans="1:5" ht="15" customHeight="1" x14ac:dyDescent="0.2">
      <c r="A5681" s="1" t="s">
        <v>11337</v>
      </c>
      <c r="B5681" s="1">
        <v>0</v>
      </c>
      <c r="C5681" s="3">
        <v>44540.929513888892</v>
      </c>
      <c r="D5681" s="1" t="s">
        <v>11338</v>
      </c>
      <c r="E5681" s="1" t="str">
        <f ca="1">IFERROR(__xludf.DUMMYFUNCTION("GOOGLETRANSLATE(A2480 , ""tr"" , ""en"")"),"@drfahrettinkoca is the teenagers who treats a cautious!. Non-Closing Class has not remained close inquins")</f>
        <v>@drfahrettinkoca is the teenagers who treats a cautious!. Non-Closing Class has not remained close inquins</v>
      </c>
    </row>
    <row r="5682" spans="1:5" ht="15" customHeight="1" x14ac:dyDescent="0.2">
      <c r="A5682" s="1" t="s">
        <v>11339</v>
      </c>
      <c r="B5682" s="1">
        <v>0</v>
      </c>
      <c r="C5682" s="3">
        <v>44540.928263888891</v>
      </c>
      <c r="D5682" s="1" t="s">
        <v>11340</v>
      </c>
      <c r="E5682" s="1" t="str">
        <f ca="1">IFERROR(__xludf.DUMMYFUNCTION("GOOGLETRANSLATE(A2481 , ""tr"" , ""en"")"),"@drfahrettinkoca AA What coincidence Bill is the same in the Bey. Even saying 2022 will be the new normal. HANI YOU B ... https://t.co/v2fcajsr8a")</f>
        <v>@drfahrettinkoca AA What coincidence Bill is the same in the Bey. Even saying 2022 will be the new normal. HANI YOU B ... https://t.co/v2fcajsr8a</v>
      </c>
    </row>
    <row r="5683" spans="1:5" ht="15" customHeight="1" x14ac:dyDescent="0.2">
      <c r="A5683" s="1" t="s">
        <v>11341</v>
      </c>
      <c r="B5683" s="1">
        <v>0</v>
      </c>
      <c r="C5683" s="3">
        <v>44540.924166666664</v>
      </c>
      <c r="D5683" s="1" t="s">
        <v>11342</v>
      </c>
      <c r="E5683" s="1" t="str">
        <f ca="1">IFERROR(__xludf.DUMMYFUNCTION("GOOGLETRANSLATE(A2482 , ""tr"" , ""en"")"),"Explore @drfahrettinkoca Assignment Date @drfahrettinkoca")</f>
        <v>Explore @drfahrettinkoca Assignment Date @drfahrettinkoca</v>
      </c>
    </row>
    <row r="5684" spans="1:5" ht="15" customHeight="1" x14ac:dyDescent="0.2">
      <c r="A5684" s="1" t="s">
        <v>11341</v>
      </c>
      <c r="B5684" s="1">
        <v>0</v>
      </c>
      <c r="C5684" s="3">
        <v>44540.923738425925</v>
      </c>
      <c r="D5684" s="1" t="s">
        <v>11343</v>
      </c>
      <c r="E5684" s="1" t="str">
        <f ca="1">IFERROR(__xludf.DUMMYFUNCTION("GOOGLETRANSLATE(A2483 , ""tr"" , ""en"")"),"Explore @drfahrettinkoca Assignment Date @drfahrettinkoca")</f>
        <v>Explore @drfahrettinkoca Assignment Date @drfahrettinkoca</v>
      </c>
    </row>
    <row r="5685" spans="1:5" ht="15" customHeight="1" x14ac:dyDescent="0.2">
      <c r="A5685" s="1" t="s">
        <v>11341</v>
      </c>
      <c r="B5685" s="1">
        <v>1</v>
      </c>
      <c r="C5685" s="3">
        <v>44540.923425925925</v>
      </c>
      <c r="D5685" s="1" t="s">
        <v>11344</v>
      </c>
      <c r="E5685" s="1" t="str">
        <f ca="1">IFERROR(__xludf.DUMMYFUNCTION("GOOGLETRANSLATE(A2484 , ""tr"" , ""en"")"),"Explore @drfahrettinkoca Assignment Date @drfahrettinkoca")</f>
        <v>Explore @drfahrettinkoca Assignment Date @drfahrettinkoca</v>
      </c>
    </row>
    <row r="5686" spans="1:5" ht="15" customHeight="1" x14ac:dyDescent="0.2">
      <c r="A5686" s="1" t="s">
        <v>11345</v>
      </c>
      <c r="B5686" s="1">
        <v>0</v>
      </c>
      <c r="C5686" s="3">
        <v>44540.923101851855</v>
      </c>
      <c r="D5686" s="1" t="s">
        <v>11346</v>
      </c>
      <c r="E5686" s="1" t="str">
        <f ca="1">IFERROR(__xludf.DUMMYFUNCTION("GOOGLETRANSLATE(A2485 , ""tr"" , ""en"")"),"@drfahrettinkoca post assignment guide @drfahrettinkoca")</f>
        <v>@drfahrettinkoca post assignment guide @drfahrettinkoca</v>
      </c>
    </row>
    <row r="5687" spans="1:5" ht="15" customHeight="1" x14ac:dyDescent="0.2">
      <c r="A5687" s="1" t="s">
        <v>11345</v>
      </c>
      <c r="B5687" s="1">
        <v>0</v>
      </c>
      <c r="C5687" s="3">
        <v>44540.922824074078</v>
      </c>
      <c r="D5687" s="1" t="s">
        <v>11347</v>
      </c>
      <c r="E5687" s="1" t="str">
        <f ca="1">IFERROR(__xludf.DUMMYFUNCTION("GOOGLETRANSLATE(A2486 , ""tr"" , ""en"")"),"@drfahrettinkoca post assignment guide @drfahrettinkoca")</f>
        <v>@drfahrettinkoca post assignment guide @drfahrettinkoca</v>
      </c>
    </row>
    <row r="5688" spans="1:5" ht="15" customHeight="1" x14ac:dyDescent="0.2">
      <c r="A5688" s="1" t="s">
        <v>11345</v>
      </c>
      <c r="B5688" s="1">
        <v>0</v>
      </c>
      <c r="C5688" s="3">
        <v>44540.922534722224</v>
      </c>
      <c r="D5688" s="1" t="s">
        <v>11348</v>
      </c>
      <c r="E5688" s="1" t="str">
        <f ca="1">IFERROR(__xludf.DUMMYFUNCTION("GOOGLETRANSLATE(A2487 , ""tr"" , ""en"")"),"@drfahrettinkoca post assignment guide @drfahrettinkoca")</f>
        <v>@drfahrettinkoca post assignment guide @drfahrettinkoca</v>
      </c>
    </row>
    <row r="5689" spans="1:5" ht="15" customHeight="1" x14ac:dyDescent="0.2">
      <c r="A5689" s="1" t="s">
        <v>11341</v>
      </c>
      <c r="B5689" s="1">
        <v>0</v>
      </c>
      <c r="C5689" s="3">
        <v>44540.922222222223</v>
      </c>
      <c r="D5689" s="1" t="s">
        <v>11349</v>
      </c>
      <c r="E5689" s="1" t="str">
        <f ca="1">IFERROR(__xludf.DUMMYFUNCTION("GOOGLETRANSLATE(A2488 , ""tr"" , ""en"")"),"Explore @drfahrettinkoca Assignment Date @drfahrettinkoca")</f>
        <v>Explore @drfahrettinkoca Assignment Date @drfahrettinkoca</v>
      </c>
    </row>
    <row r="5690" spans="1:5" ht="15" customHeight="1" x14ac:dyDescent="0.2">
      <c r="A5690" s="1" t="s">
        <v>11341</v>
      </c>
      <c r="B5690" s="1">
        <v>0</v>
      </c>
      <c r="C5690" s="3">
        <v>44540.9219212963</v>
      </c>
      <c r="D5690" s="1" t="s">
        <v>11350</v>
      </c>
      <c r="E5690" s="1" t="str">
        <f ca="1">IFERROR(__xludf.DUMMYFUNCTION("GOOGLETRANSLATE(A2489 , ""tr"" , ""en"")"),"Explore @drfahrettinkoca Assignment Date @drfahrettinkoca")</f>
        <v>Explore @drfahrettinkoca Assignment Date @drfahrettinkoca</v>
      </c>
    </row>
    <row r="5691" spans="1:5" ht="15" customHeight="1" x14ac:dyDescent="0.2">
      <c r="A5691" s="1" t="s">
        <v>11351</v>
      </c>
      <c r="B5691" s="1">
        <v>0</v>
      </c>
      <c r="C5691" s="3">
        <v>44540.921585648146</v>
      </c>
      <c r="D5691" s="1" t="s">
        <v>11352</v>
      </c>
      <c r="E5691" s="1" t="str">
        <f ca="1">IFERROR(__xludf.DUMMYFUNCTION("GOOGLETRANSLATE(A2490 , ""tr"" , ""en"")"),"Explain the Date of Assignment Assignment @drfahrettinkoca Health @drfahrettinkoca")</f>
        <v>Explain the Date of Assignment Assignment @drfahrettinkoca Health @drfahrettinkoca</v>
      </c>
    </row>
    <row r="5692" spans="1:5" ht="15" customHeight="1" x14ac:dyDescent="0.2">
      <c r="A5692" s="1" t="s">
        <v>11353</v>
      </c>
      <c r="B5692" s="1">
        <v>0</v>
      </c>
      <c r="C5692" s="3">
        <v>44540.921388888892</v>
      </c>
      <c r="D5692" s="1" t="s">
        <v>11354</v>
      </c>
      <c r="E5692" s="1" t="str">
        <f ca="1">IFERROR(__xludf.DUMMYFUNCTION("GOOGLETRANSLATE(A2491 , ""tr"" , ""en"")"),"@drfahrettinkoca Mr. Ministry Assignment Staying the stove You will graduate in graduate we will have many people we want to keep up with appointments")</f>
        <v>@drfahrettinkoca Mr. Ministry Assignment Staying the stove You will graduate in graduate we will have many people we want to keep up with appointments</v>
      </c>
    </row>
    <row r="5693" spans="1:5" ht="15" customHeight="1" x14ac:dyDescent="0.2">
      <c r="A5693" s="1" t="s">
        <v>11353</v>
      </c>
      <c r="B5693" s="1">
        <v>0</v>
      </c>
      <c r="C5693" s="3">
        <v>44540.921377314815</v>
      </c>
      <c r="D5693" s="1" t="s">
        <v>11355</v>
      </c>
      <c r="E5693" s="1" t="str">
        <f ca="1">IFERROR(__xludf.DUMMYFUNCTION("GOOGLETRANSLATE(A2492 , ""tr"" , ""en"")"),"@drfahrettinkoca Mr. Ministry Assignment Staying the stove You will graduate in graduate we will have many people we want to keep up with appointments")</f>
        <v>@drfahrettinkoca Mr. Ministry Assignment Staying the stove You will graduate in graduate we will have many people we want to keep up with appointments</v>
      </c>
    </row>
    <row r="5694" spans="1:5" ht="15" customHeight="1" x14ac:dyDescent="0.2">
      <c r="A5694" s="1" t="s">
        <v>11353</v>
      </c>
      <c r="B5694" s="1">
        <v>0</v>
      </c>
      <c r="C5694" s="3">
        <v>44540.921377314815</v>
      </c>
      <c r="D5694" s="1" t="s">
        <v>11356</v>
      </c>
      <c r="E5694" s="1" t="str">
        <f ca="1">IFERROR(__xludf.DUMMYFUNCTION("GOOGLETRANSLATE(A2493 , ""tr"" , ""en"")"),"@drfahrettinkoca Mr. Ministry Assignment Staying the stove You will graduate in graduate we will have many people we want to keep up with appointments")</f>
        <v>@drfahrettinkoca Mr. Ministry Assignment Staying the stove You will graduate in graduate we will have many people we want to keep up with appointments</v>
      </c>
    </row>
    <row r="5695" spans="1:5" ht="15" customHeight="1" x14ac:dyDescent="0.2">
      <c r="A5695" s="1" t="s">
        <v>11353</v>
      </c>
      <c r="B5695" s="1">
        <v>0</v>
      </c>
      <c r="C5695" s="3">
        <v>44540.921377314815</v>
      </c>
      <c r="D5695" s="1" t="s">
        <v>11357</v>
      </c>
      <c r="E5695" s="1" t="str">
        <f ca="1">IFERROR(__xludf.DUMMYFUNCTION("GOOGLETRANSLATE(A2494 , ""tr"" , ""en"")"),"@drfahrettinkoca Mr. Ministry Assignment Staying the stove You will graduate in graduate we will have many people we want to keep up with appointments")</f>
        <v>@drfahrettinkoca Mr. Ministry Assignment Staying the stove You will graduate in graduate we will have many people we want to keep up with appointments</v>
      </c>
    </row>
    <row r="5696" spans="1:5" ht="15" customHeight="1" x14ac:dyDescent="0.2">
      <c r="A5696" s="1" t="s">
        <v>11353</v>
      </c>
      <c r="B5696" s="1">
        <v>0</v>
      </c>
      <c r="C5696" s="3">
        <v>44540.921365740738</v>
      </c>
      <c r="D5696" s="1" t="s">
        <v>11358</v>
      </c>
      <c r="E5696" s="1" t="str">
        <f ca="1">IFERROR(__xludf.DUMMYFUNCTION("GOOGLETRANSLATE(A2495 , ""tr"" , ""en"")"),"@drfahrettinkoca Mr. Ministry Assignment Staying the stove You will graduate in graduate we will have many people we want to keep up with appointments")</f>
        <v>@drfahrettinkoca Mr. Ministry Assignment Staying the stove You will graduate in graduate we will have many people we want to keep up with appointments</v>
      </c>
    </row>
    <row r="5697" spans="1:5" ht="15" customHeight="1" x14ac:dyDescent="0.2">
      <c r="A5697" s="1" t="s">
        <v>11353</v>
      </c>
      <c r="B5697" s="1">
        <v>0</v>
      </c>
      <c r="C5697" s="3">
        <v>44540.921365740738</v>
      </c>
      <c r="D5697" s="1" t="s">
        <v>11359</v>
      </c>
      <c r="E5697" s="1" t="str">
        <f ca="1">IFERROR(__xludf.DUMMYFUNCTION("GOOGLETRANSLATE(A2496 , ""tr"" , ""en"")"),"@drfahrettinkoca Mr. Ministry Assignment Staying the stove You will graduate in graduate we will have many people we want to keep up with appointments")</f>
        <v>@drfahrettinkoca Mr. Ministry Assignment Staying the stove You will graduate in graduate we will have many people we want to keep up with appointments</v>
      </c>
    </row>
    <row r="5698" spans="1:5" ht="15" customHeight="1" x14ac:dyDescent="0.2">
      <c r="A5698" s="1" t="s">
        <v>11353</v>
      </c>
      <c r="B5698" s="1">
        <v>0</v>
      </c>
      <c r="C5698" s="3">
        <v>44540.921354166669</v>
      </c>
      <c r="D5698" s="1" t="s">
        <v>11360</v>
      </c>
      <c r="E5698" s="1" t="str">
        <f ca="1">IFERROR(__xludf.DUMMYFUNCTION("GOOGLETRANSLATE(A2497 , ""tr"" , ""en"")"),"@drfahrettinkoca Mr. Ministry Assignment Staying the stove You will graduate in graduate we will have many people we want to keep up with appointments")</f>
        <v>@drfahrettinkoca Mr. Ministry Assignment Staying the stove You will graduate in graduate we will have many people we want to keep up with appointments</v>
      </c>
    </row>
    <row r="5699" spans="1:5" ht="15" customHeight="1" x14ac:dyDescent="0.2">
      <c r="A5699" s="1" t="s">
        <v>11353</v>
      </c>
      <c r="B5699" s="1">
        <v>0</v>
      </c>
      <c r="C5699" s="3">
        <v>44540.921354166669</v>
      </c>
      <c r="D5699" s="1" t="s">
        <v>11361</v>
      </c>
      <c r="E5699" s="1" t="str">
        <f ca="1">IFERROR(__xludf.DUMMYFUNCTION("GOOGLETRANSLATE(A2498 , ""tr"" , ""en"")"),"@drfahrettinkoca Mr. Ministry Assignment Staying the stove You will graduate in graduate we will have many people we want to keep up with appointments")</f>
        <v>@drfahrettinkoca Mr. Ministry Assignment Staying the stove You will graduate in graduate we will have many people we want to keep up with appointments</v>
      </c>
    </row>
    <row r="5700" spans="1:5" ht="15" customHeight="1" x14ac:dyDescent="0.2">
      <c r="A5700" s="1" t="s">
        <v>11353</v>
      </c>
      <c r="B5700" s="1">
        <v>0</v>
      </c>
      <c r="C5700" s="3">
        <v>44540.921354166669</v>
      </c>
      <c r="D5700" s="1" t="s">
        <v>11362</v>
      </c>
      <c r="E5700" s="1" t="str">
        <f ca="1">IFERROR(__xludf.DUMMYFUNCTION("GOOGLETRANSLATE(A2499 , ""tr"" , ""en"")"),"@drfahrettinkoca Mr. Ministry Assignment Staying the stove You will graduate in graduate we will have many people we want to keep up with appointments")</f>
        <v>@drfahrettinkoca Mr. Ministry Assignment Staying the stove You will graduate in graduate we will have many people we want to keep up with appointments</v>
      </c>
    </row>
    <row r="5701" spans="1:5" ht="15" customHeight="1" x14ac:dyDescent="0.2">
      <c r="A5701" s="1" t="s">
        <v>11363</v>
      </c>
      <c r="B5701" s="1">
        <v>0</v>
      </c>
      <c r="C5701" s="3">
        <v>44540.921342592592</v>
      </c>
      <c r="D5701" s="1" t="s">
        <v>11364</v>
      </c>
      <c r="E5701" s="1" t="str">
        <f ca="1">IFERROR(__xludf.DUMMYFUNCTION("GOOGLETRANSLATE(A2500 , ""tr"" , ""en"")"),"@drfahrettinkoca assignment historyJonly explain tomorrow budget negotiations Mr. Minister Healthiers are waiting for the gospel")</f>
        <v>@drfahrettinkoca assignment historyJonly explain tomorrow budget negotiations Mr. Minister Healthiers are waiting for the gospel</v>
      </c>
    </row>
    <row r="5702" spans="1:5" ht="15" customHeight="1" x14ac:dyDescent="0.2">
      <c r="A5702" s="1" t="s">
        <v>11353</v>
      </c>
      <c r="B5702" s="1">
        <v>0</v>
      </c>
      <c r="C5702" s="3">
        <v>44540.921342592592</v>
      </c>
      <c r="D5702" s="1" t="s">
        <v>11365</v>
      </c>
      <c r="E5702" s="1" t="str">
        <f ca="1">IFERROR(__xludf.DUMMYFUNCTION("GOOGLETRANSLATE(A2501 , ""tr"" , ""en"")"),"@drfahrettinkoca Mr. Ministry Assignment Staying the stove You will graduate in graduate we will have many people we want to keep up with appointments")</f>
        <v>@drfahrettinkoca Mr. Ministry Assignment Staying the stove You will graduate in graduate we will have many people we want to keep up with appointments</v>
      </c>
    </row>
    <row r="5703" spans="1:5" ht="15" customHeight="1" x14ac:dyDescent="0.2">
      <c r="A5703" s="1" t="s">
        <v>11366</v>
      </c>
      <c r="B5703" s="1">
        <v>0</v>
      </c>
      <c r="C5703" s="3">
        <v>44540.920995370368</v>
      </c>
      <c r="D5703" s="1" t="s">
        <v>11367</v>
      </c>
      <c r="E5703" s="1" t="str">
        <f ca="1">IFERROR(__xludf.DUMMYFUNCTION("GOOGLETRANSLATE(A2502 , ""tr"" , ""en"")"),"@drfahrettinkoca Hoca Drop Koviti, tell me about the nation glazing zam-ovite, will we be able to meet the vaccination?")</f>
        <v>@drfahrettinkoca Hoca Drop Koviti, tell me about the nation glazing zam-ovite, will we be able to meet the vaccination?</v>
      </c>
    </row>
    <row r="5704" spans="1:5" ht="15" customHeight="1" x14ac:dyDescent="0.2">
      <c r="A5704" s="1" t="s">
        <v>11368</v>
      </c>
      <c r="B5704" s="1">
        <v>0</v>
      </c>
      <c r="C5704" s="3">
        <v>44540.918495370373</v>
      </c>
      <c r="D5704" s="1" t="s">
        <v>11369</v>
      </c>
      <c r="E5704" s="1" t="str">
        <f ca="1">IFERROR(__xludf.DUMMYFUNCTION("GOOGLETRANSLATE(A2503 , ""tr"" , ""en"")"),"@drfahrettinkoca if you don't have Covid 22 mi output market? Covid 19 has reduced the effect but what is the hikmet ""variants"" at work.")</f>
        <v>@drfahrettinkoca if you don't have Covid 22 mi output market? Covid 19 has reduced the effect but what is the hikmet "variants" at work.</v>
      </c>
    </row>
    <row r="5705" spans="1:5" ht="15" customHeight="1" x14ac:dyDescent="0.2">
      <c r="A5705" s="1" t="s">
        <v>11370</v>
      </c>
      <c r="B5705" s="1">
        <v>0</v>
      </c>
      <c r="C5705" s="3">
        <v>44540.915775462963</v>
      </c>
      <c r="D5705" s="1" t="s">
        <v>11371</v>
      </c>
      <c r="E5705" s="1" t="str">
        <f ca="1">IFERROR(__xludf.DUMMYFUNCTION("GOOGLETRANSLATE(A2504 , ""tr"" , ""en"")"),"@drfahrettinkoca When the snow starts to fall, the cases find 40 k. No one's confidence is on these figures")</f>
        <v>@drfahrettinkoca When the snow starts to fall, the cases find 40 k. No one's confidence is on these figures</v>
      </c>
    </row>
    <row r="5706" spans="1:5" ht="15" customHeight="1" x14ac:dyDescent="0.2">
      <c r="A5706" s="1" t="s">
        <v>11372</v>
      </c>
      <c r="B5706" s="1">
        <v>0</v>
      </c>
      <c r="C5706" s="3">
        <v>44540.915405092594</v>
      </c>
      <c r="D5706" s="1" t="s">
        <v>11373</v>
      </c>
      <c r="E5706" s="1" t="str">
        <f ca="1">IFERROR(__xludf.DUMMYFUNCTION("GOOGLETRANSLATE(A2505 , ""tr"" , ""en"")"),"@drfahrettinkoca What do you have in a $ I? How many people died from A $ I? Nation What is the true reason for your A $ I am? Https://t.co/jq7lqxp9yh")</f>
        <v>@drfahrettinkoca What do you have in a $ I? How many people died from A $ I? Nation What is the true reason for your A $ I am? Https://t.co/jq7lqxp9yh</v>
      </c>
    </row>
    <row r="5707" spans="1:5" ht="15" customHeight="1" x14ac:dyDescent="0.2">
      <c r="A5707" s="1" t="s">
        <v>11374</v>
      </c>
      <c r="B5707" s="1">
        <v>0</v>
      </c>
      <c r="C5707" s="3">
        <v>44540.914004629631</v>
      </c>
      <c r="D5707" s="1" t="s">
        <v>11375</v>
      </c>
      <c r="E5707" s="1" t="str">
        <f ca="1">IFERROR(__xludf.DUMMYFUNCTION("GOOGLETRANSLATE(A2506 , ""tr"" , ""en"")"),"@drfahrettinkoca This is the country IQ map. Also, if not to be the vaccination corona, if you are not to be slightly built ... https://t.co/c3j5cdz8jc")</f>
        <v>@drfahrettinkoca This is the country IQ map. Also, if not to be the vaccination corona, if you are not to be slightly built ... https://t.co/c3j5cdz8jc</v>
      </c>
    </row>
    <row r="5708" spans="1:5" ht="15" customHeight="1" x14ac:dyDescent="0.2">
      <c r="A5708" s="1" t="s">
        <v>11376</v>
      </c>
      <c r="B5708" s="1">
        <v>0</v>
      </c>
      <c r="C5708" s="3">
        <v>44540.912754629629</v>
      </c>
      <c r="D5708" s="1" t="s">
        <v>11377</v>
      </c>
      <c r="E5708" s="1" t="str">
        <f ca="1">IFERROR(__xludf.DUMMYFUNCTION("GOOGLETRANSLATE(A2507 , ""tr"" , ""en"")"),"@drfahrettinkoca How is the fact that cases are increasing when there is no measure, how is we reduced? What is the miracle to debt ... https://t.co/h5zytb9e80")</f>
        <v>@drfahrettinkoca How is the fact that cases are increasing when there is no measure, how is we reduced? What is the miracle to debt ... https://t.co/h5zytb9e80</v>
      </c>
    </row>
    <row r="5709" spans="1:5" ht="15" customHeight="1" x14ac:dyDescent="0.2">
      <c r="A5709" s="1" t="s">
        <v>11378</v>
      </c>
      <c r="B5709" s="1">
        <v>0</v>
      </c>
      <c r="C5709" s="3">
        <v>44540.912407407406</v>
      </c>
      <c r="D5709" s="1" t="s">
        <v>11379</v>
      </c>
      <c r="E5709" s="1" t="str">
        <f ca="1">IFERROR(__xludf.DUMMYFUNCTION("GOOGLETRANSLATE(A2508 , ""tr"" , ""en"")"),"@drfahrettinkoca Exhausted Ministry of Department I expect you from you !!!")</f>
        <v>@drfahrettinkoca Exhausted Ministry of Department I expect you from you !!!</v>
      </c>
    </row>
    <row r="5710" spans="1:5" ht="15" customHeight="1" x14ac:dyDescent="0.2">
      <c r="A5710" s="1" t="s">
        <v>11380</v>
      </c>
      <c r="B5710" s="1">
        <v>0</v>
      </c>
      <c r="C5710" s="3">
        <v>44540.91097222222</v>
      </c>
      <c r="D5710" s="1" t="s">
        <v>11381</v>
      </c>
      <c r="E5710" s="1" t="str">
        <f ca="1">IFERROR(__xludf.DUMMYFUNCTION("GOOGLETRANSLATE(A2509 , ""tr"" , ""en"")"),"@drfahrettinkoca guidance waiting for assignment we are waiting for the minister now")</f>
        <v>@drfahrettinkoca guidance waiting for assignment we are waiting for the minister now</v>
      </c>
    </row>
    <row r="5711" spans="1:5" ht="15" customHeight="1" x14ac:dyDescent="0.2">
      <c r="A5711" s="1" t="s">
        <v>11382</v>
      </c>
      <c r="B5711" s="1">
        <v>0</v>
      </c>
      <c r="C5711" s="3">
        <v>44540.91065972222</v>
      </c>
      <c r="D5711" s="1" t="s">
        <v>11383</v>
      </c>
      <c r="E5711" s="1" t="str">
        <f ca="1">IFERROR(__xludf.DUMMYFUNCTION("GOOGLETRANSLATE(A2510 , ""tr"" , ""en"")"),"@drfahrettinkoca Net History looking forward to the minister is enough")</f>
        <v>@drfahrettinkoca Net History looking forward to the minister is enough</v>
      </c>
    </row>
    <row r="5712" spans="1:5" ht="15" customHeight="1" x14ac:dyDescent="0.2">
      <c r="A5712" s="1" t="s">
        <v>11384</v>
      </c>
      <c r="B5712" s="1">
        <v>0</v>
      </c>
      <c r="C5712" s="3">
        <v>44540.909953703704</v>
      </c>
      <c r="D5712" s="1" t="s">
        <v>11385</v>
      </c>
      <c r="E5712" s="1" t="str">
        <f ca="1">IFERROR(__xludf.DUMMYFUNCTION("GOOGLETRANSLATE(A2511 , ""tr"" , ""en"")"),"@drfahrettinkoca came here from China from China to here 1 week but not everyone for 1.6 years everyone is sick so Wow Beee How Virus Beee")</f>
        <v>@drfahrettinkoca came here from China from China to here 1 week but not everyone for 1.6 years everyone is sick so Wow Beee How Virus Beee</v>
      </c>
    </row>
    <row r="5713" spans="1:5" ht="15" customHeight="1" x14ac:dyDescent="0.2">
      <c r="A5713" s="1" t="s">
        <v>11386</v>
      </c>
      <c r="B5713" s="1">
        <v>0</v>
      </c>
      <c r="C5713" s="3">
        <v>44540.909502314818</v>
      </c>
      <c r="D5713" s="1" t="s">
        <v>11387</v>
      </c>
      <c r="E5713" s="1" t="str">
        <f ca="1">IFERROR(__xludf.DUMMYFUNCTION("GOOGLETRANSLATE(A2512 , ""tr"" , ""en"")"),"@drfahrettinkoca How many vaccines are completed if the missing will not be missing out of interest?")</f>
        <v>@drfahrettinkoca How many vaccines are completed if the missing will not be missing out of interest?</v>
      </c>
    </row>
    <row r="5714" spans="1:5" ht="15" customHeight="1" x14ac:dyDescent="0.2">
      <c r="A5714" s="1" t="s">
        <v>11388</v>
      </c>
      <c r="B5714" s="1">
        <v>3</v>
      </c>
      <c r="C5714" s="3">
        <v>44540.908680555556</v>
      </c>
      <c r="D5714" s="1" t="s">
        <v>11389</v>
      </c>
      <c r="E5714" s="1" t="str">
        <f ca="1">IFERROR(__xludf.DUMMYFUNCTION("GOOGLETRANSLATE(A2513 , ""tr"" , ""en"")"),"@drfahrettinkoca Ministry I don't have a doctor. I don't understand who are they trusting")</f>
        <v>@drfahrettinkoca Ministry I don't have a doctor. I don't understand who are they trusting</v>
      </c>
    </row>
    <row r="5715" spans="1:5" ht="15" customHeight="1" x14ac:dyDescent="0.2">
      <c r="A5715" s="1" t="s">
        <v>11390</v>
      </c>
      <c r="B5715" s="1">
        <v>0</v>
      </c>
      <c r="C5715" s="3">
        <v>44540.907951388886</v>
      </c>
      <c r="D5715" s="1" t="s">
        <v>11391</v>
      </c>
      <c r="E5715" s="1" t="str">
        <f ca="1">IFERROR(__xludf.DUMMYFUNCTION("GOOGLETRANSLATE(A2514 , ""tr"" , ""en"")"),"@drfahrettinka https://t.co/672ifypcs5")</f>
        <v>@drfahrettinka https://t.co/672ifypcs5</v>
      </c>
    </row>
    <row r="5716" spans="1:5" ht="15" customHeight="1" x14ac:dyDescent="0.2">
      <c r="A5716" s="1" t="s">
        <v>11392</v>
      </c>
      <c r="B5716" s="1">
        <v>0</v>
      </c>
      <c r="C5716" s="3">
        <v>44540.905775462961</v>
      </c>
      <c r="D5716" s="1" t="s">
        <v>11393</v>
      </c>
      <c r="E5716" s="1" t="str">
        <f ca="1">IFERROR(__xludf.DUMMYFUNCTION("GOOGLETRANSLATE(A2515 , ""tr"" , ""en"")"),"@drfahrettinkoca 3 dose Sinovac protects the vaccine right is not recognized? Allah helps I hope")</f>
        <v>@drfahrettinkoca 3 dose Sinovac protects the vaccine right is not recognized? Allah helps I hope</v>
      </c>
    </row>
    <row r="5717" spans="1:5" ht="15" customHeight="1" x14ac:dyDescent="0.2">
      <c r="A5717" s="1" t="s">
        <v>11394</v>
      </c>
      <c r="B5717" s="1">
        <v>0</v>
      </c>
      <c r="C5717" s="3">
        <v>44540.903067129628</v>
      </c>
      <c r="D5717" s="1" t="s">
        <v>11395</v>
      </c>
      <c r="E5717" s="1" t="str">
        <f ca="1">IFERROR(__xludf.DUMMYFUNCTION("GOOGLETRANSLATE(A2516 , ""tr"" , ""en"")"),"@drfahrettinkoca 40 Thousand Assignment Guide You said No November While thousands of healthcareists and family Hergun wait ... https://t.co/o2yocolxrn")</f>
        <v>@drfahrettinkoca 40 Thousand Assignment Guide You said No November While thousands of healthcareists and family Hergun wait ... https://t.co/o2yocolxrn</v>
      </c>
    </row>
    <row r="5718" spans="1:5" ht="15" customHeight="1" x14ac:dyDescent="0.2">
      <c r="A5718" s="1" t="s">
        <v>11396</v>
      </c>
      <c r="B5718" s="1">
        <v>1</v>
      </c>
      <c r="C5718" s="3">
        <v>44540.902141203704</v>
      </c>
      <c r="D5718" s="1" t="s">
        <v>11397</v>
      </c>
      <c r="E5718" s="1" t="str">
        <f ca="1">IFERROR(__xludf.DUMMYFUNCTION("GOOGLETRANSLATE(A2517 , ""tr"" , ""en"")"),"@drfahrettinkoca Dear Respect Value Darling Ministry @drfahrettinkoca .. Bursa The latest, Figures 30000s are synonymous ... https://t.co/spxcjpchs9")</f>
        <v>@drfahrettinkoca Dear Respect Value Darling Ministry @drfahrettinkoca .. Bursa The latest, Figures 30000s are synonymous ... https://t.co/spxcjpchs9</v>
      </c>
    </row>
    <row r="5719" spans="1:5" ht="15" customHeight="1" x14ac:dyDescent="0.2">
      <c r="A5719" s="1" t="s">
        <v>11398</v>
      </c>
      <c r="B5719" s="1">
        <v>0</v>
      </c>
      <c r="C5719" s="3">
        <v>44540.90048611111</v>
      </c>
      <c r="D5719" s="1" t="s">
        <v>11399</v>
      </c>
      <c r="E5719" s="1" t="str">
        <f ca="1">IFERROR(__xludf.DUMMYFUNCTION("GOOGLETRANSLATE(A2518 , ""tr"" , ""en"")"),"@drfahrettinka is the biggest big liars of history")</f>
        <v>@drfahrettinka is the biggest big liars of history</v>
      </c>
    </row>
    <row r="5720" spans="1:5" ht="15" customHeight="1" x14ac:dyDescent="0.2">
      <c r="A5720" s="1" t="s">
        <v>11400</v>
      </c>
      <c r="B5720" s="1">
        <v>0</v>
      </c>
      <c r="C5720" s="3">
        <v>44540.899722222224</v>
      </c>
      <c r="D5720" s="1" t="s">
        <v>11401</v>
      </c>
      <c r="E5720" s="1" t="str">
        <f ca="1">IFERROR(__xludf.DUMMYFUNCTION("GOOGLETRANSLATE(A2519 , ""tr"" , ""en"")"),"@drfahrettinkoca guide we want our minister residual sabric we want to start the assignment before the end is finished ... https://t.co/smkfetqqr5")</f>
        <v>@drfahrettinkoca guide we want our minister residual sabric we want to start the assignment before the end is finished ... https://t.co/smkfetqqr5</v>
      </c>
    </row>
    <row r="5721" spans="1:5" ht="15" customHeight="1" x14ac:dyDescent="0.2">
      <c r="A5721" s="1" t="s">
        <v>11402</v>
      </c>
      <c r="B5721" s="1">
        <v>5</v>
      </c>
      <c r="C5721" s="3">
        <v>44540.897175925929</v>
      </c>
      <c r="D5721" s="1" t="s">
        <v>11403</v>
      </c>
      <c r="E5721" s="1" t="str">
        <f ca="1">IFERROR(__xludf.DUMMYFUNCTION("GOOGLETRANSLATE(A2520 , ""tr"" , ""en"")"),"@drfahrettinkoca pardon worrying is low when you are going to mention yourself that you have to be told that it is comfortable ... https://t.co/s7sjaac3fz")</f>
        <v>@drfahrettinkoca pardon worrying is low when you are going to mention yourself that you have to be told that it is comfortable ... https://t.co/s7sjaac3fz</v>
      </c>
    </row>
    <row r="5722" spans="1:5" ht="15" customHeight="1" x14ac:dyDescent="0.2">
      <c r="A5722" s="1" t="s">
        <v>11404</v>
      </c>
      <c r="B5722" s="1">
        <v>0</v>
      </c>
      <c r="C5722" s="3">
        <v>44540.896643518521</v>
      </c>
      <c r="D5722" s="1" t="s">
        <v>11405</v>
      </c>
      <c r="E5722" s="1" t="str">
        <f ca="1">IFERROR(__xludf.DUMMYFUNCTION("GOOGLETRANSLATE(A2521 , ""tr"" , ""en"")"),"@drfahrettinka I don't want to be a vaccine")</f>
        <v>@drfahrettinka I don't want to be a vaccine</v>
      </c>
    </row>
    <row r="5723" spans="1:5" ht="15" customHeight="1" x14ac:dyDescent="0.2">
      <c r="A5723" s="1" t="s">
        <v>11406</v>
      </c>
      <c r="B5723" s="1">
        <v>0</v>
      </c>
      <c r="C5723" s="3">
        <v>44540.89644675926</v>
      </c>
      <c r="D5723" s="1" t="s">
        <v>11407</v>
      </c>
      <c r="E5723" s="1" t="str">
        <f ca="1">IFERROR(__xludf.DUMMYFUNCTION("GOOGLETRANSLATE(A2522 , ""tr"" , ""en"")"),"@drfahrettinkoca If you won't keep the madem, why do you promise, 2 months call 6 months Madem Jobs Go wrong ... https://t.co/uabex4lxtx")</f>
        <v>@drfahrettinkoca If you won't keep the madem, why do you promise, 2 months call 6 months Madem Jobs Go wrong ... https://t.co/uabex4lxtx</v>
      </c>
    </row>
    <row r="5724" spans="1:5" ht="15" customHeight="1" x14ac:dyDescent="0.2">
      <c r="A5724" s="1" t="s">
        <v>11408</v>
      </c>
      <c r="B5724" s="1">
        <v>0</v>
      </c>
      <c r="C5724" s="3">
        <v>44540.892708333333</v>
      </c>
      <c r="D5724" s="1" t="s">
        <v>11409</v>
      </c>
      <c r="E5724" s="1" t="str">
        <f ca="1">IFERROR(__xludf.DUMMYFUNCTION("GOOGLETRANSLATE(A2523 , ""tr"" , ""en"")"),"@drfahrettinkoca has a problem in a serious vaccine in the Mediterranean region and should be sanctions on this")</f>
        <v>@drfahrettinkoca has a problem in a serious vaccine in the Mediterranean region and should be sanctions on this</v>
      </c>
    </row>
    <row r="5725" spans="1:5" ht="15" customHeight="1" x14ac:dyDescent="0.2">
      <c r="A5725" s="1" t="s">
        <v>11410</v>
      </c>
      <c r="B5725" s="1">
        <v>0</v>
      </c>
      <c r="C5725" s="3">
        <v>44540.89267361111</v>
      </c>
      <c r="D5725" s="1" t="s">
        <v>11411</v>
      </c>
      <c r="E5725" s="1" t="str">
        <f ca="1">IFERROR(__xludf.DUMMYFUNCTION("GOOGLETRANSLATE(A2524 , ""tr"" , ""en"")"),"@drfahrettinka https://t.co/fv1neczkvl")</f>
        <v>@drfahrettinka https://t.co/fv1neczkvl</v>
      </c>
    </row>
    <row r="5726" spans="1:5" ht="15" customHeight="1" x14ac:dyDescent="0.2">
      <c r="A5726" s="1" t="s">
        <v>11412</v>
      </c>
      <c r="B5726" s="1">
        <v>0</v>
      </c>
      <c r="C5726" s="3">
        <v>44540.892256944448</v>
      </c>
      <c r="D5726" s="1" t="s">
        <v>11413</v>
      </c>
      <c r="E5726" s="1" t="str">
        <f ca="1">IFERROR(__xludf.DUMMYFUNCTION("GOOGLETRANSLATE(A2525 , ""tr"" , ""en"")"),"@drfahrettinkoca Today I received death threat! Even even if it will sign up for official authorities, Denya Denya Distribution Deny in Distribution of Mhrs ... https://t.co/yf3cvfsgof")</f>
        <v>@drfahrettinkoca Today I received death threat! Even even if it will sign up for official authorities, Denya Denya Distribution Deny in Distribution of Mhrs ... https://t.co/yf3cvfsgof</v>
      </c>
    </row>
    <row r="5727" spans="1:5" ht="15" customHeight="1" x14ac:dyDescent="0.2">
      <c r="A5727" s="1" t="s">
        <v>11414</v>
      </c>
      <c r="B5727" s="1">
        <v>1</v>
      </c>
      <c r="C5727" s="3">
        <v>44540.891377314816</v>
      </c>
      <c r="D5727" s="1" t="s">
        <v>11415</v>
      </c>
      <c r="E5727" s="1" t="str">
        <f ca="1">IFERROR(__xludf.DUMMYFUNCTION("GOOGLETRANSLATE(A2526 , ""tr"" , ""en"")"),"@drfahrettinkoca can say how to decrease young people by sending to school, open your eyes now! ... https://t.co/e7lxrnmddu")</f>
        <v>@drfahrettinkoca can say how to decrease young people by sending to school, open your eyes now! ... https://t.co/e7lxrnmddu</v>
      </c>
    </row>
    <row r="5728" spans="1:5" ht="15" customHeight="1" x14ac:dyDescent="0.2">
      <c r="A5728" s="1" t="s">
        <v>11416</v>
      </c>
      <c r="B5728" s="1">
        <v>0</v>
      </c>
      <c r="C5728" s="3">
        <v>44540.8903125</v>
      </c>
      <c r="D5728" s="1" t="s">
        <v>11417</v>
      </c>
      <c r="E5728" s="1" t="str">
        <f ca="1">IFERROR(__xludf.DUMMYFUNCTION("GOOGLETRANSLATE(A2527 , ""tr"" , ""en"")"),"@drfahrettinkoca I didn't see much protection of vaccine Mr. Minister")</f>
        <v>@drfahrettinkoca I didn't see much protection of vaccine Mr. Minister</v>
      </c>
    </row>
    <row r="5729" spans="1:5" ht="15" customHeight="1" x14ac:dyDescent="0.2">
      <c r="A5729" s="1" t="s">
        <v>11418</v>
      </c>
      <c r="B5729" s="1">
        <v>0</v>
      </c>
      <c r="C5729" s="3">
        <v>44540.889641203707</v>
      </c>
      <c r="D5729" s="1" t="s">
        <v>11419</v>
      </c>
      <c r="E5729" s="1" t="str">
        <f ca="1">IFERROR(__xludf.DUMMYFUNCTION("GOOGLETRANSLATE(A2528 , ""tr"" , ""en"")"),"@drfahrettinka Mr. Minister Minister You will not expect June for the assignment, are not that you don't extend so much?")</f>
        <v>@drfahrettinka Mr. Minister Minister You will not expect June for the assignment, are not that you don't extend so much?</v>
      </c>
    </row>
    <row r="5730" spans="1:5" ht="15" customHeight="1" x14ac:dyDescent="0.2">
      <c r="A5730" s="1" t="s">
        <v>11420</v>
      </c>
      <c r="B5730" s="1">
        <v>0</v>
      </c>
      <c r="C5730" s="3">
        <v>44540.887974537036</v>
      </c>
      <c r="D5730" s="1" t="s">
        <v>11421</v>
      </c>
      <c r="E5730" s="1" t="str">
        <f ca="1">IFERROR(__xludf.DUMMYFUNCTION("GOOGLETRANSLATE(A2529 , ""tr"" , ""en"")"),"@drfahrettinkoca you've reduced numbers for sheer school")</f>
        <v>@drfahrettinkoca you've reduced numbers for sheer school</v>
      </c>
    </row>
    <row r="5731" spans="1:5" ht="15" customHeight="1" x14ac:dyDescent="0.2">
      <c r="A5731" s="1" t="s">
        <v>11422</v>
      </c>
      <c r="B5731" s="1">
        <v>0</v>
      </c>
      <c r="C5731" s="3">
        <v>44540.887870370374</v>
      </c>
      <c r="D5731" s="1" t="s">
        <v>11423</v>
      </c>
      <c r="E5731" s="1" t="str">
        <f ca="1">IFERROR(__xludf.DUMMYFUNCTION("GOOGLETRANSLATE(A2530 , ""tr"" , ""en"")"),"@drfahrettinkoca From a Think Side, Enough Yaa, Pandemette is over, you still are Ugras to maintain")</f>
        <v>@drfahrettinkoca From a Think Side, Enough Yaa, Pandemette is over, you still are Ugras to maintain</v>
      </c>
    </row>
    <row r="5732" spans="1:5" ht="15" customHeight="1" x14ac:dyDescent="0.2">
      <c r="A5732" s="1" t="s">
        <v>11424</v>
      </c>
      <c r="B5732" s="1">
        <v>1</v>
      </c>
      <c r="C5732" s="3">
        <v>44540.886863425927</v>
      </c>
      <c r="D5732" s="1" t="s">
        <v>11425</v>
      </c>
      <c r="E5732" s="1" t="str">
        <f ca="1">IFERROR(__xludf.DUMMYFUNCTION("GOOGLETRANSLATE(A2531 , ""tr"" , ""en"")"),"@drfahrettinka https://t.co/vab3t54nw0")</f>
        <v>@drfahrettinka https://t.co/vab3t54nw0</v>
      </c>
    </row>
    <row r="5733" spans="1:5" ht="15" customHeight="1" x14ac:dyDescent="0.2">
      <c r="A5733" s="1" t="s">
        <v>11426</v>
      </c>
      <c r="B5733" s="1">
        <v>3</v>
      </c>
      <c r="C5733" s="3">
        <v>44540.886817129627</v>
      </c>
      <c r="D5733" s="1" t="s">
        <v>11427</v>
      </c>
      <c r="E5733" s="1" t="str">
        <f ca="1">IFERROR(__xludf.DUMMYFUNCTION("GOOGLETRANSLATE(A2532 , ""tr"" , ""en"")"),"@drfahrettinkoca is not tested to a child I have ever known, are given direct antibiotics and are sent home. Esi Covid O ... https://t.co/RVCIUIH2AT")</f>
        <v>@drfahrettinkoca is not tested to a child I have ever known, are given direct antibiotics and are sent home. Esi Covid O ... https://t.co/RVCIUIH2AT</v>
      </c>
    </row>
    <row r="5734" spans="1:5" ht="15" customHeight="1" x14ac:dyDescent="0.2">
      <c r="A5734" s="1" t="s">
        <v>11428</v>
      </c>
      <c r="B5734" s="1">
        <v>0</v>
      </c>
      <c r="C5734" s="3">
        <v>44540.886006944442</v>
      </c>
      <c r="D5734" s="1" t="s">
        <v>11429</v>
      </c>
      <c r="E5734" s="1" t="str">
        <f ca="1">IFERROR(__xludf.DUMMYFUNCTION("GOOGLETRANSLATE(A2533 , ""tr"" , ""en"")"),"@drfahrettinkoca NAS Surah, Surah of Bakara I will read Fatiha surity ........")</f>
        <v>@drfahrettinkoca NAS Surah, Surah of Bakara I will read Fatiha surity ........</v>
      </c>
    </row>
    <row r="5735" spans="1:5" ht="15" customHeight="1" x14ac:dyDescent="0.2">
      <c r="A5735" s="1" t="s">
        <v>11430</v>
      </c>
      <c r="B5735" s="1">
        <v>2</v>
      </c>
      <c r="C5735" s="3">
        <v>44540.885358796295</v>
      </c>
      <c r="D5735" s="1" t="s">
        <v>11431</v>
      </c>
      <c r="E5735" s="1" t="str">
        <f ca="1">IFERROR(__xludf.DUMMYFUNCTION("GOOGLETRANSLATE(A2534 , ""tr"" , ""en"")"),"@drfahrettinkoca What is the martyr What is Gazi, but still know, why he is shooting that vaccine, the following our niyazi .. ... https://t.co/jauztmkrxn")</f>
        <v>@drfahrettinkoca What is the martyr What is Gazi, but still know, why he is shooting that vaccine, the following our niyazi .. ... https://t.co/jauztmkrxn</v>
      </c>
    </row>
    <row r="5736" spans="1:5" ht="15" customHeight="1" x14ac:dyDescent="0.2">
      <c r="A5736" s="1" t="s">
        <v>11432</v>
      </c>
      <c r="B5736" s="1">
        <v>0</v>
      </c>
      <c r="C5736" s="3">
        <v>44540.885115740741</v>
      </c>
      <c r="D5736" s="1" t="s">
        <v>11433</v>
      </c>
      <c r="E5736" s="1" t="str">
        <f ca="1">IFERROR(__xludf.DUMMYFUNCTION("GOOGLETRANSLATE(A2535 , ""tr"" , ""en"")"),"@drfahrettinkoca Dear Minister You still continue to tell tales, so why not autopsy to death from Covid ... https://t.co/BIQ3J332XF")</f>
        <v>@drfahrettinkoca Dear Minister You still continue to tell tales, so why not autopsy to death from Covid ... https://t.co/BIQ3J332XF</v>
      </c>
    </row>
    <row r="5737" spans="1:5" ht="15" customHeight="1" x14ac:dyDescent="0.2">
      <c r="A5737" s="1" t="s">
        <v>11434</v>
      </c>
      <c r="B5737" s="1">
        <v>0</v>
      </c>
      <c r="C5737" s="3">
        <v>44540.883449074077</v>
      </c>
      <c r="D5737" s="1" t="s">
        <v>11435</v>
      </c>
      <c r="E5737" s="1" t="str">
        <f ca="1">IFERROR(__xludf.DUMMYFUNCTION("GOOGLETRANSLATE(A2536 , ""tr"" , ""en"")"),"@drfahrettinkoca people concerns the concerns reduces that you are so usual that you are not taking a precaution so that you don't take a precaution ... https://t.co/f4kdogymrp")</f>
        <v>@drfahrettinkoca people concerns the concerns reduces that you are so usual that you are not taking a precaution so that you don't take a precaution ... https://t.co/f4kdogymrp</v>
      </c>
    </row>
    <row r="5738" spans="1:5" ht="15" customHeight="1" x14ac:dyDescent="0.2">
      <c r="A5738" s="1" t="s">
        <v>11436</v>
      </c>
      <c r="B5738" s="1">
        <v>0</v>
      </c>
      <c r="C5738" s="3">
        <v>44540.883263888885</v>
      </c>
      <c r="D5738" s="1" t="s">
        <v>11437</v>
      </c>
      <c r="E5738" s="1" t="str">
        <f ca="1">IFERROR(__xludf.DUMMYFUNCTION("GOOGLETRANSLATE(A2537 , ""tr"" , ""en"")"),"@drfahrettinkoca Sayin Overlooking the pandema didn't end but the gerce is over the society has already frozen to normal life. You follow the ulsek remotely")</f>
        <v>@drfahrettinkoca Sayin Overlooking the pandema didn't end but the gerce is over the society has already frozen to normal life. You follow the ulsek remotely</v>
      </c>
    </row>
    <row r="5739" spans="1:5" ht="15" customHeight="1" x14ac:dyDescent="0.2">
      <c r="A5739" s="1" t="s">
        <v>11438</v>
      </c>
      <c r="B5739" s="1">
        <v>0</v>
      </c>
      <c r="C5739" s="3">
        <v>44540.882361111115</v>
      </c>
      <c r="D5739" s="1" t="s">
        <v>11439</v>
      </c>
      <c r="E5739" s="1" t="str">
        <f ca="1">IFERROR(__xludf.DUMMYFUNCTION("GOOGLETRANSLATE(A2538 , ""tr"" , ""en"")"),"@drfahrettinkoca Exaggerating the following passports from Bi Bikmadin and Faho Ağa Angladik DSO wants this fear pump ... https://t.co/jzomdnmztc")</f>
        <v>@drfahrettinkoca Exaggerating the following passports from Bi Bikmadin and Faho Ağa Angladik DSO wants this fear pump ... https://t.co/jzomdnmztc</v>
      </c>
    </row>
    <row r="5740" spans="1:5" ht="15" customHeight="1" x14ac:dyDescent="0.2">
      <c r="A5740" s="1" t="s">
        <v>11440</v>
      </c>
      <c r="B5740" s="1">
        <v>0</v>
      </c>
      <c r="C5740" s="3">
        <v>44540.881921296299</v>
      </c>
      <c r="D5740" s="1" t="s">
        <v>11441</v>
      </c>
      <c r="E5740" s="1" t="str">
        <f ca="1">IFERROR(__xludf.DUMMYFUNCTION("GOOGLETRANSLATE(A2539 , ""tr"" , ""en"")"),"@drfahrettinkoca A-ŞI-La-Nan-s: Such side effects, there are such side effects, reflected on the screen, stored ... the dead approaching the million ... https://t.co/prs2vtrbyc")</f>
        <v>@drfahrettinkoca A-ŞI-La-Nan-s: Such side effects, there are such side effects, reflected on the screen, stored ... the dead approaching the million ... https://t.co/prs2vtrbyc</v>
      </c>
    </row>
    <row r="5741" spans="1:5" ht="15" customHeight="1" x14ac:dyDescent="0.2">
      <c r="A5741" s="1" t="s">
        <v>11442</v>
      </c>
      <c r="B5741" s="1">
        <v>1</v>
      </c>
      <c r="C5741" s="3">
        <v>44540.881111111114</v>
      </c>
      <c r="D5741" s="1" t="s">
        <v>11443</v>
      </c>
      <c r="E5741" s="1" t="str">
        <f ca="1">IFERROR(__xludf.DUMMYFUNCTION("GOOGLETRANSLATE(A2540 , ""tr"" , ""en"")"),"@drfahrettinkoca Council of the vaccines of the parliament are full, whether you rank them first?")</f>
        <v>@drfahrettinkoca Council of the vaccines of the parliament are full, whether you rank them first?</v>
      </c>
    </row>
    <row r="5742" spans="1:5" ht="15" customHeight="1" x14ac:dyDescent="0.2">
      <c r="A5742" s="1" t="s">
        <v>11444</v>
      </c>
      <c r="B5742" s="1">
        <v>0</v>
      </c>
      <c r="C5742" s="3">
        <v>44540.876168981478</v>
      </c>
      <c r="D5742" s="1" t="s">
        <v>11445</v>
      </c>
      <c r="E5742" s="1" t="str">
        <f ca="1">IFERROR(__xludf.DUMMYFUNCTION("GOOGLETRANSLATE(A2541 , ""tr"" , ""en"")"),"@drfahrettinkoca ""There are children under 5 years of age in Omicron"" Mehmet Ceyhan, says that children vaccine ... https://t.co/i1m41qcgv5")</f>
        <v>@drfahrettinkoca "There are children under 5 years of age in Omicron" Mehmet Ceyhan, says that children vaccine ... https://t.co/i1m41qcgv5</v>
      </c>
    </row>
    <row r="5743" spans="1:5" ht="15" customHeight="1" x14ac:dyDescent="0.2">
      <c r="A5743" s="1" t="s">
        <v>11446</v>
      </c>
      <c r="B5743" s="1">
        <v>0</v>
      </c>
      <c r="C5743" s="3">
        <v>44540.875787037039</v>
      </c>
      <c r="D5743" s="1" t="s">
        <v>11447</v>
      </c>
      <c r="E5743" s="1" t="str">
        <f ca="1">IFERROR(__xludf.DUMMYFUNCTION("GOOGLETRANSLATE(A2542 , ""tr"" , ""en"")"),"@drfahrettinkoca I wish you really are your sensitivity in 2020 ... The vaccine, despite the prevention ... https://t.co/kvny46kncb")</f>
        <v>@drfahrettinkoca I wish you really are your sensitivity in 2020 ... The vaccine, despite the prevention ... https://t.co/kvny46kncb</v>
      </c>
    </row>
    <row r="5744" spans="1:5" ht="15" customHeight="1" x14ac:dyDescent="0.2">
      <c r="A5744" s="1" t="s">
        <v>11448</v>
      </c>
      <c r="B5744" s="1">
        <v>0</v>
      </c>
      <c r="C5744" s="3">
        <v>44540.875439814816</v>
      </c>
      <c r="D5744" s="1" t="s">
        <v>11449</v>
      </c>
      <c r="E5744" s="1" t="str">
        <f ca="1">IFERROR(__xludf.DUMMYFUNCTION("GOOGLETRANSLATE(A2543 , ""tr"" , ""en"")"),"@drfahrettinkoca Did we no longer be enough of ours!")</f>
        <v>@drfahrettinkoca Did we no longer be enough of ours!</v>
      </c>
    </row>
    <row r="5745" spans="1:5" ht="15" customHeight="1" x14ac:dyDescent="0.2">
      <c r="A5745" s="1" t="s">
        <v>11450</v>
      </c>
      <c r="B5745" s="1">
        <v>0</v>
      </c>
      <c r="C5745" s="3">
        <v>44540.874247685184</v>
      </c>
      <c r="D5745" s="1" t="s">
        <v>11451</v>
      </c>
      <c r="E5745" s="1" t="str">
        <f ca="1">IFERROR(__xludf.DUMMYFUNCTION("GOOGLETRANSLATE(A2544 , ""tr"" , ""en"")"),"@drfahrettinkoca @haleldemir Hospital Hospital HAYS ENTERTAINFUL SOFERMENT SOFERMENT LAW SOFTWARE ... https://t.co/ho9cxdy3s6")</f>
        <v>@drfahrettinkoca @haleldemir Hospital Hospital HAYS ENTERTAINFUL SOFERMENT SOFERMENT LAW SOFTWARE ... https://t.co/ho9cxdy3s6</v>
      </c>
    </row>
    <row r="5746" spans="1:5" ht="15" customHeight="1" x14ac:dyDescent="0.2">
      <c r="A5746" s="1" t="s">
        <v>11452</v>
      </c>
      <c r="B5746" s="1">
        <v>0</v>
      </c>
      <c r="C5746" s="3">
        <v>44540.872986111113</v>
      </c>
      <c r="D5746" s="1" t="s">
        <v>11453</v>
      </c>
      <c r="E5746" s="1" t="str">
        <f ca="1">IFERROR(__xludf.DUMMYFUNCTION("GOOGLETRANSLATE(A2545 , ""tr"" , ""en"")"),"@drfahrettinkoca 2. When the dose exceeds the dose, I felt weak myself I lost my confidence I lost my body when I ssize my body ... https://t.co/tzjyuq1x0j")</f>
        <v>@drfahrettinkoca 2. When the dose exceeds the dose, I felt weak myself I lost my confidence I lost my body when I ssize my body ... https://t.co/tzjyuq1x0j</v>
      </c>
    </row>
    <row r="5747" spans="1:5" ht="15" customHeight="1" x14ac:dyDescent="0.2">
      <c r="A5747" s="1" t="s">
        <v>11454</v>
      </c>
      <c r="B5747" s="1">
        <v>0</v>
      </c>
      <c r="C5747" s="3">
        <v>44540.872916666667</v>
      </c>
      <c r="D5747" s="1" t="s">
        <v>11455</v>
      </c>
      <c r="E5747" s="1" t="str">
        <f ca="1">IFERROR(__xludf.DUMMYFUNCTION("GOOGLETRANSLATE(A2546 , ""tr"" , ""en"")"),"@drfahrettinka https://t.co/o4kfcldys6")</f>
        <v>@drfahrettinka https://t.co/o4kfcldys6</v>
      </c>
    </row>
    <row r="5748" spans="1:5" ht="15" customHeight="1" x14ac:dyDescent="0.2">
      <c r="A5748" s="1" t="s">
        <v>11456</v>
      </c>
      <c r="B5748" s="1">
        <v>0</v>
      </c>
      <c r="C5748" s="3">
        <v>44540.872534722221</v>
      </c>
      <c r="D5748" s="1" t="s">
        <v>11457</v>
      </c>
      <c r="E5748" s="1" t="str">
        <f ca="1">IFERROR(__xludf.DUMMYFUNCTION("GOOGLETRANSLATE(A2547 , ""tr"" , ""en"")"),"@drfahrettinkoca clause he was comic,")</f>
        <v>@drfahrettinkoca clause he was comic,</v>
      </c>
    </row>
    <row r="5749" spans="1:5" ht="15" customHeight="1" x14ac:dyDescent="0.2">
      <c r="A5749" s="1" t="s">
        <v>11458</v>
      </c>
      <c r="B5749" s="1">
        <v>0</v>
      </c>
      <c r="C5749" s="3">
        <v>44540.871967592589</v>
      </c>
      <c r="D5749" s="1" t="s">
        <v>11459</v>
      </c>
      <c r="E5749" s="1" t="str">
        <f ca="1">IFERROR(__xludf.DUMMYFUNCTION("GOOGLETRANSLATE(A2548 , ""tr"" , ""en"")"),"@drfahrettinkoca it is not to tell us what you are not wondering when you are quitting ...")</f>
        <v>@drfahrettinkoca it is not to tell us what you are not wondering when you are quitting ...</v>
      </c>
    </row>
    <row r="5750" spans="1:5" ht="15" customHeight="1" x14ac:dyDescent="0.2">
      <c r="A5750" s="1" t="s">
        <v>11460</v>
      </c>
      <c r="B5750" s="1">
        <v>0</v>
      </c>
      <c r="C5750" s="3">
        <v>44540.871400462966</v>
      </c>
      <c r="D5750" s="1" t="s">
        <v>11461</v>
      </c>
      <c r="E5750" s="1" t="str">
        <f ca="1">IFERROR(__xludf.DUMMYFUNCTION("GOOGLETRANSLATE(A2549 , ""tr"" , ""en"")"),"@drfahrettinkoca Milk 15 TL Do you know")</f>
        <v>@drfahrettinkoca Milk 15 TL Do you know</v>
      </c>
    </row>
    <row r="5751" spans="1:5" ht="15" customHeight="1" x14ac:dyDescent="0.2">
      <c r="A5751" s="1" t="s">
        <v>11462</v>
      </c>
      <c r="B5751" s="1">
        <v>17</v>
      </c>
      <c r="C5751" s="3">
        <v>44540.870324074072</v>
      </c>
      <c r="D5751" s="1" t="s">
        <v>11463</v>
      </c>
      <c r="E5751" s="1" t="str">
        <f ca="1">IFERROR(__xludf.DUMMYFUNCTION("GOOGLETRANSLATE(A2550 , ""tr"" , ""en"")"),"@drfahrettinkoca anxiety is decreasing on the course.")</f>
        <v>@drfahrettinkoca anxiety is decreasing on the course.</v>
      </c>
    </row>
    <row r="5752" spans="1:5" ht="15" customHeight="1" x14ac:dyDescent="0.2">
      <c r="A5752" s="1" t="s">
        <v>11464</v>
      </c>
      <c r="B5752" s="1">
        <v>8</v>
      </c>
      <c r="C5752" s="3">
        <v>44540.869872685187</v>
      </c>
      <c r="D5752" s="1" t="s">
        <v>11465</v>
      </c>
      <c r="E5752" s="1" t="str">
        <f ca="1">IFERROR(__xludf.DUMMYFUNCTION("GOOGLETRANSLATE(A2551 , ""tr"" , ""en"")"),"@drfahrettinkoca Subject Safikti Dear Number Https://t.co/wudxbgfjca")</f>
        <v>@drfahrettinkoca Subject Safikti Dear Number Https://t.co/wudxbgfjca</v>
      </c>
    </row>
    <row r="5753" spans="1:5" ht="15" customHeight="1" x14ac:dyDescent="0.2">
      <c r="A5753" s="1" t="s">
        <v>11466</v>
      </c>
      <c r="B5753" s="1">
        <v>2</v>
      </c>
      <c r="C5753" s="3">
        <v>44540.869803240741</v>
      </c>
      <c r="D5753" s="1" t="s">
        <v>11467</v>
      </c>
      <c r="E5753" s="1" t="str">
        <f ca="1">IFERROR(__xludf.DUMMYFUNCTION("GOOGLETRANSLATE(A2552 , ""tr"" , ""en"")"),"@drfahrettinkoca I'm at the place where the word ends, words remain uncomplicated, but still can't stop without writing ... https://t.co/txvlx ://t.co/TXVLXBLUI2")</f>
        <v>@drfahrettinkoca I'm at the place where the word ends, words remain uncomplicated, but still can't stop without writing ... https://t.co/txvlx ://t.co/TXVLXBLUI2</v>
      </c>
    </row>
    <row r="5754" spans="1:5" ht="15" customHeight="1" x14ac:dyDescent="0.2">
      <c r="A5754" s="1" t="s">
        <v>11468</v>
      </c>
      <c r="B5754" s="1">
        <v>0</v>
      </c>
      <c r="C5754" s="3">
        <v>44540.869120370371</v>
      </c>
      <c r="D5754" s="1" t="s">
        <v>11469</v>
      </c>
      <c r="E5754" s="1" t="str">
        <f ca="1">IFERROR(__xludf.DUMMYFUNCTION("GOOGLETRANSLATE(A2553 , ""tr"" , ""en"")"),"@drfahrettinkoca vaccines decreased, case and deaths also decreased parallel to it. What is the scientific description of this?")</f>
        <v>@drfahrettinkoca vaccines decreased, case and deaths also decreased parallel to it. What is the scientific description of this?</v>
      </c>
    </row>
    <row r="5755" spans="1:5" ht="15" customHeight="1" x14ac:dyDescent="0.2">
      <c r="A5755" s="1" t="s">
        <v>11470</v>
      </c>
      <c r="B5755" s="1">
        <v>0</v>
      </c>
      <c r="C5755" s="3">
        <v>44540.868877314817</v>
      </c>
      <c r="D5755" s="1" t="s">
        <v>11471</v>
      </c>
      <c r="E5755" s="1" t="str">
        <f ca="1">IFERROR(__xludf.DUMMYFUNCTION("GOOGLETRANSLATE(A2554 , ""tr"" , ""en"")"),"@drfahrettinkoca Salla The area is wide.")</f>
        <v>@drfahrettinkoca Salla The area is wide.</v>
      </c>
    </row>
    <row r="5756" spans="1:5" ht="15" customHeight="1" x14ac:dyDescent="0.2">
      <c r="A5756" s="1" t="s">
        <v>11472</v>
      </c>
      <c r="B5756" s="1">
        <v>0</v>
      </c>
      <c r="C5756" s="3">
        <v>44540.868078703701</v>
      </c>
      <c r="D5756" s="1" t="s">
        <v>11473</v>
      </c>
      <c r="E5756" s="1" t="str">
        <f ca="1">IFERROR(__xludf.DUMMYFUNCTION("GOOGLETRANSLATE(A2555 , ""tr"" , ""en"")"),"@drfahrettinkoca yes it's doru")</f>
        <v>@drfahrettinkoca yes it's doru</v>
      </c>
    </row>
    <row r="5757" spans="1:5" ht="15" customHeight="1" x14ac:dyDescent="0.2">
      <c r="A5757" s="1" t="s">
        <v>11474</v>
      </c>
      <c r="B5757" s="1">
        <v>0</v>
      </c>
      <c r="C5757" s="3">
        <v>44540.863657407404</v>
      </c>
      <c r="D5757" s="1" t="s">
        <v>11475</v>
      </c>
      <c r="E5757" s="1" t="str">
        <f ca="1">IFERROR(__xludf.DUMMYFUNCTION("GOOGLETRANSLATE(A2556 , ""tr"" , ""en"")"),"@drfahrettinkoca If you love Allah, let's see the Complete recovery economically how much prosperity of the country will reach and ... https://t.co/r89ycktf2j")</f>
        <v>@drfahrettinkoca If you love Allah, let's see the Complete recovery economically how much prosperity of the country will reach and ... https://t.co/r89ycktf2j</v>
      </c>
    </row>
    <row r="5758" spans="1:5" ht="15" customHeight="1" x14ac:dyDescent="0.2">
      <c r="A5758" s="1" t="s">
        <v>11476</v>
      </c>
      <c r="B5758" s="1">
        <v>4</v>
      </c>
      <c r="C5758" s="3">
        <v>44540.861238425925</v>
      </c>
      <c r="D5758" s="1" t="s">
        <v>11477</v>
      </c>
      <c r="E5758" s="1" t="str">
        <f ca="1">IFERROR(__xludf.DUMMYFUNCTION("GOOGLETRANSLATE(A2557 , ""tr"" , ""en"")"),"@drfahrettinkoca Covid Don't get caught up in 19 is going to be increasingly decreasing? I'm going to school every day I'm going to school. Whatever the mask is in the distance.")</f>
        <v>@drfahrettinkoca Covid Don't get caught up in 19 is going to be increasingly decreasing? I'm going to school every day I'm going to school. Whatever the mask is in the distance.</v>
      </c>
    </row>
    <row r="5759" spans="1:5" ht="15" customHeight="1" x14ac:dyDescent="0.2">
      <c r="A5759" s="1" t="s">
        <v>11478</v>
      </c>
      <c r="B5759" s="1">
        <v>6</v>
      </c>
      <c r="C5759" s="3">
        <v>44540.861006944448</v>
      </c>
      <c r="D5759" s="1" t="s">
        <v>11479</v>
      </c>
      <c r="E5759" s="1" t="str">
        <f ca="1">IFERROR(__xludf.DUMMYFUNCTION("GOOGLETRANSLATE(A2558 , ""tr"" , ""en"")"),"@drfahrettinka https://t.co/ny5546ghmz")</f>
        <v>@drfahrettinka https://t.co/ny5546ghmz</v>
      </c>
    </row>
    <row r="5760" spans="1:5" ht="15" customHeight="1" x14ac:dyDescent="0.2">
      <c r="A5760" s="1" t="s">
        <v>11480</v>
      </c>
      <c r="B5760" s="1">
        <v>0</v>
      </c>
      <c r="C5760" s="3">
        <v>44540.860648148147</v>
      </c>
      <c r="D5760" s="1" t="s">
        <v>11481</v>
      </c>
      <c r="E5760" s="1" t="str">
        <f ca="1">IFERROR(__xludf.DUMMYFUNCTION("GOOGLETRANSLATE(A2559 , ""tr"" , ""en"")"),"@drfahrettinkoca covit he ruined hospitals, you have crashed your health sector If you have collapsed in your Senior Seno ... https://t.co/uyxonby8pg")</f>
        <v>@drfahrettinkoca covit he ruined hospitals, you have crashed your health sector If you have collapsed in your Senior Seno ... https://t.co/uyxonby8pg</v>
      </c>
    </row>
    <row r="5761" spans="1:5" ht="15" customHeight="1" x14ac:dyDescent="0.2">
      <c r="A5761" s="1" t="s">
        <v>11482</v>
      </c>
      <c r="B5761" s="1">
        <v>1</v>
      </c>
      <c r="C5761" s="3">
        <v>44540.858495370368</v>
      </c>
      <c r="D5761" s="1" t="s">
        <v>11483</v>
      </c>
      <c r="E5761" s="1" t="str">
        <f ca="1">IFERROR(__xludf.DUMMYFUNCTION("GOOGLETRANSLATE(A2560 , ""tr"" , ""en"")"),"@drfahrettinkoca Mr. Ministry No Maxamade with my father and donated to the State of Kozan State H ... https://t.co/fhgexlg")</f>
        <v>@drfahrettinkoca Mr. Ministry No Maxamade with my father and donated to the State of Kozan State H ... https://t.co/fhgexlg</v>
      </c>
    </row>
    <row r="5762" spans="1:5" ht="15" customHeight="1" x14ac:dyDescent="0.2">
      <c r="A5762" s="1" t="s">
        <v>11484</v>
      </c>
      <c r="B5762" s="1">
        <v>0</v>
      </c>
      <c r="C5762" s="3">
        <v>44540.858298611114</v>
      </c>
      <c r="D5762" s="1" t="s">
        <v>11485</v>
      </c>
      <c r="E5762" s="1" t="str">
        <f ca="1">IFERROR(__xludf.DUMMYFUNCTION("GOOGLETRANSLATE(A2561 , ""tr"" , ""en"")"),"@drfahrettinkoca you say we finish the first pitch of the game ie 🤔 🤔")</f>
        <v>@drfahrettinkoca you say we finish the first pitch of the game ie 🤔 🤔</v>
      </c>
    </row>
    <row r="5763" spans="1:5" ht="15" customHeight="1" x14ac:dyDescent="0.2">
      <c r="A5763" s="1" t="s">
        <v>11486</v>
      </c>
      <c r="B5763" s="1">
        <v>2</v>
      </c>
      <c r="C5763" s="3">
        <v>44540.856631944444</v>
      </c>
      <c r="D5763" s="1" t="s">
        <v>11487</v>
      </c>
      <c r="E5763" s="1" t="str">
        <f ca="1">IFERROR(__xludf.DUMMYFUNCTION("GOOGLETRANSLATE(A2562 , ""tr"" , ""en"")"),"@drfahrettinkoca no place to bed no vaccination and how to remove people who relapse all kinds of diseases")</f>
        <v>@drfahrettinkoca no place to bed no vaccination and how to remove people who relapse all kinds of diseases</v>
      </c>
    </row>
    <row r="5764" spans="1:5" ht="15" customHeight="1" x14ac:dyDescent="0.2">
      <c r="A5764" s="1" t="s">
        <v>11488</v>
      </c>
      <c r="B5764" s="1">
        <v>0</v>
      </c>
      <c r="C5764" s="3">
        <v>44540.856238425928</v>
      </c>
      <c r="D5764" s="1" t="s">
        <v>11489</v>
      </c>
      <c r="E5764" s="1" t="str">
        <f ca="1">IFERROR(__xludf.DUMMYFUNCTION("GOOGLETRANSLATE(A2563 , ""tr"" , ""en"")"),"@drfahrettinka has completed vaccines but is the number of citizens who died from side effects?")</f>
        <v>@drfahrettinka has completed vaccines but is the number of citizens who died from side effects?</v>
      </c>
    </row>
    <row r="5765" spans="1:5" ht="15" customHeight="1" x14ac:dyDescent="0.2">
      <c r="A5765" s="1" t="s">
        <v>11490</v>
      </c>
      <c r="B5765" s="1">
        <v>0</v>
      </c>
      <c r="C5765" s="3">
        <v>44540.85396990741</v>
      </c>
      <c r="D5765" s="1" t="s">
        <v>11491</v>
      </c>
      <c r="E5765" s="1" t="str">
        <f ca="1">IFERROR(__xludf.DUMMYFUNCTION("GOOGLETRANSLATE(A2564 , ""tr"" , ""en"")"),"@drfahrettinkoca hocam I'm 15.Dosmum I wonder if the vaccines are full or I'm a 15 other")</f>
        <v>@drfahrettinkoca hocam I'm 15.Dosmum I wonder if the vaccines are full or I'm a 15 other</v>
      </c>
    </row>
    <row r="5766" spans="1:5" ht="15" customHeight="1" x14ac:dyDescent="0.2">
      <c r="A5766" s="1" t="s">
        <v>11492</v>
      </c>
      <c r="B5766" s="1">
        <v>0</v>
      </c>
      <c r="C5766" s="3">
        <v>44540.853414351855</v>
      </c>
      <c r="D5766" s="1" t="s">
        <v>11493</v>
      </c>
      <c r="E5766" s="1" t="str">
        <f ca="1">IFERROR(__xludf.DUMMYFUNCTION("GOOGLETRANSLATE(A2565 , ""tr"" , ""en"")"),"@drfahrettinkoca is still no assignment. Very interesting")</f>
        <v>@drfahrettinkoca is still no assignment. Very interesting</v>
      </c>
    </row>
    <row r="5767" spans="1:5" ht="15" customHeight="1" x14ac:dyDescent="0.2">
      <c r="A5767" s="1" t="s">
        <v>11494</v>
      </c>
      <c r="B5767" s="1">
        <v>1</v>
      </c>
      <c r="C5767" s="3">
        <v>44540.852939814817</v>
      </c>
      <c r="D5767" s="1" t="s">
        <v>11495</v>
      </c>
      <c r="E5767" s="1" t="str">
        <f ca="1">IFERROR(__xludf.DUMMYFUNCTION("GOOGLETRANSLATE(A2566 , ""tr"" , ""en"")"),"@drfahrettinkoca is to be two dose of our overdose, despite we treated, we are unfortunately unfortunately our concern is not reduced. Our children ... https://t.co/cq83idcugo")</f>
        <v>@drfahrettinkoca is to be two dose of our overdose, despite we treated, we are unfortunately unfortunately our concern is not reduced. Our children ... https://t.co/cq83idcugo</v>
      </c>
    </row>
    <row r="5768" spans="1:5" ht="15" customHeight="1" x14ac:dyDescent="0.2">
      <c r="A5768" s="1" t="s">
        <v>11496</v>
      </c>
      <c r="B5768" s="1">
        <v>0</v>
      </c>
      <c r="C5768" s="3">
        <v>44540.851423611108</v>
      </c>
      <c r="D5768" s="1" t="s">
        <v>11497</v>
      </c>
      <c r="E5768" s="1" t="str">
        <f ca="1">IFERROR(__xludf.DUMMYFUNCTION("GOOGLETRANSLATE(A2567 , ""tr"" , ""en"")"),"@drfahrettinkoca bill says 2022 Ends Covid Have you hear news")</f>
        <v>@drfahrettinkoca bill says 2022 Ends Covid Have you hear news</v>
      </c>
    </row>
    <row r="5769" spans="1:5" ht="15" customHeight="1" x14ac:dyDescent="0.2">
      <c r="A5769" s="1" t="s">
        <v>11498</v>
      </c>
      <c r="B5769" s="1">
        <v>0</v>
      </c>
      <c r="C5769" s="3">
        <v>44540.850231481483</v>
      </c>
      <c r="D5769" s="1" t="s">
        <v>11499</v>
      </c>
      <c r="E5769" s="1" t="str">
        <f ca="1">IFERROR(__xludf.DUMMYFUNCTION("GOOGLETRANSLATE(A2568 , ""tr"" , ""en"")"),"@drfahrettinkoca Type a fln a week no longer. There aren't many believers")</f>
        <v>@drfahrettinkoca Type a fln a week no longer. There aren't many believers</v>
      </c>
    </row>
    <row r="5770" spans="1:5" ht="15" customHeight="1" x14ac:dyDescent="0.2">
      <c r="A5770" s="1" t="s">
        <v>11500</v>
      </c>
      <c r="B5770" s="1">
        <v>0</v>
      </c>
      <c r="C5770" s="3">
        <v>44540.85015046296</v>
      </c>
      <c r="D5770" s="1" t="s">
        <v>11501</v>
      </c>
      <c r="E5770" s="1" t="str">
        <f ca="1">IFERROR(__xludf.DUMMYFUNCTION("GOOGLETRANSLATE(A2569 , ""tr"" , ""en"")"),"@drfahrettinkoca virus has already completed his dongue that if we already leave it. Dying dead would remain left. Modern yesterday ... https://t.co/0do02bjbnz")</f>
        <v>@drfahrettinkoca virus has already completed his dongue that if we already leave it. Dying dead would remain left. Modern yesterday ... https://t.co/0do02bjbnz</v>
      </c>
    </row>
    <row r="5771" spans="1:5" ht="15" customHeight="1" x14ac:dyDescent="0.2">
      <c r="A5771" s="1" t="s">
        <v>11502</v>
      </c>
      <c r="B5771" s="1">
        <v>0</v>
      </c>
      <c r="C5771" s="3">
        <v>44540.84920138889</v>
      </c>
      <c r="D5771" s="1" t="s">
        <v>11503</v>
      </c>
      <c r="E5771" s="1" t="str">
        <f ca="1">IFERROR(__xludf.DUMMYFUNCTION("GOOGLETRANSLATE(A2570 , ""tr"" , ""en"")"),"@drfahrettinkoca Allah Billah Love is less effort in the guide Less Effort Ministry of Artk")</f>
        <v>@drfahrettinkoca Allah Billah Love is less effort in the guide Less Effort Ministry of Artk</v>
      </c>
    </row>
    <row r="5772" spans="1:5" ht="15" customHeight="1" x14ac:dyDescent="0.2">
      <c r="A5772" s="1" t="s">
        <v>11504</v>
      </c>
      <c r="B5772" s="1">
        <v>14</v>
      </c>
      <c r="C5772" s="3">
        <v>44540.849097222221</v>
      </c>
      <c r="D5772" s="1" t="s">
        <v>11505</v>
      </c>
      <c r="E5772" s="1" t="str">
        <f ca="1">IFERROR(__xludf.DUMMYFUNCTION("GOOGLETRANSLATE(A2571 , ""tr"" , ""en"")"),"@drfahrettinkoca This is what is this ???? 👇👇👇 https://t.co/v6dsngrcga")</f>
        <v>@drfahrettinkoca This is what is this ???? 👇👇👇 https://t.co/v6dsngrcga</v>
      </c>
    </row>
    <row r="5773" spans="1:5" ht="15" customHeight="1" x14ac:dyDescent="0.2">
      <c r="A5773" s="1" t="s">
        <v>11506</v>
      </c>
      <c r="B5773" s="1">
        <v>0</v>
      </c>
      <c r="C5773" s="3">
        <v>44540.849016203705</v>
      </c>
      <c r="D5773" s="1" t="s">
        <v>11507</v>
      </c>
      <c r="E5773" s="1" t="str">
        <f ca="1">IFERROR(__xludf.DUMMYFUNCTION("GOOGLETRANSLATE(A2572 , ""tr"" , ""en"")"),"@drfahrettinka will be completed in the avoidant vaccination ... Gave Ugur Gospel Gave more than three vaccines in the new version ...")</f>
        <v>@drfahrettinka will be completed in the avoidant vaccination ... Gave Ugur Gospel Gave more than three vaccines in the new version ...</v>
      </c>
    </row>
    <row r="5774" spans="1:5" ht="15" customHeight="1" x14ac:dyDescent="0.2">
      <c r="A5774" s="1" t="s">
        <v>11508</v>
      </c>
      <c r="B5774" s="1">
        <v>0</v>
      </c>
      <c r="C5774" s="3">
        <v>44540.846701388888</v>
      </c>
      <c r="D5774" s="1" t="s">
        <v>11509</v>
      </c>
      <c r="E5774" s="1" t="str">
        <f ca="1">IFERROR(__xludf.DUMMYFUNCTION("GOOGLETRANSLATE(A2573 , ""tr"" , ""en"")"),"@drfahrettinkoca Zerre is someone who is honoring, so far or nudetizes. Good for those you have got hell")</f>
        <v>@drfahrettinkoca Zerre is someone who is honoring, so far or nudetizes. Good for those you have got hell</v>
      </c>
    </row>
    <row r="5775" spans="1:5" ht="15" customHeight="1" x14ac:dyDescent="0.2">
      <c r="A5775" s="1" t="s">
        <v>11510</v>
      </c>
      <c r="B5775" s="1">
        <v>0</v>
      </c>
      <c r="C5775" s="3">
        <v>44540.846446759257</v>
      </c>
      <c r="D5775" s="1" t="s">
        <v>11511</v>
      </c>
      <c r="E5775" s="1" t="str">
        <f ca="1">IFERROR(__xludf.DUMMYFUNCTION("GOOGLETRANSLATE(A2574 , ""tr"" , ""en"")"),"@drfahrettinkoca third doses should be open urgent and unconditional")</f>
        <v>@drfahrettinkoca third doses should be open urgent and unconditional</v>
      </c>
    </row>
    <row r="5776" spans="1:5" ht="15" customHeight="1" x14ac:dyDescent="0.2">
      <c r="A5776" s="1" t="s">
        <v>11512</v>
      </c>
      <c r="B5776" s="1">
        <v>0</v>
      </c>
      <c r="C5776" s="3">
        <v>44540.846134259256</v>
      </c>
      <c r="D5776" s="1" t="s">
        <v>11513</v>
      </c>
      <c r="E5776" s="1" t="str">
        <f ca="1">IFERROR(__xludf.DUMMYFUNCTION("GOOGLETRANSLATE(A2575 , ""tr"" , ""en"")"),"@drfahrettinka When I read a news that I read from the Minister of Minister, he said to remove the mask.")</f>
        <v>@drfahrettinka When I read a news that I read from the Minister of Minister, he said to remove the mask.</v>
      </c>
    </row>
    <row r="5777" spans="1:5" ht="15" customHeight="1" x14ac:dyDescent="0.2">
      <c r="A5777" s="1" t="s">
        <v>11514</v>
      </c>
      <c r="B5777" s="1">
        <v>0</v>
      </c>
      <c r="C5777" s="3">
        <v>44540.844085648147</v>
      </c>
      <c r="D5777" s="1" t="s">
        <v>11515</v>
      </c>
      <c r="E5777" s="1" t="str">
        <f ca="1">IFERROR(__xludf.DUMMYFUNCTION("GOOGLETRANSLATE(A2576 , ""tr"" , ""en"")"),"@drfahrettinkoca 3. Dose map comes soon?")</f>
        <v>@drfahrettinkoca 3. Dose map comes soon?</v>
      </c>
    </row>
    <row r="5778" spans="1:5" ht="15" customHeight="1" x14ac:dyDescent="0.2">
      <c r="A5778" s="1" t="s">
        <v>11516</v>
      </c>
      <c r="B5778" s="1">
        <v>1</v>
      </c>
      <c r="C5778" s="3">
        <v>44540.843182870369</v>
      </c>
      <c r="D5778" s="1" t="s">
        <v>11517</v>
      </c>
      <c r="E5778" s="1" t="str">
        <f ca="1">IFERROR(__xludf.DUMMYFUNCTION("GOOGLETRANSLATE(A2577 , ""tr"" , ""en"")"),"@drfahrettinkoca We want to guide")</f>
        <v>@drfahrettinkoca We want to guide</v>
      </c>
    </row>
    <row r="5779" spans="1:5" ht="15" customHeight="1" x14ac:dyDescent="0.2">
      <c r="A5779" s="1" t="s">
        <v>11518</v>
      </c>
      <c r="B5779" s="1">
        <v>1</v>
      </c>
      <c r="C5779" s="3">
        <v>44540.842685185184</v>
      </c>
      <c r="D5779" s="1" t="s">
        <v>11519</v>
      </c>
      <c r="E5779" s="1" t="str">
        <f ca="1">IFERROR(__xludf.DUMMYFUNCTION("GOOGLETRANSLATE(A2578 , ""tr"" , ""en"")"),"@drfahrettinka https://t.co/fabzpozclh")</f>
        <v>@drfahrettinka https://t.co/fabzpozclh</v>
      </c>
    </row>
    <row r="5780" spans="1:5" ht="15" customHeight="1" x14ac:dyDescent="0.2">
      <c r="A5780" s="1" t="s">
        <v>11520</v>
      </c>
      <c r="B5780" s="1">
        <v>1</v>
      </c>
      <c r="C5780" s="3">
        <v>44540.842280092591</v>
      </c>
      <c r="D5780" s="1" t="s">
        <v>11521</v>
      </c>
      <c r="E5780" s="1" t="str">
        <f ca="1">IFERROR(__xludf.DUMMYFUNCTION("GOOGLETRANSLATE(A2579 , ""tr"" , ""en"")"),"@drfahrettinkoca big nonsense this table. You are doing your best to avoid closing their school.")</f>
        <v>@drfahrettinkoca big nonsense this table. You are doing your best to avoid closing their school.</v>
      </c>
    </row>
    <row r="5781" spans="1:5" ht="15" customHeight="1" x14ac:dyDescent="0.2">
      <c r="A5781" s="1" t="s">
        <v>11522</v>
      </c>
      <c r="B5781" s="1">
        <v>0</v>
      </c>
      <c r="C5781" s="3">
        <v>44540.840752314813</v>
      </c>
      <c r="D5781" s="1" t="s">
        <v>11523</v>
      </c>
      <c r="E5781" s="1" t="str">
        <f ca="1">IFERROR(__xludf.DUMMYFUNCTION("GOOGLETRANSLATE(A2580 , ""tr"" , ""en"")"),"@drfahrettinka https://t.co/4a4tqg6bln")</f>
        <v>@drfahrettinka https://t.co/4a4tqg6bln</v>
      </c>
    </row>
    <row r="5782" spans="1:5" ht="15" customHeight="1" x14ac:dyDescent="0.2">
      <c r="A5782" s="1" t="s">
        <v>11524</v>
      </c>
      <c r="B5782" s="1">
        <v>1</v>
      </c>
      <c r="C5782" s="3">
        <v>44540.840277777781</v>
      </c>
      <c r="D5782" s="1" t="s">
        <v>11525</v>
      </c>
      <c r="E5782" s="1" t="str">
        <f ca="1">IFERROR(__xludf.DUMMYFUNCTION("GOOGLETRANSLATE(A2581 , ""tr"" , ""en"")"),"@drfahrettinkoca Don't think about us. Our good is not thinking of the good..verykes enough to think of your own health ... https://t.co/3wu2ycdd8n")</f>
        <v>@drfahrettinkoca Don't think about us. Our good is not thinking of the good..verykes enough to think of your own health ... https://t.co/3wu2ycdd8n</v>
      </c>
    </row>
    <row r="5783" spans="1:5" ht="15" customHeight="1" x14ac:dyDescent="0.2">
      <c r="A5783" s="1" t="s">
        <v>11526</v>
      </c>
      <c r="B5783" s="1">
        <v>1</v>
      </c>
      <c r="C5783" s="3">
        <v>44540.837696759256</v>
      </c>
      <c r="D5783" s="1" t="s">
        <v>11527</v>
      </c>
      <c r="E5783" s="1" t="str">
        <f ca="1">IFERROR(__xludf.DUMMYFUNCTION("GOOGLETRANSLATE(A2582 , ""tr"" , ""en"")"),"@drfahrettinkoca on grafts Heart skin going cancer duplicated female diseases young elderly all all in the sickness ... https://t.co/yahppebfpd")</f>
        <v>@drfahrettinkoca on grafts Heart skin going cancer duplicated female diseases young elderly all all in the sickness ... https://t.co/yahppebfpd</v>
      </c>
    </row>
    <row r="5784" spans="1:5" ht="15" customHeight="1" x14ac:dyDescent="0.2">
      <c r="A5784" s="1" t="s">
        <v>11528</v>
      </c>
      <c r="B5784" s="1">
        <v>3</v>
      </c>
      <c r="C5784" s="3">
        <v>44540.836597222224</v>
      </c>
      <c r="D5784" s="1" t="s">
        <v>11529</v>
      </c>
      <c r="E5784" s="1" t="str">
        <f ca="1">IFERROR(__xludf.DUMMYFUNCTION("GOOGLETRANSLATE(A2583 , ""tr"" , ""en"")"),"@drfahrettinkoca 30 unadvertible sibling untouched and passed away after 3rd cheating.")</f>
        <v>@drfahrettinkoca 30 unadvertible sibling untouched and passed away after 3rd cheating.</v>
      </c>
    </row>
    <row r="5785" spans="1:5" ht="15" customHeight="1" x14ac:dyDescent="0.2">
      <c r="A5785" s="1" t="s">
        <v>11530</v>
      </c>
      <c r="B5785" s="1">
        <v>2</v>
      </c>
      <c r="C5785" s="3">
        <v>44540.835879629631</v>
      </c>
      <c r="D5785" s="1" t="s">
        <v>11531</v>
      </c>
      <c r="E5785" s="1" t="str">
        <f ca="1">IFERROR(__xludf.DUMMYFUNCTION("GOOGLETRANSLATE(A2584 , ""tr"" , ""en"")"),"@drfahrettinkoca Mr. Ministry In 2019, Kovit in 2019 is not in the middle of TURKS compared to TURKSTAT data in our country, grip and gribal infect ... https://t.co/fl0fiq6472")</f>
        <v>@drfahrettinkoca Mr. Ministry In 2019, Kovit in 2019 is not in the middle of TURKS compared to TURKSTAT data in our country, grip and gribal infect ... https://t.co/fl0fiq6472</v>
      </c>
    </row>
    <row r="5786" spans="1:5" ht="15" customHeight="1" x14ac:dyDescent="0.2">
      <c r="A5786" s="1" t="s">
        <v>11532</v>
      </c>
      <c r="B5786" s="1">
        <v>1</v>
      </c>
      <c r="C5786" s="3">
        <v>44540.835497685184</v>
      </c>
      <c r="D5786" s="1" t="s">
        <v>11533</v>
      </c>
      <c r="E5786" s="1" t="str">
        <f ca="1">IFERROR(__xludf.DUMMYFUNCTION("GOOGLETRANSLATE(A2585 , ""tr"" , ""en"")"),"@drfahrettinka vaccines get 5 hits to everyone everyday doesn't need to beat twit everyday, Sahi these vaccines are Turkish ... https://t.co/dscqj8nl6w")</f>
        <v>@drfahrettinka vaccines get 5 hits to everyone everyday doesn't need to beat twit everyday, Sahi these vaccines are Turkish ... https://t.co/dscqj8nl6w</v>
      </c>
    </row>
    <row r="5787" spans="1:5" ht="15" customHeight="1" x14ac:dyDescent="0.2">
      <c r="A5787" s="1" t="s">
        <v>11534</v>
      </c>
      <c r="B5787" s="1">
        <v>1</v>
      </c>
      <c r="C5787" s="3">
        <v>44540.835023148145</v>
      </c>
      <c r="D5787" s="1" t="s">
        <v>11535</v>
      </c>
      <c r="E5787" s="1" t="str">
        <f ca="1">IFERROR(__xludf.DUMMYFUNCTION("GOOGLETRANSLATE(A2586 , ""tr"" , ""en"")"),"@drfahrettinkoca investigate and explain the increase in heart crisis The matter is everything that is called Health Theory is a ... https://t.co/enh3xx3xe4")</f>
        <v>@drfahrettinkoca investigate and explain the increase in heart crisis The matter is everything that is called Health Theory is a ... https://t.co/enh3xx3xe4</v>
      </c>
    </row>
    <row r="5788" spans="1:5" ht="15" customHeight="1" x14ac:dyDescent="0.2">
      <c r="A5788" s="1" t="s">
        <v>11536</v>
      </c>
      <c r="B5788" s="1">
        <v>0</v>
      </c>
      <c r="C5788" s="3">
        <v>44540.834432870368</v>
      </c>
      <c r="D5788" s="1" t="s">
        <v>11537</v>
      </c>
      <c r="E5788" s="1" t="str">
        <f ca="1">IFERROR(__xludf.DUMMYFUNCTION("GOOGLETRANSLATE(A2587 , ""tr"" , ""en"")"),"@drfahrettinkoca I swear you are officially mocking no other description")</f>
        <v>@drfahrettinkoca I swear you are officially mocking no other description</v>
      </c>
    </row>
    <row r="5789" spans="1:5" ht="15" customHeight="1" x14ac:dyDescent="0.2">
      <c r="A5789" s="1" t="s">
        <v>11538</v>
      </c>
      <c r="B5789" s="1">
        <v>2</v>
      </c>
      <c r="C5789" s="3">
        <v>44540.834398148145</v>
      </c>
      <c r="D5789" s="1" t="s">
        <v>11539</v>
      </c>
      <c r="E5789" s="1" t="str">
        <f ca="1">IFERROR(__xludf.DUMMYFUNCTION("GOOGLETRANSLATE(A2588 , ""tr"" , ""en"")"),"@drfahrettinkca has been discomforted at the age of 30-40 years of age in the age of age, spasz spasm, the spasms had angiou ... https://t.co/afs5hbe7ql")</f>
        <v>@drfahrettinkca has been discomforted at the age of 30-40 years of age in the age of age, spasz spasm, the spasms had angiou ... https://t.co/afs5hbe7ql</v>
      </c>
    </row>
    <row r="5790" spans="1:5" ht="15" customHeight="1" x14ac:dyDescent="0.2">
      <c r="A5790" s="1" t="s">
        <v>11540</v>
      </c>
      <c r="B5790" s="1">
        <v>0</v>
      </c>
      <c r="C5790" s="3">
        <v>44540.83394675926</v>
      </c>
      <c r="D5790" s="1" t="s">
        <v>11541</v>
      </c>
      <c r="E5790" s="1" t="str">
        <f ca="1">IFERROR(__xludf.DUMMYFUNCTION("GOOGLETRANSLATE(A2589 , ""tr"" , ""en"")"),"@drfahrettinka https://t.co/bojr3tboq5")</f>
        <v>@drfahrettinka https://t.co/bojr3tboq5</v>
      </c>
    </row>
    <row r="5791" spans="1:5" ht="15" customHeight="1" x14ac:dyDescent="0.2">
      <c r="A5791" s="1" t="s">
        <v>11542</v>
      </c>
      <c r="B5791" s="1">
        <v>22</v>
      </c>
      <c r="C5791" s="3">
        <v>44540.832557870373</v>
      </c>
      <c r="D5791" s="1" t="s">
        <v>11543</v>
      </c>
      <c r="E5791" s="1" t="str">
        <f ca="1">IFERROR(__xludf.DUMMYFUNCTION("GOOGLETRANSLATE(A2590 , ""tr"" , ""en"")"),"@drfahrettinkoca staring with husbands playing with numbers, you are not doing bushes from fooling people, globe cet ... https://t.co/sirpwqypyf")</f>
        <v>@drfahrettinkoca staring with husbands playing with numbers, you are not doing bushes from fooling people, globe cet ... https://t.co/sirpwqypyf</v>
      </c>
    </row>
    <row r="5792" spans="1:5" ht="15" customHeight="1" x14ac:dyDescent="0.2">
      <c r="A5792" s="1" t="s">
        <v>11544</v>
      </c>
      <c r="B5792" s="1">
        <v>7</v>
      </c>
      <c r="C5792" s="3">
        <v>44540.829930555556</v>
      </c>
      <c r="D5792" s="1" t="s">
        <v>11545</v>
      </c>
      <c r="E5792" s="1" t="str">
        <f ca="1">IFERROR(__xludf.DUMMYFUNCTION("GOOGLETRANSLATE(A2591 , ""tr"" , ""en"")"),"@drfahrettinka https://t.co/pmagyjmyu9")</f>
        <v>@drfahrettinka https://t.co/pmagyjmyu9</v>
      </c>
    </row>
    <row r="5793" spans="1:5" ht="15" customHeight="1" x14ac:dyDescent="0.2">
      <c r="A5793" s="1" t="s">
        <v>11546</v>
      </c>
      <c r="B5793" s="1">
        <v>0</v>
      </c>
      <c r="C5793" s="3">
        <v>44540.82885416667</v>
      </c>
      <c r="D5793" s="1" t="s">
        <v>11547</v>
      </c>
      <c r="E5793" s="1" t="str">
        <f ca="1">IFERROR(__xludf.DUMMYFUNCTION("GOOGLETRANSLATE(A2592 , ""tr"" , ""en"")"),"@drfahrettinkoca 2 Dose Sinovac LII I have tested the test yesterday, Positive.")</f>
        <v>@drfahrettinkoca 2 Dose Sinovac LII I have tested the test yesterday, Positive.</v>
      </c>
    </row>
    <row r="5794" spans="1:5" ht="15" customHeight="1" x14ac:dyDescent="0.2">
      <c r="A5794" s="1" t="s">
        <v>11548</v>
      </c>
      <c r="B5794" s="1">
        <v>1</v>
      </c>
      <c r="C5794" s="3">
        <v>44540.8281712963</v>
      </c>
      <c r="D5794" s="1" t="s">
        <v>11549</v>
      </c>
      <c r="E5794" s="1" t="str">
        <f ca="1">IFERROR(__xludf.DUMMYFUNCTION("GOOGLETRANSLATE(A2593 , ""tr"" , ""en"")"),"@drfahrettinkoca Asenat SMA Type 1 Deadly Muscle Patient. Supports to be able to hold up to 19 months and 9 pounds now ... https://t.co/k9bh4fvfa3")</f>
        <v>@drfahrettinkoca Asenat SMA Type 1 Deadly Muscle Patient. Supports to be able to hold up to 19 months and 9 pounds now ... https://t.co/k9bh4fvfa3</v>
      </c>
    </row>
    <row r="5795" spans="1:5" ht="15" customHeight="1" x14ac:dyDescent="0.2">
      <c r="A5795" s="1" t="s">
        <v>11550</v>
      </c>
      <c r="B5795" s="1">
        <v>2</v>
      </c>
      <c r="C5795" s="3">
        <v>44540.827847222223</v>
      </c>
      <c r="D5795" s="1" t="s">
        <v>11551</v>
      </c>
      <c r="E5795" s="1" t="str">
        <f ca="1">IFERROR(__xludf.DUMMYFUNCTION("GOOGLETRANSLATE(A2594 , ""tr"" , ""en"")"),"@drfahrettinkoca @saglikbakanligi Asenat SMA Type 1 Deadly Muscle Patient. Could be available for 19 months and 9 pounds now ... https://t.co/cbzondhxwy")</f>
        <v>@drfahrettinkoca @saglikbakanligi Asenat SMA Type 1 Deadly Muscle Patient. Could be available for 19 months and 9 pounds now ... https://t.co/cbzondhxwy</v>
      </c>
    </row>
    <row r="5796" spans="1:5" ht="15" customHeight="1" x14ac:dyDescent="0.2">
      <c r="A5796" s="1" t="s">
        <v>11552</v>
      </c>
      <c r="B5796" s="1">
        <v>0</v>
      </c>
      <c r="C5796" s="3">
        <v>44540.826736111114</v>
      </c>
      <c r="D5796" s="1" t="s">
        <v>11553</v>
      </c>
      <c r="E5796" s="1" t="str">
        <f ca="1">IFERROR(__xludf.DUMMYFUNCTION("GOOGLETRANSLATE(A2595 , ""tr"" , ""en"")"),"@drfahrettinkoca Now let's live with some facts please")</f>
        <v>@drfahrettinkoca Now let's live with some facts please</v>
      </c>
    </row>
    <row r="5797" spans="1:5" ht="15" customHeight="1" x14ac:dyDescent="0.2">
      <c r="A5797" s="1" t="s">
        <v>11554</v>
      </c>
      <c r="B5797" s="1">
        <v>0</v>
      </c>
      <c r="C5797" s="3">
        <v>44540.826574074075</v>
      </c>
      <c r="D5797" s="1" t="s">
        <v>11555</v>
      </c>
      <c r="E5797" s="1" t="str">
        <f ca="1">IFERROR(__xludf.DUMMYFUNCTION("GOOGLETRANSLATE(A2596 , ""tr"" , ""en"")"),"@drfahrettinkoca China, Russian, German, now Turkish. How many dose was total. How many dose dose you cut you. DSO of you and the Board of Science ... https://t.co/iimdykfygn")</f>
        <v>@drfahrettinkoca China, Russian, German, now Turkish. How many dose was total. How many dose dose you cut you. DSO of you and the Board of Science ... https://t.co/iimdykfygn</v>
      </c>
    </row>
    <row r="5798" spans="1:5" ht="15" customHeight="1" x14ac:dyDescent="0.2">
      <c r="A5798" s="1" t="s">
        <v>11556</v>
      </c>
      <c r="B5798" s="1">
        <v>0</v>
      </c>
      <c r="C5798" s="3">
        <v>44540.825555555559</v>
      </c>
      <c r="D5798" s="1" t="s">
        <v>11557</v>
      </c>
      <c r="E5798" s="1" t="str">
        <f ca="1">IFERROR(__xludf.DUMMYFUNCTION("GOOGLETRANSLATE(A2597 , ""tr"" , ""en"")"),"@drfahrettinkoca mason drop lie https://t.co/p0vn3bqx2j")</f>
        <v>@drfahrettinkoca mason drop lie https://t.co/p0vn3bqx2j</v>
      </c>
    </row>
    <row r="5799" spans="1:5" ht="15" customHeight="1" x14ac:dyDescent="0.2">
      <c r="A5799" s="1" t="s">
        <v>11558</v>
      </c>
      <c r="B5799" s="1">
        <v>1</v>
      </c>
      <c r="C5799" s="3">
        <v>44540.824386574073</v>
      </c>
      <c r="D5799" s="1" t="s">
        <v>11559</v>
      </c>
      <c r="E5799" s="1" t="str">
        <f ca="1">IFERROR(__xludf.DUMMYFUNCTION("GOOGLETRANSLATE(A2598 , ""tr"" , ""en"")"),"@drfahrettinkoca LAN or according to the eye people replacing idiots in place 18 thousand cases")</f>
        <v>@drfahrettinkoca LAN or according to the eye people replacing idiots in place 18 thousand cases</v>
      </c>
    </row>
    <row r="5800" spans="1:5" ht="15" customHeight="1" x14ac:dyDescent="0.2">
      <c r="A5800" s="1" t="s">
        <v>11560</v>
      </c>
      <c r="B5800" s="1">
        <v>0</v>
      </c>
      <c r="C5800" s="3">
        <v>44540.824305555558</v>
      </c>
      <c r="D5800" s="1" t="s">
        <v>11561</v>
      </c>
      <c r="E5800" s="1" t="str">
        <f ca="1">IFERROR(__xludf.DUMMYFUNCTION("GOOGLETRANSLATE(A2599 , ""tr"" , ""en"")"),"@drfahrettinkoca Dying Virus with two drops of Cologne has not been able to kill with very sacred liquids for 12 months. If you have injected Bari Cologne")</f>
        <v>@drfahrettinkoca Dying Virus with two drops of Cologne has not been able to kill with very sacred liquids for 12 months. If you have injected Bari Cologne</v>
      </c>
    </row>
    <row r="5801" spans="1:5" ht="15" customHeight="1" x14ac:dyDescent="0.2">
      <c r="A5801" s="1" t="s">
        <v>11562</v>
      </c>
      <c r="B5801" s="1">
        <v>0</v>
      </c>
      <c r="C5801" s="3">
        <v>44540.823194444441</v>
      </c>
      <c r="D5801" s="1" t="s">
        <v>11563</v>
      </c>
      <c r="E5801" s="1" t="str">
        <f ca="1">IFERROR(__xludf.DUMMYFUNCTION("GOOGLETRANSLATE(A2600 , ""tr"" , ""en"")"),"@drfahrettinkoca how many overdose vaccines are counted completed. 4,5,6,7,100")</f>
        <v>@drfahrettinkoca how many overdose vaccines are counted completed. 4,5,6,7,100</v>
      </c>
    </row>
    <row r="5802" spans="1:5" ht="15" customHeight="1" x14ac:dyDescent="0.2">
      <c r="A5802" s="1" t="s">
        <v>11564</v>
      </c>
      <c r="B5802" s="1">
        <v>1</v>
      </c>
      <c r="C5802" s="3">
        <v>44540.823113425926</v>
      </c>
      <c r="D5802" s="1" t="s">
        <v>11565</v>
      </c>
      <c r="E5802" s="1" t="str">
        <f ca="1">IFERROR(__xludf.DUMMYFUNCTION("GOOGLETRANSLATE(A2601 , ""tr"" , ""en"")"),"@drfahrettinka continue to sell vaccine :) You have downloaded the case Reis This case only exits Istanbul")</f>
        <v>@drfahrettinka continue to sell vaccine :) You have downloaded the case Reis This case only exits Istanbul</v>
      </c>
    </row>
    <row r="5803" spans="1:5" ht="15" customHeight="1" x14ac:dyDescent="0.2">
      <c r="A5803" s="1" t="s">
        <v>11566</v>
      </c>
      <c r="B5803" s="1">
        <v>0</v>
      </c>
      <c r="C5803" s="3">
        <v>44540.822870370372</v>
      </c>
      <c r="D5803" s="1" t="s">
        <v>11567</v>
      </c>
      <c r="E5803" s="1" t="str">
        <f ca="1">IFERROR(__xludf.DUMMYFUNCTION("GOOGLETRANSLATE(A2602 , ""tr"" , ""en"")"),"@drfahrettinkoca asshole")</f>
        <v>@drfahrettinkoca asshole</v>
      </c>
    </row>
    <row r="5804" spans="1:5" ht="15" customHeight="1" x14ac:dyDescent="0.2">
      <c r="A5804" s="1" t="s">
        <v>11568</v>
      </c>
      <c r="B5804" s="1">
        <v>1</v>
      </c>
      <c r="C5804" s="3">
        <v>44540.822708333333</v>
      </c>
      <c r="D5804" s="1" t="s">
        <v>11569</v>
      </c>
      <c r="E5804" s="1" t="str">
        <f ca="1">IFERROR(__xludf.DUMMYFUNCTION("GOOGLETRANSLATE(A2603 , ""tr"" , ""en"")"),"@drfahrettinkoca has a stable decline, this job will be finished on the stove, as you will be finished, the climate crisis")</f>
        <v>@drfahrettinkoca has a stable decline, this job will be finished on the stove, as you will be finished, the climate crisis</v>
      </c>
    </row>
    <row r="5805" spans="1:5" ht="15" customHeight="1" x14ac:dyDescent="0.2">
      <c r="A5805" s="1" t="s">
        <v>11570</v>
      </c>
      <c r="B5805" s="1">
        <v>16</v>
      </c>
      <c r="C5805" s="3">
        <v>44540.822615740741</v>
      </c>
      <c r="D5805" s="1" t="s">
        <v>11571</v>
      </c>
      <c r="E5805" s="1" t="str">
        <f ca="1">IFERROR(__xludf.DUMMYFUNCTION("GOOGLETRANSLATE(A2604 , ""tr"" , ""en"")"),"@drfahrettinkoca Ministry of 30 million purchasing guide What happened year is over 1 2 days you said weeks have passed 1 2 weeks ... https://t.co/9gw6dnz3qt")</f>
        <v>@drfahrettinkoca Ministry of 30 million purchasing guide What happened year is over 1 2 days you said weeks have passed 1 2 weeks ... https://t.co/9gw6dnz3qt</v>
      </c>
    </row>
    <row r="5806" spans="1:5" ht="15" customHeight="1" x14ac:dyDescent="0.2">
      <c r="A5806" s="1" t="s">
        <v>11572</v>
      </c>
      <c r="B5806" s="1">
        <v>3</v>
      </c>
      <c r="C5806" s="3">
        <v>44540.821527777778</v>
      </c>
      <c r="D5806" s="1" t="s">
        <v>11573</v>
      </c>
      <c r="E5806" s="1" t="str">
        <f ca="1">IFERROR(__xludf.DUMMYFUNCTION("GOOGLETRANSLATE(A2605 , ""tr"" , ""en"")"),"@drfahrettinka you are the koskoca doctor but for some reason, you are treating like biontec representation. How is both the doctor ... https://t.co/4m0nohh7co")</f>
        <v>@drfahrettinka you are the koskoca doctor but for some reason, you are treating like biontec representation. How is both the doctor ... https://t.co/4m0nohh7co</v>
      </c>
    </row>
    <row r="5807" spans="1:5" ht="15" customHeight="1" x14ac:dyDescent="0.2">
      <c r="A5807" s="1" t="s">
        <v>11574</v>
      </c>
      <c r="B5807" s="1">
        <v>0</v>
      </c>
      <c r="C5807" s="3">
        <v>44540.820173611108</v>
      </c>
      <c r="D5807" s="1" t="s">
        <v>11575</v>
      </c>
      <c r="E5807" s="1" t="str">
        <f ca="1">IFERROR(__xludf.DUMMYFUNCTION("GOOGLETRANSLATE(A2606 , ""tr"" , ""en"")"),"@drfahrettinkoca metaverse Ye global reset and poundiza to people has taken 10 thousand steps to give people by TC ID ... https://t.co/ovghpueahj")</f>
        <v>@drfahrettinkoca metaverse Ye global reset and poundiza to people has taken 10 thousand steps to give people by TC ID ... https://t.co/ovghpueahj</v>
      </c>
    </row>
    <row r="5808" spans="1:5" ht="15" customHeight="1" x14ac:dyDescent="0.2">
      <c r="A5808" s="1" t="s">
        <v>11576</v>
      </c>
      <c r="B5808" s="1">
        <v>5</v>
      </c>
      <c r="C5808" s="3">
        <v>44540.819409722222</v>
      </c>
      <c r="D5808" s="1" t="s">
        <v>11577</v>
      </c>
      <c r="E5808" s="1" t="str">
        <f ca="1">IFERROR(__xludf.DUMMYFUNCTION("GOOGLETRANSLATE(A2607 , ""tr"" , ""en"")"),"@drfahrettinka if you're not going to be the kowid when you get. But the vaccine is Covid and you can fall on my intention. Be vaccine but ted ... https://t.co/gbxn7m2ty3")</f>
        <v>@drfahrettinka if you're not going to be the kowid when you get. But the vaccine is Covid and you can fall on my intention. Be vaccine but ted ... https://t.co/gbxn7m2ty3</v>
      </c>
    </row>
    <row r="5809" spans="1:5" ht="15" customHeight="1" x14ac:dyDescent="0.2">
      <c r="A5809" s="1" t="s">
        <v>11578</v>
      </c>
      <c r="B5809" s="1">
        <v>5</v>
      </c>
      <c r="C5809" s="3">
        <v>44540.819131944445</v>
      </c>
      <c r="D5809" s="1" t="s">
        <v>11579</v>
      </c>
      <c r="E5809" s="1" t="str">
        <f ca="1">IFERROR(__xludf.DUMMYFUNCTION("GOOGLETRANSLATE(A2608 , ""tr"" , ""en"")"),"@drfahrettinkoca covide is caught caught, to be vaccinated and driving the drugs you give !!")</f>
        <v>@drfahrettinkoca covide is caught caught, to be vaccinated and driving the drugs you give !!</v>
      </c>
    </row>
    <row r="5810" spans="1:5" ht="15" customHeight="1" x14ac:dyDescent="0.2">
      <c r="A5810" s="1" t="s">
        <v>11580</v>
      </c>
      <c r="B5810" s="1">
        <v>4</v>
      </c>
      <c r="C5810" s="3">
        <v>44540.818206018521</v>
      </c>
      <c r="D5810" s="1" t="s">
        <v>11581</v>
      </c>
      <c r="E5810" s="1" t="str">
        <f ca="1">IFERROR(__xludf.DUMMYFUNCTION("GOOGLETRANSLATE(A2609 , ""tr"" , ""en"")"),"@drfahrettinkoca is a human heart to break the heart how much sin you are ignoring so many people, you have broken the heart. Allah is with us.")</f>
        <v>@drfahrettinkoca is a human heart to break the heart how much sin you are ignoring so many people, you have broken the heart. Allah is with us.</v>
      </c>
    </row>
    <row r="5811" spans="1:5" ht="15" customHeight="1" x14ac:dyDescent="0.2">
      <c r="A5811" s="1" t="s">
        <v>11582</v>
      </c>
      <c r="B5811" s="1">
        <v>7</v>
      </c>
      <c r="C5811" s="3">
        <v>44540.818020833336</v>
      </c>
      <c r="D5811" s="1" t="s">
        <v>11583</v>
      </c>
      <c r="E5811" s="1" t="str">
        <f ca="1">IFERROR(__xludf.DUMMYFUNCTION("GOOGLETRANSLATE(A2610 , ""tr"" , ""en"")"),"@drfahrettinkoca Talkke fell. https://t.co/qjugjdf3j2")</f>
        <v>@drfahrettinkoca Talkke fell. https://t.co/qjugjdf3j2</v>
      </c>
    </row>
    <row r="5812" spans="1:5" ht="15" customHeight="1" x14ac:dyDescent="0.2">
      <c r="A5812" s="1" t="s">
        <v>11584</v>
      </c>
      <c r="B5812" s="1">
        <v>0</v>
      </c>
      <c r="C5812" s="3">
        <v>44540.81726851852</v>
      </c>
      <c r="D5812" s="1" t="s">
        <v>11585</v>
      </c>
      <c r="E5812" s="1" t="str">
        <f ca="1">IFERROR(__xludf.DUMMYFUNCTION("GOOGLETRANSLATE(A2611 , ""tr"" , ""en"")"),"Reduce @drfahrettinka vaccine interval 6 months Make 5 months instead of going to go and make it. Also the flu ... https://t.co/8lb6f4j4q8")</f>
        <v>Reduce @drfahrettinka vaccine interval 6 months Make 5 months instead of going to go and make it. Also the flu ... https://t.co/8lb6f4j4q8</v>
      </c>
    </row>
    <row r="5813" spans="1:5" ht="15" customHeight="1" x14ac:dyDescent="0.2">
      <c r="A5813" s="1" t="s">
        <v>11586</v>
      </c>
      <c r="B5813" s="1">
        <v>0</v>
      </c>
      <c r="C5813" s="3">
        <v>44540.816701388889</v>
      </c>
      <c r="D5813" s="1" t="s">
        <v>11587</v>
      </c>
      <c r="E5813" s="1" t="str">
        <f ca="1">IFERROR(__xludf.DUMMYFUNCTION("GOOGLETRANSLATE(A2612 , ""tr"" , ""en"")"),"@drfahrettinkoca Ücaba Do you see my writings Mr. @drfahrettinkoca thoroughly where you will see business ... https://t.co/jhgbjjenrb4")</f>
        <v>@drfahrettinkoca Ücaba Do you see my writings Mr. @drfahrettinkoca thoroughly where you will see business ... https://t.co/jhgbjjenrb4</v>
      </c>
    </row>
    <row r="5814" spans="1:5" ht="15" customHeight="1" x14ac:dyDescent="0.2">
      <c r="A5814" s="1" t="s">
        <v>11588</v>
      </c>
      <c r="B5814" s="1">
        <v>0</v>
      </c>
      <c r="C5814" s="3">
        <v>44540.81658564815</v>
      </c>
      <c r="D5814" s="1" t="s">
        <v>11589</v>
      </c>
      <c r="E5814" s="1" t="str">
        <f ca="1">IFERROR(__xludf.DUMMYFUNCTION("GOOGLETRANSLATE(A2613 , ""tr"" , ""en"")"),"@drfahrettinkoca How many pieces will")</f>
        <v>@drfahrettinkoca How many pieces will</v>
      </c>
    </row>
    <row r="5815" spans="1:5" ht="15" customHeight="1" x14ac:dyDescent="0.2">
      <c r="A5815" s="1" t="s">
        <v>11590</v>
      </c>
      <c r="B5815" s="1">
        <v>0</v>
      </c>
      <c r="C5815" s="3">
        <v>44540.816319444442</v>
      </c>
      <c r="D5815" s="1" t="s">
        <v>11591</v>
      </c>
      <c r="E5815" s="1" t="str">
        <f ca="1">IFERROR(__xludf.DUMMYFUNCTION("GOOGLETRANSLATE(A2614 , ""tr"" , ""en"")"),"@drfahrettinkoca Antalya's children https://t.co/ud3szdtwv9")</f>
        <v>@drfahrettinkoca Antalya's children https://t.co/ud3szdtwv9</v>
      </c>
    </row>
    <row r="5816" spans="1:5" ht="15" customHeight="1" x14ac:dyDescent="0.2">
      <c r="A5816" s="1" t="s">
        <v>11592</v>
      </c>
      <c r="B5816" s="1">
        <v>1</v>
      </c>
      <c r="C5816" s="3">
        <v>44540.816250000003</v>
      </c>
      <c r="D5816" s="1" t="s">
        <v>11593</v>
      </c>
      <c r="E5816" s="1" t="str">
        <f ca="1">IFERROR(__xludf.DUMMYFUNCTION("GOOGLETRANSLATE(A2615 , ""tr"" , ""en"")"),"@drfahrettinka Mr. Ministry If you have a little break to impose the vaccine in the hikes in the hikes when you have handed in the hikes, the nation ... https://t.co/csn7csaroa")</f>
        <v>@drfahrettinka Mr. Ministry If you have a little break to impose the vaccine in the hikes in the hikes when you have handed in the hikes, the nation ... https://t.co/csn7csaroa</v>
      </c>
    </row>
    <row r="5817" spans="1:5" ht="15" customHeight="1" x14ac:dyDescent="0.2">
      <c r="A5817" s="1" t="s">
        <v>11594</v>
      </c>
      <c r="B5817" s="1">
        <v>0</v>
      </c>
      <c r="C5817" s="3">
        <v>44540.815925925926</v>
      </c>
      <c r="D5817" s="1" t="s">
        <v>11595</v>
      </c>
      <c r="E5817" s="1" t="str">
        <f ca="1">IFERROR(__xludf.DUMMYFUNCTION("GOOGLETRANSLATE(A2616 , ""tr"" , ""en"")"),"@drfahrettinkoca Look at Twitter Every day we want to do our job from Twitter very simple YAF G ... HTTPS://T.CO/ZBSKUUVNU")</f>
        <v>@drfahrettinkoca Look at Twitter Every day we want to do our job from Twitter very simple YAF G ... HTTPS://T.CO/ZBSKUUVNU</v>
      </c>
    </row>
    <row r="5818" spans="1:5" ht="15" customHeight="1" x14ac:dyDescent="0.2">
      <c r="A5818" s="1" t="s">
        <v>11596</v>
      </c>
      <c r="B5818" s="1">
        <v>1</v>
      </c>
      <c r="C5818" s="3">
        <v>44540.815879629627</v>
      </c>
      <c r="D5818" s="1" t="s">
        <v>11597</v>
      </c>
      <c r="E5818" s="1" t="str">
        <f ca="1">IFERROR(__xludf.DUMMYFUNCTION("GOOGLETRANSLATE(A2617 , ""tr"" , ""en"")"),"@drfahrettinkoca allah will settle up the minister you have to be your effort because of your effort")</f>
        <v>@drfahrettinkoca allah will settle up the minister you have to be your effort because of your effort</v>
      </c>
    </row>
    <row r="5819" spans="1:5" ht="15" customHeight="1" x14ac:dyDescent="0.2">
      <c r="A5819" s="1" t="s">
        <v>11598</v>
      </c>
      <c r="B5819" s="1">
        <v>0</v>
      </c>
      <c r="C5819" s="3">
        <v>44540.814953703702</v>
      </c>
      <c r="D5819" s="1" t="s">
        <v>11599</v>
      </c>
      <c r="E5819" s="1" t="str">
        <f ca="1">IFERROR(__xludf.DUMMYFUNCTION("GOOGLETRANSLATE(A2618 , ""tr"" , ""en"")"),"@drfahrettinka Mr. Vebali on your Vebali Hubby @drfahrettinkoca")</f>
        <v>@drfahrettinka Mr. Vebali on your Vebali Hubby @drfahrettinkoca</v>
      </c>
    </row>
    <row r="5820" spans="1:5" ht="15" customHeight="1" x14ac:dyDescent="0.2">
      <c r="A5820" s="1" t="s">
        <v>11600</v>
      </c>
      <c r="B5820" s="1">
        <v>0</v>
      </c>
      <c r="C5820" s="3">
        <v>44540.814444444448</v>
      </c>
      <c r="D5820" s="1" t="s">
        <v>11601</v>
      </c>
      <c r="E5820" s="1" t="str">
        <f ca="1">IFERROR(__xludf.DUMMYFUNCTION("GOOGLETRANSLATE(A2619 , ""tr"" , ""en"")"),"@drfahrettinkoca @drfahrettinkoca Clavy Come now")</f>
        <v>@drfahrettinkoca @drfahrettinkoca Clavy Come now</v>
      </c>
    </row>
    <row r="5821" spans="1:5" ht="15" customHeight="1" x14ac:dyDescent="0.2">
      <c r="A5821" s="1" t="s">
        <v>11602</v>
      </c>
      <c r="B5821" s="1">
        <v>0</v>
      </c>
      <c r="C5821" s="3">
        <v>44540.814085648148</v>
      </c>
      <c r="D5821" s="1" t="s">
        <v>11603</v>
      </c>
      <c r="E5821" s="1" t="str">
        <f ca="1">IFERROR(__xludf.DUMMYFUNCTION("GOOGLETRANSLATE(A2620 , ""tr"" , ""en"")"),"@drfahrettinkoca 🤯viral water 🔥that shock the world 🐏🐏🐏🐏🐏🐏g https://t.co/hplmfbwutf")</f>
        <v>@drfahrettinkoca 🤯viral water 🔥that shock the world 🐏🐏🐏🐏🐏🐏g https://t.co/hplmfbwutf</v>
      </c>
    </row>
    <row r="5822" spans="1:5" ht="15" customHeight="1" x14ac:dyDescent="0.2">
      <c r="A5822" s="1" t="s">
        <v>11604</v>
      </c>
      <c r="B5822" s="1">
        <v>0</v>
      </c>
      <c r="C5822" s="3">
        <v>44540.813831018517</v>
      </c>
      <c r="D5822" s="1" t="s">
        <v>11605</v>
      </c>
      <c r="E5822" s="1" t="str">
        <f ca="1">IFERROR(__xludf.DUMMYFUNCTION("GOOGLETRANSLATE(A2621 , ""tr"" , ""en"")"),"@drfahrettinkoca Allah is able to weigh with you, tail, zam! Sabgredin, don't rebel! This is Ecevit either, the people of the heart ... https://t.co/otetcpzuq3")</f>
        <v>@drfahrettinkoca Allah is able to weigh with you, tail, zam! Sabgredin, don't rebel! This is Ecevit either, the people of the heart ... https://t.co/otetcpzuq3</v>
      </c>
    </row>
    <row r="5823" spans="1:5" ht="15" customHeight="1" x14ac:dyDescent="0.2">
      <c r="A5823" s="1" t="s">
        <v>11606</v>
      </c>
      <c r="B5823" s="1">
        <v>0</v>
      </c>
      <c r="C5823" s="3">
        <v>44540.813449074078</v>
      </c>
      <c r="D5823" s="1" t="s">
        <v>11607</v>
      </c>
      <c r="E5823" s="1" t="str">
        <f ca="1">IFERROR(__xludf.DUMMYFUNCTION("GOOGLETRANSLATE(A2622 , ""tr"" , ""en"")"),"@drfahrettinkoca not even when you care is the words given Demi")</f>
        <v>@drfahrettinkoca not even when you care is the words given Demi</v>
      </c>
    </row>
    <row r="5824" spans="1:5" ht="15" customHeight="1" x14ac:dyDescent="0.2">
      <c r="A5824" s="1" t="s">
        <v>11608</v>
      </c>
      <c r="B5824" s="1">
        <v>0</v>
      </c>
      <c r="C5824" s="3">
        <v>44540.81181712963</v>
      </c>
      <c r="D5824" s="1" t="s">
        <v>11609</v>
      </c>
      <c r="E5824" s="1" t="str">
        <f ca="1">IFERROR(__xludf.DUMMYFUNCTION("GOOGLETRANSLATE(A2623 , ""tr"" , ""en"")"),"@drfahrettinkoca Mr. Minister This accurate is the result of an unfinished study ... HTTPS://T.CO/SIUFE1iozx")</f>
        <v>@drfahrettinkoca Mr. Minister This accurate is the result of an unfinished study ... HTTPS://T.CO/SIUFE1iozx</v>
      </c>
    </row>
    <row r="5825" spans="1:5" ht="15" customHeight="1" x14ac:dyDescent="0.2">
      <c r="A5825" s="1" t="s">
        <v>11610</v>
      </c>
      <c r="B5825" s="1">
        <v>1</v>
      </c>
      <c r="C5825" s="3">
        <v>44540.811655092592</v>
      </c>
      <c r="D5825" s="1" t="s">
        <v>11611</v>
      </c>
      <c r="E5825" s="1" t="str">
        <f ca="1">IFERROR(__xludf.DUMMYFUNCTION("GOOGLETRANSLATE(A2624 , ""tr"" , ""en"")"),"@drfahrettinka https://t.co/nzjxwhtlqk")</f>
        <v>@drfahrettinka https://t.co/nzjxwhtlqk</v>
      </c>
    </row>
    <row r="5826" spans="1:5" ht="15" customHeight="1" x14ac:dyDescent="0.2">
      <c r="A5826" s="1" t="s">
        <v>11612</v>
      </c>
      <c r="B5826" s="1">
        <v>0</v>
      </c>
      <c r="C5826" s="3">
        <v>44540.811157407406</v>
      </c>
      <c r="D5826" s="1" t="s">
        <v>11613</v>
      </c>
      <c r="E5826" s="1" t="str">
        <f ca="1">IFERROR(__xludf.DUMMYFUNCTION("GOOGLETRANSLATE(A2625 , ""tr"" , ""en"")"),"@drfahrettinkoca The ministry that does not stop in the words he gave. What happened to the assignment")</f>
        <v>@drfahrettinkoca The ministry that does not stop in the words he gave. What happened to the assignment</v>
      </c>
    </row>
    <row r="5827" spans="1:5" ht="15" customHeight="1" x14ac:dyDescent="0.2">
      <c r="A5827" s="1" t="s">
        <v>11614</v>
      </c>
      <c r="B5827" s="1">
        <v>0</v>
      </c>
      <c r="C5827" s="3">
        <v>44540.809537037036</v>
      </c>
      <c r="D5827" s="1" t="s">
        <v>11615</v>
      </c>
      <c r="E5827" s="1" t="str">
        <f ca="1">IFERROR(__xludf.DUMMYFUNCTION("GOOGLETRANSLATE(A2626 , ""tr"" , ""en"")"),"@drfahrettinkoca will hope we will get rid of this illness")</f>
        <v>@drfahrettinkoca will hope we will get rid of this illness</v>
      </c>
    </row>
    <row r="5828" spans="1:5" ht="15" customHeight="1" x14ac:dyDescent="0.2">
      <c r="A5828" s="1" t="s">
        <v>11616</v>
      </c>
      <c r="B5828" s="1">
        <v>0</v>
      </c>
      <c r="C5828" s="3">
        <v>44540.809467592589</v>
      </c>
      <c r="D5828" s="1" t="s">
        <v>11617</v>
      </c>
      <c r="E5828" s="1" t="str">
        <f ca="1">IFERROR(__xludf.DUMMYFUNCTION("GOOGLETRANSLATE(A2627 , ""tr"" , ""en"")"),"@drfahrettinka 2023 @herkesicinchp nin will in🏼")</f>
        <v>@drfahrettinka 2023 @herkesicinchp nin will in🏼</v>
      </c>
    </row>
    <row r="5829" spans="1:5" ht="15" customHeight="1" x14ac:dyDescent="0.2">
      <c r="A5829" s="1" t="s">
        <v>11618</v>
      </c>
      <c r="B5829" s="1">
        <v>0</v>
      </c>
      <c r="C5829" s="3">
        <v>44540.809467592589</v>
      </c>
      <c r="D5829" s="1" t="s">
        <v>11619</v>
      </c>
      <c r="E5829" s="1" t="str">
        <f ca="1">IFERROR(__xludf.DUMMYFUNCTION("GOOGLETRANSLATE(A2628 , ""tr"" , ""en"")"),"@drfahrettinkoca cavit19 did not have an outbreak that you have worries #plandemitiatrosu #reyair #fahrettinkocaistifa https://t.co/d3kdcjnkak")</f>
        <v>@drfahrettinkoca cavit19 did not have an outbreak that you have worries #plandemitiatrosu #reyair #fahrettinkocaistifa https://t.co/d3kdcjnkak</v>
      </c>
    </row>
    <row r="5830" spans="1:5" ht="15" customHeight="1" x14ac:dyDescent="0.2">
      <c r="A5830" s="1" t="s">
        <v>11620</v>
      </c>
      <c r="B5830" s="1">
        <v>0</v>
      </c>
      <c r="C5830" s="3">
        <v>44540.80878472222</v>
      </c>
      <c r="D5830" s="1" t="s">
        <v>11621</v>
      </c>
      <c r="E5830" s="1" t="str">
        <f ca="1">IFERROR(__xludf.DUMMYFUNCTION("GOOGLETRANSLATE(A2629 , ""tr"" , ""en"")"),"@drfahrettinkoca Give the net information when these vaccines will be completed! 10.doz the last mu😂")</f>
        <v>@drfahrettinkoca Give the net information when these vaccines will be completed! 10.doz the last mu😂</v>
      </c>
    </row>
    <row r="5831" spans="1:5" ht="15" customHeight="1" x14ac:dyDescent="0.2">
      <c r="A5831" s="1" t="s">
        <v>11622</v>
      </c>
      <c r="B5831" s="1">
        <v>0</v>
      </c>
      <c r="C5831" s="3">
        <v>44540.807858796295</v>
      </c>
      <c r="D5831" s="1" t="s">
        <v>11623</v>
      </c>
      <c r="E5831" s="1" t="str">
        <f ca="1">IFERROR(__xludf.DUMMYFUNCTION("GOOGLETRANSLATE(A2630 , ""tr"" , ""en"")"),"@drfahrettinkoca What Vaccination Nenti PCR test is very happy and also very healthy vaccines in those who do not have respect ... https://t.co/lbfibjzik0")</f>
        <v>@drfahrettinkoca What Vaccination Nenti PCR test is very happy and also very healthy vaccines in those who do not have respect ... https://t.co/lbfibjzik0</v>
      </c>
    </row>
    <row r="5832" spans="1:5" ht="15" customHeight="1" x14ac:dyDescent="0.2">
      <c r="A5832" s="1" t="s">
        <v>11624</v>
      </c>
      <c r="B5832" s="1">
        <v>9</v>
      </c>
      <c r="C5832" s="3">
        <v>44540.806898148148</v>
      </c>
      <c r="D5832" s="1" t="s">
        <v>11625</v>
      </c>
      <c r="E5832" s="1" t="str">
        <f ca="1">IFERROR(__xludf.DUMMYFUNCTION("GOOGLETRANSLATE(A2631 , ""tr"" , ""en"")"),"@drfahrettinkoca We don't believe you in the first starts you have been doing like the guy you haven't realizing your task now no longer remain")</f>
        <v>@drfahrettinkoca We don't believe you in the first starts you have been doing like the guy you haven't realizing your task now no longer remain</v>
      </c>
    </row>
    <row r="5833" spans="1:5" ht="15" customHeight="1" x14ac:dyDescent="0.2">
      <c r="A5833" s="1" t="s">
        <v>11626</v>
      </c>
      <c r="B5833" s="1">
        <v>0</v>
      </c>
      <c r="C5833" s="3">
        <v>44540.806585648148</v>
      </c>
      <c r="D5833" s="1" t="s">
        <v>11627</v>
      </c>
      <c r="E5833" s="1" t="str">
        <f ca="1">IFERROR(__xludf.DUMMYFUNCTION("GOOGLETRANSLATE(A2632 , ""tr"" , ""en"")"),"@drfahrettinkoca 3 Dose Sinovac has been running out of protectorism over how many months is over 4 months")</f>
        <v>@drfahrettinkoca 3 Dose Sinovac has been running out of protectorism over how many months is over 4 months</v>
      </c>
    </row>
    <row r="5834" spans="1:5" ht="15" customHeight="1" x14ac:dyDescent="0.2">
      <c r="A5834" s="1" t="s">
        <v>11628</v>
      </c>
      <c r="B5834" s="1">
        <v>0</v>
      </c>
      <c r="C5834" s="3">
        <v>44540.806145833332</v>
      </c>
      <c r="D5834" s="1" t="s">
        <v>11629</v>
      </c>
      <c r="E5834" s="1" t="str">
        <f ca="1">IFERROR(__xludf.DUMMYFUNCTION("GOOGLETRANSLATE(A2633 , ""tr"" , ""en"")"),"@drfahrettinkoca is on top of the daily coronia. I would recommend to look at you in the mirror first.")</f>
        <v>@drfahrettinkoca is on top of the daily coronia. I would recommend to look at you in the mirror first.</v>
      </c>
    </row>
    <row r="5835" spans="1:5" ht="15" customHeight="1" x14ac:dyDescent="0.2">
      <c r="A5835" s="1" t="s">
        <v>11630</v>
      </c>
      <c r="B5835" s="1">
        <v>0</v>
      </c>
      <c r="C5835" s="3">
        <v>44540.806076388886</v>
      </c>
      <c r="D5835" s="1" t="s">
        <v>11631</v>
      </c>
      <c r="E5835" s="1" t="str">
        <f ca="1">IFERROR(__xludf.DUMMYFUNCTION("GOOGLETRANSLATE(A2634 , ""tr"" , ""en"")"),"@drfahrettinkoca adana also full of intensities.")</f>
        <v>@drfahrettinkoca adana also full of intensities.</v>
      </c>
    </row>
    <row r="5836" spans="1:5" ht="15" customHeight="1" x14ac:dyDescent="0.2">
      <c r="A5836" s="1" t="s">
        <v>11632</v>
      </c>
      <c r="B5836" s="1">
        <v>3</v>
      </c>
      <c r="C5836" s="3">
        <v>44540.805347222224</v>
      </c>
      <c r="D5836" s="1" t="s">
        <v>11633</v>
      </c>
      <c r="E5836" s="1" t="str">
        <f ca="1">IFERROR(__xludf.DUMMYFUNCTION("GOOGLETRANSLATE(A2635 , ""tr"" , ""en"")"),"@drfahrettinkoca According to your map, our Army province is leading in vaccination. So in the first place. If you look at the case map of the army ... https://t.co/faf4I5pmnt")</f>
        <v>@drfahrettinkoca According to your map, our Army province is leading in vaccination. So in the first place. If you look at the case map of the army ... https://t.co/faf4I5pmnt</v>
      </c>
    </row>
    <row r="5837" spans="1:5" ht="15" customHeight="1" x14ac:dyDescent="0.2">
      <c r="A5837" s="1" t="s">
        <v>11634</v>
      </c>
      <c r="B5837" s="1">
        <v>0</v>
      </c>
      <c r="C5837" s="3">
        <v>44540.805127314816</v>
      </c>
      <c r="D5837" s="1" t="s">
        <v>11635</v>
      </c>
      <c r="E5837" s="1" t="str">
        <f ca="1">IFERROR(__xludf.DUMMYFUNCTION("GOOGLETRANSLATE(A2636 , ""tr"" , ""en"")"),"@drfahrettinkoca Mr. Ministry I'm in the 65 year old chroner risk group.3 times I've been to Sinovak vaccine was 5 months. Beastek vaccine ... https://t.co/TSI9DBKLU9")</f>
        <v>@drfahrettinkoca Mr. Ministry I'm in the 65 year old chroner risk group.3 times I've been to Sinovak vaccine was 5 months. Beastek vaccine ... https://t.co/TSI9DBKLU9</v>
      </c>
    </row>
    <row r="5838" spans="1:5" ht="15" customHeight="1" x14ac:dyDescent="0.2">
      <c r="A5838" s="1" t="s">
        <v>11636</v>
      </c>
      <c r="B5838" s="1">
        <v>0</v>
      </c>
      <c r="C5838" s="3">
        <v>44540.802754629629</v>
      </c>
      <c r="D5838" s="1" t="s">
        <v>11637</v>
      </c>
      <c r="E5838" s="1" t="str">
        <f ca="1">IFERROR(__xludf.DUMMYFUNCTION("GOOGLETRANSLATE(A2637 , ""tr"" , ""en"")"),"@drfahrettinkoca inshallah is destroyed with God's permission")</f>
        <v>@drfahrettinkoca inshallah is destroyed with God's permission</v>
      </c>
    </row>
    <row r="5839" spans="1:5" ht="15" customHeight="1" x14ac:dyDescent="0.2">
      <c r="A5839" s="1" t="s">
        <v>11638</v>
      </c>
      <c r="B5839" s="1">
        <v>0</v>
      </c>
      <c r="C5839" s="3">
        <v>44540.801354166666</v>
      </c>
      <c r="D5839" s="1" t="s">
        <v>11639</v>
      </c>
      <c r="E5839" s="1" t="str">
        <f ca="1">IFERROR(__xludf.DUMMYFUNCTION("GOOGLETRANSLATE(A2638 , ""tr"" , ""en"")"),"@drfahrettinkoca you will say no puddies who died in the hospital, as well as ""puddles spread the virus, PCR should be made, mask ... https://t.co/qmft2jlhce")</f>
        <v>@drfahrettinkoca you will say no puddies who died in the hospital, as well as "puddles spread the virus, PCR should be made, mask ... https://t.co/qmft2jlhce</v>
      </c>
    </row>
    <row r="5840" spans="1:5" ht="15" customHeight="1" x14ac:dyDescent="0.2">
      <c r="A5840" s="1" t="s">
        <v>11640</v>
      </c>
      <c r="B5840" s="1">
        <v>0</v>
      </c>
      <c r="C5840" s="3">
        <v>44540.80133101852</v>
      </c>
      <c r="D5840" s="1" t="s">
        <v>11641</v>
      </c>
      <c r="E5840" s="1" t="str">
        <f ca="1">IFERROR(__xludf.DUMMYFUNCTION("GOOGLETRANSLATE(A2639 , ""tr"" , ""en"")"),"@drfahrettinkoca get out")</f>
        <v>@drfahrettinkoca get out</v>
      </c>
    </row>
    <row r="5841" spans="1:5" ht="15" customHeight="1" x14ac:dyDescent="0.2">
      <c r="A5841" s="1" t="s">
        <v>11642</v>
      </c>
      <c r="B5841" s="1">
        <v>0</v>
      </c>
      <c r="C5841" s="3">
        <v>44540.801122685189</v>
      </c>
      <c r="D5841" s="1" t="s">
        <v>11643</v>
      </c>
      <c r="E5841" s="1" t="str">
        <f ca="1">IFERROR(__xludf.DUMMYFUNCTION("GOOGLETRANSLATE(A2640 , ""tr"" , ""en"")"),"@drfahrettinka Mr. Minister, my mother was 85 years old, 3 dose Sinovac, the last one is 29.07.2021. For 4.Doz (Biontek ... https://t.co/byrb3315w6")</f>
        <v>@drfahrettinka Mr. Minister, my mother was 85 years old, 3 dose Sinovac, the last one is 29.07.2021. For 4.Doz (Biontek ... https://t.co/byrb3315w6</v>
      </c>
    </row>
    <row r="5842" spans="1:5" ht="15" customHeight="1" x14ac:dyDescent="0.2">
      <c r="A5842" s="1" t="s">
        <v>11644</v>
      </c>
      <c r="B5842" s="1">
        <v>0</v>
      </c>
      <c r="C5842" s="3">
        <v>44540.800682870373</v>
      </c>
      <c r="D5842" s="1" t="s">
        <v>11645</v>
      </c>
      <c r="E5842" s="1" t="str">
        <f ca="1">IFERROR(__xludf.DUMMYFUNCTION("GOOGLETRANSLATE(A2641 , ""tr"" , ""en"")"),"@drfahrettinkoca issued words not held again and even though 32 days goes through. We are unable to suit the Ministry of Health ... https://t.co/hv6ktfh5us")</f>
        <v>@drfahrettinkoca issued words not held again and even though 32 days goes through. We are unable to suit the Ministry of Health ... https://t.co/hv6ktfh5us</v>
      </c>
    </row>
    <row r="5843" spans="1:5" ht="15" customHeight="1" x14ac:dyDescent="0.2">
      <c r="A5843" s="1" t="s">
        <v>11646</v>
      </c>
      <c r="B5843" s="1">
        <v>0</v>
      </c>
      <c r="C5843" s="3">
        <v>44540.800266203703</v>
      </c>
      <c r="D5843" s="1" t="s">
        <v>11647</v>
      </c>
      <c r="E5843" s="1" t="str">
        <f ca="1">IFERROR(__xludf.DUMMYFUNCTION("GOOGLETRANSLATE(A2642 , ""tr"" , ""en"")"),"@drfahrettinkoca assignment assignment")</f>
        <v>@drfahrettinkoca assignment assignment</v>
      </c>
    </row>
    <row r="5844" spans="1:5" ht="15" customHeight="1" x14ac:dyDescent="0.2">
      <c r="A5844" s="1" t="s">
        <v>11648</v>
      </c>
      <c r="B5844" s="1">
        <v>1</v>
      </c>
      <c r="C5844" s="3">
        <v>44540.800162037034</v>
      </c>
      <c r="D5844" s="1" t="s">
        <v>11649</v>
      </c>
      <c r="E5844" s="1" t="str">
        <f ca="1">IFERROR(__xludf.DUMMYFUNCTION("GOOGLETRANSLATE(A2643 , ""tr"" , ""en"")"),"@drfahrettinkoca @drfahrettinkoca you still say the vaccine all these assignment is how you ignore the people waiting for a ... https://t.co/n93aykkqar")</f>
        <v>@drfahrettinkoca @drfahrettinkoca you still say the vaccine all these assignment is how you ignore the people waiting for a ... https://t.co/n93aykkqar</v>
      </c>
    </row>
    <row r="5845" spans="1:5" ht="15" customHeight="1" x14ac:dyDescent="0.2">
      <c r="A5845" s="1" t="s">
        <v>11650</v>
      </c>
      <c r="B5845" s="1">
        <v>0</v>
      </c>
      <c r="C5845" s="3">
        <v>44540.800104166665</v>
      </c>
      <c r="D5845" s="1" t="s">
        <v>11651</v>
      </c>
      <c r="E5845" s="1" t="str">
        <f ca="1">IFERROR(__xludf.DUMMYFUNCTION("GOOGLETRANSLATE(A2644 , ""tr"" , ""en"")"),"@drfahrettinkoca Hello Mr. Ministry 2 dose is biontech and the corana is either captured and need to be a 3rd overdose.")</f>
        <v>@drfahrettinkoca Hello Mr. Ministry 2 dose is biontech and the corana is either captured and need to be a 3rd overdose.</v>
      </c>
    </row>
    <row r="5846" spans="1:5" ht="15" customHeight="1" x14ac:dyDescent="0.2">
      <c r="A5846" s="1" t="s">
        <v>11652</v>
      </c>
      <c r="B5846" s="1">
        <v>2</v>
      </c>
      <c r="C5846" s="3">
        <v>44540.799097222225</v>
      </c>
      <c r="D5846" s="1" t="s">
        <v>11653</v>
      </c>
      <c r="E5846" s="1" t="str">
        <f ca="1">IFERROR(__xludf.DUMMYFUNCTION("GOOGLETRANSLATE(A2645 , ""tr"" , ""en"")"),"@drfahrettinkoca #denkliksorunu # equilibriLarerdogan Please Exit the young people now Take us to life Fairy ... https://t.co/8udt3at0sa")</f>
        <v>@drfahrettinkoca #denkliksorunu # equilibriLarerdogan Please Exit the young people now Take us to life Fairy ... https://t.co/8udt3at0sa</v>
      </c>
    </row>
    <row r="5847" spans="1:5" ht="15" customHeight="1" x14ac:dyDescent="0.2">
      <c r="A5847" s="1" t="s">
        <v>11654</v>
      </c>
      <c r="B5847" s="1">
        <v>0</v>
      </c>
      <c r="C5847" s="3">
        <v>44540.799085648148</v>
      </c>
      <c r="D5847" s="1" t="s">
        <v>11655</v>
      </c>
      <c r="E5847" s="1" t="str">
        <f ca="1">IFERROR(__xludf.DUMMYFUNCTION("GOOGLETRANSLATE(A2646 , ""tr"" , ""en"")"),"@drfahrettinkoca has a minister, the Koskoca2021 years in the Koskoca2021 year, 1 Persone in the so-called Year of Healthiers ... https://t.co/krn1wopqlx")</f>
        <v>@drfahrettinkoca has a minister, the Koskoca2021 years in the Koskoca2021 year, 1 Persone in the so-called Year of Healthiers ... https://t.co/krn1wopqlx</v>
      </c>
    </row>
    <row r="5848" spans="1:5" ht="15" customHeight="1" x14ac:dyDescent="0.2">
      <c r="A5848" s="1" t="s">
        <v>11656</v>
      </c>
      <c r="B5848" s="1">
        <v>3</v>
      </c>
      <c r="C5848" s="3">
        <v>44540.799004629633</v>
      </c>
      <c r="D5848" s="1" t="s">
        <v>11657</v>
      </c>
      <c r="E5848" s="1" t="str">
        <f ca="1">IFERROR(__xludf.DUMMYFUNCTION("GOOGLETRANSLATE(A2647 , ""tr"" , ""en"")"),"@drfahrettinkoca consultants, vaccination rate is 5 times more than the number of cases in the provinces remaining low ... https://t.co/52gixikx4t")</f>
        <v>@drfahrettinkoca consultants, vaccination rate is 5 times more than the number of cases in the provinces remaining low ... https://t.co/52gixikx4t</v>
      </c>
    </row>
    <row r="5849" spans="1:5" ht="15" customHeight="1" x14ac:dyDescent="0.2">
      <c r="A5849" s="1" t="s">
        <v>11658</v>
      </c>
      <c r="B5849" s="1">
        <v>1</v>
      </c>
      <c r="C5849" s="3">
        <v>44540.798958333333</v>
      </c>
      <c r="D5849" s="1" t="s">
        <v>11659</v>
      </c>
      <c r="E5849" s="1" t="str">
        <f ca="1">IFERROR(__xludf.DUMMYFUNCTION("GOOGLETRANSLATE(A2648 , ""tr"" , ""en"")"),"@drfahrettinka https://t.co/7sfuf1joe3")</f>
        <v>@drfahrettinka https://t.co/7sfuf1joe3</v>
      </c>
    </row>
    <row r="5850" spans="1:5" ht="15" customHeight="1" x14ac:dyDescent="0.2">
      <c r="A5850" s="1" t="s">
        <v>11660</v>
      </c>
      <c r="B5850" s="1">
        <v>0</v>
      </c>
      <c r="C5850" s="3">
        <v>44540.798564814817</v>
      </c>
      <c r="D5850" s="1" t="s">
        <v>11661</v>
      </c>
      <c r="E5850" s="1" t="str">
        <f ca="1">IFERROR(__xludf.DUMMYFUNCTION("GOOGLETRANSLATE(A2649 , ""tr"" , ""en"")"),"@drfahrettinka https://t.co/qgb88asvae")</f>
        <v>@drfahrettinka https://t.co/qgb88asvae</v>
      </c>
    </row>
    <row r="5851" spans="1:5" ht="15" customHeight="1" x14ac:dyDescent="0.2">
      <c r="A5851" s="1" t="s">
        <v>11662</v>
      </c>
      <c r="B5851" s="1">
        <v>2</v>
      </c>
      <c r="C5851" s="3">
        <v>44540.797615740739</v>
      </c>
      <c r="D5851" s="1" t="s">
        <v>11663</v>
      </c>
      <c r="E5851" s="1" t="str">
        <f ca="1">IFERROR(__xludf.DUMMYFUNCTION("GOOGLETRANSLATE(A2650 , ""tr"" , ""en"")"),"@drfahrettinka Do you tell Mr. Mahmut Özer Bey to open Twitter? Thanks")</f>
        <v>@drfahrettinka Do you tell Mr. Mahmut Özer Bey to open Twitter? Thanks</v>
      </c>
    </row>
    <row r="5852" spans="1:5" ht="15" customHeight="1" x14ac:dyDescent="0.2">
      <c r="A5852" s="1" t="s">
        <v>11664</v>
      </c>
      <c r="B5852" s="1">
        <v>1</v>
      </c>
      <c r="C5852" s="3">
        <v>44540.79755787037</v>
      </c>
      <c r="D5852" s="1" t="s">
        <v>11665</v>
      </c>
      <c r="E5852" s="1" t="str">
        <f ca="1">IFERROR(__xludf.DUMMYFUNCTION("GOOGLETRANSLATE(A2651 , ""tr"" , ""en"")"),"@drfahrettinka https://t.co/7ev8roqswp")</f>
        <v>@drfahrettinka https://t.co/7ev8roqswp</v>
      </c>
    </row>
    <row r="5853" spans="1:5" ht="15" customHeight="1" x14ac:dyDescent="0.2">
      <c r="A5853" s="1" t="s">
        <v>11666</v>
      </c>
      <c r="B5853" s="1">
        <v>1</v>
      </c>
      <c r="C5853" s="3">
        <v>44540.797106481485</v>
      </c>
      <c r="D5853" s="1" t="s">
        <v>11667</v>
      </c>
      <c r="E5853" s="1" t="str">
        <f ca="1">IFERROR(__xludf.DUMMYFUNCTION("GOOGLETRANSLATE(A2652 , ""tr"" , ""en"")"),"@drfahrettinka Mr. Minister Children 4 years old 10 days quarantine is called mother vaccine is hard to go to work ... https://t.co/j4GU7SI1xt")</f>
        <v>@drfahrettinka Mr. Minister Children 4 years old 10 days quarantine is called mother vaccine is hard to go to work ... https://t.co/j4GU7SI1xt</v>
      </c>
    </row>
    <row r="5854" spans="1:5" ht="15" customHeight="1" x14ac:dyDescent="0.2">
      <c r="A5854" s="1" t="s">
        <v>11668</v>
      </c>
      <c r="B5854" s="1">
        <v>0</v>
      </c>
      <c r="C5854" s="3">
        <v>44540.796898148146</v>
      </c>
      <c r="D5854" s="1" t="s">
        <v>11669</v>
      </c>
      <c r="E5854" s="1" t="str">
        <f ca="1">IFERROR(__xludf.DUMMYFUNCTION("GOOGLETRANSLATE(A2653 , ""tr"" , ""en"")"),"@drfahrettinka Mr. Mr. Looking place The place has tweeted even for a cat. But here is 750 thousand young generations screaming ... https://t.co/km9d7spltj")</f>
        <v>@drfahrettinka Mr. Mr. Looking place The place has tweeted even for a cat. But here is 750 thousand young generations screaming ... https://t.co/km9d7spltj</v>
      </c>
    </row>
    <row r="5855" spans="1:5" ht="15" customHeight="1" x14ac:dyDescent="0.2">
      <c r="A5855" s="1" t="s">
        <v>11670</v>
      </c>
      <c r="B5855" s="1">
        <v>1</v>
      </c>
      <c r="C5855" s="3">
        <v>44540.796712962961</v>
      </c>
      <c r="D5855" s="1" t="s">
        <v>11671</v>
      </c>
      <c r="E5855" s="1" t="str">
        <f ca="1">IFERROR(__xludf.DUMMYFUNCTION("GOOGLETRANSLATE(A2654 , ""tr"" , ""en"")"),"@drfahrettinkoca Mr. Minister, follow schools. return to facts.")</f>
        <v>@drfahrettinkoca Mr. Minister, follow schools. return to facts.</v>
      </c>
    </row>
    <row r="5856" spans="1:5" ht="15" customHeight="1" x14ac:dyDescent="0.2">
      <c r="A5856" s="1" t="s">
        <v>11672</v>
      </c>
      <c r="B5856" s="1">
        <v>0</v>
      </c>
      <c r="C5856" s="3">
        <v>44540.794594907406</v>
      </c>
      <c r="D5856" s="1" t="s">
        <v>11673</v>
      </c>
      <c r="E5856" s="1" t="str">
        <f ca="1">IFERROR(__xludf.DUMMYFUNCTION("GOOGLETRANSLATE(A2655 , ""tr"" , ""en"")"),"@drfahrettinkoca hospitals cannot find an appointment in Corona you will break nation from other diseases in this departure")</f>
        <v>@drfahrettinkoca hospitals cannot find an appointment in Corona you will break nation from other diseases in this departure</v>
      </c>
    </row>
    <row r="5857" spans="1:5" ht="15" customHeight="1" x14ac:dyDescent="0.2">
      <c r="A5857" s="1" t="s">
        <v>11674</v>
      </c>
      <c r="B5857" s="1">
        <v>1</v>
      </c>
      <c r="C5857" s="3">
        <v>44540.794293981482</v>
      </c>
      <c r="D5857" s="1" t="s">
        <v>11675</v>
      </c>
      <c r="E5857" s="1" t="str">
        <f ca="1">IFERROR(__xludf.DUMMYFUNCTION("GOOGLETRANSLATE(A2656 , ""tr"" , ""en"")"),"@drfahrettinkoca Health Management Graduates are waiting for assignment @drfahrettinkoca # HealthNetimeKadro")</f>
        <v>@drfahrettinkoca Health Management Graduates are waiting for assignment @drfahrettinkoca # HealthNetimeKadro</v>
      </c>
    </row>
    <row r="5858" spans="1:5" ht="15" customHeight="1" x14ac:dyDescent="0.2">
      <c r="A5858" s="1" t="s">
        <v>11676</v>
      </c>
      <c r="B5858" s="1">
        <v>3</v>
      </c>
      <c r="C5858" s="3">
        <v>44540.794166666667</v>
      </c>
      <c r="D5858" s="1" t="s">
        <v>11677</v>
      </c>
      <c r="E5858" s="1" t="str">
        <f ca="1">IFERROR(__xludf.DUMMYFUNCTION("GOOGLETRANSLATE(A2657 , ""tr"" , ""en"")"),"@drfahrettinka is in Europe in Africa in Africa while the cases are increasing. Why do we sleep to the rules ... https://t.co/ffhbiyfdya")</f>
        <v>@drfahrettinka is in Europe in Africa in Africa while the cases are increasing. Why do we sleep to the rules ... https://t.co/ffhbiyfdya</v>
      </c>
    </row>
    <row r="5859" spans="1:5" ht="15" customHeight="1" x14ac:dyDescent="0.2">
      <c r="A5859" s="1" t="s">
        <v>11678</v>
      </c>
      <c r="B5859" s="1">
        <v>2</v>
      </c>
      <c r="C5859" s="3">
        <v>44540.79383101852</v>
      </c>
      <c r="D5859" s="1" t="s">
        <v>11679</v>
      </c>
      <c r="E5859" s="1" t="str">
        <f ca="1">IFERROR(__xludf.DUMMYFUNCTION("GOOGLETRANSLATE(A2658 , ""tr"" , ""en"")"),"@drfahrettinkoca Your young people's psychological health is broken. Intiicide interference B ... https://t.co/8eypz313yf")</f>
        <v>@drfahrettinkoca Your young people's psychological health is broken. Intiicide interference B ... https://t.co/8eypz313yf</v>
      </c>
    </row>
    <row r="5860" spans="1:5" ht="15" customHeight="1" x14ac:dyDescent="0.2">
      <c r="A5860" s="1" t="s">
        <v>11680</v>
      </c>
      <c r="B5860" s="1">
        <v>12</v>
      </c>
      <c r="C5860" s="3">
        <v>44540.793796296297</v>
      </c>
      <c r="D5860" s="1" t="s">
        <v>11681</v>
      </c>
      <c r="E5860" s="1" t="str">
        <f ca="1">IFERROR(__xludf.DUMMYFUNCTION("GOOGLETRANSLATE(A2659 , ""tr"" , ""en"")"),"@drfahrettinkoca What world do you live in Mr. Minister? We have Hasya and passfats we see with our eye ... https://t.co/e2bnjobxt0")</f>
        <v>@drfahrettinkoca What world do you live in Mr. Minister? We have Hasya and passfats we see with our eye ... https://t.co/e2bnjobxt0</v>
      </c>
    </row>
    <row r="5861" spans="1:5" ht="15" customHeight="1" x14ac:dyDescent="0.2">
      <c r="A5861" s="1" t="s">
        <v>11682</v>
      </c>
      <c r="B5861" s="1">
        <v>0</v>
      </c>
      <c r="C5861" s="3">
        <v>44540.793576388889</v>
      </c>
      <c r="D5861" s="1" t="s">
        <v>11683</v>
      </c>
      <c r="E5861" s="1" t="str">
        <f ca="1">IFERROR(__xludf.DUMMYFUNCTION("GOOGLETRANSLATE(A2660 , ""tr"" , ""en"")"),"@drfahrettinkoca either get fast test compulsion or do not have the obligation to go on the imagination is crowd of classes")</f>
        <v>@drfahrettinkoca either get fast test compulsion or do not have the obligation to go on the imagination is crowd of classes</v>
      </c>
    </row>
    <row r="5862" spans="1:5" ht="15" customHeight="1" x14ac:dyDescent="0.2">
      <c r="A5862" s="1" t="s">
        <v>11684</v>
      </c>
      <c r="B5862" s="1">
        <v>11</v>
      </c>
      <c r="C5862" s="3">
        <v>44540.792291666665</v>
      </c>
      <c r="D5862" s="1" t="s">
        <v>11685</v>
      </c>
      <c r="E5862" s="1" t="str">
        <f ca="1">IFERROR(__xludf.DUMMYFUNCTION("GOOGLETRANSLATE(A2661 , ""tr"" , ""en"")"),"@drfahrettinkoca I don't believe this table, we believe that we see with our eyes Yesterday 30 years old Covidden V ... https://t.co/9bsdmycpk2")</f>
        <v>@drfahrettinkoca I don't believe this table, we believe that we see with our eyes Yesterday 30 years old Covidden V ... https://t.co/9bsdmycpk2</v>
      </c>
    </row>
    <row r="5863" spans="1:5" ht="15" customHeight="1" x14ac:dyDescent="0.2">
      <c r="A5863" s="1" t="s">
        <v>11686</v>
      </c>
      <c r="B5863" s="1">
        <v>0</v>
      </c>
      <c r="C5863" s="3">
        <v>44540.792233796295</v>
      </c>
      <c r="D5863" s="1" t="s">
        <v>11687</v>
      </c>
      <c r="E5863" s="1" t="str">
        <f ca="1">IFERROR(__xludf.DUMMYFUNCTION("GOOGLETRANSLATE(A2662 , ""tr"" , ""en"")"),"@drfahrettinkoca country health system have crashed news")</f>
        <v>@drfahrettinkoca country health system have crashed news</v>
      </c>
    </row>
    <row r="5864" spans="1:5" ht="15" customHeight="1" x14ac:dyDescent="0.2">
      <c r="A5864" s="1" t="s">
        <v>11688</v>
      </c>
      <c r="B5864" s="1">
        <v>0</v>
      </c>
      <c r="C5864" s="3">
        <v>44540.791886574072</v>
      </c>
      <c r="D5864" s="1" t="s">
        <v>11689</v>
      </c>
      <c r="E5864" s="1" t="str">
        <f ca="1">IFERROR(__xludf.DUMMYFUNCTION("GOOGLETRANSLATE(A2663 , ""tr"" , ""en"")"),"@drfahrettinkoca chronigim lakin whatever you do, still won't be a vaccine")</f>
        <v>@drfahrettinkoca chronigim lakin whatever you do, still won't be a vaccine</v>
      </c>
    </row>
    <row r="5865" spans="1:5" ht="15" customHeight="1" x14ac:dyDescent="0.2">
      <c r="A5865" s="1" t="s">
        <v>11690</v>
      </c>
      <c r="B5865" s="1">
        <v>4</v>
      </c>
      <c r="C5865" s="3">
        <v>44540.79109953704</v>
      </c>
      <c r="D5865" s="1" t="s">
        <v>11691</v>
      </c>
      <c r="E5865" s="1" t="str">
        <f ca="1">IFERROR(__xludf.DUMMYFUNCTION("GOOGLETRANSLATE(A2664 , ""tr"" , ""en"")"),"@drfahrettinkoca In the neighbors, Covid patients and decephate in relatives have increased this intermediate. But how can this table be reduced ???????")</f>
        <v>@drfahrettinkoca In the neighbors, Covid patients and decephate in relatives have increased this intermediate. But how can this table be reduced ???????</v>
      </c>
    </row>
    <row r="5866" spans="1:5" ht="15" customHeight="1" x14ac:dyDescent="0.2">
      <c r="A5866" s="1" t="s">
        <v>11692</v>
      </c>
      <c r="B5866" s="1">
        <v>3</v>
      </c>
      <c r="C5866" s="3">
        <v>44540.790844907409</v>
      </c>
      <c r="D5866" s="1" t="s">
        <v>11693</v>
      </c>
      <c r="E5866" s="1" t="str">
        <f ca="1">IFERROR(__xludf.DUMMYFUNCTION("GOOGLETRANSLATE(A2665 , ""tr"" , ""en"")"),"@drfahrettinkoca he believed. The Minister of Health said, immediately vaccine olacaz.😂😂😂")</f>
        <v>@drfahrettinkoca he believed. The Minister of Health said, immediately vaccine olacaz.😂😂😂</v>
      </c>
    </row>
    <row r="5867" spans="1:5" ht="15" customHeight="1" x14ac:dyDescent="0.2">
      <c r="A5867" s="1" t="s">
        <v>11694</v>
      </c>
      <c r="B5867" s="1">
        <v>0</v>
      </c>
      <c r="C5867" s="3">
        <v>44540.790625000001</v>
      </c>
      <c r="D5867" s="1" t="s">
        <v>11695</v>
      </c>
      <c r="E5867" s="1" t="str">
        <f ca="1">IFERROR(__xludf.DUMMYFUNCTION("GOOGLETRANSLATE(A2666 , ""tr"" , ""en"")"),"@drfahrettinkoca You don't already have unlocked with your sozles?")</f>
        <v>@drfahrettinkoca You don't already have unlocked with your sozles?</v>
      </c>
    </row>
    <row r="5868" spans="1:5" ht="15" customHeight="1" x14ac:dyDescent="0.2">
      <c r="A5868" s="1" t="s">
        <v>11696</v>
      </c>
      <c r="B5868" s="1">
        <v>2</v>
      </c>
      <c r="C5868" s="3">
        <v>44540.790381944447</v>
      </c>
      <c r="D5868" s="1" t="s">
        <v>11697</v>
      </c>
      <c r="E5868" s="1" t="str">
        <f ca="1">IFERROR(__xludf.DUMMYFUNCTION("GOOGLETRANSLATE(A2667 , ""tr"" , ""en"")"),"@drfahrettinka schools in schools are increasing sick children, we do not believe in this table")</f>
        <v>@drfahrettinka schools in schools are increasing sick children, we do not believe in this table</v>
      </c>
    </row>
    <row r="5869" spans="1:5" ht="15" customHeight="1" x14ac:dyDescent="0.2">
      <c r="A5869" s="1" t="s">
        <v>11698</v>
      </c>
      <c r="B5869" s="1">
        <v>5</v>
      </c>
      <c r="C5869" s="3">
        <v>44540.789733796293</v>
      </c>
      <c r="D5869" s="1" t="s">
        <v>11699</v>
      </c>
      <c r="E5869" s="1" t="str">
        <f ca="1">IFERROR(__xludf.DUMMYFUNCTION("GOOGLETRANSLATE(A2668 , ""tr"" , ""en"")"),"@drfahrettinkoca completed cases if they would make cases 50K measures to take precautions Economy Hitik Kasali Money in the money ... https://t.co/aabjzynmru")</f>
        <v>@drfahrettinkoca completed cases if they would make cases 50K measures to take precautions Economy Hitik Kasali Money in the money ... https://t.co/aabjzynmru</v>
      </c>
    </row>
    <row r="5870" spans="1:5" ht="15" customHeight="1" x14ac:dyDescent="0.2">
      <c r="A5870" s="1" t="s">
        <v>11700</v>
      </c>
      <c r="B5870" s="1">
        <v>0</v>
      </c>
      <c r="C5870" s="3">
        <v>44540.789351851854</v>
      </c>
      <c r="D5870" s="1" t="s">
        <v>11701</v>
      </c>
      <c r="E5870" s="1" t="str">
        <f ca="1">IFERROR(__xludf.DUMMYFUNCTION("GOOGLETRANSLATE(A2669 , ""tr"" , ""en"")"),"@drfahrettinka https://t.co/8otj0ILXQC")</f>
        <v>@drfahrettinka https://t.co/8otj0ILXQC</v>
      </c>
    </row>
    <row r="5871" spans="1:5" ht="15" customHeight="1" x14ac:dyDescent="0.2">
      <c r="A5871" s="1" t="s">
        <v>11702</v>
      </c>
      <c r="B5871" s="1">
        <v>0</v>
      </c>
      <c r="C5871" s="3">
        <v>44540.789305555554</v>
      </c>
      <c r="D5871" s="1" t="s">
        <v>11703</v>
      </c>
      <c r="E5871" s="1" t="str">
        <f ca="1">IFERROR(__xludf.DUMMYFUNCTION("GOOGLETRANSLATE(A2670 , ""tr"" , ""en"")"),"@drfahrettinkoca Basaramaycksn Ki Allha Battle You have opened")</f>
        <v>@drfahrettinkoca Basaramaycksn Ki Allha Battle You have opened</v>
      </c>
    </row>
    <row r="5872" spans="1:5" ht="15" customHeight="1" x14ac:dyDescent="0.2">
      <c r="A5872" s="1" t="s">
        <v>11704</v>
      </c>
      <c r="B5872" s="1">
        <v>0</v>
      </c>
      <c r="C5872" s="3">
        <v>44540.788784722223</v>
      </c>
      <c r="D5872" s="1" t="s">
        <v>11705</v>
      </c>
      <c r="E5872" s="1" t="str">
        <f ca="1">IFERROR(__xludf.DUMMYFUNCTION("GOOGLETRANSLATE(A2671 , ""tr"" , ""en"")"),"@drfahrettinkoca quit meat get out")</f>
        <v>@drfahrettinkoca quit meat get out</v>
      </c>
    </row>
    <row r="5873" spans="1:5" ht="15" customHeight="1" x14ac:dyDescent="0.2">
      <c r="A5873" s="1" t="s">
        <v>11706</v>
      </c>
      <c r="B5873" s="1">
        <v>0</v>
      </c>
      <c r="C5873" s="3">
        <v>44540.788773148146</v>
      </c>
      <c r="D5873" s="1" t="s">
        <v>11707</v>
      </c>
      <c r="E5873" s="1" t="str">
        <f ca="1">IFERROR(__xludf.DUMMYFUNCTION("GOOGLETRANSLATE(A2672 , ""tr"" , ""en"")"),"@drfahrettinkoca is swear in your ritual to change our genetig Musnz.hori Me Horimeeee")</f>
        <v>@drfahrettinkoca is swear in your ritual to change our genetig Musnz.hori Me Horimeeee</v>
      </c>
    </row>
    <row r="5874" spans="1:5" ht="15" customHeight="1" x14ac:dyDescent="0.2">
      <c r="A5874" s="1" t="s">
        <v>11708</v>
      </c>
      <c r="B5874" s="1">
        <v>0</v>
      </c>
      <c r="C5874" s="3">
        <v>44540.786944444444</v>
      </c>
      <c r="D5874" s="1" t="s">
        <v>11709</v>
      </c>
      <c r="E5874" s="1" t="str">
        <f ca="1">IFERROR(__xludf.DUMMYFUNCTION("GOOGLETRANSLATE(A2673 , ""tr"" , ""en"")"),"@drfahrettinkoca we beat as much tweets Herdde no one sees the right of the health or by other people.")</f>
        <v>@drfahrettinkoca we beat as much tweets Herdde no one sees the right of the health or by other people.</v>
      </c>
    </row>
    <row r="5875" spans="1:5" ht="15" customHeight="1" x14ac:dyDescent="0.2">
      <c r="A5875" s="1" t="s">
        <v>11710</v>
      </c>
      <c r="B5875" s="1">
        <v>1</v>
      </c>
      <c r="C5875" s="3">
        <v>44540.786608796298</v>
      </c>
      <c r="D5875" s="1" t="s">
        <v>11711</v>
      </c>
      <c r="E5875" s="1" t="str">
        <f ca="1">IFERROR(__xludf.DUMMYFUNCTION("GOOGLETRANSLATE(A2674 , ""tr"" , ""en"")"),"@drfahrettinkoca no one has a mask-distance.")</f>
        <v>@drfahrettinkoca no one has a mask-distance.</v>
      </c>
    </row>
    <row r="5876" spans="1:5" ht="15" customHeight="1" x14ac:dyDescent="0.2">
      <c r="A5876" s="1" t="s">
        <v>11712</v>
      </c>
      <c r="B5876" s="1">
        <v>1</v>
      </c>
      <c r="C5876" s="3">
        <v>44540.786354166667</v>
      </c>
      <c r="D5876" s="1" t="s">
        <v>11713</v>
      </c>
      <c r="E5876" s="1" t="str">
        <f ca="1">IFERROR(__xludf.DUMMYFUNCTION("GOOGLETRANSLATE(A2675 , ""tr"" , ""en"")"),"@drfahrettinkoca come on yaa 😂bak you! You have become the coch of the foxmu")</f>
        <v>@drfahrettinkoca come on yaa 😂bak you! You have become the coch of the foxmu</v>
      </c>
    </row>
    <row r="5877" spans="1:5" ht="15" customHeight="1" x14ac:dyDescent="0.2">
      <c r="A5877" s="1" t="s">
        <v>11714</v>
      </c>
      <c r="B5877" s="1">
        <v>0</v>
      </c>
      <c r="C5877" s="3">
        <v>44540.786215277774</v>
      </c>
      <c r="D5877" s="1" t="s">
        <v>11715</v>
      </c>
      <c r="E5877" s="1" t="str">
        <f ca="1">IFERROR(__xludf.DUMMYFUNCTION("GOOGLETRANSLATE(A2676 , ""tr"" , ""en"")"),"@drfahrettinkoca 5 months ago you had to increase the number before the number has not increased the guide did not also come to the grid more years ... https://t.co/oy6ydflf8b")</f>
        <v>@drfahrettinkoca 5 months ago you had to increase the number before the number has not increased the guide did not also come to the grid more years ... https://t.co/oy6ydflf8b</v>
      </c>
    </row>
    <row r="5878" spans="1:5" ht="15" customHeight="1" x14ac:dyDescent="0.2">
      <c r="A5878" s="1" t="s">
        <v>11716</v>
      </c>
      <c r="B5878" s="1">
        <v>0</v>
      </c>
      <c r="C5878" s="3">
        <v>44540.786134259259</v>
      </c>
      <c r="D5878" s="1" t="s">
        <v>11717</v>
      </c>
      <c r="E5878" s="1" t="str">
        <f ca="1">IFERROR(__xludf.DUMMYFUNCTION("GOOGLETRANSLATE(A2677 , ""tr"" , ""en"")"),"@drfahrettinkoca Dear Minister, 2 dose of biontech when to be defined when our 3rd dose of biontech will be defined?")</f>
        <v>@drfahrettinkoca Dear Minister, 2 dose of biontech when to be defined when our 3rd dose of biontech will be defined?</v>
      </c>
    </row>
    <row r="5879" spans="1:5" ht="15" customHeight="1" x14ac:dyDescent="0.2">
      <c r="A5879" s="1" t="s">
        <v>11718</v>
      </c>
      <c r="B5879" s="1">
        <v>0</v>
      </c>
      <c r="C5879" s="3">
        <v>44540.785416666666</v>
      </c>
      <c r="D5879" s="1" t="s">
        <v>11719</v>
      </c>
      <c r="E5879" s="1" t="str">
        <f ca="1">IFERROR(__xludf.DUMMYFUNCTION("GOOGLETRANSLATE(A2678 , ""tr"" , ""en"")"),"@drfahrettinkoca 90 ustu score score and cannot be assigned to these gencles counting to dietitians")</f>
        <v>@drfahrettinkoca 90 ustu score score and cannot be assigned to these gencles counting to dietitians</v>
      </c>
    </row>
    <row r="5880" spans="1:5" ht="15" customHeight="1" x14ac:dyDescent="0.2">
      <c r="A5880" s="1" t="s">
        <v>11720</v>
      </c>
      <c r="B5880" s="1">
        <v>0</v>
      </c>
      <c r="C5880" s="3">
        <v>44540.785173611112</v>
      </c>
      <c r="D5880" s="1" t="s">
        <v>11721</v>
      </c>
      <c r="E5880" s="1" t="str">
        <f ca="1">IFERROR(__xludf.DUMMYFUNCTION("GOOGLETRANSLATE(A2679 , ""tr"" , ""en"")"),"@drfahrettinkoca Age 68. So the unknown in what is in the fact that the manufacturer does not take responsibility ... https://t.co/o3mgltti2b")</f>
        <v>@drfahrettinkoca Age 68. So the unknown in what is in the fact that the manufacturer does not take responsibility ... https://t.co/o3mgltti2b</v>
      </c>
    </row>
    <row r="5881" spans="1:5" ht="15" customHeight="1" x14ac:dyDescent="0.2">
      <c r="A5881" s="1" t="s">
        <v>11722</v>
      </c>
      <c r="B5881" s="1">
        <v>3</v>
      </c>
      <c r="C5881" s="3">
        <v>44540.785127314812</v>
      </c>
      <c r="D5881" s="1" t="s">
        <v>11723</v>
      </c>
      <c r="E5881" s="1" t="str">
        <f ca="1">IFERROR(__xludf.DUMMYFUNCTION("GOOGLETRANSLATE(A2680 , ""tr"" , ""en"")"),"@drfahrettinkoca Dad and my mother caught Covide. I took it to the hospital, they called the situations well and sent it home. 3 days ... https://t.co/yv8we0ol3d")</f>
        <v>@drfahrettinkoca Dad and my mother caught Covide. I took it to the hospital, they called the situations well and sent it home. 3 days ... https://t.co/yv8we0ol3d</v>
      </c>
    </row>
    <row r="5882" spans="1:5" ht="15" customHeight="1" x14ac:dyDescent="0.2">
      <c r="A5882" s="1" t="s">
        <v>11724</v>
      </c>
      <c r="B5882" s="1">
        <v>0</v>
      </c>
      <c r="C5882" s="3">
        <v>44540.785046296296</v>
      </c>
      <c r="D5882" s="1" t="s">
        <v>11725</v>
      </c>
      <c r="E5882" s="1" t="str">
        <f ca="1">IFERROR(__xludf.DUMMYFUNCTION("GOOGLETRANSLATE(A2681 , ""tr"" , ""en"")"),"@drfahrettinkoca If we are able to continue without closure to our lives today, thanks to this vaccination. 18 years A ... https://t.co/xrn7mcrdyf")</f>
        <v>@drfahrettinkoca If we are able to continue without closure to our lives today, thanks to this vaccination. 18 years A ... https://t.co/xrn7mcrdyf</v>
      </c>
    </row>
    <row r="5883" spans="1:5" ht="15" customHeight="1" x14ac:dyDescent="0.2">
      <c r="A5883" s="1" t="s">
        <v>11726</v>
      </c>
      <c r="B5883" s="1">
        <v>0</v>
      </c>
      <c r="C5883" s="3">
        <v>44540.784791666665</v>
      </c>
      <c r="D5883" s="1" t="s">
        <v>11727</v>
      </c>
      <c r="E5883" s="1" t="str">
        <f ca="1">IFERROR(__xludf.DUMMYFUNCTION("GOOGLETRANSLATE(A2682 , ""tr"" , ""en"")"),"@drfahrettinkoca 13 months are only 60 dietitians Atamaci .... 90 ustu Dietitians with rating agencies ... Https://t.co/yl3w8fjcy7")</f>
        <v>@drfahrettinkoca 13 months are only 60 dietitians Atamaci .... 90 ustu Dietitians with rating agencies ... Https://t.co/yl3w8fjcy7</v>
      </c>
    </row>
    <row r="5884" spans="1:5" ht="15" customHeight="1" x14ac:dyDescent="0.2">
      <c r="A5884" s="1" t="s">
        <v>11728</v>
      </c>
      <c r="B5884" s="1">
        <v>1</v>
      </c>
      <c r="C5884" s="3">
        <v>44540.784687500003</v>
      </c>
      <c r="D5884" s="1" t="s">
        <v>11729</v>
      </c>
      <c r="E5884" s="1" t="str">
        <f ca="1">IFERROR(__xludf.DUMMYFUNCTION("GOOGLETRANSLATE(A2683 , ""tr"" , ""en"")"),"@drfahrettinka Show real case numbers")</f>
        <v>@drfahrettinka Show real case numbers</v>
      </c>
    </row>
    <row r="5885" spans="1:5" ht="15" customHeight="1" x14ac:dyDescent="0.2">
      <c r="A5885" s="1" t="s">
        <v>11730</v>
      </c>
      <c r="B5885" s="1">
        <v>0</v>
      </c>
      <c r="C5885" s="3">
        <v>44540.78398148148</v>
      </c>
      <c r="D5885" s="1" t="s">
        <v>11731</v>
      </c>
      <c r="E5885" s="1" t="str">
        <f ca="1">IFERROR(__xludf.DUMMYFUNCTION("GOOGLETRANSLATE(A2684 , ""tr"" , ""en"")"),"@drfahrettinkoca Clasized looking forward to Mr. Minister")</f>
        <v>@drfahrettinkoca Clasized looking forward to Mr. Minister</v>
      </c>
    </row>
    <row r="5886" spans="1:5" ht="15" customHeight="1" x14ac:dyDescent="0.2">
      <c r="A5886" s="1" t="s">
        <v>11732</v>
      </c>
      <c r="B5886" s="1">
        <v>80</v>
      </c>
      <c r="C5886" s="3">
        <v>44540.783958333333</v>
      </c>
      <c r="D5886" s="1" t="s">
        <v>11733</v>
      </c>
      <c r="E5886" s="1" t="str">
        <f ca="1">IFERROR(__xludf.DUMMYFUNCTION("GOOGLETRANSLATE(A2685 , ""tr"" , ""en"")"),"@drfahrettinkoca what means missing ??? How many dose dose would be counted on ??? Covid 19 'to get caught our concern ... https://t.co/rw4vvuubxf")</f>
        <v>@drfahrettinkoca what means missing ??? How many dose dose would be counted on ??? Covid 19 'to get caught our concern ... https://t.co/rw4vvuubxf</v>
      </c>
    </row>
    <row r="5887" spans="1:5" ht="15" customHeight="1" x14ac:dyDescent="0.2">
      <c r="A5887" s="1" t="s">
        <v>11734</v>
      </c>
      <c r="B5887" s="1">
        <v>0</v>
      </c>
      <c r="C5887" s="3">
        <v>44540.783877314818</v>
      </c>
      <c r="D5887" s="1" t="s">
        <v>11735</v>
      </c>
      <c r="E5887" s="1" t="str">
        <f ca="1">IFERROR(__xludf.DUMMYFUNCTION("GOOGLETRANSLATE(A2686 , ""tr"" , ""en"")"),"@drfahrettinkoca is like a joke either. I hope you find something to answer tomorrow.")</f>
        <v>@drfahrettinkoca is like a joke either. I hope you find something to answer tomorrow.</v>
      </c>
    </row>
    <row r="5888" spans="1:5" ht="15" customHeight="1" x14ac:dyDescent="0.2">
      <c r="A5888" s="1" t="s">
        <v>11736</v>
      </c>
      <c r="B5888" s="1">
        <v>0</v>
      </c>
      <c r="C5888" s="3">
        <v>44540.783726851849</v>
      </c>
      <c r="D5888" s="1" t="s">
        <v>11737</v>
      </c>
      <c r="E5888" s="1" t="str">
        <f ca="1">IFERROR(__xludf.DUMMYFUNCTION("GOOGLETRANSLATE(A2687 , ""tr"" , ""en"")"),"@drfahrettinkoca assignment is welcome to assign dietitians")</f>
        <v>@drfahrettinkoca assignment is welcome to assign dietitians</v>
      </c>
    </row>
    <row r="5889" spans="1:5" ht="15" customHeight="1" x14ac:dyDescent="0.2">
      <c r="A5889" s="1" t="s">
        <v>11738</v>
      </c>
      <c r="B5889" s="1">
        <v>16</v>
      </c>
      <c r="C5889" s="3">
        <v>44540.783310185187</v>
      </c>
      <c r="D5889" s="1" t="s">
        <v>11739</v>
      </c>
      <c r="E5889" s="1" t="str">
        <f ca="1">IFERROR(__xludf.DUMMYFUNCTION("GOOGLETRANSLATE(A2688 , ""tr"" , ""en"")"),"@drfahrettinkoca Are you expecting us to believe that the cases are increasing everywhere #kabineomicrongelism")</f>
        <v>@drfahrettinkoca Are you expecting us to believe that the cases are increasing everywhere #kabineomicrongelism</v>
      </c>
    </row>
    <row r="5890" spans="1:5" ht="15" customHeight="1" x14ac:dyDescent="0.2">
      <c r="A5890" s="1" t="s">
        <v>11740</v>
      </c>
      <c r="B5890" s="1">
        <v>0</v>
      </c>
      <c r="C5890" s="3">
        <v>44540.783263888887</v>
      </c>
      <c r="D5890" s="1" t="s">
        <v>11741</v>
      </c>
      <c r="E5890" s="1" t="str">
        <f ca="1">IFERROR(__xludf.DUMMYFUNCTION("GOOGLETRANSLATE(A2689 , ""tr"" , ""en"")"),"@drfahrettinkoca Bi Sus Arkik DSO Mun spokesman You are thoroughly")</f>
        <v>@drfahrettinkoca Bi Sus Arkik DSO Mun spokesman You are thoroughly</v>
      </c>
    </row>
    <row r="5891" spans="1:5" ht="15" customHeight="1" x14ac:dyDescent="0.2">
      <c r="A5891" s="1" t="s">
        <v>8468</v>
      </c>
      <c r="B5891" s="1">
        <v>0</v>
      </c>
      <c r="C5891" s="3">
        <v>44540.78297453704</v>
      </c>
      <c r="D5891" s="1" t="s">
        <v>11742</v>
      </c>
      <c r="E5891" s="1" t="str">
        <f ca="1">IFERROR(__xludf.DUMMYFUNCTION("GOOGLETRANSLATE(A2690 , ""tr"" , ""en"")"),"@drfahrettinkoca dieticians are welcomed to assign the assignment to dietitians")</f>
        <v>@drfahrettinkoca dieticians are welcomed to assign the assignment to dietitians</v>
      </c>
    </row>
    <row r="5892" spans="1:5" ht="15" customHeight="1" x14ac:dyDescent="0.2">
      <c r="A5892" s="1" t="s">
        <v>7770</v>
      </c>
      <c r="B5892" s="1">
        <v>0</v>
      </c>
      <c r="C5892" s="3">
        <v>44540.782812500001</v>
      </c>
      <c r="D5892" s="1" t="s">
        <v>11743</v>
      </c>
      <c r="E5892" s="1" t="str">
        <f ca="1">IFERROR(__xludf.DUMMYFUNCTION("GOOGLETRANSLATE(A2691 , ""tr"" , ""en"")"),"@drfahrettinkoca dietitians are welcomed to assign the assignment to the dietitians Sayin Minister 91 Score of Cardiacy Still Acikta")</f>
        <v>@drfahrettinkoca dietitians are welcomed to assign the assignment to the dietitians Sayin Minister 91 Score of Cardiacy Still Acikta</v>
      </c>
    </row>
    <row r="5893" spans="1:5" ht="15" customHeight="1" x14ac:dyDescent="0.2">
      <c r="A5893" s="1" t="s">
        <v>11744</v>
      </c>
      <c r="B5893" s="1">
        <v>1</v>
      </c>
      <c r="C5893" s="3">
        <v>44540.782731481479</v>
      </c>
      <c r="D5893" s="1" t="s">
        <v>11745</v>
      </c>
      <c r="E5893" s="1" t="str">
        <f ca="1">IFERROR(__xludf.DUMMYFUNCTION("GOOGLETRANSLATE(A2692 , ""tr"" , ""en"")"),"@drfahrettinkoca Covid-19 The diagnosis of disease is not clear of the vaccines of the vaccines Faz1 phase2 phase3 studies volunteers ... https://t.co/fcqihcnzte")</f>
        <v>@drfahrettinkoca Covid-19 The diagnosis of disease is not clear of the vaccines of the vaccines Faz1 phase2 phase3 studies volunteers ... https://t.co/fcqihcnzte</v>
      </c>
    </row>
    <row r="5894" spans="1:5" ht="15" customHeight="1" x14ac:dyDescent="0.2">
      <c r="A5894" s="1" t="s">
        <v>11746</v>
      </c>
      <c r="B5894" s="1">
        <v>0</v>
      </c>
      <c r="C5894" s="3">
        <v>44540.782685185186</v>
      </c>
      <c r="D5894" s="1" t="s">
        <v>11747</v>
      </c>
      <c r="E5894" s="1" t="str">
        <f ca="1">IFERROR(__xludf.DUMMYFUNCTION("GOOGLETRANSLATE(A2693 , ""tr"" , ""en"")"),"@drfahrettinkoca dieticians Determination")</f>
        <v>@drfahrettinkoca dieticians Determination</v>
      </c>
    </row>
    <row r="5895" spans="1:5" ht="15" customHeight="1" x14ac:dyDescent="0.2">
      <c r="A5895" s="1" t="s">
        <v>8466</v>
      </c>
      <c r="B5895" s="1">
        <v>0</v>
      </c>
      <c r="C5895" s="3">
        <v>44540.782557870371</v>
      </c>
      <c r="D5895" s="1" t="s">
        <v>11748</v>
      </c>
      <c r="E5895" s="1" t="str">
        <f ca="1">IFERROR(__xludf.DUMMYFUNCTION("GOOGLETRANSLATE(A2694 , ""tr"" , ""en"")"),"@drfahrettinkoca dietitians are looking forward to the assignment to the dietitians")</f>
        <v>@drfahrettinkoca dietitians are looking forward to the assignment to the dietitians</v>
      </c>
    </row>
    <row r="5896" spans="1:5" ht="15" customHeight="1" x14ac:dyDescent="0.2">
      <c r="A5896" s="1" t="s">
        <v>11749</v>
      </c>
      <c r="B5896" s="1">
        <v>1</v>
      </c>
      <c r="C5896" s="3">
        <v>44540.782280092593</v>
      </c>
      <c r="D5896" s="1" t="s">
        <v>11750</v>
      </c>
      <c r="E5896" s="1" t="str">
        <f ca="1">IFERROR(__xludf.DUMMYFUNCTION("GOOGLETRANSLATE(A2695 , ""tr"" , ""en"")"),"@drfahrettinkoca close off anymore trouble if you go to the trouble if we go to schools")</f>
        <v>@drfahrettinkoca close off anymore trouble if you go to the trouble if we go to schools</v>
      </c>
    </row>
    <row r="5897" spans="1:5" ht="15" customHeight="1" x14ac:dyDescent="0.2">
      <c r="A5897" s="1" t="s">
        <v>11751</v>
      </c>
      <c r="B5897" s="1">
        <v>0</v>
      </c>
      <c r="C5897" s="3">
        <v>44540.782094907408</v>
      </c>
      <c r="D5897" s="1" t="s">
        <v>11752</v>
      </c>
      <c r="E5897" s="1" t="str">
        <f ca="1">IFERROR(__xludf.DUMMYFUNCTION("GOOGLETRANSLATE(A2696 , ""tr"" , ""en"")"),"@drfahrettinkoca Ministry of thinking a bit more don't bring in a hurry guide. If it is possible to wait 3-5 years. @drfahrettinkoca")</f>
        <v>@drfahrettinkoca Ministry of thinking a bit more don't bring in a hurry guide. If it is possible to wait 3-5 years. @drfahrettinkoca</v>
      </c>
    </row>
    <row r="5898" spans="1:5" ht="15" customHeight="1" x14ac:dyDescent="0.2">
      <c r="A5898" s="1" t="s">
        <v>11753</v>
      </c>
      <c r="B5898" s="1">
        <v>1</v>
      </c>
      <c r="C5898" s="3">
        <v>44540.781527777777</v>
      </c>
      <c r="D5898" s="1" t="s">
        <v>11754</v>
      </c>
      <c r="E5898" s="1" t="str">
        <f ca="1">IFERROR(__xludf.DUMMYFUNCTION("GOOGLETRANSLATE(A2697 , ""tr"" , ""en"")"),"@drfahrettinkoca you first has the least of the vaccines in the Southeast of the Case and the Mortality, Full Dose of Vaccines ... HTTPS://T.CO/ZSOSV6FWVI")</f>
        <v>@drfahrettinkoca you first has the least of the vaccines in the Southeast of the Case and the Mortality, Full Dose of Vaccines ... HTTPS://T.CO/ZSOSV6FWVI</v>
      </c>
    </row>
    <row r="5899" spans="1:5" ht="15" customHeight="1" x14ac:dyDescent="0.2">
      <c r="A5899" s="1" t="s">
        <v>11755</v>
      </c>
      <c r="B5899" s="1">
        <v>0</v>
      </c>
      <c r="C5899" s="3">
        <v>44540.781469907408</v>
      </c>
      <c r="D5899" s="1" t="s">
        <v>11756</v>
      </c>
      <c r="E5899" s="1" t="str">
        <f ca="1">IFERROR(__xludf.DUMMYFUNCTION("GOOGLETRANSLATE(A2698 , ""tr"" , ""en"")"),"@drfahrettinkoca schools are so crowded you will remove the obligation to nickname in one mask as you are very crowded")</f>
        <v>@drfahrettinkoca schools are so crowded you will remove the obligation to nickname in one mask as you are very crowded</v>
      </c>
    </row>
    <row r="5900" spans="1:5" ht="15" customHeight="1" x14ac:dyDescent="0.2">
      <c r="A5900" s="1" t="s">
        <v>11757</v>
      </c>
      <c r="B5900" s="1">
        <v>4</v>
      </c>
      <c r="C5900" s="3">
        <v>44540.781354166669</v>
      </c>
      <c r="D5900" s="1" t="s">
        <v>11758</v>
      </c>
      <c r="E5900" s="1" t="str">
        <f ca="1">IFERROR(__xludf.DUMMYFUNCTION("GOOGLETRANSLATE(A2699 , ""tr"" , ""en"")"),"@drfahrettinkoca assignment when is the minister waiting to assign to cancer")</f>
        <v>@drfahrettinkoca assignment when is the minister waiting to assign to cancer</v>
      </c>
    </row>
    <row r="5901" spans="1:5" ht="15" customHeight="1" x14ac:dyDescent="0.2">
      <c r="A5901" s="1" t="s">
        <v>11759</v>
      </c>
      <c r="B5901" s="1">
        <v>0</v>
      </c>
      <c r="C5901" s="3">
        <v>44540.780798611115</v>
      </c>
      <c r="D5901" s="1" t="s">
        <v>11760</v>
      </c>
      <c r="E5901" s="1" t="str">
        <f ca="1">IFERROR(__xludf.DUMMYFUNCTION("GOOGLETRANSLATE(A2700 , ""tr"" , ""en"")"),"@drfahrettinka Mr. Ministry of Minister When the vaccine was finished outbreak? Hani only but only two doses were enough?")</f>
        <v>@drfahrettinka Mr. Ministry of Minister When the vaccine was finished outbreak? Hani only but only two doses were enough?</v>
      </c>
    </row>
    <row r="5902" spans="1:5" ht="15" customHeight="1" x14ac:dyDescent="0.2">
      <c r="A5902" s="1" t="s">
        <v>11761</v>
      </c>
      <c r="B5902" s="1">
        <v>2</v>
      </c>
      <c r="C5902" s="3">
        <v>44540.780636574076</v>
      </c>
      <c r="D5902" s="1" t="s">
        <v>11762</v>
      </c>
      <c r="E5902" s="1" t="str">
        <f ca="1">IFERROR(__xludf.DUMMYFUNCTION("GOOGLETRANSLATE(A2701 , ""tr"" , ""en"")"),"@drfahrettinkoca no one believes in these cases please show real case numbers for our health now")</f>
        <v>@drfahrettinkoca no one believes in these cases please show real case numbers for our health now</v>
      </c>
    </row>
    <row r="5903" spans="1:5" ht="15" customHeight="1" x14ac:dyDescent="0.2">
      <c r="A5903" s="1" t="s">
        <v>11763</v>
      </c>
      <c r="B5903" s="1">
        <v>0</v>
      </c>
      <c r="C5903" s="3">
        <v>44540.780277777776</v>
      </c>
      <c r="D5903" s="1" t="s">
        <v>11764</v>
      </c>
      <c r="E5903" s="1" t="str">
        <f ca="1">IFERROR(__xludf.DUMMYFUNCTION("GOOGLETRANSLATE(A2702 , ""tr"" , ""en"")"),"@drfahrettinkoca 3. Overtize overdose 6 months without waiting")</f>
        <v>@drfahrettinkoca 3. Overtize overdose 6 months without waiting</v>
      </c>
    </row>
    <row r="5904" spans="1:5" ht="15" customHeight="1" x14ac:dyDescent="0.2">
      <c r="A5904" s="1" t="s">
        <v>11765</v>
      </c>
      <c r="B5904" s="1">
        <v>0</v>
      </c>
      <c r="C5904" s="3">
        <v>44540.779062499998</v>
      </c>
      <c r="D5904" s="1" t="s">
        <v>11766</v>
      </c>
      <c r="E5904" s="1" t="str">
        <f ca="1">IFERROR(__xludf.DUMMYFUNCTION("GOOGLETRANSLATE(A2703 , ""tr"" , ""en"")"),"@drfahrettinkoca Mr. Leave the Minister Leave this vaccine department tales ...")</f>
        <v>@drfahrettinkoca Mr. Leave the Minister Leave this vaccine department tales ...</v>
      </c>
    </row>
    <row r="5905" spans="1:5" ht="15" customHeight="1" x14ac:dyDescent="0.2">
      <c r="A5905" s="1" t="s">
        <v>11767</v>
      </c>
      <c r="B5905" s="1">
        <v>0</v>
      </c>
      <c r="C5905" s="3">
        <v>44540.777060185188</v>
      </c>
      <c r="D5905" s="1" t="s">
        <v>11768</v>
      </c>
      <c r="E5905" s="1" t="str">
        <f ca="1">IFERROR(__xludf.DUMMYFUNCTION("GOOGLETRANSLATE(A2704 , ""tr"" , ""en"")"),"@drfahrettinkoca Maşalah Maşallah TÜY TÜN Evay The number of cases without prohibition of any restriction is the only country in the world falling in the world!")</f>
        <v>@drfahrettinkoca Maşalah Maşallah TÜY TÜN Evay The number of cases without prohibition of any restriction is the only country in the world falling in the world!</v>
      </c>
    </row>
    <row r="5906" spans="1:5" ht="15" customHeight="1" x14ac:dyDescent="0.2">
      <c r="A5906" s="1" t="s">
        <v>11769</v>
      </c>
      <c r="B5906" s="1">
        <v>0</v>
      </c>
      <c r="C5906" s="3">
        <v>44540.776898148149</v>
      </c>
      <c r="D5906" s="1" t="s">
        <v>11770</v>
      </c>
      <c r="E5906" s="1" t="str">
        <f ca="1">IFERROR(__xludf.DUMMYFUNCTION("GOOGLETRANSLATE(A2705 , ""tr"" , ""en"")"),"@drfahrettinka vaccines protection No longer you know that you know better than us anymore BI ... HTTPS://T.CO/IPGCLF4QG2")</f>
        <v>@drfahrettinka vaccines protection No longer you know that you know better than us anymore BI ... HTTPS://T.CO/IPGCLF4QG2</v>
      </c>
    </row>
    <row r="5907" spans="1:5" ht="15" customHeight="1" x14ac:dyDescent="0.2">
      <c r="A5907" s="1" t="s">
        <v>11771</v>
      </c>
      <c r="B5907" s="1">
        <v>0</v>
      </c>
      <c r="C5907" s="3">
        <v>44540.776655092595</v>
      </c>
      <c r="D5907" s="1" t="s">
        <v>11772</v>
      </c>
      <c r="E5907" s="1" t="str">
        <f ca="1">IFERROR(__xludf.DUMMYFUNCTION("GOOGLETRANSLATE(A2706 , ""tr"" , ""en"")"),"@drfahrettinkoca mask .....? 📌 https://t.co/ptrafv1njf")</f>
        <v>@drfahrettinkoca mask .....? 📌 https://t.co/ptrafv1njf</v>
      </c>
    </row>
    <row r="5908" spans="1:5" ht="15" customHeight="1" x14ac:dyDescent="0.2">
      <c r="A5908" s="1" t="s">
        <v>11773</v>
      </c>
      <c r="B5908" s="1">
        <v>1</v>
      </c>
      <c r="C5908" s="3">
        <v>44540.776006944441</v>
      </c>
      <c r="D5908" s="1" t="s">
        <v>11774</v>
      </c>
      <c r="E5908" s="1" t="str">
        <f ca="1">IFERROR(__xludf.DUMMYFUNCTION("GOOGLETRANSLATE(A2707 , ""tr"" , ""en"")"),"@drfahrettinkoca Yahu, are you serious, left the vaccine, 80% of the country, are publishing the same figures for 5 months. A d ... https://t.co/tdbikqfID5")</f>
        <v>@drfahrettinkoca Yahu, are you serious, left the vaccine, 80% of the country, are publishing the same figures for 5 months. A d ... https://t.co/tdbikqfID5</v>
      </c>
    </row>
    <row r="5909" spans="1:5" ht="15" customHeight="1" x14ac:dyDescent="0.2">
      <c r="A5909" s="1" t="s">
        <v>11775</v>
      </c>
      <c r="B5909" s="1">
        <v>0</v>
      </c>
      <c r="C5909" s="3">
        <v>44540.774976851855</v>
      </c>
      <c r="D5909" s="1" t="s">
        <v>11776</v>
      </c>
      <c r="E5909" s="1" t="str">
        <f ca="1">IFERROR(__xludf.DUMMYFUNCTION("GOOGLETRANSLATE(A2708 , ""tr"" , ""en"")"),"@drfahrettinkoca every day when the classes are closed how you can be 18K virus you believe in your own lie yourself only")</f>
        <v>@drfahrettinkoca every day when the classes are closed how you can be 18K virus you believe in your own lie yourself only</v>
      </c>
    </row>
    <row r="5910" spans="1:5" ht="15" customHeight="1" x14ac:dyDescent="0.2">
      <c r="A5910" s="1" t="s">
        <v>11777</v>
      </c>
      <c r="B5910" s="1">
        <v>2</v>
      </c>
      <c r="C5910" s="3">
        <v>44540.774780092594</v>
      </c>
      <c r="D5910" s="1" t="s">
        <v>11778</v>
      </c>
      <c r="E5910" s="1" t="str">
        <f ca="1">IFERROR(__xludf.DUMMYFUNCTION("GOOGLETRANSLATE(A2709 , ""tr"" , ""en"")"),"@drfahrettinkoca Sayin Minister You are yourself in mind that you believe in this civilian work")</f>
        <v>@drfahrettinkoca Sayin Minister You are yourself in mind that you believe in this civilian work</v>
      </c>
    </row>
    <row r="5911" spans="1:5" ht="15" customHeight="1" x14ac:dyDescent="0.2">
      <c r="A5911" s="1" t="s">
        <v>11779</v>
      </c>
      <c r="B5911" s="1">
        <v>0</v>
      </c>
      <c r="C5911" s="3">
        <v>44540.774131944447</v>
      </c>
      <c r="D5911" s="1" t="s">
        <v>11780</v>
      </c>
      <c r="E5911" s="1" t="str">
        <f ca="1">IFERROR(__xludf.DUMMYFUNCTION("GOOGLETRANSLATE(A2710 , ""tr"" , ""en"")"),"@drfahrettinkoca every day you share it in social media Urfa all over the agenda vaccination to be the vaccination to be the vaccine ... https://t.co/qgsjtvxrcl")</f>
        <v>@drfahrettinkoca every day you share it in social media Urfa all over the agenda vaccination to be the vaccination to be the vaccine ... https://t.co/qgsjtvxrcl</v>
      </c>
    </row>
    <row r="5912" spans="1:5" ht="15" customHeight="1" x14ac:dyDescent="0.2">
      <c r="A5912" s="1" t="s">
        <v>11781</v>
      </c>
      <c r="B5912" s="1">
        <v>0</v>
      </c>
      <c r="C5912" s="3">
        <v>44540.774074074077</v>
      </c>
      <c r="D5912" s="1" t="s">
        <v>11782</v>
      </c>
      <c r="E5912" s="1" t="str">
        <f ca="1">IFERROR(__xludf.DUMMYFUNCTION("GOOGLETRANSLATE(A2711 , ""tr"" , ""en"")"),"@drfahrettinkoca count of the Minister Minister Altiştem Takenli Takenli Duser School Ogrecim patient who gets to the patient who is illegal to the school he ... https://t.co/o6ybi5iwd6")</f>
        <v>@drfahrettinkoca count of the Minister Minister Altiştem Takenli Takenli Duser School Ogrecim patient who gets to the patient who is illegal to the school he ... https://t.co/o6ybi5iwd6</v>
      </c>
    </row>
    <row r="5913" spans="1:5" ht="15" customHeight="1" x14ac:dyDescent="0.2">
      <c r="A5913" s="1" t="s">
        <v>11783</v>
      </c>
      <c r="B5913" s="1">
        <v>10</v>
      </c>
      <c r="C5913" s="3">
        <v>44540.773993055554</v>
      </c>
      <c r="D5913" s="1" t="s">
        <v>11784</v>
      </c>
      <c r="E5913" s="1" t="str">
        <f ca="1">IFERROR(__xludf.DUMMYFUNCTION("GOOGLETRANSLATE(A2712 , ""tr"" , ""en"")"),"@drfahrettinkoca wow be fahrettin Bey :) Unless the mask in the country, people are going to the hospital maskless, ex ... https://t.co/wmn65hq3oy")</f>
        <v>@drfahrettinkoca wow be fahrettin Bey :) Unless the mask in the country, people are going to the hospital maskless, ex ... https://t.co/wmn65hq3oy</v>
      </c>
    </row>
    <row r="5914" spans="1:5" ht="15" customHeight="1" x14ac:dyDescent="0.2">
      <c r="A5914" s="1" t="s">
        <v>11785</v>
      </c>
      <c r="B5914" s="1">
        <v>0</v>
      </c>
      <c r="C5914" s="3">
        <v>44540.773287037038</v>
      </c>
      <c r="D5914" s="1" t="s">
        <v>11786</v>
      </c>
      <c r="E5914" s="1" t="str">
        <f ca="1">IFERROR(__xludf.DUMMYFUNCTION("GOOGLETRANSLATE(A2713 , ""tr"" , ""en"")"),"@drfahrettinkoca you are both physician and the minister of health, Dimi, Lafa Look at the virus. ... Https://t.co/sjtxhktphq")</f>
        <v>@drfahrettinkoca you are both physician and the minister of health, Dimi, Lafa Look at the virus. ... Https://t.co/sjtxhktphq</v>
      </c>
    </row>
    <row r="5915" spans="1:5" ht="15" customHeight="1" x14ac:dyDescent="0.2">
      <c r="A5915" s="1" t="s">
        <v>11787</v>
      </c>
      <c r="B5915" s="1">
        <v>0</v>
      </c>
      <c r="C5915" s="3">
        <v>44540.773113425923</v>
      </c>
      <c r="D5915" s="1" t="s">
        <v>11788</v>
      </c>
      <c r="E5915" s="1" t="str">
        <f ca="1">IFERROR(__xludf.DUMMYFUNCTION("GOOGLETRANSLATE(A2714 , ""tr"" , ""en"")"),"@drfahrettinkoca reisi Stops the patients filled it")</f>
        <v>@drfahrettinkoca reisi Stops the patients filled it</v>
      </c>
    </row>
    <row r="5916" spans="1:5" ht="15" customHeight="1" x14ac:dyDescent="0.2">
      <c r="A5916" s="1" t="s">
        <v>11789</v>
      </c>
      <c r="B5916" s="1">
        <v>0</v>
      </c>
      <c r="C5916" s="3">
        <v>44540.772974537038</v>
      </c>
      <c r="D5916" s="1" t="s">
        <v>11790</v>
      </c>
      <c r="E5916" s="1" t="str">
        <f ca="1">IFERROR(__xludf.DUMMYFUNCTION("GOOGLETRANSLATE(A2715 , ""tr"" , ""en"")"),"@drfahrettinkoca what happened to assignments")</f>
        <v>@drfahrettinkoca what happened to assignments</v>
      </c>
    </row>
    <row r="5917" spans="1:5" ht="15" customHeight="1" x14ac:dyDescent="0.2">
      <c r="A5917" s="1" t="s">
        <v>11791</v>
      </c>
      <c r="B5917" s="1">
        <v>1</v>
      </c>
      <c r="C5917" s="3">
        <v>44540.77065972222</v>
      </c>
      <c r="D5917" s="1" t="s">
        <v>11792</v>
      </c>
      <c r="E5917" s="1" t="str">
        <f ca="1">IFERROR(__xludf.DUMMYFUNCTION("GOOGLETRANSLATE(A2716 , ""tr"" , ""en"")"),"@drfahrettinkoca OOO Case The deaths of death are falling. Haa efforts will work in vaccine.")</f>
        <v>@drfahrettinkoca OOO Case The deaths of death are falling. Haa efforts will work in vaccine.</v>
      </c>
    </row>
    <row r="5918" spans="1:5" ht="15" customHeight="1" x14ac:dyDescent="0.2">
      <c r="A5918" s="1" t="s">
        <v>11793</v>
      </c>
      <c r="B5918" s="1">
        <v>2</v>
      </c>
      <c r="C5918" s="3">
        <v>44540.770520833335</v>
      </c>
      <c r="D5918" s="1" t="s">
        <v>11794</v>
      </c>
      <c r="E5918" s="1" t="str">
        <f ca="1">IFERROR(__xludf.DUMMYFUNCTION("GOOGLETRANSLATE(A2717 , ""tr"" , ""en"")"),"@drfahrettinka Mr. Mr. Minister Hear Our Voice Now Disabled Healthiers for Allah The Squads Not Probable for 4 years ... https://t.co/ghxtpk7b7m")</f>
        <v>@drfahrettinka Mr. Mr. Minister Hear Our Voice Now Disabled Healthiers for Allah The Squads Not Probable for 4 years ... https://t.co/ghxtpk7b7m</v>
      </c>
    </row>
    <row r="5919" spans="1:5" ht="15" customHeight="1" x14ac:dyDescent="0.2">
      <c r="A5919" s="1" t="s">
        <v>11795</v>
      </c>
      <c r="B5919" s="1">
        <v>0</v>
      </c>
      <c r="C5919" s="3">
        <v>44540.770509259259</v>
      </c>
      <c r="D5919" s="1" t="s">
        <v>11796</v>
      </c>
      <c r="E5919" s="1" t="str">
        <f ca="1">IFERROR(__xludf.DUMMYFUNCTION("GOOGLETRANSLATE(A2718 , ""tr"" , ""en"")"),"@drfahrettinka GItTOM 3. I have become my ticket your vaccine")</f>
        <v>@drfahrettinka GItTOM 3. I have become my ticket your vaccine</v>
      </c>
    </row>
    <row r="5920" spans="1:5" ht="15" customHeight="1" x14ac:dyDescent="0.2">
      <c r="A5920" s="1" t="s">
        <v>11797</v>
      </c>
      <c r="B5920" s="1">
        <v>0</v>
      </c>
      <c r="C5920" s="3">
        <v>44540.770300925928</v>
      </c>
      <c r="D5920" s="1" t="s">
        <v>11798</v>
      </c>
      <c r="E5920" s="1" t="str">
        <f ca="1">IFERROR(__xludf.DUMMYFUNCTION("GOOGLETRANSLATE(A2719 , ""tr"" , ""en"")"),"@drfahrettinkoca Subscribed and let's support please know about geese │ We have prepared feed to our geese !!! │ and new g ... https://t.co/tydmy3xm2d")</f>
        <v>@drfahrettinkoca Subscribed and let's support please know about geese │ We have prepared feed to our geese !!! │ and new g ... https://t.co/tydmy3xm2d</v>
      </c>
    </row>
    <row r="5921" spans="1:5" ht="15" customHeight="1" x14ac:dyDescent="0.2">
      <c r="A5921" s="1" t="s">
        <v>11799</v>
      </c>
      <c r="B5921" s="1">
        <v>0</v>
      </c>
      <c r="C5921" s="3">
        <v>44540.769930555558</v>
      </c>
      <c r="D5921" s="1" t="s">
        <v>11800</v>
      </c>
      <c r="E5921" s="1" t="str">
        <f ca="1">IFERROR(__xludf.DUMMYFUNCTION("GOOGLETRANSLATE(A2720 , ""tr"" , ""en"")"),"@drfahrettinka Mr. Minister of Ministry of Zanger The people of your public offer you are found in the Gaflet ... https://t.co/zlji2acdvz")</f>
        <v>@drfahrettinka Mr. Minister of Ministry of Zanger The people of your public offer you are found in the Gaflet ... https://t.co/zlji2acdvz</v>
      </c>
    </row>
    <row r="5922" spans="1:5" ht="15" customHeight="1" x14ac:dyDescent="0.2">
      <c r="A5922" s="1" t="s">
        <v>11801</v>
      </c>
      <c r="B5922" s="1">
        <v>0</v>
      </c>
      <c r="C5922" s="3">
        <v>44540.769907407404</v>
      </c>
      <c r="D5922" s="1" t="s">
        <v>11802</v>
      </c>
      <c r="E5922" s="1" t="str">
        <f ca="1">IFERROR(__xludf.DUMMYFUNCTION("GOOGLETRANSLATE(A2721 , ""tr"" , ""en"")"),"@drfahrettinkoca No 10 December 2020 Vaccine! Number of tests: 206.202 Cases: 30.424 Number of patients: 5,918 Death: 220 10 Search ... https://t.co/6oorgshfom")</f>
        <v>@drfahrettinkoca No 10 December 2020 Vaccine! Number of tests: 206.202 Cases: 30.424 Number of patients: 5,918 Death: 220 10 Search ... https://t.co/6oorgshfom</v>
      </c>
    </row>
    <row r="5923" spans="1:5" ht="15" customHeight="1" x14ac:dyDescent="0.2">
      <c r="A5923" s="1" t="s">
        <v>11803</v>
      </c>
      <c r="B5923" s="1">
        <v>0</v>
      </c>
      <c r="C5923" s="3">
        <v>44540.769583333335</v>
      </c>
      <c r="D5923" s="1" t="s">
        <v>11804</v>
      </c>
      <c r="E5923" s="1" t="str">
        <f ca="1">IFERROR(__xludf.DUMMYFUNCTION("GOOGLETRANSLATE(A2722 , ""tr"" , ""en"")"),"@drfahrettinkoca Atanamama Conception is increasing the last rate. @drfahrettinkoca")</f>
        <v>@drfahrettinkoca Atanamama Conception is increasing the last rate. @drfahrettinkoca</v>
      </c>
    </row>
    <row r="5924" spans="1:5" ht="15" customHeight="1" x14ac:dyDescent="0.2">
      <c r="A5924" s="1" t="s">
        <v>11805</v>
      </c>
      <c r="B5924" s="1">
        <v>4</v>
      </c>
      <c r="C5924" s="3">
        <v>44540.769328703704</v>
      </c>
      <c r="D5924" s="1" t="s">
        <v>11806</v>
      </c>
      <c r="E5924" s="1" t="str">
        <f ca="1">IFERROR(__xludf.DUMMYFUNCTION("GOOGLETRANSLATE(A2723 , ""tr"" , ""en"")"),"@drfahrettinka Mr. Mr. Minister Hear Our Voice Now Disabled Healthiers for Allah Giddlers for 4 years")</f>
        <v>@drfahrettinka Mr. Mr. Minister Hear Our Voice Now Disabled Healthiers for Allah Giddlers for 4 years</v>
      </c>
    </row>
    <row r="5925" spans="1:5" ht="15" customHeight="1" x14ac:dyDescent="0.2">
      <c r="A5925" s="1" t="s">
        <v>11807</v>
      </c>
      <c r="B5925" s="1">
        <v>0</v>
      </c>
      <c r="C5925" s="3">
        <v>44540.769097222219</v>
      </c>
      <c r="D5925" s="1" t="s">
        <v>11808</v>
      </c>
      <c r="E5925" s="1" t="str">
        <f ca="1">IFERROR(__xludf.DUMMYFUNCTION("GOOGLETRANSLATE(A2724 , ""tr"" , ""en"")"),"@drfahrettinkoca Mr. Minister Hear Our Voice Now Disabled Healthcare for Allah Dispelled Squads for 4 years ... https://t.co/k9lıfjtuxv")</f>
        <v>@drfahrettinkoca Mr. Minister Hear Our Voice Now Disabled Healthcare for Allah Dispelled Squads for 4 years ... https://t.co/k9lıfjtuxv</v>
      </c>
    </row>
    <row r="5926" spans="1:5" ht="15" customHeight="1" x14ac:dyDescent="0.2">
      <c r="A5926" s="1" t="s">
        <v>11809</v>
      </c>
      <c r="B5926" s="1">
        <v>0</v>
      </c>
      <c r="C5926" s="3">
        <v>44540.76902777778</v>
      </c>
      <c r="D5926" s="1" t="s">
        <v>11810</v>
      </c>
      <c r="E5926" s="1" t="str">
        <f ca="1">IFERROR(__xludf.DUMMYFUNCTION("GOOGLETRANSLATE(A2725 , ""tr"" , ""en"")"),"@drfahrettinkoca Elhamdulillah Elhamdulillah Elhamdulillah Ya Safe")</f>
        <v>@drfahrettinkoca Elhamdulillah Elhamdulillah Elhamdulillah Ya Safe</v>
      </c>
    </row>
    <row r="5927" spans="1:5" ht="15" customHeight="1" x14ac:dyDescent="0.2">
      <c r="A5927" s="1" t="s">
        <v>11811</v>
      </c>
      <c r="B5927" s="1">
        <v>0</v>
      </c>
      <c r="C5927" s="3">
        <v>44540.768888888888</v>
      </c>
      <c r="D5927" s="1" t="s">
        <v>11812</v>
      </c>
      <c r="E5927" s="1" t="str">
        <f ca="1">IFERROR(__xludf.DUMMYFUNCTION("GOOGLETRANSLATE(A2726 , ""tr"" , ""en"")"),"@drfahrettinkoca Mr. Minister Hear our voice now Disabled Healthiers for Allah")</f>
        <v>@drfahrettinkoca Mr. Minister Hear our voice now Disabled Healthiers for Allah</v>
      </c>
    </row>
    <row r="5928" spans="1:5" ht="15" customHeight="1" x14ac:dyDescent="0.2">
      <c r="A5928" s="1" t="s">
        <v>11813</v>
      </c>
      <c r="B5928" s="1">
        <v>0</v>
      </c>
      <c r="C5928" s="3">
        <v>44540.768611111111</v>
      </c>
      <c r="D5928" s="1" t="s">
        <v>11814</v>
      </c>
      <c r="E5928" s="1" t="str">
        <f ca="1">IFERROR(__xludf.DUMMYFUNCTION("GOOGLETRANSLATE(A2727 , ""tr"" , ""en"")"),"@drfahrettinka Mr. Mr. Minister Hear Our Voice Now Disabled Health Shops for Allah For 4 Years Not Probable ... https://t.co/emfwas8dj9")</f>
        <v>@drfahrettinka Mr. Mr. Minister Hear Our Voice Now Disabled Health Shops for Allah For 4 Years Not Probable ... https://t.co/emfwas8dj9</v>
      </c>
    </row>
    <row r="5929" spans="1:5" ht="15" customHeight="1" x14ac:dyDescent="0.2">
      <c r="A5929" s="1" t="s">
        <v>11815</v>
      </c>
      <c r="B5929" s="1">
        <v>0</v>
      </c>
      <c r="C5929" s="3">
        <v>44540.768495370372</v>
      </c>
      <c r="D5929" s="1" t="s">
        <v>11816</v>
      </c>
      <c r="E5929" s="1" t="str">
        <f ca="1">IFERROR(__xludf.DUMMYFUNCTION("GOOGLETRANSLATE(A2728 , ""tr"" , ""en"")"),"@drfahrettinka Mr. Mr. Minister Hear our voice Now Disabled Healthiers for Allah are not given for 4 years ... https://t.co/doguwjb1ak")</f>
        <v>@drfahrettinka Mr. Mr. Minister Hear our voice Now Disabled Healthiers for Allah are not given for 4 years ... https://t.co/doguwjb1ak</v>
      </c>
    </row>
    <row r="5930" spans="1:5" ht="15" customHeight="1" x14ac:dyDescent="0.2">
      <c r="A5930" s="1" t="s">
        <v>11817</v>
      </c>
      <c r="B5930" s="1">
        <v>0</v>
      </c>
      <c r="C5930" s="3">
        <v>44540.768379629626</v>
      </c>
      <c r="D5930" s="1" t="s">
        <v>11818</v>
      </c>
      <c r="E5930" s="1" t="str">
        <f ca="1">IFERROR(__xludf.DUMMYFUNCTION("GOOGLETRANSLATE(A2729 , ""tr"" , ""en"")"),"@drfahrettinkoca Mr. Mr. Minister Hear Our Voice Now Disabled Healthiers for Allah Disposal Squads for 4 years ... https://t.co/e4wczgbjux")</f>
        <v>@drfahrettinkoca Mr. Mr. Minister Hear Our Voice Now Disabled Healthiers for Allah Disposal Squads for 4 years ... https://t.co/e4wczgbjux</v>
      </c>
    </row>
    <row r="5931" spans="1:5" ht="15" customHeight="1" x14ac:dyDescent="0.2">
      <c r="A5931" s="1" t="s">
        <v>11819</v>
      </c>
      <c r="B5931" s="1">
        <v>0</v>
      </c>
      <c r="C5931" s="3">
        <v>44540.768263888887</v>
      </c>
      <c r="D5931" s="1" t="s">
        <v>11820</v>
      </c>
      <c r="E5931" s="1" t="str">
        <f ca="1">IFERROR(__xludf.DUMMYFUNCTION("GOOGLETRANSLATE(A2730 , ""tr"" , ""en"")"),"@drfahrettinka Mr. Mr. Minister Hear Our Voice Now Disabled Healthiers for Allah Squads Not Probable for 4 years ... https://t.co/fusuapı7jg")</f>
        <v>@drfahrettinka Mr. Mr. Minister Hear Our Voice Now Disabled Healthiers for Allah Squads Not Probable for 4 years ... https://t.co/fusuapı7jg</v>
      </c>
    </row>
    <row r="5932" spans="1:5" ht="15" customHeight="1" x14ac:dyDescent="0.2">
      <c r="A5932" s="1" t="s">
        <v>11821</v>
      </c>
      <c r="B5932" s="1">
        <v>0</v>
      </c>
      <c r="C5932" s="3">
        <v>44540.768240740741</v>
      </c>
      <c r="D5932" s="1" t="s">
        <v>11822</v>
      </c>
      <c r="E5932" s="1" t="str">
        <f ca="1">IFERROR(__xludf.DUMMYFUNCTION("GOOGLETRANSLATE(A2731 , ""tr"" , ""en"")"),"@drfahrettinkoca Snacing 3rd I want to be a vaccine overlooking the MHRS Please open the URI!")</f>
        <v>@drfahrettinkoca Snacing 3rd I want to be a vaccine overlooking the MHRS Please open the URI!</v>
      </c>
    </row>
    <row r="5933" spans="1:5" ht="15" customHeight="1" x14ac:dyDescent="0.2">
      <c r="A5933" s="1" t="s">
        <v>11823</v>
      </c>
      <c r="B5933" s="1">
        <v>0</v>
      </c>
      <c r="C5933" s="3">
        <v>44540.768240740741</v>
      </c>
      <c r="D5933" s="1" t="s">
        <v>11824</v>
      </c>
      <c r="E5933" s="1" t="str">
        <f ca="1">IFERROR(__xludf.DUMMYFUNCTION("GOOGLETRANSLATE(A2732 , ""tr"" , ""en"")"),"drop drop as @drfahrettinka drops: D")</f>
        <v>drop drop as @drfahrettinka drops: D</v>
      </c>
    </row>
    <row r="5934" spans="1:5" ht="15" customHeight="1" x14ac:dyDescent="0.2">
      <c r="A5934" s="1" t="s">
        <v>11825</v>
      </c>
      <c r="B5934" s="1">
        <v>0</v>
      </c>
      <c r="C5934" s="3">
        <v>44540.768159722225</v>
      </c>
      <c r="D5934" s="1" t="s">
        <v>11826</v>
      </c>
      <c r="E5934" s="1" t="str">
        <f ca="1">IFERROR(__xludf.DUMMYFUNCTION("GOOGLETRANSLATE(A2733 , ""tr"" , ""en"")"),"@drfahrettinkoca Mr. Mr. Minister Hear Our Voice Now Disabled Healthcare for Allah Giddlers")</f>
        <v>@drfahrettinkoca Mr. Mr. Minister Hear Our Voice Now Disabled Healthcare for Allah Giddlers</v>
      </c>
    </row>
    <row r="5935" spans="1:5" ht="15" customHeight="1" x14ac:dyDescent="0.2">
      <c r="A5935" s="1" t="s">
        <v>11827</v>
      </c>
      <c r="B5935" s="1">
        <v>0</v>
      </c>
      <c r="C5935" s="3">
        <v>44540.768078703702</v>
      </c>
      <c r="D5935" s="1" t="s">
        <v>11828</v>
      </c>
      <c r="E5935" s="1" t="str">
        <f ca="1">IFERROR(__xludf.DUMMYFUNCTION("GOOGLETRANSLATE(A2734 , ""tr"" , ""en"")"),"@drfahrettinka Mr. Mr. Minister Hear Our Voice Now Disabled Healthiers for Allah Disposable Squads for 4 years ... https://t.co/mldzgvx4ce")</f>
        <v>@drfahrettinka Mr. Mr. Minister Hear Our Voice Now Disabled Healthiers for Allah Disposable Squads for 4 years ... https://t.co/mldzgvx4ce</v>
      </c>
    </row>
    <row r="5936" spans="1:5" ht="15" customHeight="1" x14ac:dyDescent="0.2">
      <c r="A5936" s="1" t="s">
        <v>11829</v>
      </c>
      <c r="B5936" s="1">
        <v>0</v>
      </c>
      <c r="C5936" s="3">
        <v>44540.76798611111</v>
      </c>
      <c r="D5936" s="1" t="s">
        <v>11830</v>
      </c>
      <c r="E5936" s="1" t="str">
        <f ca="1">IFERROR(__xludf.DUMMYFUNCTION("GOOGLETRANSLATE(A2735 , ""tr"" , ""en"")"),"@drfahrettinkoca Mr. Mr. Minister Hear our voice Now Disabled Healthiers for Allah are not given for 4 years ... https://t.co/ecpirv1dzl")</f>
        <v>@drfahrettinkoca Mr. Mr. Minister Hear our voice Now Disabled Healthiers for Allah are not given for 4 years ... https://t.co/ecpirv1dzl</v>
      </c>
    </row>
    <row r="5937" spans="1:5" ht="15" customHeight="1" x14ac:dyDescent="0.2">
      <c r="A5937" s="1" t="s">
        <v>11831</v>
      </c>
      <c r="B5937" s="1">
        <v>0</v>
      </c>
      <c r="C5937" s="3">
        <v>44540.767905092594</v>
      </c>
      <c r="D5937" s="1" t="s">
        <v>11832</v>
      </c>
      <c r="E5937" s="1" t="str">
        <f ca="1">IFERROR(__xludf.DUMMYFUNCTION("GOOGLETRANSLATE(A2736 , ""tr"" , ""en"")"),"@drfahrettinkoca Mr. Mr. Minister Hear our voice now Disabled Healthiers for Allah")</f>
        <v>@drfahrettinkoca Mr. Mr. Minister Hear our voice now Disabled Healthiers for Allah</v>
      </c>
    </row>
    <row r="5938" spans="1:5" ht="15" customHeight="1" x14ac:dyDescent="0.2">
      <c r="A5938" s="1" t="s">
        <v>11833</v>
      </c>
      <c r="B5938" s="1">
        <v>0</v>
      </c>
      <c r="C5938" s="3">
        <v>44540.767905092594</v>
      </c>
      <c r="D5938" s="1" t="s">
        <v>11834</v>
      </c>
      <c r="E5938" s="1" t="str">
        <f ca="1">IFERROR(__xludf.DUMMYFUNCTION("GOOGLETRANSLATE(A2737 , ""tr"" , ""en"")"),"@drfahrettinkoca Make the minister, no longer the appointment. https://t.co/y3glyl3nqt")</f>
        <v>@drfahrettinkoca Make the minister, no longer the appointment. https://t.co/y3glyl3nqt</v>
      </c>
    </row>
    <row r="5939" spans="1:5" ht="15" customHeight="1" x14ac:dyDescent="0.2">
      <c r="A5939" s="1" t="s">
        <v>11835</v>
      </c>
      <c r="B5939" s="1">
        <v>0</v>
      </c>
      <c r="C5939" s="3">
        <v>44540.767812500002</v>
      </c>
      <c r="D5939" s="1" t="s">
        <v>11836</v>
      </c>
      <c r="E5939" s="1" t="str">
        <f ca="1">IFERROR(__xludf.DUMMYFUNCTION("GOOGLETRANSLATE(A2738 , ""tr"" , ""en"")"),"@drfahrettinkoca Mr. Minister Hear Our Voice Now Disabled Healthcare for Allah Dispelled Squads for 4 years ... https://t.co/hpy8ydex9n")</f>
        <v>@drfahrettinkoca Mr. Minister Hear Our Voice Now Disabled Healthcare for Allah Dispelled Squads for 4 years ... https://t.co/hpy8ydex9n</v>
      </c>
    </row>
    <row r="5940" spans="1:5" ht="15" customHeight="1" x14ac:dyDescent="0.2">
      <c r="A5940" s="1" t="s">
        <v>11837</v>
      </c>
      <c r="B5940" s="1">
        <v>0</v>
      </c>
      <c r="C5940" s="3">
        <v>44540.767442129632</v>
      </c>
      <c r="D5940" s="1" t="s">
        <v>11838</v>
      </c>
      <c r="E5940" s="1" t="str">
        <f ca="1">IFERROR(__xludf.DUMMYFUNCTION("GOOGLETRANSLATE(A2739 , ""tr"" , ""en"")"),"@drfahrettinka Mr. Mr. Minister Hear Our Voice Now Disabled Health Shops for Allah The Squads Not Given for 4 years ... https://t.co/zctngmgxwk")</f>
        <v>@drfahrettinka Mr. Mr. Minister Hear Our Voice Now Disabled Health Shops for Allah The Squads Not Given for 4 years ... https://t.co/zctngmgxwk</v>
      </c>
    </row>
    <row r="5941" spans="1:5" ht="15" customHeight="1" x14ac:dyDescent="0.2">
      <c r="A5941" s="1" t="s">
        <v>11839</v>
      </c>
      <c r="B5941" s="1">
        <v>0</v>
      </c>
      <c r="C5941" s="3">
        <v>44540.767384259256</v>
      </c>
      <c r="D5941" s="1" t="s">
        <v>11840</v>
      </c>
      <c r="E5941" s="1" t="str">
        <f ca="1">IFERROR(__xludf.DUMMYFUNCTION("GOOGLETRANSLATE(A2740 , ""tr"" , ""en"")"),"@drfahrettinka Dear Ministry When will the right to vaccine for ages 5-11 will be defined? Can you give information ?")</f>
        <v>@drfahrettinka Dear Ministry When will the right to vaccine for ages 5-11 will be defined? Can you give information ?</v>
      </c>
    </row>
    <row r="5942" spans="1:5" ht="15" customHeight="1" x14ac:dyDescent="0.2">
      <c r="A5942" s="1" t="s">
        <v>11841</v>
      </c>
      <c r="B5942" s="1">
        <v>0</v>
      </c>
      <c r="C5942" s="3">
        <v>44540.767013888886</v>
      </c>
      <c r="D5942" s="1" t="s">
        <v>11842</v>
      </c>
      <c r="E5942" s="1" t="str">
        <f ca="1">IFERROR(__xludf.DUMMYFUNCTION("GOOGLETRANSLATE(A2741 , ""tr"" , ""en"")"),"@drfahrettinkoca Disabled Health People Want to be Provided for 4 years Nadirara / P5urt9mhax")</f>
        <v>@drfahrettinkoca Disabled Health People Want to be Provided for 4 years Nadirara / P5urt9mhax</v>
      </c>
    </row>
    <row r="5943" spans="1:5" ht="15" customHeight="1" x14ac:dyDescent="0.2">
      <c r="A5943" s="1" t="s">
        <v>11843</v>
      </c>
      <c r="B5943" s="1">
        <v>0</v>
      </c>
      <c r="C5943" s="3">
        <v>44540.766921296294</v>
      </c>
      <c r="D5943" s="1" t="s">
        <v>11844</v>
      </c>
      <c r="E5943" s="1" t="str">
        <f ca="1">IFERROR(__xludf.DUMMYFUNCTION("GOOGLETRANSLATE(A2742 , ""tr"" , ""en"")"),"@drfahrettinkoca Disabled Health People Want to be Provided for 4 years Nadirara / ybvpaindbe")</f>
        <v>@drfahrettinkoca Disabled Health People Want to be Provided for 4 years Nadirara / ybvpaindbe</v>
      </c>
    </row>
    <row r="5944" spans="1:5" ht="15" customHeight="1" x14ac:dyDescent="0.2">
      <c r="A5944" s="1" t="s">
        <v>11845</v>
      </c>
      <c r="B5944" s="1">
        <v>0</v>
      </c>
      <c r="C5944" s="3">
        <v>44540.766805555555</v>
      </c>
      <c r="D5944" s="1" t="s">
        <v>11846</v>
      </c>
      <c r="E5944" s="1" t="str">
        <f ca="1">IFERROR(__xludf.DUMMYFUNCTION("GOOGLETRANSLATE(A2743 , ""tr"" , ""en"")"),"@drfahrettinkoca Disabled Health People Want to be Provided for 4 years Nadirara / Fkrhxttdkf")</f>
        <v>@drfahrettinkoca Disabled Health People Want to be Provided for 4 years Nadirara / Fkrhxttdkf</v>
      </c>
    </row>
    <row r="5945" spans="1:5" ht="15" customHeight="1" x14ac:dyDescent="0.2">
      <c r="A5945" s="1" t="s">
        <v>11847</v>
      </c>
      <c r="B5945" s="1">
        <v>0</v>
      </c>
      <c r="C5945" s="3">
        <v>44540.766736111109</v>
      </c>
      <c r="D5945" s="1" t="s">
        <v>11848</v>
      </c>
      <c r="E5945" s="1" t="str">
        <f ca="1">IFERROR(__xludf.DUMMYFUNCTION("GOOGLETRANSLATE(A2744 , ""tr"" , ""en"")"),"@drfahrettinkoca Disabled Health People Want to be Provided for 4 years Nadirara / 8dgfhczyj4")</f>
        <v>@drfahrettinkoca Disabled Health People Want to be Provided for 4 years Nadirara / 8dgfhczyj4</v>
      </c>
    </row>
    <row r="5946" spans="1:5" ht="15" customHeight="1" x14ac:dyDescent="0.2">
      <c r="A5946" s="1" t="s">
        <v>11849</v>
      </c>
      <c r="B5946" s="1">
        <v>0</v>
      </c>
      <c r="C5946" s="3">
        <v>44540.766724537039</v>
      </c>
      <c r="D5946" s="1" t="s">
        <v>11850</v>
      </c>
      <c r="E5946" s="1" t="str">
        <f ca="1">IFERROR(__xludf.DUMMYFUNCTION("GOOGLETRANSLATE(A2745 , ""tr"" , ""en"")"),"@drfahrettinka facts https://t.co/z3rcpie1dh")</f>
        <v>@drfahrettinka facts https://t.co/z3rcpie1dh</v>
      </c>
    </row>
    <row r="5947" spans="1:5" ht="15" customHeight="1" x14ac:dyDescent="0.2">
      <c r="A5947" s="1" t="s">
        <v>11851</v>
      </c>
      <c r="B5947" s="1">
        <v>0</v>
      </c>
      <c r="C5947" s="3">
        <v>44540.766041666669</v>
      </c>
      <c r="D5947" s="1" t="s">
        <v>11852</v>
      </c>
      <c r="E5947" s="1" t="str">
        <f ca="1">IFERROR(__xludf.DUMMYFUNCTION("GOOGLETRANSLATE(A2746 , ""tr"" , ""en"")"),"@drfahrettinka https://t.co/zmpKKPISGR")</f>
        <v>@drfahrettinka https://t.co/zmpKKPISGR</v>
      </c>
    </row>
    <row r="5948" spans="1:5" ht="15" customHeight="1" x14ac:dyDescent="0.2">
      <c r="A5948" s="1" t="s">
        <v>11853</v>
      </c>
      <c r="B5948" s="1">
        <v>0</v>
      </c>
      <c r="C5948" s="3">
        <v>44540.765810185185</v>
      </c>
      <c r="D5948" s="1" t="s">
        <v>11854</v>
      </c>
      <c r="E5948" s="1" t="str">
        <f ca="1">IFERROR(__xludf.DUMMYFUNCTION("GOOGLETRANSLATE(A2747 , ""tr"" , ""en"")"),"@drfahrettinkoca We want death data of the last 5 years Vaccine Minister @drfahrettinkoca What does not come unconvincing what ... https://t.co/pitu7zupd3")</f>
        <v>@drfahrettinkoca We want death data of the last 5 years Vaccine Minister @drfahrettinkoca What does not come unconvincing what ... https://t.co/pitu7zupd3</v>
      </c>
    </row>
    <row r="5949" spans="1:5" ht="15" customHeight="1" x14ac:dyDescent="0.2">
      <c r="A5949" s="1" t="s">
        <v>11855</v>
      </c>
      <c r="B5949" s="1">
        <v>3</v>
      </c>
      <c r="C5949" s="3">
        <v>44540.765601851854</v>
      </c>
      <c r="D5949" s="1" t="s">
        <v>11856</v>
      </c>
      <c r="E5949" s="1" t="str">
        <f ca="1">IFERROR(__xludf.DUMMYFUNCTION("GOOGLETRANSLATE(A2748 , ""tr"" , ""en"")"),"@drfahrettinkoca man's bottom arriving comes nidented inesese https://t.co/uwjumtvwn0")</f>
        <v>@drfahrettinkoca man's bottom arriving comes nidented inesese https://t.co/uwjumtvwn0</v>
      </c>
    </row>
    <row r="5950" spans="1:5" ht="15" customHeight="1" x14ac:dyDescent="0.2">
      <c r="A5950" s="1" t="s">
        <v>11857</v>
      </c>
      <c r="B5950" s="1">
        <v>0</v>
      </c>
      <c r="C5950" s="3">
        <v>44540.764768518522</v>
      </c>
      <c r="D5950" s="1" t="s">
        <v>11858</v>
      </c>
      <c r="E5950" s="1" t="str">
        <f ca="1">IFERROR(__xludf.DUMMYFUNCTION("GOOGLETRANSLATE(A2749 , ""tr"" , ""en"")"),"@drfahrettinkoca we want online education")</f>
        <v>@drfahrettinkoca we want online education</v>
      </c>
    </row>
    <row r="5951" spans="1:5" ht="15" customHeight="1" x14ac:dyDescent="0.2">
      <c r="A5951" s="1" t="s">
        <v>11859</v>
      </c>
      <c r="B5951" s="1">
        <v>0</v>
      </c>
      <c r="C5951" s="3">
        <v>44540.764618055553</v>
      </c>
      <c r="D5951" s="1" t="s">
        <v>11860</v>
      </c>
      <c r="E5951" s="1" t="str">
        <f ca="1">IFERROR(__xludf.DUMMYFUNCTION("GOOGLETRANSLATE(A2750 , ""tr"" , ""en"")"),"@drfahrettinkoca 176 ...")</f>
        <v>@drfahrettinkoca 176 ...</v>
      </c>
    </row>
    <row r="5952" spans="1:5" ht="15" customHeight="1" x14ac:dyDescent="0.2">
      <c r="A5952" s="1" t="s">
        <v>11861</v>
      </c>
      <c r="B5952" s="1">
        <v>0</v>
      </c>
      <c r="C5952" s="3">
        <v>44540.764456018522</v>
      </c>
      <c r="D5952" s="1" t="s">
        <v>11862</v>
      </c>
      <c r="E5952" s="1" t="str">
        <f ca="1">IFERROR(__xludf.DUMMYFUNCTION("GOOGLETRANSLATE(A2751 , ""tr"" , ""en"")"),"@drfahrettinkoca Sayin Ministry is both a pilgrim child as a strong person as a strong person Covit = 19 ... Https://t.co/4nuwzamm45")</f>
        <v>@drfahrettinkoca Sayin Ministry is both a pilgrim child as a strong person as a strong person Covit = 19 ... Https://t.co/4nuwzamm45</v>
      </c>
    </row>
    <row r="5953" spans="1:5" ht="15" customHeight="1" x14ac:dyDescent="0.2">
      <c r="A5953" s="1" t="s">
        <v>11863</v>
      </c>
      <c r="B5953" s="1">
        <v>56</v>
      </c>
      <c r="C5953" s="3">
        <v>44540.763831018521</v>
      </c>
      <c r="D5953" s="1" t="s">
        <v>11864</v>
      </c>
      <c r="E5953" s="1" t="str">
        <f ca="1">IFERROR(__xludf.DUMMYFUNCTION("GOOGLETRANSLATE(A2752 , ""tr"" , ""en"")"),"@drfahrettinkoca Are you expecting us to believe in this table when there is a Covidi kids number of children growing in each class?")</f>
        <v>@drfahrettinkoca Are you expecting us to believe in this table when there is a Covidi kids number of children growing in each class?</v>
      </c>
    </row>
    <row r="5954" spans="1:5" ht="15" customHeight="1" x14ac:dyDescent="0.2">
      <c r="A5954" s="1" t="s">
        <v>11865</v>
      </c>
      <c r="B5954" s="1">
        <v>0</v>
      </c>
      <c r="C5954" s="3">
        <v>44540.763657407406</v>
      </c>
      <c r="D5954" s="1" t="s">
        <v>11866</v>
      </c>
      <c r="E5954" s="1" t="str">
        <f ca="1">IFERROR(__xludf.DUMMYFUNCTION("GOOGLETRANSLATE(A2753 , ""tr"" , ""en"")"),"@drfahrettinka Mr. Fahrettin Bey vaccines cannot be completed You believe that you believe that the plans of this evil forces ... https://t.co/fpr807ru1m")</f>
        <v>@drfahrettinka Mr. Fahrettin Bey vaccines cannot be completed You believe that you believe that the plans of this evil forces ... https://t.co/fpr807ru1m</v>
      </c>
    </row>
    <row r="5955" spans="1:5" ht="15" customHeight="1" x14ac:dyDescent="0.2">
      <c r="A5955" s="1" t="s">
        <v>11867</v>
      </c>
      <c r="B5955" s="1">
        <v>0</v>
      </c>
      <c r="C5955" s="3">
        <v>44540.76189814815</v>
      </c>
      <c r="D5955" s="1" t="s">
        <v>11868</v>
      </c>
      <c r="E5955" s="1" t="str">
        <f ca="1">IFERROR(__xludf.DUMMYFUNCTION("GOOGLETRANSLATE(A2754 , ""tr"" , ""en"")"),"@drfahrettinkoca enough is your predisposition to these global drugs. You started unhappy, talk to the vaccines ... https://t.co/1phifbht9y")</f>
        <v>@drfahrettinkoca enough is your predisposition to these global drugs. You started unhappy, talk to the vaccines ... https://t.co/1phifbht9y</v>
      </c>
    </row>
    <row r="5956" spans="1:5" ht="15" customHeight="1" x14ac:dyDescent="0.2">
      <c r="A5956" s="1" t="s">
        <v>11869</v>
      </c>
      <c r="B5956" s="1">
        <v>1</v>
      </c>
      <c r="C5956" s="3">
        <v>44540.761736111112</v>
      </c>
      <c r="D5956" s="1" t="s">
        <v>11870</v>
      </c>
      <c r="E5956" s="1" t="str">
        <f ca="1">IFERROR(__xludf.DUMMYFUNCTION("GOOGLETRANSLATE(A2755 , ""tr"" , ""en"")"),"@drfahrettinkoca Currently, the economic crisis dollar virus explodes the case of the dollar virus increasing, ... https://t.co/m7l9fbtak6")</f>
        <v>@drfahrettinkoca Currently, the economic crisis dollar virus explodes the case of the dollar virus increasing, ... https://t.co/m7l9fbtak6</v>
      </c>
    </row>
    <row r="5957" spans="1:5" ht="15" customHeight="1" x14ac:dyDescent="0.2">
      <c r="A5957" s="1" t="s">
        <v>11871</v>
      </c>
      <c r="B5957" s="1">
        <v>0</v>
      </c>
      <c r="C5957" s="3">
        <v>44540.761655092596</v>
      </c>
      <c r="D5957" s="1" t="s">
        <v>11872</v>
      </c>
      <c r="E5957" s="1" t="str">
        <f ca="1">IFERROR(__xludf.DUMMYFUNCTION("GOOGLETRANSLATE(A2756 , ""tr"" , ""en"")"),"@drfahrettinkoca https://t.co/fwktwnnwqf they are vaccinated to defend our constitutional rights and freedoms ... https://t.co/I6uvz3ku28")</f>
        <v>@drfahrettinkoca https://t.co/fwktwnnwqf they are vaccinated to defend our constitutional rights and freedoms ... https://t.co/I6uvz3ku28</v>
      </c>
    </row>
    <row r="5958" spans="1:5" ht="15" customHeight="1" x14ac:dyDescent="0.2">
      <c r="A5958" s="1" t="s">
        <v>11873</v>
      </c>
      <c r="B5958" s="1">
        <v>0</v>
      </c>
      <c r="C5958" s="3">
        <v>44540.761261574073</v>
      </c>
      <c r="D5958" s="1" t="s">
        <v>11874</v>
      </c>
      <c r="E5958" s="1" t="str">
        <f ca="1">IFERROR(__xludf.DUMMYFUNCTION("GOOGLETRANSLATE(A2757 , ""tr"" , ""en"")"),"@drfahrettinkoca virus finished in Turkey we comfortably live in areas without maskless distance")</f>
        <v>@drfahrettinkoca virus finished in Turkey we comfortably live in areas without maskless distance</v>
      </c>
    </row>
    <row r="5959" spans="1:5" ht="15" customHeight="1" x14ac:dyDescent="0.2">
      <c r="A5959" s="1" t="s">
        <v>11875</v>
      </c>
      <c r="B5959" s="1">
        <v>0</v>
      </c>
      <c r="C5959" s="3">
        <v>44540.760613425926</v>
      </c>
      <c r="D5959" s="1" t="s">
        <v>11876</v>
      </c>
      <c r="E5959" s="1" t="str">
        <f ca="1">IFERROR(__xludf.DUMMYFUNCTION("GOOGLETRANSLATE(A2758 , ""tr"" , ""en"")"),"@drfahrettinkoca is living wanting to live, knows your own wanting to die.")</f>
        <v>@drfahrettinkoca is living wanting to live, knows your own wanting to die.</v>
      </c>
    </row>
    <row r="5960" spans="1:5" ht="15" customHeight="1" x14ac:dyDescent="0.2">
      <c r="A5960" s="1" t="s">
        <v>11877</v>
      </c>
      <c r="B5960" s="1">
        <v>0</v>
      </c>
      <c r="C5960" s="3">
        <v>44540.759629629632</v>
      </c>
      <c r="D5960" s="1" t="s">
        <v>11878</v>
      </c>
      <c r="E5960" s="1" t="str">
        <f ca="1">IFERROR(__xludf.DUMMYFUNCTION("GOOGLETRANSLATE(A2759 , ""tr"" , ""en"")"),"@drfahrettinkoca Dear Minister We demand the publication of the assignment guide. # Fkocahaftaayıyılduolduyeter")</f>
        <v>@drfahrettinkoca Dear Minister We demand the publication of the assignment guide. # Fkocahaftaayıyılduolduyeter</v>
      </c>
    </row>
    <row r="5961" spans="1:5" ht="15" customHeight="1" x14ac:dyDescent="0.2">
      <c r="A5961" s="1" t="s">
        <v>11879</v>
      </c>
      <c r="B5961" s="1">
        <v>1</v>
      </c>
      <c r="C5961" s="3">
        <v>44540.759548611109</v>
      </c>
      <c r="D5961" s="1" t="s">
        <v>11880</v>
      </c>
      <c r="E5961" s="1" t="str">
        <f ca="1">IFERROR(__xludf.DUMMYFUNCTION("GOOGLETRANSLATE(A2760 , ""tr"" , ""en"")"),"@drfahrettinkoca Overlooking Bey If you stop talking a little vaccine anymore, if you hear the voice of healthparties waiting for assignment?")</f>
        <v>@drfahrettinkoca Overlooking Bey If you stop talking a little vaccine anymore, if you hear the voice of healthparties waiting for assignment?</v>
      </c>
    </row>
    <row r="5962" spans="1:5" ht="15" customHeight="1" x14ac:dyDescent="0.2">
      <c r="A5962" s="1" t="s">
        <v>11881</v>
      </c>
      <c r="B5962" s="1">
        <v>0</v>
      </c>
      <c r="C5962" s="3">
        <v>44540.758622685185</v>
      </c>
      <c r="D5962" s="1" t="s">
        <v>11882</v>
      </c>
      <c r="E5962" s="1" t="str">
        <f ca="1">IFERROR(__xludf.DUMMYFUNCTION("GOOGLETRANSLATE(A2761 , ""tr"" , ""en"")"),"@drfahrettinkoca Dump slow")</f>
        <v>@drfahrettinkoca Dump slow</v>
      </c>
    </row>
    <row r="5963" spans="1:5" ht="15" customHeight="1" x14ac:dyDescent="0.2">
      <c r="A5963" s="1" t="s">
        <v>11883</v>
      </c>
      <c r="B5963" s="1">
        <v>18</v>
      </c>
      <c r="C5963" s="3">
        <v>44540.758599537039</v>
      </c>
      <c r="D5963" s="1" t="s">
        <v>11884</v>
      </c>
      <c r="E5963" s="1" t="str">
        <f ca="1">IFERROR(__xludf.DUMMYFUNCTION("GOOGLETRANSLATE(A2762 , ""tr"" , ""en"")"),"@drfahrettinkoca snoking you Alice is living in Wonderland 200 nests burning Everyday more epidemic Good Gi ... https://t.co/2zccuntzz")</f>
        <v>@drfahrettinkoca snoking you Alice is living in Wonderland 200 nests burning Everyday more epidemic Good Gi ... https://t.co/2zccuntzz</v>
      </c>
    </row>
    <row r="5964" spans="1:5" ht="15" customHeight="1" x14ac:dyDescent="0.2">
      <c r="A5964" s="1" t="s">
        <v>11885</v>
      </c>
      <c r="B5964" s="1">
        <v>0</v>
      </c>
      <c r="C5964" s="3">
        <v>44540.75854166667</v>
      </c>
      <c r="D5964" s="1" t="s">
        <v>11886</v>
      </c>
      <c r="E5964" s="1" t="str">
        <f ca="1">IFERROR(__xludf.DUMMYFUNCTION("GOOGLETRANSLATE(A2763 , ""tr"" , ""en"")"),"@drfahrettinkoca 2 dose of rebels in Germany in Germany 70 percent daily case 94 k turki vaccination rate 60-day case 18 k")</f>
        <v>@drfahrettinkoca 2 dose of rebels in Germany in Germany 70 percent daily case 94 k turki vaccination rate 60-day case 18 k</v>
      </c>
    </row>
    <row r="5965" spans="1:5" ht="15" customHeight="1" x14ac:dyDescent="0.2">
      <c r="A5965" s="1" t="s">
        <v>11887</v>
      </c>
      <c r="B5965" s="1">
        <v>24</v>
      </c>
      <c r="C5965" s="3">
        <v>44540.757800925923</v>
      </c>
      <c r="D5965" s="1" t="s">
        <v>11888</v>
      </c>
      <c r="E5965" s="1" t="str">
        <f ca="1">IFERROR(__xludf.DUMMYFUNCTION("GOOGLETRANSLATE(A2764 , ""tr"" , ""en"")"),"@drfahrettinkoca my mother died after vaccination Description Why don't you do Death risk of your grip because of your kati ... https://t.co/jd73y3Iwtz")</f>
        <v>@drfahrettinkoca my mother died after vaccination Description Why don't you do Death risk of your grip because of your kati ... https://t.co/jd73y3Iwtz</v>
      </c>
    </row>
    <row r="5966" spans="1:5" ht="15" customHeight="1" x14ac:dyDescent="0.2">
      <c r="A5966" s="1" t="s">
        <v>11889</v>
      </c>
      <c r="B5966" s="1">
        <v>0</v>
      </c>
      <c r="C5966" s="3">
        <v>44540.757708333331</v>
      </c>
      <c r="D5966" s="1" t="s">
        <v>11890</v>
      </c>
      <c r="E5966" s="1" t="str">
        <f ca="1">IFERROR(__xludf.DUMMYFUNCTION("GOOGLETRANSLATE(A2765 , ""tr"" , ""en"")"),"@drfahrettinkoca Yarin Case Number I can be Chicken Could Could Be Acquisite Nasil Although Herhaft Ingredients PZT Sali Increase CRS PRS Friday CMT PZR Decline")</f>
        <v>@drfahrettinkoca Yarin Case Number I can be Chicken Could Could Be Acquisite Nasil Although Herhaft Ingredients PZT Sali Increase CRS PRS Friday CMT PZR Decline</v>
      </c>
    </row>
    <row r="5967" spans="1:5" ht="15" customHeight="1" x14ac:dyDescent="0.2">
      <c r="A5967" s="1" t="s">
        <v>11891</v>
      </c>
      <c r="B5967" s="1">
        <v>0</v>
      </c>
      <c r="C5967" s="3">
        <v>44540.757650462961</v>
      </c>
      <c r="D5967" s="1" t="s">
        <v>11892</v>
      </c>
      <c r="E5967" s="1" t="str">
        <f ca="1">IFERROR(__xludf.DUMMYFUNCTION("GOOGLETRANSLATE(A2766 , ""tr"" , ""en"")"),"@drfahrettinka firstly orange color honey to everyone from Bingoh, Of course I will not be vaccinated")</f>
        <v>@drfahrettinka firstly orange color honey to everyone from Bingoh, Of course I will not be vaccinated</v>
      </c>
    </row>
    <row r="5968" spans="1:5" ht="15" customHeight="1" x14ac:dyDescent="0.2">
      <c r="A5968" s="1" t="s">
        <v>11893</v>
      </c>
      <c r="B5968" s="1">
        <v>0</v>
      </c>
      <c r="C5968" s="3">
        <v>44540.757604166669</v>
      </c>
      <c r="D5968" s="1" t="s">
        <v>11894</v>
      </c>
      <c r="E5968" s="1" t="str">
        <f ca="1">IFERROR(__xludf.DUMMYFUNCTION("GOOGLETRANSLATE(A2767 , ""tr"" , ""en"")"),"@drfahrettinka https://t.co/wlep16qrde")</f>
        <v>@drfahrettinka https://t.co/wlep16qrde</v>
      </c>
    </row>
    <row r="5969" spans="1:5" ht="15" customHeight="1" x14ac:dyDescent="0.2">
      <c r="A5969" s="1" t="s">
        <v>11895</v>
      </c>
      <c r="B5969" s="1">
        <v>0</v>
      </c>
      <c r="C5969" s="3">
        <v>44540.757268518515</v>
      </c>
      <c r="D5969" s="1" t="s">
        <v>11896</v>
      </c>
      <c r="E5969" s="1" t="str">
        <f ca="1">IFERROR(__xludf.DUMMYFUNCTION("GOOGLETRANSLATE(A2768 , ""tr"" , ""en"")"),"@drfahrettinkoca you must remove HEPP completely. Life does not fit home, we won't fit in fit people, robot ... https://t.co/kkhjblaqx0")</f>
        <v>@drfahrettinkoca you must remove HEPP completely. Life does not fit home, we won't fit in fit people, robot ... https://t.co/kkhjblaqx0</v>
      </c>
    </row>
    <row r="5970" spans="1:5" ht="15" customHeight="1" x14ac:dyDescent="0.2">
      <c r="A5970" s="1" t="s">
        <v>11897</v>
      </c>
      <c r="B5970" s="1">
        <v>0</v>
      </c>
      <c r="C5970" s="3">
        <v>44540.757268518515</v>
      </c>
      <c r="D5970" s="1" t="s">
        <v>11898</v>
      </c>
      <c r="E5970" s="1" t="str">
        <f ca="1">IFERROR(__xludf.DUMMYFUNCTION("GOOGLETRANSLATE(A2769 , ""tr"" , ""en"")"),"@drfahrettinkoca is the pointless mask that causes discussions among people as no work ... https://t.co/erldzrkvc9")</f>
        <v>@drfahrettinkoca is the pointless mask that causes discussions among people as no work ... https://t.co/erldzrkvc9</v>
      </c>
    </row>
    <row r="5971" spans="1:5" ht="15" customHeight="1" x14ac:dyDescent="0.2">
      <c r="A5971" s="1" t="s">
        <v>11899</v>
      </c>
      <c r="B5971" s="1">
        <v>0</v>
      </c>
      <c r="C5971" s="3">
        <v>44540.757025462961</v>
      </c>
      <c r="D5971" s="1" t="s">
        <v>11900</v>
      </c>
      <c r="E5971" s="1" t="str">
        <f ca="1">IFERROR(__xludf.DUMMYFUNCTION("GOOGLETRANSLATE(A2770 , ""tr"" , ""en"")"),"@drfahrettinka minister; Life is short, birds are waiting guide ...")</f>
        <v>@drfahrettinka minister; Life is short, birds are waiting guide ...</v>
      </c>
    </row>
    <row r="5972" spans="1:5" ht="15" customHeight="1" x14ac:dyDescent="0.2">
      <c r="A5972" s="1" t="s">
        <v>11901</v>
      </c>
      <c r="B5972" s="1">
        <v>0</v>
      </c>
      <c r="C5972" s="3">
        <v>44540.756851851853</v>
      </c>
      <c r="D5972" s="1" t="s">
        <v>11902</v>
      </c>
      <c r="E5972" s="1" t="str">
        <f ca="1">IFERROR(__xludf.DUMMYFUNCTION("GOOGLETRANSLATE(A2771 , ""tr"" , ""en"")"),"@drfahrettinkoca new variant)))) Tourists Lazy, Ready Setup When you're on this goal)))")</f>
        <v>@drfahrettinkoca new variant)))) Tourists Lazy, Ready Setup When you're on this goal)))</v>
      </c>
    </row>
    <row r="5973" spans="1:5" ht="15" customHeight="1" x14ac:dyDescent="0.2">
      <c r="A5973" s="1" t="s">
        <v>11903</v>
      </c>
      <c r="B5973" s="1">
        <v>1</v>
      </c>
      <c r="C5973" s="3">
        <v>44540.756145833337</v>
      </c>
      <c r="D5973" s="1" t="s">
        <v>11904</v>
      </c>
      <c r="E5973" s="1" t="str">
        <f ca="1">IFERROR(__xludf.DUMMYFUNCTION("GOOGLETRANSLATE(A2772 , ""tr"" , ""en"")"),"@drfahrettinka Mr. Minister Why are you days that have never touched the number of falling cases! This is a very happy news this is ... https://t.co/7b17nwqkbv")</f>
        <v>@drfahrettinka Mr. Minister Why are you days that have never touched the number of falling cases! This is a very happy news this is ... https://t.co/7b17nwqkbv</v>
      </c>
    </row>
    <row r="5974" spans="1:5" ht="15" customHeight="1" x14ac:dyDescent="0.2">
      <c r="A5974" s="1" t="s">
        <v>11905</v>
      </c>
      <c r="B5974" s="1">
        <v>2</v>
      </c>
      <c r="C5974" s="3">
        <v>44540.754710648151</v>
      </c>
      <c r="D5974" s="1" t="s">
        <v>11906</v>
      </c>
      <c r="E5974" s="1" t="str">
        <f ca="1">IFERROR(__xludf.DUMMYFUNCTION("GOOGLETRANSLATE(A2773 , ""tr"" , ""en"")"),"@drfahrettinkoca agenda Don't see the vaccination only Healthposters who are waiting for SN @drfahrettinkoca")</f>
        <v>@drfahrettinkoca agenda Don't see the vaccination only Healthposters who are waiting for SN @drfahrettinkoca</v>
      </c>
    </row>
    <row r="5975" spans="1:5" ht="15" customHeight="1" x14ac:dyDescent="0.2">
      <c r="A5975" s="1" t="s">
        <v>11907</v>
      </c>
      <c r="B5975" s="1">
        <v>0</v>
      </c>
      <c r="C5975" s="3">
        <v>44540.754467592589</v>
      </c>
      <c r="D5975" s="1" t="s">
        <v>11908</v>
      </c>
      <c r="E5975" s="1" t="str">
        <f ca="1">IFERROR(__xludf.DUMMYFUNCTION("GOOGLETRANSLATE(A2774 , ""tr"" , ""en"")"),"@drfahrettinkoca Mr. Minister 2 Sinovac After July 13 Da Biontech vaccine MHRS for second Biontech MHRS appointment and ... https://t.co/0uec79d2ac")</f>
        <v>@drfahrettinkoca Mr. Minister 2 Sinovac After July 13 Da Biontech vaccine MHRS for second Biontech MHRS appointment and ... https://t.co/0uec79d2ac</v>
      </c>
    </row>
    <row r="5976" spans="1:5" ht="15" customHeight="1" x14ac:dyDescent="0.2">
      <c r="A5976" s="1" t="s">
        <v>11909</v>
      </c>
      <c r="B5976" s="1">
        <v>0</v>
      </c>
      <c r="C5976" s="3">
        <v>44540.753692129627</v>
      </c>
      <c r="D5976" s="1" t="s">
        <v>11910</v>
      </c>
      <c r="E5976" s="1" t="str">
        <f ca="1">IFERROR(__xludf.DUMMYFUNCTION("GOOGLETRANSLATE(A2775 , ""tr"" , ""en"")"),"@drfahrettinka https://t.co/wqcmktsmnh")</f>
        <v>@drfahrettinka https://t.co/wqcmktsmnh</v>
      </c>
    </row>
    <row r="5977" spans="1:5" ht="15" customHeight="1" x14ac:dyDescent="0.2">
      <c r="A5977" s="1" t="s">
        <v>11911</v>
      </c>
      <c r="B5977" s="1">
        <v>0</v>
      </c>
      <c r="C5977" s="3">
        <v>44540.752638888887</v>
      </c>
      <c r="D5977" s="1" t="s">
        <v>11912</v>
      </c>
      <c r="E5977" s="1" t="str">
        <f ca="1">IFERROR(__xludf.DUMMYFUNCTION("GOOGLETRANSLATE(A2776 , ""tr"" , ""en"")"),"@drfahrettinkoca did not have this decrease darling darling you were a little more i swear you will be piercing or not freaking out ... https://t.co/xyt1sz6qx2")</f>
        <v>@drfahrettinkoca did not have this decrease darling darling you were a little more i swear you will be piercing or not freaking out ... https://t.co/xyt1sz6qx2</v>
      </c>
    </row>
    <row r="5978" spans="1:5" ht="15" customHeight="1" x14ac:dyDescent="0.2">
      <c r="A5978" s="1" t="s">
        <v>11913</v>
      </c>
      <c r="B5978" s="1">
        <v>2</v>
      </c>
      <c r="C5978" s="3">
        <v>44540.75240740741</v>
      </c>
      <c r="D5978" s="1" t="s">
        <v>11914</v>
      </c>
      <c r="E5978" s="1" t="str">
        <f ca="1">IFERROR(__xludf.DUMMYFUNCTION("GOOGLETRANSLATE(A2777 , ""tr"" , ""en"")"),"@drfahrettinkoca guide guide guide guide")</f>
        <v>@drfahrettinkoca guide guide guide guide</v>
      </c>
    </row>
    <row r="5979" spans="1:5" ht="15" customHeight="1" x14ac:dyDescent="0.2">
      <c r="A5979" s="1" t="s">
        <v>11915</v>
      </c>
      <c r="B5979" s="1">
        <v>0</v>
      </c>
      <c r="C5979" s="3">
        <v>44540.752187500002</v>
      </c>
      <c r="D5979" s="1" t="s">
        <v>11916</v>
      </c>
      <c r="E5979" s="1" t="str">
        <f ca="1">IFERROR(__xludf.DUMMYFUNCTION("GOOGLETRANSLATE(A2778 , ""tr"" , ""en"")"),"@drfahrettinkoca my son 2nd Grade 2nd Grade Half of the class is kovite Teacher genius my daughter is ill test yo ... https://t.co/olh8hjpy7I")</f>
        <v>@drfahrettinkoca my son 2nd Grade 2nd Grade Half of the class is kovite Teacher genius my daughter is ill test yo ... https://t.co/olh8hjpy7I</v>
      </c>
    </row>
    <row r="5980" spans="1:5" ht="15" customHeight="1" x14ac:dyDescent="0.2">
      <c r="A5980" s="1" t="s">
        <v>11917</v>
      </c>
      <c r="B5980" s="1">
        <v>1</v>
      </c>
      <c r="C5980" s="3">
        <v>44540.750856481478</v>
      </c>
      <c r="D5980" s="1" t="s">
        <v>11918</v>
      </c>
      <c r="E5980" s="1" t="str">
        <f ca="1">IFERROR(__xludf.DUMMYFUNCTION("GOOGLETRANSLATE(A2779 , ""tr"" , ""en"")"),"@drfahrettinkoca horse lie .... believer")</f>
        <v>@drfahrettinkoca horse lie .... believer</v>
      </c>
    </row>
    <row r="5981" spans="1:5" ht="15" customHeight="1" x14ac:dyDescent="0.2">
      <c r="A5981" s="1" t="s">
        <v>11919</v>
      </c>
      <c r="B5981" s="1">
        <v>0</v>
      </c>
      <c r="C5981" s="3">
        <v>44540.750763888886</v>
      </c>
      <c r="D5981" s="1" t="s">
        <v>11920</v>
      </c>
      <c r="E5981" s="1" t="str">
        <f ca="1">IFERROR(__xludf.DUMMYFUNCTION("GOOGLETRANSLATE(A2780 , ""tr"" , ""en"")"),"@drfahrettinkoca is your incomplete. What don't you have placebo? Be yourself first.")</f>
        <v>@drfahrettinkoca is your incomplete. What don't you have placebo? Be yourself first.</v>
      </c>
    </row>
    <row r="5982" spans="1:5" ht="15" customHeight="1" x14ac:dyDescent="0.2">
      <c r="A5982" s="1" t="s">
        <v>11921</v>
      </c>
      <c r="B5982" s="1">
        <v>1</v>
      </c>
      <c r="C5982" s="3">
        <v>44540.750532407408</v>
      </c>
      <c r="D5982" s="1" t="s">
        <v>11922</v>
      </c>
      <c r="E5982" s="1" t="str">
        <f ca="1">IFERROR(__xludf.DUMMYFUNCTION("GOOGLETRANSLATE(A2781 , ""tr"" , ""en"")"),"@drfahrettinka vaccine abi If you stop beating these tweets will fully last.")</f>
        <v>@drfahrettinka vaccine abi If you stop beating these tweets will fully last.</v>
      </c>
    </row>
    <row r="5983" spans="1:5" ht="15" customHeight="1" x14ac:dyDescent="0.2">
      <c r="A5983" s="1" t="s">
        <v>11923</v>
      </c>
      <c r="B5983" s="1">
        <v>59</v>
      </c>
      <c r="C5983" s="3">
        <v>44540.750497685185</v>
      </c>
      <c r="D5983" s="1" t="s">
        <v>11924</v>
      </c>
      <c r="E5983" s="1" t="str">
        <f ca="1">IFERROR(__xludf.DUMMYFUNCTION("GOOGLETRANSLATE(A2782 , ""tr"" , ""en"")"),"@drfahrettinkoca you can't get enough of the fear sn. Baked! Global gang account asks you after you. Your fear of more ... https://t.co/ark6urgklj")</f>
        <v>@drfahrettinkoca you can't get enough of the fear sn. Baked! Global gang account asks you after you. Your fear of more ... https://t.co/ark6urgklj</v>
      </c>
    </row>
    <row r="5984" spans="1:5" ht="15" customHeight="1" x14ac:dyDescent="0.2">
      <c r="A5984" s="1" t="s">
        <v>11925</v>
      </c>
      <c r="B5984" s="1">
        <v>0</v>
      </c>
      <c r="C5984" s="3">
        <v>44540.750243055554</v>
      </c>
      <c r="D5984" s="1" t="s">
        <v>11926</v>
      </c>
      <c r="E5984" s="1" t="str">
        <f ca="1">IFERROR(__xludf.DUMMYFUNCTION("GOOGLETRANSLATE(A2783 , ""tr"" , ""en"")"),"@drfahrettinkoca sn.koca We are not assigned to the patrolists are welcome to hear from you.")</f>
        <v>@drfahrettinkoca sn.koca We are not assigned to the patrolists are welcome to hear from you.</v>
      </c>
    </row>
    <row r="5985" spans="1:5" ht="15" customHeight="1" x14ac:dyDescent="0.2">
      <c r="A5985" s="1" t="s">
        <v>11927</v>
      </c>
      <c r="B5985" s="1">
        <v>0</v>
      </c>
      <c r="C5985" s="3">
        <v>44540.749907407408</v>
      </c>
      <c r="D5985" s="1" t="s">
        <v>11928</v>
      </c>
      <c r="E5985" s="1" t="str">
        <f ca="1">IFERROR(__xludf.DUMMYFUNCTION("GOOGLETRANSLATE(A2784 , ""tr"" , ""en"")"),"@drfahrettinkoca vaccination is 80% and above countries when the disease is not finished; Our country is still grown in our country ... https://t.co/1EMBISOEYU")</f>
        <v>@drfahrettinkoca vaccination is 80% and above countries when the disease is not finished; Our country is still grown in our country ... https://t.co/1EMBISOEYU</v>
      </c>
    </row>
    <row r="5986" spans="1:5" ht="15" customHeight="1" x14ac:dyDescent="0.2">
      <c r="A5986" s="1" t="s">
        <v>11929</v>
      </c>
      <c r="B5986" s="1">
        <v>0</v>
      </c>
      <c r="C5986" s="3">
        <v>44540.749444444446</v>
      </c>
      <c r="D5986" s="1" t="s">
        <v>11930</v>
      </c>
      <c r="E5986" s="1" t="str">
        <f ca="1">IFERROR(__xludf.DUMMYFUNCTION("GOOGLETRANSLATE(A2785 , ""tr"" , ""en"")"),"@drfahrettinka Auspicious jobs")</f>
        <v>@drfahrettinka Auspicious jobs</v>
      </c>
    </row>
    <row r="5987" spans="1:5" ht="15" customHeight="1" x14ac:dyDescent="0.2">
      <c r="A5987" s="1" t="s">
        <v>11931</v>
      </c>
      <c r="B5987" s="1">
        <v>1</v>
      </c>
      <c r="C5987" s="3">
        <v>44540.748761574076</v>
      </c>
      <c r="D5987" s="1" t="s">
        <v>11932</v>
      </c>
      <c r="E5987" s="1" t="str">
        <f ca="1">IFERROR(__xludf.DUMMYFUNCTION("GOOGLETRANSLATE(A2786 , ""tr"" , ""en"")"),"@drfahrettinkoca is the news of Biontech if the vaccine prevented Covide catch.")</f>
        <v>@drfahrettinkoca is the news of Biontech if the vaccine prevented Covide catch.</v>
      </c>
    </row>
    <row r="5988" spans="1:5" ht="15" customHeight="1" x14ac:dyDescent="0.2">
      <c r="A5988" s="1" t="s">
        <v>11933</v>
      </c>
      <c r="B5988" s="1">
        <v>0</v>
      </c>
      <c r="C5988" s="3">
        <v>44540.748402777775</v>
      </c>
      <c r="D5988" s="1" t="s">
        <v>11934</v>
      </c>
      <c r="E5988" s="1" t="str">
        <f ca="1">IFERROR(__xludf.DUMMYFUNCTION("GOOGLETRANSLATE(A2787 , ""tr"" , ""en"")"),"@drfahrettinkoca says some brains, the antibody of the cucuda decreases when the antibody is reduced in the effect of the acid 2.3 ... https://t.co/h8vsfaymccc")</f>
        <v>@drfahrettinkoca says some brains, the antibody of the cucuda decreases when the antibody is reduced in the effect of the acid 2.3 ... https://t.co/h8vsfaymccc</v>
      </c>
    </row>
    <row r="5989" spans="1:5" ht="15" customHeight="1" x14ac:dyDescent="0.2">
      <c r="A5989" s="1" t="s">
        <v>11935</v>
      </c>
      <c r="B5989" s="1">
        <v>0</v>
      </c>
      <c r="C5989" s="3">
        <v>44540.748171296298</v>
      </c>
      <c r="D5989" s="1" t="s">
        <v>11936</v>
      </c>
      <c r="E5989" s="1" t="str">
        <f ca="1">IFERROR(__xludf.DUMMYFUNCTION("GOOGLETRANSLATE(A2788 , ""tr"" , ""en"")"),"@drfahrettinkoca Are we waiting for a tourist chicken?")</f>
        <v>@drfahrettinkoca Are we waiting for a tourist chicken?</v>
      </c>
    </row>
    <row r="5990" spans="1:5" ht="15" customHeight="1" x14ac:dyDescent="0.2">
      <c r="A5990" s="1" t="s">
        <v>11937</v>
      </c>
      <c r="B5990" s="1">
        <v>0</v>
      </c>
      <c r="C5990" s="3">
        <v>44540.747986111113</v>
      </c>
      <c r="D5990" s="1" t="s">
        <v>11938</v>
      </c>
      <c r="E5990" s="1" t="str">
        <f ca="1">IFERROR(__xludf.DUMMYFUNCTION("GOOGLETRANSLATE(A2789 , ""tr"" , ""en"")"),"@drfahrettinkoca Ya Bi Residents Artic Coworkers until no jowders Come in average Halkin Arasina Come TTAAAA ... https://t.co/zhzzfqj8l0")</f>
        <v>@drfahrettinkoca Ya Bi Residents Artic Coworkers until no jowders Come in average Halkin Arasina Come TTAAAA ... https://t.co/zhzzfqj8l0</v>
      </c>
    </row>
    <row r="5991" spans="1:5" ht="15" customHeight="1" x14ac:dyDescent="0.2">
      <c r="A5991" s="1" t="s">
        <v>11939</v>
      </c>
      <c r="B5991" s="1">
        <v>29</v>
      </c>
      <c r="C5991" s="3">
        <v>44540.746620370373</v>
      </c>
      <c r="D5991" s="1" t="s">
        <v>11940</v>
      </c>
      <c r="E5991" s="1" t="str">
        <f ca="1">IFERROR(__xludf.DUMMYFUNCTION("GOOGLETRANSLATE(A2790 , ""tr"" , ""en"")"),"@drfahrettinka https://t.co/mk7arh3zrf")</f>
        <v>@drfahrettinka https://t.co/mk7arh3zrf</v>
      </c>
    </row>
    <row r="5992" spans="1:5" ht="15" customHeight="1" x14ac:dyDescent="0.2">
      <c r="A5992" s="1" t="s">
        <v>11941</v>
      </c>
      <c r="B5992" s="1">
        <v>0</v>
      </c>
      <c r="C5992" s="3">
        <v>44540.74627314815</v>
      </c>
      <c r="D5992" s="1" t="s">
        <v>11942</v>
      </c>
      <c r="E5992" s="1" t="str">
        <f ca="1">IFERROR(__xludf.DUMMYFUNCTION("GOOGLETRANSLATE(A2791 , ""tr"" , ""en"")"),"@drfahrettinkoca 'π' (pi) Very has when next sir?!")</f>
        <v>@drfahrettinkoca 'π' (pi) Very has when next sir?!</v>
      </c>
    </row>
    <row r="5993" spans="1:5" ht="15" customHeight="1" x14ac:dyDescent="0.2">
      <c r="A5993" s="1" t="s">
        <v>11943</v>
      </c>
      <c r="B5993" s="1">
        <v>0</v>
      </c>
      <c r="C5993" s="3">
        <v>44540.746030092596</v>
      </c>
      <c r="D5993" s="1" t="s">
        <v>11944</v>
      </c>
      <c r="E5993" s="1" t="str">
        <f ca="1">IFERROR(__xludf.DUMMYFUNCTION("GOOGLETRANSLATE(A2792 , ""tr"" , ""en"")"),"@drfahrettinkoca yaw he hee 🤪")</f>
        <v>@drfahrettinkoca yaw he hee 🤪</v>
      </c>
    </row>
    <row r="5994" spans="1:5" ht="15" customHeight="1" x14ac:dyDescent="0.2">
      <c r="A5994" s="1" t="s">
        <v>11945</v>
      </c>
      <c r="B5994" s="1">
        <v>0</v>
      </c>
      <c r="C5994" s="3">
        <v>44540.745868055557</v>
      </c>
      <c r="D5994" s="1" t="s">
        <v>11946</v>
      </c>
      <c r="E5994" s="1" t="str">
        <f ca="1">IFERROR(__xludf.DUMMYFUNCTION("GOOGLETRANSLATE(A2793 , ""tr"" , ""en"")"),"@drfahrettinkoca tongs and you are holding fire. Itself will burn you in a good police role. Don't be a sucker. Quit.")</f>
        <v>@drfahrettinkoca tongs and you are holding fire. Itself will burn you in a good police role. Don't be a sucker. Quit.</v>
      </c>
    </row>
    <row r="5995" spans="1:5" ht="15" customHeight="1" x14ac:dyDescent="0.2">
      <c r="A5995" s="1" t="s">
        <v>11947</v>
      </c>
      <c r="B5995" s="1">
        <v>36</v>
      </c>
      <c r="C5995" s="3">
        <v>44540.745752314811</v>
      </c>
      <c r="D5995" s="1" t="s">
        <v>11948</v>
      </c>
      <c r="E5995" s="1" t="str">
        <f ca="1">IFERROR(__xludf.DUMMYFUNCTION("GOOGLETRANSLATE(A2794 , ""tr"" , ""en"")"),"Why @drfahrettinkoca are specifically intensified to those with old and chronic diseases? You know they are in the risk group ... https://t.co/j5v3eqegi9")</f>
        <v>Why @drfahrettinkoca are specifically intensified to those with old and chronic diseases? You know they are in the risk group ... https://t.co/j5v3eqegi9</v>
      </c>
    </row>
    <row r="5996" spans="1:5" ht="15" customHeight="1" x14ac:dyDescent="0.2">
      <c r="A5996" s="1" t="s">
        <v>11949</v>
      </c>
      <c r="B5996" s="1">
        <v>1</v>
      </c>
      <c r="C5996" s="3">
        <v>44540.745613425926</v>
      </c>
      <c r="D5996" s="1" t="s">
        <v>11950</v>
      </c>
      <c r="E5996" s="1" t="str">
        <f ca="1">IFERROR(__xludf.DUMMYFUNCTION("GOOGLETRANSLATE(A2795 , ""tr"" , ""en"")"),"@drfahrettinkoca Rightly Assign Under Data, Guide is asked when questions will be published ... https://t.co/ur567ISZ5D")</f>
        <v>@drfahrettinkoca Rightly Assign Under Data, Guide is asked when questions will be published ... https://t.co/ur567ISZ5D</v>
      </c>
    </row>
    <row r="5997" spans="1:5" ht="15" customHeight="1" x14ac:dyDescent="0.2">
      <c r="A5997" s="1" t="s">
        <v>11951</v>
      </c>
      <c r="B5997" s="1">
        <v>1</v>
      </c>
      <c r="C5997" s="3">
        <v>44540.745393518519</v>
      </c>
      <c r="D5997" s="1" t="s">
        <v>11952</v>
      </c>
      <c r="E5997" s="1" t="str">
        <f ca="1">IFERROR(__xludf.DUMMYFUNCTION("GOOGLETRANSLATE(A2796 , ""tr"" , ""en"")"),"@drfahrettinkca my friend 20.05.2021 - 3622279 protocch https://t.co/tdgmlayfij D.Makir Gazi Yashargil Öğt. The patient. Ge ... https://t.co/Iewehmndlr")</f>
        <v>@drfahrettinkca my friend 20.05.2021 - 3622279 protocch https://t.co/tdgmlayfij D.Makir Gazi Yashargil Öğt. The patient. Ge ... https://t.co/Iewehmndlr</v>
      </c>
    </row>
    <row r="5998" spans="1:5" ht="15" customHeight="1" x14ac:dyDescent="0.2">
      <c r="A5998" s="1" t="s">
        <v>11953</v>
      </c>
      <c r="B5998" s="1">
        <v>0</v>
      </c>
      <c r="C5998" s="3">
        <v>44540.743703703702</v>
      </c>
      <c r="D5998" s="1" t="s">
        <v>11954</v>
      </c>
      <c r="E5998" s="1" t="str">
        <f ca="1">IFERROR(__xludf.DUMMYFUNCTION("GOOGLETRANSLATE(A2797 , ""tr"" , ""en"")"),"@drfahrettinkoca is reduced? How to increase your eyes in external countries, how / why in your eye reduction ... https://t.co/emanklye2k")</f>
        <v>@drfahrettinkoca is reduced? How to increase your eyes in external countries, how / why in your eye reduction ... https://t.co/emanklye2k</v>
      </c>
    </row>
    <row r="5999" spans="1:5" ht="15" customHeight="1" x14ac:dyDescent="0.2">
      <c r="A5999" s="1" t="s">
        <v>11955</v>
      </c>
      <c r="B5999" s="1">
        <v>1</v>
      </c>
      <c r="C5999" s="3">
        <v>44540.743518518517</v>
      </c>
      <c r="D5999" s="1" t="s">
        <v>11956</v>
      </c>
      <c r="E5999" s="1" t="str">
        <f ca="1">IFERROR(__xludf.DUMMYFUNCTION("GOOGLETRANSLATE(A2798 , ""tr"" , ""en"")"),"@drfahrettinkoca one day Sussan Corona theater will collapse 7/23 you are writing Maşallalh aman fear pandemia")</f>
        <v>@drfahrettinkoca one day Sussan Corona theater will collapse 7/23 you are writing Maşallalh aman fear pandemia</v>
      </c>
    </row>
    <row r="6000" spans="1:5" ht="15" customHeight="1" x14ac:dyDescent="0.2">
      <c r="A6000" s="1" t="s">
        <v>11957</v>
      </c>
      <c r="B6000" s="1">
        <v>0</v>
      </c>
      <c r="C6000" s="3">
        <v>44540.742939814816</v>
      </c>
      <c r="D6000" s="1" t="s">
        <v>11958</v>
      </c>
      <c r="E6000" s="1" t="str">
        <f ca="1">IFERROR(__xludf.DUMMYFUNCTION("GOOGLETRANSLATE(A2799 , ""tr"" , ""en"")"),"@drfahrettinkoca atamacilar ???? Those who want to assign ??? The state gave you the guarantee of hiring to the Universiterers ... https://t.co/5v4quivr0z")</f>
        <v>@drfahrettinkoca atamacilar ???? Those who want to assign ??? The state gave you the guarantee of hiring to the Universiterers ... https://t.co/5v4quivr0z</v>
      </c>
    </row>
    <row r="6001" spans="1:5" ht="15" customHeight="1" x14ac:dyDescent="0.2">
      <c r="A6001" s="1" t="s">
        <v>11959</v>
      </c>
      <c r="B6001" s="1">
        <v>0</v>
      </c>
      <c r="C6001" s="3">
        <v>44540.742893518516</v>
      </c>
      <c r="D6001" s="1" t="s">
        <v>11960</v>
      </c>
      <c r="E6001" s="1" t="str">
        <f ca="1">IFERROR(__xludf.DUMMYFUNCTION("GOOGLETRANSLATE(A2800 , ""tr"" , ""en"")"),"@drfahrettinka https://t.co/0hsnpjbc5a")</f>
        <v>@drfahrettinka https://t.co/0hsnpjbc5a</v>
      </c>
    </row>
    <row r="6002" spans="1:5" ht="15" customHeight="1" x14ac:dyDescent="0.2">
      <c r="A6002" s="1" t="s">
        <v>10058</v>
      </c>
      <c r="B6002" s="1">
        <v>0</v>
      </c>
      <c r="C6002" s="3">
        <v>44540.74255787037</v>
      </c>
      <c r="D6002" s="1" t="s">
        <v>11961</v>
      </c>
      <c r="E6002" s="1" t="str">
        <f ca="1">IFERROR(__xludf.DUMMYFUNCTION("GOOGLETRANSLATE(A2801 , ""tr"" , ""en"")"),"@drfahrettinkoca Guide")</f>
        <v>@drfahrettinkoca Guide</v>
      </c>
    </row>
    <row r="6003" spans="1:5" ht="15" customHeight="1" x14ac:dyDescent="0.2">
      <c r="A6003" s="1" t="s">
        <v>11962</v>
      </c>
      <c r="B6003" s="1">
        <v>1</v>
      </c>
      <c r="C6003" s="3">
        <v>44540.7424537037</v>
      </c>
      <c r="D6003" s="1" t="s">
        <v>11963</v>
      </c>
      <c r="E6003" s="1" t="str">
        <f ca="1">IFERROR(__xludf.DUMMYFUNCTION("GOOGLETRANSLATE(A2802 , ""tr"" , ""en"")"),"@drfahrettinkoca guide")</f>
        <v>@drfahrettinkoca guide</v>
      </c>
    </row>
    <row r="6004" spans="1:5" ht="15" customHeight="1" x14ac:dyDescent="0.2">
      <c r="A6004" s="1" t="s">
        <v>11964</v>
      </c>
      <c r="B6004" s="1">
        <v>0</v>
      </c>
      <c r="C6004" s="3">
        <v>44540.742395833331</v>
      </c>
      <c r="D6004" s="1" t="s">
        <v>11965</v>
      </c>
      <c r="E6004" s="1" t="str">
        <f ca="1">IFERROR(__xludf.DUMMYFUNCTION("GOOGLETRANSLATE(A2803 , ""tr"" , ""en"")"),"@drfahrettinkoca SN Minister Influenza (flu) I am demanding vaccination. 5 months after 2nd dose 6.Ayda 3.doz a ... https://t.co/yjsıro7aan")</f>
        <v>@drfahrettinkoca SN Minister Influenza (flu) I am demanding vaccination. 5 months after 2nd dose 6.Ayda 3.doz a ... https://t.co/yjsıro7aan</v>
      </c>
    </row>
    <row r="6005" spans="1:5" ht="15" customHeight="1" x14ac:dyDescent="0.2">
      <c r="A6005" s="1" t="s">
        <v>11966</v>
      </c>
      <c r="B6005" s="1">
        <v>1</v>
      </c>
      <c r="C6005" s="3">
        <v>44540.742337962962</v>
      </c>
      <c r="D6005" s="1" t="s">
        <v>11967</v>
      </c>
      <c r="E6005" s="1" t="str">
        <f ca="1">IFERROR(__xludf.DUMMYFUNCTION("GOOGLETRANSLATE(A2804 , ""tr"" , ""en"")"),"@drfahrettinka you have been lying on the last month guide you will publish the year to end the year is the only fantasy in this job ... https://t.co/xsnehwvga9")</f>
        <v>@drfahrettinka you have been lying on the last month guide you will publish the year to end the year is the only fantasy in this job ... https://t.co/xsnehwvga9</v>
      </c>
    </row>
    <row r="6006" spans="1:5" ht="15" customHeight="1" x14ac:dyDescent="0.2">
      <c r="A6006" s="1" t="s">
        <v>11968</v>
      </c>
      <c r="B6006" s="1">
        <v>5</v>
      </c>
      <c r="C6006" s="3">
        <v>44540.741620370369</v>
      </c>
      <c r="D6006" s="1" t="s">
        <v>11969</v>
      </c>
      <c r="E6006" s="1" t="str">
        <f ca="1">IFERROR(__xludf.DUMMYFUNCTION("GOOGLETRANSLATE(A2805 , ""tr"" , ""en"")"),"@drfahrettinkoca where we were appointed where came to @drfahrettinkoca")</f>
        <v>@drfahrettinkoca where we were appointed where came to @drfahrettinkoca</v>
      </c>
    </row>
    <row r="6007" spans="1:5" ht="15" customHeight="1" x14ac:dyDescent="0.2">
      <c r="A6007" s="1" t="s">
        <v>11970</v>
      </c>
      <c r="B6007" s="1">
        <v>1</v>
      </c>
      <c r="C6007" s="3">
        <v>44540.741608796299</v>
      </c>
      <c r="D6007" s="1" t="s">
        <v>11971</v>
      </c>
      <c r="E6007" s="1" t="str">
        <f ca="1">IFERROR(__xludf.DUMMYFUNCTION("GOOGLETRANSLATE(A2806 , ""tr"" , ""en"")"),"@drfahrettinkoca Olrum Asi Masi Al Map of Almaty Asylari A Duke Raki Understanding")</f>
        <v>@drfahrettinkoca Olrum Asi Masi Al Map of Almaty Asylari A Duke Raki Understanding</v>
      </c>
    </row>
    <row r="6008" spans="1:5" ht="15" customHeight="1" x14ac:dyDescent="0.2">
      <c r="A6008" s="1" t="s">
        <v>11972</v>
      </c>
      <c r="B6008" s="1">
        <v>31</v>
      </c>
      <c r="C6008" s="3">
        <v>44540.741111111114</v>
      </c>
      <c r="D6008" s="1" t="s">
        <v>11973</v>
      </c>
      <c r="E6008" s="1" t="str">
        <f ca="1">IFERROR(__xludf.DUMMYFUNCTION("GOOGLETRANSLATE(A2807 , ""tr"" , ""en"")"),"@drfahrettinka I don't understand which country citizens you appeal to. A country you make the ministry is a country v ... https://t.co/cvndhvnnrf")</f>
        <v>@drfahrettinka I don't understand which country citizens you appeal to. A country you make the ministry is a country v ... https://t.co/cvndhvnnrf</v>
      </c>
    </row>
    <row r="6009" spans="1:5" ht="15" customHeight="1" x14ac:dyDescent="0.2">
      <c r="A6009" s="1" t="s">
        <v>11974</v>
      </c>
      <c r="B6009" s="1">
        <v>5</v>
      </c>
      <c r="C6009" s="3">
        <v>44540.741041666668</v>
      </c>
      <c r="D6009" s="1" t="s">
        <v>11975</v>
      </c>
      <c r="E6009" s="1" t="str">
        <f ca="1">IFERROR(__xludf.DUMMYFUNCTION("GOOGLETRANSLATE(A2808 , ""tr"" , ""en"")"),"@drfahrettinkoca Healthcare Healthiers Are you happy to appoint the pending healthpieces HA TRADES TRADE TRADE TRADE")</f>
        <v>@drfahrettinkoca Healthcare Healthiers Are you happy to appoint the pending healthpieces HA TRADES TRADE TRADE TRADE</v>
      </c>
    </row>
    <row r="6010" spans="1:5" ht="15" customHeight="1" x14ac:dyDescent="0.2">
      <c r="A6010" s="1" t="s">
        <v>11976</v>
      </c>
      <c r="B6010" s="1">
        <v>24</v>
      </c>
      <c r="C6010" s="3">
        <v>44540.741030092591</v>
      </c>
      <c r="D6010" s="1" t="s">
        <v>11977</v>
      </c>
      <c r="E6010" s="1" t="str">
        <f ca="1">IFERROR(__xludf.DUMMYFUNCTION("GOOGLETRANSLATE(A2809 , ""tr"" , ""en"")"),"@drfahrettinkoca worry not decreasing, please do not shake. Have you ever read our concerns Covid increased in schools, there are patients with each class")</f>
        <v>@drfahrettinkoca worry not decreasing, please do not shake. Have you ever read our concerns Covid increased in schools, there are patients with each class</v>
      </c>
    </row>
    <row r="6011" spans="1:5" ht="15" customHeight="1" x14ac:dyDescent="0.2">
      <c r="A6011" s="1" t="s">
        <v>11978</v>
      </c>
      <c r="B6011" s="1">
        <v>0</v>
      </c>
      <c r="C6011" s="3">
        <v>44540.740949074076</v>
      </c>
      <c r="D6011" s="1" t="s">
        <v>11979</v>
      </c>
      <c r="E6011" s="1" t="str">
        <f ca="1">IFERROR(__xludf.DUMMYFUNCTION("GOOGLETRANSLATE(A2810 , ""tr"" , ""en"")"),"@drfahrettinkoca 3. Do you want to do dose biontech!")</f>
        <v>@drfahrettinkoca 3. Do you want to do dose biontech!</v>
      </c>
    </row>
    <row r="6012" spans="1:5" ht="15" customHeight="1" x14ac:dyDescent="0.2">
      <c r="A6012" s="1" t="s">
        <v>11980</v>
      </c>
      <c r="B6012" s="1">
        <v>0</v>
      </c>
      <c r="C6012" s="3">
        <v>44540.740868055553</v>
      </c>
      <c r="D6012" s="1" t="s">
        <v>11981</v>
      </c>
      <c r="E6012" s="1" t="str">
        <f ca="1">IFERROR(__xludf.DUMMYFUNCTION("GOOGLETRANSLATE(A2811 , ""tr"" , ""en"")"),"@drfahrettinkoca Mom was taken 13 years ago at all stomach due to stomach cancer and is 43 kg right now. And the immunity is very du ... https://t.co/y77sbnvlvv")</f>
        <v>@drfahrettinkoca Mom was taken 13 years ago at all stomach due to stomach cancer and is 43 kg right now. And the immunity is very du ... https://t.co/y77sbnvlvv</v>
      </c>
    </row>
    <row r="6013" spans="1:5" ht="15" customHeight="1" x14ac:dyDescent="0.2">
      <c r="A6013" s="1" t="s">
        <v>11982</v>
      </c>
      <c r="B6013" s="1">
        <v>1</v>
      </c>
      <c r="C6013" s="3">
        <v>44540.739814814813</v>
      </c>
      <c r="D6013" s="1" t="s">
        <v>11983</v>
      </c>
      <c r="E6013" s="1" t="str">
        <f ca="1">IFERROR(__xludf.DUMMYFUNCTION("GOOGLETRANSLATE(A2812 , ""tr"" , ""en"")"),"@drfahrettinka vaccines missing the incomplace is very ridiculous, it would be very ridiculous.")</f>
        <v>@drfahrettinka vaccines missing the incomplace is very ridiculous, it would be very ridiculous.</v>
      </c>
    </row>
    <row r="6014" spans="1:5" ht="15" customHeight="1" x14ac:dyDescent="0.2">
      <c r="A6014" s="1" t="s">
        <v>11984</v>
      </c>
      <c r="B6014" s="1">
        <v>8</v>
      </c>
      <c r="C6014" s="3">
        <v>44540.739537037036</v>
      </c>
      <c r="D6014" s="1" t="s">
        <v>11985</v>
      </c>
      <c r="E6014" s="1" t="str">
        <f ca="1">IFERROR(__xludf.DUMMYFUNCTION("GOOGLETRANSLATE(A2813 , ""tr"" , ""en"")"),"@drfahrettinkoca Kids Developments Squads # 40Binal250cochosts")</f>
        <v>@drfahrettinkoca Kids Developments Squads # 40Binal250cochosts</v>
      </c>
    </row>
    <row r="6015" spans="1:5" ht="15" customHeight="1" x14ac:dyDescent="0.2">
      <c r="A6015" s="1" t="s">
        <v>11986</v>
      </c>
      <c r="B6015" s="1">
        <v>0</v>
      </c>
      <c r="C6015" s="3">
        <v>44540.739120370374</v>
      </c>
      <c r="D6015" s="1" t="s">
        <v>11987</v>
      </c>
      <c r="E6015" s="1" t="str">
        <f ca="1">IFERROR(__xludf.DUMMYFUNCTION("GOOGLETRANSLATE(A2814 , ""tr"" , ""en"")"),"@drfahrettinkoca Omnikom Virus Information")</f>
        <v>@drfahrettinkoca Omnikom Virus Information</v>
      </c>
    </row>
    <row r="6016" spans="1:5" ht="15" customHeight="1" x14ac:dyDescent="0.2">
      <c r="A6016" s="1" t="s">
        <v>11988</v>
      </c>
      <c r="B6016" s="1">
        <v>1</v>
      </c>
      <c r="C6016" s="3">
        <v>44540.73877314815</v>
      </c>
      <c r="D6016" s="1" t="s">
        <v>11989</v>
      </c>
      <c r="E6016" s="1" t="str">
        <f ca="1">IFERROR(__xludf.DUMMYFUNCTION("GOOGLETRANSLATE(A2815 , ""tr"" , ""en"")"),"@drfahrettinkoca Talk on your own name Please Our Concern is not going low as we are increasing every day")</f>
        <v>@drfahrettinkoca Talk on your own name Please Our Concern is not going low as we are increasing every day</v>
      </c>
    </row>
    <row r="6017" spans="1:5" ht="15" customHeight="1" x14ac:dyDescent="0.2">
      <c r="A6017" s="1" t="s">
        <v>11990</v>
      </c>
      <c r="B6017" s="1">
        <v>0</v>
      </c>
      <c r="C6017" s="3">
        <v>44540.737905092596</v>
      </c>
      <c r="D6017" s="1" t="s">
        <v>11991</v>
      </c>
      <c r="E6017" s="1" t="str">
        <f ca="1">IFERROR(__xludf.DUMMYFUNCTION("GOOGLETRANSLATE(A2816 , ""tr"" , ""en"")"),"@drfahrettinkoca people are not Covidden as this going to be starved")</f>
        <v>@drfahrettinkoca people are not Covidden as this going to be starved</v>
      </c>
    </row>
    <row r="6018" spans="1:5" ht="15" customHeight="1" x14ac:dyDescent="0.2">
      <c r="A6018" s="1" t="s">
        <v>11992</v>
      </c>
      <c r="B6018" s="1">
        <v>0</v>
      </c>
      <c r="C6018" s="3">
        <v>44540.737222222226</v>
      </c>
      <c r="D6018" s="1" t="s">
        <v>11993</v>
      </c>
      <c r="E6018" s="1" t="str">
        <f ca="1">IFERROR(__xludf.DUMMYFUNCTION("GOOGLETRANSLATE(A2817 , ""tr"" , ""en"")"),"@drfahrettinkoca pez")</f>
        <v>@drfahrettinkoca pez</v>
      </c>
    </row>
    <row r="6019" spans="1:5" ht="15" customHeight="1" x14ac:dyDescent="0.2">
      <c r="A6019" s="1" t="s">
        <v>11994</v>
      </c>
      <c r="B6019" s="1">
        <v>10</v>
      </c>
      <c r="C6019" s="3">
        <v>44540.737222222226</v>
      </c>
      <c r="D6019" s="1" t="s">
        <v>11995</v>
      </c>
      <c r="E6019" s="1" t="str">
        <f ca="1">IFERROR(__xludf.DUMMYFUNCTION("GOOGLETRANSLATE(A2818 , ""tr"" , ""en"")"),"@drfahrettinkoca Every day we are afraid to school with anxiously afraid to school Nominated dormitories classrooms schools public transport ... https://t.co/bbcfzguenc")</f>
        <v>@drfahrettinkoca Every day we are afraid to school with anxiously afraid to school Nominated dormitories classrooms schools public transport ... https://t.co/bbcfzguenc</v>
      </c>
    </row>
    <row r="6020" spans="1:5" ht="15" customHeight="1" x14ac:dyDescent="0.2">
      <c r="A6020" s="1" t="s">
        <v>11996</v>
      </c>
      <c r="B6020" s="1">
        <v>22</v>
      </c>
      <c r="C6020" s="3">
        <v>44540.737164351849</v>
      </c>
      <c r="D6020" s="1" t="s">
        <v>11997</v>
      </c>
      <c r="E6020" s="1" t="str">
        <f ca="1">IFERROR(__xludf.DUMMYFUNCTION("GOOGLETRANSLATE(A2819 , ""tr"" , ""en"")"),"@drfahrettinkoca Minister Bey, our non-liquid elderly our young people have also been very healthy, none of the grip were ... https://t.co/IGpklqkkxf")</f>
        <v>@drfahrettinkoca Minister Bey, our non-liquid elderly our young people have also been very healthy, none of the grip were ... https://t.co/IGpklqkkxf</v>
      </c>
    </row>
    <row r="6021" spans="1:5" ht="15" customHeight="1" x14ac:dyDescent="0.2">
      <c r="A6021" s="1" t="s">
        <v>11998</v>
      </c>
      <c r="B6021" s="1">
        <v>0</v>
      </c>
      <c r="C6021" s="3">
        <v>44540.737118055556</v>
      </c>
      <c r="D6021" s="1" t="s">
        <v>11999</v>
      </c>
      <c r="E6021" s="1" t="str">
        <f ca="1">IFERROR(__xludf.DUMMYFUNCTION("GOOGLETRANSLATE(A2820 , ""tr"" , ""en"")"),"@drfahrettinkoca where as for the winter cases artıyo but what coincidence is in Turkey cases fall in Turkey")</f>
        <v>@drfahrettinkoca where as for the winter cases artıyo but what coincidence is in Turkey cases fall in Turkey</v>
      </c>
    </row>
    <row r="6022" spans="1:5" ht="15" customHeight="1" x14ac:dyDescent="0.2">
      <c r="A6022" s="1" t="s">
        <v>12000</v>
      </c>
      <c r="B6022" s="1">
        <v>0</v>
      </c>
      <c r="C6022" s="3">
        <v>44540.737025462964</v>
      </c>
      <c r="D6022" s="1" t="s">
        <v>12001</v>
      </c>
      <c r="E6022" s="1" t="str">
        <f ca="1">IFERROR(__xludf.DUMMYFUNCTION("GOOGLETRANSLATE(A2821 , ""tr"" , ""en"")"),"@drfahrettinkoca experimental fluids have no work. Play yourself, play yourself. But forcing the nation to the vaccine. ... https://t.co/qcgomm1npf")</f>
        <v>@drfahrettinkoca experimental fluids have no work. Play yourself, play yourself. But forcing the nation to the vaccine. ... https://t.co/qcgomm1npf</v>
      </c>
    </row>
    <row r="6023" spans="1:5" ht="15" customHeight="1" x14ac:dyDescent="0.2">
      <c r="A6023" s="1" t="s">
        <v>12002</v>
      </c>
      <c r="B6023" s="1">
        <v>0</v>
      </c>
      <c r="C6023" s="3">
        <v>44540.736898148149</v>
      </c>
      <c r="D6023" s="1" t="s">
        <v>12003</v>
      </c>
      <c r="E6023" s="1" t="str">
        <f ca="1">IFERROR(__xludf.DUMMYFUNCTION("GOOGLETRANSLATE(A2822 , ""tr"" , ""en"")"),"@drfahrettinka https://t.co/oo5ealvodb")</f>
        <v>@drfahrettinka https://t.co/oo5ealvodb</v>
      </c>
    </row>
    <row r="6024" spans="1:5" ht="15" customHeight="1" x14ac:dyDescent="0.2">
      <c r="A6024" s="1" t="s">
        <v>12004</v>
      </c>
      <c r="B6024" s="1">
        <v>0</v>
      </c>
      <c r="C6024" s="3">
        <v>44540.735983796294</v>
      </c>
      <c r="D6024" s="1" t="s">
        <v>12005</v>
      </c>
      <c r="E6024" s="1" t="str">
        <f ca="1">IFERROR(__xludf.DUMMYFUNCTION("GOOGLETRANSLATE(A2823 , ""tr"" , ""en"")"),"@drfahrettinkoca We want the guide of 30 thousand purchases with clear date at a time")</f>
        <v>@drfahrettinkoca We want the guide of 30 thousand purchases with clear date at a time</v>
      </c>
    </row>
    <row r="6025" spans="1:5" ht="15" customHeight="1" x14ac:dyDescent="0.2">
      <c r="A6025" s="1" t="s">
        <v>12006</v>
      </c>
      <c r="B6025" s="1">
        <v>4</v>
      </c>
      <c r="C6025" s="3">
        <v>44540.735902777778</v>
      </c>
      <c r="D6025" s="1" t="s">
        <v>12007</v>
      </c>
      <c r="E6025" s="1" t="str">
        <f ca="1">IFERROR(__xludf.DUMMYFUNCTION("GOOGLETRANSLATE(A2824 , ""tr"" , ""en"")"),"@drfahrettinkoca The virus is increasing in our environment How is this running down on the table?")</f>
        <v>@drfahrettinkoca The virus is increasing in our environment How is this running down on the table?</v>
      </c>
    </row>
    <row r="6026" spans="1:5" ht="15" customHeight="1" x14ac:dyDescent="0.2">
      <c r="A6026" s="1" t="s">
        <v>12008</v>
      </c>
      <c r="B6026" s="1">
        <v>20</v>
      </c>
      <c r="C6026" s="3">
        <v>44540.735856481479</v>
      </c>
      <c r="D6026" s="1" t="s">
        <v>12009</v>
      </c>
      <c r="E6026" s="1" t="str">
        <f ca="1">IFERROR(__xludf.DUMMYFUNCTION("GOOGLETRANSLATE(A2825 , ""tr"" , ""en"")"),"@drfahrettinkoca people don't know if he was fascinated and seven. Now I had a news on NTV. A full dose grafted ... https://t.co/vtuuqdfqu0")</f>
        <v>@drfahrettinkoca people don't know if he was fascinated and seven. Now I had a news on NTV. A full dose grafted ... https://t.co/vtuuqdfqu0</v>
      </c>
    </row>
    <row r="6027" spans="1:5" ht="15" customHeight="1" x14ac:dyDescent="0.2">
      <c r="A6027" s="1" t="s">
        <v>12010</v>
      </c>
      <c r="B6027" s="1">
        <v>1</v>
      </c>
      <c r="C6027" s="3">
        <v>44540.735763888886</v>
      </c>
      <c r="D6027" s="1" t="s">
        <v>12011</v>
      </c>
      <c r="E6027" s="1" t="str">
        <f ca="1">IFERROR(__xludf.DUMMYFUNCTION("GOOGLETRANSLATE(A2826 , ""tr"" , ""en"")"),"@drfahrettinkoca Don't want to minister without sincerity #Fkistifa")</f>
        <v>@drfahrettinkoca Don't want to minister without sincerity #Fkistifa</v>
      </c>
    </row>
    <row r="6028" spans="1:5" ht="15" customHeight="1" x14ac:dyDescent="0.2">
      <c r="A6028" s="1" t="s">
        <v>12012</v>
      </c>
      <c r="B6028" s="1">
        <v>0</v>
      </c>
      <c r="C6028" s="3">
        <v>44540.735659722224</v>
      </c>
      <c r="D6028" s="1" t="s">
        <v>12013</v>
      </c>
      <c r="E6028" s="1" t="str">
        <f ca="1">IFERROR(__xludf.DUMMYFUNCTION("GOOGLETRANSLATE(A2827 , ""tr"" , ""en"")"),"@drfahrettinkoca you will not be a vaccination as long as you are unrealistic nobody will believe you because you are hiding")</f>
        <v>@drfahrettinkoca you will not be a vaccination as long as you are unrealistic nobody will believe you because you are hiding</v>
      </c>
    </row>
    <row r="6029" spans="1:5" ht="15" customHeight="1" x14ac:dyDescent="0.2">
      <c r="A6029" s="1" t="s">
        <v>12014</v>
      </c>
      <c r="B6029" s="1">
        <v>0</v>
      </c>
      <c r="C6029" s="3">
        <v>44540.735555555555</v>
      </c>
      <c r="D6029" s="1" t="s">
        <v>12015</v>
      </c>
      <c r="E6029" s="1" t="str">
        <f ca="1">IFERROR(__xludf.DUMMYFUNCTION("GOOGLETRANSLATE(A2828 , ""tr"" , ""en"")"),"@drfahrettinkoca Guide?")</f>
        <v>@drfahrettinkoca Guide?</v>
      </c>
    </row>
    <row r="6030" spans="1:5" ht="15" customHeight="1" x14ac:dyDescent="0.2">
      <c r="A6030" s="1" t="s">
        <v>12016</v>
      </c>
      <c r="B6030" s="1">
        <v>0</v>
      </c>
      <c r="C6030" s="3">
        <v>44540.735509259262</v>
      </c>
      <c r="D6030" s="1" t="s">
        <v>12017</v>
      </c>
      <c r="E6030" s="1" t="str">
        <f ca="1">IFERROR(__xludf.DUMMYFUNCTION("GOOGLETRANSLATE(A2829 , ""tr"" , ""en"")"),"@drfahrettinka vaccine where to open vaccination no longer")</f>
        <v>@drfahrettinka vaccine where to open vaccination no longer</v>
      </c>
    </row>
    <row r="6031" spans="1:5" ht="15" customHeight="1" x14ac:dyDescent="0.2">
      <c r="A6031" s="1" t="s">
        <v>12018</v>
      </c>
      <c r="B6031" s="1">
        <v>0</v>
      </c>
      <c r="C6031" s="3">
        <v>44540.735393518517</v>
      </c>
      <c r="D6031" s="1" t="s">
        <v>12019</v>
      </c>
      <c r="E6031" s="1" t="str">
        <f ca="1">IFERROR(__xludf.DUMMYFUNCTION("GOOGLETRANSLATE(A2830 , ""tr"" , ""en"")"),"If @drfahrettinka is divided in two, why did we expect why the number was upgraded at the time")</f>
        <v>If @drfahrettinka is divided in two, why did we expect why the number was upgraded at the time</v>
      </c>
    </row>
    <row r="6032" spans="1:5" ht="15" customHeight="1" x14ac:dyDescent="0.2">
      <c r="A6032" s="1" t="s">
        <v>12020</v>
      </c>
      <c r="B6032" s="1">
        <v>0</v>
      </c>
      <c r="C6032" s="3">
        <v>44540.735231481478</v>
      </c>
      <c r="D6032" s="1" t="s">
        <v>12021</v>
      </c>
      <c r="E6032" s="1" t="str">
        <f ca="1">IFERROR(__xludf.DUMMYFUNCTION("GOOGLETRANSLATE(A2831 , ""tr"" , ""en"")"),"@drfahrettinkoca What's the Maximum Maximum? If I'm your replacement the next 14 days a very important saying 12 months police soldier ... https://t.co/hehpxjrqk4")</f>
        <v>@drfahrettinkoca What's the Maximum Maximum? If I'm your replacement the next 14 days a very important saying 12 months police soldier ... https://t.co/hehpxjrqk4</v>
      </c>
    </row>
    <row r="6033" spans="1:5" ht="15" customHeight="1" x14ac:dyDescent="0.2">
      <c r="A6033" s="1" t="s">
        <v>12022</v>
      </c>
      <c r="B6033" s="1">
        <v>0</v>
      </c>
      <c r="C6033" s="3">
        <v>44540.735000000001</v>
      </c>
      <c r="D6033" s="1" t="s">
        <v>12023</v>
      </c>
      <c r="E6033" s="1" t="str">
        <f ca="1">IFERROR(__xludf.DUMMYFUNCTION("GOOGLETRANSLATE(A2832 , ""tr"" , ""en"")"),"@drfahrettinkoca when is the assignment")</f>
        <v>@drfahrettinkoca when is the assignment</v>
      </c>
    </row>
    <row r="6034" spans="1:5" ht="15" customHeight="1" x14ac:dyDescent="0.2">
      <c r="A6034" s="1" t="s">
        <v>12024</v>
      </c>
      <c r="B6034" s="1">
        <v>2</v>
      </c>
      <c r="C6034" s="3">
        <v>44540.734155092592</v>
      </c>
      <c r="D6034" s="1" t="s">
        <v>12025</v>
      </c>
      <c r="E6034" s="1" t="str">
        <f ca="1">IFERROR(__xludf.DUMMYFUNCTION("GOOGLETRANSLATE(A2833 , ""tr"" , ""en"")"),"@drfahrettinkoca we want to do the assignment at one time. Don't know whether it's staying the stove but us a date ... https://t.co/dnn3mjx6I6")</f>
        <v>@drfahrettinkoca we want to do the assignment at one time. Don't know whether it's staying the stove but us a date ... https://t.co/dnn3mjx6I6</v>
      </c>
    </row>
    <row r="6035" spans="1:5" ht="15" customHeight="1" x14ac:dyDescent="0.2">
      <c r="A6035" s="1" t="s">
        <v>12026</v>
      </c>
      <c r="B6035" s="1">
        <v>0</v>
      </c>
      <c r="C6035" s="3">
        <v>44540.734097222223</v>
      </c>
      <c r="D6035" s="1" t="s">
        <v>12027</v>
      </c>
      <c r="E6035" s="1" t="str">
        <f ca="1">IFERROR(__xludf.DUMMYFUNCTION("GOOGLETRANSLATE(A2834 , ""tr"" , ""en"")"),"@drfahrettinkoca We can see if we can be assigned to be assigned KPSS is going to work nearby Bari Exam that works in the quiz ... https://t.co/wezjlnxzıt")</f>
        <v>@drfahrettinkoca We can see if we can be assigned to be assigned KPSS is going to work nearby Bari Exam that works in the quiz ... https://t.co/wezjlnxzıt</v>
      </c>
    </row>
    <row r="6036" spans="1:5" ht="15" customHeight="1" x14ac:dyDescent="0.2">
      <c r="A6036" s="1" t="s">
        <v>12028</v>
      </c>
      <c r="B6036" s="1">
        <v>0</v>
      </c>
      <c r="C6036" s="3">
        <v>44540.7340625</v>
      </c>
      <c r="D6036" s="1" t="s">
        <v>12029</v>
      </c>
      <c r="E6036" s="1" t="str">
        <f ca="1">IFERROR(__xludf.DUMMYFUNCTION("GOOGLETRANSLATE(A2835 , ""tr"" , ""en"")"),"@drfahrettinka Mr. The Ministry of Ministry of Trabzonspor should continue to lose the first 3 weeks in the second half of the league.")</f>
        <v>@drfahrettinka Mr. The Ministry of Ministry of Trabzonspor should continue to lose the first 3 weeks in the second half of the league.</v>
      </c>
    </row>
    <row r="6037" spans="1:5" ht="15" customHeight="1" x14ac:dyDescent="0.2">
      <c r="A6037" s="1" t="s">
        <v>12030</v>
      </c>
      <c r="B6037" s="1">
        <v>0</v>
      </c>
      <c r="C6037" s="3">
        <v>44540.733969907407</v>
      </c>
      <c r="D6037" s="1" t="s">
        <v>12031</v>
      </c>
      <c r="E6037" s="1" t="str">
        <f ca="1">IFERROR(__xludf.DUMMYFUNCTION("GOOGLETRANSLATE(A2836 , ""tr"" , ""en"")"),"@drfahrettinkoca ""There will be a wide range of purchase,"" You said.")</f>
        <v>@drfahrettinkoca "There will be a wide range of purchase," You said.</v>
      </c>
    </row>
    <row r="6038" spans="1:5" ht="15" customHeight="1" x14ac:dyDescent="0.2">
      <c r="A6038" s="1" t="s">
        <v>12032</v>
      </c>
      <c r="B6038" s="1">
        <v>8</v>
      </c>
      <c r="C6038" s="3">
        <v>44540.733935185184</v>
      </c>
      <c r="D6038" s="1" t="s">
        <v>12033</v>
      </c>
      <c r="E6038" s="1" t="str">
        <f ca="1">IFERROR(__xludf.DUMMYFUNCTION("GOOGLETRANSLATE(A2837 , ""tr"" , ""en"")"),"@drfahrettinkoca reduces the only reason is schools. So what is understandable for vulnerable children against the virus?")</f>
        <v>@drfahrettinkoca reduces the only reason is schools. So what is understandable for vulnerable children against the virus?</v>
      </c>
    </row>
    <row r="6039" spans="1:5" ht="15" customHeight="1" x14ac:dyDescent="0.2">
      <c r="A6039" s="1" t="s">
        <v>12034</v>
      </c>
      <c r="B6039" s="1">
        <v>2</v>
      </c>
      <c r="C6039" s="3">
        <v>44540.733067129629</v>
      </c>
      <c r="D6039" s="1" t="s">
        <v>12035</v>
      </c>
      <c r="E6039" s="1" t="str">
        <f ca="1">IFERROR(__xludf.DUMMYFUNCTION("GOOGLETRANSLATE(A2838 , ""tr"" , ""en"")"),"@drfahrettinkoca Out-of-physician health workers who have closed your ears to the end")</f>
        <v>@drfahrettinkoca Out-of-physician health workers who have closed your ears to the end</v>
      </c>
    </row>
    <row r="6040" spans="1:5" ht="15" customHeight="1" x14ac:dyDescent="0.2">
      <c r="A6040" s="1" t="s">
        <v>12036</v>
      </c>
      <c r="B6040" s="1">
        <v>0</v>
      </c>
      <c r="C6040" s="3">
        <v>44540.732905092591</v>
      </c>
      <c r="D6040" s="1" t="s">
        <v>12037</v>
      </c>
      <c r="E6040" s="1" t="str">
        <f ca="1">IFERROR(__xludf.DUMMYFUNCTION("GOOGLETRANSLATE(A2839 , ""tr"" , ""en"")"),"@drfahrettinkoca lasts the wax of the liar's wax down but how much do you drove")</f>
        <v>@drfahrettinkoca lasts the wax of the liar's wax down but how much do you drove</v>
      </c>
    </row>
    <row r="6041" spans="1:5" ht="15" customHeight="1" x14ac:dyDescent="0.2">
      <c r="A6041" s="1" t="s">
        <v>12038</v>
      </c>
      <c r="B6041" s="1">
        <v>19</v>
      </c>
      <c r="C6041" s="3">
        <v>44540.732743055552</v>
      </c>
      <c r="D6041" s="1" t="s">
        <v>12039</v>
      </c>
      <c r="E6041" s="1" t="str">
        <f ca="1">IFERROR(__xludf.DUMMYFUNCTION("GOOGLETRANSLATE(A2840 , ""tr"" , ""en"")"),"@drfahrettinkoca tell the number of cases in a classroom in a classroom 10 students Covit other two classes were closed ... https://t.co/0t9u1erwwy")</f>
        <v>@drfahrettinkoca tell the number of cases in a classroom in a classroom 10 students Covit other two classes were closed ... https://t.co/0t9u1erwwy</v>
      </c>
    </row>
    <row r="6042" spans="1:5" ht="15" customHeight="1" x14ac:dyDescent="0.2">
      <c r="A6042" s="1" t="s">
        <v>12040</v>
      </c>
      <c r="B6042" s="1">
        <v>0</v>
      </c>
      <c r="C6042" s="3">
        <v>44540.73201388889</v>
      </c>
      <c r="D6042" s="1" t="s">
        <v>12041</v>
      </c>
      <c r="E6042" s="1" t="str">
        <f ca="1">IFERROR(__xludf.DUMMYFUNCTION("GOOGLETRANSLATE(A2841 , ""tr"" , ""en"")"),"@drfahrettinkoca bi moment when you get rid of at one bitta")</f>
        <v>@drfahrettinkoca bi moment when you get rid of at one bitta</v>
      </c>
    </row>
    <row r="6043" spans="1:5" ht="15" customHeight="1" x14ac:dyDescent="0.2">
      <c r="A6043" s="1" t="s">
        <v>12042</v>
      </c>
      <c r="B6043" s="1">
        <v>0</v>
      </c>
      <c r="C6043" s="3">
        <v>44540.731805555559</v>
      </c>
      <c r="D6043" s="1" t="s">
        <v>12043</v>
      </c>
      <c r="E6043" s="1" t="str">
        <f ca="1">IFERROR(__xludf.DUMMYFUNCTION("GOOGLETRANSLATE(A2842 , ""tr"" , ""en"")"),"@drfahrettinkoca but i have a decrease in my honoration cases what you have an illuminate what is an illuminate")</f>
        <v>@drfahrettinkoca but i have a decrease in my honoration cases what you have an illuminate what is an illuminate</v>
      </c>
    </row>
    <row r="6044" spans="1:5" ht="15" customHeight="1" x14ac:dyDescent="0.2">
      <c r="A6044" s="1" t="s">
        <v>12044</v>
      </c>
      <c r="B6044" s="1">
        <v>27</v>
      </c>
      <c r="C6044" s="3">
        <v>44540.731481481482</v>
      </c>
      <c r="D6044" s="1" t="s">
        <v>12045</v>
      </c>
      <c r="E6044" s="1" t="str">
        <f ca="1">IFERROR(__xludf.DUMMYFUNCTION("GOOGLETRANSLATE(A2843 , ""tr"" , ""en"")"),"@drfahrettinka how much you are going to make fun of our mind when you are commissioned to the slot you were harboring the worries of young people ... https://t.co/pyhhrcln4m")</f>
        <v>@drfahrettinka how much you are going to make fun of our mind when you are commissioned to the slot you were harboring the worries of young people ... https://t.co/pyhhrcln4m</v>
      </c>
    </row>
    <row r="6045" spans="1:5" ht="15" customHeight="1" x14ac:dyDescent="0.2">
      <c r="A6045" s="1" t="s">
        <v>12046</v>
      </c>
      <c r="B6045" s="1">
        <v>0</v>
      </c>
      <c r="C6045" s="3">
        <v>44540.730567129627</v>
      </c>
      <c r="D6045" s="1" t="s">
        <v>12047</v>
      </c>
      <c r="E6045" s="1" t="str">
        <f ca="1">IFERROR(__xludf.DUMMYFUNCTION("GOOGLETRANSLATE(A2844 , ""tr"" , ""en"")"),"@drfahrettinkoca Your vaccinations are all secrettinkoca 4. Did you have your vaccine")</f>
        <v>@drfahrettinkoca Your vaccinations are all secrettinkoca 4. Did you have your vaccine</v>
      </c>
    </row>
    <row r="6046" spans="1:5" ht="15" customHeight="1" x14ac:dyDescent="0.2">
      <c r="A6046" s="1" t="s">
        <v>12048</v>
      </c>
      <c r="B6046" s="1">
        <v>0</v>
      </c>
      <c r="C6046" s="3">
        <v>44540.730393518519</v>
      </c>
      <c r="D6046" s="1" t="s">
        <v>12049</v>
      </c>
      <c r="E6046" s="1" t="str">
        <f ca="1">IFERROR(__xludf.DUMMYFUNCTION("GOOGLETRANSLATE(A2845 , ""tr"" , ""en"")"),"@drfahrettinkoca Dicle University Hospital Ultrasy at ULTRASH 2ay after the day they are doing day after 160 TL on the lower floor ... https://t.co/8gnijq1mdp")</f>
        <v>@drfahrettinkoca Dicle University Hospital Ultrasy at ULTRASH 2ay after the day they are doing day after 160 TL on the lower floor ... https://t.co/8gnijq1mdp</v>
      </c>
    </row>
    <row r="6047" spans="1:5" ht="15" customHeight="1" x14ac:dyDescent="0.2">
      <c r="A6047" s="1" t="s">
        <v>12050</v>
      </c>
      <c r="B6047" s="1">
        <v>2</v>
      </c>
      <c r="C6047" s="3">
        <v>44540.730185185188</v>
      </c>
      <c r="D6047" s="1" t="s">
        <v>12051</v>
      </c>
      <c r="E6047" s="1" t="str">
        <f ca="1">IFERROR(__xludf.DUMMYFUNCTION("GOOGLETRANSLATE(A2846 , ""tr"" , ""en"")"),"@drfahrettinkoca friends don't get angry immediately our valuable minister just trying to show her how to rule out the epidemic")</f>
        <v>@drfahrettinkoca friends don't get angry immediately our valuable minister just trying to show her how to rule out the epidemic</v>
      </c>
    </row>
    <row r="6048" spans="1:5" ht="15" customHeight="1" x14ac:dyDescent="0.2">
      <c r="A6048" s="1" t="s">
        <v>12052</v>
      </c>
      <c r="B6048" s="1">
        <v>0</v>
      </c>
      <c r="C6048" s="3">
        <v>44540.72965277778</v>
      </c>
      <c r="D6048" s="1" t="s">
        <v>12053</v>
      </c>
      <c r="E6048" s="1" t="str">
        <f ca="1">IFERROR(__xludf.DUMMYFUNCTION("GOOGLETRANSLATE(A2847 , ""tr"" , ""en"")"),"@drfahrettinkoca Ministry, we have continuously exhausted to our patient in the hospital. BAFFIWS ... https://t.co/37s0vbb8wj")</f>
        <v>@drfahrettinkoca Ministry, we have continuously exhausted to our patient in the hospital. BAFFIWS ... https://t.co/37s0vbb8wj</v>
      </c>
    </row>
    <row r="6049" spans="1:5" ht="15" customHeight="1" x14ac:dyDescent="0.2">
      <c r="A6049" s="1" t="s">
        <v>12054</v>
      </c>
      <c r="B6049" s="1">
        <v>0</v>
      </c>
      <c r="C6049" s="3">
        <v>44540.72934027778</v>
      </c>
      <c r="D6049" s="1" t="s">
        <v>12055</v>
      </c>
      <c r="E6049" s="1" t="str">
        <f ca="1">IFERROR(__xludf.DUMMYFUNCTION("GOOGLETRANSLATE(A2848 , ""tr"" , ""en"")"),"@drfahrettinkoca: dd")</f>
        <v>@drfahrettinkoca: dd</v>
      </c>
    </row>
    <row r="6050" spans="1:5" ht="15" customHeight="1" x14ac:dyDescent="0.2">
      <c r="A6050" s="1" t="s">
        <v>12056</v>
      </c>
      <c r="B6050" s="1">
        <v>15</v>
      </c>
      <c r="C6050" s="3">
        <v>44540.729131944441</v>
      </c>
      <c r="D6050" s="1" t="s">
        <v>12057</v>
      </c>
      <c r="E6050" s="1" t="str">
        <f ca="1">IFERROR(__xludf.DUMMYFUNCTION("GOOGLETRANSLATE(A2849 , ""tr"" , ""en"")"),"@drfahrettinkoca is nothing's being. Return to Allah. Read Quran. La ilayillallah de .. nation also fooling ... https://t.co/Ibqt3qqaga")</f>
        <v>@drfahrettinkoca is nothing's being. Return to Allah. Read Quran. La ilayillallah de .. nation also fooling ... https://t.co/Ibqt3qqaga</v>
      </c>
    </row>
    <row r="6051" spans="1:5" ht="15" customHeight="1" x14ac:dyDescent="0.2">
      <c r="A6051" s="1" t="s">
        <v>12058</v>
      </c>
      <c r="B6051" s="1">
        <v>0</v>
      </c>
      <c r="C6051" s="3">
        <v>44540.728935185187</v>
      </c>
      <c r="D6051" s="1" t="s">
        <v>12059</v>
      </c>
      <c r="E6051" s="1" t="str">
        <f ca="1">IFERROR(__xludf.DUMMYFUNCTION("GOOGLETRANSLATE(A2850 , ""tr"" , ""en"")"),"@drfahrettinka you are not in the risk group let's choose turkovac lets choose the public you get the mixed vaccine.")</f>
        <v>@drfahrettinka you are not in the risk group let's choose turkovac lets choose the public you get the mixed vaccine.</v>
      </c>
    </row>
    <row r="6052" spans="1:5" ht="15" customHeight="1" x14ac:dyDescent="0.2">
      <c r="A6052" s="1" t="s">
        <v>12060</v>
      </c>
      <c r="B6052" s="1">
        <v>0</v>
      </c>
      <c r="C6052" s="3">
        <v>44540.728865740741</v>
      </c>
      <c r="D6052" s="1" t="s">
        <v>12061</v>
      </c>
      <c r="E6052" s="1" t="str">
        <f ca="1">IFERROR(__xludf.DUMMYFUNCTION("GOOGLETRANSLATE(A2851 , ""tr"" , ""en"")"),"@drfahrettinkoca We call a year assignment for one year Konusmuyosnz @drfahrettinkoca @drfahrettinkoca EVER Okuyosun ... https://t.co/jwqbtaxlrj")</f>
        <v>@drfahrettinkoca We call a year assignment for one year Konusmuyosnz @drfahrettinkoca @drfahrettinkoca EVER Okuyosun ... https://t.co/jwqbtaxlrj</v>
      </c>
    </row>
    <row r="6053" spans="1:5" ht="15" customHeight="1" x14ac:dyDescent="0.2">
      <c r="A6053" s="1" t="s">
        <v>12062</v>
      </c>
      <c r="B6053" s="1">
        <v>0</v>
      </c>
      <c r="C6053" s="3">
        <v>44540.72861111111</v>
      </c>
      <c r="D6053" s="1" t="s">
        <v>12063</v>
      </c>
      <c r="E6053" s="1" t="str">
        <f ca="1">IFERROR(__xludf.DUMMYFUNCTION("GOOGLETRANSLATE(A2852 , ""tr"" , ""en"")"),"@drfahrettinkoca Covid-19 is anxious to get caught up with increasing. Don't make the nation laugh for God's sake. You are playing yourself ... https://t.co/pbdf6zvt3c")</f>
        <v>@drfahrettinkoca Covid-19 is anxious to get caught up with increasing. Don't make the nation laugh for God's sake. You are playing yourself ... https://t.co/pbdf6zvt3c</v>
      </c>
    </row>
    <row r="6054" spans="1:5" ht="15" customHeight="1" x14ac:dyDescent="0.2">
      <c r="A6054" s="1" t="s">
        <v>12064</v>
      </c>
      <c r="B6054" s="1">
        <v>5</v>
      </c>
      <c r="C6054" s="3">
        <v>44540.728506944448</v>
      </c>
      <c r="D6054" s="1" t="s">
        <v>12065</v>
      </c>
      <c r="E6054" s="1" t="str">
        <f ca="1">IFERROR(__xludf.DUMMYFUNCTION("GOOGLETRANSLATE(A2853 , ""tr"" , ""en"")"),"@drfahrettinkoca you can download the number of cases of cases tomorrow @drfahrettinkoca")</f>
        <v>@drfahrettinkoca you can download the number of cases of cases tomorrow @drfahrettinkoca</v>
      </c>
    </row>
    <row r="6055" spans="1:5" ht="15" customHeight="1" x14ac:dyDescent="0.2">
      <c r="A6055" s="1" t="s">
        <v>12066</v>
      </c>
      <c r="B6055" s="1">
        <v>0</v>
      </c>
      <c r="C6055" s="3">
        <v>44540.728506944448</v>
      </c>
      <c r="D6055" s="1" t="s">
        <v>12067</v>
      </c>
      <c r="E6055" s="1" t="str">
        <f ca="1">IFERROR(__xludf.DUMMYFUNCTION("GOOGLETRANSLATE(A2854 , ""tr"" , ""en"")"),"@drfahrettinkoca sanane from my overrun, SA_NA_NE ....")</f>
        <v>@drfahrettinkoca sanane from my overrun, SA_NA_NE ....</v>
      </c>
    </row>
    <row r="6056" spans="1:5" ht="15" customHeight="1" x14ac:dyDescent="0.2">
      <c r="A6056" s="1" t="s">
        <v>12068</v>
      </c>
      <c r="B6056" s="1">
        <v>0</v>
      </c>
      <c r="C6056" s="3">
        <v>44540.728425925925</v>
      </c>
      <c r="D6056" s="1" t="s">
        <v>12069</v>
      </c>
      <c r="E6056" s="1" t="str">
        <f ca="1">IFERROR(__xludf.DUMMYFUNCTION("GOOGLETRANSLATE(A2855 , ""tr"" , ""en"")"),"@drfahrettinkoca is my vaccinations ok")</f>
        <v>@drfahrettinkoca is my vaccinations ok</v>
      </c>
    </row>
    <row r="6057" spans="1:5" ht="15" customHeight="1" x14ac:dyDescent="0.2">
      <c r="A6057" s="1" t="s">
        <v>12070</v>
      </c>
      <c r="B6057" s="1">
        <v>1</v>
      </c>
      <c r="C6057" s="3">
        <v>44540.728171296294</v>
      </c>
      <c r="D6057" s="1" t="s">
        <v>12071</v>
      </c>
      <c r="E6057" s="1" t="str">
        <f ca="1">IFERROR(__xludf.DUMMYFUNCTION("GOOGLETRANSLATE(A2856 , ""tr"" , ""en"")"),"If you reduce the @drfahrettinkoca test, of course it also decreases! This is not a matter of necessity, scans should be increased!")</f>
        <v>If you reduce the @drfahrettinkoca test, of course it also decreases! This is not a matter of necessity, scans should be increased!</v>
      </c>
    </row>
    <row r="6058" spans="1:5" ht="15" customHeight="1" x14ac:dyDescent="0.2">
      <c r="A6058" s="1" t="s">
        <v>12072</v>
      </c>
      <c r="B6058" s="1">
        <v>8</v>
      </c>
      <c r="C6058" s="3">
        <v>44540.72792824074</v>
      </c>
      <c r="D6058" s="1" t="s">
        <v>12073</v>
      </c>
      <c r="E6058" s="1" t="str">
        <f ca="1">IFERROR(__xludf.DUMMYFUNCTION("GOOGLETRANSLATE(A2857 , ""tr"" , ""en"")"),"@drfahrettinkoca EVER END EVERY Pandema lasted 2 years and finished 2 years and finally finished this inexpensive way ... https://t.co/x1quo1bnn3")</f>
        <v>@drfahrettinkoca EVER END EVERY Pandema lasted 2 years and finished 2 years and finally finished this inexpensive way ... https://t.co/x1quo1bnn3</v>
      </c>
    </row>
    <row r="6059" spans="1:5" ht="15" customHeight="1" x14ac:dyDescent="0.2">
      <c r="A6059" s="1" t="s">
        <v>12074</v>
      </c>
      <c r="B6059" s="1">
        <v>0</v>
      </c>
      <c r="C6059" s="3">
        <v>44540.727916666663</v>
      </c>
      <c r="D6059" s="1" t="s">
        <v>12075</v>
      </c>
      <c r="E6059" s="1" t="str">
        <f ca="1">IFERROR(__xludf.DUMMYFUNCTION("GOOGLETRANSLATE(A2858 , ""tr"" , ""en"")"),"@drfahrettinkoca we want to assign")</f>
        <v>@drfahrettinkoca we want to assign</v>
      </c>
    </row>
    <row r="6060" spans="1:5" ht="15" customHeight="1" x14ac:dyDescent="0.2">
      <c r="A6060" s="1" t="s">
        <v>12076</v>
      </c>
      <c r="B6060" s="1">
        <v>1</v>
      </c>
      <c r="C6060" s="3">
        <v>44540.727708333332</v>
      </c>
      <c r="D6060" s="1" t="s">
        <v>12077</v>
      </c>
      <c r="E6060" s="1" t="str">
        <f ca="1">IFERROR(__xludf.DUMMYFUNCTION("GOOGLETRANSLATE(A2859 , ""tr"" , ""en"")"),"@drfahrettinkoca thumbs up for crueles @drfahrettinkoca @tcmeb")</f>
        <v>@drfahrettinkoca thumbs up for crueles @drfahrettinkoca @tcmeb</v>
      </c>
    </row>
    <row r="6061" spans="1:5" ht="15" customHeight="1" x14ac:dyDescent="0.2">
      <c r="A6061" s="1" t="s">
        <v>12078</v>
      </c>
      <c r="B6061" s="1">
        <v>2</v>
      </c>
      <c r="C6061" s="3">
        <v>44540.727673611109</v>
      </c>
      <c r="D6061" s="1" t="s">
        <v>12079</v>
      </c>
      <c r="E6061" s="1" t="str">
        <f ca="1">IFERROR(__xludf.DUMMYFUNCTION("GOOGLETRANSLATE(A2860 , ""tr"" , ""en"")"),"@drfahrettinkoca when will it be okay that vaccines minister? Have been 2 doses Did you say ok now 3rd dose 4.D ... https://t.co/mvu0t4ehid")</f>
        <v>@drfahrettinkoca when will it be okay that vaccines minister? Have been 2 doses Did you say ok now 3rd dose 4.D ... https://t.co/mvu0t4ehid</v>
      </c>
    </row>
    <row r="6062" spans="1:5" ht="15" customHeight="1" x14ac:dyDescent="0.2">
      <c r="A6062" s="1" t="s">
        <v>12080</v>
      </c>
      <c r="B6062" s="1">
        <v>0</v>
      </c>
      <c r="C6062" s="3">
        <v>44540.727372685185</v>
      </c>
      <c r="D6062" s="1" t="s">
        <v>12081</v>
      </c>
      <c r="E6062" s="1" t="str">
        <f ca="1">IFERROR(__xludf.DUMMYFUNCTION("GOOGLETRANSLATE(A2861 , ""tr"" , ""en"")"),"@drfahrettinkoca korono There is a lot more grave than corono anxiety horror concern 😥 Society at cinnet level")</f>
        <v>@drfahrettinkoca korono There is a lot more grave than corono anxiety horror concern 😥 Society at cinnet level</v>
      </c>
    </row>
    <row r="6063" spans="1:5" ht="15" customHeight="1" x14ac:dyDescent="0.2">
      <c r="A6063" s="1" t="s">
        <v>12082</v>
      </c>
      <c r="B6063" s="1">
        <v>7</v>
      </c>
      <c r="C6063" s="3">
        <v>44540.726145833331</v>
      </c>
      <c r="D6063" s="1" t="s">
        <v>12083</v>
      </c>
      <c r="E6063" s="1" t="str">
        <f ca="1">IFERROR(__xludf.DUMMYFUNCTION("GOOGLETRANSLATE(A2862 , ""tr"" , ""en"")"),"@drfahrettinkoca aailar causing the clot even without making d dimer testing even without any measures ... https://t.co/95dlz6f4q9")</f>
        <v>@drfahrettinkoca aailar causing the clot even without making d dimer testing even without any measures ... https://t.co/95dlz6f4q9</v>
      </c>
    </row>
    <row r="6064" spans="1:5" ht="15" customHeight="1" x14ac:dyDescent="0.2">
      <c r="A6064" s="1" t="s">
        <v>12084</v>
      </c>
      <c r="B6064" s="1">
        <v>2</v>
      </c>
      <c r="C6064" s="3">
        <v>44540.726122685184</v>
      </c>
      <c r="D6064" s="1" t="s">
        <v>12085</v>
      </c>
      <c r="E6064" s="1" t="str">
        <f ca="1">IFERROR(__xludf.DUMMYFUNCTION("GOOGLETRANSLATE(A2863 , ""tr"" , ""en"")"),"@drfahrettinkoca has completed their vaccinations, the man passed away the man in intensive care, tell me that, tell me what ... https://t.co/r9wo42eii7")</f>
        <v>@drfahrettinkoca has completed their vaccinations, the man passed away the man in intensive care, tell me that, tell me what ... https://t.co/r9wo42eii7</v>
      </c>
    </row>
    <row r="6065" spans="1:5" ht="15" customHeight="1" x14ac:dyDescent="0.2">
      <c r="A6065" s="1" t="s">
        <v>12086</v>
      </c>
      <c r="B6065" s="1">
        <v>1</v>
      </c>
      <c r="C6065" s="3">
        <v>44540.726006944446</v>
      </c>
      <c r="D6065" s="1" t="s">
        <v>12087</v>
      </c>
      <c r="E6065" s="1" t="str">
        <f ca="1">IFERROR(__xludf.DUMMYFUNCTION("GOOGLETRANSLATE(A2864 , ""tr"" , ""en"")"),"@drfahrettinkoca vaccinations have not been completed ... The people are fooled ... We will always be counted in no outlooking ... people should be waking up ...")</f>
        <v>@drfahrettinkoca vaccinations have not been completed ... The people are fooled ... We will always be counted in no outlooking ... people should be waking up ...</v>
      </c>
    </row>
    <row r="6066" spans="1:5" ht="15" customHeight="1" x14ac:dyDescent="0.2">
      <c r="A6066" s="1" t="s">
        <v>12088</v>
      </c>
      <c r="B6066" s="1">
        <v>0</v>
      </c>
      <c r="C6066" s="3">
        <v>44540.725671296299</v>
      </c>
      <c r="D6066" s="1" t="s">
        <v>12089</v>
      </c>
      <c r="E6066" s="1" t="str">
        <f ca="1">IFERROR(__xludf.DUMMYFUNCTION("GOOGLETRANSLATE(A2865 , ""tr"" , ""en"")"),"@drfahrettinkoca aba Look at the lie table")</f>
        <v>@drfahrettinkoca aba Look at the lie table</v>
      </c>
    </row>
    <row r="6067" spans="1:5" ht="15" customHeight="1" x14ac:dyDescent="0.2">
      <c r="A6067" s="1" t="s">
        <v>12090</v>
      </c>
      <c r="B6067" s="1">
        <v>22</v>
      </c>
      <c r="C6067" s="3">
        <v>44540.725416666668</v>
      </c>
      <c r="D6067" s="1" t="s">
        <v>12091</v>
      </c>
      <c r="E6067" s="1" t="str">
        <f ca="1">IFERROR(__xludf.DUMMYFUNCTION("GOOGLETRANSLATE(A2866 , ""tr"" , ""en"")"),"@drfahrettinkoca Omircon Virus named Virus Now I say if you are all the country! The blood will not stop in the vessel! @tcmeb")</f>
        <v>@drfahrettinkoca Omircon Virus named Virus Now I say if you are all the country! The blood will not stop in the vessel! @tcmeb</v>
      </c>
    </row>
    <row r="6068" spans="1:5" ht="15" customHeight="1" x14ac:dyDescent="0.2">
      <c r="A6068" s="1" t="s">
        <v>12092</v>
      </c>
      <c r="B6068" s="1">
        <v>2</v>
      </c>
      <c r="C6068" s="3">
        <v>44540.725092592591</v>
      </c>
      <c r="D6068" s="1" t="s">
        <v>12093</v>
      </c>
      <c r="E6068" s="1" t="str">
        <f ca="1">IFERROR(__xludf.DUMMYFUNCTION("GOOGLETRANSLATE(A2867 , ""tr"" , ""en"")"),"@drfahrettinkoca Healthparts Waiting for the Guide How long will we wait for the more the healthcare year we were at night at night ... https://t.co/sl5qkda3gd")</f>
        <v>@drfahrettinkoca Healthparts Waiting for the Guide How long will we wait for the more the healthcare year we were at night at night ... https://t.co/sl5qkda3gd</v>
      </c>
    </row>
    <row r="6069" spans="1:5" ht="15" customHeight="1" x14ac:dyDescent="0.2">
      <c r="A6069" s="1" t="s">
        <v>12094</v>
      </c>
      <c r="B6069" s="1">
        <v>0</v>
      </c>
      <c r="C6069" s="3">
        <v>44540.724317129629</v>
      </c>
      <c r="D6069" s="1" t="s">
        <v>12095</v>
      </c>
      <c r="E6069" s="1" t="str">
        <f ca="1">IFERROR(__xludf.DUMMYFUNCTION("GOOGLETRANSLATE(A2868 , ""tr"" , ""en"")"),"@drfahrettinkoca Reading the reviews Bi Don't have anyone trust in anyone. Will not be. @drfahrettinkoca")</f>
        <v>@drfahrettinkoca Reading the reviews Bi Don't have anyone trust in anyone. Will not be. @drfahrettinkoca</v>
      </c>
    </row>
    <row r="6070" spans="1:5" ht="15" customHeight="1" x14ac:dyDescent="0.2">
      <c r="A6070" s="1" t="s">
        <v>12096</v>
      </c>
      <c r="B6070" s="1">
        <v>0</v>
      </c>
      <c r="C6070" s="3">
        <v>44540.723958333336</v>
      </c>
      <c r="D6070" s="1" t="s">
        <v>12097</v>
      </c>
      <c r="E6070" s="1" t="str">
        <f ca="1">IFERROR(__xludf.DUMMYFUNCTION("GOOGLETRANSLATE(A2869 , ""tr"" , ""en"")"),"@drfahrettinkoca is still what you are not waiting for them to ride more")</f>
        <v>@drfahrettinkoca is still what you are not waiting for them to ride more</v>
      </c>
    </row>
    <row r="6071" spans="1:5" ht="15" customHeight="1" x14ac:dyDescent="0.2">
      <c r="A6071" s="1" t="s">
        <v>12098</v>
      </c>
      <c r="B6071" s="1">
        <v>0</v>
      </c>
      <c r="C6071" s="3">
        <v>44540.723379629628</v>
      </c>
      <c r="D6071" s="1" t="s">
        <v>12099</v>
      </c>
      <c r="E6071" s="1" t="str">
        <f ca="1">IFERROR(__xludf.DUMMYFUNCTION("GOOGLETRANSLATE(A2870 , ""tr"" , ""en"")"),"@drfahrettinkoca Abi we always forgot you, Corona continue di?")</f>
        <v>@drfahrettinkoca Abi we always forgot you, Corona continue di?</v>
      </c>
    </row>
    <row r="6072" spans="1:5" ht="15" customHeight="1" x14ac:dyDescent="0.2">
      <c r="A6072" s="1" t="s">
        <v>12100</v>
      </c>
      <c r="B6072" s="1">
        <v>0</v>
      </c>
      <c r="C6072" s="3">
        <v>44540.723287037035</v>
      </c>
      <c r="D6072" s="1" t="s">
        <v>12101</v>
      </c>
      <c r="E6072" s="1" t="str">
        <f ca="1">IFERROR(__xludf.DUMMYFUNCTION("GOOGLETRANSLATE(A2871 , ""tr"" , ""en"")"),"@drfahrettinkoca yoo no need")</f>
        <v>@drfahrettinkoca yoo no need</v>
      </c>
    </row>
    <row r="6073" spans="1:5" ht="15" customHeight="1" x14ac:dyDescent="0.2">
      <c r="A6073" s="1" t="s">
        <v>12102</v>
      </c>
      <c r="B6073" s="1">
        <v>0</v>
      </c>
      <c r="C6073" s="3">
        <v>44540.723194444443</v>
      </c>
      <c r="D6073" s="1" t="s">
        <v>12103</v>
      </c>
      <c r="E6073" s="1" t="str">
        <f ca="1">IFERROR(__xludf.DUMMYFUNCTION("GOOGLETRANSLATE(A2872 , ""tr"" , ""en"")"),"@drfahrettinkoca dose is also coming to the hike continuous. There was two, two doses of two, three, now your superiors say four. ... https://t.co/3dx91awkkc")</f>
        <v>@drfahrettinkoca dose is also coming to the hike continuous. There was two, two doses of two, three, now your superiors say four. ... https://t.co/3dx91awkkc</v>
      </c>
    </row>
    <row r="6074" spans="1:5" ht="15" customHeight="1" x14ac:dyDescent="0.2">
      <c r="A6074" s="1" t="s">
        <v>12104</v>
      </c>
      <c r="B6074" s="1">
        <v>0</v>
      </c>
      <c r="C6074" s="3">
        <v>44540.722418981481</v>
      </c>
      <c r="D6074" s="1" t="s">
        <v>12105</v>
      </c>
      <c r="E6074" s="1" t="str">
        <f ca="1">IFERROR(__xludf.DUMMYFUNCTION("GOOGLETRANSLATE(A2873 , ""tr"" , ""en"")"),"@drfahrettinkoca assignment")</f>
        <v>@drfahrettinkoca assignment</v>
      </c>
    </row>
    <row r="6075" spans="1:5" ht="15" customHeight="1" x14ac:dyDescent="0.2">
      <c r="A6075" s="1" t="s">
        <v>12106</v>
      </c>
      <c r="B6075" s="1">
        <v>0</v>
      </c>
      <c r="C6075" s="3">
        <v>44540.722083333334</v>
      </c>
      <c r="D6075" s="1" t="s">
        <v>12107</v>
      </c>
      <c r="E6075" s="1" t="str">
        <f ca="1">IFERROR(__xludf.DUMMYFUNCTION("GOOGLETRANSLATE(A2874 , ""tr"" , ""en"")"),"@drfahrettinka you download the weekend under 15")</f>
        <v>@drfahrettinka you download the weekend under 15</v>
      </c>
    </row>
    <row r="6076" spans="1:5" ht="15" customHeight="1" x14ac:dyDescent="0.2">
      <c r="A6076" s="1" t="s">
        <v>12108</v>
      </c>
      <c r="B6076" s="1">
        <v>0</v>
      </c>
      <c r="C6076" s="3">
        <v>44540.721898148149</v>
      </c>
      <c r="D6076" s="1" t="s">
        <v>12109</v>
      </c>
      <c r="E6076" s="1" t="str">
        <f ca="1">IFERROR(__xludf.DUMMYFUNCTION("GOOGLETRANSLATE(A2875 , ""tr"" , ""en"")"),"@drfahrettinkoca harbi guys tease but still no one wears the coronai")</f>
        <v>@drfahrettinkoca harbi guys tease but still no one wears the coronai</v>
      </c>
    </row>
    <row r="6077" spans="1:5" ht="15" customHeight="1" x14ac:dyDescent="0.2">
      <c r="A6077" s="1" t="s">
        <v>12110</v>
      </c>
      <c r="B6077" s="1">
        <v>0</v>
      </c>
      <c r="C6077" s="3">
        <v>44540.721851851849</v>
      </c>
      <c r="D6077" s="1" t="s">
        <v>12111</v>
      </c>
      <c r="E6077" s="1" t="str">
        <f ca="1">IFERROR(__xludf.DUMMYFUNCTION("GOOGLETRANSLATE(A2876 , ""tr"" , ""en"")"),"@drfahrettinkoca 3. Launch vaccines Please get a lot of reversing 2. Fast decision over 5 months")</f>
        <v>@drfahrettinkoca 3. Launch vaccines Please get a lot of reversing 2. Fast decision over 5 months</v>
      </c>
    </row>
    <row r="6078" spans="1:5" ht="15" customHeight="1" x14ac:dyDescent="0.2">
      <c r="A6078" s="1" t="s">
        <v>12112</v>
      </c>
      <c r="B6078" s="1">
        <v>0</v>
      </c>
      <c r="C6078" s="3">
        <v>44540.720949074072</v>
      </c>
      <c r="D6078" s="1" t="s">
        <v>12113</v>
      </c>
      <c r="E6078" s="1" t="str">
        <f ca="1">IFERROR(__xludf.DUMMYFUNCTION("GOOGLETRANSLATE(A2877 , ""tr"" , ""en"")"),"@drfahrettinka I'm watching what guide is no longer. I think you guide to the intake of 40 thousand people is 2023 ... https://t.co/dze6iexj6w")</f>
        <v>@drfahrettinka I'm watching what guide is no longer. I think you guide to the intake of 40 thousand people is 2023 ... https://t.co/dze6iexj6w</v>
      </c>
    </row>
    <row r="6079" spans="1:5" ht="15" customHeight="1" x14ac:dyDescent="0.2">
      <c r="A6079" s="1" t="s">
        <v>12114</v>
      </c>
      <c r="B6079" s="1">
        <v>0</v>
      </c>
      <c r="C6079" s="3">
        <v>44540.720613425925</v>
      </c>
      <c r="D6079" s="1" t="s">
        <v>12115</v>
      </c>
      <c r="E6079" s="1" t="str">
        <f ca="1">IFERROR(__xludf.DUMMYFUNCTION("GOOGLETRANSLATE(A2878 , ""tr"" , ""en"")"),"@drfahrettinkoca 3. Dose Nezaman Mr. Minister Zananı I have not arrived all Europe and the United States")</f>
        <v>@drfahrettinkoca 3. Dose Nezaman Mr. Minister Zananı I have not arrived all Europe and the United States</v>
      </c>
    </row>
    <row r="6080" spans="1:5" ht="15" customHeight="1" x14ac:dyDescent="0.2">
      <c r="A6080" s="1" t="s">
        <v>12116</v>
      </c>
      <c r="B6080" s="1">
        <v>0</v>
      </c>
      <c r="C6080" s="3">
        <v>44540.720578703702</v>
      </c>
      <c r="D6080" s="1" t="s">
        <v>12117</v>
      </c>
      <c r="E6080" s="1" t="str">
        <f ca="1">IFERROR(__xludf.DUMMYFUNCTION("GOOGLETRANSLATE(A2879 , ""tr"" , ""en"")"),"@drfahrettinkoca Where is Kelavuzzzz")</f>
        <v>@drfahrettinkoca Where is Kelavuzzzz</v>
      </c>
    </row>
    <row r="6081" spans="1:5" ht="15" customHeight="1" x14ac:dyDescent="0.2">
      <c r="A6081" s="1" t="s">
        <v>12118</v>
      </c>
      <c r="B6081" s="1">
        <v>0</v>
      </c>
      <c r="C6081" s="3">
        <v>44540.720173611109</v>
      </c>
      <c r="D6081" s="1" t="s">
        <v>12119</v>
      </c>
      <c r="E6081" s="1" t="str">
        <f ca="1">IFERROR(__xludf.DUMMYFUNCTION("GOOGLETRANSLATE(A2880 , ""tr"" , ""en"")"),"@drfahrettinkoca replace PCR giving incorrect results Covid 19 U 99% Indigenous and National Diagnoviri ... https://t.co/qfpb99m5oo")</f>
        <v>@drfahrettinkoca replace PCR giving incorrect results Covid 19 U 99% Indigenous and National Diagnoviri ... https://t.co/qfpb99m5oo</v>
      </c>
    </row>
    <row r="6082" spans="1:5" ht="15" customHeight="1" x14ac:dyDescent="0.2">
      <c r="A6082" s="1" t="s">
        <v>12120</v>
      </c>
      <c r="B6082" s="1">
        <v>1</v>
      </c>
      <c r="C6082" s="3">
        <v>44540.719618055555</v>
      </c>
      <c r="D6082" s="1" t="s">
        <v>12121</v>
      </c>
      <c r="E6082" s="1" t="str">
        <f ca="1">IFERROR(__xludf.DUMMYFUNCTION("GOOGLETRANSLATE(A2881 , ""tr"" , ""en"")"),"@drfahrettinkoca is not masked, unmasked, indiscriminately, and also insulting warnings because it is not a prohibition ... https://t.co/ntlmxvvbnk")</f>
        <v>@drfahrettinkoca is not masked, unmasked, indiscriminately, and also insulting warnings because it is not a prohibition ... https://t.co/ntlmxvvbnk</v>
      </c>
    </row>
    <row r="6083" spans="1:5" ht="15" customHeight="1" x14ac:dyDescent="0.2">
      <c r="A6083" s="1" t="s">
        <v>12122</v>
      </c>
      <c r="B6083" s="1">
        <v>10</v>
      </c>
      <c r="C6083" s="3">
        <v>44540.719444444447</v>
      </c>
      <c r="D6083" s="1" t="s">
        <v>12123</v>
      </c>
      <c r="E6083" s="1" t="str">
        <f ca="1">IFERROR(__xludf.DUMMYFUNCTION("GOOGLETRANSLATE(A2882 , ""tr"" , ""en"")"),"@drfahrettinkoca # 40Binal In my 3250cochostic early diagnosis and early mudison State, city, college hospital ... https://t.co/ynqtzpklrg")</f>
        <v>@drfahrettinkoca # 40Binal In my 3250cochostic early diagnosis and early mudison State, city, college hospital ... https://t.co/ynqtzpklrg</v>
      </c>
    </row>
    <row r="6084" spans="1:5" ht="15" customHeight="1" x14ac:dyDescent="0.2">
      <c r="A6084" s="1" t="s">
        <v>12124</v>
      </c>
      <c r="B6084" s="1">
        <v>6</v>
      </c>
      <c r="C6084" s="3">
        <v>44540.719328703701</v>
      </c>
      <c r="D6084" s="1" t="s">
        <v>12125</v>
      </c>
      <c r="E6084" s="1" t="str">
        <f ca="1">IFERROR(__xludf.DUMMYFUNCTION("GOOGLETRANSLATE(A2883 , ""tr"" , ""en"")"),"@drfahrettinka As your experimental fluid decreases, the case and death rate decreases. Alsa, receiving the liquid ... https://t.co/hapjbvvtet")</f>
        <v>@drfahrettinka As your experimental fluid decreases, the case and death rate decreases. Alsa, receiving the liquid ... https://t.co/hapjbvvtet</v>
      </c>
    </row>
    <row r="6085" spans="1:5" ht="15" customHeight="1" x14ac:dyDescent="0.2">
      <c r="A6085" s="1" t="s">
        <v>12126</v>
      </c>
      <c r="B6085" s="1">
        <v>0</v>
      </c>
      <c r="C6085" s="3">
        <v>44540.719259259262</v>
      </c>
      <c r="D6085" s="1" t="s">
        <v>12127</v>
      </c>
      <c r="E6085" s="1" t="str">
        <f ca="1">IFERROR(__xludf.DUMMYFUNCTION("GOOGLETRANSLATE(A2884 , ""tr"" , ""en"")"),"@drfahrettinkoca is the only worry is the only concern about 666 faho al liquid also get out of our country if you are in the place where you are in the place ... https://t.co/xuwrr9IMYT")</f>
        <v>@drfahrettinkoca is the only worry is the only concern about 666 faho al liquid also get out of our country if you are in the place where you are in the place ... https://t.co/xuwrr9IMYT</v>
      </c>
    </row>
    <row r="6086" spans="1:5" ht="15" customHeight="1" x14ac:dyDescent="0.2">
      <c r="A6086" s="1" t="s">
        <v>12128</v>
      </c>
      <c r="B6086" s="1">
        <v>4</v>
      </c>
      <c r="C6086" s="3">
        <v>44540.719108796293</v>
      </c>
      <c r="D6086" s="1" t="s">
        <v>12129</v>
      </c>
      <c r="E6086" s="1" t="str">
        <f ca="1">IFERROR(__xludf.DUMMYFUNCTION("GOOGLETRANSLATE(A2885 , ""tr"" , ""en"")"),"@drfahrettinkoca vaccine does not prevent the restraint, what is your measures to reduce the risk of the conta-")</f>
        <v>@drfahrettinkoca vaccine does not prevent the restraint, what is your measures to reduce the risk of the conta-</v>
      </c>
    </row>
    <row r="6087" spans="1:5" ht="15" customHeight="1" x14ac:dyDescent="0.2">
      <c r="A6087" s="1" t="s">
        <v>12130</v>
      </c>
      <c r="B6087" s="1">
        <v>1</v>
      </c>
      <c r="C6087" s="3">
        <v>44540.718773148146</v>
      </c>
      <c r="D6087" s="1" t="s">
        <v>12131</v>
      </c>
      <c r="E6087" s="1" t="str">
        <f ca="1">IFERROR(__xludf.DUMMYFUNCTION("GOOGLETRANSLATE(A2886 , ""tr"" , ""en"")"),"@drfahrettinkoca Mr. Minister, please give ears to the voice of students as a minister. Everyone patient classes ka ... https://t.co/0hnupk9rwx")</f>
        <v>@drfahrettinkoca Mr. Minister, please give ears to the voice of students as a minister. Everyone patient classes ka ... https://t.co/0hnupk9rwx</v>
      </c>
    </row>
    <row r="6088" spans="1:5" ht="15" customHeight="1" x14ac:dyDescent="0.2">
      <c r="A6088" s="1" t="s">
        <v>12132</v>
      </c>
      <c r="B6088" s="1">
        <v>2</v>
      </c>
      <c r="C6088" s="3">
        <v>44540.718657407408</v>
      </c>
      <c r="D6088" s="1" t="s">
        <v>12133</v>
      </c>
      <c r="E6088" s="1" t="str">
        <f ca="1">IFERROR(__xludf.DUMMYFUNCTION("GOOGLETRANSLATE(A2887 , ""tr"" , ""en"")"),"@drfahrettinkoca figures that are reflected in the figures do not test the quarantine and circulating out in the outside ... https://t.co/379gc1n11j")</f>
        <v>@drfahrettinkoca figures that are reflected in the figures do not test the quarantine and circulating out in the outside ... https://t.co/379gc1n11j</v>
      </c>
    </row>
    <row r="6089" spans="1:5" ht="15" customHeight="1" x14ac:dyDescent="0.2">
      <c r="A6089" s="1" t="s">
        <v>12134</v>
      </c>
      <c r="B6089" s="1">
        <v>0</v>
      </c>
      <c r="C6089" s="3">
        <v>44540.718541666669</v>
      </c>
      <c r="D6089" s="1" t="s">
        <v>12135</v>
      </c>
      <c r="E6089" s="1" t="str">
        <f ca="1">IFERROR(__xludf.DUMMYFUNCTION("GOOGLETRANSLATE(A2888 , ""tr"" , ""en"")"),"@drfahrettinkoca when is the assignment")</f>
        <v>@drfahrettinkoca when is the assignment</v>
      </c>
    </row>
    <row r="6090" spans="1:5" ht="15" customHeight="1" x14ac:dyDescent="0.2">
      <c r="A6090" s="1" t="s">
        <v>12136</v>
      </c>
      <c r="B6090" s="1">
        <v>17</v>
      </c>
      <c r="C6090" s="3">
        <v>44540.718530092592</v>
      </c>
      <c r="D6090" s="1" t="s">
        <v>12137</v>
      </c>
      <c r="E6090" s="1" t="str">
        <f ca="1">IFERROR(__xludf.DUMMYFUNCTION("GOOGLETRANSLATE(A2889 , ""tr"" , ""en"")"),"@drfahrettinkoca Which country's results are the results of this? Kids in the classrooms always go to the patient to the hospital, top respiration ... https://t.co/zlotg4kwky")</f>
        <v>@drfahrettinkoca Which country's results are the results of this? Kids in the classrooms always go to the patient to the hospital, top respiration ... https://t.co/zlotg4kwky</v>
      </c>
    </row>
    <row r="6091" spans="1:5" ht="15" customHeight="1" x14ac:dyDescent="0.2">
      <c r="A6091" s="1" t="s">
        <v>12138</v>
      </c>
      <c r="B6091" s="1">
        <v>1</v>
      </c>
      <c r="C6091" s="3">
        <v>44540.718344907407</v>
      </c>
      <c r="D6091" s="1" t="s">
        <v>12139</v>
      </c>
      <c r="E6091" s="1" t="str">
        <f ca="1">IFERROR(__xludf.DUMMYFUNCTION("GOOGLETRANSLATE(A2890 , ""tr"" , ""en"")"),"I don't understand how to @drfahrettinkoca falls the number of tests in winter")</f>
        <v>I don't understand how to @drfahrettinkoca falls the number of tests in winter</v>
      </c>
    </row>
    <row r="6092" spans="1:5" ht="15" customHeight="1" x14ac:dyDescent="0.2">
      <c r="A6092" s="1" t="s">
        <v>12140</v>
      </c>
      <c r="B6092" s="1">
        <v>1</v>
      </c>
      <c r="C6092" s="3">
        <v>44540.718275462961</v>
      </c>
      <c r="D6092" s="1" t="s">
        <v>12141</v>
      </c>
      <c r="E6092" s="1" t="str">
        <f ca="1">IFERROR(__xludf.DUMMYFUNCTION("GOOGLETRANSLATE(A2891 , ""tr"" , ""en"")"),"@drfahrettinkoca Our Bi Pharmacy Covit Chevmit Covit gum writes what it is")</f>
        <v>@drfahrettinkoca Our Bi Pharmacy Covit Chevmit Covit gum writes what it is</v>
      </c>
    </row>
    <row r="6093" spans="1:5" ht="15" customHeight="1" x14ac:dyDescent="0.2">
      <c r="A6093" s="1" t="s">
        <v>12142</v>
      </c>
      <c r="B6093" s="1">
        <v>0</v>
      </c>
      <c r="C6093" s="3">
        <v>44540.718240740738</v>
      </c>
      <c r="D6093" s="1" t="s">
        <v>12143</v>
      </c>
      <c r="E6093" s="1" t="str">
        <f ca="1">IFERROR(__xludf.DUMMYFUNCTION("GOOGLETRANSLATE(A2892 , ""tr"" , ""en"")"),"@drfahrettinkoca also all our vaccinations are alright but we lie at home from corona")</f>
        <v>@drfahrettinkoca also all our vaccinations are alright but we lie at home from corona</v>
      </c>
    </row>
    <row r="6094" spans="1:5" ht="15" customHeight="1" x14ac:dyDescent="0.2">
      <c r="A6094" s="1" t="s">
        <v>12144</v>
      </c>
      <c r="B6094" s="1">
        <v>5</v>
      </c>
      <c r="C6094" s="3">
        <v>44540.717986111114</v>
      </c>
      <c r="D6094" s="1" t="s">
        <v>12145</v>
      </c>
      <c r="E6094" s="1" t="str">
        <f ca="1">IFERROR(__xludf.DUMMYFUNCTION("GOOGLETRANSLATE(A2893 , ""tr"" , ""en"")"),"@drfahrettinka which is risky, we will be a liquid of 6 months for the deadly disease ??? Neighborly didn't jump up to date ... https://t.co/nbz8hbgztr")</f>
        <v>@drfahrettinka which is risky, we will be a liquid of 6 months for the deadly disease ??? Neighborly didn't jump up to date ... https://t.co/nbz8hbgztr</v>
      </c>
    </row>
    <row r="6095" spans="1:5" ht="15" customHeight="1" x14ac:dyDescent="0.2">
      <c r="A6095" s="1" t="s">
        <v>12146</v>
      </c>
      <c r="B6095" s="1">
        <v>0</v>
      </c>
      <c r="C6095" s="3">
        <v>44540.717800925922</v>
      </c>
      <c r="D6095" s="1" t="s">
        <v>12147</v>
      </c>
      <c r="E6095" s="1" t="str">
        <f ca="1">IFERROR(__xludf.DUMMYFUNCTION("GOOGLETRANSLATE(A2894 , ""tr"" , ""en"")"),"@drfahrettinkoca these liquids have completed the phase work when the firm has not received even responsibility ... https://t.co/IGhqkree17")</f>
        <v>@drfahrettinkoca these liquids have completed the phase work when the firm has not received even responsibility ... https://t.co/IGhqkree17</v>
      </c>
    </row>
    <row r="6096" spans="1:5" ht="15" customHeight="1" x14ac:dyDescent="0.2">
      <c r="A6096" s="1" t="s">
        <v>12148</v>
      </c>
      <c r="B6096" s="1">
        <v>60</v>
      </c>
      <c r="C6096" s="3">
        <v>44540.717233796298</v>
      </c>
      <c r="D6096" s="1" t="s">
        <v>12149</v>
      </c>
      <c r="E6096" s="1" t="str">
        <f ca="1">IFERROR(__xludf.DUMMYFUNCTION("GOOGLETRANSLATE(A2895 , ""tr"" , ""en"")"),"If @drfahrettinkoca covit is over and there is no worry, why is it passing on 175 -250 bands every day ?? Please explain this as well as time.")</f>
        <v>If @drfahrettinkoca covit is over and there is no worry, why is it passing on 175 -250 bands every day ?? Please explain this as well as time.</v>
      </c>
    </row>
    <row r="6097" spans="1:5" ht="15" customHeight="1" x14ac:dyDescent="0.2">
      <c r="A6097" s="1" t="s">
        <v>12150</v>
      </c>
      <c r="B6097" s="1">
        <v>3</v>
      </c>
      <c r="C6097" s="3">
        <v>44540.717199074075</v>
      </c>
      <c r="D6097" s="1" t="s">
        <v>12151</v>
      </c>
      <c r="E6097" s="1" t="str">
        <f ca="1">IFERROR(__xludf.DUMMYFUNCTION("GOOGLETRANSLATE(A2896 , ""tr"" , ""en"")"),"@drfahrettinkoca Ministry If you are seriously true, halal the right to halal the right but never believe the right numbers are the fact that there are even fish")</f>
        <v>@drfahrettinkoca Ministry If you are seriously true, halal the right to halal the right but never believe the right numbers are the fact that there are even fish</v>
      </c>
    </row>
    <row r="6098" spans="1:5" ht="15" customHeight="1" x14ac:dyDescent="0.2">
      <c r="A6098" s="1" t="s">
        <v>12152</v>
      </c>
      <c r="B6098" s="1">
        <v>0</v>
      </c>
      <c r="C6098" s="3">
        <v>44540.716886574075</v>
      </c>
      <c r="D6098" s="1" t="s">
        <v>12153</v>
      </c>
      <c r="E6098" s="1" t="str">
        <f ca="1">IFERROR(__xludf.DUMMYFUNCTION("GOOGLETRANSLATE(A2897 , ""tr"" , ""en"")"),"@drfahrettinkoca anxiety decreases so 3 people are currently lying down from corona")</f>
        <v>@drfahrettinkoca anxiety decreases so 3 people are currently lying down from corona</v>
      </c>
    </row>
    <row r="6099" spans="1:5" ht="15" customHeight="1" x14ac:dyDescent="0.2">
      <c r="A6099" s="1" t="s">
        <v>12154</v>
      </c>
      <c r="B6099" s="1">
        <v>4</v>
      </c>
      <c r="C6099" s="3">
        <v>44540.716817129629</v>
      </c>
      <c r="D6099" s="1" t="s">
        <v>12155</v>
      </c>
      <c r="E6099" s="1" t="str">
        <f ca="1">IFERROR(__xludf.DUMMYFUNCTION("GOOGLETRANSLATE(A2898 , ""tr"" , ""en"")"),"@drfahrettinkoca morning assembly vaccine vaccine also vaccine, fear, concern, threat, lagging tactics, see markets, leave this plan ... https://t.co/hefcsfvsyy")</f>
        <v>@drfahrettinkoca morning assembly vaccine vaccine also vaccine, fear, concern, threat, lagging tactics, see markets, leave this plan ... https://t.co/hefcsfvsyy</v>
      </c>
    </row>
    <row r="6100" spans="1:5" ht="15" customHeight="1" x14ac:dyDescent="0.2">
      <c r="A6100" s="1" t="s">
        <v>12156</v>
      </c>
      <c r="B6100" s="1">
        <v>31</v>
      </c>
      <c r="C6100" s="3">
        <v>44540.716770833336</v>
      </c>
      <c r="D6100" s="1" t="s">
        <v>12157</v>
      </c>
      <c r="E6100" s="1" t="str">
        <f ca="1">IFERROR(__xludf.DUMMYFUNCTION("GOOGLETRANSLATE(A2899 , ""tr"" , ""en"")"),"@drfahrettinkoca Don't get caught up with anxiety? Which country? Tell me too we'll go there too")</f>
        <v>@drfahrettinkoca Don't get caught up with anxiety? Which country? Tell me too we'll go there too</v>
      </c>
    </row>
    <row r="6101" spans="1:5" ht="15" customHeight="1" x14ac:dyDescent="0.2">
      <c r="A6101" s="1" t="s">
        <v>12158</v>
      </c>
      <c r="B6101" s="1">
        <v>51</v>
      </c>
      <c r="C6101" s="3">
        <v>44540.716724537036</v>
      </c>
      <c r="D6101" s="1" t="s">
        <v>12159</v>
      </c>
      <c r="E6101" s="1" t="str">
        <f ca="1">IFERROR(__xludf.DUMMYFUNCTION("GOOGLETRANSLATE(A2900 , ""tr"" , ""en"")"),"@drfahrettinka in Europe in Europe increases in Turkey increases in Turkey is very fanty.")</f>
        <v>@drfahrettinka in Europe in Europe increases in Turkey increases in Turkey is very fanty.</v>
      </c>
    </row>
    <row r="6102" spans="1:5" ht="15" customHeight="1" x14ac:dyDescent="0.2">
      <c r="A6102" s="1" t="s">
        <v>12160</v>
      </c>
      <c r="B6102" s="1">
        <v>10</v>
      </c>
      <c r="C6102" s="3">
        <v>44540.716493055559</v>
      </c>
      <c r="D6102" s="1" t="s">
        <v>12161</v>
      </c>
      <c r="E6102" s="1" t="str">
        <f ca="1">IFERROR(__xludf.DUMMYFUNCTION("GOOGLETRANSLATE(A2901 , ""tr"" , ""en"")"),"@drfahrettinka has at least 60 thousand these cases.")</f>
        <v>@drfahrettinka has at least 60 thousand these cases.</v>
      </c>
    </row>
    <row r="6103" spans="1:5" ht="15" customHeight="1" x14ac:dyDescent="0.2">
      <c r="A6103" s="1" t="s">
        <v>12162</v>
      </c>
      <c r="B6103" s="1">
        <v>0</v>
      </c>
      <c r="C6103" s="3">
        <v>44540.716458333336</v>
      </c>
      <c r="D6103" s="1" t="s">
        <v>12163</v>
      </c>
      <c r="E6103" s="1" t="str">
        <f ca="1">IFERROR(__xludf.DUMMYFUNCTION("GOOGLETRANSLATE(A2902 , ""tr"" , ""en"")"),"@drfahrettinkoca 4.Doz What happened are they don't even put on the table")</f>
        <v>@drfahrettinkoca 4.Doz What happened are they don't even put on the table</v>
      </c>
    </row>
    <row r="6104" spans="1:5" ht="15" customHeight="1" x14ac:dyDescent="0.2">
      <c r="A6104" s="1" t="s">
        <v>12164</v>
      </c>
      <c r="B6104" s="1">
        <v>20</v>
      </c>
      <c r="C6104" s="3">
        <v>44540.716446759259</v>
      </c>
      <c r="D6104" s="1" t="s">
        <v>12165</v>
      </c>
      <c r="E6104" s="1" t="str">
        <f ca="1">IFERROR(__xludf.DUMMYFUNCTION("GOOGLETRANSLATE(A2903 , ""tr"" , ""en"")"),"@drfahrettinka is broken mid 10 Student Covit Teachers Covit in school Covit You are crossing my wave with us. We ... https://t.co/luien1zfby")</f>
        <v>@drfahrettinka is broken mid 10 Student Covit Teachers Covit in school Covit You are crossing my wave with us. We ... https://t.co/luien1zfby</v>
      </c>
    </row>
    <row r="6105" spans="1:5" ht="15" customHeight="1" x14ac:dyDescent="0.2">
      <c r="A6105" s="1" t="s">
        <v>12166</v>
      </c>
      <c r="B6105" s="1">
        <v>0</v>
      </c>
      <c r="C6105" s="3">
        <v>44540.716412037036</v>
      </c>
      <c r="D6105" s="1" t="s">
        <v>12167</v>
      </c>
      <c r="E6105" s="1" t="str">
        <f ca="1">IFERROR(__xludf.DUMMYFUNCTION("GOOGLETRANSLATE(A2904 , ""tr"" , ""en"")"),"@drfahrettinkoca teens you call attention so that's ok then okay")</f>
        <v>@drfahrettinkoca teens you call attention so that's ok then okay</v>
      </c>
    </row>
    <row r="6106" spans="1:5" ht="15" customHeight="1" x14ac:dyDescent="0.2">
      <c r="A6106" s="1" t="s">
        <v>12168</v>
      </c>
      <c r="B6106" s="1">
        <v>2</v>
      </c>
      <c r="C6106" s="3">
        <v>44540.716249999998</v>
      </c>
      <c r="D6106" s="1" t="s">
        <v>12169</v>
      </c>
      <c r="E6106" s="1" t="str">
        <f ca="1">IFERROR(__xludf.DUMMYFUNCTION("GOOGLETRANSLATE(A2905 , ""tr"" , ""en"")"),"@drfahrettinkoca Ha Your baked folks woke up no longer your lies will be eaten, slowly back gears from the shipped). But ... https://t.co/alnktpjjhk")</f>
        <v>@drfahrettinkoca Ha Your baked folks woke up no longer your lies will be eaten, slowly back gears from the shipped). But ... https://t.co/alnktpjjhk</v>
      </c>
    </row>
    <row r="6107" spans="1:5" ht="15" customHeight="1" x14ac:dyDescent="0.2">
      <c r="A6107" s="1" t="s">
        <v>12170</v>
      </c>
      <c r="B6107" s="1">
        <v>0</v>
      </c>
      <c r="C6107" s="3">
        <v>44540.716249999998</v>
      </c>
      <c r="D6107" s="1" t="s">
        <v>12171</v>
      </c>
      <c r="E6107" s="1" t="str">
        <f ca="1">IFERROR(__xludf.DUMMYFUNCTION("GOOGLETRANSLATE(A2906 , ""tr"" , ""en"")"),"@drfahrettinkoca find out of God")</f>
        <v>@drfahrettinkoca find out of God</v>
      </c>
    </row>
    <row r="6108" spans="1:5" ht="15" customHeight="1" x14ac:dyDescent="0.2">
      <c r="A6108" s="1" t="s">
        <v>12172</v>
      </c>
      <c r="B6108" s="1">
        <v>0</v>
      </c>
      <c r="C6108" s="3">
        <v>44540.716099537036</v>
      </c>
      <c r="D6108" s="1" t="s">
        <v>12173</v>
      </c>
      <c r="E6108" s="1" t="str">
        <f ca="1">IFERROR(__xludf.DUMMYFUNCTION("GOOGLETRANSLATE(A2907 , ""tr"" , ""en"")"),"@drfahrettinkoca cases and deaths are reducing omicron in favor of humanity a variant less lethal")</f>
        <v>@drfahrettinkoca cases and deaths are reducing omicron in favor of humanity a variant less lethal</v>
      </c>
    </row>
    <row r="6109" spans="1:5" ht="15" customHeight="1" x14ac:dyDescent="0.2">
      <c r="A6109" s="1" t="s">
        <v>12174</v>
      </c>
      <c r="B6109" s="1">
        <v>0</v>
      </c>
      <c r="C6109" s="3">
        <v>44540.71597222222</v>
      </c>
      <c r="D6109" s="1" t="s">
        <v>12175</v>
      </c>
      <c r="E6109" s="1" t="str">
        <f ca="1">IFERROR(__xludf.DUMMYFUNCTION("GOOGLETRANSLATE(A2908 , ""tr"" , ""en"")"),"@drfahrettinkoca @saglikbakanki thanks Covid Minister ...")</f>
        <v>@drfahrettinkoca @saglikbakanki thanks Covid Minister ...</v>
      </c>
    </row>
    <row r="6110" spans="1:5" ht="15" customHeight="1" x14ac:dyDescent="0.2">
      <c r="A6110" s="1" t="s">
        <v>12176</v>
      </c>
      <c r="B6110" s="1">
        <v>0</v>
      </c>
      <c r="C6110" s="3">
        <v>44540.715729166666</v>
      </c>
      <c r="D6110" s="1" t="s">
        <v>12177</v>
      </c>
      <c r="E6110" s="1" t="str">
        <f ca="1">IFERROR(__xludf.DUMMYFUNCTION("GOOGLETRANSLATE(A2909 , ""tr"" , ""en"")"),"@drfahrettinkoca guide guide guide")</f>
        <v>@drfahrettinkoca guide guide guide</v>
      </c>
    </row>
    <row r="6111" spans="1:5" ht="15" customHeight="1" x14ac:dyDescent="0.2">
      <c r="A6111" s="1" t="s">
        <v>12178</v>
      </c>
      <c r="B6111" s="1">
        <v>0</v>
      </c>
      <c r="C6111" s="3">
        <v>44540.715590277781</v>
      </c>
      <c r="D6111" s="1" t="s">
        <v>12179</v>
      </c>
      <c r="E6111" s="1" t="str">
        <f ca="1">IFERROR(__xludf.DUMMYFUNCTION("GOOGLETRANSLATE(A2910 , ""tr"" , ""en"")"),"@drfahrettinkoca guide are welcome @drfahrettinkoca @gozdekirisciogl")</f>
        <v>@drfahrettinkoca guide are welcome @drfahrettinkoca @gozdekirisciogl</v>
      </c>
    </row>
    <row r="6112" spans="1:5" ht="15" customHeight="1" x14ac:dyDescent="0.2">
      <c r="A6112" s="1" t="s">
        <v>12180</v>
      </c>
      <c r="B6112" s="1">
        <v>14</v>
      </c>
      <c r="C6112" s="3">
        <v>44540.715578703705</v>
      </c>
      <c r="D6112" s="1" t="s">
        <v>12181</v>
      </c>
      <c r="E6112" s="1" t="str">
        <f ca="1">IFERROR(__xludf.DUMMYFUNCTION("GOOGLETRANSLATE(A2911 , ""tr"" , ""en"")"),"@drfahrettinkoca Chronic patient What did you do for children Dear Fahrettin Bey just watch TV on the TV ... https://t.co/1xasrzl6l1")</f>
        <v>@drfahrettinkoca Chronic patient What did you do for children Dear Fahrettin Bey just watch TV on the TV ... https://t.co/1xasrzl6l1</v>
      </c>
    </row>
    <row r="6113" spans="1:5" ht="15" customHeight="1" x14ac:dyDescent="0.2">
      <c r="A6113" s="1" t="s">
        <v>12182</v>
      </c>
      <c r="B6113" s="1">
        <v>0</v>
      </c>
      <c r="C6113" s="3">
        <v>44540.715358796297</v>
      </c>
      <c r="D6113" s="1" t="s">
        <v>12183</v>
      </c>
      <c r="E6113" s="1" t="str">
        <f ca="1">IFERROR(__xludf.DUMMYFUNCTION("GOOGLETRANSLATE(A2912 , ""tr"" , ""en"")"),"@drfahrettinkoca will still have no explanation? @drfahrettinkoca @GozdeDiScioGL")</f>
        <v>@drfahrettinkoca will still have no explanation? @drfahrettinkoca @GozdeDiScioGL</v>
      </c>
    </row>
    <row r="6114" spans="1:5" ht="15" customHeight="1" x14ac:dyDescent="0.2">
      <c r="A6114" s="1" t="s">
        <v>12184</v>
      </c>
      <c r="B6114" s="1">
        <v>1</v>
      </c>
      <c r="C6114" s="3">
        <v>44540.715104166666</v>
      </c>
      <c r="D6114" s="1" t="s">
        <v>12185</v>
      </c>
      <c r="E6114" s="1" t="str">
        <f ca="1">IFERROR(__xludf.DUMMYFUNCTION("GOOGLETRANSLATE(A2913 , ""tr"" , ""en"")"),"@drfahrettinkoca year is over when will you be released now")</f>
        <v>@drfahrettinkoca year is over when will you be released now</v>
      </c>
    </row>
    <row r="6115" spans="1:5" ht="15" customHeight="1" x14ac:dyDescent="0.2">
      <c r="A6115" s="1" t="s">
        <v>12186</v>
      </c>
      <c r="B6115" s="1">
        <v>2</v>
      </c>
      <c r="C6115" s="3">
        <v>44540.715057870373</v>
      </c>
      <c r="D6115" s="1" t="s">
        <v>12187</v>
      </c>
      <c r="E6115" s="1" t="str">
        <f ca="1">IFERROR(__xludf.DUMMYFUNCTION("GOOGLETRANSLATE(A2914 , ""tr"" , ""en"")"),"@drfahrettinkoca Minister I'm like the radish, I'm not recommending the hic to anyone to be the vaccination")</f>
        <v>@drfahrettinkoca Minister I'm like the radish, I'm not recommending the hic to anyone to be the vaccination</v>
      </c>
    </row>
    <row r="6116" spans="1:5" ht="15" customHeight="1" x14ac:dyDescent="0.2">
      <c r="A6116" s="1" t="s">
        <v>12188</v>
      </c>
      <c r="B6116" s="1">
        <v>1</v>
      </c>
      <c r="C6116" s="3">
        <v>44540.71503472222</v>
      </c>
      <c r="D6116" s="1" t="s">
        <v>12189</v>
      </c>
      <c r="E6116" s="1" t="str">
        <f ca="1">IFERROR(__xludf.DUMMYFUNCTION("GOOGLETRANSLATE(A2915 , ""tr"" , ""en"")"),"@drfahrettinkoca is still not saying the vaccine. 2.Dosome vaccine rate is 80% in https://t.co/hrb7hlgi8e case numbers ... https://t.co/c3qc1xazmazma")</f>
        <v>@drfahrettinkoca is still not saying the vaccine. 2.Dosome vaccine rate is 80% in https://t.co/hrb7hlgi8e case numbers ... https://t.co/c3qc1xazmazma</v>
      </c>
    </row>
    <row r="6117" spans="1:5" ht="15" customHeight="1" x14ac:dyDescent="0.2">
      <c r="A6117" s="1" t="s">
        <v>12190</v>
      </c>
      <c r="B6117" s="1">
        <v>0</v>
      </c>
      <c r="C6117" s="3">
        <v>44540.714861111112</v>
      </c>
      <c r="D6117" s="1" t="s">
        <v>12191</v>
      </c>
      <c r="E6117" s="1" t="str">
        <f ca="1">IFERROR(__xludf.DUMMYFUNCTION("GOOGLETRANSLATE(A2916 , ""tr"" , ""en"")"),"@drfahrettinkoca you still say the vaccine. Thousands of healthcareists have received the AHINI do you have no fear of God. That's time to ... https://t.co/kqlaeorvfp")</f>
        <v>@drfahrettinkoca you still say the vaccine. Thousands of healthcareists have received the AHINI do you have no fear of God. That's time to ... https://t.co/kqlaeorvfp</v>
      </c>
    </row>
    <row r="6118" spans="1:5" ht="15" customHeight="1" x14ac:dyDescent="0.2">
      <c r="A6118" s="1" t="s">
        <v>12192</v>
      </c>
      <c r="B6118" s="1">
        <v>0</v>
      </c>
      <c r="C6118" s="3">
        <v>44540.714780092596</v>
      </c>
      <c r="D6118" s="1" t="s">
        <v>12193</v>
      </c>
      <c r="E6118" s="1" t="str">
        <f ca="1">IFERROR(__xludf.DUMMYFUNCTION("GOOGLETRANSLATE(A2917 , ""tr"" , ""en"")"),"@drfahrettinkoca Liquid I have never been in the flu.")</f>
        <v>@drfahrettinkoca Liquid I have never been in the flu.</v>
      </c>
    </row>
    <row r="6119" spans="1:5" ht="15" customHeight="1" x14ac:dyDescent="0.2">
      <c r="A6119" s="1" t="s">
        <v>12194</v>
      </c>
      <c r="B6119" s="1">
        <v>1</v>
      </c>
      <c r="C6119" s="3">
        <v>44540.714687500003</v>
      </c>
      <c r="D6119" s="1" t="s">
        <v>12195</v>
      </c>
      <c r="E6119" s="1" t="str">
        <f ca="1">IFERROR(__xludf.DUMMYFUNCTION("GOOGLETRANSLATE(A2918 , ""tr"" , ""en"")"),"@drfahrettinkoca then your diagnosis of chronic patients again allowed the patients despite the fact that we are experiencing")</f>
        <v>@drfahrettinkoca then your diagnosis of chronic patients again allowed the patients despite the fact that we are experiencing</v>
      </c>
    </row>
    <row r="6120" spans="1:5" ht="15" customHeight="1" x14ac:dyDescent="0.2">
      <c r="A6120" s="1" t="s">
        <v>12196</v>
      </c>
      <c r="B6120" s="1">
        <v>1</v>
      </c>
      <c r="C6120" s="3">
        <v>44540.714594907404</v>
      </c>
      <c r="D6120" s="1" t="s">
        <v>12197</v>
      </c>
      <c r="E6120" s="1" t="str">
        <f ca="1">IFERROR(__xludf.DUMMYFUNCTION("GOOGLETRANSLATE(A2919 , ""tr"" , ""en"")"),"@drfahrettinkoca Mr. @rterdogan 40,000 personnel employed employment for the Safik Ministry but yet moving GE ... https://t.co/gi9ovyllgd")</f>
        <v>@drfahrettinkoca Mr. @rterdogan 40,000 personnel employed employment for the Safik Ministry but yet moving GE ... https://t.co/gi9ovyllgd</v>
      </c>
    </row>
    <row r="6121" spans="1:5" ht="15" customHeight="1" x14ac:dyDescent="0.2">
      <c r="A6121" s="1" t="s">
        <v>12198</v>
      </c>
      <c r="B6121" s="1">
        <v>0</v>
      </c>
      <c r="C6121" s="3">
        <v>44540.714571759258</v>
      </c>
      <c r="D6121" s="1" t="s">
        <v>12199</v>
      </c>
      <c r="E6121" s="1" t="str">
        <f ca="1">IFERROR(__xludf.DUMMYFUNCTION("GOOGLETRANSLATE(A2920 , ""tr"" , ""en"")"),"@drfahrettinkoca manual Broadly publish a moment ago, https://t.co/trmkiv9jve vaccine of the provinces that are dazzry ... https://t.co/snvwxmgz4f")</f>
        <v>@drfahrettinkoca manual Broadly publish a moment ago, https://t.co/trmkiv9jve vaccine of the provinces that are dazzry ... https://t.co/snvwxmgz4f</v>
      </c>
    </row>
    <row r="6122" spans="1:5" ht="15" customHeight="1" x14ac:dyDescent="0.2">
      <c r="A6122" s="1" t="s">
        <v>12200</v>
      </c>
      <c r="B6122" s="1">
        <v>0</v>
      </c>
      <c r="C6122" s="3">
        <v>44540.714212962965</v>
      </c>
      <c r="D6122" s="1" t="s">
        <v>12201</v>
      </c>
      <c r="E6122" s="1" t="str">
        <f ca="1">IFERROR(__xludf.DUMMYFUNCTION("GOOGLETRANSLATE(A2921 , ""tr"" , ""en"")"),"@drfahrettinkoca k")</f>
        <v>@drfahrettinkoca k</v>
      </c>
    </row>
    <row r="6123" spans="1:5" ht="15" customHeight="1" x14ac:dyDescent="0.2">
      <c r="A6123" s="1" t="s">
        <v>12202</v>
      </c>
      <c r="B6123" s="1">
        <v>42</v>
      </c>
      <c r="C6123" s="3">
        <v>44540.714097222219</v>
      </c>
      <c r="D6123" s="1" t="s">
        <v>12203</v>
      </c>
      <c r="E6123" s="1" t="str">
        <f ca="1">IFERROR(__xludf.DUMMYFUNCTION("GOOGLETRANSLATE(A2922 , ""tr"" , ""en"")"),"@drfahrettinkoca no longer follow the table If such coincide comes with a painful smile we are in a painful smile Your belief does not remain unfortunately")</f>
        <v>@drfahrettinkoca no longer follow the table If such coincide comes with a painful smile we are in a painful smile Your belief does not remain unfortunately</v>
      </c>
    </row>
    <row r="6124" spans="1:5" ht="15" customHeight="1" x14ac:dyDescent="0.2">
      <c r="A6124" s="1" t="s">
        <v>12204</v>
      </c>
      <c r="B6124" s="1">
        <v>0</v>
      </c>
      <c r="C6124" s="3">
        <v>44540.71402777778</v>
      </c>
      <c r="D6124" s="1" t="s">
        <v>12205</v>
      </c>
      <c r="E6124" s="1" t="str">
        <f ca="1">IFERROR(__xludf.DUMMYFUNCTION("GOOGLETRANSLATE(A2923 , ""tr"" , ""en"")"),"@drfahrettinkoca because the grafts are getting cockid, it's getting sick, dying! The Turkish Nation is waking up!")</f>
        <v>@drfahrettinkoca because the grafts are getting cockid, it's getting sick, dying! The Turkish Nation is waking up!</v>
      </c>
    </row>
    <row r="6125" spans="1:5" ht="15" customHeight="1" x14ac:dyDescent="0.2">
      <c r="A6125" s="1" t="s">
        <v>12206</v>
      </c>
      <c r="B6125" s="1">
        <v>0</v>
      </c>
      <c r="C6125" s="3">
        <v>44540.713912037034</v>
      </c>
      <c r="D6125" s="1" t="s">
        <v>12207</v>
      </c>
      <c r="E6125" s="1" t="str">
        <f ca="1">IFERROR(__xludf.DUMMYFUNCTION("GOOGLETRANSLATE(A2924 , ""tr"" , ""en"")"),"@drfahrettinkoca Today 176 Falled Monday I hope 220 doesn't go out for 220 again")</f>
        <v>@drfahrettinkoca Today 176 Falled Monday I hope 220 doesn't go out for 220 again</v>
      </c>
    </row>
    <row r="6126" spans="1:5" ht="15" customHeight="1" x14ac:dyDescent="0.2">
      <c r="A6126" s="1" t="s">
        <v>12208</v>
      </c>
      <c r="B6126" s="1">
        <v>0</v>
      </c>
      <c r="C6126" s="3">
        <v>44540.71366898148</v>
      </c>
      <c r="D6126" s="1" t="s">
        <v>12209</v>
      </c>
      <c r="E6126" s="1" t="str">
        <f ca="1">IFERROR(__xludf.DUMMYFUNCTION("GOOGLETRANSLATE(A2925 , ""tr"" , ""en"")"),"@drfahrettinkoca What is the economy of the economy is bad when we fall in the decline in Corona do not take Cokkk 0 cases :)")</f>
        <v>@drfahrettinkoca What is the economy of the economy is bad when we fall in the decline in Corona do not take Cokkk 0 cases :)</v>
      </c>
    </row>
    <row r="6127" spans="1:5" ht="15" customHeight="1" x14ac:dyDescent="0.2">
      <c r="A6127" s="1" t="s">
        <v>12210</v>
      </c>
      <c r="B6127" s="1">
        <v>0</v>
      </c>
      <c r="C6127" s="3">
        <v>44540.713402777779</v>
      </c>
      <c r="D6127" s="1" t="s">
        <v>12211</v>
      </c>
      <c r="E6127" s="1" t="str">
        <f ca="1">IFERROR(__xludf.DUMMYFUNCTION("GOOGLETRANSLATE(A2926 , ""tr"" , ""en"")"),"@drfahrettinkoca bungun you get little in a little cok entries in the entry")</f>
        <v>@drfahrettinkoca bungun you get little in a little cok entries in the entry</v>
      </c>
    </row>
    <row r="6128" spans="1:5" ht="15" customHeight="1" x14ac:dyDescent="0.2">
      <c r="A6128" s="1" t="s">
        <v>12212</v>
      </c>
      <c r="B6128" s="1">
        <v>20</v>
      </c>
      <c r="C6128" s="3">
        <v>44540.713402777779</v>
      </c>
      <c r="D6128" s="1" t="s">
        <v>12213</v>
      </c>
      <c r="E6128" s="1" t="str">
        <f ca="1">IFERROR(__xludf.DUMMYFUNCTION("GOOGLETRANSLATE(A2927 , ""tr"" , ""en"")"),"@drfahrettinkoca Formal Child Developments Wants At least 250 Assignments, Mr. Ministry # 40Binal")</f>
        <v>@drfahrettinkoca Formal Child Developments Wants At least 250 Assignments, Mr. Ministry # 40Binal</v>
      </c>
    </row>
    <row r="6129" spans="1:5" ht="15" customHeight="1" x14ac:dyDescent="0.2">
      <c r="A6129" s="1" t="s">
        <v>12214</v>
      </c>
      <c r="B6129" s="1">
        <v>0</v>
      </c>
      <c r="C6129" s="3">
        <v>44540.713356481479</v>
      </c>
      <c r="D6129" s="1" t="s">
        <v>12215</v>
      </c>
      <c r="E6129" s="1" t="str">
        <f ca="1">IFERROR(__xludf.DUMMYFUNCTION("GOOGLETRANSLATE(A2928 , ""tr"" , ""en"")"),"@drfahrettinkoca Bi do bi assignments. At the same time, the healthpieces do not get along. Medical Bilmemne branch ... https://t.co/bm6pojlmwr")</f>
        <v>@drfahrettinkoca Bi do bi assignments. At the same time, the healthpieces do not get along. Medical Bilmemne branch ... https://t.co/bm6pojlmwr</v>
      </c>
    </row>
    <row r="6130" spans="1:5" ht="15" customHeight="1" x14ac:dyDescent="0.2">
      <c r="A6130" s="1" t="s">
        <v>12216</v>
      </c>
      <c r="B6130" s="1">
        <v>1</v>
      </c>
      <c r="C6130" s="3">
        <v>44540.71334490741</v>
      </c>
      <c r="D6130" s="1" t="s">
        <v>12217</v>
      </c>
      <c r="E6130" s="1" t="str">
        <f ca="1">IFERROR(__xludf.DUMMYFUNCTION("GOOGLETRANSLATE(A2929 , ""tr"" , ""en"")"),"@drfahrettinkoca that wouldn't lie so much kdxksbxisx")</f>
        <v>@drfahrettinkoca that wouldn't lie so much kdxksbxisx</v>
      </c>
    </row>
    <row r="6131" spans="1:5" ht="15" customHeight="1" x14ac:dyDescent="0.2">
      <c r="A6131" s="1" t="s">
        <v>12218</v>
      </c>
      <c r="B6131" s="1">
        <v>30</v>
      </c>
      <c r="C6131" s="3">
        <v>44540.713321759256</v>
      </c>
      <c r="D6131" s="1" t="s">
        <v>12219</v>
      </c>
      <c r="E6131" s="1" t="str">
        <f ca="1">IFERROR(__xludf.DUMMYFUNCTION("GOOGLETRANSLATE(A2930 , ""tr"" , ""en"")"),"@drfahrettinka Mr. Minister Please earn the voice of your colleague to the voice of your business, it deserves to this occupation group for him ... https://t.co/myhgqov2au")</f>
        <v>@drfahrettinka Mr. Minister Please earn the voice of your colleague to the voice of your business, it deserves to this occupation group for him ... https://t.co/myhgqov2au</v>
      </c>
    </row>
    <row r="6132" spans="1:5" ht="15" customHeight="1" x14ac:dyDescent="0.2">
      <c r="A6132" s="1" t="s">
        <v>12220</v>
      </c>
      <c r="B6132" s="1">
        <v>2</v>
      </c>
      <c r="C6132" s="3">
        <v>44540.713252314818</v>
      </c>
      <c r="D6132" s="1" t="s">
        <v>12221</v>
      </c>
      <c r="E6132" s="1" t="str">
        <f ca="1">IFERROR(__xludf.DUMMYFUNCTION("GOOGLETRANSLATE(A2931 , ""tr"" , ""en"")"),"@drfahrettinka Turn on the vaccine over 5+, please leave the decision to families.")</f>
        <v>@drfahrettinka Turn on the vaccine over 5+, please leave the decision to families.</v>
      </c>
    </row>
    <row r="6133" spans="1:5" ht="15" customHeight="1" x14ac:dyDescent="0.2">
      <c r="A6133" s="1" t="s">
        <v>12222</v>
      </c>
      <c r="B6133" s="1">
        <v>2</v>
      </c>
      <c r="C6133" s="3">
        <v>44540.713252314818</v>
      </c>
      <c r="D6133" s="1" t="s">
        <v>12223</v>
      </c>
      <c r="E6133" s="1" t="str">
        <f ca="1">IFERROR(__xludf.DUMMYFUNCTION("GOOGLETRANSLATE(A2932 , ""tr"" , ""en"")"),"@drfahrettinkoca watch out for those with chronic disease your diode but they have to go to school how do I need to show a tenderness")</f>
        <v>@drfahrettinkoca watch out for those with chronic disease your diode but they have to go to school how do I need to show a tenderness</v>
      </c>
    </row>
    <row r="6134" spans="1:5" ht="15" customHeight="1" x14ac:dyDescent="0.2">
      <c r="A6134" s="1" t="s">
        <v>12224</v>
      </c>
      <c r="B6134" s="1">
        <v>62</v>
      </c>
      <c r="C6134" s="3">
        <v>44540.71297453704</v>
      </c>
      <c r="D6134" s="1" t="s">
        <v>12225</v>
      </c>
      <c r="E6134" s="1" t="str">
        <f ca="1">IFERROR(__xludf.DUMMYFUNCTION("GOOGLETRANSLATE(A2933 , ""tr"" , ""en"")"),"@drfahrettinkoca on year old decreasing as a mother aside aside you duplicate your cases Dusurdce Httu Https://t.co/mdebjy0oce")</f>
        <v>@drfahrettinkoca on year old decreasing as a mother aside aside you duplicate your cases Dusurdce Httu Https://t.co/mdebjy0oce</v>
      </c>
    </row>
    <row r="6135" spans="1:5" ht="15" customHeight="1" x14ac:dyDescent="0.2">
      <c r="A6135" s="1" t="s">
        <v>12226</v>
      </c>
      <c r="B6135" s="1">
        <v>91</v>
      </c>
      <c r="C6135" s="3">
        <v>44540.712777777779</v>
      </c>
      <c r="D6135" s="1" t="s">
        <v>12227</v>
      </c>
      <c r="E6135" s="1" t="str">
        <f ca="1">IFERROR(__xludf.DUMMYFUNCTION("GOOGLETRANSLATE(A2934 , ""tr"" , ""en"")"),"@drfahrettinkoca You are so sure about the continuation of the vaccine event for Omicron! Uğur Sahin even your ka ... https://t.co/5thnvbq7ny")</f>
        <v>@drfahrettinkoca You are so sure about the continuation of the vaccine event for Omicron! Uğur Sahin even your ka ... https://t.co/5thnvbq7ny</v>
      </c>
    </row>
    <row r="6136" spans="1:5" ht="15" customHeight="1" x14ac:dyDescent="0.2">
      <c r="A6136" s="1" t="s">
        <v>12228</v>
      </c>
      <c r="B6136" s="1">
        <v>6</v>
      </c>
      <c r="C6136" s="3">
        <v>44540.712638888886</v>
      </c>
      <c r="D6136" s="1" t="s">
        <v>12229</v>
      </c>
      <c r="E6136" s="1" t="str">
        <f ca="1">IFERROR(__xludf.DUMMYFUNCTION("GOOGLETRANSLATE(A2935 , ""tr"" , ""en"")"),"@drfahrettinkoca Mr. Ministry We are ready for our children most affected by Covid-19 period. We are ÇO ... https://t.co/awyfwwhnaz")</f>
        <v>@drfahrettinkoca Mr. Ministry We are ready for our children most affected by Covid-19 period. We are ÇO ... https://t.co/awyfwwhnaz</v>
      </c>
    </row>
    <row r="6137" spans="1:5" ht="15" customHeight="1" x14ac:dyDescent="0.2">
      <c r="A6137" s="1" t="s">
        <v>12230</v>
      </c>
      <c r="B6137" s="1">
        <v>6</v>
      </c>
      <c r="C6137" s="3">
        <v>44540.712627314817</v>
      </c>
      <c r="D6137" s="1" t="s">
        <v>12231</v>
      </c>
      <c r="E6137" s="1" t="str">
        <f ca="1">IFERROR(__xludf.DUMMYFUNCTION("GOOGLETRANSLATE(A2936 , ""tr"" , ""en"")"),"@drfahrettinkoca 20-19-18 .... oooo welcome 2022 joke nice goes baby")</f>
        <v>@drfahrettinkoca 20-19-18 .... oooo welcome 2022 joke nice goes baby</v>
      </c>
    </row>
    <row r="6138" spans="1:5" ht="15" customHeight="1" x14ac:dyDescent="0.2">
      <c r="A6138" s="1" t="s">
        <v>12232</v>
      </c>
      <c r="B6138" s="1">
        <v>0</v>
      </c>
      <c r="C6138" s="3">
        <v>44540.712592592594</v>
      </c>
      <c r="D6138" s="1" t="s">
        <v>12233</v>
      </c>
      <c r="E6138" s="1" t="str">
        <f ca="1">IFERROR(__xludf.DUMMYFUNCTION("GOOGLETRANSLATE(A2937 , ""tr"" , ""en"")"),"@drfahrettinkoca Do not test Abi Hic inky Cunku")</f>
        <v>@drfahrettinkoca Do not test Abi Hic inky Cunku</v>
      </c>
    </row>
    <row r="6139" spans="1:5" ht="15" customHeight="1" x14ac:dyDescent="0.2">
      <c r="A6139" s="1" t="s">
        <v>12234</v>
      </c>
      <c r="B6139" s="1">
        <v>6</v>
      </c>
      <c r="C6139" s="3">
        <v>44540.712326388886</v>
      </c>
      <c r="D6139" s="1" t="s">
        <v>12235</v>
      </c>
      <c r="E6139" s="1" t="str">
        <f ca="1">IFERROR(__xludf.DUMMYFUNCTION("GOOGLETRANSLATE(A2938 , ""tr"" , ""en"")"),"@drfahrettinkoca is not more than more than we are waiting for the staff # 40Binal in my 3250cochostic @drfahrettinkoca @saglikbakanligi")</f>
        <v>@drfahrettinkoca is not more than more than we are waiting for the staff # 40Binal in my 3250cochostic @drfahrettinkoca @saglikbakanligi</v>
      </c>
    </row>
    <row r="6140" spans="1:5" ht="15" customHeight="1" x14ac:dyDescent="0.2">
      <c r="A6140" s="1" t="s">
        <v>12236</v>
      </c>
      <c r="B6140" s="1">
        <v>4</v>
      </c>
      <c r="C6140" s="3">
        <v>44540.712280092594</v>
      </c>
      <c r="D6140" s="1" t="s">
        <v>12237</v>
      </c>
      <c r="E6140" s="1" t="str">
        <f ca="1">IFERROR(__xludf.DUMMYFUNCTION("GOOGLETRANSLATE(A2939 , ""tr"" , ""en"")"),"@drfahrettinka We are not aware of the fact that cases fall in with the vaccine.")</f>
        <v>@drfahrettinka We are not aware of the fact that cases fall in with the vaccine.</v>
      </c>
    </row>
    <row r="6141" spans="1:5" ht="15" customHeight="1" x14ac:dyDescent="0.2">
      <c r="A6141" s="1" t="s">
        <v>12238</v>
      </c>
      <c r="B6141" s="1">
        <v>52</v>
      </c>
      <c r="C6141" s="3">
        <v>44540.71197916667</v>
      </c>
      <c r="D6141" s="1" t="s">
        <v>12239</v>
      </c>
      <c r="E6141" s="1" t="str">
        <f ca="1">IFERROR(__xludf.DUMMYFUNCTION("GOOGLETRANSLATE(A2940 , ""tr"" , ""en"")"),"@drfahrettinkoca governments and science world cares about your health, celebrate the natural healing rate of this virus ... https://t.co/cdpcltco2d")</f>
        <v>@drfahrettinkoca governments and science world cares about your health, celebrate the natural healing rate of this virus ... https://t.co/cdpcltco2d</v>
      </c>
    </row>
    <row r="6142" spans="1:5" ht="15" customHeight="1" x14ac:dyDescent="0.2">
      <c r="A6142" s="1" t="s">
        <v>12240</v>
      </c>
      <c r="B6142" s="1">
        <v>11</v>
      </c>
      <c r="C6142" s="3">
        <v>44540.711956018517</v>
      </c>
      <c r="D6142" s="1" t="s">
        <v>12241</v>
      </c>
      <c r="E6142" s="1" t="str">
        <f ca="1">IFERROR(__xludf.DUMMYFUNCTION("GOOGLETRANSLATE(A2941 , ""tr"" , ""en"")"),"@drfahrettinka so why do the irresponsibility of the tenderness is attracting our children Hergun crying kids ... https://t.co/abqijcpf7q")</f>
        <v>@drfahrettinka so why do the irresponsibility of the tenderness is attracting our children Hergun crying kids ... https://t.co/abqijcpf7q</v>
      </c>
    </row>
    <row r="6143" spans="1:5" ht="15" customHeight="1" x14ac:dyDescent="0.2">
      <c r="A6143" s="1" t="s">
        <v>12242</v>
      </c>
      <c r="B6143" s="1">
        <v>15</v>
      </c>
      <c r="C6143" s="3">
        <v>44540.711886574078</v>
      </c>
      <c r="D6143" s="1" t="s">
        <v>12243</v>
      </c>
      <c r="E6143" s="1" t="str">
        <f ca="1">IFERROR(__xludf.DUMMYFUNCTION("GOOGLETRANSLATE(A2942 , ""tr"" , ""en"")"),"@drfahrettinkoca We want us to have the right. # 40Binal250cochostic")</f>
        <v>@drfahrettinkoca We want us to have the right. # 40Binal250cochostic</v>
      </c>
    </row>
    <row r="6144" spans="1:5" ht="15" customHeight="1" x14ac:dyDescent="0.2">
      <c r="A6144" s="1" t="s">
        <v>12244</v>
      </c>
      <c r="B6144" s="1">
        <v>9</v>
      </c>
      <c r="C6144" s="3">
        <v>44540.71162037037</v>
      </c>
      <c r="D6144" s="1" t="s">
        <v>12245</v>
      </c>
      <c r="E6144" s="1" t="str">
        <f ca="1">IFERROR(__xludf.DUMMYFUNCTION("GOOGLETRANSLATE(A2943 , ""tr"" , ""en"")"),"@drfahrettinkoca Distance Education Called the weather in the weather to be taken in the weather, the eyes of the students and guardians ... https://t.co/b2ef8crsu1")</f>
        <v>@drfahrettinkoca Distance Education Called the weather in the weather to be taken in the weather, the eyes of the students and guardians ... https://t.co/b2ef8crsu1</v>
      </c>
    </row>
    <row r="6145" spans="1:5" ht="15" customHeight="1" x14ac:dyDescent="0.2">
      <c r="A6145" s="1" t="s">
        <v>12246</v>
      </c>
      <c r="B6145" s="1">
        <v>3</v>
      </c>
      <c r="C6145" s="3">
        <v>44540.711539351854</v>
      </c>
      <c r="D6145" s="1" t="s">
        <v>12247</v>
      </c>
      <c r="E6145" s="1" t="str">
        <f ca="1">IFERROR(__xludf.DUMMYFUNCTION("GOOGLETRANSLATE(A2944 , ""tr"" , ""en"")"),"@drfahrettinkoca I'm shaking out of the nerve so or seriously our pandemy finished notice that we don't know it's so many people ... https://t.co/ytr1bh9grg")</f>
        <v>@drfahrettinkoca I'm shaking out of the nerve so or seriously our pandemy finished notice that we don't know it's so many people ... https://t.co/ytr1bh9grg</v>
      </c>
    </row>
    <row r="6146" spans="1:5" ht="15" customHeight="1" x14ac:dyDescent="0.2">
      <c r="A6146" s="1" t="s">
        <v>12248</v>
      </c>
      <c r="B6146" s="1">
        <v>0</v>
      </c>
      <c r="C6146" s="3">
        <v>44540.711458333331</v>
      </c>
      <c r="D6146" s="1" t="s">
        <v>12249</v>
      </c>
      <c r="E6146" s="1" t="str">
        <f ca="1">IFERROR(__xludf.DUMMYFUNCTION("GOOGLETRANSLATE(A2945 , ""tr"" , ""en"")"),"@drfahrettinkoca Ya You don't still quit people who have fallen to the late rate Covitte Covit GINA GINA ... https://t.co/e5v62aoyb1")</f>
        <v>@drfahrettinkoca Ya You don't still quit people who have fallen to the late rate Covitte Covit GINA GINA ... https://t.co/e5v62aoyb1</v>
      </c>
    </row>
    <row r="6147" spans="1:5" ht="15" customHeight="1" x14ac:dyDescent="0.2">
      <c r="A6147" s="1" t="s">
        <v>12250</v>
      </c>
      <c r="B6147" s="1">
        <v>0</v>
      </c>
      <c r="C6147" s="3">
        <v>44540.711412037039</v>
      </c>
      <c r="D6147" s="1" t="s">
        <v>12251</v>
      </c>
      <c r="E6147" s="1" t="str">
        <f ca="1">IFERROR(__xludf.DUMMYFUNCTION("GOOGLETRANSLATE(A2946 , ""tr"" , ""en"")"),"@drfahrettinka chronic lung ill give a teacher to a teacher how will it show tenderness? Double mask, ... https://t.co/td4uprfcu2")</f>
        <v>@drfahrettinka chronic lung ill give a teacher to a teacher how will it show tenderness? Double mask, ... https://t.co/td4uprfcu2</v>
      </c>
    </row>
    <row r="6148" spans="1:5" ht="15" customHeight="1" x14ac:dyDescent="0.2">
      <c r="A6148" s="1" t="s">
        <v>12252</v>
      </c>
      <c r="B6148" s="1">
        <v>1</v>
      </c>
      <c r="C6148" s="3">
        <v>44540.711238425924</v>
      </c>
      <c r="D6148" s="1" t="s">
        <v>12253</v>
      </c>
      <c r="E6148" s="1" t="str">
        <f ca="1">IFERROR(__xludf.DUMMYFUNCTION("GOOGLETRANSLATE(A2947 , ""tr"" , ""en"")"),"@drfahrettinkoca Health Learies Child Developments as Development of 0-18 years of age ... https://t.co/q7gampgpa6")</f>
        <v>@drfahrettinkoca Health Learies Child Developments as Development of 0-18 years of age ... https://t.co/q7gampgpa6</v>
      </c>
    </row>
    <row r="6149" spans="1:5" ht="15" customHeight="1" x14ac:dyDescent="0.2">
      <c r="A6149" s="1" t="s">
        <v>12254</v>
      </c>
      <c r="B6149" s="1">
        <v>1</v>
      </c>
      <c r="C6149" s="3">
        <v>44540.710972222223</v>
      </c>
      <c r="D6149" s="1" t="s">
        <v>12255</v>
      </c>
      <c r="E6149" s="1" t="str">
        <f ca="1">IFERROR(__xludf.DUMMYFUNCTION("GOOGLETRANSLATE(A2948 , ""tr"" , ""en"")"),"@drfahrettinkoca Südge Cancel My Minister Our Head Firewater My Drivers' licenses Vermiyolar 2019 Duration ... https://t.co/gmqunfrubp")</f>
        <v>@drfahrettinkoca Südge Cancel My Minister Our Head Firewater My Drivers' licenses Vermiyolar 2019 Duration ... https://t.co/gmqunfrubp</v>
      </c>
    </row>
    <row r="6150" spans="1:5" ht="15" customHeight="1" x14ac:dyDescent="0.2">
      <c r="A6150" s="1" t="s">
        <v>12256</v>
      </c>
      <c r="B6150" s="1">
        <v>0</v>
      </c>
      <c r="C6150" s="3">
        <v>44540.710902777777</v>
      </c>
      <c r="D6150" s="1" t="s">
        <v>12257</v>
      </c>
      <c r="E6150" s="1" t="str">
        <f ca="1">IFERROR(__xludf.DUMMYFUNCTION("GOOGLETRANSLATE(A2949 , ""tr"" , ""en"")"),"@drfahrettinkoca Südge Cancel My Minister To our head Firewater My Driving license Vermiyar 2019 Duration Duration ... https://t.co/spozbyyog4")</f>
        <v>@drfahrettinkoca Südge Cancel My Minister To our head Firewater My Driving license Vermiyar 2019 Duration Duration ... https://t.co/spozbyyog4</v>
      </c>
    </row>
    <row r="6151" spans="1:5" ht="15" customHeight="1" x14ac:dyDescent="0.2">
      <c r="A6151" s="1" t="s">
        <v>12258</v>
      </c>
      <c r="B6151" s="1">
        <v>0</v>
      </c>
      <c r="C6151" s="3">
        <v>44540.710833333331</v>
      </c>
      <c r="D6151" s="1" t="s">
        <v>12259</v>
      </c>
      <c r="E6151" s="1" t="str">
        <f ca="1">IFERROR(__xludf.DUMMYFUNCTION("GOOGLETRANSLATE(A2950 , ""tr"" , ""en"")"),"@drfahrettinkoca Südge Cancel My Ministry To our head Firewatered 2yrs My driver's license Vermiyar 2019 Duration Duration ... https://t.co/72odtjmvqm")</f>
        <v>@drfahrettinkoca Südge Cancel My Ministry To our head Firewatered 2yrs My driver's license Vermiyar 2019 Duration Duration ... https://t.co/72odtjmvqm</v>
      </c>
    </row>
    <row r="6152" spans="1:5" ht="15" customHeight="1" x14ac:dyDescent="0.2">
      <c r="A6152" s="1" t="s">
        <v>12260</v>
      </c>
      <c r="B6152" s="1">
        <v>57</v>
      </c>
      <c r="C6152" s="3">
        <v>44540.710833333331</v>
      </c>
      <c r="D6152" s="1" t="s">
        <v>12261</v>
      </c>
      <c r="E6152" s="1" t="str">
        <f ca="1">IFERROR(__xludf.DUMMYFUNCTION("GOOGLETRANSLATE(A2951 , ""tr"" , ""en"")"),"@drfahrettinka you say that the cases are decreased but hospitals are full of, to whom we are around us in the patient who test ... https://t.co/qcuu5gyxtm")</f>
        <v>@drfahrettinka you say that the cases are decreased but hospitals are full of, to whom we are around us in the patient who test ... https://t.co/qcuu5gyxtm</v>
      </c>
    </row>
    <row r="6153" spans="1:5" ht="15" customHeight="1" x14ac:dyDescent="0.2">
      <c r="A6153" s="1" t="s">
        <v>12262</v>
      </c>
      <c r="B6153" s="1">
        <v>0</v>
      </c>
      <c r="C6153" s="3">
        <v>44540.710763888892</v>
      </c>
      <c r="D6153" s="1" t="s">
        <v>12263</v>
      </c>
      <c r="E6153" s="1" t="str">
        <f ca="1">IFERROR(__xludf.DUMMYFUNCTION("GOOGLETRANSLATE(A2952 , ""tr"" , ""en"")"),"@drfahrettinkoca Südge Cancel My Minister Our Head Firewater My Drivers' licensing Vermiyar 2019 Duration Duration ... https://t.co/5cd38ytj9t")</f>
        <v>@drfahrettinkoca Südge Cancel My Minister Our Head Firewater My Drivers' licensing Vermiyar 2019 Duration Duration ... https://t.co/5cd38ytj9t</v>
      </c>
    </row>
    <row r="6154" spans="1:5" ht="15" customHeight="1" x14ac:dyDescent="0.2">
      <c r="A6154" s="1" t="s">
        <v>12264</v>
      </c>
      <c r="B6154" s="1">
        <v>19</v>
      </c>
      <c r="C6154" s="3">
        <v>44540.710659722223</v>
      </c>
      <c r="D6154" s="1" t="s">
        <v>12265</v>
      </c>
      <c r="E6154" s="1" t="str">
        <f ca="1">IFERROR(__xludf.DUMMYFUNCTION("GOOGLETRANSLATE(A2953 , ""tr"" , ""en"")"),"@drfahrettinkoca Dear Minister Numbers Did you get from TIAT 'I'm just asking ...")</f>
        <v>@drfahrettinkoca Dear Minister Numbers Did you get from TIAT 'I'm just asking ...</v>
      </c>
    </row>
    <row r="6155" spans="1:5" ht="15" customHeight="1" x14ac:dyDescent="0.2">
      <c r="A6155" s="1" t="s">
        <v>12266</v>
      </c>
      <c r="B6155" s="1">
        <v>0</v>
      </c>
      <c r="C6155" s="3">
        <v>44540.710625</v>
      </c>
      <c r="D6155" s="1" t="s">
        <v>12267</v>
      </c>
      <c r="E6155" s="1" t="str">
        <f ca="1">IFERROR(__xludf.DUMMYFUNCTION("GOOGLETRANSLATE(A2954 , ""tr"" , ""en"")"),"@drfahrettinkoca If you still believe in these inconsistencies, they also see what you have. 😉")</f>
        <v>@drfahrettinkoca If you still believe in these inconsistencies, they also see what you have. 😉</v>
      </c>
    </row>
    <row r="6156" spans="1:5" ht="15" customHeight="1" x14ac:dyDescent="0.2">
      <c r="A6156" s="1" t="s">
        <v>12268</v>
      </c>
      <c r="B6156" s="1">
        <v>0</v>
      </c>
      <c r="C6156" s="3">
        <v>44540.710590277777</v>
      </c>
      <c r="D6156" s="1" t="s">
        <v>12269</v>
      </c>
      <c r="E6156" s="1" t="str">
        <f ca="1">IFERROR(__xludf.DUMMYFUNCTION("GOOGLETRANSLATE(A2955 , ""tr"" , ""en"")"),"@drfahrettinkoca Südge Cancel My Minister Our Head Firewater My Driver Vermiyos 2019 Duration Duration ... https://t.co/gqlc4kv3rx")</f>
        <v>@drfahrettinkoca Südge Cancel My Minister Our Head Firewater My Driver Vermiyos 2019 Duration Duration ... https://t.co/gqlc4kv3rx</v>
      </c>
    </row>
    <row r="6157" spans="1:5" ht="15" customHeight="1" x14ac:dyDescent="0.2">
      <c r="A6157" s="1" t="s">
        <v>12270</v>
      </c>
      <c r="B6157" s="1">
        <v>0</v>
      </c>
      <c r="C6157" s="3">
        <v>44540.710439814815</v>
      </c>
      <c r="D6157" s="1" t="s">
        <v>12271</v>
      </c>
      <c r="E6157" s="1" t="str">
        <f ca="1">IFERROR(__xludf.DUMMYFUNCTION("GOOGLETRANSLATE(A2956 , ""tr"" , ""en"")"),"@drfahrettinkoca gukdurmuyo Don't make the water shocked either: D")</f>
        <v>@drfahrettinkoca gukdurmuyo Don't make the water shocked either: D</v>
      </c>
    </row>
    <row r="6158" spans="1:5" ht="15" customHeight="1" x14ac:dyDescent="0.2">
      <c r="A6158" s="1" t="s">
        <v>12272</v>
      </c>
      <c r="B6158" s="1">
        <v>0</v>
      </c>
      <c r="C6158" s="3">
        <v>44540.710428240738</v>
      </c>
      <c r="D6158" s="1" t="s">
        <v>12273</v>
      </c>
      <c r="E6158" s="1" t="str">
        <f ca="1">IFERROR(__xludf.DUMMYFUNCTION("GOOGLETRANSLATE(A2957 , ""tr"" , ""en"")"),"@drfahrettinkoca Südge Cancel My Ministry To Our Head With My Head Firewater My Driver Vermiyar 2019 Duration Duration ... https://t.co/kxyp7zcsqg")</f>
        <v>@drfahrettinkoca Südge Cancel My Ministry To Our Head With My Head Firewater My Driver Vermiyar 2019 Duration Duration ... https://t.co/kxyp7zcsqg</v>
      </c>
    </row>
    <row r="6159" spans="1:5" ht="15" customHeight="1" x14ac:dyDescent="0.2">
      <c r="A6159" s="1" t="s">
        <v>12274</v>
      </c>
      <c r="B6159" s="1">
        <v>0</v>
      </c>
      <c r="C6159" s="3">
        <v>44540.710416666669</v>
      </c>
      <c r="D6159" s="1" t="s">
        <v>12275</v>
      </c>
      <c r="E6159" s="1" t="str">
        <f ca="1">IFERROR(__xludf.DUMMYFUNCTION("GOOGLETRANSLATE(A2958 , ""tr"" , ""en"")"),"@drfahrettinkoca allah give your trouble")</f>
        <v>@drfahrettinkoca allah give your trouble</v>
      </c>
    </row>
    <row r="6160" spans="1:5" ht="15" customHeight="1" x14ac:dyDescent="0.2">
      <c r="A6160" s="1" t="s">
        <v>12276</v>
      </c>
      <c r="B6160" s="1">
        <v>0</v>
      </c>
      <c r="C6160" s="3">
        <v>44540.710393518515</v>
      </c>
      <c r="D6160" s="1" t="s">
        <v>12277</v>
      </c>
      <c r="E6160" s="1" t="str">
        <f ca="1">IFERROR(__xludf.DUMMYFUNCTION("GOOGLETRANSLATE(A2959 , ""tr"" , ""en"")"),"@drfahrettinkoca Either Mr. Missing folks will be hungry if you don't go to work Half day You say Corona is the Coronad of this homeland ... https://t.co/kp4u7pz4xz")</f>
        <v>@drfahrettinkoca Either Mr. Missing folks will be hungry if you don't go to work Half day You say Corona is the Coronad of this homeland ... https://t.co/kp4u7pz4xz</v>
      </c>
    </row>
    <row r="6161" spans="1:5" ht="15" customHeight="1" x14ac:dyDescent="0.2">
      <c r="A6161" s="1" t="s">
        <v>12278</v>
      </c>
      <c r="B6161" s="1">
        <v>0</v>
      </c>
      <c r="C6161" s="3">
        <v>44540.710358796299</v>
      </c>
      <c r="D6161" s="1" t="s">
        <v>12279</v>
      </c>
      <c r="E6161" s="1" t="str">
        <f ca="1">IFERROR(__xludf.DUMMYFUNCTION("GOOGLETRANSLATE(A2960 , ""tr"" , ""en"")"),"@drfahrettinkoca Südge Cancel Cancel My Minister Our Head Firewater My Drivers' licenses Vermiyar 2019 for Duration ... https://t.co/2y70qybjwm")</f>
        <v>@drfahrettinkoca Südge Cancel Cancel My Minister Our Head Firewater My Drivers' licenses Vermiyar 2019 for Duration ... https://t.co/2y70qybjwm</v>
      </c>
    </row>
    <row r="6162" spans="1:5" ht="15" customHeight="1" x14ac:dyDescent="0.2">
      <c r="A6162" s="1" t="s">
        <v>12280</v>
      </c>
      <c r="B6162" s="1">
        <v>0</v>
      </c>
      <c r="C6162" s="3">
        <v>44540.710300925923</v>
      </c>
      <c r="D6162" s="1" t="s">
        <v>12281</v>
      </c>
      <c r="E6162" s="1" t="str">
        <f ca="1">IFERROR(__xludf.DUMMYFUNCTION("GOOGLETRANSLATE(A2961 , ""tr"" , ""en"")"),"@drfahrettinkoca Südge Cancel My Minister My Head Firewater My Driving license Vermiyar 2019 for Duration ... https://t.co/uqkulrlban")</f>
        <v>@drfahrettinkoca Südge Cancel My Minister My Head Firewater My Driving license Vermiyar 2019 for Duration ... https://t.co/uqkulrlban</v>
      </c>
    </row>
    <row r="6163" spans="1:5" ht="15" customHeight="1" x14ac:dyDescent="0.2">
      <c r="A6163" s="1" t="s">
        <v>12282</v>
      </c>
      <c r="B6163" s="1">
        <v>0</v>
      </c>
      <c r="C6163" s="3">
        <v>44540.710231481484</v>
      </c>
      <c r="D6163" s="1" t="s">
        <v>12283</v>
      </c>
      <c r="E6163" s="1" t="str">
        <f ca="1">IFERROR(__xludf.DUMMYFUNCTION("GOOGLETRANSLATE(A2962 , ""tr"" , ""en"")"),"@drfahrettinkoca Südge Cancel My Minister Our Head Firewater My Driver's Drivers' licenses 2019 Duration ... https://t.co/ollfn2WIWP")</f>
        <v>@drfahrettinkoca Südge Cancel My Minister Our Head Firewater My Driver's Drivers' licenses 2019 Duration ... https://t.co/ollfn2WIWP</v>
      </c>
    </row>
    <row r="6164" spans="1:5" ht="15" customHeight="1" x14ac:dyDescent="0.2">
      <c r="A6164" s="1" t="s">
        <v>12284</v>
      </c>
      <c r="B6164" s="1">
        <v>5</v>
      </c>
      <c r="C6164" s="3">
        <v>44540.710162037038</v>
      </c>
      <c r="D6164" s="1" t="s">
        <v>12285</v>
      </c>
      <c r="E6164" s="1" t="str">
        <f ca="1">IFERROR(__xludf.DUMMYFUNCTION("GOOGLETRANSLATE(A2963 , ""tr"" , ""en"")"),"@drfahrettinkoca right now 20 people around me This number does not believe me convincing. Or no one is testing the test")</f>
        <v>@drfahrettinkoca right now 20 people around me This number does not believe me convincing. Or no one is testing the test</v>
      </c>
    </row>
    <row r="6165" spans="1:5" ht="15" customHeight="1" x14ac:dyDescent="0.2">
      <c r="A6165" s="1" t="s">
        <v>12286</v>
      </c>
      <c r="B6165" s="1">
        <v>0</v>
      </c>
      <c r="C6165" s="3">
        <v>44540.710104166668</v>
      </c>
      <c r="D6165" s="1" t="s">
        <v>12287</v>
      </c>
      <c r="E6165" s="1" t="str">
        <f ca="1">IFERROR(__xludf.DUMMYFUNCTION("GOOGLETRANSLATE(A2964 , ""tr"" , ""en"")"),"@drfahrettinkoca minister if you have no happiness, please do not have age 35 in workers purchase")</f>
        <v>@drfahrettinkoca minister if you have no happiness, please do not have age 35 in workers purchase</v>
      </c>
    </row>
    <row r="6166" spans="1:5" ht="15" customHeight="1" x14ac:dyDescent="0.2">
      <c r="A6166" s="1" t="s">
        <v>12288</v>
      </c>
      <c r="B6166" s="1">
        <v>0</v>
      </c>
      <c r="C6166" s="3">
        <v>44540.70988425926</v>
      </c>
      <c r="D6166" s="1" t="s">
        <v>12289</v>
      </c>
      <c r="E6166" s="1" t="str">
        <f ca="1">IFERROR(__xludf.DUMMYFUNCTION("GOOGLETRANSLATE(A2965 , ""tr"" , ""en"")"),"@drfahrettinkoca brother Why do 18 thousand writtlicks drop 5 thousand 4 thousand folks")</f>
        <v>@drfahrettinkoca brother Why do 18 thousand writtlicks drop 5 thousand 4 thousand folks</v>
      </c>
    </row>
    <row r="6167" spans="1:5" ht="15" customHeight="1" x14ac:dyDescent="0.2">
      <c r="A6167" s="1" t="s">
        <v>12290</v>
      </c>
      <c r="B6167" s="1">
        <v>1</v>
      </c>
      <c r="C6167" s="3">
        <v>44540.709780092591</v>
      </c>
      <c r="D6167" s="1" t="s">
        <v>12291</v>
      </c>
      <c r="E6167" s="1" t="str">
        <f ca="1">IFERROR(__xludf.DUMMYFUNCTION("GOOGLETRANSLATE(A2966 , ""tr"" , ""en"")"),"@drfahrettinkoca #frzulmüsonbulsun @drfahrettinkoca @drfahrettinkoca This persecution is no longer 2 days per week in workplaces ... https://t.co/qdd1bnmasb")</f>
        <v>@drfahrettinkoca #frzulmüsonbulsun @drfahrettinkoca @drfahrettinkoca This persecution is no longer 2 days per week in workplaces ... https://t.co/qdd1bnmasb</v>
      </c>
    </row>
    <row r="6168" spans="1:5" ht="15" customHeight="1" x14ac:dyDescent="0.2">
      <c r="A6168" s="1" t="s">
        <v>12292</v>
      </c>
      <c r="B6168" s="1">
        <v>1</v>
      </c>
      <c r="C6168" s="3">
        <v>44540.709756944445</v>
      </c>
      <c r="D6168" s="1" t="s">
        <v>12293</v>
      </c>
      <c r="E6168" s="1" t="str">
        <f ca="1">IFERROR(__xludf.DUMMYFUNCTION("GOOGLETRANSLATE(A2967 , ""tr"" , ""en"")"),"@drfahrettinkoca Health Licensee Child Developments are not more than they want the rosters they deserve. 0-18 ya ... https://t.co/tulfmpppfj")</f>
        <v>@drfahrettinkoca Health Licensee Child Developments are not more than they want the rosters they deserve. 0-18 ya ... https://t.co/tulfmpppfj</v>
      </c>
    </row>
    <row r="6169" spans="1:5" ht="15" customHeight="1" x14ac:dyDescent="0.2">
      <c r="A6169" s="1" t="s">
        <v>10008</v>
      </c>
      <c r="B6169" s="1">
        <v>0</v>
      </c>
      <c r="C6169" s="3">
        <v>44540.709641203706</v>
      </c>
      <c r="D6169" s="1" t="s">
        <v>12294</v>
      </c>
      <c r="E6169" s="1" t="str">
        <f ca="1">IFERROR(__xludf.DUMMYFUNCTION("GOOGLETRANSLATE(A2968 , ""tr"" , ""en"")"),"@drfahrettinkoca guide look forward to")</f>
        <v>@drfahrettinkoca guide look forward to</v>
      </c>
    </row>
    <row r="6170" spans="1:5" ht="15" customHeight="1" x14ac:dyDescent="0.2">
      <c r="A6170" s="1" t="s">
        <v>12295</v>
      </c>
      <c r="B6170" s="1">
        <v>87</v>
      </c>
      <c r="C6170" s="3">
        <v>44540.709537037037</v>
      </c>
      <c r="D6170" s="1" t="s">
        <v>12296</v>
      </c>
      <c r="E6170" s="1" t="str">
        <f ca="1">IFERROR(__xludf.DUMMYFUNCTION("GOOGLETRANSLATE(A2969 , ""tr"" , ""en"")"),"@drfahrettinkoca This case numbers are really reflected in HiC to the app hich to the app hich to the application is really funny from day to day. ... https://t.co/l0qx9s2355")</f>
        <v>@drfahrettinkoca This case numbers are really reflected in HiC to the app hich to the app hich to the application is really funny from day to day. ... https://t.co/l0qx9s2355</v>
      </c>
    </row>
    <row r="6171" spans="1:5" ht="15" customHeight="1" x14ac:dyDescent="0.2">
      <c r="A6171" s="1" t="s">
        <v>12297</v>
      </c>
      <c r="B6171" s="1">
        <v>0</v>
      </c>
      <c r="C6171" s="3">
        <v>44540.709398148145</v>
      </c>
      <c r="D6171" s="1" t="s">
        <v>12298</v>
      </c>
      <c r="E6171" s="1" t="str">
        <f ca="1">IFERROR(__xludf.DUMMYFUNCTION("GOOGLETRANSLATE(A2970 , ""tr"" , ""en"")"),"@drfahrettinkoca If the flu shot applied in our country is not made 2 times in our country, what the idtion is full of unknown vaccine I ... https://t.co/z1k75g8nwp")</f>
        <v>@drfahrettinkoca If the flu shot applied in our country is not made 2 times in our country, what the idtion is full of unknown vaccine I ... https://t.co/z1k75g8nwp</v>
      </c>
    </row>
    <row r="6172" spans="1:5" ht="15" customHeight="1" x14ac:dyDescent="0.2">
      <c r="A6172" s="1" t="s">
        <v>12299</v>
      </c>
      <c r="B6172" s="1">
        <v>12</v>
      </c>
      <c r="C6172" s="3">
        <v>44540.709224537037</v>
      </c>
      <c r="D6172" s="1" t="s">
        <v>12300</v>
      </c>
      <c r="E6172" s="1" t="str">
        <f ca="1">IFERROR(__xludf.DUMMYFUNCTION("GOOGLETRANSLATE(A2971 , ""tr"" , ""en"")"),"@drfahrettinkoca last year the comments was lynching when someone opposes the vaccine. You don't know about the doctorm ... https://t.co/6y7tc9rkwh")</f>
        <v>@drfahrettinkoca last year the comments was lynching when someone opposes the vaccine. You don't know about the doctorm ... https://t.co/6y7tc9rkwh</v>
      </c>
    </row>
    <row r="6173" spans="1:5" ht="15" customHeight="1" x14ac:dyDescent="0.2">
      <c r="A6173" s="1" t="s">
        <v>12301</v>
      </c>
      <c r="B6173" s="1">
        <v>0</v>
      </c>
      <c r="C6173" s="3">
        <v>44540.709178240744</v>
      </c>
      <c r="D6173" s="1" t="s">
        <v>12302</v>
      </c>
      <c r="E6173" s="1" t="str">
        <f ca="1">IFERROR(__xludf.DUMMYFUNCTION("GOOGLETRANSLATE(A2972 , ""tr"" , ""en"")"),"@drfahrettinkoca Mr. Minister As you say, we are trying to complete my daughter's vaccine but in 2010, you died in 2010 ... https://t.co/hkeulqFI7N")</f>
        <v>@drfahrettinkoca Mr. Minister As you say, we are trying to complete my daughter's vaccine but in 2010, you died in 2010 ... https://t.co/hkeulqFI7N</v>
      </c>
    </row>
    <row r="6174" spans="1:5" ht="15" customHeight="1" x14ac:dyDescent="0.2">
      <c r="A6174" s="1" t="s">
        <v>12303</v>
      </c>
      <c r="B6174" s="1">
        <v>35</v>
      </c>
      <c r="C6174" s="3">
        <v>44540.709166666667</v>
      </c>
      <c r="D6174" s="1" t="s">
        <v>12304</v>
      </c>
      <c r="E6174" s="1" t="str">
        <f ca="1">IFERROR(__xludf.DUMMYFUNCTION("GOOGLETRANSLATE(A2973 , ""tr"" , ""en"")"),"@drfahrettinkoca vaccine maintaining Mincember Bey Yengem 3 dose grafted are in intubated")</f>
        <v>@drfahrettinkoca vaccine maintaining Mincember Bey Yengem 3 dose grafted are in intubated</v>
      </c>
    </row>
    <row r="6175" spans="1:5" ht="15" customHeight="1" x14ac:dyDescent="0.2">
      <c r="A6175" s="1" t="s">
        <v>12305</v>
      </c>
      <c r="B6175" s="1">
        <v>0</v>
      </c>
      <c r="C6175" s="3">
        <v>44540.709050925929</v>
      </c>
      <c r="D6175" s="1" t="s">
        <v>12306</v>
      </c>
      <c r="E6175" s="1" t="str">
        <f ca="1">IFERROR(__xludf.DUMMYFUNCTION("GOOGLETRANSLATE(A2974 , ""tr"" , ""en"")"),"@drfahrettinkoca Guide!")</f>
        <v>@drfahrettinkoca Guide!</v>
      </c>
    </row>
    <row r="6176" spans="1:5" ht="15" customHeight="1" x14ac:dyDescent="0.2">
      <c r="A6176" s="1" t="s">
        <v>12307</v>
      </c>
      <c r="B6176" s="1">
        <v>82</v>
      </c>
      <c r="C6176" s="3">
        <v>44540.708958333336</v>
      </c>
      <c r="D6176" s="1" t="s">
        <v>12308</v>
      </c>
      <c r="E6176" s="1" t="str">
        <f ca="1">IFERROR(__xludf.DUMMYFUNCTION("GOOGLETRANSLATE(A2975 , ""tr"" , ""en"")"),"@drfahrettinkoca This is how I'm in love with Doctors where I'm in love with Doctors in the love of Allah is in the hospital ... https://t.co/atefx6niby")</f>
        <v>@drfahrettinkoca This is how I'm in love with Doctors where I'm in love with Doctors in the love of Allah is in the hospital ... https://t.co/atefx6niby</v>
      </c>
    </row>
    <row r="6177" spans="1:5" ht="15" customHeight="1" x14ac:dyDescent="0.2">
      <c r="A6177" s="1" t="s">
        <v>12309</v>
      </c>
      <c r="B6177" s="1">
        <v>12</v>
      </c>
      <c r="C6177" s="3">
        <v>44540.708935185183</v>
      </c>
      <c r="D6177" s="1" t="s">
        <v>12310</v>
      </c>
      <c r="E6177" s="1" t="str">
        <f ca="1">IFERROR(__xludf.DUMMYFUNCTION("GOOGLETRANSLATE(A2976 , ""tr"" , ""en"")"),"@drfahrettinkoca don't go for it, despite your effort, you are no longer in fear campaigns ... ... https://t.co/yjgep0e6pz")</f>
        <v>@drfahrettinkoca don't go for it, despite your effort, you are no longer in fear campaigns ... ... https://t.co/yjgep0e6pz</v>
      </c>
    </row>
    <row r="6178" spans="1:5" ht="15" customHeight="1" x14ac:dyDescent="0.2">
      <c r="A6178" s="1" t="s">
        <v>12311</v>
      </c>
      <c r="B6178" s="1">
        <v>1</v>
      </c>
      <c r="C6178" s="3">
        <v>44540.708796296298</v>
      </c>
      <c r="D6178" s="1" t="s">
        <v>12312</v>
      </c>
      <c r="E6178" s="1" t="str">
        <f ca="1">IFERROR(__xludf.DUMMYFUNCTION("GOOGLETRANSLATE(A2977 , ""tr"" , ""en"")"),"@drfahrettinkoca hello guide")</f>
        <v>@drfahrettinkoca hello guide</v>
      </c>
    </row>
    <row r="6179" spans="1:5" ht="15" customHeight="1" x14ac:dyDescent="0.2">
      <c r="A6179" s="1" t="s">
        <v>12313</v>
      </c>
      <c r="B6179" s="1">
        <v>7</v>
      </c>
      <c r="C6179" s="3">
        <v>44540.708703703705</v>
      </c>
      <c r="D6179" s="1" t="s">
        <v>12314</v>
      </c>
      <c r="E6179" s="1" t="str">
        <f ca="1">IFERROR(__xludf.DUMMYFUNCTION("GOOGLETRANSLATE(A2978 , ""tr"" , ""en"")"),"@drfahrettinkoca Every night Gun Hopes Hope Assignment Assignment @drfahrettinkoca")</f>
        <v>@drfahrettinkoca Every night Gun Hopes Hope Assignment Assignment @drfahrettinkoca</v>
      </c>
    </row>
    <row r="6180" spans="1:5" ht="15" customHeight="1" x14ac:dyDescent="0.2">
      <c r="A6180" s="1" t="s">
        <v>12315</v>
      </c>
      <c r="B6180" s="1">
        <v>2</v>
      </c>
      <c r="C6180" s="3">
        <v>44540.708692129629</v>
      </c>
      <c r="D6180" s="1" t="s">
        <v>12316</v>
      </c>
      <c r="E6180" s="1" t="str">
        <f ca="1">IFERROR(__xludf.DUMMYFUNCTION("GOOGLETRANSLATE(A2979 , ""tr"" , ""en"")"),"@drfahrettinka 13 months are waiting for the assignment. You have finished our youth. # Saglikatı")</f>
        <v>@drfahrettinka 13 months are waiting for the assignment. You have finished our youth. # Saglikatı</v>
      </c>
    </row>
    <row r="6181" spans="1:5" ht="15" customHeight="1" x14ac:dyDescent="0.2">
      <c r="A6181" s="1" t="s">
        <v>12317</v>
      </c>
      <c r="B6181" s="1">
        <v>0</v>
      </c>
      <c r="C6181" s="3">
        <v>44540.708611111113</v>
      </c>
      <c r="D6181" s="1" t="s">
        <v>12318</v>
      </c>
      <c r="E6181" s="1" t="str">
        <f ca="1">IFERROR(__xludf.DUMMYFUNCTION("GOOGLETRANSLATE(A2980 , ""tr"" , ""en"")"),"@drfahrettinkoca I don't say anything anymore")</f>
        <v>@drfahrettinkoca I don't say anything anymore</v>
      </c>
    </row>
    <row r="6182" spans="1:5" ht="15" customHeight="1" x14ac:dyDescent="0.2">
      <c r="A6182" s="1" t="s">
        <v>12319</v>
      </c>
      <c r="B6182" s="1">
        <v>0</v>
      </c>
      <c r="C6182" s="3">
        <v>44540.708599537036</v>
      </c>
      <c r="D6182" s="1" t="s">
        <v>12320</v>
      </c>
      <c r="E6182" s="1" t="str">
        <f ca="1">IFERROR(__xludf.DUMMYFUNCTION("GOOGLETRANSLATE(A2981 , ""tr"" , ""en"")"),"@drfahrettinkoca Mr. Mr. Mr. Classified Nation When the economy is the economy, see how your household will go to the market ... Https://t.co/zbyvzjg8gb")</f>
        <v>@drfahrettinkoca Mr. Mr. Mr. Classified Nation When the economy is the economy, see how your household will go to the market ... Https://t.co/zbyvzjg8gb</v>
      </c>
    </row>
    <row r="6183" spans="1:5" ht="15" customHeight="1" x14ac:dyDescent="0.2">
      <c r="A6183" s="1" t="s">
        <v>12321</v>
      </c>
      <c r="B6183" s="1">
        <v>0</v>
      </c>
      <c r="C6183" s="3">
        <v>44540.708356481482</v>
      </c>
      <c r="D6183" s="1" t="s">
        <v>12322</v>
      </c>
      <c r="E6183" s="1" t="str">
        <f ca="1">IFERROR(__xludf.DUMMYFUNCTION("GOOGLETRANSLATE(A2982 , ""tr"" , ""en"")"),"@drfahrettinkoca 3. Dose biontes Please open immediately Mr. Minister .. 6 months without waiting")</f>
        <v>@drfahrettinkoca 3. Dose biontes Please open immediately Mr. Minister .. 6 months without waiting</v>
      </c>
    </row>
    <row r="6184" spans="1:5" ht="15" customHeight="1" x14ac:dyDescent="0.2">
      <c r="A6184" s="1" t="s">
        <v>12323</v>
      </c>
      <c r="B6184" s="1">
        <v>0</v>
      </c>
      <c r="C6184" s="3">
        <v>44540.708344907405</v>
      </c>
      <c r="D6184" s="1" t="s">
        <v>12324</v>
      </c>
      <c r="E6184" s="1" t="str">
        <f ca="1">IFERROR(__xludf.DUMMYFUNCTION("GOOGLETRANSLATE(A2983 , ""tr"" , ""en"")"),"@drfahrettinkoca fell from our collar (no urban) victims fell to those who missed the vaccines")</f>
        <v>@drfahrettinkoca fell from our collar (no urban) victims fell to those who missed the vaccines</v>
      </c>
    </row>
    <row r="6185" spans="1:5" ht="15" customHeight="1" x14ac:dyDescent="0.2">
      <c r="A6185" s="1" t="s">
        <v>12325</v>
      </c>
      <c r="B6185" s="1">
        <v>0</v>
      </c>
      <c r="C6185" s="3">
        <v>44540.708171296297</v>
      </c>
      <c r="D6185" s="1" t="s">
        <v>12326</v>
      </c>
      <c r="E6185" s="1" t="str">
        <f ca="1">IFERROR(__xludf.DUMMYFUNCTION("GOOGLETRANSLATE(A2984 , ""tr"" , ""en"")"),"@drfahrettinkoca are you going to explain for the guide now? @GozdeKiriscioGL @rterdogan")</f>
        <v>@drfahrettinkoca are you going to explain for the guide now? @GozdeKiriscioGL @rterdogan</v>
      </c>
    </row>
    <row r="6186" spans="1:5" ht="15" customHeight="1" x14ac:dyDescent="0.2">
      <c r="A6186" s="1" t="s">
        <v>12327</v>
      </c>
      <c r="B6186" s="1">
        <v>9</v>
      </c>
      <c r="C6186" s="3">
        <v>44540.708136574074</v>
      </c>
      <c r="D6186" s="1" t="s">
        <v>12328</v>
      </c>
      <c r="E6186" s="1" t="str">
        <f ca="1">IFERROR(__xludf.DUMMYFUNCTION("GOOGLETRANSLATE(A2985 , ""tr"" , ""en"")"),"@drfahrettinkoca hear us guy where hani bozler")</f>
        <v>@drfahrettinkoca hear us guy where hani bozler</v>
      </c>
    </row>
    <row r="6187" spans="1:5" ht="15" customHeight="1" x14ac:dyDescent="0.2">
      <c r="A6187" s="1" t="s">
        <v>12329</v>
      </c>
      <c r="B6187" s="1">
        <v>1</v>
      </c>
      <c r="C6187" s="3">
        <v>44540.708113425928</v>
      </c>
      <c r="D6187" s="1" t="s">
        <v>12330</v>
      </c>
      <c r="E6187" s="1" t="str">
        <f ca="1">IFERROR(__xludf.DUMMYFUNCTION("GOOGLETRANSLATE(A2986 , ""tr"" , ""en"")"),"@drfahrettinkoca falls in Europe while the cases are increased. Europe what do you do us jealous of us")</f>
        <v>@drfahrettinkoca falls in Europe while the cases are increased. Europe what do you do us jealous of us</v>
      </c>
    </row>
    <row r="6188" spans="1:5" ht="15" customHeight="1" x14ac:dyDescent="0.2">
      <c r="A6188" s="1" t="s">
        <v>12331</v>
      </c>
      <c r="B6188" s="1">
        <v>7</v>
      </c>
      <c r="C6188" s="3">
        <v>44540.708043981482</v>
      </c>
      <c r="D6188" s="1" t="s">
        <v>12332</v>
      </c>
      <c r="E6188" s="1" t="str">
        <f ca="1">IFERROR(__xludf.DUMMYFUNCTION("GOOGLETRANSLATE(A2987 , ""tr"" , ""en"")"),"@drfahrettinkoca is not used by this Twitter Health Minister. The person who reads the comments also says the assignment again Diy ... https://t.co/exkwj6ppnb")</f>
        <v>@drfahrettinkoca is not used by this Twitter Health Minister. The person who reads the comments also says the assignment again Diy ... https://t.co/exkwj6ppnb</v>
      </c>
    </row>
    <row r="6189" spans="1:5" ht="15" customHeight="1" x14ac:dyDescent="0.2">
      <c r="A6189" s="1" t="s">
        <v>12333</v>
      </c>
      <c r="B6189" s="1">
        <v>0</v>
      </c>
      <c r="C6189" s="3">
        <v>44540.708009259259</v>
      </c>
      <c r="D6189" s="1" t="s">
        <v>12334</v>
      </c>
      <c r="E6189" s="1" t="str">
        <f ca="1">IFERROR(__xludf.DUMMYFUNCTION("GOOGLETRANSLATE(A2988 , ""tr"" , ""en"")"),"@drfahrettinkoca Minister of Kilavuzzz")</f>
        <v>@drfahrettinkoca Minister of Kilavuzzz</v>
      </c>
    </row>
    <row r="6190" spans="1:5" ht="15" customHeight="1" x14ac:dyDescent="0.2">
      <c r="A6190" s="1" t="s">
        <v>12335</v>
      </c>
      <c r="B6190" s="1">
        <v>0</v>
      </c>
      <c r="C6190" s="3">
        <v>44540.707997685182</v>
      </c>
      <c r="D6190" s="1" t="s">
        <v>12336</v>
      </c>
      <c r="E6190" s="1" t="str">
        <f ca="1">IFERROR(__xludf.DUMMYFUNCTION("GOOGLETRANSLATE(A2989 , ""tr"" , ""en"")"),"@drfahrettinka you will kill the narrative nation")</f>
        <v>@drfahrettinka you will kill the narrative nation</v>
      </c>
    </row>
    <row r="6191" spans="1:5" ht="15" customHeight="1" x14ac:dyDescent="0.2">
      <c r="A6191" s="1" t="s">
        <v>12337</v>
      </c>
      <c r="B6191" s="1">
        <v>3</v>
      </c>
      <c r="C6191" s="3">
        <v>44540.707916666666</v>
      </c>
      <c r="D6191" s="1" t="s">
        <v>12338</v>
      </c>
      <c r="E6191" s="1" t="str">
        <f ca="1">IFERROR(__xludf.DUMMYFUNCTION("GOOGLETRANSLATE(A2990 , ""tr"" , ""en"")"),"@drfahrettinkoca where is kilavuzzz")</f>
        <v>@drfahrettinkoca where is kilavuzzz</v>
      </c>
    </row>
    <row r="6192" spans="1:5" ht="15" customHeight="1" x14ac:dyDescent="0.2">
      <c r="A6192" s="1" t="s">
        <v>12339</v>
      </c>
      <c r="B6192" s="1">
        <v>0</v>
      </c>
      <c r="C6192" s="3">
        <v>44540.707824074074</v>
      </c>
      <c r="D6192" s="1" t="s">
        <v>12340</v>
      </c>
      <c r="E6192" s="1" t="str">
        <f ca="1">IFERROR(__xludf.DUMMYFUNCTION("GOOGLETRANSLATE(A2991 , ""tr"" , ""en"")"),"@drfahrettinkoca kilavuzzzzz")</f>
        <v>@drfahrettinkoca kilavuzzzzz</v>
      </c>
    </row>
    <row r="6193" spans="1:5" ht="15" customHeight="1" x14ac:dyDescent="0.2">
      <c r="A6193" s="1" t="s">
        <v>12341</v>
      </c>
      <c r="B6193" s="1">
        <v>1</v>
      </c>
      <c r="C6193" s="3">
        <v>44540.707812499997</v>
      </c>
      <c r="D6193" s="1" t="s">
        <v>12342</v>
      </c>
      <c r="E6193" s="1" t="str">
        <f ca="1">IFERROR(__xludf.DUMMYFUNCTION("GOOGLETRANSLATE(A2992 , ""tr"" , ""en"")"),"@drfahrettinkoca Mr. The question of an ignorant citizen overlooking: a germ arrived in the world. And have no microbu e ... https://t.co/ncrysly5rs")</f>
        <v>@drfahrettinkoca Mr. The question of an ignorant citizen overlooking: a germ arrived in the world. And have no microbu e ... https://t.co/ncrysly5rs</v>
      </c>
    </row>
    <row r="6194" spans="1:5" ht="15" customHeight="1" x14ac:dyDescent="0.2">
      <c r="A6194" s="1" t="s">
        <v>12343</v>
      </c>
      <c r="B6194" s="1">
        <v>0</v>
      </c>
      <c r="C6194" s="3">
        <v>44540.707789351851</v>
      </c>
      <c r="D6194" s="1" t="s">
        <v>12344</v>
      </c>
      <c r="E6194" s="1" t="str">
        <f ca="1">IFERROR(__xludf.DUMMYFUNCTION("GOOGLETRANSLATE(A2993 , ""tr"" , ""en"")"),"@drfahrettinkoca Örimlars Close Your Twites Minister")</f>
        <v>@drfahrettinkoca Örimlars Close Your Twites Minister</v>
      </c>
    </row>
    <row r="6195" spans="1:5" ht="15" customHeight="1" x14ac:dyDescent="0.2">
      <c r="A6195" s="1" t="s">
        <v>12345</v>
      </c>
      <c r="B6195" s="1">
        <v>2</v>
      </c>
      <c r="C6195" s="3">
        <v>44540.707731481481</v>
      </c>
      <c r="D6195" s="1" t="s">
        <v>12346</v>
      </c>
      <c r="E6195" s="1" t="str">
        <f ca="1">IFERROR(__xludf.DUMMYFUNCTION("GOOGLETRANSLATE(A2994 , ""tr"" , ""en"")"),"@drfahrettinkoca yahu for allah love; Health Minister Bey to you, say I'm saying.")</f>
        <v>@drfahrettinkoca yahu for allah love; Health Minister Bey to you, say I'm saying.</v>
      </c>
    </row>
    <row r="6196" spans="1:5" ht="15" customHeight="1" x14ac:dyDescent="0.2">
      <c r="A6196" s="1" t="s">
        <v>12347</v>
      </c>
      <c r="B6196" s="1">
        <v>0</v>
      </c>
      <c r="C6196" s="3">
        <v>44540.707719907405</v>
      </c>
      <c r="D6196" s="1" t="s">
        <v>12348</v>
      </c>
      <c r="E6196" s="1" t="str">
        <f ca="1">IFERROR(__xludf.DUMMYFUNCTION("GOOGLETRANSLATE(A2995 , ""tr"" , ""en"")"),"@drfahrettinkoca how many dose dose of vaccine will be considered to be counted in the minister of vaccines ministerial BI")</f>
        <v>@drfahrettinkoca how many dose dose of vaccine will be considered to be counted in the minister of vaccines ministerial BI</v>
      </c>
    </row>
    <row r="6197" spans="1:5" ht="15" customHeight="1" x14ac:dyDescent="0.2">
      <c r="A6197" s="1" t="s">
        <v>12349</v>
      </c>
      <c r="B6197" s="1">
        <v>38</v>
      </c>
      <c r="C6197" s="3">
        <v>44540.707615740743</v>
      </c>
      <c r="D6197" s="1" t="s">
        <v>12350</v>
      </c>
      <c r="E6197" s="1" t="str">
        <f ca="1">IFERROR(__xludf.DUMMYFUNCTION("GOOGLETRANSLATE(A2996 , ""tr"" , ""en"")"),"@drfahrettinkoca quit and go to and go to the supreme Turkish nation")</f>
        <v>@drfahrettinkoca quit and go to and go to the supreme Turkish nation</v>
      </c>
    </row>
    <row r="6198" spans="1:5" ht="15" customHeight="1" x14ac:dyDescent="0.2">
      <c r="A6198" s="1" t="s">
        <v>12351</v>
      </c>
      <c r="B6198" s="1">
        <v>0</v>
      </c>
      <c r="C6198" s="3">
        <v>44540.70753472222</v>
      </c>
      <c r="D6198" s="1" t="s">
        <v>12352</v>
      </c>
      <c r="E6198" s="1" t="str">
        <f ca="1">IFERROR(__xludf.DUMMYFUNCTION("GOOGLETRANSLATE(A2997 , ""tr"" , ""en"")"),"@drfahrettinka is enough anymore guide where ya")</f>
        <v>@drfahrettinka is enough anymore guide where ya</v>
      </c>
    </row>
    <row r="6199" spans="1:5" ht="15" customHeight="1" x14ac:dyDescent="0.2">
      <c r="A6199" s="1" t="s">
        <v>12353</v>
      </c>
      <c r="B6199" s="1">
        <v>1</v>
      </c>
      <c r="C6199" s="3">
        <v>44540.707465277781</v>
      </c>
      <c r="D6199" s="1" t="s">
        <v>12354</v>
      </c>
      <c r="E6199" s="1" t="str">
        <f ca="1">IFERROR(__xludf.DUMMYFUNCTION("GOOGLETRANSLATE(A2998 , ""tr"" , ""en"")"),"@drfahrettinkoca is thrown every day, the map of thousands of Covid is thrown in this manual is so hard. What you want ... https://t.co/xmftek8fgd")</f>
        <v>@drfahrettinkoca is thrown every day, the map of thousands of Covid is thrown in this manual is so hard. What you want ... https://t.co/xmftek8fgd</v>
      </c>
    </row>
    <row r="6200" spans="1:5" ht="15" customHeight="1" x14ac:dyDescent="0.2">
      <c r="A6200" s="1" t="s">
        <v>12355</v>
      </c>
      <c r="B6200" s="1">
        <v>21</v>
      </c>
      <c r="C6200" s="3">
        <v>44540.707395833335</v>
      </c>
      <c r="D6200" s="1" t="s">
        <v>12356</v>
      </c>
      <c r="E6200" s="1" t="str">
        <f ca="1">IFERROR(__xludf.DUMMYFUNCTION("GOOGLETRANSLATE(A2999 , ""tr"" , ""en"")"),"@drfahrettinkoca Come to Istiklal street on Sunday, watch what people say. Let's meet up on the big awakening walk. Or ist ... https://t.co/k7iyu2wklc")</f>
        <v>@drfahrettinkoca Come to Istiklal street on Sunday, watch what people say. Let's meet up on the big awakening walk. Or ist ... https://t.co/k7iyu2wklc</v>
      </c>
    </row>
    <row r="6201" spans="1:5" ht="15" customHeight="1" x14ac:dyDescent="0.2">
      <c r="A6201" s="1" t="s">
        <v>12357</v>
      </c>
      <c r="B6201" s="1">
        <v>15</v>
      </c>
      <c r="C6201" s="3">
        <v>44540.707337962966</v>
      </c>
      <c r="D6201" s="1" t="s">
        <v>12358</v>
      </c>
      <c r="E6201" s="1" t="str">
        <f ca="1">IFERROR(__xludf.DUMMYFUNCTION("GOOGLETRANSLATE(A3000 , ""tr"" , ""en"")"),"@drfahrettinkoca you have contradicted yourself with what you have robbed. Say that this is plandemi ... https://t.co/ngjjlazndk")</f>
        <v>@drfahrettinkoca you have contradicted yourself with what you have robbed. Say that this is plandemi ... https://t.co/ngjjlazndk</v>
      </c>
    </row>
    <row r="6202" spans="1:5" ht="15" customHeight="1" x14ac:dyDescent="0.2">
      <c r="A6202" s="1" t="s">
        <v>12359</v>
      </c>
      <c r="B6202" s="1">
        <v>0</v>
      </c>
      <c r="C6202" s="3">
        <v>44540.707037037035</v>
      </c>
      <c r="D6202" s="1" t="s">
        <v>12360</v>
      </c>
      <c r="E6202" s="1" t="str">
        <f ca="1">IFERROR(__xludf.DUMMYFUNCTION("GOOGLETRANSLATE(A3001 , ""tr"" , ""en"")"),"@drfahrettinka Europe closes to why")</f>
        <v>@drfahrettinka Europe closes to why</v>
      </c>
    </row>
    <row r="6203" spans="1:5" ht="15" customHeight="1" x14ac:dyDescent="0.2">
      <c r="A6203" s="1" t="s">
        <v>12361</v>
      </c>
      <c r="B6203" s="1">
        <v>0</v>
      </c>
      <c r="C6203" s="3">
        <v>44540.706875000003</v>
      </c>
      <c r="D6203" s="1" t="s">
        <v>12362</v>
      </c>
      <c r="E6203" s="1" t="str">
        <f ca="1">IFERROR(__xludf.DUMMYFUNCTION("GOOGLETRANSLATE(A3002 , ""tr"" , ""en"")"),"@drfahrettinkoca Minister Do not publish the following table, no one believes.")</f>
        <v>@drfahrettinkoca Minister Do not publish the following table, no one believes.</v>
      </c>
    </row>
    <row r="6204" spans="1:5" ht="15" customHeight="1" x14ac:dyDescent="0.2">
      <c r="A6204" s="1" t="s">
        <v>12363</v>
      </c>
      <c r="B6204" s="1">
        <v>1</v>
      </c>
      <c r="C6204" s="3">
        <v>44540.706365740742</v>
      </c>
      <c r="D6204" s="1" t="s">
        <v>12364</v>
      </c>
      <c r="E6204" s="1" t="str">
        <f ca="1">IFERROR(__xludf.DUMMYFUNCTION("GOOGLETRANSLATE(A3003 , ""tr"" , ""en"")"),"@drfahrettinkoca number facing illegally gecirmis and iyilesmis who are close to those of those who are in a good SE ... HTTPS://T.CO/JISCYZBABZ")</f>
        <v>@drfahrettinkoca number facing illegally gecirmis and iyilesmis who are close to those of those who are in a good SE ... HTTPS://T.CO/JISCYZBABZ</v>
      </c>
    </row>
    <row r="6205" spans="1:5" ht="15" customHeight="1" x14ac:dyDescent="0.2">
      <c r="A6205" s="1" t="s">
        <v>12365</v>
      </c>
      <c r="B6205" s="1">
        <v>2</v>
      </c>
      <c r="C6205" s="3">
        <v>44540.706296296295</v>
      </c>
      <c r="D6205" s="1" t="s">
        <v>12366</v>
      </c>
      <c r="E6205" s="1" t="str">
        <f ca="1">IFERROR(__xludf.DUMMYFUNCTION("GOOGLETRANSLATE(A3004 , ""tr"" , ""en"")"),"@drfahrettinkoca @atillaozmumcu @serdararda @serdararda HoCam Virus Finished or Demi Lies")</f>
        <v>@drfahrettinkoca @atillaozmumcu @serdararda @serdararda HoCam Virus Finished or Demi Lies</v>
      </c>
    </row>
    <row r="6206" spans="1:5" ht="15" customHeight="1" x14ac:dyDescent="0.2">
      <c r="A6206" s="1" t="s">
        <v>12367</v>
      </c>
      <c r="B6206" s="1">
        <v>2</v>
      </c>
      <c r="C6206" s="3">
        <v>44540.706226851849</v>
      </c>
      <c r="D6206" s="1" t="s">
        <v>12368</v>
      </c>
      <c r="E6206" s="1" t="str">
        <f ca="1">IFERROR(__xludf.DUMMYFUNCTION("GOOGLETRANSLATE(A3005 , ""tr"" , ""en"")"),"@drfahrettinkoca What is the guideline you will give the formula of the Immortality Potion where the assignment is sufficiently the Minister of Mr.")</f>
        <v>@drfahrettinkoca What is the guideline you will give the formula of the Immortality Potion where the assignment is sufficiently the Minister of Mr.</v>
      </c>
    </row>
    <row r="6207" spans="1:5" ht="15" customHeight="1" x14ac:dyDescent="0.2">
      <c r="A6207" s="1" t="s">
        <v>12369</v>
      </c>
      <c r="B6207" s="1">
        <v>9</v>
      </c>
      <c r="C6207" s="3">
        <v>44540.706064814818</v>
      </c>
      <c r="D6207" s="1" t="s">
        <v>12370</v>
      </c>
      <c r="E6207" s="1" t="str">
        <f ca="1">IFERROR(__xludf.DUMMYFUNCTION("GOOGLETRANSLATE(A3006 , ""tr"" , ""en"")"),"@drfahrettinkoca assigning 800,000 people waiting for you all relatives, family, friendly and nasipse grandchildren even vaccine minister ... https://t.co/5qudbhr4ur")</f>
        <v>@drfahrettinkoca assigning 800,000 people waiting for you all relatives, family, friendly and nasipse grandchildren even vaccine minister ... https://t.co/5qudbhr4ur</v>
      </c>
    </row>
    <row r="6208" spans="1:5" ht="15" customHeight="1" x14ac:dyDescent="0.2">
      <c r="A6208" s="1" t="s">
        <v>12371</v>
      </c>
      <c r="B6208" s="1">
        <v>60</v>
      </c>
      <c r="C6208" s="3">
        <v>44540.705914351849</v>
      </c>
      <c r="D6208" s="1" t="s">
        <v>12372</v>
      </c>
      <c r="E6208" s="1" t="str">
        <f ca="1">IFERROR(__xludf.DUMMYFUNCTION("GOOGLETRANSLATE(A3007 , ""tr"" , ""en"")"),"@drfahrettinkoca I don't want the basic rights and freedoms to be hung on the end of a needle every 6 months ... https://t.co/oejrlwyqod")</f>
        <v>@drfahrettinkoca I don't want the basic rights and freedoms to be hung on the end of a needle every 6 months ... https://t.co/oejrlwyqod</v>
      </c>
    </row>
    <row r="6209" spans="1:5" ht="15" customHeight="1" x14ac:dyDescent="0.2">
      <c r="A6209" s="1" t="s">
        <v>12373</v>
      </c>
      <c r="B6209" s="1">
        <v>0</v>
      </c>
      <c r="C6209" s="3">
        <v>44540.705729166664</v>
      </c>
      <c r="D6209" s="1" t="s">
        <v>12374</v>
      </c>
      <c r="E6209" s="1" t="str">
        <f ca="1">IFERROR(__xludf.DUMMYFUNCTION("GOOGLETRANSLATE(A3008 , ""tr"" , ""en"")"),"@drfahrettinkoca Our appointment is going to be increasing by our concern")</f>
        <v>@drfahrettinkoca Our appointment is going to be increasing by our concern</v>
      </c>
    </row>
    <row r="6210" spans="1:5" ht="15" customHeight="1" x14ac:dyDescent="0.2">
      <c r="A6210" s="1" t="s">
        <v>12375</v>
      </c>
      <c r="B6210" s="1">
        <v>78</v>
      </c>
      <c r="C6210" s="3">
        <v>44540.705694444441</v>
      </c>
      <c r="D6210" s="1" t="s">
        <v>12376</v>
      </c>
      <c r="E6210" s="1" t="str">
        <f ca="1">IFERROR(__xludf.DUMMYFUNCTION("GOOGLETRANSLATE(A3009 , ""tr"" , ""en"")"),"@drfahrettinkoca ... they made up. #Fatiherbakan https://t.co/hnm3pwxaye")</f>
        <v>@drfahrettinkoca ... they made up. #Fatiherbakan https://t.co/hnm3pwxaye</v>
      </c>
    </row>
    <row r="6211" spans="1:5" ht="15" customHeight="1" x14ac:dyDescent="0.2">
      <c r="A6211" s="1" t="s">
        <v>12377</v>
      </c>
      <c r="B6211" s="1">
        <v>0</v>
      </c>
      <c r="C6211" s="3">
        <v>44540.705659722225</v>
      </c>
      <c r="D6211" s="1" t="s">
        <v>12378</v>
      </c>
      <c r="E6211" s="1" t="str">
        <f ca="1">IFERROR(__xludf.DUMMYFUNCTION("GOOGLETRANSLATE(A3010 , ""tr"" , ""en"")"),"@drfahrettinkoca 😀😀😀")</f>
        <v>@drfahrettinkoca 😀😀😀</v>
      </c>
    </row>
    <row r="6212" spans="1:5" ht="15" customHeight="1" x14ac:dyDescent="0.2">
      <c r="A6212" s="1" t="s">
        <v>12379</v>
      </c>
      <c r="B6212" s="1">
        <v>0</v>
      </c>
      <c r="C6212" s="3">
        <v>44540.705590277779</v>
      </c>
      <c r="D6212" s="1" t="s">
        <v>12380</v>
      </c>
      <c r="E6212" s="1" t="str">
        <f ca="1">IFERROR(__xludf.DUMMYFUNCTION("GOOGLETRANSLATE(A3011 , ""tr"" , ""en"")"),"@drfahrettinka new typo good readings https://t.co/ql4bzvdxmy #sondakco")</f>
        <v>@drfahrettinka new typo good readings https://t.co/ql4bzvdxmy #sondakco</v>
      </c>
    </row>
    <row r="6213" spans="1:5" ht="15" customHeight="1" x14ac:dyDescent="0.2">
      <c r="A6213" s="1" t="s">
        <v>12381</v>
      </c>
      <c r="B6213" s="1">
        <v>0</v>
      </c>
      <c r="C6213" s="3">
        <v>44540.70548611111</v>
      </c>
      <c r="D6213" s="1" t="s">
        <v>12382</v>
      </c>
      <c r="E6213" s="1" t="str">
        <f ca="1">IFERROR(__xludf.DUMMYFUNCTION("GOOGLETRANSLATE(A3012 , ""tr"" , ""en"")"),"@drfahrettinkoca 2 Sinovac +1 Biontech If the last dose has passed over the last dose, they do not receive the reminder dose after 6 months. ... https://t.co/sdwc0mv6eg")</f>
        <v>@drfahrettinkoca 2 Sinovac +1 Biontech If the last dose has passed over the last dose, they do not receive the reminder dose after 6 months. ... https://t.co/sdwc0mv6eg</v>
      </c>
    </row>
    <row r="6214" spans="1:5" ht="15" customHeight="1" x14ac:dyDescent="0.2">
      <c r="A6214" s="1" t="s">
        <v>12383</v>
      </c>
      <c r="B6214" s="1">
        <v>1</v>
      </c>
      <c r="C6214" s="3">
        <v>44540.705474537041</v>
      </c>
      <c r="D6214" s="1" t="s">
        <v>12384</v>
      </c>
      <c r="E6214" s="1" t="str">
        <f ca="1">IFERROR(__xludf.DUMMYFUNCTION("GOOGLETRANSLATE(A3013 , ""tr"" , ""en"")"),"@drfahrettinkoca Europe, Japan etc. High vaccine rates are re-closing and damp due to case increases ... https://t.co/8iz2ymljce")</f>
        <v>@drfahrettinkoca Europe, Japan etc. High vaccine rates are re-closing and damp due to case increases ... https://t.co/8iz2ymljce</v>
      </c>
    </row>
    <row r="6215" spans="1:5" ht="15" customHeight="1" x14ac:dyDescent="0.2">
      <c r="A6215" s="1" t="s">
        <v>12385</v>
      </c>
      <c r="B6215" s="1">
        <v>0</v>
      </c>
      <c r="C6215" s="3">
        <v>44540.705428240741</v>
      </c>
      <c r="D6215" s="1" t="s">
        <v>12386</v>
      </c>
      <c r="E6215" s="1" t="str">
        <f ca="1">IFERROR(__xludf.DUMMYFUNCTION("GOOGLETRANSLATE(A3014 , ""tr"" , ""en"")"),"@drfahrettinkoca Mr. Overlooking Now Is it our appointment")</f>
        <v>@drfahrettinkoca Mr. Overlooking Now Is it our appointment</v>
      </c>
    </row>
    <row r="6216" spans="1:5" ht="15" customHeight="1" x14ac:dyDescent="0.2">
      <c r="A6216" s="1" t="s">
        <v>12387</v>
      </c>
      <c r="B6216" s="1">
        <v>0</v>
      </c>
      <c r="C6216" s="3">
        <v>44540.705370370371</v>
      </c>
      <c r="D6216" s="1" t="s">
        <v>12388</v>
      </c>
      <c r="E6216" s="1" t="str">
        <f ca="1">IFERROR(__xludf.DUMMYFUNCTION("GOOGLETRANSLATE(A3015 , ""tr"" , ""en"")"),"@drfahrettinkoca # Governmentistifa # Earlier # Between the Banking # We will make the Ministry of Justice ... HTTPS://T.CO/WWUL1MDD7I")</f>
        <v>@drfahrettinkoca # Governmentistifa # Earlier # Between the Banking # We will make the Ministry of Justice ... HTTPS://T.CO/WWUL1MDD7I</v>
      </c>
    </row>
    <row r="6217" spans="1:5" ht="15" customHeight="1" x14ac:dyDescent="0.2">
      <c r="A6217" s="1" t="s">
        <v>12389</v>
      </c>
      <c r="B6217" s="1">
        <v>0</v>
      </c>
      <c r="C6217" s="3">
        <v>44540.705277777779</v>
      </c>
      <c r="D6217" s="1" t="s">
        <v>12390</v>
      </c>
      <c r="E6217" s="1" t="str">
        <f ca="1">IFERROR(__xludf.DUMMYFUNCTION("GOOGLETRANSLATE(A3016 , ""tr"" , ""en"")"),"@drfahrettinkoca fat facing case falling rockletting case is increasing swings. I think you resign a little bit of rest. Or else ... https://t.co/2xw5hhcf3d")</f>
        <v>@drfahrettinkoca fat facing case falling rockletting case is increasing swings. I think you resign a little bit of rest. Or else ... https://t.co/2xw5hhcf3d</v>
      </c>
    </row>
    <row r="6218" spans="1:5" ht="15" customHeight="1" x14ac:dyDescent="0.2">
      <c r="A6218" s="1" t="s">
        <v>12391</v>
      </c>
      <c r="B6218" s="1">
        <v>19</v>
      </c>
      <c r="C6218" s="3">
        <v>44540.705196759256</v>
      </c>
      <c r="D6218" s="1" t="s">
        <v>12392</v>
      </c>
      <c r="E6218" s="1" t="str">
        <f ca="1">IFERROR(__xludf.DUMMYFUNCTION("GOOGLETRANSLATE(A3017 , ""tr"" , ""en"")"),"@drfahrettinkoca Allah Also you complete your life Be guy, from our dream collar!")</f>
        <v>@drfahrettinkoca Allah Also you complete your life Be guy, from our dream collar!</v>
      </c>
    </row>
    <row r="6219" spans="1:5" ht="15" customHeight="1" x14ac:dyDescent="0.2">
      <c r="A6219" s="1" t="s">
        <v>12393</v>
      </c>
      <c r="B6219" s="1">
        <v>1</v>
      </c>
      <c r="C6219" s="3">
        <v>44540.70517361111</v>
      </c>
      <c r="D6219" s="1" t="s">
        <v>12394</v>
      </c>
      <c r="E6219" s="1" t="str">
        <f ca="1">IFERROR(__xludf.DUMMYFUNCTION("GOOGLETRANSLATE(A3018 , ""tr"" , ""en"")"),"@drfahrettinkoca Orsedersin 666 Faho ... 😂😅🤣😂😅🤣😂😅🤣🦅")</f>
        <v>@drfahrettinkoca Orsedersin 666 Faho ... 😂😅🤣😂😅🤣😂😅🤣🦅</v>
      </c>
    </row>
    <row r="6220" spans="1:5" ht="15" customHeight="1" x14ac:dyDescent="0.2">
      <c r="A6220" s="1" t="s">
        <v>12395</v>
      </c>
      <c r="B6220" s="1">
        <v>0</v>
      </c>
      <c r="C6220" s="3">
        <v>44540.705092592594</v>
      </c>
      <c r="D6220" s="1" t="s">
        <v>12396</v>
      </c>
      <c r="E6220" s="1" t="str">
        <f ca="1">IFERROR(__xludf.DUMMYFUNCTION("GOOGLETRANSLATE(A3019 , ""tr"" , ""en"")"),"@drfahrettinkoca dr #fatiherbakan https://t.co/ofxbejtaha")</f>
        <v>@drfahrettinkoca dr #fatiherbakan https://t.co/ofxbejtaha</v>
      </c>
    </row>
    <row r="6221" spans="1:5" ht="15" customHeight="1" x14ac:dyDescent="0.2">
      <c r="A6221" s="1" t="s">
        <v>12397</v>
      </c>
      <c r="B6221" s="1">
        <v>0</v>
      </c>
      <c r="C6221" s="3">
        <v>44540.705046296294</v>
      </c>
      <c r="D6221" s="1" t="s">
        <v>12398</v>
      </c>
      <c r="E6221" s="1" t="str">
        <f ca="1">IFERROR(__xludf.DUMMYFUNCTION("GOOGLETRANSLATE(A3020 , ""tr"" , ""en"")"),"Assignment to @drfahrettinkoca is increasing by our concern ... Do you want to close health workers with zero health employment?")</f>
        <v>Assignment to @drfahrettinkoca is increasing by our concern ... Do you want to close health workers with zero health employment?</v>
      </c>
    </row>
    <row r="6222" spans="1:5" ht="15" customHeight="1" x14ac:dyDescent="0.2">
      <c r="A6222" s="1" t="s">
        <v>12399</v>
      </c>
      <c r="B6222" s="1">
        <v>0</v>
      </c>
      <c r="C6222" s="3">
        <v>44540.704872685186</v>
      </c>
      <c r="D6222" s="1" t="s">
        <v>12400</v>
      </c>
      <c r="E6222" s="1" t="str">
        <f ca="1">IFERROR(__xludf.DUMMYFUNCTION("GOOGLETRANSLATE(A3021 , ""tr"" , ""en"")"),"@drfahrettinkoca you are like a liar shepherd ...")</f>
        <v>@drfahrettinkoca you are like a liar shepherd ...</v>
      </c>
    </row>
    <row r="6223" spans="1:5" ht="15" customHeight="1" x14ac:dyDescent="0.2">
      <c r="A6223" s="1" t="s">
        <v>12401</v>
      </c>
      <c r="B6223" s="1">
        <v>0</v>
      </c>
      <c r="C6223" s="3">
        <v>44540.704826388886</v>
      </c>
      <c r="D6223" s="1" t="s">
        <v>12402</v>
      </c>
      <c r="E6223" s="1" t="str">
        <f ca="1">IFERROR(__xludf.DUMMYFUNCTION("GOOGLETRANSLATE(A3022 , ""tr"" , ""en"")"),"@drfahrettinka https://t.co/ycjs9jlnu5")</f>
        <v>@drfahrettinka https://t.co/ycjs9jlnu5</v>
      </c>
    </row>
    <row r="6224" spans="1:5" ht="15" customHeight="1" x14ac:dyDescent="0.2">
      <c r="A6224" s="1" t="s">
        <v>12403</v>
      </c>
      <c r="B6224" s="1">
        <v>0</v>
      </c>
      <c r="C6224" s="3">
        <v>44540.704710648148</v>
      </c>
      <c r="D6224" s="1" t="s">
        <v>12404</v>
      </c>
      <c r="E6224" s="1" t="str">
        <f ca="1">IFERROR(__xludf.DUMMYFUNCTION("GOOGLETRANSLATE(A3023 , ""tr"" , ""en"")"),"@drfahrettinka https://t.co/o0x1xebeyy")</f>
        <v>@drfahrettinka https://t.co/o0x1xebeyy</v>
      </c>
    </row>
    <row r="6225" spans="1:5" ht="15" customHeight="1" x14ac:dyDescent="0.2">
      <c r="A6225" s="1" t="s">
        <v>12405</v>
      </c>
      <c r="B6225" s="1">
        <v>0</v>
      </c>
      <c r="C6225" s="3">
        <v>44540.704594907409</v>
      </c>
      <c r="D6225" s="1" t="s">
        <v>12406</v>
      </c>
      <c r="E6225" s="1" t="str">
        <f ca="1">IFERROR(__xludf.DUMMYFUNCTION("GOOGLETRANSLATE(A3024 , ""tr"" , ""en"")"),"@drfahrettinkoca 1 dose Sinovac is enough Hani.Gerek I don't believe your data")</f>
        <v>@drfahrettinkoca 1 dose Sinovac is enough Hani.Gerek I don't believe your data</v>
      </c>
    </row>
    <row r="6226" spans="1:5" ht="15" customHeight="1" x14ac:dyDescent="0.2">
      <c r="A6226" s="1" t="s">
        <v>12407</v>
      </c>
      <c r="B6226" s="1">
        <v>0</v>
      </c>
      <c r="C6226" s="3">
        <v>44540.704560185186</v>
      </c>
      <c r="D6226" s="1" t="s">
        <v>12408</v>
      </c>
      <c r="E6226" s="1" t="str">
        <f ca="1">IFERROR(__xludf.DUMMYFUNCTION("GOOGLETRANSLATE(A3025 , ""tr"" , ""en"")"),"@drfahrettinkoca you will finish this vaccination work in avoidance.")</f>
        <v>@drfahrettinkoca you will finish this vaccination work in avoidance.</v>
      </c>
    </row>
    <row r="6227" spans="1:5" ht="15" customHeight="1" x14ac:dyDescent="0.2">
      <c r="A6227" s="1" t="s">
        <v>12409</v>
      </c>
      <c r="B6227" s="1">
        <v>0</v>
      </c>
      <c r="C6227" s="3">
        <v>44540.704560185186</v>
      </c>
      <c r="D6227" s="1" t="s">
        <v>12410</v>
      </c>
      <c r="E6227" s="1" t="str">
        <f ca="1">IFERROR(__xludf.DUMMYFUNCTION("GOOGLETRANSLATE(A3026 , ""tr"" , ""en"")"),"@drfahrettinkoca #Trfahrettinkoca #worldly #worldly #wrinking #they will make the justice ministry ... https://t.co/t1z28pzjan")</f>
        <v>@drfahrettinkoca #Trfahrettinkoca #worldly #worldly #wrinking #they will make the justice ministry ... https://t.co/t1z28pzjan</v>
      </c>
    </row>
    <row r="6228" spans="1:5" ht="15" customHeight="1" x14ac:dyDescent="0.2">
      <c r="A6228" s="1" t="s">
        <v>12411</v>
      </c>
      <c r="B6228" s="1">
        <v>76</v>
      </c>
      <c r="C6228" s="3">
        <v>44540.704340277778</v>
      </c>
      <c r="D6228" s="1" t="s">
        <v>12412</v>
      </c>
      <c r="E6228" s="1" t="str">
        <f ca="1">IFERROR(__xludf.DUMMYFUNCTION("GOOGLETRANSLATE(A3027 , ""tr"" , ""en"")"),"@drfahrettinkoca This decline is not enough. In the primary school 1-2-3 years gradual antigen test structure ... https://t.co/ydpmg6yoyy")</f>
        <v>@drfahrettinkoca This decline is not enough. In the primary school 1-2-3 years gradual antigen test structure ... https://t.co/ydpmg6yoyy</v>
      </c>
    </row>
    <row r="6229" spans="1:5" ht="15" customHeight="1" x14ac:dyDescent="0.2">
      <c r="A6229" s="1" t="s">
        <v>12413</v>
      </c>
      <c r="B6229" s="1">
        <v>1</v>
      </c>
      <c r="C6229" s="3">
        <v>44540.704340277778</v>
      </c>
      <c r="D6229" s="1" t="s">
        <v>12414</v>
      </c>
      <c r="E6229" s="1" t="str">
        <f ca="1">IFERROR(__xludf.DUMMYFUNCTION("GOOGLETRANSLATE(A3028 , ""tr"" , ""en"")"),"@drfahrettinkoca Be both vaccinations and you are cautious? If it takes me to take measures why should I be vaccinated?")</f>
        <v>@drfahrettinkoca Be both vaccinations and you are cautious? If it takes me to take measures why should I be vaccinated?</v>
      </c>
    </row>
    <row r="6230" spans="1:5" ht="15" customHeight="1" x14ac:dyDescent="0.2">
      <c r="A6230" s="1" t="s">
        <v>12415</v>
      </c>
      <c r="B6230" s="1">
        <v>29</v>
      </c>
      <c r="C6230" s="3">
        <v>44540.704317129632</v>
      </c>
      <c r="D6230" s="1" t="s">
        <v>12416</v>
      </c>
      <c r="E6230" s="1" t="str">
        <f ca="1">IFERROR(__xludf.DUMMYFUNCTION("GOOGLETRANSLATE(A3029 , ""tr"" , ""en"")"),"@drfahrettinkoca is the average of 200 people dying every day if it is running low. 20 thousand cases how to be ... https://t.co/zlywr5ppo")</f>
        <v>@drfahrettinkoca is the average of 200 people dying every day if it is running low. 20 thousand cases how to be ... https://t.co/zlywr5ppo</v>
      </c>
    </row>
    <row r="6231" spans="1:5" ht="15" customHeight="1" x14ac:dyDescent="0.2">
      <c r="A6231" s="1" t="s">
        <v>12417</v>
      </c>
      <c r="B6231" s="1">
        <v>47</v>
      </c>
      <c r="C6231" s="3">
        <v>44540.704317129632</v>
      </c>
      <c r="D6231" s="1" t="s">
        <v>12418</v>
      </c>
      <c r="E6231" s="1" t="str">
        <f ca="1">IFERROR(__xludf.DUMMYFUNCTION("GOOGLETRANSLATE(A3030 , ""tr"" , ""en"")"),"@drfahrettinkoca When we tighten each country measures, no additional measures are taken. Personal Measures of People Y ... https://t.co/lpwz9ux4ru")</f>
        <v>@drfahrettinkoca When we tighten each country measures, no additional measures are taken. Personal Measures of People Y ... https://t.co/lpwz9ux4ru</v>
      </c>
    </row>
    <row r="6232" spans="1:5" ht="15" customHeight="1" x14ac:dyDescent="0.2">
      <c r="A6232" s="1" t="s">
        <v>12419</v>
      </c>
      <c r="B6232" s="1">
        <v>1</v>
      </c>
      <c r="C6232" s="3">
        <v>44540.704259259262</v>
      </c>
      <c r="D6232" s="1" t="s">
        <v>12420</v>
      </c>
      <c r="E6232" s="1" t="str">
        <f ca="1">IFERROR(__xludf.DUMMYFUNCTION("GOOGLETRANSLATE(A3031 , ""tr"" , ""en"")"),"@drfahrettinka what means to complete the vaccine ..... 🤔")</f>
        <v>@drfahrettinka what means to complete the vaccine ..... 🤔</v>
      </c>
    </row>
    <row r="6233" spans="1:5" ht="15" customHeight="1" x14ac:dyDescent="0.2">
      <c r="A6233" s="1" t="s">
        <v>12421</v>
      </c>
      <c r="B6233" s="1">
        <v>46</v>
      </c>
      <c r="C6233" s="3">
        <v>44540.704259259262</v>
      </c>
      <c r="D6233" s="1" t="s">
        <v>12422</v>
      </c>
      <c r="E6233" s="1" t="str">
        <f ca="1">IFERROR(__xludf.DUMMYFUNCTION("GOOGLETRANSLATE(A3032 , ""tr"" , ""en"")"),"@drfahrettinkoca would be more useful in the following health ministry seat, it would be more useful to have a pressure cooker.")</f>
        <v>@drfahrettinkoca would be more useful in the following health ministry seat, it would be more useful to have a pressure cooker.</v>
      </c>
    </row>
    <row r="6234" spans="1:5" ht="15" customHeight="1" x14ac:dyDescent="0.2">
      <c r="A6234" s="1" t="s">
        <v>12423</v>
      </c>
      <c r="B6234" s="1">
        <v>20</v>
      </c>
      <c r="C6234" s="3">
        <v>44540.704155092593</v>
      </c>
      <c r="D6234" s="1" t="s">
        <v>12424</v>
      </c>
      <c r="E6234" s="1" t="str">
        <f ca="1">IFERROR(__xludf.DUMMYFUNCTION("GOOGLETRANSLATE(A3033 , ""tr"" , ""en"")"),"Get information about the epidemic administration from oversight from @drfahrettinkoca.")</f>
        <v>Get information about the epidemic administration from oversight from @drfahrettinkoca.</v>
      </c>
    </row>
    <row r="6235" spans="1:5" ht="15" customHeight="1" x14ac:dyDescent="0.2">
      <c r="A6235" s="1" t="s">
        <v>12425</v>
      </c>
      <c r="B6235" s="1">
        <v>3</v>
      </c>
      <c r="C6235" s="3">
        <v>44540.704108796293</v>
      </c>
      <c r="D6235" s="1" t="s">
        <v>12426</v>
      </c>
      <c r="E6235" s="1" t="str">
        <f ca="1">IFERROR(__xludf.DUMMYFUNCTION("GOOGLETRANSLATE(A3034 , ""tr"" , ""en"")"),"@drfahrettinkoca so you rulers don't take Hicin precautions, people just spend the disease without getting inoculated !! ... https://t.co/zznjibljc0")</f>
        <v>@drfahrettinkoca so you rulers don't take Hicin precautions, people just spend the disease without getting inoculated !! ... https://t.co/zznjibljc0</v>
      </c>
    </row>
    <row r="6236" spans="1:5" ht="15" customHeight="1" x14ac:dyDescent="0.2">
      <c r="A6236" s="1" t="s">
        <v>12427</v>
      </c>
      <c r="B6236" s="1">
        <v>1</v>
      </c>
      <c r="C6236" s="3">
        <v>44540.704016203701</v>
      </c>
      <c r="D6236" s="1" t="s">
        <v>12428</v>
      </c>
      <c r="E6236" s="1" t="str">
        <f ca="1">IFERROR(__xludf.DUMMYFUNCTION("GOOGLETRANSLATE(A3035 , ""tr"" , ""en"")"),"@drfahrettinka vaccine have more important healthcareists do not ignore the assignment .... @drfahrettinkoca")</f>
        <v>@drfahrettinka vaccine have more important healthcareists do not ignore the assignment .... @drfahrettinkoca</v>
      </c>
    </row>
    <row r="6237" spans="1:5" ht="15" customHeight="1" x14ac:dyDescent="0.2">
      <c r="A6237" s="1" t="s">
        <v>12429</v>
      </c>
      <c r="B6237" s="1">
        <v>1</v>
      </c>
      <c r="C6237" s="3">
        <v>44540.703912037039</v>
      </c>
      <c r="D6237" s="1" t="s">
        <v>12430</v>
      </c>
      <c r="E6237" s="1" t="str">
        <f ca="1">IFERROR(__xludf.DUMMYFUNCTION("GOOGLETRANSLATE(A3036 , ""tr"" , ""en"")"),"@drfahrettinkoca how many dose do you say okay?")</f>
        <v>@drfahrettinkoca how many dose do you say okay?</v>
      </c>
    </row>
    <row r="6238" spans="1:5" ht="15" customHeight="1" x14ac:dyDescent="0.2">
      <c r="A6238" s="1" t="s">
        <v>12431</v>
      </c>
      <c r="B6238" s="1">
        <v>1</v>
      </c>
      <c r="C6238" s="3">
        <v>44540.703877314816</v>
      </c>
      <c r="D6238" s="1" t="s">
        <v>12432</v>
      </c>
      <c r="E6238" s="1" t="str">
        <f ca="1">IFERROR(__xludf.DUMMYFUNCTION("GOOGLETRANSLATE(A3037 , ""tr"" , ""en"")"),"@drfahrettinkoca 3 dosing ones can be comfortable or treated comfortable if they will be able to give you the 1.doz event.")</f>
        <v>@drfahrettinkoca 3 dosing ones can be comfortable or treated comfortable if they will be able to give you the 1.doz event.</v>
      </c>
    </row>
    <row r="6239" spans="1:5" ht="15" customHeight="1" x14ac:dyDescent="0.2">
      <c r="A6239" s="1" t="s">
        <v>12433</v>
      </c>
      <c r="B6239" s="1">
        <v>0</v>
      </c>
      <c r="C6239" s="3">
        <v>44540.703645833331</v>
      </c>
      <c r="D6239" s="1" t="s">
        <v>12434</v>
      </c>
      <c r="E6239" s="1" t="str">
        <f ca="1">IFERROR(__xludf.DUMMYFUNCTION("GOOGLETRANSLATE(A3038 , ""tr"" , ""en"")"),"@drfahrettinkoca Clavy Clavy Your Clavy is the only thing to be glad for us.")</f>
        <v>@drfahrettinkoca Clavy Clavy Your Clavy is the only thing to be glad for us.</v>
      </c>
    </row>
    <row r="6240" spans="1:5" ht="15" customHeight="1" x14ac:dyDescent="0.2">
      <c r="A6240" s="1" t="s">
        <v>12435</v>
      </c>
      <c r="B6240" s="1">
        <v>7</v>
      </c>
      <c r="C6240" s="3">
        <v>44540.703541666669</v>
      </c>
      <c r="D6240" s="1" t="s">
        <v>12436</v>
      </c>
      <c r="E6240" s="1" t="str">
        <f ca="1">IFERROR(__xludf.DUMMYFUNCTION("GOOGLETRANSLATE(A3039 , ""tr"" , ""en"")"),"@drfahrettinkoca What say namic kemal?")</f>
        <v>@drfahrettinkoca What say namic kemal?</v>
      </c>
    </row>
    <row r="6241" spans="1:5" ht="15" customHeight="1" x14ac:dyDescent="0.2">
      <c r="A6241" s="1" t="s">
        <v>12437</v>
      </c>
      <c r="B6241" s="1">
        <v>0</v>
      </c>
      <c r="C6241" s="3">
        <v>44540.703472222223</v>
      </c>
      <c r="D6241" s="1" t="s">
        <v>12438</v>
      </c>
      <c r="E6241" s="1" t="str">
        <f ca="1">IFERROR(__xludf.DUMMYFUNCTION("GOOGLETRANSLATE(A3040 , ""tr"" , ""en"")"),"@drfahrettinkoca We want to go to the top of our business We don't want to be the burden to our family to wait for your family @drfahrettinkoca")</f>
        <v>@drfahrettinkoca We want to go to the top of our business We don't want to be the burden to our family to wait for your family @drfahrettinkoca</v>
      </c>
    </row>
    <row r="6242" spans="1:5" ht="15" customHeight="1" x14ac:dyDescent="0.2">
      <c r="A6242" s="1" t="s">
        <v>12439</v>
      </c>
      <c r="B6242" s="1">
        <v>0</v>
      </c>
      <c r="C6242" s="3">
        <v>44540.703344907408</v>
      </c>
      <c r="D6242" s="1" t="s">
        <v>12440</v>
      </c>
      <c r="E6242" s="1" t="str">
        <f ca="1">IFERROR(__xludf.DUMMYFUNCTION("GOOGLETRANSLATE(A3041 , ""tr"" , ""en"")"),"@drfahrettinkoca either the fate in prisoners of our sons in our loved ones we have left the nail and destroy the fates ... https://t.co/7vrtokjprn")</f>
        <v>@drfahrettinkoca either the fate in prisoners of our sons in our loved ones we have left the nail and destroy the fates ... https://t.co/7vrtokjprn</v>
      </c>
    </row>
    <row r="6243" spans="1:5" ht="15" customHeight="1" x14ac:dyDescent="0.2">
      <c r="A6243" s="1" t="s">
        <v>12441</v>
      </c>
      <c r="B6243" s="1">
        <v>0</v>
      </c>
      <c r="C6243" s="3">
        <v>44540.703229166669</v>
      </c>
      <c r="D6243" s="1" t="s">
        <v>12442</v>
      </c>
      <c r="E6243" s="1" t="str">
        <f ca="1">IFERROR(__xludf.DUMMYFUNCTION("GOOGLETRANSLATE(A3042 , ""tr"" , ""en"")"),"@drfahrettinkoca immediately you need to open up to 40 over 40 years of age. We are welcome")</f>
        <v>@drfahrettinkoca immediately you need to open up to 40 over 40 years of age. We are welcome</v>
      </c>
    </row>
    <row r="6244" spans="1:5" ht="15" customHeight="1" x14ac:dyDescent="0.2">
      <c r="A6244" s="1" t="s">
        <v>12443</v>
      </c>
      <c r="B6244" s="1">
        <v>2</v>
      </c>
      <c r="C6244" s="3">
        <v>44540.703217592592</v>
      </c>
      <c r="D6244" s="1" t="s">
        <v>12444</v>
      </c>
      <c r="E6244" s="1" t="str">
        <f ca="1">IFERROR(__xludf.DUMMYFUNCTION("GOOGLETRANSLATE(A3043 , ""tr"" , ""en"")"),"@drfahrettinkoca is fulfilled if the promise is fulfilled, why are your words left in the air?")</f>
        <v>@drfahrettinkoca is fulfilled if the promise is fulfilled, why are your words left in the air?</v>
      </c>
    </row>
    <row r="6245" spans="1:5" ht="15" customHeight="1" x14ac:dyDescent="0.2">
      <c r="A6245" s="1" t="s">
        <v>12445</v>
      </c>
      <c r="B6245" s="1">
        <v>0</v>
      </c>
      <c r="C6245" s="3">
        <v>44540.703182870369</v>
      </c>
      <c r="D6245" s="1" t="s">
        <v>12446</v>
      </c>
      <c r="E6245" s="1" t="str">
        <f ca="1">IFERROR(__xludf.DUMMYFUNCTION("GOOGLETRANSLATE(A3044 , ""tr"" , ""en"")"),"@drfahrettinkoca Koca Bey Say Sn RTE Please make you a Covid Minister of Health will take care of the Ministry of Health ...")</f>
        <v>@drfahrettinkoca Koca Bey Say Sn RTE Please make you a Covid Minister of Health will take care of the Ministry of Health ...</v>
      </c>
    </row>
    <row r="6246" spans="1:5" ht="15" customHeight="1" x14ac:dyDescent="0.2">
      <c r="A6246" s="1" t="s">
        <v>12447</v>
      </c>
      <c r="B6246" s="1">
        <v>0</v>
      </c>
      <c r="C6246" s="3">
        <v>44540.703136574077</v>
      </c>
      <c r="D6246" s="1" t="s">
        <v>12448</v>
      </c>
      <c r="E6246" s="1" t="str">
        <f ca="1">IFERROR(__xludf.DUMMYFUNCTION("GOOGLETRANSLATE(A3045 , ""tr"" , ""en"")"),"@drfahrettinkoca Voice Give @drfahrettinkoca")</f>
        <v>@drfahrettinkoca Voice Give @drfahrettinkoca</v>
      </c>
    </row>
    <row r="6247" spans="1:5" ht="15" customHeight="1" x14ac:dyDescent="0.2">
      <c r="A6247" s="1" t="s">
        <v>12449</v>
      </c>
      <c r="B6247" s="1">
        <v>6</v>
      </c>
      <c r="C6247" s="3">
        <v>44540.703090277777</v>
      </c>
      <c r="D6247" s="1" t="s">
        <v>12450</v>
      </c>
      <c r="E6247" s="1" t="str">
        <f ca="1">IFERROR(__xludf.DUMMYFUNCTION("GOOGLETRANSLATE(A3046 , ""tr"" , ""en"")"),"@drfahrettinkoca What is the measure, can you explain cases that have fell like that.")</f>
        <v>@drfahrettinkoca What is the measure, can you explain cases that have fell like that.</v>
      </c>
    </row>
    <row r="6248" spans="1:5" ht="15" customHeight="1" x14ac:dyDescent="0.2">
      <c r="A6248" s="1" t="s">
        <v>12451</v>
      </c>
      <c r="B6248" s="1">
        <v>0</v>
      </c>
      <c r="C6248" s="3">
        <v>44540.702604166669</v>
      </c>
      <c r="D6248" s="1" t="s">
        <v>12452</v>
      </c>
      <c r="E6248" s="1" t="str">
        <f ca="1">IFERROR(__xludf.DUMMYFUNCTION("GOOGLETRANSLATE(A3047 , ""tr"" , ""en"")"),"@drfahrettinkoca Schools Happen !!!!!")</f>
        <v>@drfahrettinkoca Schools Happen !!!!!</v>
      </c>
    </row>
    <row r="6249" spans="1:5" ht="15" customHeight="1" x14ac:dyDescent="0.2">
      <c r="A6249" s="1" t="s">
        <v>12453</v>
      </c>
      <c r="B6249" s="1">
        <v>12</v>
      </c>
      <c r="C6249" s="3">
        <v>44540.702592592592</v>
      </c>
      <c r="D6249" s="1" t="s">
        <v>12454</v>
      </c>
      <c r="E6249" s="1" t="str">
        <f ca="1">IFERROR(__xludf.DUMMYFUNCTION("GOOGLETRANSLATE(A3048 , ""tr"" , ""en"")"),"@drfahrettinkoca you don't get those who are not familiar with malls")</f>
        <v>@drfahrettinkoca you don't get those who are not familiar with malls</v>
      </c>
    </row>
    <row r="6250" spans="1:5" ht="15" customHeight="1" x14ac:dyDescent="0.2">
      <c r="A6250" s="1" t="s">
        <v>12455</v>
      </c>
      <c r="B6250" s="1">
        <v>0</v>
      </c>
      <c r="C6250" s="3">
        <v>44540.702569444446</v>
      </c>
      <c r="D6250" s="1" t="s">
        <v>12456</v>
      </c>
      <c r="E6250" s="1" t="str">
        <f ca="1">IFERROR(__xludf.DUMMYFUNCTION("GOOGLETRANSLATE(A3049 , ""tr"" , ""en"")"),"@drfahrettinkoca DAYI Bi is not tired of throwing the following table 😅")</f>
        <v>@drfahrettinkoca DAYI Bi is not tired of throwing the following table 😅</v>
      </c>
    </row>
    <row r="6251" spans="1:5" ht="15" customHeight="1" x14ac:dyDescent="0.2">
      <c r="A6251" s="1" t="s">
        <v>12457</v>
      </c>
      <c r="B6251" s="1">
        <v>1</v>
      </c>
      <c r="C6251" s="3">
        <v>44540.702546296299</v>
      </c>
      <c r="D6251" s="1" t="s">
        <v>12458</v>
      </c>
      <c r="E6251" s="1" t="str">
        <f ca="1">IFERROR(__xludf.DUMMYFUNCTION("GOOGLETRANSLATE(A3050 , ""tr"" , ""en"")"),"@drfahrettinkoca guide guide manual")</f>
        <v>@drfahrettinkoca guide guide manual</v>
      </c>
    </row>
    <row r="6252" spans="1:5" ht="15" customHeight="1" x14ac:dyDescent="0.2">
      <c r="A6252" s="1" t="s">
        <v>12459</v>
      </c>
      <c r="B6252" s="1">
        <v>0</v>
      </c>
      <c r="C6252" s="3">
        <v>44540.702546296299</v>
      </c>
      <c r="D6252" s="1" t="s">
        <v>12460</v>
      </c>
      <c r="E6252" s="1" t="str">
        <f ca="1">IFERROR(__xludf.DUMMYFUNCTION("GOOGLETRANSLATE(A3051 , ""tr"" , ""en"")"),"@drfahrettinkoca tomorrow an explanation is looking forward to the minister @drfahrettinkoca")</f>
        <v>@drfahrettinkoca tomorrow an explanation is looking forward to the minister @drfahrettinkoca</v>
      </c>
    </row>
    <row r="6253" spans="1:5" ht="15" customHeight="1" x14ac:dyDescent="0.2">
      <c r="A6253" s="1" t="s">
        <v>12461</v>
      </c>
      <c r="B6253" s="1">
        <v>0</v>
      </c>
      <c r="C6253" s="3">
        <v>44540.702499999999</v>
      </c>
      <c r="D6253" s="1" t="s">
        <v>12462</v>
      </c>
      <c r="E6253" s="1" t="str">
        <f ca="1">IFERROR(__xludf.DUMMYFUNCTION("GOOGLETRANSLATE(A3052 , ""tr"" , ""en"")"),"@drfahrettinkoca I WRITE WRITE WRITE HIGH I WROUND I WRITE")</f>
        <v>@drfahrettinkoca I WRITE WRITE WRITE HIGH I WROUND I WRITE</v>
      </c>
    </row>
    <row r="6254" spans="1:5" ht="15" customHeight="1" x14ac:dyDescent="0.2">
      <c r="A6254" s="1" t="s">
        <v>12463</v>
      </c>
      <c r="B6254" s="1">
        <v>0</v>
      </c>
      <c r="C6254" s="3">
        <v>44540.70239583333</v>
      </c>
      <c r="D6254" s="1" t="s">
        <v>12464</v>
      </c>
      <c r="E6254" s="1" t="str">
        <f ca="1">IFERROR(__xludf.DUMMYFUNCTION("GOOGLETRANSLATE(A3053 , ""tr"" , ""en"")"),"@drfahrettinkoca Mr. Ministry, Germany and Britain should also share the secret of this success.")</f>
        <v>@drfahrettinkoca Mr. Ministry, Germany and Britain should also share the secret of this success.</v>
      </c>
    </row>
    <row r="6255" spans="1:5" ht="15" customHeight="1" x14ac:dyDescent="0.2">
      <c r="A6255" s="1" t="s">
        <v>12465</v>
      </c>
      <c r="B6255" s="1">
        <v>68</v>
      </c>
      <c r="C6255" s="3">
        <v>44540.702384259261</v>
      </c>
      <c r="D6255" s="1" t="s">
        <v>12466</v>
      </c>
      <c r="E6255" s="1" t="str">
        <f ca="1">IFERROR(__xludf.DUMMYFUNCTION("GOOGLETRANSLATE(A3054 , ""tr"" , ""en"")"),"@drfahrettinkoca Mr. Minister !! I don't know what to say to believe! Words remain uncompromising! What a nice finished ... https://t.co/k7gocid9yy")</f>
        <v>@drfahrettinkoca Mr. Minister !! I don't know what to say to believe! Words remain uncompromising! What a nice finished ... https://t.co/k7gocid9yy</v>
      </c>
    </row>
    <row r="6256" spans="1:5" ht="15" customHeight="1" x14ac:dyDescent="0.2">
      <c r="A6256" s="1" t="s">
        <v>12467</v>
      </c>
      <c r="B6256" s="1">
        <v>1</v>
      </c>
      <c r="C6256" s="3">
        <v>44540.702337962961</v>
      </c>
      <c r="D6256" s="1" t="s">
        <v>12468</v>
      </c>
      <c r="E6256" s="1" t="str">
        <f ca="1">IFERROR(__xludf.DUMMYFUNCTION("GOOGLETRANSLATE(A3055 , ""tr"" , ""en"")"),"@drfahrettinkoca we will not be considered what we have done to you Mr. Minister")</f>
        <v>@drfahrettinkoca we will not be considered what we have done to you Mr. Minister</v>
      </c>
    </row>
    <row r="6257" spans="1:5" ht="15" customHeight="1" x14ac:dyDescent="0.2">
      <c r="A6257" s="1" t="s">
        <v>12469</v>
      </c>
      <c r="B6257" s="1">
        <v>1</v>
      </c>
      <c r="C6257" s="3">
        <v>44540.702280092592</v>
      </c>
      <c r="D6257" s="1" t="s">
        <v>12470</v>
      </c>
      <c r="E6257" s="1" t="str">
        <f ca="1">IFERROR(__xludf.DUMMYFUNCTION("GOOGLETRANSLATE(A3056 , ""tr"" , ""en"")"),"@drfahrettinka how much you will postpone your minister to hear our voice and make a statement already passed")</f>
        <v>@drfahrettinka how much you will postpone your minister to hear our voice and make a statement already passed</v>
      </c>
    </row>
    <row r="6258" spans="1:5" ht="15" customHeight="1" x14ac:dyDescent="0.2">
      <c r="A6258" s="1" t="s">
        <v>12471</v>
      </c>
      <c r="B6258" s="1">
        <v>0</v>
      </c>
      <c r="C6258" s="3">
        <v>44540.702280092592</v>
      </c>
      <c r="D6258" s="1" t="s">
        <v>12472</v>
      </c>
      <c r="E6258" s="1" t="str">
        <f ca="1">IFERROR(__xludf.DUMMYFUNCTION("GOOGLETRANSLATE(A3057 , ""tr"" , ""en"")"),"@drfahrettinkoca Mr. Minister If you'd lower a little more this is too much")</f>
        <v>@drfahrettinkoca Mr. Minister If you'd lower a little more this is too much</v>
      </c>
    </row>
    <row r="6259" spans="1:5" ht="15" customHeight="1" x14ac:dyDescent="0.2">
      <c r="A6259" s="1" t="s">
        <v>12473</v>
      </c>
      <c r="B6259" s="1">
        <v>11</v>
      </c>
      <c r="C6259" s="3">
        <v>44540.702256944445</v>
      </c>
      <c r="D6259" s="1" t="s">
        <v>12474</v>
      </c>
      <c r="E6259" s="1" t="str">
        <f ca="1">IFERROR(__xludf.DUMMYFUNCTION("GOOGLETRANSLATE(A3058 , ""tr"" , ""en"")"),"@drfahrettinkoca Mr. Ministry of child developmentists waiting for the list of squads. Development for the child's high benefit ... https://t.co/hb9zljpmad")</f>
        <v>@drfahrettinkoca Mr. Ministry of child developmentists waiting for the list of squads. Development for the child's high benefit ... https://t.co/hb9zljpmad</v>
      </c>
    </row>
    <row r="6260" spans="1:5" ht="15" customHeight="1" x14ac:dyDescent="0.2">
      <c r="A6260" s="1" t="s">
        <v>12475</v>
      </c>
      <c r="B6260" s="1">
        <v>0</v>
      </c>
      <c r="C6260" s="3">
        <v>44540.702141203707</v>
      </c>
      <c r="D6260" s="1" t="s">
        <v>12476</v>
      </c>
      <c r="E6260" s="1" t="str">
        <f ca="1">IFERROR(__xludf.DUMMYFUNCTION("GOOGLETRANSLATE(A3059 , ""tr"" , ""en"")"),"@drfahrettinka omicron variant on our country is not in our country facing :)")</f>
        <v>@drfahrettinka omicron variant on our country is not in our country facing :)</v>
      </c>
    </row>
    <row r="6261" spans="1:5" ht="15" customHeight="1" x14ac:dyDescent="0.2">
      <c r="A6261" s="1" t="s">
        <v>12477</v>
      </c>
      <c r="B6261" s="1">
        <v>1</v>
      </c>
      <c r="C6261" s="3">
        <v>44540.702106481483</v>
      </c>
      <c r="D6261" s="1" t="s">
        <v>12478</v>
      </c>
      <c r="E6261" s="1" t="str">
        <f ca="1">IFERROR(__xludf.DUMMYFUNCTION("GOOGLETRANSLATE(A3060 , ""tr"" , ""en"")"),"@drfahrettinkoca I still have no problems I have no problem Thank God.")</f>
        <v>@drfahrettinkoca I still have no problems I have no problem Thank God.</v>
      </c>
    </row>
    <row r="6262" spans="1:5" ht="15" customHeight="1" x14ac:dyDescent="0.2">
      <c r="A6262" s="1" t="s">
        <v>12479</v>
      </c>
      <c r="B6262" s="1">
        <v>1</v>
      </c>
      <c r="C6262" s="3">
        <v>44540.702048611114</v>
      </c>
      <c r="D6262" s="1" t="s">
        <v>12480</v>
      </c>
      <c r="E6262" s="1" t="str">
        <f ca="1">IFERROR(__xludf.DUMMYFUNCTION("GOOGLETRANSLATE(A3061 , ""tr"" , ""en"")"),"@drfahrettinkoca I didn't know if I have Gülsem ...")</f>
        <v>@drfahrettinkoca I didn't know if I have Gülsem ...</v>
      </c>
    </row>
    <row r="6263" spans="1:5" ht="15" customHeight="1" x14ac:dyDescent="0.2">
      <c r="A6263" s="1" t="s">
        <v>12481</v>
      </c>
      <c r="B6263" s="1">
        <v>0</v>
      </c>
      <c r="C6263" s="3">
        <v>44540.701944444445</v>
      </c>
      <c r="D6263" s="1" t="s">
        <v>12482</v>
      </c>
      <c r="E6263" s="1" t="str">
        <f ca="1">IFERROR(__xludf.DUMMYFUNCTION("GOOGLETRANSLATE(A3062 , ""tr"" , ""en"")"),"@drfahrettinkoca Healthiers are waiting for the guide")</f>
        <v>@drfahrettinkoca Healthiers are waiting for the guide</v>
      </c>
    </row>
    <row r="6264" spans="1:5" ht="15" customHeight="1" x14ac:dyDescent="0.2">
      <c r="A6264" s="1" t="s">
        <v>12483</v>
      </c>
      <c r="B6264" s="1">
        <v>0</v>
      </c>
      <c r="C6264" s="3">
        <v>44540.701574074075</v>
      </c>
      <c r="D6264" s="1" t="s">
        <v>12484</v>
      </c>
      <c r="E6264" s="1" t="str">
        <f ca="1">IFERROR(__xludf.DUMMYFUNCTION("GOOGLETRANSLATE(A3063 , ""tr"" , ""en"")"),"@drfahrettinkoca is the bis of budget in the budget interview, if there is no bi-interchange, the biased.")</f>
        <v>@drfahrettinkoca is the bis of budget in the budget interview, if there is no bi-interchange, the biased.</v>
      </c>
    </row>
    <row r="6265" spans="1:5" ht="15" customHeight="1" x14ac:dyDescent="0.2">
      <c r="A6265" s="1" t="s">
        <v>12485</v>
      </c>
      <c r="B6265" s="1">
        <v>0</v>
      </c>
      <c r="C6265" s="3">
        <v>44540.701527777775</v>
      </c>
      <c r="D6265" s="1" t="s">
        <v>12486</v>
      </c>
      <c r="E6265" s="1" t="str">
        <f ca="1">IFERROR(__xludf.DUMMYFUNCTION("GOOGLETRANSLATE(A3064 , ""tr"" , ""en"")"),"@drfahrettinka Ministry of Ministry of Reply Different Reply Simple Guide.")</f>
        <v>@drfahrettinka Ministry of Ministry of Reply Different Reply Simple Guide.</v>
      </c>
    </row>
    <row r="6266" spans="1:5" ht="15" customHeight="1" x14ac:dyDescent="0.2">
      <c r="A6266" s="1" t="s">
        <v>12487</v>
      </c>
      <c r="B6266" s="1">
        <v>1</v>
      </c>
      <c r="C6266" s="3">
        <v>44540.701481481483</v>
      </c>
      <c r="D6266" s="1" t="s">
        <v>12488</v>
      </c>
      <c r="E6266" s="1" t="str">
        <f ca="1">IFERROR(__xludf.DUMMYFUNCTION("GOOGLETRANSLATE(A3065 , ""tr"" , ""en"")"),"@drfahrettinkoca ugur sahin hoca reminder dose 3 months say 6 months we are looking forward to the fact that there is no rebeli bondami")</f>
        <v>@drfahrettinkoca ugur sahin hoca reminder dose 3 months say 6 months we are looking forward to the fact that there is no rebeli bondami</v>
      </c>
    </row>
    <row r="6267" spans="1:5" ht="15" customHeight="1" x14ac:dyDescent="0.2">
      <c r="A6267" s="1" t="s">
        <v>12489</v>
      </c>
      <c r="B6267" s="1">
        <v>0</v>
      </c>
      <c r="C6267" s="3">
        <v>44540.701469907406</v>
      </c>
      <c r="D6267" s="1" t="s">
        <v>12490</v>
      </c>
      <c r="E6267" s="1" t="str">
        <f ca="1">IFERROR(__xludf.DUMMYFUNCTION("GOOGLETRANSLATE(A3066 , ""tr"" , ""en"")"),"@drfahrettinkoca This is either this lying table overlap")</f>
        <v>@drfahrettinkoca This is either this lying table overlap</v>
      </c>
    </row>
    <row r="6268" spans="1:5" ht="15" customHeight="1" x14ac:dyDescent="0.2">
      <c r="A6268" s="1" t="s">
        <v>12491</v>
      </c>
      <c r="B6268" s="1">
        <v>26</v>
      </c>
      <c r="C6268" s="3">
        <v>44540.701435185183</v>
      </c>
      <c r="D6268" s="1" t="s">
        <v>12492</v>
      </c>
      <c r="E6268" s="1" t="str">
        <f ca="1">IFERROR(__xludf.DUMMYFUNCTION("GOOGLETRANSLATE(A3067 , ""tr"" , ""en"")"),"@drfahrettinkoca is anxious to appointment is increasing")</f>
        <v>@drfahrettinkoca is anxious to appointment is increasing</v>
      </c>
    </row>
    <row r="6269" spans="1:5" ht="15" customHeight="1" x14ac:dyDescent="0.2">
      <c r="A6269" s="1" t="s">
        <v>12493</v>
      </c>
      <c r="B6269" s="1">
        <v>15</v>
      </c>
      <c r="C6269" s="3">
        <v>44540.701377314814</v>
      </c>
      <c r="D6269" s="1" t="s">
        <v>12494</v>
      </c>
      <c r="E6269" s="1" t="str">
        <f ca="1">IFERROR(__xludf.DUMMYFUNCTION("GOOGLETRANSLATE(A3068 , ""tr"" , ""en"")"),"@drfahrettinkoca we refer you to allah @drfahrettinka @drfahrettinkoca I didn't see a lying person as you are finished ... https://t.co/seqmde7ewt")</f>
        <v>@drfahrettinkoca we refer you to allah @drfahrettinka @drfahrettinkoca I didn't see a lying person as you are finished ... https://t.co/seqmde7ewt</v>
      </c>
    </row>
    <row r="6270" spans="1:5" ht="15" customHeight="1" x14ac:dyDescent="0.2">
      <c r="A6270" s="1" t="s">
        <v>12495</v>
      </c>
      <c r="B6270" s="1">
        <v>5</v>
      </c>
      <c r="C6270" s="3">
        <v>44540.701296296298</v>
      </c>
      <c r="D6270" s="1" t="s">
        <v>12496</v>
      </c>
      <c r="E6270" s="1" t="str">
        <f ca="1">IFERROR(__xludf.DUMMYFUNCTION("GOOGLETRANSLATE(A3069 , ""tr"" , ""en"")"),"@drfahrettinkoca Describe the feather in our tongue, we were announced.")</f>
        <v>@drfahrettinkoca Describe the feather in our tongue, we were announced.</v>
      </c>
    </row>
    <row r="6271" spans="1:5" ht="15" customHeight="1" x14ac:dyDescent="0.2">
      <c r="A6271" s="1" t="s">
        <v>12497</v>
      </c>
      <c r="B6271" s="1">
        <v>0</v>
      </c>
      <c r="C6271" s="3">
        <v>44540.701226851852</v>
      </c>
      <c r="D6271" s="1" t="s">
        <v>12498</v>
      </c>
      <c r="E6271" s="1" t="str">
        <f ca="1">IFERROR(__xludf.DUMMYFUNCTION("GOOGLETRANSLATE(A3070 , ""tr"" , ""en"")"),"@drfahrettinkoca Our stomach is our abdomen tok")</f>
        <v>@drfahrettinkoca Our stomach is our abdomen tok</v>
      </c>
    </row>
    <row r="6272" spans="1:5" ht="15" customHeight="1" x14ac:dyDescent="0.2">
      <c r="A6272" s="1" t="s">
        <v>12499</v>
      </c>
      <c r="B6272" s="1">
        <v>8</v>
      </c>
      <c r="C6272" s="3">
        <v>44540.701145833336</v>
      </c>
      <c r="D6272" s="1" t="s">
        <v>12500</v>
      </c>
      <c r="E6272" s="1" t="str">
        <f ca="1">IFERROR(__xludf.DUMMYFUNCTION("GOOGLETRANSLATE(A3071 , ""tr"" , ""en"")"),"@drfahrettinkoca # 40Binal In my 2250Cocco assignment")</f>
        <v>@drfahrettinkoca # 40Binal In my 2250Cocco assignment</v>
      </c>
    </row>
    <row r="6273" spans="1:5" ht="15" customHeight="1" x14ac:dyDescent="0.2">
      <c r="A6273" s="1" t="s">
        <v>12501</v>
      </c>
      <c r="B6273" s="1">
        <v>66</v>
      </c>
      <c r="C6273" s="3">
        <v>44540.700960648152</v>
      </c>
      <c r="D6273" s="1" t="s">
        <v>12502</v>
      </c>
      <c r="E6273" s="1" t="str">
        <f ca="1">IFERROR(__xludf.DUMMYFUNCTION("GOOGLETRANSLATE(A3072 , ""tr"" , ""en"")"),"@drfahrettinkoca How Covide's Conchinking Concern Reduces Mr. Minister? Send our children to school as parents ... https://t.co/ekfw230tnr")</f>
        <v>@drfahrettinkoca How Covide's Conchinking Concern Reduces Mr. Minister? Send our children to school as parents ... https://t.co/ekfw230tnr</v>
      </c>
    </row>
    <row r="6274" spans="1:5" ht="15" customHeight="1" x14ac:dyDescent="0.2">
      <c r="A6274" s="1" t="s">
        <v>12503</v>
      </c>
      <c r="B6274" s="1">
        <v>337</v>
      </c>
      <c r="C6274" s="3">
        <v>44540.700949074075</v>
      </c>
      <c r="D6274" s="1" t="s">
        <v>12504</v>
      </c>
      <c r="E6274" s="1" t="str">
        <f ca="1">IFERROR(__xludf.DUMMYFUNCTION("GOOGLETRANSLATE(A3073 , ""tr"" , ""en"")"),"@drfahrettinkoca The possibility of dying of this disease is almost like the chance to die by multiplying lightning ... https://t.co/qqmpsvpgbs")</f>
        <v>@drfahrettinkoca The possibility of dying of this disease is almost like the chance to die by multiplying lightning ... https://t.co/qqmpsvpgbs</v>
      </c>
    </row>
    <row r="6275" spans="1:5" ht="15" customHeight="1" x14ac:dyDescent="0.2">
      <c r="A6275" s="1" t="s">
        <v>12505</v>
      </c>
      <c r="B6275" s="1">
        <v>11</v>
      </c>
      <c r="C6275" s="3">
        <v>44540.700902777775</v>
      </c>
      <c r="D6275" s="1" t="s">
        <v>12506</v>
      </c>
      <c r="E6275" s="1" t="str">
        <f ca="1">IFERROR(__xludf.DUMMYFUNCTION("GOOGLETRANSLATE(A3074 , ""tr"" , ""en"")"),"@drfahrettinkoca Mr. Ministry We are ready for our children most affected by Covid-19 period. We are ... https://t.co/Iuwjczcdkj")</f>
        <v>@drfahrettinkoca Mr. Ministry We are ready for our children most affected by Covid-19 period. We are ... https://t.co/Iuwjczcdkj</v>
      </c>
    </row>
    <row r="6276" spans="1:5" ht="15" customHeight="1" x14ac:dyDescent="0.2">
      <c r="A6276" s="1" t="s">
        <v>12507</v>
      </c>
      <c r="B6276" s="1">
        <v>0</v>
      </c>
      <c r="C6276" s="3">
        <v>44540.700879629629</v>
      </c>
      <c r="D6276" s="1" t="s">
        <v>12508</v>
      </c>
      <c r="E6276" s="1" t="str">
        <f ca="1">IFERROR(__xludf.DUMMYFUNCTION("GOOGLETRANSLATE(A3075 , ""tr"" , ""en"")"),"@drfahrettinkoca healthcare year was the year of disgrace")</f>
        <v>@drfahrettinkoca healthcare year was the year of disgrace</v>
      </c>
    </row>
    <row r="6277" spans="1:5" ht="15" customHeight="1" x14ac:dyDescent="0.2">
      <c r="A6277" s="1" t="s">
        <v>12509</v>
      </c>
      <c r="B6277" s="1">
        <v>5</v>
      </c>
      <c r="C6277" s="3">
        <v>44540.700740740744</v>
      </c>
      <c r="D6277" s="1" t="s">
        <v>12510</v>
      </c>
      <c r="E6277" s="1" t="str">
        <f ca="1">IFERROR(__xludf.DUMMYFUNCTION("GOOGLETRANSLATE(A3076 , ""tr"" , ""en"")"),"@drfahrettinkoca Mr. Ministry We are ready for our children most affected by Covid-19 period. We ÇO ... https://t.co/0d4z7bnnup")</f>
        <v>@drfahrettinkoca Mr. Ministry We are ready for our children most affected by Covid-19 period. We ÇO ... https://t.co/0d4z7bnnup</v>
      </c>
    </row>
    <row r="6278" spans="1:5" ht="15" customHeight="1" x14ac:dyDescent="0.2">
      <c r="A6278" s="1" t="s">
        <v>12511</v>
      </c>
      <c r="B6278" s="1">
        <v>1</v>
      </c>
      <c r="C6278" s="3">
        <v>44540.700648148151</v>
      </c>
      <c r="D6278" s="1" t="s">
        <v>12512</v>
      </c>
      <c r="E6278" s="1" t="str">
        <f ca="1">IFERROR(__xludf.DUMMYFUNCTION("GOOGLETRANSLATE(A3077 , ""tr"" , ""en"")"),"@drfahrettinkoca If you do this as a minister we will trust and vaccine")</f>
        <v>@drfahrettinkoca If you do this as a minister we will trust and vaccine</v>
      </c>
    </row>
    <row r="6279" spans="1:5" ht="15" customHeight="1" x14ac:dyDescent="0.2">
      <c r="A6279" s="1" t="s">
        <v>12513</v>
      </c>
      <c r="B6279" s="1">
        <v>0</v>
      </c>
      <c r="C6279" s="3">
        <v>44540.700532407405</v>
      </c>
      <c r="D6279" s="1" t="s">
        <v>12514</v>
      </c>
      <c r="E6279" s="1" t="str">
        <f ca="1">IFERROR(__xludf.DUMMYFUNCTION("GOOGLETRANSLATE(A3078 , ""tr"" , ""en"")"),"@drfahrettinkoca Mr. Ministry of Assignment Attempted to assign the words of the following difficult times, see the net of the following difficult times like this Such Sexy ... HTTPS://T.CO/9YYEJHYMAI8")</f>
        <v>@drfahrettinkoca Mr. Ministry of Assignment Attempted to assign the words of the following difficult times, see the net of the following difficult times like this Such Sexy ... HTTPS://T.CO/9YYEJHYMAI8</v>
      </c>
    </row>
    <row r="6280" spans="1:5" ht="15" customHeight="1" x14ac:dyDescent="0.2">
      <c r="A6280" s="1" t="s">
        <v>12515</v>
      </c>
      <c r="B6280" s="1">
        <v>1</v>
      </c>
      <c r="C6280" s="3">
        <v>44540.700532407405</v>
      </c>
      <c r="D6280" s="1" t="s">
        <v>12516</v>
      </c>
      <c r="E6280" s="1" t="str">
        <f ca="1">IFERROR(__xludf.DUMMYFUNCTION("GOOGLETRANSLATE(A3079 , ""tr"" , ""en"")"),"@drfahrettinka says that they don't care about the disease they are still running low to get caught up.")</f>
        <v>@drfahrettinka says that they don't care about the disease they are still running low to get caught up.</v>
      </c>
    </row>
    <row r="6281" spans="1:5" ht="15" customHeight="1" x14ac:dyDescent="0.2">
      <c r="A6281" s="1" t="s">
        <v>12517</v>
      </c>
      <c r="B6281" s="1">
        <v>6</v>
      </c>
      <c r="C6281" s="3">
        <v>44540.700509259259</v>
      </c>
      <c r="D6281" s="1" t="s">
        <v>12518</v>
      </c>
      <c r="E6281" s="1" t="str">
        <f ca="1">IFERROR(__xludf.DUMMYFUNCTION("GOOGLETRANSLATE(A3080 , ""tr"" , ""en"")"),"@drfahrettinkoca # fkocahaftaayıyındaolduyether # fkocayakilavuzyaistifa https://t.co/rn4ftoxjag")</f>
        <v>@drfahrettinkoca # fkocahaftaayıyındaolduyether # fkocayakilavuzyaistifa https://t.co/rn4ftoxjag</v>
      </c>
    </row>
    <row r="6282" spans="1:5" ht="15" customHeight="1" x14ac:dyDescent="0.2">
      <c r="A6282" s="1" t="s">
        <v>12519</v>
      </c>
      <c r="B6282" s="1">
        <v>1</v>
      </c>
      <c r="C6282" s="3">
        <v>44540.700509259259</v>
      </c>
      <c r="D6282" s="1" t="s">
        <v>12520</v>
      </c>
      <c r="E6282" s="1" t="str">
        <f ca="1">IFERROR(__xludf.DUMMYFUNCTION("GOOGLETRANSLATE(A3081 , ""tr"" , ""en"")"),"@drfahrettinkoca Are you kidding people with people")</f>
        <v>@drfahrettinkoca Are you kidding people with people</v>
      </c>
    </row>
    <row r="6283" spans="1:5" ht="15" customHeight="1" x14ac:dyDescent="0.2">
      <c r="A6283" s="1" t="s">
        <v>12521</v>
      </c>
      <c r="B6283" s="1">
        <v>28</v>
      </c>
      <c r="C6283" s="3">
        <v>44540.700509259259</v>
      </c>
      <c r="D6283" s="1" t="s">
        <v>12522</v>
      </c>
      <c r="E6283" s="1" t="str">
        <f ca="1">IFERROR(__xludf.DUMMYFUNCTION("GOOGLETRANSLATE(A3082 , ""tr"" , ""en"")"),"@drfahrettinkoca If you think sensible, the folks vaccine is no longer the liquid. For him, the pchedemen of this ... https://t.co/0hvjgv1gxz")</f>
        <v>@drfahrettinkoca If you think sensible, the folks vaccine is no longer the liquid. For him, the pchedemen of this ... https://t.co/0hvjgv1gxz</v>
      </c>
    </row>
    <row r="6284" spans="1:5" ht="15" customHeight="1" x14ac:dyDescent="0.2">
      <c r="A6284" s="1" t="s">
        <v>12523</v>
      </c>
      <c r="B6284" s="1">
        <v>20</v>
      </c>
      <c r="C6284" s="3">
        <v>44540.70045138889</v>
      </c>
      <c r="D6284" s="1" t="s">
        <v>12524</v>
      </c>
      <c r="E6284" s="1" t="str">
        <f ca="1">IFERROR(__xludf.DUMMYFUNCTION("GOOGLETRANSLATE(A3083 , ""tr"" , ""en"")"),"@drfahrettinkoca We've begged to beg the assignment that we begged under every TVitin, please release the manual of the Minister of Mr.")</f>
        <v>@drfahrettinkoca We've begged to beg the assignment that we begged under every TVitin, please release the manual of the Minister of Mr.</v>
      </c>
    </row>
    <row r="6285" spans="1:5" ht="15" customHeight="1" x14ac:dyDescent="0.2">
      <c r="A6285" s="1" t="s">
        <v>12525</v>
      </c>
      <c r="B6285" s="1">
        <v>0</v>
      </c>
      <c r="C6285" s="3">
        <v>44540.700416666667</v>
      </c>
      <c r="D6285" s="1" t="s">
        <v>12526</v>
      </c>
      <c r="E6285" s="1" t="str">
        <f ca="1">IFERROR(__xludf.DUMMYFUNCTION("GOOGLETRANSLATE(A3084 , ""tr"" , ""en"")"),"@drfahrettinkoca Overlooking the Bey now what do we expect")</f>
        <v>@drfahrettinkoca Overlooking the Bey now what do we expect</v>
      </c>
    </row>
    <row r="6286" spans="1:5" ht="15" customHeight="1" x14ac:dyDescent="0.2">
      <c r="A6286" s="1" t="s">
        <v>12527</v>
      </c>
      <c r="B6286" s="1">
        <v>0</v>
      </c>
      <c r="C6286" s="3">
        <v>44540.70040509259</v>
      </c>
      <c r="D6286" s="1" t="s">
        <v>12528</v>
      </c>
      <c r="E6286" s="1" t="str">
        <f ca="1">IFERROR(__xludf.DUMMYFUNCTION("GOOGLETRANSLATE(A3085 , ""tr"" , ""en"")"),"@drfahrettinkoca when will you keep your word")</f>
        <v>@drfahrettinkoca when will you keep your word</v>
      </c>
    </row>
    <row r="6287" spans="1:5" ht="15" customHeight="1" x14ac:dyDescent="0.2">
      <c r="A6287" s="1" t="s">
        <v>12529</v>
      </c>
      <c r="B6287" s="1">
        <v>13</v>
      </c>
      <c r="C6287" s="3">
        <v>44540.700358796297</v>
      </c>
      <c r="D6287" s="1" t="s">
        <v>12530</v>
      </c>
      <c r="E6287" s="1" t="str">
        <f ca="1">IFERROR(__xludf.DUMMYFUNCTION("GOOGLETRANSLATE(A3086 , ""tr"" , ""en"")"),"@drfahrettinkoca has only 5k case in the cans.")</f>
        <v>@drfahrettinkoca has only 5k case in the cans.</v>
      </c>
    </row>
    <row r="6288" spans="1:5" ht="15" customHeight="1" x14ac:dyDescent="0.2">
      <c r="A6288" s="1" t="s">
        <v>12531</v>
      </c>
      <c r="B6288" s="1">
        <v>27</v>
      </c>
      <c r="C6288" s="3">
        <v>44540.700324074074</v>
      </c>
      <c r="D6288" s="1" t="s">
        <v>12532</v>
      </c>
      <c r="E6288" s="1" t="str">
        <f ca="1">IFERROR(__xludf.DUMMYFUNCTION("GOOGLETRANSLATE(A3087 , ""tr"" , ""en"")"),"@drfahrettinkoca is really a roll of the bunting")</f>
        <v>@drfahrettinkoca is really a roll of the bunting</v>
      </c>
    </row>
    <row r="6289" spans="1:5" ht="15" customHeight="1" x14ac:dyDescent="0.2">
      <c r="A6289" s="1" t="s">
        <v>12533</v>
      </c>
      <c r="B6289" s="1">
        <v>9</v>
      </c>
      <c r="C6289" s="3">
        <v>44540.700300925928</v>
      </c>
      <c r="D6289" s="1" t="s">
        <v>12534</v>
      </c>
      <c r="E6289" s="1" t="str">
        <f ca="1">IFERROR(__xludf.DUMMYFUNCTION("GOOGLETRANSLATE(A3088 , ""tr"" , ""en"")"),"@drfahrettinkoca Mr. Ministry We expect purchase for 1 year Why do you still don't even give a reaction to the beginning of the beginning ... https://t.co/tryrjqkkyr")</f>
        <v>@drfahrettinkoca Mr. Ministry We expect purchase for 1 year Why do you still don't even give a reaction to the beginning of the beginning ... https://t.co/tryrjqkkyr</v>
      </c>
    </row>
    <row r="6290" spans="1:5" ht="15" customHeight="1" x14ac:dyDescent="0.2">
      <c r="A6290" s="1" t="s">
        <v>12535</v>
      </c>
      <c r="B6290" s="1">
        <v>2</v>
      </c>
      <c r="C6290" s="3">
        <v>44540.700300925928</v>
      </c>
      <c r="D6290" s="1" t="s">
        <v>12536</v>
      </c>
      <c r="E6290" s="1" t="str">
        <f ca="1">IFERROR(__xludf.DUMMYFUNCTION("GOOGLETRANSLATE(A3089 , ""tr"" , ""en"")"),"@drfahrettinka Mr. Minister, 2 dose biontech vaccine to 3.dosis for the 3rdosis.")</f>
        <v>@drfahrettinka Mr. Minister, 2 dose biontech vaccine to 3.dosis for the 3rdosis.</v>
      </c>
    </row>
    <row r="6291" spans="1:5" ht="15" customHeight="1" x14ac:dyDescent="0.2">
      <c r="A6291" s="1" t="s">
        <v>12537</v>
      </c>
      <c r="B6291" s="1">
        <v>16</v>
      </c>
      <c r="C6291" s="3">
        <v>44540.700266203705</v>
      </c>
      <c r="D6291" s="1" t="s">
        <v>12538</v>
      </c>
      <c r="E6291" s="1" t="str">
        <f ca="1">IFERROR(__xludf.DUMMYFUNCTION("GOOGLETRANSLATE(A3090 , ""tr"" , ""en"")"),"@drfahrettinkoca Ministry Attachment in your Talk to Talk The Healthiers waiting for you to say a clear date from you.")</f>
        <v>@drfahrettinkoca Ministry Attachment in your Talk to Talk The Healthiers waiting for you to say a clear date from you.</v>
      </c>
    </row>
    <row r="6292" spans="1:5" ht="15" customHeight="1" x14ac:dyDescent="0.2">
      <c r="A6292" s="1" t="s">
        <v>12539</v>
      </c>
      <c r="B6292" s="1">
        <v>40</v>
      </c>
      <c r="C6292" s="3">
        <v>44540.700162037036</v>
      </c>
      <c r="D6292" s="1" t="s">
        <v>12540</v>
      </c>
      <c r="E6292" s="1" t="str">
        <f ca="1">IFERROR(__xludf.DUMMYFUNCTION("GOOGLETRANSLATE(A3091 , ""tr"" , ""en"")"),"@drfahrettinkoca Either this joke should be orthee doctors people go to the flocking policinity of the flow, a professor close ... https://t.co/jIbgdhkxs2")</f>
        <v>@drfahrettinkoca Either this joke should be orthee doctors people go to the flocking policinity of the flow, a professor close ... https://t.co/jIbgdhkxs2</v>
      </c>
    </row>
    <row r="6293" spans="1:5" ht="15" customHeight="1" x14ac:dyDescent="0.2">
      <c r="A6293" s="1" t="s">
        <v>12541</v>
      </c>
      <c r="B6293" s="1">
        <v>4</v>
      </c>
      <c r="C6293" s="3">
        <v>44540.700057870374</v>
      </c>
      <c r="D6293" s="1" t="s">
        <v>12542</v>
      </c>
      <c r="E6293" s="1" t="str">
        <f ca="1">IFERROR(__xludf.DUMMYFUNCTION("GOOGLETRANSLATE(A3092 , ""tr"" , ""en"")"),"@drfahrettinkoca you want a lot of teenagers but you don't do what young people want")</f>
        <v>@drfahrettinkoca you want a lot of teenagers but you don't do what young people want</v>
      </c>
    </row>
    <row r="6294" spans="1:5" ht="15" customHeight="1" x14ac:dyDescent="0.2">
      <c r="A6294" s="1" t="s">
        <v>12543</v>
      </c>
      <c r="B6294" s="1">
        <v>1</v>
      </c>
      <c r="C6294" s="3">
        <v>44540.699988425928</v>
      </c>
      <c r="D6294" s="1" t="s">
        <v>12544</v>
      </c>
      <c r="E6294" s="1" t="str">
        <f ca="1">IFERROR(__xludf.DUMMYFUNCTION("GOOGLETRANSLATE(A3093 , ""tr"" , ""en"")"),"@drfahrettinkoca Risk Reduced BakeStts Virus Expired at the beginning of 2022 to explain the description in the ta butler ... https://t.co/jelub3tdx5")</f>
        <v>@drfahrettinkoca Risk Reduced BakeStts Virus Expired at the beginning of 2022 to explain the description in the ta butler ... https://t.co/jelub3tdx5</v>
      </c>
    </row>
    <row r="6295" spans="1:5" ht="15" customHeight="1" x14ac:dyDescent="0.2">
      <c r="A6295" s="1" t="s">
        <v>12545</v>
      </c>
      <c r="B6295" s="1">
        <v>1</v>
      </c>
      <c r="C6295" s="3">
        <v>44540.699907407405</v>
      </c>
      <c r="D6295" s="1" t="s">
        <v>12546</v>
      </c>
      <c r="E6295" s="1" t="str">
        <f ca="1">IFERROR(__xludf.DUMMYFUNCTION("GOOGLETRANSLATE(A3094 , ""tr"" , ""en"")"),"@drfahrettinkoca 😂😂😂")</f>
        <v>@drfahrettinkoca 😂😂😂</v>
      </c>
    </row>
    <row r="6296" spans="1:5" ht="15" customHeight="1" x14ac:dyDescent="0.2">
      <c r="A6296" s="1" t="s">
        <v>12547</v>
      </c>
      <c r="B6296" s="1">
        <v>2</v>
      </c>
      <c r="C6296" s="3">
        <v>44540.699837962966</v>
      </c>
      <c r="D6296" s="1" t="s">
        <v>12548</v>
      </c>
      <c r="E6296" s="1" t="str">
        <f ca="1">IFERROR(__xludf.DUMMYFUNCTION("GOOGLETRANSLATE(A3095 , ""tr"" , ""en"")"),"Why @drfahrettinkoca is at a time the kovid agenda is over everywhere? I was wonderfully")</f>
        <v>Why @drfahrettinkoca is at a time the kovid agenda is over everywhere? I was wonderfully</v>
      </c>
    </row>
    <row r="6297" spans="1:5" ht="15" customHeight="1" x14ac:dyDescent="0.2">
      <c r="A6297" s="1" t="s">
        <v>12549</v>
      </c>
      <c r="B6297" s="1">
        <v>0</v>
      </c>
      <c r="C6297" s="3">
        <v>44540.699733796297</v>
      </c>
      <c r="D6297" s="1" t="s">
        <v>12550</v>
      </c>
      <c r="E6297" s="1" t="str">
        <f ca="1">IFERROR(__xludf.DUMMYFUNCTION("GOOGLETRANSLATE(A3096 , ""tr"" , ""en"")"),"@drfahrettinkoca Ministry of Allah Case for Allah Korona Multiple Ever Death and Case You Say ... Https://t.co/fyuuxzıksc")</f>
        <v>@drfahrettinkoca Ministry of Allah Case for Allah Korona Multiple Ever Death and Case You Say ... Https://t.co/fyuuxzıksc</v>
      </c>
    </row>
    <row r="6298" spans="1:5" ht="15" customHeight="1" x14ac:dyDescent="0.2">
      <c r="A6298" s="1" t="s">
        <v>12551</v>
      </c>
      <c r="B6298" s="1">
        <v>1</v>
      </c>
      <c r="C6298" s="3">
        <v>44540.699687499997</v>
      </c>
      <c r="D6298" s="1" t="s">
        <v>12552</v>
      </c>
      <c r="E6298" s="1" t="str">
        <f ca="1">IFERROR(__xludf.DUMMYFUNCTION("GOOGLETRANSLATE(A3097 , ""tr"" , ""en"")"),"@drfahrettinkoca lying table has come to")</f>
        <v>@drfahrettinkoca lying table has come to</v>
      </c>
    </row>
    <row r="6299" spans="1:5" ht="15" customHeight="1" x14ac:dyDescent="0.2">
      <c r="A6299" s="1" t="s">
        <v>12553</v>
      </c>
      <c r="B6299" s="1">
        <v>0</v>
      </c>
      <c r="C6299" s="3">
        <v>44540.699571759258</v>
      </c>
      <c r="D6299" s="1" t="s">
        <v>12554</v>
      </c>
      <c r="E6299" s="1" t="str">
        <f ca="1">IFERROR(__xludf.DUMMYFUNCTION("GOOGLETRANSLATE(A3098 , ""tr"" , ""en"")"),"@drfahrettinkoca Guide Come Enough We Wait")</f>
        <v>@drfahrettinkoca Guide Come Enough We Wait</v>
      </c>
    </row>
    <row r="6300" spans="1:5" ht="15" customHeight="1" x14ac:dyDescent="0.2">
      <c r="A6300" s="1" t="s">
        <v>9426</v>
      </c>
      <c r="B6300" s="1">
        <v>0</v>
      </c>
      <c r="C6300" s="3">
        <v>44540.69935185185</v>
      </c>
      <c r="D6300" s="1" t="s">
        <v>12555</v>
      </c>
      <c r="E6300" s="1" t="str">
        <f ca="1">IFERROR(__xludf.DUMMYFUNCTION("GOOGLETRANSLATE(A3099 , ""tr"" , ""en"")"),"@drfahrettinkoca :)")</f>
        <v>@drfahrettinkoca :)</v>
      </c>
    </row>
    <row r="6301" spans="1:5" ht="15" customHeight="1" x14ac:dyDescent="0.2">
      <c r="A6301" s="1" t="s">
        <v>12556</v>
      </c>
      <c r="B6301" s="1">
        <v>3</v>
      </c>
      <c r="C6301" s="3">
        <v>44540.699340277781</v>
      </c>
      <c r="D6301" s="1" t="s">
        <v>12557</v>
      </c>
      <c r="E6301" s="1" t="str">
        <f ca="1">IFERROR(__xludf.DUMMYFUNCTION("GOOGLETRANSLATE(A3100 , ""tr"" , ""en"")"),"@drfahrettinkoca If you are not going to assignment why did you give hope ???")</f>
        <v>@drfahrettinkoca If you are not going to assignment why did you give hope ???</v>
      </c>
    </row>
    <row r="6302" spans="1:5" ht="15" customHeight="1" x14ac:dyDescent="0.2">
      <c r="A6302" s="1" t="s">
        <v>12558</v>
      </c>
      <c r="B6302" s="1">
        <v>1</v>
      </c>
      <c r="C6302" s="3">
        <v>44540.699201388888</v>
      </c>
      <c r="D6302" s="1" t="s">
        <v>12559</v>
      </c>
      <c r="E6302" s="1" t="str">
        <f ca="1">IFERROR(__xludf.DUMMYFUNCTION("GOOGLETRANSLATE(A3101 , ""tr"" , ""en"")"),"@drfahrettinkoca Ministry of Our Bi Guide.")</f>
        <v>@drfahrettinkoca Ministry of Our Bi Guide.</v>
      </c>
    </row>
    <row r="6303" spans="1:5" ht="15" customHeight="1" x14ac:dyDescent="0.2">
      <c r="A6303" s="1" t="s">
        <v>12560</v>
      </c>
      <c r="B6303" s="1">
        <v>0</v>
      </c>
      <c r="C6303" s="3">
        <v>44540.699166666665</v>
      </c>
      <c r="D6303" s="1" t="s">
        <v>12561</v>
      </c>
      <c r="E6303" s="1" t="str">
        <f ca="1">IFERROR(__xludf.DUMMYFUNCTION("GOOGLETRANSLATE(A3102 , ""tr"" , ""en"")"),"@drfahrettinkoca assigning friends are asking the question in the wrong place. The journalists saw something to say ... https://t.co/2foefIN3xe")</f>
        <v>@drfahrettinkoca assigning friends are asking the question in the wrong place. The journalists saw something to say ... https://t.co/2foefIN3xe</v>
      </c>
    </row>
    <row r="6304" spans="1:5" ht="15" customHeight="1" x14ac:dyDescent="0.2">
      <c r="A6304" s="1" t="s">
        <v>12562</v>
      </c>
      <c r="B6304" s="1">
        <v>0</v>
      </c>
      <c r="C6304" s="3">
        <v>44540.699131944442</v>
      </c>
      <c r="D6304" s="1" t="s">
        <v>12563</v>
      </c>
      <c r="E6304" s="1" t="str">
        <f ca="1">IFERROR(__xludf.DUMMYFUNCTION("GOOGLETRANSLATE(A3103 , ""tr"" , ""en"")"),"@drfahrettinkoca cases began to fall face-to-face training full gas continued @kaanbozdas 😂")</f>
        <v>@drfahrettinkoca cases began to fall face-to-face training full gas continued @kaanbozdas 😂</v>
      </c>
    </row>
    <row r="6305" spans="1:5" ht="15" customHeight="1" x14ac:dyDescent="0.2">
      <c r="A6305" s="1" t="s">
        <v>12564</v>
      </c>
      <c r="B6305" s="1">
        <v>1</v>
      </c>
      <c r="C6305" s="3">
        <v>44540.699108796296</v>
      </c>
      <c r="D6305" s="1" t="s">
        <v>12565</v>
      </c>
      <c r="E6305" s="1" t="str">
        <f ca="1">IFERROR(__xludf.DUMMYFUNCTION("GOOGLETRANSLATE(A3104 , ""tr"" , ""en"")"),"@drfahrettinkoca prohibitions Come schools Hybrid training or weekend Education System 40 people in a classroom ... https://t.co/mrfbjcj48w")</f>
        <v>@drfahrettinkoca prohibitions Come schools Hybrid training or weekend Education System 40 people in a classroom ... https://t.co/mrfbjcj48w</v>
      </c>
    </row>
    <row r="6306" spans="1:5" ht="15" customHeight="1" x14ac:dyDescent="0.2">
      <c r="A6306" s="1" t="s">
        <v>12566</v>
      </c>
      <c r="B6306" s="1">
        <v>62</v>
      </c>
      <c r="C6306" s="3">
        <v>44540.69902777778</v>
      </c>
      <c r="D6306" s="1" t="s">
        <v>12567</v>
      </c>
      <c r="E6306" s="1" t="str">
        <f ca="1">IFERROR(__xludf.DUMMYFUNCTION("GOOGLETRANSLATE(A3105 , ""tr"" , ""en"")"),"@drfahrettinkoca 1 Bear Passed Under Branch I can't even believe you don't give you the Bransi Guide Game Ignore us ... https://t.co/fnwycolkty")</f>
        <v>@drfahrettinkoca 1 Bear Passed Under Branch I can't even believe you don't give you the Bransi Guide Game Ignore us ... https://t.co/fnwycolkty</v>
      </c>
    </row>
    <row r="6307" spans="1:5" ht="15" customHeight="1" x14ac:dyDescent="0.2">
      <c r="A6307" s="1" t="s">
        <v>12568</v>
      </c>
      <c r="B6307" s="1">
        <v>0</v>
      </c>
      <c r="C6307" s="3">
        <v>44540.698865740742</v>
      </c>
      <c r="D6307" s="1" t="s">
        <v>12569</v>
      </c>
      <c r="E6307" s="1" t="str">
        <f ca="1">IFERROR(__xludf.DUMMYFUNCTION("GOOGLETRANSLATE(A3106 , ""tr"" , ""en"")"),"@drfahrettinkoca Describe branches of branches no longer pity is that this is what you do")</f>
        <v>@drfahrettinkoca Describe branches of branches no longer pity is that this is what you do</v>
      </c>
    </row>
    <row r="6308" spans="1:5" ht="15" customHeight="1" x14ac:dyDescent="0.2">
      <c r="A6308" s="1" t="s">
        <v>12570</v>
      </c>
      <c r="B6308" s="1">
        <v>18</v>
      </c>
      <c r="C6308" s="3">
        <v>44540.698784722219</v>
      </c>
      <c r="D6308" s="1" t="s">
        <v>12571</v>
      </c>
      <c r="E6308" s="1" t="str">
        <f ca="1">IFERROR(__xludf.DUMMYFUNCTION("GOOGLETRANSLATE(A3107 , ""tr"" , ""en"")"),"@drfahrettinkoca anxiety is decreased to decrease non-Covid non-Covid :)))) You have been ang.")</f>
        <v>@drfahrettinkoca anxiety is decreased to decrease non-Covid non-Covid :)))) You have been ang.</v>
      </c>
    </row>
    <row r="6309" spans="1:5" ht="15" customHeight="1" x14ac:dyDescent="0.2">
      <c r="A6309" s="1" t="s">
        <v>12572</v>
      </c>
      <c r="B6309" s="1">
        <v>0</v>
      </c>
      <c r="C6309" s="3">
        <v>44540.698784722219</v>
      </c>
      <c r="D6309" s="1" t="s">
        <v>12573</v>
      </c>
      <c r="E6309" s="1" t="str">
        <f ca="1">IFERROR(__xludf.DUMMYFUNCTION("GOOGLETRANSLATE(A3108 , ""tr"" , ""en"")"),"@drfahrettinkoca where is the assignment ??????")</f>
        <v>@drfahrettinkoca where is the assignment ??????</v>
      </c>
    </row>
    <row r="6310" spans="1:5" ht="15" customHeight="1" x14ac:dyDescent="0.2">
      <c r="A6310" s="1" t="s">
        <v>12574</v>
      </c>
      <c r="B6310" s="1">
        <v>30</v>
      </c>
      <c r="C6310" s="3">
        <v>44540.69872685185</v>
      </c>
      <c r="D6310" s="1" t="s">
        <v>12575</v>
      </c>
      <c r="E6310" s="1" t="str">
        <f ca="1">IFERROR(__xludf.DUMMYFUNCTION("GOOGLETRANSLATE(A3109 , ""tr"" , ""en"")"),"@drfahrettinkoca Ministry Tomorrow A clear description expects our time on the guide we have run out of time to see this is very necessary on behalf of our")</f>
        <v>@drfahrettinkoca Ministry Tomorrow A clear description expects our time on the guide we have run out of time to see this is very necessary on behalf of our</v>
      </c>
    </row>
    <row r="6311" spans="1:5" ht="15" customHeight="1" x14ac:dyDescent="0.2">
      <c r="A6311" s="1" t="s">
        <v>12576</v>
      </c>
      <c r="B6311" s="1">
        <v>8</v>
      </c>
      <c r="C6311" s="3">
        <v>44540.698645833334</v>
      </c>
      <c r="D6311" s="1" t="s">
        <v>12577</v>
      </c>
      <c r="E6311" s="1" t="str">
        <f ca="1">IFERROR(__xludf.DUMMYFUNCTION("GOOGLETRANSLATE(A3110 , ""tr"" , ""en"")"),"@drfahrettinkoca 13 months It has been more than how long we will expect guide where to Mr.Drfahrettinkca")</f>
        <v>@drfahrettinkoca 13 months It has been more than how long we will expect guide where to Mr.Drfahrettinkca</v>
      </c>
    </row>
    <row r="6312" spans="1:5" ht="15" customHeight="1" x14ac:dyDescent="0.2">
      <c r="A6312" s="1" t="s">
        <v>12578</v>
      </c>
      <c r="B6312" s="1">
        <v>0</v>
      </c>
      <c r="C6312" s="3">
        <v>44540.698645833334</v>
      </c>
      <c r="D6312" s="1" t="s">
        <v>12579</v>
      </c>
      <c r="E6312" s="1" t="str">
        <f ca="1">IFERROR(__xludf.DUMMYFUNCTION("GOOGLETRANSLATE(A3111 , ""tr"" , ""en"")"),"@drfahrettinkoca One of my kidney I donate for material support money is interested in those who can write from the private blood group A +")</f>
        <v>@drfahrettinkoca One of my kidney I donate for material support money is interested in those who can write from the private blood group A +</v>
      </c>
    </row>
    <row r="6313" spans="1:5" ht="15" customHeight="1" x14ac:dyDescent="0.2">
      <c r="A6313" s="1" t="s">
        <v>12580</v>
      </c>
      <c r="B6313" s="1">
        <v>8</v>
      </c>
      <c r="C6313" s="3">
        <v>44540.698576388888</v>
      </c>
      <c r="D6313" s="1" t="s">
        <v>12581</v>
      </c>
      <c r="E6313" s="1" t="str">
        <f ca="1">IFERROR(__xludf.DUMMYFUNCTION("GOOGLETRANSLATE(A3112 , ""tr"" , ""en"")"),"@drfahrettinkoca Mr. Ministry We are ready for our children most affected by Covid-19 period. We ÇO ... https://t.co/dvxzegdt4n")</f>
        <v>@drfahrettinkoca Mr. Ministry We are ready for our children most affected by Covid-19 period. We ÇO ... https://t.co/dvxzegdt4n</v>
      </c>
    </row>
    <row r="6314" spans="1:5" ht="15" customHeight="1" x14ac:dyDescent="0.2">
      <c r="A6314" s="1" t="s">
        <v>12582</v>
      </c>
      <c r="B6314" s="1">
        <v>1</v>
      </c>
      <c r="C6314" s="3">
        <v>44540.698541666665</v>
      </c>
      <c r="D6314" s="1" t="s">
        <v>12583</v>
      </c>
      <c r="E6314" s="1" t="str">
        <f ca="1">IFERROR(__xludf.DUMMYFUNCTION("GOOGLETRANSLATE(A3113 , ""tr"" , ""en"")"),"@drfahrettinkoca guarinee when do you call the income minister.?")</f>
        <v>@drfahrettinkoca guarinee when do you call the income minister.?</v>
      </c>
    </row>
    <row r="6315" spans="1:5" ht="15" customHeight="1" x14ac:dyDescent="0.2">
      <c r="A6315" s="1" t="s">
        <v>12584</v>
      </c>
      <c r="B6315" s="1">
        <v>1</v>
      </c>
      <c r="C6315" s="3">
        <v>44540.698518518519</v>
      </c>
      <c r="D6315" s="1" t="s">
        <v>12585</v>
      </c>
      <c r="E6315" s="1" t="str">
        <f ca="1">IFERROR(__xludf.DUMMYFUNCTION("GOOGLETRANSLATE(A3114 , ""tr"" , ""en"")"),"@drfahrettinkoca when is guide")</f>
        <v>@drfahrettinkoca when is guide</v>
      </c>
    </row>
    <row r="6316" spans="1:5" ht="15" customHeight="1" x14ac:dyDescent="0.2">
      <c r="A6316" s="1" t="s">
        <v>12586</v>
      </c>
      <c r="B6316" s="1">
        <v>0</v>
      </c>
      <c r="C6316" s="3">
        <v>44540.698506944442</v>
      </c>
      <c r="D6316" s="1" t="s">
        <v>12587</v>
      </c>
      <c r="E6316" s="1" t="str">
        <f ca="1">IFERROR(__xludf.DUMMYFUNCTION("GOOGLETRANSLATE(A3115 , ""tr"" , ""en"")"),"@drfahrettinkoca give us your guide now")</f>
        <v>@drfahrettinkoca give us your guide now</v>
      </c>
    </row>
    <row r="6317" spans="1:5" ht="15" customHeight="1" x14ac:dyDescent="0.2">
      <c r="A6317" s="1" t="s">
        <v>12588</v>
      </c>
      <c r="B6317" s="1">
        <v>11</v>
      </c>
      <c r="C6317" s="3">
        <v>44540.698495370372</v>
      </c>
      <c r="D6317" s="1" t="s">
        <v>12589</v>
      </c>
      <c r="E6317" s="1" t="str">
        <f ca="1">IFERROR(__xludf.DUMMYFUNCTION("GOOGLETRANSLATE(A3116 , ""tr"" , ""en"")"),"@drfahrettinkoca cases do not fall test numbers fall careful")</f>
        <v>@drfahrettinkoca cases do not fall test numbers fall careful</v>
      </c>
    </row>
    <row r="6318" spans="1:5" ht="15" customHeight="1" x14ac:dyDescent="0.2">
      <c r="A6318" s="1" t="s">
        <v>12590</v>
      </c>
      <c r="B6318" s="1">
        <v>22</v>
      </c>
      <c r="C6318" s="3">
        <v>44540.698472222219</v>
      </c>
      <c r="D6318" s="1" t="s">
        <v>12591</v>
      </c>
      <c r="E6318" s="1" t="str">
        <f ca="1">IFERROR(__xludf.DUMMYFUNCTION("GOOGLETRANSLATE(A3117 , ""tr"" , ""en"")"),"@drfahrettinkoca you cry on this friday, if you know the prayers that I am. Night gets into your dreams don't sleep ... https://t.co/mv3mu6dhox")</f>
        <v>@drfahrettinkoca you cry on this friday, if you know the prayers that I am. Night gets into your dreams don't sleep ... https://t.co/mv3mu6dhox</v>
      </c>
    </row>
    <row r="6319" spans="1:5" ht="15" customHeight="1" x14ac:dyDescent="0.2">
      <c r="A6319" s="1" t="s">
        <v>12592</v>
      </c>
      <c r="B6319" s="1">
        <v>1</v>
      </c>
      <c r="C6319" s="3">
        <v>44540.698344907411</v>
      </c>
      <c r="D6319" s="1" t="s">
        <v>12593</v>
      </c>
      <c r="E6319" s="1" t="str">
        <f ca="1">IFERROR(__xludf.DUMMYFUNCTION("GOOGLETRANSLATE(A3118 , ""tr"" , ""en"")"),"@drfahrettinkoca assignment concern does not decrease")</f>
        <v>@drfahrettinkoca assignment concern does not decrease</v>
      </c>
    </row>
    <row r="6320" spans="1:5" ht="15" customHeight="1" x14ac:dyDescent="0.2">
      <c r="A6320" s="1" t="s">
        <v>12594</v>
      </c>
      <c r="B6320" s="1">
        <v>2</v>
      </c>
      <c r="C6320" s="3">
        <v>44540.698321759257</v>
      </c>
      <c r="D6320" s="1" t="s">
        <v>12595</v>
      </c>
      <c r="E6320" s="1" t="str">
        <f ca="1">IFERROR(__xludf.DUMMYFUNCTION("GOOGLETRANSLATE(A3119 , ""tr"" , ""en"")"),"@drfahrettinkoca is the reason for the concern of anxiety, do not wake up ??? !!!!!!!")</f>
        <v>@drfahrettinkoca is the reason for the concern of anxiety, do not wake up ??? !!!!!!!</v>
      </c>
    </row>
    <row r="6321" spans="1:5" ht="15" customHeight="1" x14ac:dyDescent="0.2">
      <c r="A6321" s="1" t="s">
        <v>12596</v>
      </c>
      <c r="B6321" s="1">
        <v>0</v>
      </c>
      <c r="C6321" s="3">
        <v>44540.698310185187</v>
      </c>
      <c r="D6321" s="1" t="s">
        <v>12597</v>
      </c>
      <c r="E6321" s="1" t="str">
        <f ca="1">IFERROR(__xludf.DUMMYFUNCTION("GOOGLETRANSLATE(A3120 , ""tr"" , ""en"")"),"@drfahrettinkoca These people are not people who are not people who don't know allah allah you will attract to you, you will attract my father's vebalini you will attract husband")</f>
        <v>@drfahrettinkoca These people are not people who are not people who don't know allah allah you will attract to you, you will attract my father's vebalini you will attract husband</v>
      </c>
    </row>
    <row r="6322" spans="1:5" ht="15" customHeight="1" x14ac:dyDescent="0.2">
      <c r="A6322" s="1" t="s">
        <v>12598</v>
      </c>
      <c r="B6322" s="1">
        <v>2</v>
      </c>
      <c r="C6322" s="3">
        <v>44540.698298611111</v>
      </c>
      <c r="D6322" s="1" t="s">
        <v>12599</v>
      </c>
      <c r="E6322" s="1" t="str">
        <f ca="1">IFERROR(__xludf.DUMMYFUNCTION("GOOGLETRANSLATE(A3121 , ""tr"" , ""en"")"),"@drfahrettinka Ministry of Ministry of Tomorrow Guide We are very tired We know that you know a statement not much to see a lot ... https://t.co/inczsdjr2m")</f>
        <v>@drfahrettinka Ministry of Ministry of Tomorrow Guide We are very tired We know that you know a statement not much to see a lot ... https://t.co/inczsdjr2m</v>
      </c>
    </row>
    <row r="6323" spans="1:5" ht="15" customHeight="1" x14ac:dyDescent="0.2">
      <c r="A6323" s="1" t="s">
        <v>12600</v>
      </c>
      <c r="B6323" s="1">
        <v>34</v>
      </c>
      <c r="C6323" s="3">
        <v>44540.698287037034</v>
      </c>
      <c r="D6323" s="1" t="s">
        <v>12601</v>
      </c>
      <c r="E6323" s="1" t="str">
        <f ca="1">IFERROR(__xludf.DUMMYFUNCTION("GOOGLETRANSLATE(A3122 , ""tr"" , ""en"")"),"@drfahrettinkoca 1 year I can't explain the assignment with nothing can you explain")</f>
        <v>@drfahrettinkoca 1 year I can't explain the assignment with nothing can you explain</v>
      </c>
    </row>
    <row r="6324" spans="1:5" ht="15" customHeight="1" x14ac:dyDescent="0.2">
      <c r="A6324" s="1" t="s">
        <v>10058</v>
      </c>
      <c r="B6324" s="1">
        <v>1</v>
      </c>
      <c r="C6324" s="3">
        <v>44540.698252314818</v>
      </c>
      <c r="D6324" s="1" t="s">
        <v>12602</v>
      </c>
      <c r="E6324" s="1" t="str">
        <f ca="1">IFERROR(__xludf.DUMMYFUNCTION("GOOGLETRANSLATE(A3123 , ""tr"" , ""en"")"),"@drfahrettinkoca Guide")</f>
        <v>@drfahrettinkoca Guide</v>
      </c>
    </row>
    <row r="6325" spans="1:5" ht="15" customHeight="1" x14ac:dyDescent="0.2">
      <c r="A6325" s="1" t="s">
        <v>12603</v>
      </c>
      <c r="B6325" s="1">
        <v>24</v>
      </c>
      <c r="C6325" s="3">
        <v>44540.698229166665</v>
      </c>
      <c r="D6325" s="1" t="s">
        <v>12604</v>
      </c>
      <c r="E6325" s="1" t="str">
        <f ca="1">IFERROR(__xludf.DUMMYFUNCTION("GOOGLETRANSLATE(A3124 , ""tr"" , ""en"")"),"@drfahrettinka vaccines are missing ones ... they will never reach the full grown order.")</f>
        <v>@drfahrettinka vaccines are missing ones ... they will never reach the full grown order.</v>
      </c>
    </row>
    <row r="6326" spans="1:5" ht="15" customHeight="1" x14ac:dyDescent="0.2">
      <c r="A6326" s="1" t="s">
        <v>12605</v>
      </c>
      <c r="B6326" s="1">
        <v>0</v>
      </c>
      <c r="C6326" s="3">
        <v>44540.698217592595</v>
      </c>
      <c r="D6326" s="1" t="s">
        <v>12606</v>
      </c>
      <c r="E6326" s="1" t="str">
        <f ca="1">IFERROR(__xludf.DUMMYFUNCTION("GOOGLETRANSLATE(A3125 , ""tr"" , ""en"")"),"@drfahrettinkoca tomorrow 15.bin figure")</f>
        <v>@drfahrettinkoca tomorrow 15.bin figure</v>
      </c>
    </row>
    <row r="6327" spans="1:5" ht="15" customHeight="1" x14ac:dyDescent="0.2">
      <c r="A6327" s="1" t="s">
        <v>12607</v>
      </c>
      <c r="B6327" s="1">
        <v>1</v>
      </c>
      <c r="C6327" s="3">
        <v>44540.698206018518</v>
      </c>
      <c r="D6327" s="1" t="s">
        <v>12608</v>
      </c>
      <c r="E6327" s="1" t="str">
        <f ca="1">IFERROR(__xludf.DUMMYFUNCTION("GOOGLETRANSLATE(A3126 , ""tr"" , ""en"")"),"@drfahrettinkoca I wish I would be able to read Health I would be the minister if I learned to make the table from the computer I would be the bari")</f>
        <v>@drfahrettinkoca I wish I would be able to read Health I would be the minister if I learned to make the table from the computer I would be the bari</v>
      </c>
    </row>
    <row r="6328" spans="1:5" ht="15" customHeight="1" x14ac:dyDescent="0.2">
      <c r="A6328" s="1" t="s">
        <v>12609</v>
      </c>
      <c r="B6328" s="1">
        <v>34</v>
      </c>
      <c r="C6328" s="3">
        <v>44540.698148148149</v>
      </c>
      <c r="D6328" s="1" t="s">
        <v>12610</v>
      </c>
      <c r="E6328" s="1" t="str">
        <f ca="1">IFERROR(__xludf.DUMMYFUNCTION("GOOGLETRANSLATE(A3127 , ""tr"" , ""en"")"),"@drfahrettinkoca Healthiers are waiting for the guide! If you are going to assign this time assignment, what did we expect this time ????")</f>
        <v>@drfahrettinkoca Healthiers are waiting for the guide! If you are going to assign this time assignment, what did we expect this time ????</v>
      </c>
    </row>
    <row r="6329" spans="1:5" ht="15" customHeight="1" x14ac:dyDescent="0.2">
      <c r="A6329" s="1" t="s">
        <v>12611</v>
      </c>
      <c r="B6329" s="1">
        <v>0</v>
      </c>
      <c r="C6329" s="3">
        <v>44540.698078703703</v>
      </c>
      <c r="D6329" s="1" t="s">
        <v>12612</v>
      </c>
      <c r="E6329" s="1" t="str">
        <f ca="1">IFERROR(__xludf.DUMMYFUNCTION("GOOGLETRANSLATE(A3128 , ""tr"" , ""en"")"),"@drfahrettinkoca you are kidding no other explanation.")</f>
        <v>@drfahrettinkoca you are kidding no other explanation.</v>
      </c>
    </row>
    <row r="6330" spans="1:5" ht="15" customHeight="1" x14ac:dyDescent="0.2">
      <c r="A6330" s="1" t="s">
        <v>12613</v>
      </c>
      <c r="B6330" s="1">
        <v>13</v>
      </c>
      <c r="C6330" s="3">
        <v>44540.69803240741</v>
      </c>
      <c r="D6330" s="1" t="s">
        <v>12614</v>
      </c>
      <c r="E6330" s="1" t="str">
        <f ca="1">IFERROR(__xludf.DUMMYFUNCTION("GOOGLETRANSLATE(A3129 , ""tr"" , ""en"")"),"@drfahrettinkoca Mr. Minister, why you do not open up to 5-12 years of age to families who want to be 5-12 years of age? More than 5 million ... https://t.co/sl1cxmynvr")</f>
        <v>@drfahrettinkoca Mr. Minister, why you do not open up to 5-12 years of age to families who want to be 5-12 years of age? More than 5 million ... https://t.co/sl1cxmynvr</v>
      </c>
    </row>
    <row r="6331" spans="1:5" ht="15" customHeight="1" x14ac:dyDescent="0.2">
      <c r="A6331" s="1" t="s">
        <v>12615</v>
      </c>
      <c r="B6331" s="1">
        <v>0</v>
      </c>
      <c r="C6331" s="3">
        <v>44540.698020833333</v>
      </c>
      <c r="D6331" s="1" t="s">
        <v>12616</v>
      </c>
      <c r="E6331" s="1" t="str">
        <f ca="1">IFERROR(__xludf.DUMMYFUNCTION("GOOGLETRANSLATE(A3130 , ""tr"" , ""en"")"),"@drfahrettinkoca 2 biontek not enough they say abroad, what do you say? 3 bionrek needs it right now. 2 Sino ... https://t.co/ufzwbumlml")</f>
        <v>@drfahrettinkoca 2 biontek not enough they say abroad, what do you say? 3 bionrek needs it right now. 2 Sino ... https://t.co/ufzwbumlml</v>
      </c>
    </row>
    <row r="6332" spans="1:5" ht="15" customHeight="1" x14ac:dyDescent="0.2">
      <c r="A6332" s="1" t="s">
        <v>12617</v>
      </c>
      <c r="B6332" s="1">
        <v>19</v>
      </c>
      <c r="C6332" s="3">
        <v>44540.698020833333</v>
      </c>
      <c r="D6332" s="1" t="s">
        <v>12618</v>
      </c>
      <c r="E6332" s="1" t="str">
        <f ca="1">IFERROR(__xludf.DUMMYFUNCTION("GOOGLETRANSLATE(A3131 , ""tr"" , ""en"")"),"@drfahrettinkoca Maşallah MaşhaLah All over the world is increasing cases in all the world's last speed landing Bravo Valla 🤪🤪")</f>
        <v>@drfahrettinkoca Maşallah MaşhaLah All over the world is increasing cases in all the world's last speed landing Bravo Valla 🤪🤪</v>
      </c>
    </row>
    <row r="6333" spans="1:5" ht="15" customHeight="1" x14ac:dyDescent="0.2">
      <c r="A6333" s="1" t="s">
        <v>12619</v>
      </c>
      <c r="B6333" s="1">
        <v>2</v>
      </c>
      <c r="C6333" s="3">
        <v>44540.698009259257</v>
      </c>
      <c r="D6333" s="1" t="s">
        <v>12620</v>
      </c>
      <c r="E6333" s="1" t="str">
        <f ca="1">IFERROR(__xludf.DUMMYFUNCTION("GOOGLETRANSLATE(A3132 , ""tr"" , ""en"")"),"@drfahrettinkoca final warning 7 (d) #the how will we change the world to change the world i'm in mehi i'm mehi ... https://t.co/2lfa3cefrb")</f>
        <v>@drfahrettinkoca final warning 7 (d) #the how will we change the world to change the world i'm in mehi i'm mehi ... https://t.co/2lfa3cefrb</v>
      </c>
    </row>
    <row r="6334" spans="1:5" ht="15" customHeight="1" x14ac:dyDescent="0.2">
      <c r="A6334" s="1" t="s">
        <v>12621</v>
      </c>
      <c r="B6334" s="1">
        <v>2</v>
      </c>
      <c r="C6334" s="3">
        <v>44540.697893518518</v>
      </c>
      <c r="D6334" s="1" t="s">
        <v>12622</v>
      </c>
      <c r="E6334" s="1" t="str">
        <f ca="1">IFERROR(__xludf.DUMMYFUNCTION("GOOGLETRANSLATE(A3133 , ""tr"" , ""en"")"),"@drfahrettinkoca hahaha seriously believing in the")</f>
        <v>@drfahrettinkoca hahaha seriously believing in the</v>
      </c>
    </row>
    <row r="6335" spans="1:5" ht="15" customHeight="1" x14ac:dyDescent="0.2">
      <c r="A6335" s="1" t="s">
        <v>12623</v>
      </c>
      <c r="B6335" s="1">
        <v>12</v>
      </c>
      <c r="C6335" s="3">
        <v>44540.697870370372</v>
      </c>
      <c r="D6335" s="1" t="s">
        <v>12624</v>
      </c>
      <c r="E6335" s="1" t="str">
        <f ca="1">IFERROR(__xludf.DUMMYFUNCTION("GOOGLETRANSLATE(A3134 , ""tr"" , ""en"")"),"@drfahrettinkoca yeah, friends we believe 3")</f>
        <v>@drfahrettinkoca yeah, friends we believe 3</v>
      </c>
    </row>
    <row r="6336" spans="1:5" ht="15" customHeight="1" x14ac:dyDescent="0.2">
      <c r="A6336" s="1" t="s">
        <v>12625</v>
      </c>
      <c r="B6336" s="1">
        <v>2</v>
      </c>
      <c r="C6336" s="3">
        <v>44540.697847222225</v>
      </c>
      <c r="D6336" s="1" t="s">
        <v>12626</v>
      </c>
      <c r="E6336" s="1" t="str">
        <f ca="1">IFERROR(__xludf.DUMMYFUNCTION("GOOGLETRANSLATE(A3135 , ""tr"" , ""en"")"),"@drfahrettinkoca clasum clavy claske clasum clasum clasum clasum clasum clasum clasum clasum clasum clasum clasum clasum clasum clasum guide guide guide guide ... https://t.co/d6emgg5h55")</f>
        <v>@drfahrettinkoca clasum clavy claske clasum clasum clasum clasum clasum clasum clasum clasum clasum clasum clasum clasum clasum clasum guide guide guide guide ... https://t.co/d6emgg5h55</v>
      </c>
    </row>
    <row r="6337" spans="1:5" ht="15" customHeight="1" x14ac:dyDescent="0.2">
      <c r="A6337" s="1" t="s">
        <v>12627</v>
      </c>
      <c r="B6337" s="1">
        <v>1</v>
      </c>
      <c r="C6337" s="3">
        <v>44540.697847222225</v>
      </c>
      <c r="D6337" s="1" t="s">
        <v>12628</v>
      </c>
      <c r="E6337" s="1" t="str">
        <f ca="1">IFERROR(__xludf.DUMMYFUNCTION("GOOGLETRANSLATE(A3136 , ""tr"" , ""en"")"),"@drfahrettinkoca guide where the ministermm guide")</f>
        <v>@drfahrettinkoca guide where the ministermm guide</v>
      </c>
    </row>
    <row r="6338" spans="1:5" ht="15" customHeight="1" x14ac:dyDescent="0.2">
      <c r="A6338" s="1" t="s">
        <v>12629</v>
      </c>
      <c r="B6338" s="1">
        <v>84</v>
      </c>
      <c r="C6338" s="3">
        <v>44540.697847222225</v>
      </c>
      <c r="D6338" s="1" t="s">
        <v>12630</v>
      </c>
      <c r="E6338" s="1" t="str">
        <f ca="1">IFERROR(__xludf.DUMMYFUNCTION("GOOGLETRANSLATE(A3137 , ""tr"" , ""en"")"),"@drfahrettinkoca Army among the highest provinces in vaccination. But the number of cases is also among the highest provinces. Capture ... https://t.co/lrkxzkgqhh")</f>
        <v>@drfahrettinkoca Army among the highest provinces in vaccination. But the number of cases is also among the highest provinces. Capture ... https://t.co/lrkxzkgqhh</v>
      </c>
    </row>
    <row r="6339" spans="1:5" ht="15" customHeight="1" x14ac:dyDescent="0.2">
      <c r="A6339" s="1" t="s">
        <v>12631</v>
      </c>
      <c r="B6339" s="1">
        <v>0</v>
      </c>
      <c r="C6339" s="3">
        <v>44540.697824074072</v>
      </c>
      <c r="D6339" s="1" t="s">
        <v>12632</v>
      </c>
      <c r="E6339" s="1" t="str">
        <f ca="1">IFERROR(__xludf.DUMMYFUNCTION("GOOGLETRANSLATE(A3138 , ""tr"" , ""en"")"),"@drfahrettinkoca Did you accept the death of 170 people every day? Don't you have to do anything to stop that?")</f>
        <v>@drfahrettinkoca Did you accept the death of 170 people every day? Don't you have to do anything to stop that?</v>
      </c>
    </row>
    <row r="6340" spans="1:5" ht="15" customHeight="1" x14ac:dyDescent="0.2">
      <c r="A6340" s="1" t="s">
        <v>12633</v>
      </c>
      <c r="B6340" s="1">
        <v>1</v>
      </c>
      <c r="C6340" s="3">
        <v>44540.697777777779</v>
      </c>
      <c r="D6340" s="1" t="s">
        <v>12634</v>
      </c>
      <c r="E6340" s="1" t="str">
        <f ca="1">IFERROR(__xludf.DUMMYFUNCTION("GOOGLETRANSLATE(A3139 , ""tr"" , ""en"")"),"@drfahrettinkoca you have decided to assign people in 2-3. After you quit and we will get 30 thousand people SE ... https://t.co/coazm6jj4m")</f>
        <v>@drfahrettinkoca you have decided to assign people in 2-3. After you quit and we will get 30 thousand people SE ... https://t.co/coazm6jj4m</v>
      </c>
    </row>
    <row r="6341" spans="1:5" ht="15" customHeight="1" x14ac:dyDescent="0.2">
      <c r="A6341" s="1" t="s">
        <v>12635</v>
      </c>
      <c r="B6341" s="1">
        <v>100</v>
      </c>
      <c r="C6341" s="3">
        <v>44540.69771990741</v>
      </c>
      <c r="D6341" s="1" t="s">
        <v>12636</v>
      </c>
      <c r="E6341" s="1" t="str">
        <f ca="1">IFERROR(__xludf.DUMMYFUNCTION("GOOGLETRANSLATE(A3140 , ""tr"" , ""en"")"),"@drfahrettinkoca no The opposite grafted ones are afraid of you still don't have a problem like this")</f>
        <v>@drfahrettinkoca no The opposite grafted ones are afraid of you still don't have a problem like this</v>
      </c>
    </row>
    <row r="6342" spans="1:5" ht="15" customHeight="1" x14ac:dyDescent="0.2">
      <c r="A6342" s="1" t="s">
        <v>12637</v>
      </c>
      <c r="B6342" s="1">
        <v>0</v>
      </c>
      <c r="C6342" s="3">
        <v>44540.69771990741</v>
      </c>
      <c r="D6342" s="1" t="s">
        <v>12638</v>
      </c>
      <c r="E6342" s="1" t="str">
        <f ca="1">IFERROR(__xludf.DUMMYFUNCTION("GOOGLETRANSLATE(A3141 , ""tr"" , ""en"")"),"@drfahrettinkoca guy, as guys like guys have finished in my teacher's core")</f>
        <v>@drfahrettinkoca guy, as guys like guys have finished in my teacher's core</v>
      </c>
    </row>
    <row r="6343" spans="1:5" ht="15" customHeight="1" x14ac:dyDescent="0.2">
      <c r="A6343" s="1" t="s">
        <v>12639</v>
      </c>
      <c r="B6343" s="1">
        <v>7</v>
      </c>
      <c r="C6343" s="3">
        <v>44540.697685185187</v>
      </c>
      <c r="D6343" s="1" t="s">
        <v>12640</v>
      </c>
      <c r="E6343" s="1" t="str">
        <f ca="1">IFERROR(__xludf.DUMMYFUNCTION("GOOGLETRANSLATE(A3142 , ""tr"" , ""en"")"),"@drfahrettinka thank you for your interest we don't buy it")</f>
        <v>@drfahrettinka thank you for your interest we don't buy it</v>
      </c>
    </row>
    <row r="6344" spans="1:5" ht="15" customHeight="1" x14ac:dyDescent="0.2">
      <c r="A6344" s="1" t="s">
        <v>12641</v>
      </c>
      <c r="B6344" s="1">
        <v>0</v>
      </c>
      <c r="C6344" s="3">
        <v>44540.697662037041</v>
      </c>
      <c r="D6344" s="1" t="s">
        <v>12642</v>
      </c>
      <c r="E6344" s="1" t="str">
        <f ca="1">IFERROR(__xludf.DUMMYFUNCTION("GOOGLETRANSLATE(A3143 , ""tr"" , ""en"")"),"@drfahrettinkoca when will schools be closed")</f>
        <v>@drfahrettinkoca when will schools be closed</v>
      </c>
    </row>
    <row r="6345" spans="1:5" ht="15" customHeight="1" x14ac:dyDescent="0.2">
      <c r="A6345" s="1" t="s">
        <v>12643</v>
      </c>
      <c r="B6345" s="1">
        <v>31</v>
      </c>
      <c r="C6345" s="3">
        <v>44540.697638888887</v>
      </c>
      <c r="D6345" s="1" t="s">
        <v>12644</v>
      </c>
      <c r="E6345" s="1" t="str">
        <f ca="1">IFERROR(__xludf.DUMMYFUNCTION("GOOGLETRANSLATE(A3144 , ""tr"" , ""en"")"),"@drfahrettinka Mr. Ministry Guidance is welded guailing guide")</f>
        <v>@drfahrettinka Mr. Ministry Guidance is welded guailing guide</v>
      </c>
    </row>
    <row r="6346" spans="1:5" ht="15" customHeight="1" x14ac:dyDescent="0.2">
      <c r="A6346" s="1" t="s">
        <v>12645</v>
      </c>
      <c r="B6346" s="1">
        <v>0</v>
      </c>
      <c r="C6346" s="3">
        <v>44540.697604166664</v>
      </c>
      <c r="D6346" s="1" t="s">
        <v>12646</v>
      </c>
      <c r="E6346" s="1" t="str">
        <f ca="1">IFERROR(__xludf.DUMMYFUNCTION("GOOGLETRANSLATE(A3145 , ""tr"" , ""en"")"),"@drfahrettinkoca vaccines Those who are not sickening to be ill, this way does not explain")</f>
        <v>@drfahrettinkoca vaccines Those who are not sickening to be ill, this way does not explain</v>
      </c>
    </row>
    <row r="6347" spans="1:5" ht="15" customHeight="1" x14ac:dyDescent="0.2">
      <c r="A6347" s="1" t="s">
        <v>12647</v>
      </c>
      <c r="B6347" s="1">
        <v>1</v>
      </c>
      <c r="C6347" s="3">
        <v>44540.697581018518</v>
      </c>
      <c r="D6347" s="1" t="s">
        <v>12648</v>
      </c>
      <c r="E6347" s="1" t="str">
        <f ca="1">IFERROR(__xludf.DUMMYFUNCTION("GOOGLETRANSLATE(A3146 , ""tr"" , ""en"")"),"@drfahrettinkoca zero zero what 18500U SIIFR amk")</f>
        <v>@drfahrettinkoca zero zero what 18500U SIIFR amk</v>
      </c>
    </row>
    <row r="6348" spans="1:5" ht="15" customHeight="1" x14ac:dyDescent="0.2">
      <c r="A6348" s="1" t="s">
        <v>12649</v>
      </c>
      <c r="B6348" s="1">
        <v>3</v>
      </c>
      <c r="C6348" s="3">
        <v>44540.697581018518</v>
      </c>
      <c r="D6348" s="1" t="s">
        <v>12650</v>
      </c>
      <c r="E6348" s="1" t="str">
        <f ca="1">IFERROR(__xludf.DUMMYFUNCTION("GOOGLETRANSLATE(A3147 , ""tr"" , ""en"")"),"@drfahrettinkoca Remote Education Gümbür Gümbür comes, Omicron comes, coming closing 👉📢⏳")</f>
        <v>@drfahrettinkoca Remote Education Gümbür Gümbür comes, Omicron comes, coming closing 👉📢⏳</v>
      </c>
    </row>
    <row r="6349" spans="1:5" ht="15" customHeight="1" x14ac:dyDescent="0.2">
      <c r="A6349" s="1" t="s">
        <v>12651</v>
      </c>
      <c r="B6349" s="1">
        <v>0</v>
      </c>
      <c r="C6349" s="3">
        <v>44540.697488425925</v>
      </c>
      <c r="D6349" s="1" t="s">
        <v>12652</v>
      </c>
      <c r="E6349" s="1" t="str">
        <f ca="1">IFERROR(__xludf.DUMMYFUNCTION("GOOGLETRANSLATE(A3148 , ""tr"" , ""en"")"),"@drfahrettinkoca at the end! Acillation stops the disease decreases")</f>
        <v>@drfahrettinkoca at the end! Acillation stops the disease decreases</v>
      </c>
    </row>
    <row r="6350" spans="1:5" ht="15" customHeight="1" x14ac:dyDescent="0.2">
      <c r="A6350" s="1" t="s">
        <v>12653</v>
      </c>
      <c r="B6350" s="1">
        <v>1</v>
      </c>
      <c r="C6350" s="3">
        <v>44540.697488425925</v>
      </c>
      <c r="D6350" s="1" t="s">
        <v>12654</v>
      </c>
      <c r="E6350" s="1" t="str">
        <f ca="1">IFERROR(__xludf.DUMMYFUNCTION("GOOGLETRANSLATE(A3149 , ""tr"" , ""en"")"),"@drfahrettinkoca ""Garsooon A Champagne More than 30 Thousand Pounds From There! You pay the ring too!"" Sovereign Donation https://t.co/jxdccceqshx")</f>
        <v>@drfahrettinkoca "Garsooon A Champagne More than 30 Thousand Pounds From There! You pay the ring too!" Sovereign Donation https://t.co/jxdccceqshx</v>
      </c>
    </row>
    <row r="6351" spans="1:5" ht="15" customHeight="1" x14ac:dyDescent="0.2">
      <c r="A6351" s="1" t="s">
        <v>12655</v>
      </c>
      <c r="B6351" s="1">
        <v>243</v>
      </c>
      <c r="C6351" s="3">
        <v>44540.697465277779</v>
      </c>
      <c r="D6351" s="1" t="s">
        <v>12656</v>
      </c>
      <c r="E6351" s="1" t="str">
        <f ca="1">IFERROR(__xludf.DUMMYFUNCTION("GOOGLETRANSLATE(A3150 , ""tr"" , ""en"")"),"@drfahrettinka says Sinovac yesterday says useless today. 3rd dose of biontech yesterday 3. dose today ... https://t.co/lljdawlruz")</f>
        <v>@drfahrettinka says Sinovac yesterday says useless today. 3rd dose of biontech yesterday 3. dose today ... https://t.co/lljdawlruz</v>
      </c>
    </row>
    <row r="6352" spans="1:5" ht="15" customHeight="1" x14ac:dyDescent="0.2">
      <c r="A6352" s="1" t="s">
        <v>12657</v>
      </c>
      <c r="B6352" s="1">
        <v>1</v>
      </c>
      <c r="C6352" s="3">
        <v>44540.697418981479</v>
      </c>
      <c r="D6352" s="1" t="s">
        <v>12658</v>
      </c>
      <c r="E6352" s="1" t="str">
        <f ca="1">IFERROR(__xludf.DUMMYFUNCTION("GOOGLETRANSLATE(A3151 , ""tr"" , ""en"")"),"@drfahrettinkoca is no bookless fucker! The only eye is the little devil's son! Treacherous! Stay in the eye of the sow of the sow of the sow, the milk you suck!")</f>
        <v>@drfahrettinkoca is no bookless fucker! The only eye is the little devil's son! Treacherous! Stay in the eye of the sow of the sow of the sow, the milk you suck!</v>
      </c>
    </row>
    <row r="6353" spans="1:5" ht="15" customHeight="1" x14ac:dyDescent="0.2">
      <c r="A6353" s="1" t="s">
        <v>12659</v>
      </c>
      <c r="B6353" s="1">
        <v>5</v>
      </c>
      <c r="C6353" s="3">
        <v>44540.697337962964</v>
      </c>
      <c r="D6353" s="1" t="s">
        <v>12660</v>
      </c>
      <c r="E6353" s="1" t="str">
        <f ca="1">IFERROR(__xludf.DUMMYFUNCTION("GOOGLETRANSLATE(A3152 , ""tr"" , ""en"")"),"@drfahrettinkoca Casual Casual Call So you say so.")</f>
        <v>@drfahrettinkoca Casual Casual Call So you say so.</v>
      </c>
    </row>
    <row r="6354" spans="1:5" ht="15" customHeight="1" x14ac:dyDescent="0.2">
      <c r="A6354" s="1" t="s">
        <v>12661</v>
      </c>
      <c r="B6354" s="1">
        <v>9</v>
      </c>
      <c r="C6354" s="3">
        <v>44540.697326388887</v>
      </c>
      <c r="D6354" s="1" t="s">
        <v>12662</v>
      </c>
      <c r="E6354" s="1" t="str">
        <f ca="1">IFERROR(__xludf.DUMMYFUNCTION("GOOGLETRANSLATE(A3153 , ""tr"" , ""en"")"),"@drfahrettinkoca is not assigning the months, you have darkened the life of thousands of young people. My right is not halal to you")</f>
        <v>@drfahrettinkoca is not assigning the months, you have darkened the life of thousands of young people. My right is not halal to you</v>
      </c>
    </row>
    <row r="6355" spans="1:5" ht="15" customHeight="1" x14ac:dyDescent="0.2">
      <c r="A6355" s="1" t="s">
        <v>12663</v>
      </c>
      <c r="B6355" s="1">
        <v>1</v>
      </c>
      <c r="C6355" s="3">
        <v>44540.697314814817</v>
      </c>
      <c r="D6355" s="1" t="s">
        <v>12664</v>
      </c>
      <c r="E6355" s="1" t="str">
        <f ca="1">IFERROR(__xludf.DUMMYFUNCTION("GOOGLETRANSLATE(A3154 , ""tr"" , ""en"")"),"@drfahrettinkoca Europe is burning Risk is reduced What good is Valla")</f>
        <v>@drfahrettinkoca Europe is burning Risk is reduced What good is Valla</v>
      </c>
    </row>
    <row r="6356" spans="1:5" ht="15" customHeight="1" x14ac:dyDescent="0.2">
      <c r="A6356" s="1" t="s">
        <v>12665</v>
      </c>
      <c r="B6356" s="1">
        <v>78</v>
      </c>
      <c r="C6356" s="3">
        <v>44540.69730324074</v>
      </c>
      <c r="D6356" s="1" t="s">
        <v>12666</v>
      </c>
      <c r="E6356" s="1" t="str">
        <f ca="1">IFERROR(__xludf.DUMMYFUNCTION("GOOGLETRANSLATE(A3155 , ""tr"" , ""en"")"),"@drfahrettinkoca Alany in the increasing case we believe in it, did not believe that it is falling to avoid taking measures these numbers in question")</f>
        <v>@drfahrettinkoca Alany in the increasing case we believe in it, did not believe that it is falling to avoid taking measures these numbers in question</v>
      </c>
    </row>
    <row r="6357" spans="1:5" ht="15" customHeight="1" x14ac:dyDescent="0.2">
      <c r="A6357" s="1" t="s">
        <v>12667</v>
      </c>
      <c r="B6357" s="1">
        <v>0</v>
      </c>
      <c r="C6357" s="3">
        <v>44540.697256944448</v>
      </c>
      <c r="D6357" s="1" t="s">
        <v>12668</v>
      </c>
      <c r="E6357" s="1" t="str">
        <f ca="1">IFERROR(__xludf.DUMMYFUNCTION("GOOGLETRANSLATE(A3156 , ""tr"" , ""en"")"),"@drfahrettinkoca you have finished our youth")</f>
        <v>@drfahrettinkoca you have finished our youth</v>
      </c>
    </row>
    <row r="6358" spans="1:5" ht="15" customHeight="1" x14ac:dyDescent="0.2">
      <c r="A6358" s="1" t="s">
        <v>12669</v>
      </c>
      <c r="B6358" s="1">
        <v>16</v>
      </c>
      <c r="C6358" s="3">
        <v>44540.697187500002</v>
      </c>
      <c r="D6358" s="1" t="s">
        <v>12670</v>
      </c>
      <c r="E6358" s="1" t="str">
        <f ca="1">IFERROR(__xludf.DUMMYFUNCTION("GOOGLETRANSLATE(A3157 , ""tr"" , ""en"")"),"@drfahrettinkoca is less than what you don't say to what you do not say (!) Someone in the class is afraid of corona. Our head ... https://t.co/mzvpn8zasd")</f>
        <v>@drfahrettinkoca is less than what you don't say to what you do not say (!) Someone in the class is afraid of corona. Our head ... https://t.co/mzvpn8zasd</v>
      </c>
    </row>
    <row r="6359" spans="1:5" ht="15" customHeight="1" x14ac:dyDescent="0.2">
      <c r="A6359" s="1" t="s">
        <v>12671</v>
      </c>
      <c r="B6359" s="1">
        <v>19</v>
      </c>
      <c r="C6359" s="3">
        <v>44540.697187500002</v>
      </c>
      <c r="D6359" s="1" t="s">
        <v>12672</v>
      </c>
      <c r="E6359" s="1" t="str">
        <f ca="1">IFERROR(__xludf.DUMMYFUNCTION("GOOGLETRANSLATE(A3158 , ""tr"" , ""en"")"),"@drfahrettinkoca guide we expect at least we want to explain our patience is over @gozdekirisciogl")</f>
        <v>@drfahrettinkoca guide we expect at least we want to explain our patience is over @gozdekirisciogl</v>
      </c>
    </row>
    <row r="6360" spans="1:5" ht="15" customHeight="1" x14ac:dyDescent="0.2">
      <c r="A6360" s="1" t="s">
        <v>12673</v>
      </c>
      <c r="B6360" s="1">
        <v>7</v>
      </c>
      <c r="C6360" s="3">
        <v>44540.697141203702</v>
      </c>
      <c r="D6360" s="1" t="s">
        <v>12674</v>
      </c>
      <c r="E6360" s="1" t="str">
        <f ca="1">IFERROR(__xludf.DUMMYFUNCTION("GOOGLETRANSLATE(A3159 , ""tr"" , ""en"")"),"Can we get enough tweets for @drfahrettinkoca vaccine and can pass the next topic according to your order? Preference hair ... https://t.co/lhmrdxkci6")</f>
        <v>Can we get enough tweets for @drfahrettinkoca vaccine and can pass the next topic according to your order? Preference hair ... https://t.co/lhmrdxkci6</v>
      </c>
    </row>
    <row r="6361" spans="1:5" ht="15" customHeight="1" x14ac:dyDescent="0.2">
      <c r="A6361" s="1" t="s">
        <v>12675</v>
      </c>
      <c r="B6361" s="1">
        <v>2</v>
      </c>
      <c r="C6361" s="3">
        <v>44540.697106481479</v>
      </c>
      <c r="D6361" s="1" t="s">
        <v>12676</v>
      </c>
      <c r="E6361" s="1" t="str">
        <f ca="1">IFERROR(__xludf.DUMMYFUNCTION("GOOGLETRANSLATE(A3160 , ""tr"" , ""en"")"),"@drfahrettinka we want online education please")</f>
        <v>@drfahrettinka we want online education please</v>
      </c>
    </row>
    <row r="6362" spans="1:5" ht="15" customHeight="1" x14ac:dyDescent="0.2">
      <c r="A6362" s="1" t="s">
        <v>12677</v>
      </c>
      <c r="B6362" s="1">
        <v>1</v>
      </c>
      <c r="C6362" s="3">
        <v>44540.697083333333</v>
      </c>
      <c r="D6362" s="1" t="s">
        <v>12678</v>
      </c>
      <c r="E6362" s="1" t="str">
        <f ca="1">IFERROR(__xludf.DUMMYFUNCTION("GOOGLETRANSLATE(A3161 , ""tr"" , ""en"")"),"@drfahrettinkoca https://t.co/5ntlmd1nrs")</f>
        <v>@drfahrettinkoca https://t.co/5ntlmd1nrs</v>
      </c>
    </row>
    <row r="6363" spans="1:5" ht="15" customHeight="1" x14ac:dyDescent="0.2">
      <c r="A6363" s="1" t="s">
        <v>12679</v>
      </c>
      <c r="B6363" s="1">
        <v>12</v>
      </c>
      <c r="C6363" s="3">
        <v>44540.697048611109</v>
      </c>
      <c r="D6363" s="1" t="s">
        <v>12680</v>
      </c>
      <c r="E6363" s="1" t="str">
        <f ca="1">IFERROR(__xludf.DUMMYFUNCTION("GOOGLETRANSLATE(A3162 , ""tr"" , ""en"")"),"@drfahrettinkoca I know we're not in your cares but we are waiting for the guide.")</f>
        <v>@drfahrettinkoca I know we're not in your cares but we are waiting for the guide.</v>
      </c>
    </row>
    <row r="6364" spans="1:5" ht="15" customHeight="1" x14ac:dyDescent="0.2">
      <c r="A6364" s="1" t="s">
        <v>12681</v>
      </c>
      <c r="B6364" s="1">
        <v>8</v>
      </c>
      <c r="C6364" s="3">
        <v>44540.697025462963</v>
      </c>
      <c r="D6364" s="1" t="s">
        <v>12682</v>
      </c>
      <c r="E6364" s="1" t="str">
        <f ca="1">IFERROR(__xludf.DUMMYFUNCTION("GOOGLETRANSLATE(A3163 , ""tr"" , ""en"")"),"@drfahrettinkoca assignment")</f>
        <v>@drfahrettinkoca assignment</v>
      </c>
    </row>
    <row r="6365" spans="1:5" ht="15" customHeight="1" x14ac:dyDescent="0.2">
      <c r="A6365" s="1" t="s">
        <v>12683</v>
      </c>
      <c r="B6365" s="1">
        <v>2</v>
      </c>
      <c r="C6365" s="3">
        <v>44540.697013888886</v>
      </c>
      <c r="D6365" s="1" t="s">
        <v>12684</v>
      </c>
      <c r="E6365" s="1" t="str">
        <f ca="1">IFERROR(__xludf.DUMMYFUNCTION("GOOGLETRANSLATE(A3164 , ""tr"" , ""en"")"),"@drfahrettinkoca tomorrow is the most beautiful day for us that description will come tomorrow :) # butcesoncase")</f>
        <v>@drfahrettinkoca tomorrow is the most beautiful day for us that description will come tomorrow :) # butcesoncase</v>
      </c>
    </row>
    <row r="6366" spans="1:5" ht="15" customHeight="1" x14ac:dyDescent="0.2">
      <c r="A6366" s="1" t="s">
        <v>12685</v>
      </c>
      <c r="B6366" s="1">
        <v>1</v>
      </c>
      <c r="C6366" s="3">
        <v>44540.697002314817</v>
      </c>
      <c r="D6366" s="1" t="s">
        <v>12686</v>
      </c>
      <c r="E6366" s="1" t="str">
        <f ca="1">IFERROR(__xludf.DUMMYFUNCTION("GOOGLETRANSLATE(A3165 , ""tr"" , ""en"")"),"@drfahrettinkoca guide nerdeeeeeeeeee")</f>
        <v>@drfahrettinkoca guide nerdeeeeeeeeee</v>
      </c>
    </row>
    <row r="6367" spans="1:5" ht="15" customHeight="1" x14ac:dyDescent="0.2">
      <c r="A6367" s="1" t="s">
        <v>12687</v>
      </c>
      <c r="B6367" s="1">
        <v>1</v>
      </c>
      <c r="C6367" s="3">
        <v>44540.69699074074</v>
      </c>
      <c r="D6367" s="1" t="s">
        <v>12688</v>
      </c>
      <c r="E6367" s="1" t="str">
        <f ca="1">IFERROR(__xludf.DUMMYFUNCTION("GOOGLETRANSLATE(A3166 , ""tr"" , ""en"")"),"@drfahrettinkoca Wow Be")</f>
        <v>@drfahrettinkoca Wow Be</v>
      </c>
    </row>
    <row r="6368" spans="1:5" ht="15" customHeight="1" x14ac:dyDescent="0.2">
      <c r="A6368" s="1" t="s">
        <v>12689</v>
      </c>
      <c r="B6368" s="1">
        <v>41</v>
      </c>
      <c r="C6368" s="3">
        <v>44540.696979166663</v>
      </c>
      <c r="D6368" s="1" t="s">
        <v>12690</v>
      </c>
      <c r="E6368" s="1" t="str">
        <f ca="1">IFERROR(__xludf.DUMMYFUNCTION("GOOGLETRANSLATE(A3167 , ""tr"" , ""en"")"),"@drfahrettinkoca I wish assignment is to be worried about the awaiter waiter. When will the assignment guide come ????")</f>
        <v>@drfahrettinkoca I wish assignment is to be worried about the awaiter waiter. When will the assignment guide come ????</v>
      </c>
    </row>
    <row r="6369" spans="1:5" ht="15" customHeight="1" x14ac:dyDescent="0.2">
      <c r="A6369" s="1" t="s">
        <v>12691</v>
      </c>
      <c r="B6369" s="1">
        <v>1</v>
      </c>
      <c r="C6369" s="3">
        <v>44540.696967592594</v>
      </c>
      <c r="D6369" s="1" t="s">
        <v>12692</v>
      </c>
      <c r="E6369" s="1" t="str">
        <f ca="1">IFERROR(__xludf.DUMMYFUNCTION("GOOGLETRANSLATE(A3168 , ""tr"" , ""en"")"),"@drfahrettinkoca Guide Mr. Minister")</f>
        <v>@drfahrettinkoca Guide Mr. Minister</v>
      </c>
    </row>
    <row r="6370" spans="1:5" ht="15" customHeight="1" x14ac:dyDescent="0.2">
      <c r="A6370" s="1" t="s">
        <v>12693</v>
      </c>
      <c r="B6370" s="1">
        <v>17</v>
      </c>
      <c r="C6370" s="3">
        <v>44540.696886574071</v>
      </c>
      <c r="D6370" s="1" t="s">
        <v>12694</v>
      </c>
      <c r="E6370" s="1" t="str">
        <f ca="1">IFERROR(__xludf.DUMMYFUNCTION("GOOGLETRANSLATE(A3169 , ""tr"" , ""en"")"),"@drfahrettinkoca Health not Vaccine Minister")</f>
        <v>@drfahrettinkoca Health not Vaccine Minister</v>
      </c>
    </row>
    <row r="6371" spans="1:5" ht="15" customHeight="1" x14ac:dyDescent="0.2">
      <c r="A6371" s="1" t="s">
        <v>12695</v>
      </c>
      <c r="B6371" s="1">
        <v>0</v>
      </c>
      <c r="C6371" s="3">
        <v>44540.696863425925</v>
      </c>
      <c r="D6371" s="1" t="s">
        <v>12696</v>
      </c>
      <c r="E6371" s="1" t="str">
        <f ca="1">IFERROR(__xludf.DUMMYFUNCTION("GOOGLETRANSLATE(A3170 , ""tr"" , ""en"")"),"@drfahrettinkoca @saglikbakanligi When is my President?")</f>
        <v>@drfahrettinkoca @saglikbakanligi When is my President?</v>
      </c>
    </row>
    <row r="6372" spans="1:5" ht="15" customHeight="1" x14ac:dyDescent="0.2">
      <c r="A6372" s="1" t="s">
        <v>12697</v>
      </c>
      <c r="B6372" s="1">
        <v>12</v>
      </c>
      <c r="C6372" s="3">
        <v>44540.696793981479</v>
      </c>
      <c r="D6372" s="1" t="s">
        <v>12698</v>
      </c>
      <c r="E6372" s="1" t="str">
        <f ca="1">IFERROR(__xludf.DUMMYFUNCTION("GOOGLETRANSLATE(A3171 , ""tr"" , ""en"")"),"@drfahrettinkoca guide We are welcome to definitely accept the division of the purchase")</f>
        <v>@drfahrettinkoca guide We are welcome to definitely accept the division of the purchase</v>
      </c>
    </row>
    <row r="6373" spans="1:5" ht="15" customHeight="1" x14ac:dyDescent="0.2">
      <c r="A6373" s="1" t="s">
        <v>12699</v>
      </c>
      <c r="B6373" s="1">
        <v>1</v>
      </c>
      <c r="C6373" s="3">
        <v>44540.696793981479</v>
      </c>
      <c r="D6373" s="1" t="s">
        <v>12700</v>
      </c>
      <c r="E6373" s="1" t="str">
        <f ca="1">IFERROR(__xludf.DUMMYFUNCTION("GOOGLETRANSLATE(A3172 , ""tr"" , ""en"")"),"@drfahrettinkoca Guide ????")</f>
        <v>@drfahrettinkoca Guide ????</v>
      </c>
    </row>
    <row r="6374" spans="1:5" ht="15" customHeight="1" x14ac:dyDescent="0.2">
      <c r="A6374" s="1" t="s">
        <v>12701</v>
      </c>
      <c r="B6374" s="1">
        <v>1</v>
      </c>
      <c r="C6374" s="3">
        <v>44540.696793981479</v>
      </c>
      <c r="D6374" s="1" t="s">
        <v>12702</v>
      </c>
      <c r="E6374" s="1" t="str">
        <f ca="1">IFERROR(__xludf.DUMMYFUNCTION("GOOGLETRANSLATE(A3173 , ""tr"" , ""en"")"),"@drfahrettinkoca Ministry of You Harbee Ekdnpsfnwşsmgdmwşenlddmjs")</f>
        <v>@drfahrettinkoca Ministry of You Harbee Ekdnpsfnwşsmgdmwşenlddmjs</v>
      </c>
    </row>
    <row r="6375" spans="1:5" ht="15" customHeight="1" x14ac:dyDescent="0.2">
      <c r="A6375" s="1" t="s">
        <v>12703</v>
      </c>
      <c r="B6375" s="1">
        <v>1</v>
      </c>
      <c r="C6375" s="3">
        <v>44540.696782407409</v>
      </c>
      <c r="D6375" s="1" t="s">
        <v>12704</v>
      </c>
      <c r="E6375" s="1" t="str">
        <f ca="1">IFERROR(__xludf.DUMMYFUNCTION("GOOGLETRANSLATE(A3174 , ""tr"" , ""en"")"),"@drfahrettinkoca Ministry of Clavy")</f>
        <v>@drfahrettinkoca Ministry of Clavy</v>
      </c>
    </row>
    <row r="6376" spans="1:5" ht="15" customHeight="1" x14ac:dyDescent="0.2">
      <c r="A6376" s="1" t="s">
        <v>12705</v>
      </c>
      <c r="B6376" s="1">
        <v>7</v>
      </c>
      <c r="C6376" s="3">
        <v>44540.696782407409</v>
      </c>
      <c r="D6376" s="1" t="s">
        <v>12706</v>
      </c>
      <c r="E6376" s="1" t="str">
        <f ca="1">IFERROR(__xludf.DUMMYFUNCTION("GOOGLETRANSLATE(A3175 , ""tr"" , ""en"")"),"@drfahrettinkoca @drfahrettinkoca guide publishes")</f>
        <v>@drfahrettinkoca @drfahrettinkoca guide publishes</v>
      </c>
    </row>
    <row r="6377" spans="1:5" ht="15" customHeight="1" x14ac:dyDescent="0.2">
      <c r="A6377" s="1" t="s">
        <v>12707</v>
      </c>
      <c r="B6377" s="1">
        <v>0</v>
      </c>
      <c r="C6377" s="3">
        <v>44540.696747685186</v>
      </c>
      <c r="D6377" s="1" t="s">
        <v>12708</v>
      </c>
      <c r="E6377" s="1" t="str">
        <f ca="1">IFERROR(__xludf.DUMMYFUNCTION("GOOGLETRANSLATE(A3176 , ""tr"" , ""en"")"),"@drfahrettinkoca # butcesoncase")</f>
        <v>@drfahrettinkoca # butcesoncase</v>
      </c>
    </row>
    <row r="6378" spans="1:5" ht="15" customHeight="1" x14ac:dyDescent="0.2">
      <c r="A6378" s="1" t="s">
        <v>12709</v>
      </c>
      <c r="B6378" s="1">
        <v>40</v>
      </c>
      <c r="C6378" s="3">
        <v>44540.696736111109</v>
      </c>
      <c r="D6378" s="1" t="s">
        <v>12710</v>
      </c>
      <c r="E6378" s="1" t="str">
        <f ca="1">IFERROR(__xludf.DUMMYFUNCTION("GOOGLETRANSLATE(A3177 , ""tr"" , ""en"")"),"@drfahrettinkoca 2021 Over Minister Where is this guide")</f>
        <v>@drfahrettinkoca 2021 Over Minister Where is this guide</v>
      </c>
    </row>
    <row r="6379" spans="1:5" ht="15" customHeight="1" x14ac:dyDescent="0.2">
      <c r="A6379" s="1" t="s">
        <v>11674</v>
      </c>
      <c r="B6379" s="1">
        <v>9</v>
      </c>
      <c r="C6379" s="3">
        <v>44540.696736111109</v>
      </c>
      <c r="D6379" s="1" t="s">
        <v>12711</v>
      </c>
      <c r="E6379" s="1" t="str">
        <f ca="1">IFERROR(__xludf.DUMMYFUNCTION("GOOGLETRANSLATE(A3178 , ""tr"" , ""en"")"),"@drfahrettinkoca Health Management Graduates are waiting for assignment @drfahrettinkoca # HealthNetimeKadro")</f>
        <v>@drfahrettinkoca Health Management Graduates are waiting for assignment @drfahrettinkoca # HealthNetimeKadro</v>
      </c>
    </row>
    <row r="6380" spans="1:5" ht="15" customHeight="1" x14ac:dyDescent="0.2">
      <c r="A6380" s="1" t="s">
        <v>12712</v>
      </c>
      <c r="B6380" s="1">
        <v>5</v>
      </c>
      <c r="C6380" s="3">
        <v>44540.696666666663</v>
      </c>
      <c r="D6380" s="1" t="s">
        <v>12713</v>
      </c>
      <c r="E6380" s="1" t="str">
        <f ca="1">IFERROR(__xludf.DUMMYFUNCTION("GOOGLETRANSLATE(A3179 , ""tr"" , ""en"")"),"@drfahrettinkoca assignment concern is increasing ...")</f>
        <v>@drfahrettinkoca assignment concern is increasing ...</v>
      </c>
    </row>
    <row r="6381" spans="1:5" ht="15" customHeight="1" x14ac:dyDescent="0.2">
      <c r="A6381" s="1" t="s">
        <v>12714</v>
      </c>
      <c r="B6381" s="1">
        <v>0</v>
      </c>
      <c r="C6381" s="3">
        <v>44540.696643518517</v>
      </c>
      <c r="D6381" s="1" t="s">
        <v>12715</v>
      </c>
      <c r="E6381" s="1" t="str">
        <f ca="1">IFERROR(__xludf.DUMMYFUNCTION("GOOGLETRANSLATE(A3180 , ""tr"" , ""en"")"),"@drfahrettinkoca ok now explain the guide")</f>
        <v>@drfahrettinkoca ok now explain the guide</v>
      </c>
    </row>
    <row r="6382" spans="1:5" ht="15" customHeight="1" x14ac:dyDescent="0.2">
      <c r="A6382" s="1" t="s">
        <v>12716</v>
      </c>
      <c r="B6382" s="1">
        <v>33</v>
      </c>
      <c r="C6382" s="3">
        <v>44540.696574074071</v>
      </c>
      <c r="D6382" s="1" t="s">
        <v>12717</v>
      </c>
      <c r="E6382" s="1" t="str">
        <f ca="1">IFERROR(__xludf.DUMMYFUNCTION("GOOGLETRANSLATE(A3181 , ""tr"" , ""en"")"),"@drfahrettinkoca Guide We are waiting for Mr. Kocaaa")</f>
        <v>@drfahrettinkoca Guide We are waiting for Mr. Kocaaa</v>
      </c>
    </row>
    <row r="6383" spans="1:5" ht="15" customHeight="1" x14ac:dyDescent="0.2">
      <c r="A6383" s="1" t="s">
        <v>12718</v>
      </c>
      <c r="B6383" s="1">
        <v>0</v>
      </c>
      <c r="C6383" s="3">
        <v>44539.994108796294</v>
      </c>
      <c r="D6383" s="1" t="s">
        <v>12719</v>
      </c>
      <c r="E6383" s="1" t="str">
        <f ca="1">IFERROR(__xludf.DUMMYFUNCTION("GOOGLETRANSLATE(A3182 , ""tr"" , ""en"")"),"@drfahrettinkoca Turkish nation's struck out attitude after certain period of time ""Fake horror"" Propaganda and Avr ... https://t.co/7kxooym9bm")</f>
        <v>@drfahrettinkoca Turkish nation's struck out attitude after certain period of time "Fake horror" Propaganda and Avr ... https://t.co/7kxooym9bm</v>
      </c>
    </row>
    <row r="6384" spans="1:5" ht="15" customHeight="1" x14ac:dyDescent="0.2">
      <c r="A6384" s="1" t="s">
        <v>12720</v>
      </c>
      <c r="B6384" s="1">
        <v>0</v>
      </c>
      <c r="C6384" s="3">
        <v>44539.992650462962</v>
      </c>
      <c r="D6384" s="1" t="s">
        <v>12721</v>
      </c>
      <c r="E6384" s="1" t="str">
        <f ca="1">IFERROR(__xludf.DUMMYFUNCTION("GOOGLETRANSLATE(A3183 , ""tr"" , ""en"")"),"@drfahrettinkoca 20 thousand cases daily normal or minister to the daily .... is the verification of over a weekly thousand ???")</f>
        <v>@drfahrettinkoca 20 thousand cases daily normal or minister to the daily .... is the verification of over a weekly thousand ???</v>
      </c>
    </row>
    <row r="6385" spans="1:5" ht="15" customHeight="1" x14ac:dyDescent="0.2">
      <c r="A6385" s="1" t="s">
        <v>12722</v>
      </c>
      <c r="B6385" s="1">
        <v>0</v>
      </c>
      <c r="C6385" s="3">
        <v>44539.97552083333</v>
      </c>
      <c r="D6385" s="1" t="s">
        <v>12723</v>
      </c>
      <c r="E6385" s="1" t="str">
        <f ca="1">IFERROR(__xludf.DUMMYFUNCTION("GOOGLETRANSLATE(A3184 , ""tr"" , ""en"")"),"@drfahrettinkoca chronic discomfort, you killed everyone with the gag of the middle. Stay healthy ... https://t.co/cbgxrqedqd")</f>
        <v>@drfahrettinkoca chronic discomfort, you killed everyone with the gag of the middle. Stay healthy ... https://t.co/cbgxrqedqd</v>
      </c>
    </row>
    <row r="6386" spans="1:5" ht="15" customHeight="1" x14ac:dyDescent="0.2">
      <c r="A6386" s="1" t="s">
        <v>12724</v>
      </c>
      <c r="B6386" s="1">
        <v>0</v>
      </c>
      <c r="C6386" s="3">
        <v>44539.973356481481</v>
      </c>
      <c r="D6386" s="1" t="s">
        <v>12725</v>
      </c>
      <c r="E6386" s="1" t="str">
        <f ca="1">IFERROR(__xludf.DUMMYFUNCTION("GOOGLETRANSLATE(A3185 , ""tr"" , ""en"")"),"@drfahrettinkoca I went to the hospital to the hospital PCR is positives in my class and are formally officially ... https://t.co/ccqxyuduza")</f>
        <v>@drfahrettinkoca I went to the hospital to the hospital PCR is positives in my class and are formally officially ... https://t.co/ccqxyuduza</v>
      </c>
    </row>
    <row r="6387" spans="1:5" ht="15" customHeight="1" x14ac:dyDescent="0.2">
      <c r="A6387" s="1" t="s">
        <v>12726</v>
      </c>
      <c r="B6387" s="1">
        <v>7</v>
      </c>
      <c r="C6387" s="3">
        <v>44539.973136574074</v>
      </c>
      <c r="D6387" s="1" t="s">
        <v>12727</v>
      </c>
      <c r="E6387" s="1" t="str">
        <f ca="1">IFERROR(__xludf.DUMMYFUNCTION("GOOGLETRANSLATE(A3186 , ""tr"" , ""en"")"),"@drfahrettinka so why have you ever thought cases increased so much (!) and doesn't fall in a way of fall (!)? See ... https://t.co/cubsucmki6")</f>
        <v>@drfahrettinka so why have you ever thought cases increased so much (!) and doesn't fall in a way of fall (!)? See ... https://t.co/cubsucmki6</v>
      </c>
    </row>
    <row r="6388" spans="1:5" ht="15" customHeight="1" x14ac:dyDescent="0.2">
      <c r="A6388" s="1" t="s">
        <v>12728</v>
      </c>
      <c r="B6388" s="1">
        <v>0</v>
      </c>
      <c r="C6388" s="3">
        <v>44539.972812499997</v>
      </c>
      <c r="D6388" s="1" t="s">
        <v>12729</v>
      </c>
      <c r="E6388" s="1" t="str">
        <f ca="1">IFERROR(__xludf.DUMMYFUNCTION("GOOGLETRANSLATE(A3187 , ""tr"" , ""en"")"),"@drfahrettinkoca I don't want to be vaccinated with my fear of my job now. People Wumbershirt from Heart Crisis G ... https://t.co/bımasvw2bb")</f>
        <v>@drfahrettinkoca I don't want to be vaccinated with my fear of my job now. People Wumbershirt from Heart Crisis G ... https://t.co/bımasvw2bb</v>
      </c>
    </row>
    <row r="6389" spans="1:5" ht="15" customHeight="1" x14ac:dyDescent="0.2">
      <c r="A6389" s="1" t="s">
        <v>12730</v>
      </c>
      <c r="B6389" s="1">
        <v>4</v>
      </c>
      <c r="C6389" s="3">
        <v>44539.966886574075</v>
      </c>
      <c r="D6389" s="1" t="s">
        <v>12731</v>
      </c>
      <c r="E6389" s="1" t="str">
        <f ca="1">IFERROR(__xludf.DUMMYFUNCTION("GOOGLETRANSLATE(A3188 , ""tr"" , ""en"")"),"@drfahrettinkoca Laf Lafa Came Muslim Cursing Considering the Muslim Considering that many people die because of this virus ... https://t.co/3jbtsdw6q1")</f>
        <v>@drfahrettinkoca Laf Lafa Came Muslim Cursing Considering the Muslim Considering that many people die because of this virus ... https://t.co/3jbtsdw6q1</v>
      </c>
    </row>
    <row r="6390" spans="1:5" ht="15" customHeight="1" x14ac:dyDescent="0.2">
      <c r="A6390" s="1" t="s">
        <v>12732</v>
      </c>
      <c r="B6390" s="1">
        <v>15</v>
      </c>
      <c r="C6390" s="3">
        <v>44539.964363425926</v>
      </c>
      <c r="D6390" s="1" t="s">
        <v>12733</v>
      </c>
      <c r="E6390" s="1" t="str">
        <f ca="1">IFERROR(__xludf.DUMMYFUNCTION("GOOGLETRANSLATE(A3189 , ""tr"" , ""en"")"),"How many vaccines are @drfahrettinkoca? Why is 4 wearing masks if Why does he query hes? How many dose dose ko ... https://t.co/v0wkxcyf7w")</f>
        <v>How many vaccines are @drfahrettinkoca? Why is 4 wearing masks if Why does he query hes? How many dose dose ko ... https://t.co/v0wkxcyf7w</v>
      </c>
    </row>
    <row r="6391" spans="1:5" ht="15" customHeight="1" x14ac:dyDescent="0.2">
      <c r="A6391" s="1" t="s">
        <v>12734</v>
      </c>
      <c r="B6391" s="1">
        <v>0</v>
      </c>
      <c r="C6391" s="3">
        <v>44539.961851851855</v>
      </c>
      <c r="D6391" s="1" t="s">
        <v>12735</v>
      </c>
      <c r="E6391" s="1" t="str">
        <f ca="1">IFERROR(__xludf.DUMMYFUNCTION("GOOGLETRANSLATE(A3190 , ""tr"" , ""en"")"),"@drfahrettinkoca is a laf Honest person always lies always lying to be honesty be honest nation")</f>
        <v>@drfahrettinkoca is a laf Honest person always lies always lying to be honesty be honest nation</v>
      </c>
    </row>
    <row r="6392" spans="1:5" ht="15" customHeight="1" x14ac:dyDescent="0.2">
      <c r="A6392" s="1" t="s">
        <v>12736</v>
      </c>
      <c r="B6392" s="1">
        <v>0</v>
      </c>
      <c r="C6392" s="3">
        <v>44539.960312499999</v>
      </c>
      <c r="D6392" s="1" t="s">
        <v>12737</v>
      </c>
      <c r="E6392" s="1" t="str">
        <f ca="1">IFERROR(__xludf.DUMMYFUNCTION("GOOGLETRANSLATE(A3191 , ""tr"" , ""en"")"),"@drfahrettinkoca DO NOT take a word on the emergence. We spent our lives, your youth.")</f>
        <v>@drfahrettinkoca DO NOT take a word on the emergence. We spent our lives, your youth.</v>
      </c>
    </row>
    <row r="6393" spans="1:5" ht="15" customHeight="1" x14ac:dyDescent="0.2">
      <c r="A6393" s="1" t="s">
        <v>12738</v>
      </c>
      <c r="B6393" s="1">
        <v>0</v>
      </c>
      <c r="C6393" s="3">
        <v>44539.960092592592</v>
      </c>
      <c r="D6393" s="1" t="s">
        <v>12739</v>
      </c>
      <c r="E6393" s="1" t="str">
        <f ca="1">IFERROR(__xludf.DUMMYFUNCTION("GOOGLETRANSLATE(A3192 , ""tr"" , ""en"")"),"@drfahrettinkoca @saglikbakanligi https://t.co/kyk8RDIII")</f>
        <v>@drfahrettinkoca @saglikbakanligi https://t.co/kyk8RDIII</v>
      </c>
    </row>
    <row r="6394" spans="1:5" ht="15" customHeight="1" x14ac:dyDescent="0.2">
      <c r="A6394" s="1" t="s">
        <v>12740</v>
      </c>
      <c r="B6394" s="1">
        <v>0</v>
      </c>
      <c r="C6394" s="3">
        <v>44539.960069444445</v>
      </c>
      <c r="D6394" s="1" t="s">
        <v>12741</v>
      </c>
      <c r="E6394" s="1" t="str">
        <f ca="1">IFERROR(__xludf.DUMMYFUNCTION("GOOGLETRANSLATE(A3193 , ""tr"" , ""en"")"),"@drfahrettinkoca wow you lied to the table wow yinai is a bad thing lie is a bad thing that doesn't lie again")</f>
        <v>@drfahrettinkoca wow you lied to the table wow yinai is a bad thing lie is a bad thing that doesn't lie again</v>
      </c>
    </row>
    <row r="6395" spans="1:5" ht="15" customHeight="1" x14ac:dyDescent="0.2">
      <c r="A6395" s="1" t="s">
        <v>10008</v>
      </c>
      <c r="B6395" s="1">
        <v>0</v>
      </c>
      <c r="C6395" s="3">
        <v>44539.959594907406</v>
      </c>
      <c r="D6395" s="1" t="s">
        <v>12742</v>
      </c>
      <c r="E6395" s="1" t="str">
        <f ca="1">IFERROR(__xludf.DUMMYFUNCTION("GOOGLETRANSLATE(A3194 , ""tr"" , ""en"")"),"@drfahrettinkoca guide look forward to")</f>
        <v>@drfahrettinkoca guide look forward to</v>
      </c>
    </row>
    <row r="6396" spans="1:5" ht="15" customHeight="1" x14ac:dyDescent="0.2">
      <c r="A6396" s="1" t="s">
        <v>12743</v>
      </c>
      <c r="B6396" s="1">
        <v>1</v>
      </c>
      <c r="C6396" s="3">
        <v>44539.959502314814</v>
      </c>
      <c r="D6396" s="1" t="s">
        <v>12744</v>
      </c>
      <c r="E6396" s="1" t="str">
        <f ca="1">IFERROR(__xludf.DUMMYFUNCTION("GOOGLETRANSLATE(A3195 , ""tr"" , ""en"")"),"@drfahrettinkoca you will recently do this kind of conversation with someone ... 😏 https://t.co/uupwbci0h4")</f>
        <v>@drfahrettinkoca you will recently do this kind of conversation with someone ... 😏 https://t.co/uupwbci0h4</v>
      </c>
    </row>
    <row r="6397" spans="1:5" ht="15" customHeight="1" x14ac:dyDescent="0.2">
      <c r="A6397" s="1" t="s">
        <v>12745</v>
      </c>
      <c r="B6397" s="1">
        <v>0</v>
      </c>
      <c r="C6397" s="3">
        <v>44539.954467592594</v>
      </c>
      <c r="D6397" s="1" t="s">
        <v>12746</v>
      </c>
      <c r="E6397" s="1" t="str">
        <f ca="1">IFERROR(__xludf.DUMMYFUNCTION("GOOGLETRANSLATE(A3196 , ""tr"" , ""en"")"),"@drfahrettinkoca and also increases the number of cases as it does not protect the vaccine pattern, so it also increases the number of cases, ... https://t.co/iyfIpnvvhg")</f>
        <v>@drfahrettinkoca and also increases the number of cases as it does not protect the vaccine pattern, so it also increases the number of cases, ... https://t.co/iyfIpnvvhg</v>
      </c>
    </row>
    <row r="6398" spans="1:5" ht="15" customHeight="1" x14ac:dyDescent="0.2">
      <c r="A6398" s="1" t="s">
        <v>12747</v>
      </c>
      <c r="B6398" s="1">
        <v>0</v>
      </c>
      <c r="C6398" s="3">
        <v>44539.952627314815</v>
      </c>
      <c r="D6398" s="1" t="s">
        <v>12748</v>
      </c>
      <c r="E6398" s="1" t="str">
        <f ca="1">IFERROR(__xludf.DUMMYFUNCTION("GOOGLETRANSLATE(A3197 , ""tr"" , ""en"")"),"@drfahrettinkoca @serg_ul https://t.co/vixfdoaohp")</f>
        <v>@drfahrettinkoca @serg_ul https://t.co/vixfdoaohp</v>
      </c>
    </row>
    <row r="6399" spans="1:5" ht="15" customHeight="1" x14ac:dyDescent="0.2">
      <c r="A6399" s="1" t="s">
        <v>12749</v>
      </c>
      <c r="B6399" s="1">
        <v>1</v>
      </c>
      <c r="C6399" s="3">
        <v>44539.949050925927</v>
      </c>
      <c r="D6399" s="1" t="s">
        <v>12750</v>
      </c>
      <c r="E6399" s="1" t="str">
        <f ca="1">IFERROR(__xludf.DUMMYFUNCTION("GOOGLETRANSLATE(A3198 , ""tr"" , ""en"")"),"@drfahrettinkoca Omicron Variant is not coming to the world even when it spreads to the world is interesting, never believed ... https://t.co/urvttmzlxt")</f>
        <v>@drfahrettinkoca Omicron Variant is not coming to the world even when it spreads to the world is interesting, never believed ... https://t.co/urvttmzlxt</v>
      </c>
    </row>
    <row r="6400" spans="1:5" ht="15" customHeight="1" x14ac:dyDescent="0.2">
      <c r="A6400" s="1" t="s">
        <v>12751</v>
      </c>
      <c r="B6400" s="1">
        <v>3</v>
      </c>
      <c r="C6400" s="3">
        <v>44539.943865740737</v>
      </c>
      <c r="D6400" s="1" t="s">
        <v>12752</v>
      </c>
      <c r="E6400" s="1" t="str">
        <f ca="1">IFERROR(__xludf.DUMMYFUNCTION("GOOGLETRANSLATE(A3199 , ""tr"" , ""en"")"),"@drfahrettinkoca is not so lied to pes so how many months is the number of cases since the same, situation in the middle everyone is sick v ... https://t.co/igzj61rreb")</f>
        <v>@drfahrettinkoca is not so lied to pes so how many months is the number of cases since the same, situation in the middle everyone is sick v ... https://t.co/igzj61rreb</v>
      </c>
    </row>
    <row r="6401" spans="1:5" ht="15" customHeight="1" x14ac:dyDescent="0.2">
      <c r="A6401" s="1" t="s">
        <v>12753</v>
      </c>
      <c r="B6401" s="1">
        <v>0</v>
      </c>
      <c r="C6401" s="3">
        <v>44539.942615740743</v>
      </c>
      <c r="D6401" s="1" t="s">
        <v>12754</v>
      </c>
      <c r="E6401" s="1" t="str">
        <f ca="1">IFERROR(__xludf.DUMMYFUNCTION("GOOGLETRANSLATE(A3200 , ""tr"" , ""en"")"),"@drfahrettinkoca Please see your other tasks please!")</f>
        <v>@drfahrettinkoca Please see your other tasks please!</v>
      </c>
    </row>
    <row r="6402" spans="1:5" ht="15" customHeight="1" x14ac:dyDescent="0.2">
      <c r="A6402" s="1" t="s">
        <v>12755</v>
      </c>
      <c r="B6402" s="1">
        <v>0</v>
      </c>
      <c r="C6402" s="3">
        <v>44539.939050925925</v>
      </c>
      <c r="D6402" s="1" t="s">
        <v>12756</v>
      </c>
      <c r="E6402" s="1" t="str">
        <f ca="1">IFERROR(__xludf.DUMMYFUNCTION("GOOGLETRANSLATE(A3201 , ""tr"" , ""en"")"),"@drfahrettinkoca Why don't you put in the closed areas of non-vaccine passports Ko ... https://t.co/ez6ahvxnh3")</f>
        <v>@drfahrettinkoca Why don't you put in the closed areas of non-vaccine passports Ko ... https://t.co/ez6ahvxnh3</v>
      </c>
    </row>
    <row r="6403" spans="1:5" ht="15" customHeight="1" x14ac:dyDescent="0.2">
      <c r="A6403" s="1" t="s">
        <v>12757</v>
      </c>
      <c r="B6403" s="1">
        <v>0</v>
      </c>
      <c r="C6403" s="3">
        <v>44539.922303240739</v>
      </c>
      <c r="D6403" s="1" t="s">
        <v>12758</v>
      </c>
      <c r="E6403" s="1" t="str">
        <f ca="1">IFERROR(__xludf.DUMMYFUNCTION("GOOGLETRANSLATE(A3202 , ""tr"" , ""en"")"),"@drfahrettinka https://t.co/kgka693mx5")</f>
        <v>@drfahrettinka https://t.co/kgka693mx5</v>
      </c>
    </row>
    <row r="6404" spans="1:5" ht="15" customHeight="1" x14ac:dyDescent="0.2">
      <c r="A6404" s="1" t="s">
        <v>12759</v>
      </c>
      <c r="B6404" s="1">
        <v>0</v>
      </c>
      <c r="C6404" s="3">
        <v>44539.919432870367</v>
      </c>
      <c r="D6404" s="1" t="s">
        <v>12760</v>
      </c>
      <c r="E6404" s="1" t="str">
        <f ca="1">IFERROR(__xludf.DUMMYFUNCTION("GOOGLETRANSLATE(A3203 , ""tr"" , ""en"")"),"@drfahrettinkoca Either we have a difficult guide to publish we ...")</f>
        <v>@drfahrettinkoca Either we have a difficult guide to publish we ...</v>
      </c>
    </row>
    <row r="6405" spans="1:5" ht="15" customHeight="1" x14ac:dyDescent="0.2">
      <c r="A6405" s="1" t="s">
        <v>12761</v>
      </c>
      <c r="B6405" s="1">
        <v>0</v>
      </c>
      <c r="C6405" s="3">
        <v>44539.91747685185</v>
      </c>
      <c r="D6405" s="1" t="s">
        <v>12762</v>
      </c>
      <c r="E6405" s="1" t="str">
        <f ca="1">IFERROR(__xludf.DUMMYFUNCTION("GOOGLETRANSLATE(A3204 , ""tr"" , ""en"")"),"@drfahrettinkoca You have to open online training that is about us.")</f>
        <v>@drfahrettinkoca You have to open online training that is about us.</v>
      </c>
    </row>
    <row r="6406" spans="1:5" ht="15" customHeight="1" x14ac:dyDescent="0.2">
      <c r="A6406" s="1" t="s">
        <v>12763</v>
      </c>
      <c r="B6406" s="1">
        <v>0</v>
      </c>
      <c r="C6406" s="3">
        <v>44539.917395833334</v>
      </c>
      <c r="D6406" s="1" t="s">
        <v>12764</v>
      </c>
      <c r="E6406" s="1" t="str">
        <f ca="1">IFERROR(__xludf.DUMMYFUNCTION("GOOGLETRANSLATE(A3205 , ""tr"" , ""en"")"),"@drfahrettinkoca hope our enthusiasm and hope is up to the assignment.")</f>
        <v>@drfahrettinkoca hope our enthusiasm and hope is up to the assignment.</v>
      </c>
    </row>
    <row r="6407" spans="1:5" ht="15" customHeight="1" x14ac:dyDescent="0.2">
      <c r="A6407" s="1" t="s">
        <v>12765</v>
      </c>
      <c r="B6407" s="1">
        <v>0</v>
      </c>
      <c r="C6407" s="3">
        <v>44539.916168981479</v>
      </c>
      <c r="D6407" s="1" t="s">
        <v>12766</v>
      </c>
      <c r="E6407" s="1" t="str">
        <f ca="1">IFERROR(__xludf.DUMMYFUNCTION("GOOGLETRANSLATE(A3206 , ""tr"" , ""en"")"),"@drfahrettinka vaccine CUT CUT NE CUT MY MEANS MATIES MATIES MATIATIONS will increase to decrease after")</f>
        <v>@drfahrettinka vaccine CUT CUT NE CUT MY MEANS MATIES MATIES MATIATIONS will increase to decrease after</v>
      </c>
    </row>
    <row r="6408" spans="1:5" ht="15" customHeight="1" x14ac:dyDescent="0.2">
      <c r="A6408" s="1" t="s">
        <v>12767</v>
      </c>
      <c r="B6408" s="1">
        <v>0</v>
      </c>
      <c r="C6408" s="3">
        <v>44539.914606481485</v>
      </c>
      <c r="D6408" s="1" t="s">
        <v>12768</v>
      </c>
      <c r="E6408" s="1" t="str">
        <f ca="1">IFERROR(__xludf.DUMMYFUNCTION("GOOGLETRANSLATE(A3207 , ""tr"" , ""en"")"),"@drfahrettinkoca you are so worth the healthpieces that our eyes are old !!")</f>
        <v>@drfahrettinkoca you are so worth the healthpieces that our eyes are old !!</v>
      </c>
    </row>
    <row r="6409" spans="1:5" ht="15" customHeight="1" x14ac:dyDescent="0.2">
      <c r="A6409" s="1" t="s">
        <v>12769</v>
      </c>
      <c r="B6409" s="1">
        <v>0</v>
      </c>
      <c r="C6409" s="3">
        <v>44539.914050925923</v>
      </c>
      <c r="D6409" s="1" t="s">
        <v>12770</v>
      </c>
      <c r="E6409" s="1" t="str">
        <f ca="1">IFERROR(__xludf.DUMMYFUNCTION("GOOGLETRANSLATE(A3208 , ""tr"" , ""en"")"),"@drfahrettinkoca We love the eye What did you do to the Sena You are not able to assign us Nnn 🥺🥺😪😪")</f>
        <v>@drfahrettinkoca We love the eye What did you do to the Sena You are not able to assign us Nnn 🥺🥺😪😪</v>
      </c>
    </row>
    <row r="6410" spans="1:5" ht="15" customHeight="1" x14ac:dyDescent="0.2">
      <c r="A6410" s="1" t="s">
        <v>12771</v>
      </c>
      <c r="B6410" s="1">
        <v>0</v>
      </c>
      <c r="C6410" s="3">
        <v>44539.913437499999</v>
      </c>
      <c r="D6410" s="1" t="s">
        <v>12772</v>
      </c>
      <c r="E6410" s="1" t="str">
        <f ca="1">IFERROR(__xludf.DUMMYFUNCTION("GOOGLETRANSLATE(A3209 , ""tr"" , ""en"")"),"@drfahrettinkoca We see the KPSS score as the chest is appointed.")</f>
        <v>@drfahrettinkoca We see the KPSS score as the chest is appointed.</v>
      </c>
    </row>
    <row r="6411" spans="1:5" ht="15" customHeight="1" x14ac:dyDescent="0.2">
      <c r="A6411" s="1" t="s">
        <v>12773</v>
      </c>
      <c r="B6411" s="1">
        <v>0</v>
      </c>
      <c r="C6411" s="3">
        <v>44539.911851851852</v>
      </c>
      <c r="D6411" s="1" t="s">
        <v>12774</v>
      </c>
      <c r="E6411" s="1" t="str">
        <f ca="1">IFERROR(__xludf.DUMMYFUNCTION("GOOGLETRANSLATE(A3210 , ""tr"" , ""en"")"),"@drfahrettinkoca is not sleeping to our eye to the eye for making our assignment. 750 thousand people are your mouth ... https://t.co/ezzs97r5ne")</f>
        <v>@drfahrettinkoca is not sleeping to our eye to the eye for making our assignment. 750 thousand people are your mouth ... https://t.co/ezzs97r5ne</v>
      </c>
    </row>
    <row r="6412" spans="1:5" ht="15" customHeight="1" x14ac:dyDescent="0.2">
      <c r="A6412" s="1" t="s">
        <v>12775</v>
      </c>
      <c r="B6412" s="1">
        <v>3</v>
      </c>
      <c r="C6412" s="3">
        <v>44539.90766203704</v>
      </c>
      <c r="D6412" s="1" t="s">
        <v>12776</v>
      </c>
      <c r="E6412" s="1" t="str">
        <f ca="1">IFERROR(__xludf.DUMMYFUNCTION("GOOGLETRANSLATE(A3211 , ""tr"" , ""en"")"),"@drfahrettinka vaccine in vaccine SUS Now we have understood experimental fluid. You are the burying ...")</f>
        <v>@drfahrettinka vaccine in vaccine SUS Now we have understood experimental fluid. You are the burying ...</v>
      </c>
    </row>
    <row r="6413" spans="1:5" ht="15" customHeight="1" x14ac:dyDescent="0.2">
      <c r="A6413" s="1" t="s">
        <v>12777</v>
      </c>
      <c r="B6413" s="1">
        <v>1</v>
      </c>
      <c r="C6413" s="3">
        <v>44539.904641203706</v>
      </c>
      <c r="D6413" s="1" t="s">
        <v>12778</v>
      </c>
      <c r="E6413" s="1" t="str">
        <f ca="1">IFERROR(__xludf.DUMMYFUNCTION("GOOGLETRANSLATE(A3212 , ""tr"" , ""en"")"),"@drfahrettinkoca 🤔 What is the case of what is the case according to the case. https://t.co/hgbpcgoev7")</f>
        <v>@drfahrettinkoca 🤔 What is the case of what is the case according to the case. https://t.co/hgbpcgoev7</v>
      </c>
    </row>
    <row r="6414" spans="1:5" ht="15" customHeight="1" x14ac:dyDescent="0.2">
      <c r="A6414" s="1" t="s">
        <v>12779</v>
      </c>
      <c r="B6414" s="1">
        <v>0</v>
      </c>
      <c r="C6414" s="3">
        <v>44539.90353009259</v>
      </c>
      <c r="D6414" s="1" t="s">
        <v>12780</v>
      </c>
      <c r="E6414" s="1" t="str">
        <f ca="1">IFERROR(__xludf.DUMMYFUNCTION("GOOGLETRANSLATE(A3213 , ""tr"" , ""en"")"),"Pray to drop @drfahrettinka vaccination velocity nation led the eye of the folks.")</f>
        <v>Pray to drop @drfahrettinka vaccination velocity nation led the eye of the folks.</v>
      </c>
    </row>
    <row r="6415" spans="1:5" ht="15" customHeight="1" x14ac:dyDescent="0.2">
      <c r="A6415" s="1" t="s">
        <v>12781</v>
      </c>
      <c r="B6415" s="1">
        <v>1</v>
      </c>
      <c r="C6415" s="3">
        <v>44539.903460648151</v>
      </c>
      <c r="D6415" s="1" t="s">
        <v>12782</v>
      </c>
      <c r="E6415" s="1" t="str">
        <f ca="1">IFERROR(__xludf.DUMMYFUNCTION("GOOGLETRANSLATE(A3214 , ""tr"" , ""en"")"),"@drfahrettinkoca When it is full of grafted 1 was not enough 2 he was not enough 3.4 8.Doz 12.doz. We are unable to realize due to confusion of concept")</f>
        <v>@drfahrettinkoca When it is full of grafted 1 was not enough 2 he was not enough 3.4 8.Doz 12.doz. We are unable to realize due to confusion of concept</v>
      </c>
    </row>
    <row r="6416" spans="1:5" ht="15" customHeight="1" x14ac:dyDescent="0.2">
      <c r="A6416" s="1" t="s">
        <v>12783</v>
      </c>
      <c r="B6416" s="1">
        <v>0</v>
      </c>
      <c r="C6416" s="3">
        <v>44539.902037037034</v>
      </c>
      <c r="D6416" s="1" t="s">
        <v>12784</v>
      </c>
      <c r="E6416" s="1" t="str">
        <f ca="1">IFERROR(__xludf.DUMMYFUNCTION("GOOGLETRANSLATE(A3215 , ""tr"" , ""en"")"),"@drfahrettinka Mr. Minister, 2 dose biontech vaccines for 3 times as the waiting period for the 3rds. Omicro ... https://t.co/edflwukcdo")</f>
        <v>@drfahrettinka Mr. Minister, 2 dose biontech vaccines for 3 times as the waiting period for the 3rds. Omicro ... https://t.co/edflwukcdo</v>
      </c>
    </row>
    <row r="6417" spans="1:5" ht="15" customHeight="1" x14ac:dyDescent="0.2">
      <c r="A6417" s="1" t="s">
        <v>12785</v>
      </c>
      <c r="B6417" s="1">
        <v>0</v>
      </c>
      <c r="C6417" s="3">
        <v>44539.899074074077</v>
      </c>
      <c r="D6417" s="1" t="s">
        <v>12786</v>
      </c>
      <c r="E6417" s="1" t="str">
        <f ca="1">IFERROR(__xludf.DUMMYFUNCTION("GOOGLETRANSLATE(A3216 , ""tr"" , ""en"")"),"@drfahrettinkoca Avoids the deficiency of avoidance")</f>
        <v>@drfahrettinkoca Avoids the deficiency of avoidance</v>
      </c>
    </row>
    <row r="6418" spans="1:5" ht="15" customHeight="1" x14ac:dyDescent="0.2">
      <c r="A6418" s="1" t="s">
        <v>12787</v>
      </c>
      <c r="B6418" s="1">
        <v>0</v>
      </c>
      <c r="C6418" s="3">
        <v>44539.897210648145</v>
      </c>
      <c r="D6418" s="1" t="s">
        <v>12788</v>
      </c>
      <c r="E6418" s="1" t="str">
        <f ca="1">IFERROR(__xludf.DUMMYFUNCTION("GOOGLETRANSLATE(A3217 , ""tr"" , ""en"")"),"@drfahrettinka vaccine also vaccine, you are tired of your vaccine Valla YS")</f>
        <v>@drfahrettinka vaccine also vaccine, you are tired of your vaccine Valla YS</v>
      </c>
    </row>
    <row r="6419" spans="1:5" ht="15" customHeight="1" x14ac:dyDescent="0.2">
      <c r="A6419" s="1" t="s">
        <v>12789</v>
      </c>
      <c r="B6419" s="1">
        <v>0</v>
      </c>
      <c r="C6419" s="3">
        <v>44539.895798611113</v>
      </c>
      <c r="D6419" s="1" t="s">
        <v>12790</v>
      </c>
      <c r="E6419" s="1" t="str">
        <f ca="1">IFERROR(__xludf.DUMMYFUNCTION("GOOGLETRANSLATE(A3218 , ""tr"" , ""en"")"),"@drfahrettinkoca You believe in the Hereafter account day Mr. Minister? Allah is now monitoring the respite of Reserve ... https://t.co/hkt04srcıp")</f>
        <v>@drfahrettinkoca You believe in the Hereafter account day Mr. Minister? Allah is now monitoring the respite of Reserve ... https://t.co/hkt04srcıp</v>
      </c>
    </row>
    <row r="6420" spans="1:5" ht="15" customHeight="1" x14ac:dyDescent="0.2">
      <c r="A6420" s="1" t="s">
        <v>12791</v>
      </c>
      <c r="B6420" s="1">
        <v>3</v>
      </c>
      <c r="C6420" s="3">
        <v>44539.895162037035</v>
      </c>
      <c r="D6420" s="1" t="s">
        <v>12792</v>
      </c>
      <c r="E6420" s="1" t="str">
        <f ca="1">IFERROR(__xludf.DUMMYFUNCTION("GOOGLETRANSLATE(A3219 , ""tr"" , ""en"")"),"@drfahrettinkoca So Cases are stable as the vaccination falls fixed or falls, is correct?")</f>
        <v>@drfahrettinkoca So Cases are stable as the vaccination falls fixed or falls, is correct?</v>
      </c>
    </row>
    <row r="6421" spans="1:5" ht="15" customHeight="1" x14ac:dyDescent="0.2">
      <c r="A6421" s="1" t="s">
        <v>12793</v>
      </c>
      <c r="B6421" s="1">
        <v>0</v>
      </c>
      <c r="C6421" s="3">
        <v>44539.894548611112</v>
      </c>
      <c r="D6421" s="1" t="s">
        <v>12794</v>
      </c>
      <c r="E6421" s="1" t="str">
        <f ca="1">IFERROR(__xludf.DUMMYFUNCTION("GOOGLETRANSLATE(A3220 , ""tr"" , ""en"")"),"@drfahrettinka are you robot?")</f>
        <v>@drfahrettinka are you robot?</v>
      </c>
    </row>
    <row r="6422" spans="1:5" ht="15" customHeight="1" x14ac:dyDescent="0.2">
      <c r="A6422" s="1" t="s">
        <v>12795</v>
      </c>
      <c r="B6422" s="1">
        <v>1</v>
      </c>
      <c r="C6422" s="3">
        <v>44539.890219907407</v>
      </c>
      <c r="D6422" s="1" t="s">
        <v>12796</v>
      </c>
      <c r="E6422" s="1" t="str">
        <f ca="1">IFERROR(__xludf.DUMMYFUNCTION("GOOGLETRANSLATE(A3221 , ""tr"" , ""en"")"),"@drfahrettinkoca laugh Your Minister's Minister Underlying In Construction 😂😂")</f>
        <v>@drfahrettinkoca laugh Your Minister's Minister Underlying In Construction 😂😂</v>
      </c>
    </row>
    <row r="6423" spans="1:5" ht="15" customHeight="1" x14ac:dyDescent="0.2">
      <c r="A6423" s="1" t="s">
        <v>12797</v>
      </c>
      <c r="B6423" s="1">
        <v>17</v>
      </c>
      <c r="C6423" s="3">
        <v>44539.889780092592</v>
      </c>
      <c r="D6423" s="1" t="s">
        <v>12798</v>
      </c>
      <c r="E6423" s="1" t="str">
        <f ca="1">IFERROR(__xludf.DUMMYFUNCTION("GOOGLETRANSLATE(A3222 , ""tr"" , ""en"")"),"@drfahrettinkoca Eskişehir If cases in Eskişehir is the increase in the moment in our country? Our own hometown ... https://t.co/ZUXYRPIECX")</f>
        <v>@drfahrettinkoca Eskişehir If cases in Eskişehir is the increase in the moment in our country? Our own hometown ... https://t.co/ZUXYRPIECX</v>
      </c>
    </row>
    <row r="6424" spans="1:5" ht="15" customHeight="1" x14ac:dyDescent="0.2">
      <c r="A6424" s="1" t="s">
        <v>12799</v>
      </c>
      <c r="B6424" s="1">
        <v>0</v>
      </c>
      <c r="C6424" s="3">
        <v>44539.88585648148</v>
      </c>
      <c r="D6424" s="1" t="s">
        <v>12800</v>
      </c>
      <c r="E6424" s="1" t="str">
        <f ca="1">IFERROR(__xludf.DUMMYFUNCTION("GOOGLETRANSLATE(A3223 , ""tr"" , ""en"")"),"@drfahrettinkoca # Wake up Wake Up Wake Up Wake Up Read Tell Retweet Recount Retweet Wake up to 666 Lucifers Waiting to Without Https://t.co/efyopdwxe5")</f>
        <v>@drfahrettinkoca # Wake up Wake Up Wake Up Wake Up Read Tell Retweet Recount Retweet Wake up to 666 Lucifers Waiting to Without Https://t.co/efyopdwxe5</v>
      </c>
    </row>
    <row r="6425" spans="1:5" ht="15" customHeight="1" x14ac:dyDescent="0.2">
      <c r="A6425" s="1" t="s">
        <v>12801</v>
      </c>
      <c r="B6425" s="1">
        <v>0</v>
      </c>
      <c r="C6425" s="3">
        <v>44539.88553240741</v>
      </c>
      <c r="D6425" s="1" t="s">
        <v>12802</v>
      </c>
      <c r="E6425" s="1" t="str">
        <f ca="1">IFERROR(__xludf.DUMMYFUNCTION("GOOGLETRANSLATE(A3224 , ""tr"" , ""en"")"),"@drfahrettinkoca yellow navy country")</f>
        <v>@drfahrettinkoca yellow navy country</v>
      </c>
    </row>
    <row r="6426" spans="1:5" ht="15" customHeight="1" x14ac:dyDescent="0.2">
      <c r="A6426" s="1" t="s">
        <v>12803</v>
      </c>
      <c r="B6426" s="1">
        <v>0</v>
      </c>
      <c r="C6426" s="3">
        <v>44539.885046296295</v>
      </c>
      <c r="D6426" s="1" t="s">
        <v>12804</v>
      </c>
      <c r="E6426" s="1" t="str">
        <f ca="1">IFERROR(__xludf.DUMMYFUNCTION("GOOGLETRANSLATE(A3225 , ""tr"" , ""en"")"),"@drfahrettinkoca figures why they are always increased in the range of 28-32 thousand rates to multiple 18-22 thousand runs ... https://t.co/ytrlmztmın")</f>
        <v>@drfahrettinkoca figures why they are always increased in the range of 28-32 thousand rates to multiple 18-22 thousand runs ... https://t.co/ytrlmztmın</v>
      </c>
    </row>
    <row r="6427" spans="1:5" ht="15" customHeight="1" x14ac:dyDescent="0.2">
      <c r="A6427" s="1" t="s">
        <v>12805</v>
      </c>
      <c r="B6427" s="1">
        <v>0</v>
      </c>
      <c r="C6427" s="3">
        <v>44539.885011574072</v>
      </c>
      <c r="D6427" s="1" t="s">
        <v>12806</v>
      </c>
      <c r="E6427" s="1" t="str">
        <f ca="1">IFERROR(__xludf.DUMMYFUNCTION("GOOGLETRANSLATE(A3226 , ""tr"" , ""en"")"),"@drfahrettinkoca # Wake up Wake up Wake Up Wake Up Take Read Okut Tell Retweet Wake up to 666 Lucifers Wake up Waiting for Https://t.co/jadquih6u2")</f>
        <v>@drfahrettinkoca # Wake up Wake up Wake Up Wake Up Take Read Okut Tell Retweet Wake up to 666 Lucifers Wake up Waiting for Https://t.co/jadquih6u2</v>
      </c>
    </row>
    <row r="6428" spans="1:5" ht="15" customHeight="1" x14ac:dyDescent="0.2">
      <c r="A6428" s="1" t="s">
        <v>12807</v>
      </c>
      <c r="B6428" s="1">
        <v>0</v>
      </c>
      <c r="C6428" s="3">
        <v>44539.884444444448</v>
      </c>
      <c r="D6428" s="1" t="s">
        <v>12808</v>
      </c>
      <c r="E6428" s="1" t="str">
        <f ca="1">IFERROR(__xludf.DUMMYFUNCTION("GOOGLETRANSLATE(A3227 , ""tr"" , ""en"")"),"@drfahrettinkoca is in the count")</f>
        <v>@drfahrettinkoca is in the count</v>
      </c>
    </row>
    <row r="6429" spans="1:5" ht="15" customHeight="1" x14ac:dyDescent="0.2">
      <c r="A6429" s="1" t="s">
        <v>12809</v>
      </c>
      <c r="B6429" s="1">
        <v>0</v>
      </c>
      <c r="C6429" s="3">
        <v>44539.879687499997</v>
      </c>
      <c r="D6429" s="1" t="s">
        <v>12810</v>
      </c>
      <c r="E6429" s="1" t="str">
        <f ca="1">IFERROR(__xludf.DUMMYFUNCTION("GOOGLETRANSLATE(A3228 , ""tr"" , ""en"")"),"@drfahrettinkoca @saglikbakanligi 2019 Grip Death: 52400 In 23.06.2021: ""Covid-19 is a 50000 citizen from Covid-19 ... https://t.co/i0uzoc9gkk")</f>
        <v>@drfahrettinkoca @saglikbakanligi 2019 Grip Death: 52400 In 23.06.2021: "Covid-19 is a 50000 citizen from Covid-19 ... https://t.co/i0uzoc9gkk</v>
      </c>
    </row>
    <row r="6430" spans="1:5" ht="15" customHeight="1" x14ac:dyDescent="0.2">
      <c r="A6430" s="1" t="s">
        <v>12811</v>
      </c>
      <c r="B6430" s="1">
        <v>2</v>
      </c>
      <c r="C6430" s="3">
        <v>44539.879282407404</v>
      </c>
      <c r="D6430" s="1" t="s">
        <v>12812</v>
      </c>
      <c r="E6430" s="1" t="str">
        <f ca="1">IFERROR(__xludf.DUMMYFUNCTION("GOOGLETRANSLATE(A3229 , ""tr"" , ""en"")"),"@drfahrettinkoca since 2018 disabled healthcare not assignment of disabled healthparts not to be assigned, not a single step given the s ... https://t.co/ygawu4ttc3")</f>
        <v>@drfahrettinkoca since 2018 disabled healthcare not assignment of disabled healthparts not to be assigned, not a single step given the s ... https://t.co/ygawu4ttc3</v>
      </c>
    </row>
    <row r="6431" spans="1:5" ht="15" customHeight="1" x14ac:dyDescent="0.2">
      <c r="A6431" s="1" t="s">
        <v>12813</v>
      </c>
      <c r="B6431" s="1">
        <v>2</v>
      </c>
      <c r="C6431" s="3">
        <v>44539.87872685185</v>
      </c>
      <c r="D6431" s="1" t="s">
        <v>12814</v>
      </c>
      <c r="E6431" s="1" t="str">
        <f ca="1">IFERROR(__xludf.DUMMYFUNCTION("GOOGLETRANSLATE(A3230 , ""tr"" , ""en"")"),"@drfahrettinkoca side effects .. Deaths from heart crises reached outbreaks of epidemics! Young people after the liquid a ... https://t.co/752srm6r7f")</f>
        <v>@drfahrettinkoca side effects .. Deaths from heart crises reached outbreaks of epidemics! Young people after the liquid a ... https://t.co/752srm6r7f</v>
      </c>
    </row>
    <row r="6432" spans="1:5" ht="15" customHeight="1" x14ac:dyDescent="0.2">
      <c r="A6432" s="1" t="s">
        <v>12815</v>
      </c>
      <c r="B6432" s="1">
        <v>0</v>
      </c>
      <c r="C6432" s="3">
        <v>44539.877962962964</v>
      </c>
      <c r="D6432" s="1" t="s">
        <v>12816</v>
      </c>
      <c r="E6432" s="1" t="str">
        <f ca="1">IFERROR(__xludf.DUMMYFUNCTION("GOOGLETRANSLATE(A3231 , ""tr"" , ""en"")"),"@drfahrettinkoca Mubarak Friday susun for Allah consent Either Earth Bill Gates Ten Turkey in Turkey")</f>
        <v>@drfahrettinkoca Mubarak Friday susun for Allah consent Either Earth Bill Gates Ten Turkey in Turkey</v>
      </c>
    </row>
    <row r="6433" spans="1:5" ht="15" customHeight="1" x14ac:dyDescent="0.2">
      <c r="A6433" s="1" t="s">
        <v>12817</v>
      </c>
      <c r="B6433" s="1">
        <v>0</v>
      </c>
      <c r="C6433" s="3">
        <v>44539.877129629633</v>
      </c>
      <c r="D6433" s="1" t="s">
        <v>12818</v>
      </c>
      <c r="E6433" s="1" t="str">
        <f ca="1">IFERROR(__xludf.DUMMYFUNCTION("GOOGLETRANSLATE(A3232 , ""tr"" , ""en"")"),"@drfahrettinkoca I don't believe in the number of cases, just to vaccinate the people you make and reach your ambitions ... https://t.co/x6kdoadsvb")</f>
        <v>@drfahrettinkoca I don't believe in the number of cases, just to vaccinate the people you make and reach your ambitions ... https://t.co/x6kdoadsvb</v>
      </c>
    </row>
    <row r="6434" spans="1:5" ht="15" customHeight="1" x14ac:dyDescent="0.2">
      <c r="A6434" s="1" t="s">
        <v>12819</v>
      </c>
      <c r="B6434" s="1">
        <v>1</v>
      </c>
      <c r="C6434" s="3">
        <v>44539.877118055556</v>
      </c>
      <c r="D6434" s="1" t="s">
        <v>12820</v>
      </c>
      <c r="E6434" s="1" t="str">
        <f ca="1">IFERROR(__xludf.DUMMYFUNCTION("GOOGLETRANSLATE(A3233 , ""tr"" , ""en"")"),"@drfahrettinkoca Allah damn you and the paranoid making the paranoid maniac you made the nation inaanli.")</f>
        <v>@drfahrettinkoca Allah damn you and the paranoid making the paranoid maniac you made the nation inaanli.</v>
      </c>
    </row>
    <row r="6435" spans="1:5" ht="15" customHeight="1" x14ac:dyDescent="0.2">
      <c r="A6435" s="1" t="s">
        <v>12821</v>
      </c>
      <c r="B6435" s="1">
        <v>0</v>
      </c>
      <c r="C6435" s="3">
        <v>44539.876643518517</v>
      </c>
      <c r="D6435" s="1" t="s">
        <v>12822</v>
      </c>
      <c r="E6435" s="1" t="str">
        <f ca="1">IFERROR(__xludf.DUMMYFUNCTION("GOOGLETRANSLATE(A3234 , ""tr"" , ""en"")"),"@drfahrettinkoca yeah we have taken ourselves against your tailed lies we have received our measure")</f>
        <v>@drfahrettinkoca yeah we have taken ourselves against your tailed lies we have received our measure</v>
      </c>
    </row>
    <row r="6436" spans="1:5" ht="15" customHeight="1" x14ac:dyDescent="0.2">
      <c r="A6436" s="1" t="s">
        <v>12823</v>
      </c>
      <c r="B6436" s="1">
        <v>0</v>
      </c>
      <c r="C6436" s="3">
        <v>44539.876331018517</v>
      </c>
      <c r="D6436" s="1" t="s">
        <v>12824</v>
      </c>
      <c r="E6436" s="1" t="str">
        <f ca="1">IFERROR(__xludf.DUMMYFUNCTION("GOOGLETRANSLATE(A3235 , ""tr"" , ""en"")"),"@drfahrettinkoca Covid Cut to see the price shots in the country and ceased to increase, 😀")</f>
        <v>@drfahrettinkoca Covid Cut to see the price shots in the country and ceased to increase, 😀</v>
      </c>
    </row>
    <row r="6437" spans="1:5" ht="15" customHeight="1" x14ac:dyDescent="0.2">
      <c r="A6437" s="1" t="s">
        <v>12825</v>
      </c>
      <c r="B6437" s="1">
        <v>0</v>
      </c>
      <c r="C6437" s="3">
        <v>44539.8753125</v>
      </c>
      <c r="D6437" s="1" t="s">
        <v>12826</v>
      </c>
      <c r="E6437" s="1" t="str">
        <f ca="1">IFERROR(__xludf.DUMMYFUNCTION("GOOGLETRANSLATE(A3236 , ""tr"" , ""en"")"),"@drfahrettinkoca 🇹🇷🇹🇹🤲🤲🤲")</f>
        <v>@drfahrettinkoca 🇹🇷🇹🇹🤲🤲🤲</v>
      </c>
    </row>
    <row r="6438" spans="1:5" ht="15" customHeight="1" x14ac:dyDescent="0.2">
      <c r="A6438" s="1" t="s">
        <v>12827</v>
      </c>
      <c r="B6438" s="1">
        <v>1</v>
      </c>
      <c r="C6438" s="3">
        <v>44539.872141203705</v>
      </c>
      <c r="D6438" s="1" t="s">
        <v>12828</v>
      </c>
      <c r="E6438" s="1" t="str">
        <f ca="1">IFERROR(__xludf.DUMMYFUNCTION("GOOGLETRANSLATE(A3237 , ""tr"" , ""en"")"),"@drfahrettinkoca you will all be tried in humanity crime! Don't you know @drfahrettinkoca? ... https://t.co/phgavvlcxk")</f>
        <v>@drfahrettinkoca you will all be tried in humanity crime! Don't you know @drfahrettinkoca? ... https://t.co/phgavvlcxk</v>
      </c>
    </row>
    <row r="6439" spans="1:5" ht="15" customHeight="1" x14ac:dyDescent="0.2">
      <c r="A6439" s="1" t="s">
        <v>12829</v>
      </c>
      <c r="B6439" s="1">
        <v>0</v>
      </c>
      <c r="C6439" s="3">
        <v>44539.871574074074</v>
      </c>
      <c r="D6439" s="1" t="s">
        <v>12830</v>
      </c>
      <c r="E6439" s="1" t="str">
        <f ca="1">IFERROR(__xludf.DUMMYFUNCTION("GOOGLETRANSLATE(A3238 , ""tr"" , ""en"")"),"@drfahrettinkoca @saglikbakanligi @pfizer federal court to hide COVID-19 vaccine trial results for 75 years ... https://t.co/ahgukkhque")</f>
        <v>@drfahrettinkoca @saglikbakanligi @pfizer federal court to hide COVID-19 vaccine trial results for 75 years ... https://t.co/ahgukkhque</v>
      </c>
    </row>
    <row r="6440" spans="1:5" ht="15" customHeight="1" x14ac:dyDescent="0.2">
      <c r="A6440" s="1" t="s">
        <v>12831</v>
      </c>
      <c r="B6440" s="1">
        <v>1</v>
      </c>
      <c r="C6440" s="3">
        <v>44539.870208333334</v>
      </c>
      <c r="D6440" s="1" t="s">
        <v>12832</v>
      </c>
      <c r="E6440" s="1" t="str">
        <f ca="1">IFERROR(__xludf.DUMMYFUNCTION("GOOGLETRANSLATE(A3239 , ""tr"" , ""en"")"),"@drfahrettinkoca is 1 month I don't read your writers. Halendaha you say, ya 😂😂😂 Your health ministry but vaccine u ... https://t.co/z6k101o3ap")</f>
        <v>@drfahrettinkoca is 1 month I don't read your writers. Halendaha you say, ya 😂😂😂 Your health ministry but vaccine u ... https://t.co/z6k101o3ap</v>
      </c>
    </row>
    <row r="6441" spans="1:5" ht="15" customHeight="1" x14ac:dyDescent="0.2">
      <c r="A6441" s="1" t="s">
        <v>12833</v>
      </c>
      <c r="B6441" s="1">
        <v>0</v>
      </c>
      <c r="C6441" s="3">
        <v>44539.870104166665</v>
      </c>
      <c r="D6441" s="1" t="s">
        <v>12834</v>
      </c>
      <c r="E6441" s="1" t="str">
        <f ca="1">IFERROR(__xludf.DUMMYFUNCTION("GOOGLETRANSLATE(A3240 , ""tr"" , ""en"")"),"@drfahrettinka salamallah hope i see the days when zero case passes the passage")</f>
        <v>@drfahrettinka salamallah hope i see the days when zero case passes the passage</v>
      </c>
    </row>
    <row r="6442" spans="1:5" ht="15" customHeight="1" x14ac:dyDescent="0.2">
      <c r="A6442" s="1" t="s">
        <v>12835</v>
      </c>
      <c r="B6442" s="1">
        <v>8</v>
      </c>
      <c r="C6442" s="3">
        <v>44539.87</v>
      </c>
      <c r="D6442" s="1" t="s">
        <v>12836</v>
      </c>
      <c r="E6442" s="1" t="str">
        <f ca="1">IFERROR(__xludf.DUMMYFUNCTION("GOOGLETRANSLATE(A3241 , ""tr"" , ""en"")"),"@drfahrettinka vaccine minister @drfahrettinkoca! Guide Where is Guide? # Fkocayakilavuzyaistifa")</f>
        <v>@drfahrettinka vaccine minister @drfahrettinkoca! Guide Where is Guide? # Fkocayakilavuzyaistifa</v>
      </c>
    </row>
    <row r="6443" spans="1:5" ht="15" customHeight="1" x14ac:dyDescent="0.2">
      <c r="A6443" s="1" t="s">
        <v>12837</v>
      </c>
      <c r="B6443" s="1">
        <v>19</v>
      </c>
      <c r="C6443" s="3">
        <v>44539.87</v>
      </c>
      <c r="D6443" s="1" t="s">
        <v>12838</v>
      </c>
      <c r="E6443" s="1" t="str">
        <f ca="1">IFERROR(__xludf.DUMMYFUNCTION("GOOGLETRANSLATE(A3242 , ""tr"" , ""en"")"),"@drfahrettinkoca Orange provinces why I'm not changing at all the Minister ??")</f>
        <v>@drfahrettinkoca Orange provinces why I'm not changing at all the Minister ??</v>
      </c>
    </row>
    <row r="6444" spans="1:5" ht="15" customHeight="1" x14ac:dyDescent="0.2">
      <c r="A6444" s="1" t="s">
        <v>12839</v>
      </c>
      <c r="B6444" s="1">
        <v>0</v>
      </c>
      <c r="C6444" s="3">
        <v>44539.869849537034</v>
      </c>
      <c r="D6444" s="1" t="s">
        <v>12840</v>
      </c>
      <c r="E6444" s="1" t="str">
        <f ca="1">IFERROR(__xludf.DUMMYFUNCTION("GOOGLETRANSLATE(A3243 , ""tr"" , ""en"")"),"@drfahrettinkoca Dr. Lie")</f>
        <v>@drfahrettinkoca Dr. Lie</v>
      </c>
    </row>
    <row r="6445" spans="1:5" ht="15" customHeight="1" x14ac:dyDescent="0.2">
      <c r="A6445" s="1" t="s">
        <v>12841</v>
      </c>
      <c r="B6445" s="1">
        <v>1</v>
      </c>
      <c r="C6445" s="3">
        <v>44539.869675925926</v>
      </c>
      <c r="D6445" s="1" t="s">
        <v>12842</v>
      </c>
      <c r="E6445" s="1" t="str">
        <f ca="1">IFERROR(__xludf.DUMMYFUNCTION("GOOGLETRANSLATE(A3244 , ""tr"" , ""en"")"),"@drfahrettinkoca Mr. Minister, 1 case with protection and measures our children with 1 case. The number of cases is very, schools angle ... https://t.co/xvh5wnpmff")</f>
        <v>@drfahrettinkoca Mr. Minister, 1 case with protection and measures our children with 1 case. The number of cases is very, schools angle ... https://t.co/xvh5wnpmff</v>
      </c>
    </row>
    <row r="6446" spans="1:5" ht="15" customHeight="1" x14ac:dyDescent="0.2">
      <c r="A6446" s="1" t="s">
        <v>12843</v>
      </c>
      <c r="B6446" s="1">
        <v>26</v>
      </c>
      <c r="C6446" s="3">
        <v>44539.869293981479</v>
      </c>
      <c r="D6446" s="1" t="s">
        <v>12844</v>
      </c>
      <c r="E6446" s="1" t="str">
        <f ca="1">IFERROR(__xludf.DUMMYFUNCTION("GOOGLETRANSLATE(A3245 , ""tr"" , ""en"")"),"@drfahrettinkoca you're leaving the kids and youths to death in case you stand up to the economy")</f>
        <v>@drfahrettinkoca you're leaving the kids and youths to death in case you stand up to the economy</v>
      </c>
    </row>
    <row r="6447" spans="1:5" ht="15" customHeight="1" x14ac:dyDescent="0.2">
      <c r="A6447" s="1" t="s">
        <v>12845</v>
      </c>
      <c r="B6447" s="1">
        <v>3</v>
      </c>
      <c r="C6447" s="3">
        <v>44539.869004629632</v>
      </c>
      <c r="D6447" s="1" t="s">
        <v>12846</v>
      </c>
      <c r="E6447" s="1" t="str">
        <f ca="1">IFERROR(__xludf.DUMMYFUNCTION("GOOGLETRANSLATE(A3246 , ""tr"" , ""en"")"),"@drfahrettinkoca If you believe these things please go from here")</f>
        <v>@drfahrettinkoca If you believe these things please go from here</v>
      </c>
    </row>
    <row r="6448" spans="1:5" ht="15" customHeight="1" x14ac:dyDescent="0.2">
      <c r="A6448" s="1" t="s">
        <v>12847</v>
      </c>
      <c r="B6448" s="1">
        <v>1</v>
      </c>
      <c r="C6448" s="3">
        <v>44539.867604166669</v>
      </c>
      <c r="D6448" s="1" t="s">
        <v>12848</v>
      </c>
      <c r="E6448" s="1" t="str">
        <f ca="1">IFERROR(__xludf.DUMMYFUNCTION("GOOGLETRANSLATE(A3247 , ""tr"" , ""en"")"),"@drfahrettinkoca Europe is also the reason for increasing the number of cases, you are doing your best to inject these fluids to us")</f>
        <v>@drfahrettinkoca Europe is also the reason for increasing the number of cases, you are doing your best to inject these fluids to us</v>
      </c>
    </row>
    <row r="6449" spans="1:5" ht="15" customHeight="1" x14ac:dyDescent="0.2">
      <c r="A6449" s="1" t="s">
        <v>12849</v>
      </c>
      <c r="B6449" s="1">
        <v>0</v>
      </c>
      <c r="C6449" s="3">
        <v>44539.866666666669</v>
      </c>
      <c r="D6449" s="1" t="s">
        <v>12850</v>
      </c>
      <c r="E6449" s="1" t="str">
        <f ca="1">IFERROR(__xludf.DUMMYFUNCTION("GOOGLETRANSLATE(A3248 , ""tr"" , ""en"")"),"@drfahrettinkoca manual @drfahrettinkoca")</f>
        <v>@drfahrettinkoca manual @drfahrettinkoca</v>
      </c>
    </row>
    <row r="6450" spans="1:5" ht="15" customHeight="1" x14ac:dyDescent="0.2">
      <c r="A6450" s="1" t="s">
        <v>12851</v>
      </c>
      <c r="B6450" s="1">
        <v>0</v>
      </c>
      <c r="C6450" s="3">
        <v>44539.86650462963</v>
      </c>
      <c r="D6450" s="1" t="s">
        <v>12852</v>
      </c>
      <c r="E6450" s="1" t="str">
        <f ca="1">IFERROR(__xludf.DUMMYFUNCTION("GOOGLETRANSLATE(A3249 , ""tr"" , ""en"")"),"@drfahrettinkoca claved?")</f>
        <v>@drfahrettinkoca claved?</v>
      </c>
    </row>
    <row r="6451" spans="1:5" ht="15" customHeight="1" x14ac:dyDescent="0.2">
      <c r="A6451" s="1" t="s">
        <v>12853</v>
      </c>
      <c r="B6451" s="1">
        <v>7</v>
      </c>
      <c r="C6451" s="3">
        <v>44539.866215277776</v>
      </c>
      <c r="D6451" s="1" t="s">
        <v>12854</v>
      </c>
      <c r="E6451" s="1" t="str">
        <f ca="1">IFERROR(__xludf.DUMMYFUNCTION("GOOGLETRANSLATE(A3250 , ""tr"" , ""en"")"),"@drfahrettinkoca @drfahrettinkoca is now 13 people dying in 2 days from a county of the Mug, but Turkey's total number ... https://t.co/rs8kktgqlj")</f>
        <v>@drfahrettinkoca @drfahrettinkoca is now 13 people dying in 2 days from a county of the Mug, but Turkey's total number ... https://t.co/rs8kktgqlj</v>
      </c>
    </row>
    <row r="6452" spans="1:5" ht="15" customHeight="1" x14ac:dyDescent="0.2">
      <c r="A6452" s="1" t="s">
        <v>12855</v>
      </c>
      <c r="B6452" s="1">
        <v>0</v>
      </c>
      <c r="C6452" s="3">
        <v>44539.865833333337</v>
      </c>
      <c r="D6452" s="1" t="s">
        <v>12856</v>
      </c>
      <c r="E6452" s="1" t="str">
        <f ca="1">IFERROR(__xludf.DUMMYFUNCTION("GOOGLETRANSLATE(A3251 , ""tr"" , ""en"")"),"@drfahrettinkoca I haven't been a dose of Covid vaccination.")</f>
        <v>@drfahrettinkoca I haven't been a dose of Covid vaccination.</v>
      </c>
    </row>
    <row r="6453" spans="1:5" ht="15" customHeight="1" x14ac:dyDescent="0.2">
      <c r="A6453" s="1" t="s">
        <v>12857</v>
      </c>
      <c r="B6453" s="1">
        <v>0</v>
      </c>
      <c r="C6453" s="3">
        <v>44539.86577546296</v>
      </c>
      <c r="D6453" s="1" t="s">
        <v>12858</v>
      </c>
      <c r="E6453" s="1" t="str">
        <f ca="1">IFERROR(__xludf.DUMMYFUNCTION("GOOGLETRANSLATE(A3252 , ""tr"" , ""en"")"),"@drfahrettinkoca vaccine vaccine enough Be that we are tired of your lies no longer turn off in vaccination increased")</f>
        <v>@drfahrettinkoca vaccine vaccine enough Be that we are tired of your lies no longer turn off in vaccination increased</v>
      </c>
    </row>
    <row r="6454" spans="1:5" ht="15" customHeight="1" x14ac:dyDescent="0.2">
      <c r="A6454" s="1" t="s">
        <v>12859</v>
      </c>
      <c r="B6454" s="1">
        <v>0</v>
      </c>
      <c r="C6454" s="3">
        <v>44539.86515046296</v>
      </c>
      <c r="D6454" s="1" t="s">
        <v>12860</v>
      </c>
      <c r="E6454" s="1" t="str">
        <f ca="1">IFERROR(__xludf.DUMMYFUNCTION("GOOGLETRANSLATE(A3253 , ""tr"" , ""en"")"),"@drfahrettinkoca Ministry Every Night Official Newspaper You will be welcomed at the purchase of 30 millennia, maybe I'm waiting but not bar ... Https://t.co/srjksko773")</f>
        <v>@drfahrettinkoca Ministry Every Night Official Newspaper You will be welcomed at the purchase of 30 millennia, maybe I'm waiting but not bar ... Https://t.co/srjksko773</v>
      </c>
    </row>
    <row r="6455" spans="1:5" ht="15" customHeight="1" x14ac:dyDescent="0.2">
      <c r="A6455" s="1" t="s">
        <v>12861</v>
      </c>
      <c r="B6455" s="1">
        <v>0</v>
      </c>
      <c r="C6455" s="3">
        <v>44539.863067129627</v>
      </c>
      <c r="D6455" s="1" t="s">
        <v>12862</v>
      </c>
      <c r="E6455" s="1" t="str">
        <f ca="1">IFERROR(__xludf.DUMMYFUNCTION("GOOGLETRANSLATE(A3254 , ""tr"" , ""en"")"),"@drfahrettinkoca everyday 300 life dying of cigarette cigarette manufacturers continue to find new customers in https://t.co/r2rorbwu3g")</f>
        <v>@drfahrettinkoca everyday 300 life dying of cigarette cigarette manufacturers continue to find new customers in https://t.co/r2rorbwu3g</v>
      </c>
    </row>
    <row r="6456" spans="1:5" ht="15" customHeight="1" x14ac:dyDescent="0.2">
      <c r="A6456" s="1" t="s">
        <v>12863</v>
      </c>
      <c r="B6456" s="1">
        <v>4</v>
      </c>
      <c r="C6456" s="3">
        <v>44539.862615740742</v>
      </c>
      <c r="D6456" s="1" t="s">
        <v>12864</v>
      </c>
      <c r="E6456" s="1" t="str">
        <f ca="1">IFERROR(__xludf.DUMMYFUNCTION("GOOGLETRANSLATE(A3255 , ""tr"" , ""en"")"),"@drfahrettinkoca assignment continued to be stolen by a finger on our mouth in a last year. Atamala in other ministries ... https://t.co/asddfbg6jx")</f>
        <v>@drfahrettinkoca assignment continued to be stolen by a finger on our mouth in a last year. Atamala in other ministries ... https://t.co/asddfbg6jx</v>
      </c>
    </row>
    <row r="6457" spans="1:5" ht="15" customHeight="1" x14ac:dyDescent="0.2">
      <c r="A6457" s="1" t="s">
        <v>12865</v>
      </c>
      <c r="B6457" s="1">
        <v>0</v>
      </c>
      <c r="C6457" s="3">
        <v>44539.862523148149</v>
      </c>
      <c r="D6457" s="1" t="s">
        <v>12866</v>
      </c>
      <c r="E6457" s="1" t="str">
        <f ca="1">IFERROR(__xludf.DUMMYFUNCTION("GOOGLETRANSLATE(A3256 , ""tr"" , ""en"")"),"@drfahrettinkoca Valla Haskanim Markets are unmasked in the grocery store We are unable to deal with the grocery store ... https://t.co/ahtrcynrnr")</f>
        <v>@drfahrettinkoca Valla Haskanim Markets are unmasked in the grocery store We are unable to deal with the grocery store ... https://t.co/ahtrcynrnr</v>
      </c>
    </row>
    <row r="6458" spans="1:5" ht="15" customHeight="1" x14ac:dyDescent="0.2">
      <c r="A6458" s="1" t="s">
        <v>12867</v>
      </c>
      <c r="B6458" s="1">
        <v>0</v>
      </c>
      <c r="C6458" s="3">
        <v>44539.862523148149</v>
      </c>
      <c r="D6458" s="1" t="s">
        <v>12868</v>
      </c>
      <c r="E6458" s="1" t="str">
        <f ca="1">IFERROR(__xludf.DUMMYFUNCTION("GOOGLETRANSLATE(A3257 , ""tr"" , ""en"")"),"@drfahrettinkoca 3) Mr. Ministry, 𝗩𝗮𝘁𝗮𝗻𝗱𝗮𝗩𝗮𝘁𝗮𝗻𝗱𝗮𝗩𝗮𝘁𝗮𝗻𝗱𝗮 𝗼𝗹𝗮𝗿𝗮𝗸 𝗸𝗶𝗺𝗲𝗸𝗶𝗺𝗲𝗶𝗻𝗮𝗻𝗮𝗹𝗺?")</f>
        <v>@drfahrettinkoca 3) Mr. Ministry, 𝗩𝗮𝘁𝗮𝗻𝗱𝗮𝗩𝗮𝘁𝗮𝗻𝗱𝗮𝗩𝗮𝘁𝗮𝗻𝗱𝗮 𝗼𝗹𝗮𝗿𝗮𝗸 𝗸𝗶𝗺𝗲𝗸𝗶𝗺𝗲𝗶𝗻𝗮𝗻𝗮𝗹𝗺?</v>
      </c>
    </row>
    <row r="6459" spans="1:5" ht="15" customHeight="1" x14ac:dyDescent="0.2">
      <c r="A6459" s="1" t="s">
        <v>12869</v>
      </c>
      <c r="B6459" s="1">
        <v>0</v>
      </c>
      <c r="C6459" s="3">
        <v>44539.861597222225</v>
      </c>
      <c r="D6459" s="1" t="s">
        <v>12870</v>
      </c>
      <c r="E6459" s="1" t="str">
        <f ca="1">IFERROR(__xludf.DUMMYFUNCTION("GOOGLETRANSLATE(A3258 , ""tr"" , ""en"")"),"@drfahrettinkoca 2) Do you say ""you can come out"" from Ankara, says, or gives the negative result ... https://t.co/cixfjhzulw")</f>
        <v>@drfahrettinkoca 2) Do you say "you can come out" from Ankara, says, or gives the negative result ... https://t.co/cixfjhzulw</v>
      </c>
    </row>
    <row r="6460" spans="1:5" ht="15" customHeight="1" x14ac:dyDescent="0.2">
      <c r="A6460" s="1" t="s">
        <v>12871</v>
      </c>
      <c r="B6460" s="1">
        <v>0</v>
      </c>
      <c r="C6460" s="3">
        <v>44539.861504629633</v>
      </c>
      <c r="D6460" s="1" t="s">
        <v>12872</v>
      </c>
      <c r="E6460" s="1" t="str">
        <f ca="1">IFERROR(__xludf.DUMMYFUNCTION("GOOGLETRANSLATE(A3259 , ""tr"" , ""en"")"),"@drfahrettinkoca 3-dosing healthcare starts to spill. Say vaccine ... https://t.co/qyrj9vmwvs")</f>
        <v>@drfahrettinkoca 3-dosing healthcare starts to spill. Say vaccine ... https://t.co/qyrj9vmwvs</v>
      </c>
    </row>
    <row r="6461" spans="1:5" ht="15" customHeight="1" x14ac:dyDescent="0.2">
      <c r="A6461" s="1" t="s">
        <v>12873</v>
      </c>
      <c r="B6461" s="1">
        <v>1</v>
      </c>
      <c r="C6461" s="3">
        <v>44539.860937500001</v>
      </c>
      <c r="D6461" s="1" t="s">
        <v>12874</v>
      </c>
      <c r="E6461" s="1" t="str">
        <f ca="1">IFERROR(__xludf.DUMMYFUNCTION("GOOGLETRANSLATE(A3260 , ""tr"" , ""en"")"),"@drfahrettinkoca since days, the case numbers are not rising because the vaccination speed has fallen. How much vaccine ... https://t.co/4x9l6opbvt")</f>
        <v>@drfahrettinkoca since days, the case numbers are not rising because the vaccination speed has fallen. How much vaccine ... https://t.co/4x9l6opbvt</v>
      </c>
    </row>
    <row r="6462" spans="1:5" ht="15" customHeight="1" x14ac:dyDescent="0.2">
      <c r="A6462" s="1" t="s">
        <v>12875</v>
      </c>
      <c r="B6462" s="1">
        <v>5</v>
      </c>
      <c r="C6462" s="3">
        <v>44539.860706018517</v>
      </c>
      <c r="D6462" s="1" t="s">
        <v>12876</v>
      </c>
      <c r="E6462" s="1" t="str">
        <f ca="1">IFERROR(__xludf.DUMMYFUNCTION("GOOGLETRANSLATE(A3261 , ""tr"" , ""en"")"),"@drfahrettinkoca I think you change your treatment protocols and science board Mr. Minister. This Covid phenomenon is you ... https://t.co/tmvfywngbv")</f>
        <v>@drfahrettinkoca I think you change your treatment protocols and science board Mr. Minister. This Covid phenomenon is you ... https://t.co/tmvfywngbv</v>
      </c>
    </row>
    <row r="6463" spans="1:5" ht="15" customHeight="1" x14ac:dyDescent="0.2">
      <c r="A6463" s="1" t="s">
        <v>12877</v>
      </c>
      <c r="B6463" s="1">
        <v>0</v>
      </c>
      <c r="C6463" s="3">
        <v>44539.860138888886</v>
      </c>
      <c r="D6463" s="1" t="s">
        <v>12878</v>
      </c>
      <c r="E6463" s="1" t="str">
        <f ca="1">IFERROR(__xludf.DUMMYFUNCTION("GOOGLETRANSLATE(A3262 , ""tr"" , ""en"")"),"@drfahrettinkoca 1) Dear Ministry, Your Ministry Authority tells me on the phone? Today is a friend to the aircraft ... https://t.co/fzl3dh41k4")</f>
        <v>@drfahrettinkoca 1) Dear Ministry, Your Ministry Authority tells me on the phone? Today is a friend to the aircraft ... https://t.co/fzl3dh41k4</v>
      </c>
    </row>
    <row r="6464" spans="1:5" ht="15" customHeight="1" x14ac:dyDescent="0.2">
      <c r="A6464" s="1" t="s">
        <v>12879</v>
      </c>
      <c r="B6464" s="1">
        <v>4</v>
      </c>
      <c r="C6464" s="3">
        <v>44539.856435185182</v>
      </c>
      <c r="D6464" s="1" t="s">
        <v>12880</v>
      </c>
      <c r="E6464" s="1" t="str">
        <f ca="1">IFERROR(__xludf.DUMMYFUNCTION("GOOGLETRANSLATE(A3263 , ""tr"" , ""en"")"),"@drfahrettinka vaccine not allowed to protest the opposites and did not cause people to make their minds ... https://t.co/tq9jdlbmlo")</f>
        <v>@drfahrettinka vaccine not allowed to protest the opposites and did not cause people to make their minds ... https://t.co/tq9jdlbmlo</v>
      </c>
    </row>
    <row r="6465" spans="1:5" ht="15" customHeight="1" x14ac:dyDescent="0.2">
      <c r="A6465" s="1" t="s">
        <v>12881</v>
      </c>
      <c r="B6465" s="1">
        <v>0</v>
      </c>
      <c r="C6465" s="3">
        <v>44539.85465277778</v>
      </c>
      <c r="D6465" s="1" t="s">
        <v>12882</v>
      </c>
      <c r="E6465" s="1" t="str">
        <f ca="1">IFERROR(__xludf.DUMMYFUNCTION("GOOGLETRANSLATE(A3264 , ""tr"" , ""en"")"),"@drfahrettinkoca view See how it is increasing after tomorrow ... We will show such empty throbs Norory Rehaville ... https://t.co/mvbsusqyul")</f>
        <v>@drfahrettinkoca view See how it is increasing after tomorrow ... We will show such empty throbs Norory Rehaville ... https://t.co/mvbsusqyul</v>
      </c>
    </row>
    <row r="6466" spans="1:5" ht="15" customHeight="1" x14ac:dyDescent="0.2">
      <c r="A6466" s="1" t="s">
        <v>12883</v>
      </c>
      <c r="B6466" s="1">
        <v>5</v>
      </c>
      <c r="C6466" s="3">
        <v>44539.854641203703</v>
      </c>
      <c r="D6466" s="1" t="s">
        <v>12884</v>
      </c>
      <c r="E6466" s="1" t="str">
        <f ca="1">IFERROR(__xludf.DUMMYFUNCTION("GOOGLETRANSLATE(A3265 , ""tr"" , ""en"")"),"@drfahrettinkoca we want online !! #kabineomicrongelism")</f>
        <v>@drfahrettinkoca we want online !! #kabineomicrongelism</v>
      </c>
    </row>
    <row r="6467" spans="1:5" ht="15" customHeight="1" x14ac:dyDescent="0.2">
      <c r="A6467" s="1" t="s">
        <v>12885</v>
      </c>
      <c r="B6467" s="1">
        <v>2</v>
      </c>
      <c r="C6467" s="3">
        <v>44539.85460648148</v>
      </c>
      <c r="D6467" s="1" t="s">
        <v>12886</v>
      </c>
      <c r="E6467" s="1" t="str">
        <f ca="1">IFERROR(__xludf.DUMMYFUNCTION("GOOGLETRANSLATE(A3266 , ""tr"" , ""en"")"),"@drfahrettinkoca is the latest Covid to end in Europe we will be and you will be viewed as responsible for it.! Al ... https://t.co/hebe9dlgz0")</f>
        <v>@drfahrettinkoca is the latest Covid to end in Europe we will be and you will be viewed as responsible for it.! Al ... https://t.co/hebe9dlgz0</v>
      </c>
    </row>
    <row r="6468" spans="1:5" ht="15" customHeight="1" x14ac:dyDescent="0.2">
      <c r="A6468" s="1" t="s">
        <v>12887</v>
      </c>
      <c r="B6468" s="1">
        <v>2</v>
      </c>
      <c r="C6468" s="3">
        <v>44539.854479166665</v>
      </c>
      <c r="D6468" s="1" t="s">
        <v>12888</v>
      </c>
      <c r="E6468" s="1" t="str">
        <f ca="1">IFERROR(__xludf.DUMMYFUNCTION("GOOGLETRANSLATE(A3267 , ""tr"" , ""en"")"),"@drfahrettinkoca #kabineomicrongelmedonline")</f>
        <v>@drfahrettinkoca #kabineomicrongelmedonline</v>
      </c>
    </row>
    <row r="6469" spans="1:5" ht="15" customHeight="1" x14ac:dyDescent="0.2">
      <c r="A6469" s="1" t="s">
        <v>12889</v>
      </c>
      <c r="B6469" s="1">
        <v>0</v>
      </c>
      <c r="C6469" s="3">
        <v>44539.854155092595</v>
      </c>
      <c r="D6469" s="1" t="s">
        <v>12890</v>
      </c>
      <c r="E6469" s="1" t="str">
        <f ca="1">IFERROR(__xludf.DUMMYFUNCTION("GOOGLETRANSLATE(A3268 , ""tr"" , ""en"")"),"@drfahrettinkoca everyone squeezed tardic enough online")</f>
        <v>@drfahrettinkoca everyone squeezed tardic enough online</v>
      </c>
    </row>
    <row r="6470" spans="1:5" ht="15" customHeight="1" x14ac:dyDescent="0.2">
      <c r="A6470" s="1" t="s">
        <v>12891</v>
      </c>
      <c r="B6470" s="1">
        <v>0</v>
      </c>
      <c r="C6470" s="3">
        <v>44539.853831018518</v>
      </c>
      <c r="D6470" s="1" t="s">
        <v>12892</v>
      </c>
      <c r="E6470" s="1" t="str">
        <f ca="1">IFERROR(__xludf.DUMMYFUNCTION("GOOGLETRANSLATE(A3269 , ""tr"" , ""en"")"),"@drfahrettinkoca schools do online or reduce hours 5 hours is enough that it is not to reduce the guns to reduce 3 guns ... https://t.co/q5uc5dbjto")</f>
        <v>@drfahrettinkoca schools do online or reduce hours 5 hours is enough that it is not to reduce the guns to reduce 3 guns ... https://t.co/q5uc5dbjto</v>
      </c>
    </row>
    <row r="6471" spans="1:5" ht="15" customHeight="1" x14ac:dyDescent="0.2">
      <c r="A6471" s="1" t="s">
        <v>12893</v>
      </c>
      <c r="B6471" s="1">
        <v>0</v>
      </c>
      <c r="C6471" s="3">
        <v>44539.851979166669</v>
      </c>
      <c r="D6471" s="1" t="s">
        <v>12894</v>
      </c>
      <c r="E6471" s="1" t="str">
        <f ca="1">IFERROR(__xludf.DUMMYFUNCTION("GOOGLETRANSLATE(A3270 , ""tr"" , ""en"")"),"@drfahrettinkoca blues folks, yellows, orange HDP! Istanbul is blue too! Eat minimum wage at least 5000 TL o ... https://t.co/bm82lppc8n")</f>
        <v>@drfahrettinkoca blues folks, yellows, orange HDP! Istanbul is blue too! Eat minimum wage at least 5000 TL o ... https://t.co/bm82lppc8n</v>
      </c>
    </row>
    <row r="6472" spans="1:5" ht="15" customHeight="1" x14ac:dyDescent="0.2">
      <c r="A6472" s="1" t="s">
        <v>12895</v>
      </c>
      <c r="B6472" s="1">
        <v>4</v>
      </c>
      <c r="C6472" s="3">
        <v>44539.8516087963</v>
      </c>
      <c r="D6472" s="1" t="s">
        <v>12896</v>
      </c>
      <c r="E6472" s="1" t="str">
        <f ca="1">IFERROR(__xludf.DUMMYFUNCTION("GOOGLETRANSLATE(A3271 , ""tr"" , ""en"")"),"@drfahrettinka vaccination has not been increased because it has stopped my friend 🤣🤣")</f>
        <v>@drfahrettinka vaccination has not been increased because it has stopped my friend 🤣🤣</v>
      </c>
    </row>
    <row r="6473" spans="1:5" ht="15" customHeight="1" x14ac:dyDescent="0.2">
      <c r="A6473" s="1" t="s">
        <v>12897</v>
      </c>
      <c r="B6473" s="1">
        <v>1</v>
      </c>
      <c r="C6473" s="3">
        <v>44539.851273148146</v>
      </c>
      <c r="D6473" s="1" t="s">
        <v>12898</v>
      </c>
      <c r="E6473" s="1" t="str">
        <f ca="1">IFERROR(__xludf.DUMMYFUNCTION("GOOGLETRANSLATE(A3272 , ""tr"" , ""en"")"),"@drfahrettinkoca Cursation Leave Leave Now the folks started to wake up Kstny Do not draw Kstny that enough to you")</f>
        <v>@drfahrettinkoca Cursation Leave Leave Now the folks started to wake up Kstny Do not draw Kstny that enough to you</v>
      </c>
    </row>
    <row r="6474" spans="1:5" ht="15" customHeight="1" x14ac:dyDescent="0.2">
      <c r="A6474" s="1" t="s">
        <v>12899</v>
      </c>
      <c r="B6474" s="1">
        <v>0</v>
      </c>
      <c r="C6474" s="3">
        <v>44539.850798611114</v>
      </c>
      <c r="D6474" s="1" t="s">
        <v>12900</v>
      </c>
      <c r="E6474" s="1" t="str">
        <f ca="1">IFERROR(__xludf.DUMMYFUNCTION("GOOGLETRANSLATE(A3273 , ""tr"" , ""en"")"),"@drfahrettinkoca Allah bless us from your bad heart, you are drowning you in the evil of your heart.")</f>
        <v>@drfahrettinkoca Allah bless us from your bad heart, you are drowning you in the evil of your heart.</v>
      </c>
    </row>
    <row r="6475" spans="1:5" ht="15" customHeight="1" x14ac:dyDescent="0.2">
      <c r="A6475" s="1" t="s">
        <v>12901</v>
      </c>
      <c r="B6475" s="1">
        <v>0</v>
      </c>
      <c r="C6475" s="3">
        <v>44539.850763888891</v>
      </c>
      <c r="D6475" s="1" t="s">
        <v>12902</v>
      </c>
      <c r="E6475" s="1" t="str">
        <f ca="1">IFERROR(__xludf.DUMMYFUNCTION("GOOGLETRANSLATE(A3274 , ""tr"" , ""en"")"),"@drfahrettinkoca please guide Mr. Ministry")</f>
        <v>@drfahrettinkoca please guide Mr. Ministry</v>
      </c>
    </row>
    <row r="6476" spans="1:5" ht="15" customHeight="1" x14ac:dyDescent="0.2">
      <c r="A6476" s="1" t="s">
        <v>12903</v>
      </c>
      <c r="B6476" s="1">
        <v>0</v>
      </c>
      <c r="C6476" s="3">
        <v>44539.849849537037</v>
      </c>
      <c r="D6476" s="1" t="s">
        <v>12904</v>
      </c>
      <c r="E6476" s="1" t="str">
        <f ca="1">IFERROR(__xludf.DUMMYFUNCTION("GOOGLETRANSLATE(A3275 , ""tr"" , ""en"")"),"@drfahrettinkoca 19 and 666 greetings continue to serve the devil again")</f>
        <v>@drfahrettinkoca 19 and 666 greetings continue to serve the devil again</v>
      </c>
    </row>
    <row r="6477" spans="1:5" ht="15" customHeight="1" x14ac:dyDescent="0.2">
      <c r="A6477" s="1" t="s">
        <v>12905</v>
      </c>
      <c r="B6477" s="1">
        <v>10</v>
      </c>
      <c r="C6477" s="3">
        <v>44539.849768518521</v>
      </c>
      <c r="D6477" s="1" t="s">
        <v>12906</v>
      </c>
      <c r="E6477" s="1" t="str">
        <f ca="1">IFERROR(__xludf.DUMMYFUNCTION("GOOGLETRANSLATE(A3276 , ""tr"" , ""en"")"),"@drfahrettinkoca Omicron You are lowering cases before disclosing what is this bustle? #Omicronvirus # kabineuzaktanılitimsart")</f>
        <v>@drfahrettinkoca Omicron You are lowering cases before disclosing what is this bustle? #Omicronvirus # kabineuzaktanılitimsart</v>
      </c>
    </row>
    <row r="6478" spans="1:5" ht="15" customHeight="1" x14ac:dyDescent="0.2">
      <c r="A6478" s="1" t="s">
        <v>12907</v>
      </c>
      <c r="B6478" s="1">
        <v>10</v>
      </c>
      <c r="C6478" s="3">
        <v>44539.848773148151</v>
      </c>
      <c r="D6478" s="1" t="s">
        <v>12908</v>
      </c>
      <c r="E6478" s="1" t="str">
        <f ca="1">IFERROR(__xludf.DUMMYFUNCTION("GOOGLETRANSLATE(A3277 , ""tr"" , ""en"")"),"@drfahrettinkoca Which of you are talking about the facts? 7 grade closed emergency clicks in my niece's school ... https://t.co/MIK6W6YXPF")</f>
        <v>@drfahrettinkoca Which of you are talking about the facts? 7 grade closed emergency clicks in my niece's school ... https://t.co/MIK6W6YXPF</v>
      </c>
    </row>
    <row r="6479" spans="1:5" ht="15" customHeight="1" x14ac:dyDescent="0.2">
      <c r="A6479" s="1" t="s">
        <v>12909</v>
      </c>
      <c r="B6479" s="1">
        <v>0</v>
      </c>
      <c r="C6479" s="3">
        <v>44539.848541666666</v>
      </c>
      <c r="D6479" s="1" t="s">
        <v>12910</v>
      </c>
      <c r="E6479" s="1" t="str">
        <f ca="1">IFERROR(__xludf.DUMMYFUNCTION("GOOGLETRANSLATE(A3278 , ""tr"" , ""en"")"),"@drfahrettinkoca 28K We have a very beautiful decline from cases Hani If you are no longer enough you will keep the number of cases explained ... https://t.co/jonri7l7xc")</f>
        <v>@drfahrettinkoca 28K We have a very beautiful decline from cases Hani If you are no longer enough you will keep the number of cases explained ... https://t.co/jonri7l7xc</v>
      </c>
    </row>
    <row r="6480" spans="1:5" ht="15" customHeight="1" x14ac:dyDescent="0.2">
      <c r="A6480" s="1" t="s">
        <v>12911</v>
      </c>
      <c r="B6480" s="1">
        <v>1</v>
      </c>
      <c r="C6480" s="3">
        <v>44539.847951388889</v>
      </c>
      <c r="D6480" s="1" t="s">
        <v>12912</v>
      </c>
      <c r="E6480" s="1" t="str">
        <f ca="1">IFERROR(__xludf.DUMMYFUNCTION("GOOGLETRANSLATE(A3279 , ""tr"" , ""en"")"),"@drfahrettinkoca or wonder if you are what you say? You hold 5 times in your own you say. Your science ... https://t.co/ue70ac6awe")</f>
        <v>@drfahrettinkoca or wonder if you are what you say? You hold 5 times in your own you say. Your science ... https://t.co/ue70ac6awe</v>
      </c>
    </row>
    <row r="6481" spans="1:5" ht="15" customHeight="1" x14ac:dyDescent="0.2">
      <c r="A6481" s="1" t="s">
        <v>12913</v>
      </c>
      <c r="B6481" s="1">
        <v>0</v>
      </c>
      <c r="C6481" s="3">
        <v>44539.847129629627</v>
      </c>
      <c r="D6481" s="1" t="s">
        <v>12914</v>
      </c>
      <c r="E6481" s="1" t="str">
        <f ca="1">IFERROR(__xludf.DUMMYFUNCTION("GOOGLETRANSLATE(A3280 , ""tr"" , ""en"")"),"@drfahrettinkoca is still the vaccine still in the vaccine, the country didn't remain other than ..")</f>
        <v>@drfahrettinkoca is still the vaccine still in the vaccine, the country didn't remain other than ..</v>
      </c>
    </row>
    <row r="6482" spans="1:5" ht="15" customHeight="1" x14ac:dyDescent="0.2">
      <c r="A6482" s="1" t="s">
        <v>12915</v>
      </c>
      <c r="B6482" s="1">
        <v>0</v>
      </c>
      <c r="C6482" s="3">
        <v>44539.846643518518</v>
      </c>
      <c r="D6482" s="1" t="s">
        <v>12916</v>
      </c>
      <c r="E6482" s="1" t="str">
        <f ca="1">IFERROR(__xludf.DUMMYFUNCTION("GOOGLETRANSLATE(A3281 , ""tr"" , ""en"")"),"@drfahrettinkoca Minister Stop Surry Now Make a statement Now the human being waiting for your guide See you waiting for you now")</f>
        <v>@drfahrettinkoca Minister Stop Surry Now Make a statement Now the human being waiting for your guide See you waiting for you now</v>
      </c>
    </row>
    <row r="6483" spans="1:5" ht="15" customHeight="1" x14ac:dyDescent="0.2">
      <c r="A6483" s="1" t="s">
        <v>12917</v>
      </c>
      <c r="B6483" s="1">
        <v>0</v>
      </c>
      <c r="C6483" s="3">
        <v>44539.846539351849</v>
      </c>
      <c r="D6483" s="1" t="s">
        <v>12918</v>
      </c>
      <c r="E6483" s="1" t="str">
        <f ca="1">IFERROR(__xludf.DUMMYFUNCTION("GOOGLETRANSLATE(A3282 , ""tr"" , ""en"")"),"@drfahrettinkoca today I wanted to test in Urla State Hospital and tested on the grounds that it is not my shipment ... HTTPS://T.CO/K7DI4NZLEW")</f>
        <v>@drfahrettinkoca today I wanted to test in Urla State Hospital and tested on the grounds that it is not my shipment ... HTTPS://T.CO/K7DI4NZLEW</v>
      </c>
    </row>
    <row r="6484" spans="1:5" ht="15" customHeight="1" x14ac:dyDescent="0.2">
      <c r="A6484" s="1" t="s">
        <v>12919</v>
      </c>
      <c r="B6484" s="1">
        <v>2</v>
      </c>
      <c r="C6484" s="3">
        <v>44539.844965277778</v>
      </c>
      <c r="D6484" s="1" t="s">
        <v>12920</v>
      </c>
      <c r="E6484" s="1" t="str">
        <f ca="1">IFERROR(__xludf.DUMMYFUNCTION("GOOGLETRANSLATE(A3283 , ""tr"" , ""en"")"),"@drfahrettinkoca Europe With Europe Missing Vaccines If the difference is eliminated, we do not experience sudden increases. To vaccines ... https://t.co/cbnajdy1lb")</f>
        <v>@drfahrettinkoca Europe With Europe Missing Vaccines If the difference is eliminated, we do not experience sudden increases. To vaccines ... https://t.co/cbnajdy1lb</v>
      </c>
    </row>
    <row r="6485" spans="1:5" ht="15" customHeight="1" x14ac:dyDescent="0.2">
      <c r="A6485" s="1" t="s">
        <v>12921</v>
      </c>
      <c r="B6485" s="1">
        <v>0</v>
      </c>
      <c r="C6485" s="3">
        <v>44539.844467592593</v>
      </c>
      <c r="D6485" s="1" t="s">
        <v>12922</v>
      </c>
      <c r="E6485" s="1" t="str">
        <f ca="1">IFERROR(__xludf.DUMMYFUNCTION("GOOGLETRANSLATE(A3284 , ""tr"" , ""en"")"),"@drfahrettinkoca no one gets tests there's no increase from ten")</f>
        <v>@drfahrettinkoca no one gets tests there's no increase from ten</v>
      </c>
    </row>
    <row r="6486" spans="1:5" ht="15" customHeight="1" x14ac:dyDescent="0.2">
      <c r="A6486" s="1" t="s">
        <v>10657</v>
      </c>
      <c r="B6486" s="1">
        <v>0</v>
      </c>
      <c r="C6486" s="3">
        <v>44539.843877314815</v>
      </c>
      <c r="D6486" s="1" t="s">
        <v>12923</v>
      </c>
      <c r="E6486" s="1" t="str">
        <f ca="1">IFERROR(__xludf.DUMMYFUNCTION("GOOGLETRANSLATE(A3285 , ""tr"" , ""en"")"),"@drfahrettinkoca distance education")</f>
        <v>@drfahrettinkoca distance education</v>
      </c>
    </row>
    <row r="6487" spans="1:5" ht="15" customHeight="1" x14ac:dyDescent="0.2">
      <c r="A6487" s="1" t="s">
        <v>12924</v>
      </c>
      <c r="B6487" s="1">
        <v>0</v>
      </c>
      <c r="C6487" s="3">
        <v>44539.843645833331</v>
      </c>
      <c r="D6487" s="1" t="s">
        <v>12925</v>
      </c>
      <c r="E6487" s="1" t="str">
        <f ca="1">IFERROR(__xludf.DUMMYFUNCTION("GOOGLETRANSLATE(A3286 , ""tr"" , ""en"")"),"@drfahrettinkoca @saglikbakanligi Koskoca City Hospital Bi Emergency Doctors for the Patient 100 people ... https://t.co/cybjzn4a7t")</f>
        <v>@drfahrettinkoca @saglikbakanligi Koskoca City Hospital Bi Emergency Doctors for the Patient 100 people ... https://t.co/cybjzn4a7t</v>
      </c>
    </row>
    <row r="6488" spans="1:5" ht="15" customHeight="1" x14ac:dyDescent="0.2">
      <c r="A6488" s="1" t="s">
        <v>12926</v>
      </c>
      <c r="B6488" s="1">
        <v>1</v>
      </c>
      <c r="C6488" s="3">
        <v>44539.843495370369</v>
      </c>
      <c r="D6488" s="1" t="s">
        <v>12927</v>
      </c>
      <c r="E6488" s="1" t="str">
        <f ca="1">IFERROR(__xludf.DUMMYFUNCTION("GOOGLETRANSLATE(A3287 , ""tr"" , ""en"")"),"@drfahrettinkoca :)) Bi Day says so, Bi says the day but the sentence is constantly ""missing""! brings overdose. https://t.co/sck5ezudck")</f>
        <v>@drfahrettinkoca :)) Bi Day says so, Bi says the day but the sentence is constantly "missing"! brings overdose. https://t.co/sck5ezudck</v>
      </c>
    </row>
    <row r="6489" spans="1:5" ht="15" customHeight="1" x14ac:dyDescent="0.2">
      <c r="A6489" s="1" t="s">
        <v>12928</v>
      </c>
      <c r="B6489" s="1">
        <v>11</v>
      </c>
      <c r="C6489" s="3">
        <v>44539.842129629629</v>
      </c>
      <c r="D6489" s="1" t="s">
        <v>12929</v>
      </c>
      <c r="E6489" s="1" t="str">
        <f ca="1">IFERROR(__xludf.DUMMYFUNCTION("GOOGLETRANSLATE(A3288 , ""tr"" , ""en"")"),"@drfahrettinkoca 195 The number of deaths of the deaths? Covid continues to spread in schools but apply no measures off the mask ... https://t.co/bs3vg2dffx")</f>
        <v>@drfahrettinkoca 195 The number of deaths of the deaths? Covid continues to spread in schools but apply no measures off the mask ... https://t.co/bs3vg2dffx</v>
      </c>
    </row>
    <row r="6490" spans="1:5" ht="15" customHeight="1" x14ac:dyDescent="0.2">
      <c r="A6490" s="1" t="s">
        <v>12930</v>
      </c>
      <c r="B6490" s="1">
        <v>0</v>
      </c>
      <c r="C6490" s="3">
        <v>44539.84134259259</v>
      </c>
      <c r="D6490" s="1" t="s">
        <v>12931</v>
      </c>
      <c r="E6490" s="1" t="str">
        <f ca="1">IFERROR(__xludf.DUMMYFUNCTION("GOOGLETRANSLATE(A3289 , ""tr"" , ""en"")"),"@drfahrettinkoca TURKS Much took a lot to our lives, I can tell me about my knowledge?")</f>
        <v>@drfahrettinkoca TURKS Much took a lot to our lives, I can tell me about my knowledge?</v>
      </c>
    </row>
    <row r="6491" spans="1:5" ht="15" customHeight="1" x14ac:dyDescent="0.2">
      <c r="A6491" s="1" t="s">
        <v>12932</v>
      </c>
      <c r="B6491" s="1">
        <v>0</v>
      </c>
      <c r="C6491" s="3">
        <v>44539.841203703705</v>
      </c>
      <c r="D6491" s="1" t="s">
        <v>12933</v>
      </c>
      <c r="E6491" s="1" t="str">
        <f ca="1">IFERROR(__xludf.DUMMYFUNCTION("GOOGLETRANSLATE(A3290 , ""tr"" , ""en"")"),"@drfahrettinka is an indefinitely waiting for the quadrant staff !!!!!!!!")</f>
        <v>@drfahrettinka is an indefinitely waiting for the quadrant staff !!!!!!!!</v>
      </c>
    </row>
    <row r="6492" spans="1:5" ht="15" customHeight="1" x14ac:dyDescent="0.2">
      <c r="A6492" s="1" t="s">
        <v>12934</v>
      </c>
      <c r="B6492" s="1">
        <v>0</v>
      </c>
      <c r="C6492" s="3">
        <v>44539.840868055559</v>
      </c>
      <c r="D6492" s="1" t="s">
        <v>12935</v>
      </c>
      <c r="E6492" s="1" t="str">
        <f ca="1">IFERROR(__xludf.DUMMYFUNCTION("GOOGLETRANSLATE(A3291 , ""tr"" , ""en"")"),"@drfahrettinkoca still says the vaccine 😂😰")</f>
        <v>@drfahrettinkoca still says the vaccine 😂😰</v>
      </c>
    </row>
    <row r="6493" spans="1:5" ht="15" customHeight="1" x14ac:dyDescent="0.2">
      <c r="A6493" s="1" t="s">
        <v>12936</v>
      </c>
      <c r="B6493" s="1">
        <v>0</v>
      </c>
      <c r="C6493" s="3">
        <v>44539.840856481482</v>
      </c>
      <c r="D6493" s="1" t="s">
        <v>12937</v>
      </c>
      <c r="E6493" s="1" t="str">
        <f ca="1">IFERROR(__xludf.DUMMYFUNCTION("GOOGLETRANSLATE(A3292 , ""tr"" , ""en"")"),"@drfahrettinka https://t.co/ptcmffqp3m")</f>
        <v>@drfahrettinka https://t.co/ptcmffqp3m</v>
      </c>
    </row>
    <row r="6494" spans="1:5" ht="15" customHeight="1" x14ac:dyDescent="0.2">
      <c r="A6494" s="1" t="s">
        <v>12938</v>
      </c>
      <c r="B6494" s="1">
        <v>0</v>
      </c>
      <c r="C6494" s="3">
        <v>44539.840775462966</v>
      </c>
      <c r="D6494" s="1" t="s">
        <v>12939</v>
      </c>
      <c r="E6494" s="1" t="str">
        <f ca="1">IFERROR(__xludf.DUMMYFUNCTION("GOOGLETRANSLATE(A3293 , ""tr"" , ""en"")"),"@drfahrettinka https://t.co/7lqbsq2mlx")</f>
        <v>@drfahrettinka https://t.co/7lqbsq2mlx</v>
      </c>
    </row>
    <row r="6495" spans="1:5" ht="15" customHeight="1" x14ac:dyDescent="0.2">
      <c r="A6495" s="1" t="s">
        <v>12940</v>
      </c>
      <c r="B6495" s="1">
        <v>0</v>
      </c>
      <c r="C6495" s="3">
        <v>44539.840613425928</v>
      </c>
      <c r="D6495" s="1" t="s">
        <v>12941</v>
      </c>
      <c r="E6495" s="1" t="str">
        <f ca="1">IFERROR(__xludf.DUMMYFUNCTION("GOOGLETRANSLATE(A3294 , ""tr"" , ""en"")"),"@drfahrettinka https://t.co/uvqksaxptu")</f>
        <v>@drfahrettinka https://t.co/uvqksaxptu</v>
      </c>
    </row>
    <row r="6496" spans="1:5" ht="15" customHeight="1" x14ac:dyDescent="0.2">
      <c r="A6496" s="1" t="s">
        <v>12942</v>
      </c>
      <c r="B6496" s="1">
        <v>0</v>
      </c>
      <c r="C6496" s="3">
        <v>44539.839918981481</v>
      </c>
      <c r="D6496" s="1" t="s">
        <v>12943</v>
      </c>
      <c r="E6496" s="1" t="str">
        <f ca="1">IFERROR(__xludf.DUMMYFUNCTION("GOOGLETRANSLATE(A3295 , ""tr"" , ""en"")"),"@drfahrettinkoca @muratmuratdmrc 2 dose on top of 80%, wherein Hani is social immunity")</f>
        <v>@drfahrettinkoca @muratmuratdmrc 2 dose on top of 80%, wherein Hani is social immunity</v>
      </c>
    </row>
    <row r="6497" spans="1:5" ht="15" customHeight="1" x14ac:dyDescent="0.2">
      <c r="A6497" s="1" t="s">
        <v>12944</v>
      </c>
      <c r="B6497" s="1">
        <v>0</v>
      </c>
      <c r="C6497" s="3">
        <v>44539.839837962965</v>
      </c>
      <c r="D6497" s="1" t="s">
        <v>12945</v>
      </c>
      <c r="E6497" s="1" t="str">
        <f ca="1">IFERROR(__xludf.DUMMYFUNCTION("GOOGLETRANSLATE(A3296 , ""tr"" , ""en"")"),"@drfahrettinka yourself is also 6 weeks of diyos")</f>
        <v>@drfahrettinka yourself is also 6 weeks of diyos</v>
      </c>
    </row>
    <row r="6498" spans="1:5" ht="15" customHeight="1" x14ac:dyDescent="0.2">
      <c r="A6498" s="1" t="s">
        <v>12946</v>
      </c>
      <c r="B6498" s="1">
        <v>0</v>
      </c>
      <c r="C6498" s="3">
        <v>44539.839756944442</v>
      </c>
      <c r="D6498" s="1" t="s">
        <v>12947</v>
      </c>
      <c r="E6498" s="1" t="str">
        <f ca="1">IFERROR(__xludf.DUMMYFUNCTION("GOOGLETRANSLATE(A3297 , ""tr"" , ""en"")"),"@drfahrettinkoca La Fonten tales ..")</f>
        <v>@drfahrettinkoca La Fonten tales ..</v>
      </c>
    </row>
    <row r="6499" spans="1:5" ht="15" customHeight="1" x14ac:dyDescent="0.2">
      <c r="A6499" s="1" t="s">
        <v>12948</v>
      </c>
      <c r="B6499" s="1">
        <v>0</v>
      </c>
      <c r="C6499" s="3">
        <v>44539.839166666665</v>
      </c>
      <c r="D6499" s="1" t="s">
        <v>12949</v>
      </c>
      <c r="E6499" s="1" t="str">
        <f ca="1">IFERROR(__xludf.DUMMYFUNCTION("GOOGLETRANSLATE(A3298 , ""tr"" , ""en"")"),"@drfahrettinkoca o Artis were seen in certainty")</f>
        <v>@drfahrettinkoca o Artis were seen in certainty</v>
      </c>
    </row>
    <row r="6500" spans="1:5" ht="15" customHeight="1" x14ac:dyDescent="0.2">
      <c r="A6500" s="1" t="s">
        <v>12950</v>
      </c>
      <c r="B6500" s="1">
        <v>49</v>
      </c>
      <c r="C6500" s="3">
        <v>44539.838101851848</v>
      </c>
      <c r="D6500" s="1" t="s">
        <v>12951</v>
      </c>
      <c r="E6500" s="1" t="str">
        <f ca="1">IFERROR(__xludf.DUMMYFUNCTION("GOOGLETRANSLATE(A3299 , ""tr"" , ""en"")"),"@drfahrettinkoca This case numbers do not even have contacted tracking in the country? The numbers of these cases does not fit the spear sack.")</f>
        <v>@drfahrettinkoca This case numbers do not even have contacted tracking in the country? The numbers of these cases does not fit the spear sack.</v>
      </c>
    </row>
    <row r="6501" spans="1:5" ht="15" customHeight="1" x14ac:dyDescent="0.2">
      <c r="A6501" s="1" t="s">
        <v>12952</v>
      </c>
      <c r="B6501" s="1">
        <v>0</v>
      </c>
      <c r="C6501" s="3">
        <v>44539.837233796294</v>
      </c>
      <c r="D6501" s="1" t="s">
        <v>12953</v>
      </c>
      <c r="E6501" s="1" t="str">
        <f ca="1">IFERROR(__xludf.DUMMYFUNCTION("GOOGLETRANSLATE(A3300 , ""tr"" , ""en"")"),"@drfahrettinkoca Measure Varmi")</f>
        <v>@drfahrettinkoca Measure Varmi</v>
      </c>
    </row>
    <row r="6502" spans="1:5" ht="15" customHeight="1" x14ac:dyDescent="0.2">
      <c r="A6502" s="1" t="s">
        <v>12954</v>
      </c>
      <c r="B6502" s="1">
        <v>0</v>
      </c>
      <c r="C6502" s="3">
        <v>44539.836122685185</v>
      </c>
      <c r="D6502" s="1" t="s">
        <v>12955</v>
      </c>
      <c r="E6502" s="1" t="str">
        <f ca="1">IFERROR(__xludf.DUMMYFUNCTION("GOOGLETRANSLATE(A3301 , ""tr"" , ""en"")"),"@drfahrettinkoca Deaths are grafted and unlike listed in the table as a table, maybe create encouragement for vaccine ... https://t.co/7un3bsozwv")</f>
        <v>@drfahrettinkoca Deaths are grafted and unlike listed in the table as a table, maybe create encouragement for vaccine ... https://t.co/7un3bsozwv</v>
      </c>
    </row>
    <row r="6503" spans="1:5" ht="15" customHeight="1" x14ac:dyDescent="0.2">
      <c r="A6503" s="1" t="s">
        <v>12956</v>
      </c>
      <c r="B6503" s="1">
        <v>0</v>
      </c>
      <c r="C6503" s="3">
        <v>44539.835914351854</v>
      </c>
      <c r="D6503" s="1" t="s">
        <v>12957</v>
      </c>
      <c r="E6503" s="1" t="str">
        <f ca="1">IFERROR(__xludf.DUMMYFUNCTION("GOOGLETRANSLATE(A3302 , ""tr"" , ""en"")"),"@drfahrettinka natural immunity is understood high")</f>
        <v>@drfahrettinka natural immunity is understood high</v>
      </c>
    </row>
    <row r="6504" spans="1:5" ht="15" customHeight="1" x14ac:dyDescent="0.2">
      <c r="A6504" s="1" t="s">
        <v>12958</v>
      </c>
      <c r="B6504" s="1">
        <v>0</v>
      </c>
      <c r="C6504" s="3">
        <v>44539.835810185185</v>
      </c>
      <c r="D6504" s="1" t="s">
        <v>12959</v>
      </c>
      <c r="E6504" s="1" t="str">
        <f ca="1">IFERROR(__xludf.DUMMYFUNCTION("GOOGLETRANSLATE(A3303 , ""tr"" , ""en"")"),"@drfahrettinkoca Assignment Guide")</f>
        <v>@drfahrettinkoca Assignment Guide</v>
      </c>
    </row>
    <row r="6505" spans="1:5" ht="15" customHeight="1" x14ac:dyDescent="0.2">
      <c r="A6505" s="1" t="s">
        <v>12960</v>
      </c>
      <c r="B6505" s="1">
        <v>0</v>
      </c>
      <c r="C6505" s="3">
        <v>44539.835532407407</v>
      </c>
      <c r="D6505" s="1" t="s">
        <v>12961</v>
      </c>
      <c r="E6505" s="1" t="str">
        <f ca="1">IFERROR(__xludf.DUMMYFUNCTION("GOOGLETRANSLATE(A3304 , ""tr"" , ""en"")"),"@drfahrettinkoca Uyutr Enough You will be rebelled as if the vaccine is protected from Coronan, you are told that the folks are ignorant")</f>
        <v>@drfahrettinkoca Uyutr Enough You will be rebelled as if the vaccine is protected from Coronan, you are told that the folks are ignorant</v>
      </c>
    </row>
    <row r="6506" spans="1:5" ht="15" customHeight="1" x14ac:dyDescent="0.2">
      <c r="A6506" s="1" t="s">
        <v>12962</v>
      </c>
      <c r="B6506" s="1">
        <v>0</v>
      </c>
      <c r="C6506" s="3">
        <v>44539.83520833333</v>
      </c>
      <c r="D6506" s="1" t="s">
        <v>12963</v>
      </c>
      <c r="E6506" s="1" t="str">
        <f ca="1">IFERROR(__xludf.DUMMYFUNCTION("GOOGLETRANSLATE(A3305 , ""tr"" , ""en"")"),"@drfahrettinkoca he hee hee")</f>
        <v>@drfahrettinkoca he hee hee</v>
      </c>
    </row>
    <row r="6507" spans="1:5" ht="15" customHeight="1" x14ac:dyDescent="0.2">
      <c r="A6507" s="1" t="s">
        <v>12964</v>
      </c>
      <c r="B6507" s="1">
        <v>0</v>
      </c>
      <c r="C6507" s="3">
        <v>44539.834953703707</v>
      </c>
      <c r="D6507" s="1" t="s">
        <v>12965</v>
      </c>
      <c r="E6507" s="1" t="str">
        <f ca="1">IFERROR(__xludf.DUMMYFUNCTION("GOOGLETRANSLATE(A3306 , ""tr"" , ""en"")"),"@drfahrettinka 9 December 2020 No vaccine! Number of tests: 204.411 Cases: 31,712 Number of patients: 6.213 Death: 217 9 Range ... https://t.co/edu8bw4nvg")</f>
        <v>@drfahrettinka 9 December 2020 No vaccine! Number of tests: 204.411 Cases: 31,712 Number of patients: 6.213 Death: 217 9 Range ... https://t.co/edu8bw4nvg</v>
      </c>
    </row>
    <row r="6508" spans="1:5" ht="15" customHeight="1" x14ac:dyDescent="0.2">
      <c r="A6508" s="1" t="s">
        <v>12966</v>
      </c>
      <c r="B6508" s="1">
        <v>0</v>
      </c>
      <c r="C6508" s="3">
        <v>44539.834039351852</v>
      </c>
      <c r="D6508" s="1" t="s">
        <v>12967</v>
      </c>
      <c r="E6508" s="1" t="str">
        <f ca="1">IFERROR(__xludf.DUMMYFUNCTION("GOOGLETRANSLATE(A3307 , ""tr"" , ""en"")"),"@drfahrettinkoca fair table I want nation folks tricky people")</f>
        <v>@drfahrettinkoca fair table I want nation folks tricky people</v>
      </c>
    </row>
    <row r="6509" spans="1:5" ht="15" customHeight="1" x14ac:dyDescent="0.2">
      <c r="A6509" s="1" t="s">
        <v>12968</v>
      </c>
      <c r="B6509" s="1">
        <v>0</v>
      </c>
      <c r="C6509" s="3">
        <v>44539.834016203706</v>
      </c>
      <c r="D6509" s="1" t="s">
        <v>12969</v>
      </c>
      <c r="E6509" s="1" t="str">
        <f ca="1">IFERROR(__xludf.DUMMYFUNCTION("GOOGLETRANSLATE(A3308 , ""tr"" , ""en"")"),"@drfahrettinkoca What other excuse you will make up! I'm tired of you now from you and their ...")</f>
        <v>@drfahrettinkoca What other excuse you will make up! I'm tired of you now from you and their ...</v>
      </c>
    </row>
    <row r="6510" spans="1:5" ht="15" customHeight="1" x14ac:dyDescent="0.2">
      <c r="A6510" s="1" t="s">
        <v>12970</v>
      </c>
      <c r="B6510" s="1">
        <v>0</v>
      </c>
      <c r="C6510" s="3">
        <v>44539.834004629629</v>
      </c>
      <c r="D6510" s="1" t="s">
        <v>12971</v>
      </c>
      <c r="E6510" s="1" t="str">
        <f ca="1">IFERROR(__xludf.DUMMYFUNCTION("GOOGLETRANSLATE(A3309 , ""tr"" , ""en"")"),"@drfahrettinkoca 😎eline explode will explode. Not long now.")</f>
        <v>@drfahrettinkoca 😎eline explode will explode. Not long now.</v>
      </c>
    </row>
    <row r="6511" spans="1:5" ht="15" customHeight="1" x14ac:dyDescent="0.2">
      <c r="A6511" s="1" t="s">
        <v>8741</v>
      </c>
      <c r="B6511" s="1">
        <v>5</v>
      </c>
      <c r="C6511" s="3">
        <v>44539.833819444444</v>
      </c>
      <c r="D6511" s="1" t="s">
        <v>12972</v>
      </c>
      <c r="E6511" s="1" t="str">
        <f ca="1">IFERROR(__xludf.DUMMYFUNCTION("GOOGLETRANSLATE(A3310 , ""tr"" , ""en"")"),"@drfahrettinkoca We want distance education")</f>
        <v>@drfahrettinkoca We want distance education</v>
      </c>
    </row>
    <row r="6512" spans="1:5" ht="15" customHeight="1" x14ac:dyDescent="0.2">
      <c r="A6512" s="1" t="s">
        <v>12973</v>
      </c>
      <c r="B6512" s="1">
        <v>1</v>
      </c>
      <c r="C6512" s="3">
        <v>44539.833657407406</v>
      </c>
      <c r="D6512" s="1" t="s">
        <v>12974</v>
      </c>
      <c r="E6512" s="1" t="str">
        <f ca="1">IFERROR(__xludf.DUMMYFUNCTION("GOOGLETRANSLATE(A3311 , ""tr"" , ""en"")"),"@drfahrettinkoca Describe real cases Only there are 15Bine close viruses even in Istanbul")</f>
        <v>@drfahrettinkoca Describe real cases Only there are 15Bine close viruses even in Istanbul</v>
      </c>
    </row>
    <row r="6513" spans="1:5" ht="15" customHeight="1" x14ac:dyDescent="0.2">
      <c r="A6513" s="1" t="s">
        <v>12975</v>
      </c>
      <c r="B6513" s="1">
        <v>0</v>
      </c>
      <c r="C6513" s="3">
        <v>44539.832314814812</v>
      </c>
      <c r="D6513" s="1" t="s">
        <v>12976</v>
      </c>
      <c r="E6513" s="1" t="str">
        <f ca="1">IFERROR(__xludf.DUMMYFUNCTION("GOOGLETRANSLATE(A3312 , ""tr"" , ""en"")"),"@drfahrettinkoca Maşallah Your map does not change 😂😂😂😂")</f>
        <v>@drfahrettinkoca Maşallah Your map does not change 😂😂😂😂</v>
      </c>
    </row>
    <row r="6514" spans="1:5" ht="15" customHeight="1" x14ac:dyDescent="0.2">
      <c r="A6514" s="1" t="s">
        <v>12977</v>
      </c>
      <c r="B6514" s="1">
        <v>0</v>
      </c>
      <c r="C6514" s="3">
        <v>44539.831273148149</v>
      </c>
      <c r="D6514" s="1" t="s">
        <v>12978</v>
      </c>
      <c r="E6514" s="1" t="str">
        <f ca="1">IFERROR(__xludf.DUMMYFUNCTION("GOOGLETRANSLATE(A3313 , ""tr"" , ""en"")"),"@drfahrettinka Mr. Ministry is rising in the world Our country falls in our country Do you really believe that people ... HTTPS://T.CO/WPQFBHIIME")</f>
        <v>@drfahrettinka Mr. Ministry is rising in the world Our country falls in our country Do you really believe that people ... HTTPS://T.CO/WPQFBHIIME</v>
      </c>
    </row>
    <row r="6515" spans="1:5" ht="15" customHeight="1" x14ac:dyDescent="0.2">
      <c r="A6515" s="1" t="s">
        <v>12979</v>
      </c>
      <c r="B6515" s="1">
        <v>2</v>
      </c>
      <c r="C6515" s="3">
        <v>44539.831145833334</v>
      </c>
      <c r="D6515" s="1" t="s">
        <v>12980</v>
      </c>
      <c r="E6515" s="1" t="str">
        <f ca="1">IFERROR(__xludf.DUMMYFUNCTION("GOOGLETRANSLATE(A3314 , ""tr"" , ""en"")"),"@drfahrettinkoca religion in hospitals did not remain in hospitals, but not to find the doctor in the doctors ... https://t.co/8cahmifczq")</f>
        <v>@drfahrettinkoca religion in hospitals did not remain in hospitals, but not to find the doctor in the doctors ... https://t.co/8cahmifczq</v>
      </c>
    </row>
    <row r="6516" spans="1:5" ht="15" customHeight="1" x14ac:dyDescent="0.2">
      <c r="A6516" s="1" t="s">
        <v>12981</v>
      </c>
      <c r="B6516" s="1">
        <v>0</v>
      </c>
      <c r="C6516" s="3">
        <v>44539.830185185187</v>
      </c>
      <c r="D6516" s="1" t="s">
        <v>12982</v>
      </c>
      <c r="E6516" s="1" t="str">
        <f ca="1">IFERROR(__xludf.DUMMYFUNCTION("GOOGLETRANSLATE(A3315 , ""tr"" , ""en"")"),"@drfahrettinkoca endless symphony. This lies this fear the wind tastes the pumpkin now.")</f>
        <v>@drfahrettinkoca endless symphony. This lies this fear the wind tastes the pumpkin now.</v>
      </c>
    </row>
    <row r="6517" spans="1:5" ht="15" customHeight="1" x14ac:dyDescent="0.2">
      <c r="A6517" s="1" t="s">
        <v>12983</v>
      </c>
      <c r="B6517" s="1">
        <v>0</v>
      </c>
      <c r="C6517" s="3">
        <v>44539.82953703704</v>
      </c>
      <c r="D6517" s="1" t="s">
        <v>12984</v>
      </c>
      <c r="E6517" s="1" t="str">
        <f ca="1">IFERROR(__xludf.DUMMYFUNCTION("GOOGLETRANSLATE(A3316 , ""tr"" , ""en"")"),"@drfahrettinkoca Bi SUS Costs that you have been bought in the vaccine Cafe New Dunya Duzrni Dişi Diyi ... https://t.co/7tfifvom6b")</f>
        <v>@drfahrettinkoca Bi SUS Costs that you have been bought in the vaccine Cafe New Dunya Duzrni Dişi Diyi ... https://t.co/7tfifvom6b</v>
      </c>
    </row>
    <row r="6518" spans="1:5" ht="15" customHeight="1" x14ac:dyDescent="0.2">
      <c r="A6518" s="1" t="s">
        <v>12985</v>
      </c>
      <c r="B6518" s="1">
        <v>0</v>
      </c>
      <c r="C6518" s="3">
        <v>44539.828935185185</v>
      </c>
      <c r="D6518" s="1" t="s">
        <v>12986</v>
      </c>
      <c r="E6518" s="1" t="str">
        <f ca="1">IFERROR(__xludf.DUMMYFUNCTION("GOOGLETRANSLATE(A3317 , ""tr"" , ""en"")"),"@drfahrettinkoca # the natory?")</f>
        <v>@drfahrettinkoca # the natory?</v>
      </c>
    </row>
    <row r="6519" spans="1:5" ht="15" customHeight="1" x14ac:dyDescent="0.2">
      <c r="A6519" s="1" t="s">
        <v>12987</v>
      </c>
      <c r="B6519" s="1">
        <v>0</v>
      </c>
      <c r="C6519" s="3">
        <v>44539.828865740739</v>
      </c>
      <c r="D6519" s="1" t="s">
        <v>12988</v>
      </c>
      <c r="E6519" s="1" t="str">
        <f ca="1">IFERROR(__xludf.DUMMYFUNCTION("GOOGLETRANSLATE(A3318 , ""tr"" , ""en"")"),"@drfahrettinkoca I wonder if the F constant is not because we are going to the metrobus. Den to the same thing last year ... https://t.co/BP7QYUIHX6")</f>
        <v>@drfahrettinkoca I wonder if the F constant is not because we are going to the metrobus. Den to the same thing last year ... https://t.co/BP7QYUIHX6</v>
      </c>
    </row>
    <row r="6520" spans="1:5" ht="15" customHeight="1" x14ac:dyDescent="0.2">
      <c r="A6520" s="1" t="s">
        <v>12989</v>
      </c>
      <c r="B6520" s="1">
        <v>0</v>
      </c>
      <c r="C6520" s="3">
        <v>44539.828263888892</v>
      </c>
      <c r="D6520" s="1" t="s">
        <v>12990</v>
      </c>
      <c r="E6520" s="1" t="str">
        <f ca="1">IFERROR(__xludf.DUMMYFUNCTION("GOOGLETRANSLATE(A3319 , ""tr"" , ""en"")"),"@drfahrettinkoca what is the global devil submitted in 6 weeks such as Hassictyrrrrr bokkkkkk")</f>
        <v>@drfahrettinkoca what is the global devil submitted in 6 weeks such as Hassictyrrrrr bokkkkkk</v>
      </c>
    </row>
    <row r="6521" spans="1:5" ht="15" customHeight="1" x14ac:dyDescent="0.2">
      <c r="A6521" s="1" t="s">
        <v>12991</v>
      </c>
      <c r="B6521" s="1">
        <v>0</v>
      </c>
      <c r="C6521" s="3">
        <v>44539.827627314815</v>
      </c>
      <c r="D6521" s="1" t="s">
        <v>12992</v>
      </c>
      <c r="E6521" s="1" t="str">
        <f ca="1">IFERROR(__xludf.DUMMYFUNCTION("GOOGLETRANSLATE(A3320 , ""tr"" , ""en"")"),"@drfahrettinka Mr. Minister You don't know how to address us. You will say that when there is no vaccination in our country ... https://t.co/tyt8guekwv")</f>
        <v>@drfahrettinka Mr. Minister You don't know how to address us. You will say that when there is no vaccination in our country ... https://t.co/tyt8guekwv</v>
      </c>
    </row>
    <row r="6522" spans="1:5" ht="15" customHeight="1" x14ac:dyDescent="0.2">
      <c r="A6522" s="1" t="s">
        <v>12993</v>
      </c>
      <c r="B6522" s="1">
        <v>0</v>
      </c>
      <c r="C6522" s="3">
        <v>44539.82707175926</v>
      </c>
      <c r="D6522" s="1" t="s">
        <v>12994</v>
      </c>
      <c r="E6522" s="1" t="str">
        <f ca="1">IFERROR(__xludf.DUMMYFUNCTION("GOOGLETRANSLATE(A3321 , ""tr"" , ""en"")"),"@drfahrettinkoca come on there")</f>
        <v>@drfahrettinkoca come on there</v>
      </c>
    </row>
    <row r="6523" spans="1:5" ht="15" customHeight="1" x14ac:dyDescent="0.2">
      <c r="A6523" s="1" t="s">
        <v>12995</v>
      </c>
      <c r="B6523" s="1">
        <v>0</v>
      </c>
      <c r="C6523" s="3">
        <v>44539.826655092591</v>
      </c>
      <c r="D6523" s="1" t="s">
        <v>12996</v>
      </c>
      <c r="E6523" s="1" t="str">
        <f ca="1">IFERROR(__xludf.DUMMYFUNCTION("GOOGLETRANSLATE(A3322 , ""tr"" , ""en"")"),"@drfahrettinkoca schools open what measure are you talking about")</f>
        <v>@drfahrettinkoca schools open what measure are you talking about</v>
      </c>
    </row>
    <row r="6524" spans="1:5" ht="15" customHeight="1" x14ac:dyDescent="0.2">
      <c r="A6524" s="1" t="s">
        <v>12997</v>
      </c>
      <c r="B6524" s="1">
        <v>0</v>
      </c>
      <c r="C6524" s="3">
        <v>44539.826539351852</v>
      </c>
      <c r="D6524" s="1" t="s">
        <v>12998</v>
      </c>
      <c r="E6524" s="1" t="str">
        <f ca="1">IFERROR(__xludf.DUMMYFUNCTION("GOOGLETRANSLATE(A3323 , ""tr"" , ""en"")"),"@drfahrettinkoca agenda vaccine and coronia from the coronim of the agenda who cannot be assigned to the agenda Currently COK OR HTTPS://T.CO/45RQ5BPCSK")</f>
        <v>@drfahrettinkoca agenda vaccine and coronia from the coronim of the agenda who cannot be assigned to the agenda Currently COK OR HTTPS://T.CO/45RQ5BPCSK</v>
      </c>
    </row>
    <row r="6525" spans="1:5" ht="15" customHeight="1" x14ac:dyDescent="0.2">
      <c r="A6525" s="1" t="s">
        <v>12999</v>
      </c>
      <c r="B6525" s="1">
        <v>0</v>
      </c>
      <c r="C6525" s="3">
        <v>44539.826122685183</v>
      </c>
      <c r="D6525" s="1" t="s">
        <v>13000</v>
      </c>
      <c r="E6525" s="1" t="str">
        <f ca="1">IFERROR(__xludf.DUMMYFUNCTION("GOOGLETRANSLATE(A3324 , ""tr"" , ""en"")"),"@drfahrettinkoca is coming in Europe before every variant comes in Europe after it comes to ulkemize ... Don't cut early belly..2, 3 weeks later ... https://t.co/8uzpdtlgfe")</f>
        <v>@drfahrettinkoca is coming in Europe before every variant comes in Europe after it comes to ulkemize ... Don't cut early belly..2, 3 weeks later ... https://t.co/8uzpdtlgfe</v>
      </c>
    </row>
    <row r="6526" spans="1:5" ht="15" customHeight="1" x14ac:dyDescent="0.2">
      <c r="A6526" s="1" t="s">
        <v>13001</v>
      </c>
      <c r="B6526" s="1">
        <v>0</v>
      </c>
      <c r="C6526" s="3">
        <v>44539.826111111113</v>
      </c>
      <c r="D6526" s="1" t="s">
        <v>13002</v>
      </c>
      <c r="E6526" s="1" t="str">
        <f ca="1">IFERROR(__xludf.DUMMYFUNCTION("GOOGLETRANSLATE(A3325 , ""tr"" , ""en"")"),"@drfahrettinkoca Maşallah")</f>
        <v>@drfahrettinkoca Maşallah</v>
      </c>
    </row>
    <row r="6527" spans="1:5" ht="15" customHeight="1" x14ac:dyDescent="0.2">
      <c r="A6527" s="1" t="s">
        <v>13003</v>
      </c>
      <c r="B6527" s="1">
        <v>0</v>
      </c>
      <c r="C6527" s="3">
        <v>44539.825844907406</v>
      </c>
      <c r="D6527" s="1" t="s">
        <v>13004</v>
      </c>
      <c r="E6527" s="1" t="str">
        <f ca="1">IFERROR(__xludf.DUMMYFUNCTION("GOOGLETRANSLATE(A3326 , ""tr"" , ""en"")"),"@drfahrettinka You are officially throwing a thousand plugs to avoid opening schools.")</f>
        <v>@drfahrettinka You are officially throwing a thousand plugs to avoid opening schools.</v>
      </c>
    </row>
    <row r="6528" spans="1:5" ht="15" customHeight="1" x14ac:dyDescent="0.2">
      <c r="A6528" s="1" t="s">
        <v>13005</v>
      </c>
      <c r="B6528" s="1">
        <v>1</v>
      </c>
      <c r="C6528" s="3">
        <v>44539.825648148151</v>
      </c>
      <c r="D6528" s="1" t="s">
        <v>13006</v>
      </c>
      <c r="E6528" s="1" t="str">
        <f ca="1">IFERROR(__xludf.DUMMYFUNCTION("GOOGLETRANSLATE(A3327 , ""tr"" , ""en"")"),"@drfahrettinkoca you can't fool us with lies everyone is more than that is more than that there is more than that ... https://t.co/vgas3IPKPB")</f>
        <v>@drfahrettinkoca you can't fool us with lies everyone is more than that is more than that there is more than that ... https://t.co/vgas3IPKPB</v>
      </c>
    </row>
    <row r="6529" spans="1:5" ht="15" customHeight="1" x14ac:dyDescent="0.2">
      <c r="A6529" s="1" t="s">
        <v>13007</v>
      </c>
      <c r="B6529" s="1">
        <v>0</v>
      </c>
      <c r="C6529" s="3">
        <v>44539.825486111113</v>
      </c>
      <c r="D6529" s="1" t="s">
        <v>13008</v>
      </c>
      <c r="E6529" s="1" t="str">
        <f ca="1">IFERROR(__xludf.DUMMYFUNCTION("GOOGLETRANSLATE(A3328 , ""tr"" , ""en"")"),"@drfahrettinkoca '' The sudden increases seen in Europe were not seen in our country. '' What was asked to say? Because they're a ... https://t.co/a5vqgqbfhv")</f>
        <v>@drfahrettinkoca '' The sudden increases seen in Europe were not seen in our country. '' What was asked to say? Because they're a ... https://t.co/a5vqgqbfhv</v>
      </c>
    </row>
    <row r="6530" spans="1:5" ht="15" customHeight="1" x14ac:dyDescent="0.2">
      <c r="A6530" s="1" t="s">
        <v>13009</v>
      </c>
      <c r="B6530" s="1">
        <v>27</v>
      </c>
      <c r="C6530" s="3">
        <v>44539.825324074074</v>
      </c>
      <c r="D6530" s="1" t="s">
        <v>13010</v>
      </c>
      <c r="E6530" s="1" t="str">
        <f ca="1">IFERROR(__xludf.DUMMYFUNCTION("GOOGLETRANSLATE(A3329 , ""tr"" , ""en"")"),"@drfahrettinkoca in Europe, because there were fewer vaccination than us in Europe? Members of Science ... https://t.co/vjemkt6d5u")</f>
        <v>@drfahrettinkoca in Europe, because there were fewer vaccination than us in Europe? Members of Science ... https://t.co/vjemkt6d5u</v>
      </c>
    </row>
    <row r="6531" spans="1:5" ht="15" customHeight="1" x14ac:dyDescent="0.2">
      <c r="A6531" s="1" t="s">
        <v>13011</v>
      </c>
      <c r="B6531" s="1">
        <v>5</v>
      </c>
      <c r="C6531" s="3">
        <v>44539.824212962965</v>
      </c>
      <c r="D6531" s="1" t="s">
        <v>13012</v>
      </c>
      <c r="E6531" s="1" t="str">
        <f ca="1">IFERROR(__xludf.DUMMYFUNCTION("GOOGLETRANSLATE(A3330 , ""tr"" , ""en"")"),"@drfahrettinkoca is not increasing patient cases coming in front but Look at Allah's job vayyy friend urgent click box ... https://t.co/ige9yr0I4b")</f>
        <v>@drfahrettinkoca is not increasing patient cases coming in front but Look at Allah's job vayyy friend urgent click box ... https://t.co/ige9yr0I4b</v>
      </c>
    </row>
    <row r="6532" spans="1:5" ht="15" customHeight="1" x14ac:dyDescent="0.2">
      <c r="A6532" s="1" t="s">
        <v>13013</v>
      </c>
      <c r="B6532" s="1">
        <v>0</v>
      </c>
      <c r="C6532" s="3">
        <v>44539.824062500003</v>
      </c>
      <c r="D6532" s="1" t="s">
        <v>13014</v>
      </c>
      <c r="E6532" s="1" t="str">
        <f ca="1">IFERROR(__xludf.DUMMYFUNCTION("GOOGLETRANSLATE(A3331 , ""tr"" , ""en"")"),"@drfahrettinkoca # Governmentistifa # Earlier # national https://t.co/kaggdjy1uq")</f>
        <v>@drfahrettinkoca # Governmentistifa # Earlier # national https://t.co/kaggdjy1uq</v>
      </c>
    </row>
    <row r="6533" spans="1:5" ht="15" customHeight="1" x14ac:dyDescent="0.2">
      <c r="A6533" s="1" t="s">
        <v>13015</v>
      </c>
      <c r="B6533" s="1">
        <v>0</v>
      </c>
      <c r="C6533" s="3">
        <v>44539.823923611111</v>
      </c>
      <c r="D6533" s="1" t="s">
        <v>13016</v>
      </c>
      <c r="E6533" s="1" t="str">
        <f ca="1">IFERROR(__xludf.DUMMYFUNCTION("GOOGLETRANSLATE(A3332 , ""tr"" , ""en"")"),"@drfahrettinkoca omikron no good bari")</f>
        <v>@drfahrettinkoca omikron no good bari</v>
      </c>
    </row>
    <row r="6534" spans="1:5" ht="15" customHeight="1" x14ac:dyDescent="0.2">
      <c r="A6534" s="1" t="s">
        <v>13017</v>
      </c>
      <c r="B6534" s="1">
        <v>3</v>
      </c>
      <c r="C6534" s="3">
        <v>44539.823819444442</v>
      </c>
      <c r="D6534" s="1" t="s">
        <v>13018</v>
      </c>
      <c r="E6534" s="1" t="str">
        <f ca="1">IFERROR(__xludf.DUMMYFUNCTION("GOOGLETRANSLATE(A3333 , ""tr"" , ""en"")"),"@drfahrettinka has been quarantined in two days in my school in two days. There are also cases in other classes. I include ... https://t.co/ldngaUZAFI")</f>
        <v>@drfahrettinka has been quarantined in two days in my school in two days. There are also cases in other classes. I include ... https://t.co/ldngaUZAFI</v>
      </c>
    </row>
    <row r="6535" spans="1:5" ht="15" customHeight="1" x14ac:dyDescent="0.2">
      <c r="A6535" s="1" t="s">
        <v>13019</v>
      </c>
      <c r="B6535" s="1">
        <v>0</v>
      </c>
      <c r="C6535" s="3">
        <v>44539.823611111111</v>
      </c>
      <c r="D6535" s="1" t="s">
        <v>13020</v>
      </c>
      <c r="E6535" s="1" t="str">
        <f ca="1">IFERROR(__xludf.DUMMYFUNCTION("GOOGLETRANSLATE(A3334 , ""tr"" , ""en"")"),"@drfahrettinkoca Case You will see the number of Caseholders to return to the Sömurun day next Department on the fear of the Case of Case")</f>
        <v>@drfahrettinkoca Case You will see the number of Caseholders to return to the Sömurun day next Department on the fear of the Case of Case</v>
      </c>
    </row>
    <row r="6536" spans="1:5" ht="15" customHeight="1" x14ac:dyDescent="0.2">
      <c r="A6536" s="1" t="s">
        <v>13021</v>
      </c>
      <c r="B6536" s="1">
        <v>6</v>
      </c>
      <c r="C6536" s="3">
        <v>44539.823599537034</v>
      </c>
      <c r="D6536" s="1" t="s">
        <v>13022</v>
      </c>
      <c r="E6536" s="1" t="str">
        <f ca="1">IFERROR(__xludf.DUMMYFUNCTION("GOOGLETRANSLATE(A3335 , ""tr"" , ""en"")"),"@drfahrettinkoca you say vaccination, you pass 5-11 years of age.")</f>
        <v>@drfahrettinkoca you say vaccination, you pass 5-11 years of age.</v>
      </c>
    </row>
    <row r="6537" spans="1:5" ht="15" customHeight="1" x14ac:dyDescent="0.2">
      <c r="A6537" s="1" t="s">
        <v>13023</v>
      </c>
      <c r="B6537" s="1">
        <v>0</v>
      </c>
      <c r="C6537" s="3">
        <v>44539.823587962965</v>
      </c>
      <c r="D6537" s="1" t="s">
        <v>13024</v>
      </c>
      <c r="E6537" s="1" t="str">
        <f ca="1">IFERROR(__xludf.DUMMYFUNCTION("GOOGLETRANSLATE(A3336 , ""tr"" , ""en"")"),"@drfahrettinkoca you still measure what measure")</f>
        <v>@drfahrettinkoca you still measure what measure</v>
      </c>
    </row>
    <row r="6538" spans="1:5" ht="15" customHeight="1" x14ac:dyDescent="0.2">
      <c r="A6538" s="1" t="s">
        <v>13025</v>
      </c>
      <c r="B6538" s="1">
        <v>0</v>
      </c>
      <c r="C6538" s="3">
        <v>44539.823564814818</v>
      </c>
      <c r="D6538" s="1" t="s">
        <v>13026</v>
      </c>
      <c r="E6538" s="1" t="str">
        <f ca="1">IFERROR(__xludf.DUMMYFUNCTION("GOOGLETRANSLATE(A3337 , ""tr"" , ""en"")"),"@drfahrettinkoca Vallaha MI :) Is it believed :)")</f>
        <v>@drfahrettinkoca Vallaha MI :) Is it believed :)</v>
      </c>
    </row>
    <row r="6539" spans="1:5" ht="15" customHeight="1" x14ac:dyDescent="0.2">
      <c r="A6539" s="1" t="s">
        <v>13027</v>
      </c>
      <c r="B6539" s="1">
        <v>4</v>
      </c>
      <c r="C6539" s="3">
        <v>44539.822905092595</v>
      </c>
      <c r="D6539" s="1" t="s">
        <v>13028</v>
      </c>
      <c r="E6539" s="1" t="str">
        <f ca="1">IFERROR(__xludf.DUMMYFUNCTION("GOOGLETRANSLATE(A3338 , ""tr"" , ""en"")"),"@drfahrettinkoca nation does not test the test is that they have any treatment to nol the schools are boiling the virus ... https://t.co/n1yjzgtjsx")</f>
        <v>@drfahrettinkoca nation does not test the test is that they have any treatment to nol the schools are boiling the virus ... https://t.co/n1yjzgtjsx</v>
      </c>
    </row>
    <row r="6540" spans="1:5" ht="15" customHeight="1" x14ac:dyDescent="0.2">
      <c r="A6540" s="1" t="s">
        <v>13029</v>
      </c>
      <c r="B6540" s="1">
        <v>0</v>
      </c>
      <c r="C6540" s="3">
        <v>44539.822604166664</v>
      </c>
      <c r="D6540" s="1" t="s">
        <v>13030</v>
      </c>
      <c r="E6540" s="1" t="str">
        <f ca="1">IFERROR(__xludf.DUMMYFUNCTION("GOOGLETRANSLATE(A3339 , ""tr"" , ""en"")"),"@drfahrettinkoca is both intimidating to be assigned and running healthpieces stroking, you are still the vaccine table table table ... https://t.co/zv7mtqıklc")</f>
        <v>@drfahrettinkoca is both intimidating to be assigned and running healthpieces stroking, you are still the vaccine table table table ... https://t.co/zv7mtqıklc</v>
      </c>
    </row>
    <row r="6541" spans="1:5" ht="15" customHeight="1" x14ac:dyDescent="0.2">
      <c r="A6541" s="1" t="s">
        <v>13031</v>
      </c>
      <c r="B6541" s="1">
        <v>0</v>
      </c>
      <c r="C6541" s="3">
        <v>44539.822569444441</v>
      </c>
      <c r="D6541" s="1" t="s">
        <v>13032</v>
      </c>
      <c r="E6541" s="1" t="str">
        <f ca="1">IFERROR(__xludf.DUMMYFUNCTION("GOOGLETRANSLATE(A3340 , ""tr"" , ""en"")"),"@drfahrettinkoca When will you complete the missing salaries of all healthpieces?")</f>
        <v>@drfahrettinkoca When will you complete the missing salaries of all healthpieces?</v>
      </c>
    </row>
    <row r="6542" spans="1:5" ht="15" customHeight="1" x14ac:dyDescent="0.2">
      <c r="A6542" s="1" t="s">
        <v>13033</v>
      </c>
      <c r="B6542" s="1">
        <v>4</v>
      </c>
      <c r="C6542" s="3">
        <v>44539.822233796294</v>
      </c>
      <c r="D6542" s="1" t="s">
        <v>13034</v>
      </c>
      <c r="E6542" s="1" t="str">
        <f ca="1">IFERROR(__xludf.DUMMYFUNCTION("GOOGLETRANSLATE(A3341 , ""tr"" , ""en"")"),"@drfahrettinkoca Fahrettin husband or guide or resignation")</f>
        <v>@drfahrettinkoca Fahrettin husband or guide or resignation</v>
      </c>
    </row>
    <row r="6543" spans="1:5" ht="15" customHeight="1" x14ac:dyDescent="0.2">
      <c r="A6543" s="1" t="s">
        <v>13035</v>
      </c>
      <c r="B6543" s="1">
        <v>1</v>
      </c>
      <c r="C6543" s="3">
        <v>44539.822002314817</v>
      </c>
      <c r="D6543" s="1" t="s">
        <v>13036</v>
      </c>
      <c r="E6543" s="1" t="str">
        <f ca="1">IFERROR(__xludf.DUMMYFUNCTION("GOOGLETRANSLATE(A3342 , ""tr"" , ""en"")"),"@drfahrettinkoca Covid There is a lot of people who don't go to the test to guess it or knowing or knowingly not in the knitan ... https://t.co/tajhqwd5ln")</f>
        <v>@drfahrettinkoca Covid There is a lot of people who don't go to the test to guess it or knowing or knowingly not in the knitan ... https://t.co/tajhqwd5ln</v>
      </c>
    </row>
    <row r="6544" spans="1:5" ht="15" customHeight="1" x14ac:dyDescent="0.2">
      <c r="A6544" s="1" t="s">
        <v>13037</v>
      </c>
      <c r="B6544" s="1">
        <v>0</v>
      </c>
      <c r="C6544" s="3">
        <v>44539.821435185186</v>
      </c>
      <c r="D6544" s="1" t="s">
        <v>13038</v>
      </c>
      <c r="E6544" s="1" t="str">
        <f ca="1">IFERROR(__xludf.DUMMYFUNCTION("GOOGLETRANSLATE(A3343 , ""tr"" , ""en"")"),"@drfahrettinkoca vee en onemlicide healthcare hawk required # tuerkiyned")</f>
        <v>@drfahrettinkoca vee en onemlicide healthcare hawk required # tuerkiyned</v>
      </c>
    </row>
    <row r="6545" spans="1:5" ht="15" customHeight="1" x14ac:dyDescent="0.2">
      <c r="A6545" s="1" t="s">
        <v>13039</v>
      </c>
      <c r="B6545" s="1">
        <v>52</v>
      </c>
      <c r="C6545" s="3">
        <v>44539.821342592593</v>
      </c>
      <c r="D6545" s="1" t="s">
        <v>13040</v>
      </c>
      <c r="E6545" s="1" t="str">
        <f ca="1">IFERROR(__xludf.DUMMYFUNCTION("GOOGLETRANSLATE(A3344 , ""tr"" , ""en"")"),"@drfahrettinkoca The whole world is also amazing when the cases increase the same because everyone is sick in our environment ... https://t.co/7txqe3r5sn")</f>
        <v>@drfahrettinkoca The whole world is also amazing when the cases increase the same because everyone is sick in our environment ... https://t.co/7txqe3r5sn</v>
      </c>
    </row>
    <row r="6546" spans="1:5" ht="15" customHeight="1" x14ac:dyDescent="0.2">
      <c r="A6546" s="1" t="s">
        <v>13041</v>
      </c>
      <c r="B6546" s="1">
        <v>1</v>
      </c>
      <c r="C6546" s="3">
        <v>44539.820902777778</v>
      </c>
      <c r="D6546" s="1" t="s">
        <v>13042</v>
      </c>
      <c r="E6546" s="1" t="str">
        <f ca="1">IFERROR(__xludf.DUMMYFUNCTION("GOOGLETRANSLATE(A3345 , ""tr"" , ""en"")"),"@drfahrettinkoca sn overlooking a hundred thousands, we are facing the Case of Appointment ', will you have a measure for it?")</f>
        <v>@drfahrettinkoca sn overlooking a hundred thousands, we are facing the Case of Appointment ', will you have a measure for it?</v>
      </c>
    </row>
    <row r="6547" spans="1:5" ht="15" customHeight="1" x14ac:dyDescent="0.2">
      <c r="A6547" s="1" t="s">
        <v>13043</v>
      </c>
      <c r="B6547" s="1">
        <v>0</v>
      </c>
      <c r="C6547" s="3">
        <v>44539.820601851854</v>
      </c>
      <c r="D6547" s="1" t="s">
        <v>13044</v>
      </c>
      <c r="E6547" s="1" t="str">
        <f ca="1">IFERROR(__xludf.DUMMYFUNCTION("GOOGLETRANSLATE(A3346 , ""tr"" , ""en"")"),"@drfahrettinkoca cases believing in the number of cases, I have the crispy damaged throat scenic bridge, you are interested in.")</f>
        <v>@drfahrettinkoca cases believing in the number of cases, I have the crispy damaged throat scenic bridge, you are interested in.</v>
      </c>
    </row>
    <row r="6548" spans="1:5" ht="15" customHeight="1" x14ac:dyDescent="0.2">
      <c r="A6548" s="1" t="s">
        <v>13045</v>
      </c>
      <c r="B6548" s="1">
        <v>0</v>
      </c>
      <c r="C6548" s="3">
        <v>44539.820451388892</v>
      </c>
      <c r="D6548" s="1" t="s">
        <v>13046</v>
      </c>
      <c r="E6548" s="1" t="str">
        <f ca="1">IFERROR(__xludf.DUMMYFUNCTION("GOOGLETRANSLATE(A3347 , ""tr"" , ""en"")"),"@drfahrettinkoca I think you will now have the news of the purchase, Mr.DrFahrettinkoca")</f>
        <v>@drfahrettinkoca I think you will now have the news of the purchase, Mr.DrFahrettinkoca</v>
      </c>
    </row>
    <row r="6549" spans="1:5" ht="15" customHeight="1" x14ac:dyDescent="0.2">
      <c r="A6549" s="1" t="s">
        <v>13047</v>
      </c>
      <c r="B6549" s="1">
        <v>1</v>
      </c>
      <c r="C6549" s="3">
        <v>44539.8203587963</v>
      </c>
      <c r="D6549" s="1" t="s">
        <v>13048</v>
      </c>
      <c r="E6549" s="1" t="str">
        <f ca="1">IFERROR(__xludf.DUMMYFUNCTION("GOOGLETRANSLATE(A3348 , ""tr"" , ""en"")"),"@drfahrettinkoca Europe were not the countries of the vaccination rates reaching 90 languages? How suddenly jumped these cases? ... https://t.co/suppe14l6m")</f>
        <v>@drfahrettinkoca Europe were not the countries of the vaccination rates reaching 90 languages? How suddenly jumped these cases? ... https://t.co/suppe14l6m</v>
      </c>
    </row>
    <row r="6550" spans="1:5" ht="15" customHeight="1" x14ac:dyDescent="0.2">
      <c r="A6550" s="1" t="s">
        <v>13049</v>
      </c>
      <c r="B6550" s="1">
        <v>29</v>
      </c>
      <c r="C6550" s="3">
        <v>44539.820069444446</v>
      </c>
      <c r="D6550" s="1" t="s">
        <v>13050</v>
      </c>
      <c r="E6550" s="1" t="str">
        <f ca="1">IFERROR(__xludf.DUMMYFUNCTION("GOOGLETRANSLATE(A3349 , ""tr"" , ""en"")"),"@drfahrettinkoca is obviously given a struggle to reveal these figures! You are in your surroundings and hes ... https://t.co/svyinns3ji")</f>
        <v>@drfahrettinkoca is obviously given a struggle to reveal these figures! You are in your surroundings and hes ... https://t.co/svyinns3ji</v>
      </c>
    </row>
    <row r="6551" spans="1:5" ht="15" customHeight="1" x14ac:dyDescent="0.2">
      <c r="A6551" s="1" t="s">
        <v>13051</v>
      </c>
      <c r="B6551" s="1">
        <v>2</v>
      </c>
      <c r="C6551" s="3">
        <v>44539.820069444446</v>
      </c>
      <c r="D6551" s="1" t="s">
        <v>13052</v>
      </c>
      <c r="E6551" s="1" t="str">
        <f ca="1">IFERROR(__xludf.DUMMYFUNCTION("GOOGLETRANSLATE(A3350 , ""tr"" , ""en"")"),"@drfahrettinkoca Cünü's Europe is also tested in everywhere. NEKAFAR COKKK TES Okadar Cokk Covit 19 Find out to school ... https://t.co/zqlhkeuaqa")</f>
        <v>@drfahrettinkoca Cünü's Europe is also tested in everywhere. NEKAFAR COKKK TES Okadar Cokk Covit 19 Find out to school ... https://t.co/zqlhkeuaqa</v>
      </c>
    </row>
    <row r="6552" spans="1:5" ht="15" customHeight="1" x14ac:dyDescent="0.2">
      <c r="A6552" s="1" t="s">
        <v>13053</v>
      </c>
      <c r="B6552" s="1">
        <v>0</v>
      </c>
      <c r="C6552" s="3">
        <v>44539.819907407407</v>
      </c>
      <c r="D6552" s="1" t="s">
        <v>13054</v>
      </c>
      <c r="E6552" s="1" t="str">
        <f ca="1">IFERROR(__xludf.DUMMYFUNCTION("GOOGLETRANSLATE(A3351 , ""tr"" , ""en"")"),"@drfahrettinkoca Sometimes you just want to be vaccinated once you can turn and look at you ... footnote: Guide")</f>
        <v>@drfahrettinkoca Sometimes you just want to be vaccinated once you can turn and look at you ... footnote: Guide</v>
      </c>
    </row>
    <row r="6553" spans="1:5" ht="15" customHeight="1" x14ac:dyDescent="0.2">
      <c r="A6553" s="1" t="s">
        <v>13055</v>
      </c>
      <c r="B6553" s="1">
        <v>0</v>
      </c>
      <c r="C6553" s="3">
        <v>44539.819340277776</v>
      </c>
      <c r="D6553" s="1" t="s">
        <v>13056</v>
      </c>
      <c r="E6553" s="1" t="str">
        <f ca="1">IFERROR(__xludf.DUMMYFUNCTION("GOOGLETRANSLATE(A3352 , ""tr"" , ""en"")"),"@drfahrettinkoca HEALTH STORAGE IN HURSHIP STIVERS")</f>
        <v>@drfahrettinkoca HEALTH STORAGE IN HURSHIP STIVERS</v>
      </c>
    </row>
    <row r="6554" spans="1:5" ht="15" customHeight="1" x14ac:dyDescent="0.2">
      <c r="A6554" s="1" t="s">
        <v>13057</v>
      </c>
      <c r="B6554" s="1">
        <v>1</v>
      </c>
      <c r="C6554" s="3">
        <v>44539.81931712963</v>
      </c>
      <c r="D6554" s="1" t="s">
        <v>13058</v>
      </c>
      <c r="E6554" s="1" t="str">
        <f ca="1">IFERROR(__xludf.DUMMYFUNCTION("GOOGLETRANSLATE(A3353 , ""tr"" , ""en"")"),"@drfahrettinkoca friends See 2nd dose not says ""Complete A $ A $ Complete Requests"".")</f>
        <v>@drfahrettinkoca friends See 2nd dose not says "Complete A $ A $ Complete Requests".</v>
      </c>
    </row>
    <row r="6555" spans="1:5" ht="15" customHeight="1" x14ac:dyDescent="0.2">
      <c r="A6555" s="1" t="s">
        <v>13059</v>
      </c>
      <c r="B6555" s="1">
        <v>0</v>
      </c>
      <c r="C6555" s="3">
        <v>44539.819131944445</v>
      </c>
      <c r="D6555" s="1" t="s">
        <v>13060</v>
      </c>
      <c r="E6555" s="1" t="str">
        <f ca="1">IFERROR(__xludf.DUMMYFUNCTION("GOOGLETRANSLATE(A3354 , ""tr"" , ""en"")"),"@drfahrettinkoca Ministry of Assignment Atamaaa. Tired of the corona you change from the corona now our agenda")</f>
        <v>@drfahrettinkoca Ministry of Assignment Atamaaa. Tired of the corona you change from the corona now our agenda</v>
      </c>
    </row>
    <row r="6556" spans="1:5" ht="15" customHeight="1" x14ac:dyDescent="0.2">
      <c r="A6556" s="1" t="s">
        <v>13061</v>
      </c>
      <c r="B6556" s="1">
        <v>0</v>
      </c>
      <c r="C6556" s="3">
        <v>44539.819004629629</v>
      </c>
      <c r="D6556" s="1" t="s">
        <v>13062</v>
      </c>
      <c r="E6556" s="1" t="str">
        <f ca="1">IFERROR(__xludf.DUMMYFUNCTION("GOOGLETRANSLATE(A3355 , ""tr"" , ""en"")"),"@drfahrettinkoca WHO Spokesman who s ..... Koronayi Gide a Istanbul also look at the bus to the bus")</f>
        <v>@drfahrettinkoca WHO Spokesman who s ..... Koronayi Gide a Istanbul also look at the bus to the bus</v>
      </c>
    </row>
    <row r="6557" spans="1:5" ht="15" customHeight="1" x14ac:dyDescent="0.2">
      <c r="A6557" s="1" t="s">
        <v>13063</v>
      </c>
      <c r="B6557" s="1">
        <v>0</v>
      </c>
      <c r="C6557" s="3">
        <v>44539.818993055553</v>
      </c>
      <c r="D6557" s="1" t="s">
        <v>13064</v>
      </c>
      <c r="E6557" s="1" t="str">
        <f ca="1">IFERROR(__xludf.DUMMYFUNCTION("GOOGLETRANSLATE(A3356 , ""tr"" , ""en"")"),"@drfahrettinkoca 🤣")</f>
        <v>@drfahrettinkoca 🤣</v>
      </c>
    </row>
    <row r="6558" spans="1:5" ht="15" customHeight="1" x14ac:dyDescent="0.2">
      <c r="A6558" s="1" t="s">
        <v>13065</v>
      </c>
      <c r="B6558" s="1">
        <v>31</v>
      </c>
      <c r="C6558" s="3">
        <v>44539.818668981483</v>
      </c>
      <c r="D6558" s="1" t="s">
        <v>13066</v>
      </c>
      <c r="E6558" s="1" t="str">
        <f ca="1">IFERROR(__xludf.DUMMYFUNCTION("GOOGLETRANSLATE(A3357 , ""tr"" , ""en"")"),"@drfahrettinkoca Why do you make contact tracking? 🎶 Why are the positive ones in the house for five days why to school and hire ... https://t.co/qisnqjbwfq")</f>
        <v>@drfahrettinkoca Why do you make contact tracking? 🎶 Why are the positive ones in the house for five days why to school and hire ... https://t.co/qisnqjbwfq</v>
      </c>
    </row>
    <row r="6559" spans="1:5" ht="15" customHeight="1" x14ac:dyDescent="0.2">
      <c r="A6559" s="1" t="s">
        <v>13067</v>
      </c>
      <c r="B6559" s="1">
        <v>1</v>
      </c>
      <c r="C6559" s="3">
        <v>44539.818437499998</v>
      </c>
      <c r="D6559" s="1" t="s">
        <v>13068</v>
      </c>
      <c r="E6559" s="1" t="str">
        <f ca="1">IFERROR(__xludf.DUMMYFUNCTION("GOOGLETRANSLATE(A3358 , ""tr"" , ""en"")"),"@drfahrettinkoca everyone look at what the minister falls on a living problem. Sow 3 TL Ministry")</f>
        <v>@drfahrettinkoca everyone look at what the minister falls on a living problem. Sow 3 TL Ministry</v>
      </c>
    </row>
    <row r="6560" spans="1:5" ht="15" customHeight="1" x14ac:dyDescent="0.2">
      <c r="A6560" s="1" t="s">
        <v>13069</v>
      </c>
      <c r="B6560" s="1">
        <v>6</v>
      </c>
      <c r="C6560" s="3">
        <v>44539.818414351852</v>
      </c>
      <c r="D6560" s="1" t="s">
        <v>13070</v>
      </c>
      <c r="E6560" s="1" t="str">
        <f ca="1">IFERROR(__xludf.DUMMYFUNCTION("GOOGLETRANSLATE(A3359 , ""tr"" , ""en"")"),"@drfahrettinkoca I don't write anything to you for I will never take the attacks of these night vaccines. Although summer ... https://t.co/aeydfmulbp")</f>
        <v>@drfahrettinkoca I don't write anything to you for I will never take the attacks of these night vaccines. Although summer ... https://t.co/aeydfmulbp</v>
      </c>
    </row>
    <row r="6561" spans="1:5" ht="15" customHeight="1" x14ac:dyDescent="0.2">
      <c r="A6561" s="1" t="s">
        <v>13071</v>
      </c>
      <c r="B6561" s="1">
        <v>0</v>
      </c>
      <c r="C6561" s="3">
        <v>44539.817442129628</v>
      </c>
      <c r="D6561" s="1" t="s">
        <v>13072</v>
      </c>
      <c r="E6561" s="1" t="str">
        <f ca="1">IFERROR(__xludf.DUMMYFUNCTION("GOOGLETRANSLATE(A3360 , ""tr"" , ""en"")"),"@drfahrettinkoca omicron will describe the Variant PCR test yet could I wonder if it is not in Turkey? Turkey ... https://t.co/b63qqm6hdg")</f>
        <v>@drfahrettinkoca omicron will describe the Variant PCR test yet could I wonder if it is not in Turkey? Turkey ... https://t.co/b63qqm6hdg</v>
      </c>
    </row>
    <row r="6562" spans="1:5" ht="15" customHeight="1" x14ac:dyDescent="0.2">
      <c r="A6562" s="1" t="s">
        <v>13073</v>
      </c>
      <c r="B6562" s="1">
        <v>1</v>
      </c>
      <c r="C6562" s="3">
        <v>44539.817314814813</v>
      </c>
      <c r="D6562" s="1" t="s">
        <v>13074</v>
      </c>
      <c r="E6562" s="1" t="str">
        <f ca="1">IFERROR(__xludf.DUMMYFUNCTION("GOOGLETRANSLATE(A3361 , ""tr"" , ""en"")"),"@drfahrettinkoca now I wonder if we think of the spread of the virus by taking the online training decision? Hani ... https://t.co/yhwdhndnsw")</f>
        <v>@drfahrettinkoca now I wonder if we think of the spread of the virus by taking the online training decision? Hani ... https://t.co/yhwdhndnsw</v>
      </c>
    </row>
    <row r="6563" spans="1:5" ht="15" customHeight="1" x14ac:dyDescent="0.2">
      <c r="A6563" s="1" t="s">
        <v>13075</v>
      </c>
      <c r="B6563" s="1">
        <v>18</v>
      </c>
      <c r="C6563" s="3">
        <v>44539.817314814813</v>
      </c>
      <c r="D6563" s="1" t="s">
        <v>13076</v>
      </c>
      <c r="E6563" s="1" t="str">
        <f ca="1">IFERROR(__xludf.DUMMYFUNCTION("GOOGLETRANSLATE(A3362 , ""tr"" , ""en"")"),"For those who want to @drfahrettinkoca, a moment for parents expect 5-11 years of age vaccine. Our children are constantly sick. At least ... https://t.co/PBI4uhdyjr")</f>
        <v>For those who want to @drfahrettinkoca, a moment for parents expect 5-11 years of age vaccine. Our children are constantly sick. At least ... https://t.co/PBI4uhdyjr</v>
      </c>
    </row>
    <row r="6564" spans="1:5" ht="15" customHeight="1" x14ac:dyDescent="0.2">
      <c r="A6564" s="1" t="s">
        <v>13077</v>
      </c>
      <c r="B6564" s="1">
        <v>0</v>
      </c>
      <c r="C6564" s="3">
        <v>44539.817256944443</v>
      </c>
      <c r="D6564" s="1" t="s">
        <v>13078</v>
      </c>
      <c r="E6564" s="1" t="str">
        <f ca="1">IFERROR(__xludf.DUMMYFUNCTION("GOOGLETRANSLATE(A3363 , ""tr"" , ""en"")"),"@drfahrettinkoca false crooks you")</f>
        <v>@drfahrettinkoca false crooks you</v>
      </c>
    </row>
    <row r="6565" spans="1:5" ht="15" customHeight="1" x14ac:dyDescent="0.2">
      <c r="A6565" s="1" t="s">
        <v>13079</v>
      </c>
      <c r="B6565" s="1">
        <v>0</v>
      </c>
      <c r="C6565" s="3">
        <v>44539.817037037035</v>
      </c>
      <c r="D6565" s="1" t="s">
        <v>13080</v>
      </c>
      <c r="E6565" s="1" t="str">
        <f ca="1">IFERROR(__xludf.DUMMYFUNCTION("GOOGLETRANSLATE(A3364 , ""tr"" , ""en"")"),"@drfahrettinka I wonder if you are giving the case numbers correctly, you have kept in the past again ..")</f>
        <v>@drfahrettinka I wonder if you are giving the case numbers correctly, you have kept in the past again ..</v>
      </c>
    </row>
    <row r="6566" spans="1:5" ht="15" customHeight="1" x14ac:dyDescent="0.2">
      <c r="A6566" s="1" t="s">
        <v>13081</v>
      </c>
      <c r="B6566" s="1">
        <v>0</v>
      </c>
      <c r="C6566" s="3">
        <v>44539.816967592589</v>
      </c>
      <c r="D6566" s="1" t="s">
        <v>13082</v>
      </c>
      <c r="E6566" s="1" t="str">
        <f ca="1">IFERROR(__xludf.DUMMYFUNCTION("GOOGLETRANSLATE(A3365 , ""tr"" , ""en"")"),"@drfahrettinkoca @tek_vatan__ Two dose of two dose of overdose are not thinking about the third.")</f>
        <v>@drfahrettinkoca @tek_vatan__ Two dose of two dose of overdose are not thinking about the third.</v>
      </c>
    </row>
    <row r="6567" spans="1:5" ht="15" customHeight="1" x14ac:dyDescent="0.2">
      <c r="A6567" s="1" t="s">
        <v>13083</v>
      </c>
      <c r="B6567" s="1">
        <v>0</v>
      </c>
      <c r="C6567" s="3">
        <v>44539.81690972222</v>
      </c>
      <c r="D6567" s="1" t="s">
        <v>13084</v>
      </c>
      <c r="E6567" s="1" t="str">
        <f ca="1">IFERROR(__xludf.DUMMYFUNCTION("GOOGLETRANSLATE(A3366 , ""tr"" , ""en"")"),"@drfahrettinka Mr. Minister I am waiting for your insistent vaccination invitation.")</f>
        <v>@drfahrettinka Mr. Minister I am waiting for your insistent vaccination invitation.</v>
      </c>
    </row>
    <row r="6568" spans="1:5" ht="15" customHeight="1" x14ac:dyDescent="0.2">
      <c r="A6568" s="1" t="s">
        <v>13085</v>
      </c>
      <c r="B6568" s="1">
        <v>0</v>
      </c>
      <c r="C6568" s="3">
        <v>44539.816747685189</v>
      </c>
      <c r="D6568" s="1" t="s">
        <v>13086</v>
      </c>
      <c r="E6568" s="1" t="str">
        <f ca="1">IFERROR(__xludf.DUMMYFUNCTION("GOOGLETRANSLATE(A3367 , ""tr"" , ""en"")"),"@drfahrettinka https://t.co/nxknlg6r6k")</f>
        <v>@drfahrettinka https://t.co/nxknlg6r6k</v>
      </c>
    </row>
    <row r="6569" spans="1:5" ht="15" customHeight="1" x14ac:dyDescent="0.2">
      <c r="A6569" s="1" t="s">
        <v>13087</v>
      </c>
      <c r="B6569" s="1">
        <v>0</v>
      </c>
      <c r="C6569" s="3">
        <v>44539.816516203704</v>
      </c>
      <c r="D6569" s="1" t="s">
        <v>13088</v>
      </c>
      <c r="E6569" s="1" t="str">
        <f ca="1">IFERROR(__xludf.DUMMYFUNCTION("GOOGLETRANSLATE(A3368 , ""tr"" , ""en"")"),"@drfahrettinkoca Istanbul has been installed in 74.5 ta in vaccination")</f>
        <v>@drfahrettinkoca Istanbul has been installed in 74.5 ta in vaccination</v>
      </c>
    </row>
    <row r="6570" spans="1:5" ht="15" customHeight="1" x14ac:dyDescent="0.2">
      <c r="A6570" s="1" t="s">
        <v>13089</v>
      </c>
      <c r="B6570" s="1">
        <v>0</v>
      </c>
      <c r="C6570" s="3">
        <v>44539.816423611112</v>
      </c>
      <c r="D6570" s="1" t="s">
        <v>13090</v>
      </c>
      <c r="E6570" s="1" t="str">
        <f ca="1">IFERROR(__xludf.DUMMYFUNCTION("GOOGLETRANSLATE(A3369 , ""tr"" , ""en"")"),"@drfahrettinkoca Fahrettin Ratio")</f>
        <v>@drfahrettinkoca Fahrettin Ratio</v>
      </c>
    </row>
    <row r="6571" spans="1:5" ht="15" customHeight="1" x14ac:dyDescent="0.2">
      <c r="A6571" s="1" t="s">
        <v>13091</v>
      </c>
      <c r="B6571" s="1">
        <v>1</v>
      </c>
      <c r="C6571" s="3">
        <v>44539.815972222219</v>
      </c>
      <c r="D6571" s="1" t="s">
        <v>13092</v>
      </c>
      <c r="E6571" s="1" t="str">
        <f ca="1">IFERROR(__xludf.DUMMYFUNCTION("GOOGLETRANSLATE(A3370 , ""tr"" , ""en"")"),"@drfahrettinkoca I stayed too little we will see that case numbers recently! Now people fall to the livelihood and htam ... https://t.co/yxgm82f0zi")</f>
        <v>@drfahrettinkoca I stayed too little we will see that case numbers recently! Now people fall to the livelihood and htam ... https://t.co/yxgm82f0zi</v>
      </c>
    </row>
    <row r="6572" spans="1:5" ht="15" customHeight="1" x14ac:dyDescent="0.2">
      <c r="A6572" s="1" t="s">
        <v>13093</v>
      </c>
      <c r="B6572" s="1">
        <v>0</v>
      </c>
      <c r="C6572" s="3">
        <v>44539.815578703703</v>
      </c>
      <c r="D6572" s="1" t="s">
        <v>13094</v>
      </c>
      <c r="E6572" s="1" t="str">
        <f ca="1">IFERROR(__xludf.DUMMYFUNCTION("GOOGLETRANSLATE(A3371 , ""tr"" , ""en"")"),"@drfahrettinkoca Mr. Minister Fast Case Increases in Europe With the high rate of vaccination increases, while the decline in us ... https://t.co/64rlfzntzi")</f>
        <v>@drfahrettinkoca Mr. Minister Fast Case Increases in Europe With the high rate of vaccination increases, while the decline in us ... https://t.co/64rlfzntzi</v>
      </c>
    </row>
    <row r="6573" spans="1:5" ht="15" customHeight="1" x14ac:dyDescent="0.2">
      <c r="A6573" s="1" t="s">
        <v>13095</v>
      </c>
      <c r="B6573" s="1">
        <v>0</v>
      </c>
      <c r="C6573" s="3">
        <v>44539.815011574072</v>
      </c>
      <c r="D6573" s="1" t="s">
        <v>13096</v>
      </c>
      <c r="E6573" s="1" t="str">
        <f ca="1">IFERROR(__xludf.DUMMYFUNCTION("GOOGLETRANSLATE(A3372 , ""tr"" , ""en"")"),"@drfahrettinkoca Sal DQ Landed President")</f>
        <v>@drfahrettinkoca Sal DQ Landed President</v>
      </c>
    </row>
    <row r="6574" spans="1:5" ht="15" customHeight="1" x14ac:dyDescent="0.2">
      <c r="A6574" s="1" t="s">
        <v>13097</v>
      </c>
      <c r="B6574" s="1">
        <v>0</v>
      </c>
      <c r="C6574" s="3">
        <v>44539.814710648148</v>
      </c>
      <c r="D6574" s="1" t="s">
        <v>13098</v>
      </c>
      <c r="E6574" s="1" t="str">
        <f ca="1">IFERROR(__xludf.DUMMYFUNCTION("GOOGLETRANSLATE(A3373 , ""tr"" , ""en"")"),"As @drfahrettinkoca vaccination increases, case and death rates are also increasing.")</f>
        <v>As @drfahrettinkoca vaccination increases, case and death rates are also increasing.</v>
      </c>
    </row>
    <row r="6575" spans="1:5" ht="15" customHeight="1" x14ac:dyDescent="0.2">
      <c r="A6575" s="1" t="s">
        <v>13099</v>
      </c>
      <c r="B6575" s="1">
        <v>6</v>
      </c>
      <c r="C6575" s="3">
        <v>44539.814386574071</v>
      </c>
      <c r="D6575" s="1" t="s">
        <v>13100</v>
      </c>
      <c r="E6575" s="1" t="str">
        <f ca="1">IFERROR(__xludf.DUMMYFUNCTION("GOOGLETRANSLATE(A3374 , ""tr"" , ""en"")"),"@drfahrettinkoca We have not seen sudden increases in our country. You say 2 years ago that ""vi ... https://t.co/jcfq8ztxdq")</f>
        <v>@drfahrettinkoca We have not seen sudden increases in our country. You say 2 years ago that "vi ... https://t.co/jcfq8ztxdq</v>
      </c>
    </row>
    <row r="6576" spans="1:5" ht="15" customHeight="1" x14ac:dyDescent="0.2">
      <c r="A6576" s="1" t="s">
        <v>13101</v>
      </c>
      <c r="B6576" s="1">
        <v>2</v>
      </c>
      <c r="C6576" s="3">
        <v>44539.814293981479</v>
      </c>
      <c r="D6576" s="1" t="s">
        <v>13102</v>
      </c>
      <c r="E6576" s="1" t="str">
        <f ca="1">IFERROR(__xludf.DUMMYFUNCTION("GOOGLETRANSLATE(A3375 , ""tr"" , ""en"")"),"@drfahrettinkoca Minister Assignment More Enable Valla @drfahrettinkoca")</f>
        <v>@drfahrettinkoca Minister Assignment More Enable Valla @drfahrettinkoca</v>
      </c>
    </row>
    <row r="6577" spans="1:5" ht="15" customHeight="1" x14ac:dyDescent="0.2">
      <c r="A6577" s="1" t="s">
        <v>13103</v>
      </c>
      <c r="B6577" s="1">
        <v>1</v>
      </c>
      <c r="C6577" s="3">
        <v>44539.813993055555</v>
      </c>
      <c r="D6577" s="1" t="s">
        <v>13104</v>
      </c>
      <c r="E6577" s="1" t="str">
        <f ca="1">IFERROR(__xludf.DUMMYFUNCTION("GOOGLETRANSLATE(A3376 , ""tr"" , ""en"")"),"@drfahrettinkoca We are indebted to this positive state of vaccination and non-tests You increase cases with the imposition of testing test ... https://t.co/z0bfqdxxg2")</f>
        <v>@drfahrettinkoca We are indebted to this positive state of vaccination and non-tests You increase cases with the imposition of testing test ... https://t.co/z0bfqdxxg2</v>
      </c>
    </row>
    <row r="6578" spans="1:5" ht="15" customHeight="1" x14ac:dyDescent="0.2">
      <c r="A6578" s="1" t="s">
        <v>13105</v>
      </c>
      <c r="B6578" s="1">
        <v>2</v>
      </c>
      <c r="C6578" s="3">
        <v>44539.813854166663</v>
      </c>
      <c r="D6578" s="1" t="s">
        <v>13106</v>
      </c>
      <c r="E6578" s="1" t="str">
        <f ca="1">IFERROR(__xludf.DUMMYFUNCTION("GOOGLETRANSLATE(A3377 , ""tr"" , ""en"")"),"@drfahrettinkoca biontech 3. We want our overdose to open 6 months without waiting !!!")</f>
        <v>@drfahrettinkoca biontech 3. We want our overdose to open 6 months without waiting !!!</v>
      </c>
    </row>
    <row r="6579" spans="1:5" ht="15" customHeight="1" x14ac:dyDescent="0.2">
      <c r="A6579" s="1" t="s">
        <v>13107</v>
      </c>
      <c r="B6579" s="1">
        <v>0</v>
      </c>
      <c r="C6579" s="3">
        <v>44539.813726851855</v>
      </c>
      <c r="D6579" s="1" t="s">
        <v>13108</v>
      </c>
      <c r="E6579" s="1" t="str">
        <f ca="1">IFERROR(__xludf.DUMMYFUNCTION("GOOGLETRANSLATE(A3378 , ""tr"" , ""en"")"),"@drfahrettinkoca He HE We Believe")</f>
        <v>@drfahrettinkoca He HE We Believe</v>
      </c>
    </row>
    <row r="6580" spans="1:5" ht="15" customHeight="1" x14ac:dyDescent="0.2">
      <c r="A6580" s="1" t="s">
        <v>13109</v>
      </c>
      <c r="B6580" s="1">
        <v>0</v>
      </c>
      <c r="C6580" s="3">
        <v>44539.813726851855</v>
      </c>
      <c r="D6580" s="1" t="s">
        <v>13110</v>
      </c>
      <c r="E6580" s="1" t="str">
        <f ca="1">IFERROR(__xludf.DUMMYFUNCTION("GOOGLETRANSLATE(A3379 , ""tr"" , ""en"")"),"@drfahrettinkoca 195 Case Tomorrow is fully balanced both")</f>
        <v>@drfahrettinkoca 195 Case Tomorrow is fully balanced both</v>
      </c>
    </row>
    <row r="6581" spans="1:5" ht="15" customHeight="1" x14ac:dyDescent="0.2">
      <c r="A6581" s="1" t="s">
        <v>13111</v>
      </c>
      <c r="B6581" s="1">
        <v>2</v>
      </c>
      <c r="C6581" s="3">
        <v>44539.813101851854</v>
      </c>
      <c r="D6581" s="1" t="s">
        <v>13112</v>
      </c>
      <c r="E6581" s="1" t="str">
        <f ca="1">IFERROR(__xludf.DUMMYFUNCTION("GOOGLETRANSLATE(A3380 , ""tr"" , ""en"")"),"@drfahrettinkoca Urfa's Plate 63 Runned the Plate of Ordu ??? This question is out in the statistics puzzle !!! ???")</f>
        <v>@drfahrettinkoca Urfa's Plate 63 Runned the Plate of Ordu ??? This question is out in the statistics puzzle !!! ???</v>
      </c>
    </row>
    <row r="6582" spans="1:5" ht="15" customHeight="1" x14ac:dyDescent="0.2">
      <c r="A6582" s="1" t="s">
        <v>13113</v>
      </c>
      <c r="B6582" s="1">
        <v>8</v>
      </c>
      <c r="C6582" s="3">
        <v>44539.813101851854</v>
      </c>
      <c r="D6582" s="1" t="s">
        <v>13114</v>
      </c>
      <c r="E6582" s="1" t="str">
        <f ca="1">IFERROR(__xludf.DUMMYFUNCTION("GOOGLETRANSLATE(A3381 , ""tr"" , ""en"")"),"@drfahrettinkoca currently in intensive care of my brother Entube Please make the wear pray in the buddy cigerates over end ... https://t.co/f9gpv21opj")</f>
        <v>@drfahrettinkoca currently in intensive care of my brother Entube Please make the wear pray in the buddy cigerates over end ... https://t.co/f9gpv21opj</v>
      </c>
    </row>
    <row r="6583" spans="1:5" ht="15" customHeight="1" x14ac:dyDescent="0.2">
      <c r="A6583" s="1" t="s">
        <v>13115</v>
      </c>
      <c r="B6583" s="1">
        <v>0</v>
      </c>
      <c r="C6583" s="3">
        <v>44539.812800925924</v>
      </c>
      <c r="D6583" s="1" t="s">
        <v>13116</v>
      </c>
      <c r="E6583" s="1" t="str">
        <f ca="1">IFERROR(__xludf.DUMMYFUNCTION("GOOGLETRANSLATE(A3382 , ""tr"" , ""en"")"),"@drfahrettinkoca Ulan Konya you are the months of a villain of the Nasil in kind asylone rate")</f>
        <v>@drfahrettinkoca Ulan Konya you are the months of a villain of the Nasil in kind asylone rate</v>
      </c>
    </row>
    <row r="6584" spans="1:5" ht="15" customHeight="1" x14ac:dyDescent="0.2">
      <c r="A6584" s="1" t="s">
        <v>13117</v>
      </c>
      <c r="B6584" s="1">
        <v>0</v>
      </c>
      <c r="C6584" s="3">
        <v>44539.811956018515</v>
      </c>
      <c r="D6584" s="1" t="s">
        <v>13118</v>
      </c>
      <c r="E6584" s="1" t="str">
        <f ca="1">IFERROR(__xludf.DUMMYFUNCTION("GOOGLETRANSLATE(A3383 , ""tr"" , ""en"")"),"@drfahrettinkoca we expect increase these these drop summer summer 5,000 summer puahah")</f>
        <v>@drfahrettinkoca we expect increase these these drop summer summer 5,000 summer puahah</v>
      </c>
    </row>
    <row r="6585" spans="1:5" ht="15" customHeight="1" x14ac:dyDescent="0.2">
      <c r="A6585" s="1" t="s">
        <v>13119</v>
      </c>
      <c r="B6585" s="1">
        <v>0</v>
      </c>
      <c r="C6585" s="3">
        <v>44539.811759259261</v>
      </c>
      <c r="D6585" s="1" t="s">
        <v>13120</v>
      </c>
      <c r="E6585" s="1" t="str">
        <f ca="1">IFERROR(__xludf.DUMMYFUNCTION("GOOGLETRANSLATE(A3384 , ""tr"" , ""en"")"),"@drfahrettinkoca is very serious asking you; What do we have no increase in Europe as a precaution.")</f>
        <v>@drfahrettinkoca is very serious asking you; What do we have no increase in Europe as a precaution.</v>
      </c>
    </row>
    <row r="6586" spans="1:5" ht="15" customHeight="1" x14ac:dyDescent="0.2">
      <c r="A6586" s="1" t="s">
        <v>13121</v>
      </c>
      <c r="B6586" s="1">
        <v>0</v>
      </c>
      <c r="C6586" s="3">
        <v>44539.811076388891</v>
      </c>
      <c r="D6586" s="1" t="s">
        <v>13122</v>
      </c>
      <c r="E6586" s="1" t="str">
        <f ca="1">IFERROR(__xludf.DUMMYFUNCTION("GOOGLETRANSLATE(A3385 , ""tr"" , ""en"")"),"@drfahrettinkoca where0 60k Assignment Ministry @drfahrettinkoca @Drfahrettinka @Gozdekirisciogl https://t.co/fj48vg7hqu")</f>
        <v>@drfahrettinkoca where0 60k Assignment Ministry @drfahrettinkoca @Drfahrettinka @Gozdekirisciogl https://t.co/fj48vg7hqu</v>
      </c>
    </row>
    <row r="6587" spans="1:5" ht="15" customHeight="1" x14ac:dyDescent="0.2">
      <c r="A6587" s="1" t="s">
        <v>13123</v>
      </c>
      <c r="B6587" s="1">
        <v>0</v>
      </c>
      <c r="C6587" s="3">
        <v>44539.810717592591</v>
      </c>
      <c r="D6587" s="1" t="s">
        <v>13124</v>
      </c>
      <c r="E6587" s="1" t="str">
        <f ca="1">IFERROR(__xludf.DUMMYFUNCTION("GOOGLETRANSLATE(A3386 , ""tr"" , ""en"")"),"@drfahrettinkoca where you gave the minister of words")</f>
        <v>@drfahrettinkoca where you gave the minister of words</v>
      </c>
    </row>
    <row r="6588" spans="1:5" ht="15" customHeight="1" x14ac:dyDescent="0.2">
      <c r="A6588" s="1" t="s">
        <v>13125</v>
      </c>
      <c r="B6588" s="1">
        <v>0</v>
      </c>
      <c r="C6588" s="3">
        <v>44539.810057870367</v>
      </c>
      <c r="D6588" s="1" t="s">
        <v>13126</v>
      </c>
      <c r="E6588" s="1" t="str">
        <f ca="1">IFERROR(__xludf.DUMMYFUNCTION("GOOGLETRANSLATE(A3387 , ""tr"" , ""en"")"),"@drfahrettinkoca 30 k You forgot to buy us health")</f>
        <v>@drfahrettinkoca 30 k You forgot to buy us health</v>
      </c>
    </row>
    <row r="6589" spans="1:5" ht="15" customHeight="1" x14ac:dyDescent="0.2">
      <c r="A6589" s="1" t="s">
        <v>10058</v>
      </c>
      <c r="B6589" s="1">
        <v>1</v>
      </c>
      <c r="C6589" s="3">
        <v>44539.809930555559</v>
      </c>
      <c r="D6589" s="1" t="s">
        <v>13127</v>
      </c>
      <c r="E6589" s="1" t="str">
        <f ca="1">IFERROR(__xludf.DUMMYFUNCTION("GOOGLETRANSLATE(A3388 , ""tr"" , ""en"")"),"@drfahrettinkoca Guide")</f>
        <v>@drfahrettinkoca Guide</v>
      </c>
    </row>
    <row r="6590" spans="1:5" ht="15" customHeight="1" x14ac:dyDescent="0.2">
      <c r="A6590" s="1" t="s">
        <v>13128</v>
      </c>
      <c r="B6590" s="1">
        <v>0</v>
      </c>
      <c r="C6590" s="3">
        <v>44539.809606481482</v>
      </c>
      <c r="D6590" s="1" t="s">
        <v>13129</v>
      </c>
      <c r="E6590" s="1" t="str">
        <f ca="1">IFERROR(__xludf.DUMMYFUNCTION("GOOGLETRANSLATE(A3389 , ""tr"" , ""en"")"),"@drfahrettinkoca Ministry I call the guide we are narrative")</f>
        <v>@drfahrettinkoca Ministry I call the guide we are narrative</v>
      </c>
    </row>
    <row r="6591" spans="1:5" ht="15" customHeight="1" x14ac:dyDescent="0.2">
      <c r="A6591" s="1" t="s">
        <v>13130</v>
      </c>
      <c r="B6591" s="1">
        <v>0</v>
      </c>
      <c r="C6591" s="3">
        <v>44539.809467592589</v>
      </c>
      <c r="D6591" s="1" t="s">
        <v>13131</v>
      </c>
      <c r="E6591" s="1" t="str">
        <f ca="1">IFERROR(__xludf.DUMMYFUNCTION("GOOGLETRANSLATE(A3390 , ""tr"" , ""en"")"),"@drfahrettinka Mr. Minister A Mother and Parent as a parents of Ricam to address the status of absence in high school students ... https://t.co/ikmdzz0tbs")</f>
        <v>@drfahrettinka Mr. Minister A Mother and Parent as a parents of Ricam to address the status of absence in high school students ... https://t.co/ikmdzz0tbs</v>
      </c>
    </row>
    <row r="6592" spans="1:5" ht="15" customHeight="1" x14ac:dyDescent="0.2">
      <c r="A6592" s="1" t="s">
        <v>13132</v>
      </c>
      <c r="B6592" s="1">
        <v>5</v>
      </c>
      <c r="C6592" s="3">
        <v>44539.808807870373</v>
      </c>
      <c r="D6592" s="1" t="s">
        <v>13133</v>
      </c>
      <c r="E6592" s="1" t="str">
        <f ca="1">IFERROR(__xludf.DUMMYFUNCTION("GOOGLETRANSLATE(A3391 , ""tr"" , ""en"")"),"@drfahrettinkoca Wednesday Online Training on Wednesday (3rd Grade) (3rd Class) has 8 positive.Carantina Conditions: Https://t.co/cwu5j6ouxw")</f>
        <v>@drfahrettinkoca Wednesday Online Training on Wednesday (3rd Grade) (3rd Class) has 8 positive.Carantina Conditions: Https://t.co/cwu5j6ouxw</v>
      </c>
    </row>
    <row r="6593" spans="1:5" ht="15" customHeight="1" x14ac:dyDescent="0.2">
      <c r="A6593" s="1" t="s">
        <v>13134</v>
      </c>
      <c r="B6593" s="1">
        <v>0</v>
      </c>
      <c r="C6593" s="3">
        <v>44539.808009259257</v>
      </c>
      <c r="D6593" s="1" t="s">
        <v>13135</v>
      </c>
      <c r="E6593" s="1" t="str">
        <f ca="1">IFERROR(__xludf.DUMMYFUNCTION("GOOGLETRANSLATE(A3392 , ""tr"" , ""en"")"),"@drfahrettinkoca Minister Tomorrow Last Day of the Week Please Come Guide")</f>
        <v>@drfahrettinkoca Minister Tomorrow Last Day of the Week Please Come Guide</v>
      </c>
    </row>
    <row r="6594" spans="1:5" ht="15" customHeight="1" x14ac:dyDescent="0.2">
      <c r="A6594" s="1" t="s">
        <v>13136</v>
      </c>
      <c r="B6594" s="1">
        <v>1</v>
      </c>
      <c r="C6594" s="3">
        <v>44539.807824074072</v>
      </c>
      <c r="D6594" s="1" t="s">
        <v>13137</v>
      </c>
      <c r="E6594" s="1" t="str">
        <f ca="1">IFERROR(__xludf.DUMMYFUNCTION("GOOGLETRANSLATE(A3393 , ""tr"" , ""en"")"),"@drfahrettinka decay in December, Cases Düsüyo, will continue to fall, Kovid 19 Last curtain Omikron, this mutation ... https://t.co/4qwnqnhtqb")</f>
        <v>@drfahrettinka decay in December, Cases Düsüyo, will continue to fall, Kovid 19 Last curtain Omikron, this mutation ... https://t.co/4qwnqnhtqb</v>
      </c>
    </row>
    <row r="6595" spans="1:5" ht="15" customHeight="1" x14ac:dyDescent="0.2">
      <c r="A6595" s="1" t="s">
        <v>13138</v>
      </c>
      <c r="B6595" s="1">
        <v>0</v>
      </c>
      <c r="C6595" s="3">
        <v>44539.807546296295</v>
      </c>
      <c r="D6595" s="1" t="s">
        <v>13139</v>
      </c>
      <c r="E6595" s="1" t="str">
        <f ca="1">IFERROR(__xludf.DUMMYFUNCTION("GOOGLETRANSLATE(A3394 , ""tr"" , ""en"")"),"@drfahrettinkoca Can you make your head on the pillow can be comfortable?")</f>
        <v>@drfahrettinkoca Can you make your head on the pillow can be comfortable?</v>
      </c>
    </row>
    <row r="6596" spans="1:5" ht="15" customHeight="1" x14ac:dyDescent="0.2">
      <c r="A6596" s="1" t="s">
        <v>13140</v>
      </c>
      <c r="B6596" s="1">
        <v>0</v>
      </c>
      <c r="C6596" s="3">
        <v>44539.807476851849</v>
      </c>
      <c r="D6596" s="1" t="s">
        <v>13141</v>
      </c>
      <c r="E6596" s="1" t="str">
        <f ca="1">IFERROR(__xludf.DUMMYFUNCTION("GOOGLETRANSLATE(A3395 , ""tr"" , ""en"")"),"@drfahrettinkoca is the reason for this decreased vaccination speed in Turkey, staring. Please cause the relationship relationship fi ... https://t.co/qfqjx0wzys")</f>
        <v>@drfahrettinkoca is the reason for this decreased vaccination speed in Turkey, staring. Please cause the relationship relationship fi ... https://t.co/qfqjx0wzys</v>
      </c>
    </row>
    <row r="6597" spans="1:5" ht="15" customHeight="1" x14ac:dyDescent="0.2">
      <c r="A6597" s="1" t="s">
        <v>13142</v>
      </c>
      <c r="B6597" s="1">
        <v>5</v>
      </c>
      <c r="C6597" s="3">
        <v>44539.806956018518</v>
      </c>
      <c r="D6597" s="1" t="s">
        <v>13143</v>
      </c>
      <c r="E6597" s="1" t="str">
        <f ca="1">IFERROR(__xludf.DUMMYFUNCTION("GOOGLETRANSLATE(A3396 , ""tr"" , ""en"")"),"@drfahrettinkoca We call what you are what you call # fkocayakilavuzyaistifa")</f>
        <v>@drfahrettinkoca We call what you are what you call # fkocayakilavuzyaistifa</v>
      </c>
    </row>
    <row r="6598" spans="1:5" ht="15" customHeight="1" x14ac:dyDescent="0.2">
      <c r="A6598" s="1" t="s">
        <v>13144</v>
      </c>
      <c r="B6598" s="1">
        <v>0</v>
      </c>
      <c r="C6598" s="3">
        <v>44539.806770833333</v>
      </c>
      <c r="D6598" s="1" t="s">
        <v>13145</v>
      </c>
      <c r="E6598" s="1" t="str">
        <f ca="1">IFERROR(__xludf.DUMMYFUNCTION("GOOGLETRANSLATE(A3397 , ""tr"" , ""en"")"),"@drfahrettinkoca guide guide guide guide guide guide guide we want")</f>
        <v>@drfahrettinkoca guide guide guide guide guide guide guide we want</v>
      </c>
    </row>
    <row r="6599" spans="1:5" ht="15" customHeight="1" x14ac:dyDescent="0.2">
      <c r="A6599" s="1" t="s">
        <v>13146</v>
      </c>
      <c r="B6599" s="1">
        <v>0</v>
      </c>
      <c r="C6599" s="3">
        <v>44539.806712962964</v>
      </c>
      <c r="D6599" s="1" t="s">
        <v>13147</v>
      </c>
      <c r="E6599" s="1" t="str">
        <f ca="1">IFERROR(__xludf.DUMMYFUNCTION("GOOGLETRANSLATE(A3398 , ""tr"" , ""en"")"),"@drfahrettinkoca is really tired really! It's not so much. We want the guide it was late enough")</f>
        <v>@drfahrettinkoca is really tired really! It's not so much. We want the guide it was late enough</v>
      </c>
    </row>
    <row r="6600" spans="1:5" ht="15" customHeight="1" x14ac:dyDescent="0.2">
      <c r="A6600" s="1" t="s">
        <v>13148</v>
      </c>
      <c r="B6600" s="1">
        <v>0</v>
      </c>
      <c r="C6600" s="3">
        <v>44539.806631944448</v>
      </c>
      <c r="D6600" s="1" t="s">
        <v>13149</v>
      </c>
      <c r="E6600" s="1" t="str">
        <f ca="1">IFERROR(__xludf.DUMMYFUNCTION("GOOGLETRANSLATE(A3399 , ""tr"" , ""en"")"),"@drfahrettinkoca Are you not going to be vaccinated if you are rabies? There are vaccines we are already in charge, someone wants to do something ... https://t.co/tvm6lq5llf")</f>
        <v>@drfahrettinkoca Are you not going to be vaccinated if you are rabies? There are vaccines we are already in charge, someone wants to do something ... https://t.co/tvm6lq5llf</v>
      </c>
    </row>
    <row r="6601" spans="1:5" ht="15" customHeight="1" x14ac:dyDescent="0.2">
      <c r="A6601" s="1" t="s">
        <v>13150</v>
      </c>
      <c r="B6601" s="1">
        <v>0</v>
      </c>
      <c r="C6601" s="3">
        <v>44539.806203703702</v>
      </c>
      <c r="D6601" s="1" t="s">
        <v>13151</v>
      </c>
      <c r="E6601" s="1" t="str">
        <f ca="1">IFERROR(__xludf.DUMMYFUNCTION("GOOGLETRANSLATE(A3400 , ""tr"" , ""en"")"),"@drfahrettinkoca I wish you are honest to be honest when explaining the case numbers")</f>
        <v>@drfahrettinkoca I wish you are honest to be honest when explaining the case numbers</v>
      </c>
    </row>
    <row r="6602" spans="1:5" ht="15" customHeight="1" x14ac:dyDescent="0.2">
      <c r="A6602" s="1" t="s">
        <v>13152</v>
      </c>
      <c r="B6602" s="1">
        <v>0</v>
      </c>
      <c r="C6602" s="3">
        <v>44539.806122685186</v>
      </c>
      <c r="D6602" s="1" t="s">
        <v>13153</v>
      </c>
      <c r="E6602" s="1" t="str">
        <f ca="1">IFERROR(__xludf.DUMMYFUNCTION("GOOGLETRANSLATE(A3401 , ""tr"" , ""en"")"),"@drfahrettinkoca Are people in Europe no vaccinations? Or! The figures in the us are what you want to be ... https://t.co/mhgpyvpf4h")</f>
        <v>@drfahrettinkoca Are people in Europe no vaccinations? Or! The figures in the us are what you want to be ... https://t.co/mhgpyvpf4h</v>
      </c>
    </row>
    <row r="6603" spans="1:5" ht="15" customHeight="1" x14ac:dyDescent="0.2">
      <c r="A6603" s="1" t="s">
        <v>13154</v>
      </c>
      <c r="B6603" s="1">
        <v>0</v>
      </c>
      <c r="C6603" s="3">
        <v>44539.804803240739</v>
      </c>
      <c r="D6603" s="1" t="s">
        <v>13155</v>
      </c>
      <c r="E6603" s="1" t="str">
        <f ca="1">IFERROR(__xludf.DUMMYFUNCTION("GOOGLETRANSLATE(A3402 , ""tr"" , ""en"")"),"@drfahrettinkoca Mr. Mr. Minister Everycooper fluent flu no one is going to test the case number of cases is actually much more.")</f>
        <v>@drfahrettinkoca Mr. Mr. Minister Everycooper fluent flu no one is going to test the case number of cases is actually much more.</v>
      </c>
    </row>
    <row r="6604" spans="1:5" ht="15" customHeight="1" x14ac:dyDescent="0.2">
      <c r="A6604" s="1" t="s">
        <v>13156</v>
      </c>
      <c r="B6604" s="1">
        <v>0</v>
      </c>
      <c r="C6604" s="3">
        <v>44539.804652777777</v>
      </c>
      <c r="D6604" s="1" t="s">
        <v>13157</v>
      </c>
      <c r="E6604" s="1" t="str">
        <f ca="1">IFERROR(__xludf.DUMMYFUNCTION("GOOGLETRANSLATE(A3403 , ""tr"" , ""en"")"),"@drfahrettinkoca is no longer convincing publishing the following images")</f>
        <v>@drfahrettinkoca is no longer convincing publishing the following images</v>
      </c>
    </row>
    <row r="6605" spans="1:5" ht="15" customHeight="1" x14ac:dyDescent="0.2">
      <c r="A6605" s="1" t="s">
        <v>13158</v>
      </c>
      <c r="B6605" s="1">
        <v>6</v>
      </c>
      <c r="C6605" s="3">
        <v>44539.803807870368</v>
      </c>
      <c r="D6605" s="1" t="s">
        <v>13159</v>
      </c>
      <c r="E6605" s="1" t="str">
        <f ca="1">IFERROR(__xludf.DUMMYFUNCTION("GOOGLETRANSLATE(A3404 , ""tr"" , ""en"")"),"Let's be @drfahrettinkoca vaccine and you are so vaccinated in this magnitude of theater and no treasurer T.C. ... https://t.co/cskzysj74m")</f>
        <v>Let's be @drfahrettinkoca vaccine and you are so vaccinated in this magnitude of theater and no treasurer T.C. ... https://t.co/cskzysj74m</v>
      </c>
    </row>
    <row r="6606" spans="1:5" ht="15" customHeight="1" x14ac:dyDescent="0.2">
      <c r="A6606" s="1" t="s">
        <v>13160</v>
      </c>
      <c r="B6606" s="1">
        <v>9</v>
      </c>
      <c r="C6606" s="3">
        <v>44539.803773148145</v>
      </c>
      <c r="D6606" s="1" t="s">
        <v>13161</v>
      </c>
      <c r="E6606" s="1" t="str">
        <f ca="1">IFERROR(__xludf.DUMMYFUNCTION("GOOGLETRANSLATE(A3405 , ""tr"" , ""en"")"),"@drfahrettinkoca ⭕ Dollar will be 1 TL of year-end 🙃")</f>
        <v>@drfahrettinkoca ⭕ Dollar will be 1 TL of year-end 🙃</v>
      </c>
    </row>
    <row r="6607" spans="1:5" ht="15" customHeight="1" x14ac:dyDescent="0.2">
      <c r="A6607" s="1" t="s">
        <v>13162</v>
      </c>
      <c r="B6607" s="1">
        <v>3</v>
      </c>
      <c r="C6607" s="3">
        <v>44539.803738425922</v>
      </c>
      <c r="D6607" s="1" t="s">
        <v>13163</v>
      </c>
      <c r="E6607" s="1" t="str">
        <f ca="1">IFERROR(__xludf.DUMMYFUNCTION("GOOGLETRANSLATE(A3406 , ""tr"" , ""en"")"),"@drfahrettinkoca ee so did you have no gospel in us. # Fkocayacavuzyaistifa https://t.co/f2yoncqe4u")</f>
        <v>@drfahrettinkoca ee so did you have no gospel in us. # Fkocayacavuzyaistifa https://t.co/f2yoncqe4u</v>
      </c>
    </row>
    <row r="6608" spans="1:5" ht="15" customHeight="1" x14ac:dyDescent="0.2">
      <c r="A6608" s="1" t="s">
        <v>13164</v>
      </c>
      <c r="B6608" s="1">
        <v>0</v>
      </c>
      <c r="C6608" s="3">
        <v>44539.803738425922</v>
      </c>
      <c r="D6608" s="1" t="s">
        <v>13165</v>
      </c>
      <c r="E6608" s="1" t="str">
        <f ca="1">IFERROR(__xludf.DUMMYFUNCTION("GOOGLETRANSLATE(A3407 , ""tr"" , ""en"")"),"@drfahrettinkoca Every day there are 200 dead and the guy says positive says don't you ever be the importance of those who died either")</f>
        <v>@drfahrettinkoca Every day there are 200 dead and the guy says positive says don't you ever be the importance of those who died either</v>
      </c>
    </row>
    <row r="6609" spans="1:5" ht="15" customHeight="1" x14ac:dyDescent="0.2">
      <c r="A6609" s="1" t="s">
        <v>13166</v>
      </c>
      <c r="B6609" s="1">
        <v>1</v>
      </c>
      <c r="C6609" s="3">
        <v>44539.80327546296</v>
      </c>
      <c r="D6609" s="1" t="s">
        <v>13167</v>
      </c>
      <c r="E6609" s="1" t="str">
        <f ca="1">IFERROR(__xludf.DUMMYFUNCTION("GOOGLETRANSLATE(A3408 , ""tr"" , ""en"")"),"@drfahrettinkoca look positive 200 dead")</f>
        <v>@drfahrettinkoca look positive 200 dead</v>
      </c>
    </row>
    <row r="6610" spans="1:5" ht="15" customHeight="1" x14ac:dyDescent="0.2">
      <c r="A6610" s="1" t="s">
        <v>13168</v>
      </c>
      <c r="B6610" s="1">
        <v>0</v>
      </c>
      <c r="C6610" s="3">
        <v>44539.802731481483</v>
      </c>
      <c r="D6610" s="1" t="s">
        <v>13169</v>
      </c>
      <c r="E6610" s="1" t="str">
        <f ca="1">IFERROR(__xludf.DUMMYFUNCTION("GOOGLETRANSLATE(A3409 , ""tr"" , ""en"")"),"@drfahrettinkoca think of a human being to be assigned to be assigned even though it has taken more but this high score is still ... https://t.co/l8xdo9uu1x")</f>
        <v>@drfahrettinkoca think of a human being to be assigned to be assigned even though it has taken more but this high score is still ... https://t.co/l8xdo9uu1x</v>
      </c>
    </row>
    <row r="6611" spans="1:5" ht="15" customHeight="1" x14ac:dyDescent="0.2">
      <c r="A6611" s="1" t="s">
        <v>13170</v>
      </c>
      <c r="B6611" s="1">
        <v>0</v>
      </c>
      <c r="C6611" s="3">
        <v>44539.802337962959</v>
      </c>
      <c r="D6611" s="1" t="s">
        <v>13171</v>
      </c>
      <c r="E6611" s="1" t="str">
        <f ca="1">IFERROR(__xludf.DUMMYFUNCTION("GOOGLETRANSLATE(A3410 , ""tr"" , ""en"")"),"@drfahrettinkoca or varying from storing real figures")</f>
        <v>@drfahrettinkoca or varying from storing real figures</v>
      </c>
    </row>
    <row r="6612" spans="1:5" ht="15" customHeight="1" x14ac:dyDescent="0.2">
      <c r="A6612" s="1" t="s">
        <v>13172</v>
      </c>
      <c r="B6612" s="1">
        <v>0</v>
      </c>
      <c r="C6612" s="3">
        <v>44539.802222222221</v>
      </c>
      <c r="D6612" s="1" t="s">
        <v>13173</v>
      </c>
      <c r="E6612" s="1" t="str">
        <f ca="1">IFERROR(__xludf.DUMMYFUNCTION("GOOGLETRANSLATE(A3411 , ""tr"" , ""en"")"),"@drfahrettinkoca patient and contacts greatly hundreds of hundreds of new cases mingling into the society ... https://t.co/j4vp8sshug")</f>
        <v>@drfahrettinkoca patient and contacts greatly hundreds of hundreds of new cases mingling into the society ... https://t.co/j4vp8sshug</v>
      </c>
    </row>
    <row r="6613" spans="1:5" ht="15" customHeight="1" x14ac:dyDescent="0.2">
      <c r="A6613" s="1" t="s">
        <v>13174</v>
      </c>
      <c r="B6613" s="1">
        <v>2</v>
      </c>
      <c r="C6613" s="3">
        <v>44539.801898148151</v>
      </c>
      <c r="D6613" s="1" t="s">
        <v>13175</v>
      </c>
      <c r="E6613" s="1" t="str">
        <f ca="1">IFERROR(__xludf.DUMMYFUNCTION("GOOGLETRANSLATE(A3412 , ""tr"" , ""en"")"),"@drfahrettinka https://t.co/bkipm2q8xi")</f>
        <v>@drfahrettinka https://t.co/bkipm2q8xi</v>
      </c>
    </row>
    <row r="6614" spans="1:5" ht="15" customHeight="1" x14ac:dyDescent="0.2">
      <c r="A6614" s="1" t="s">
        <v>13176</v>
      </c>
      <c r="B6614" s="1">
        <v>0</v>
      </c>
      <c r="C6614" s="3">
        <v>44539.801805555559</v>
      </c>
      <c r="D6614" s="1" t="s">
        <v>13177</v>
      </c>
      <c r="E6614" s="1" t="str">
        <f ca="1">IFERROR(__xludf.DUMMYFUNCTION("GOOGLETRANSLATE(A3413 , ""tr"" , ""en"")"),"@drfahrettinkoca lying night ...")</f>
        <v>@drfahrettinkoca lying night ...</v>
      </c>
    </row>
    <row r="6615" spans="1:5" ht="15" customHeight="1" x14ac:dyDescent="0.2">
      <c r="A6615" s="1" t="s">
        <v>13178</v>
      </c>
      <c r="B6615" s="1">
        <v>0</v>
      </c>
      <c r="C6615" s="3">
        <v>44539.801631944443</v>
      </c>
      <c r="D6615" s="1" t="s">
        <v>13179</v>
      </c>
      <c r="E6615" s="1" t="str">
        <f ca="1">IFERROR(__xludf.DUMMYFUNCTION("GOOGLETRANSLATE(A3414 , ""tr"" , ""en"")"),"@drfahrettinkoca gives you the gospel, you say, but still no news from the assignment.")</f>
        <v>@drfahrettinkoca gives you the gospel, you say, but still no news from the assignment.</v>
      </c>
    </row>
    <row r="6616" spans="1:5" ht="15" customHeight="1" x14ac:dyDescent="0.2">
      <c r="A6616" s="1" t="s">
        <v>13180</v>
      </c>
      <c r="B6616" s="1">
        <v>7</v>
      </c>
      <c r="C6616" s="3">
        <v>44539.801504629628</v>
      </c>
      <c r="D6616" s="1" t="s">
        <v>13181</v>
      </c>
      <c r="E6616" s="1" t="str">
        <f ca="1">IFERROR(__xludf.DUMMYFUNCTION("GOOGLETRANSLATE(A3415 , ""tr"" , ""en"")"),"@drfahrettinkoca get lied to pity # kabineuzaktanıtitimsart")</f>
        <v>@drfahrettinkoca get lied to pity # kabineuzaktanıtitimsart</v>
      </c>
    </row>
    <row r="6617" spans="1:5" ht="15" customHeight="1" x14ac:dyDescent="0.2">
      <c r="A6617" s="1" t="s">
        <v>13182</v>
      </c>
      <c r="B6617" s="1">
        <v>0</v>
      </c>
      <c r="C6617" s="3">
        <v>44539.801412037035</v>
      </c>
      <c r="D6617" s="1" t="s">
        <v>13183</v>
      </c>
      <c r="E6617" s="1" t="str">
        <f ca="1">IFERROR(__xludf.DUMMYFUNCTION("GOOGLETRANSLATE(A3416 , ""tr"" , ""en"")"),"@drfahrettinkoca Ready Friday Evening Process a Sevap on the following guide Describe Your Ministry 🙄")</f>
        <v>@drfahrettinkoca Ready Friday Evening Process a Sevap on the following guide Describe Your Ministry 🙄</v>
      </c>
    </row>
    <row r="6618" spans="1:5" ht="15" customHeight="1" x14ac:dyDescent="0.2">
      <c r="A6618" s="1" t="s">
        <v>13184</v>
      </c>
      <c r="B6618" s="1">
        <v>0</v>
      </c>
      <c r="C6618" s="3">
        <v>44539.801226851851</v>
      </c>
      <c r="D6618" s="1" t="s">
        <v>13185</v>
      </c>
      <c r="E6618" s="1" t="str">
        <f ca="1">IFERROR(__xludf.DUMMYFUNCTION("GOOGLETRANSLATE(A3417 , ""tr"" , ""en"")"),"@drfahrettinkoca TÜH YA, our country is not seen. You are now upset.")</f>
        <v>@drfahrettinkoca TÜH YA, our country is not seen. You are now upset.</v>
      </c>
    </row>
    <row r="6619" spans="1:5" ht="15" customHeight="1" x14ac:dyDescent="0.2">
      <c r="A6619" s="1" t="s">
        <v>13186</v>
      </c>
      <c r="B6619" s="1">
        <v>0</v>
      </c>
      <c r="C6619" s="3">
        <v>44539.801145833335</v>
      </c>
      <c r="D6619" s="1" t="s">
        <v>13187</v>
      </c>
      <c r="E6619" s="1" t="str">
        <f ca="1">IFERROR(__xludf.DUMMYFUNCTION("GOOGLETRANSLATE(A3418 , ""tr"" , ""en"")"),"@drfahrettinkoca Full Dose Vaccine Map Nothing to be at least 3 doses")</f>
        <v>@drfahrettinkoca Full Dose Vaccine Map Nothing to be at least 3 doses</v>
      </c>
    </row>
    <row r="6620" spans="1:5" ht="15" customHeight="1" x14ac:dyDescent="0.2">
      <c r="A6620" s="1" t="s">
        <v>13188</v>
      </c>
      <c r="B6620" s="1">
        <v>0</v>
      </c>
      <c r="C6620" s="3">
        <v>44539.800532407404</v>
      </c>
      <c r="D6620" s="1" t="s">
        <v>13189</v>
      </c>
      <c r="E6620" s="1" t="str">
        <f ca="1">IFERROR(__xludf.DUMMYFUNCTION("GOOGLETRANSLATE(A3419 , ""tr"" , ""en"")"),"@drfahrettinkoca Why don't hear the fame of hundreds of thousands of people More than 1 year No assignment is not assigned an intermediate ... https://t.co/kppqftpx68")</f>
        <v>@drfahrettinkoca Why don't hear the fame of hundreds of thousands of people More than 1 year No assignment is not assigned an intermediate ... https://t.co/kppqftpx68</v>
      </c>
    </row>
    <row r="6621" spans="1:5" ht="15" customHeight="1" x14ac:dyDescent="0.2">
      <c r="A6621" s="1" t="s">
        <v>13190</v>
      </c>
      <c r="B6621" s="1">
        <v>1</v>
      </c>
      <c r="C6621" s="3">
        <v>44539.800011574072</v>
      </c>
      <c r="D6621" s="1" t="s">
        <v>13191</v>
      </c>
      <c r="E6621" s="1" t="str">
        <f ca="1">IFERROR(__xludf.DUMMYFUNCTION("GOOGLETRANSLATE(A3420 , ""tr"" , ""en"")"),"@drfahrettinkoca We should also publish the assignment guide immediately @drfahrettinkoca 🤦🏻♀️ ... https://t.co/gu2va3zjsr")</f>
        <v>@drfahrettinkoca We should also publish the assignment guide immediately @drfahrettinkoca 🤦🏻♀️ ... https://t.co/gu2va3zjsr</v>
      </c>
    </row>
    <row r="6622" spans="1:5" ht="15" customHeight="1" x14ac:dyDescent="0.2">
      <c r="A6622" s="1" t="s">
        <v>13192</v>
      </c>
      <c r="B6622" s="1">
        <v>9</v>
      </c>
      <c r="C6622" s="3">
        <v>44539.799733796295</v>
      </c>
      <c r="D6622" s="1" t="s">
        <v>13193</v>
      </c>
      <c r="E6622" s="1" t="str">
        <f ca="1">IFERROR(__xludf.DUMMYFUNCTION("GOOGLETRANSLATE(A3421 , ""tr"" , ""en"")"),"@drfahrettinkoca cases increase in increases to stop it in the hands of the single remedy in the hands of the remote training cools in the weather Previous ... https://t.co/njuigkhbvf")</f>
        <v>@drfahrettinkoca cases increase in increases to stop it in the hands of the single remedy in the hands of the remote training cools in the weather Previous ... https://t.co/njuigkhbvf</v>
      </c>
    </row>
    <row r="6623" spans="1:5" ht="15" customHeight="1" x14ac:dyDescent="0.2">
      <c r="A6623" s="1" t="s">
        <v>13194</v>
      </c>
      <c r="B6623" s="1">
        <v>0</v>
      </c>
      <c r="C6623" s="3">
        <v>44539.799456018518</v>
      </c>
      <c r="D6623" s="1" t="s">
        <v>13195</v>
      </c>
      <c r="E6623" s="1" t="str">
        <f ca="1">IFERROR(__xludf.DUMMYFUNCTION("GOOGLETRANSLATE(A3422 , ""tr"" , ""en"")"),"@drfahrettinkoca Where is the Assignment Guide?")</f>
        <v>@drfahrettinkoca Where is the Assignment Guide?</v>
      </c>
    </row>
    <row r="6624" spans="1:5" ht="15" customHeight="1" x14ac:dyDescent="0.2">
      <c r="A6624" s="1" t="s">
        <v>13196</v>
      </c>
      <c r="B6624" s="1">
        <v>1</v>
      </c>
      <c r="C6624" s="3">
        <v>44539.798692129632</v>
      </c>
      <c r="D6624" s="1" t="s">
        <v>13197</v>
      </c>
      <c r="E6624" s="1" t="str">
        <f ca="1">IFERROR(__xludf.DUMMYFUNCTION("GOOGLETRANSLATE(A3423 , ""tr"" , ""en"")"),"@drfahrettinkoca here is also a lot but you don't declare. Show real numbers.")</f>
        <v>@drfahrettinkoca here is also a lot but you don't declare. Show real numbers.</v>
      </c>
    </row>
    <row r="6625" spans="1:5" ht="15" customHeight="1" x14ac:dyDescent="0.2">
      <c r="A6625" s="1" t="s">
        <v>13198</v>
      </c>
      <c r="B6625" s="1">
        <v>0</v>
      </c>
      <c r="C6625" s="3">
        <v>44539.798576388886</v>
      </c>
      <c r="D6625" s="1" t="s">
        <v>13199</v>
      </c>
      <c r="E6625" s="1" t="str">
        <f ca="1">IFERROR(__xludf.DUMMYFUNCTION("GOOGLETRANSLATE(A3424 , ""tr"" , ""en"")"),"@drfahrettinkoca same https://t.co/8xiwzgzmu30 did not have viruses in our country in our country. He said he said.")</f>
        <v>@drfahrettinkoca same https://t.co/8xiwzgzmu30 did not have viruses in our country in our country. He said he said.</v>
      </c>
    </row>
    <row r="6626" spans="1:5" ht="15" customHeight="1" x14ac:dyDescent="0.2">
      <c r="A6626" s="1" t="s">
        <v>13200</v>
      </c>
      <c r="B6626" s="1">
        <v>5</v>
      </c>
      <c r="C6626" s="3">
        <v>44539.798530092594</v>
      </c>
      <c r="D6626" s="1" t="s">
        <v>13201</v>
      </c>
      <c r="E6626" s="1" t="str">
        <f ca="1">IFERROR(__xludf.DUMMYFUNCTION("GOOGLETRANSLATE(A3425 , ""tr"" , ""en"")"),"@drfahrettinkoca when are you going to have your healthpieces ..? # Fkocayakilavuzyaistifa")</f>
        <v>@drfahrettinkoca when are you going to have your healthpieces ..? # Fkocayakilavuzyaistifa</v>
      </c>
    </row>
    <row r="6627" spans="1:5" ht="15" customHeight="1" x14ac:dyDescent="0.2">
      <c r="A6627" s="1" t="s">
        <v>13202</v>
      </c>
      <c r="B6627" s="1">
        <v>0</v>
      </c>
      <c r="C6627" s="3">
        <v>44539.798090277778</v>
      </c>
      <c r="D6627" s="1" t="s">
        <v>13203</v>
      </c>
      <c r="E6627" s="1" t="str">
        <f ca="1">IFERROR(__xludf.DUMMYFUNCTION("GOOGLETRANSLATE(A3426 , ""tr"" , ""en"")"),"@drfahrettinkoca Ministry The more difficult to live for uncertainty believe that no one wants thumbs up ... https://t.co/jorzbisgyk")</f>
        <v>@drfahrettinkoca Ministry The more difficult to live for uncertainty believe that no one wants thumbs up ... https://t.co/jorzbisgyk</v>
      </c>
    </row>
    <row r="6628" spans="1:5" ht="15" customHeight="1" x14ac:dyDescent="0.2">
      <c r="A6628" s="1" t="s">
        <v>13204</v>
      </c>
      <c r="B6628" s="1">
        <v>0</v>
      </c>
      <c r="C6628" s="3">
        <v>44539.797546296293</v>
      </c>
      <c r="D6628" s="1" t="s">
        <v>13205</v>
      </c>
      <c r="E6628" s="1" t="str">
        <f ca="1">IFERROR(__xludf.DUMMYFUNCTION("GOOGLETRANSLATE(A3427 , ""tr"" , ""en"")"),"@drfahrettinkoca cases are tackled Fahrettin")</f>
        <v>@drfahrettinkoca cases are tackled Fahrettin</v>
      </c>
    </row>
    <row r="6629" spans="1:5" ht="15" customHeight="1" x14ac:dyDescent="0.2">
      <c r="A6629" s="1" t="s">
        <v>13206</v>
      </c>
      <c r="B6629" s="1">
        <v>1</v>
      </c>
      <c r="C6629" s="3">
        <v>44539.797314814816</v>
      </c>
      <c r="D6629" s="1" t="s">
        <v>13207</v>
      </c>
      <c r="E6629" s="1" t="str">
        <f ca="1">IFERROR(__xludf.DUMMYFUNCTION("GOOGLETRANSLATE(A3428 , ""tr"" , ""en"")"),"@drfahrettinkoca What do you not see us, don't you see us this teens ever these teens are broken in everyone's psychology of everyone ... https://t.co/dl4dxk5y6d")</f>
        <v>@drfahrettinkoca What do you not see us, don't you see us this teens ever these teens are broken in everyone's psychology of everyone ... https://t.co/dl4dxk5y6d</v>
      </c>
    </row>
    <row r="6630" spans="1:5" ht="15" customHeight="1" x14ac:dyDescent="0.2">
      <c r="A6630" s="1" t="s">
        <v>13208</v>
      </c>
      <c r="B6630" s="1">
        <v>5</v>
      </c>
      <c r="C6630" s="3">
        <v>44539.797199074077</v>
      </c>
      <c r="D6630" s="1" t="s">
        <v>13209</v>
      </c>
      <c r="E6630" s="1" t="str">
        <f ca="1">IFERROR(__xludf.DUMMYFUNCTION("GOOGLETRANSLATE(A3429 , ""tr"" , ""en"")"),"@drfahrettinkoca abnin 5 member stimulates Cavit and ABNİN HK ... This censor is quite dangerous .. If you continue to be ... https://t.co/43lq5f0tgv")</f>
        <v>@drfahrettinkoca abnin 5 member stimulates Cavit and ABNİN HK ... This censor is quite dangerous .. If you continue to be ... https://t.co/43lq5f0tgv</v>
      </c>
    </row>
    <row r="6631" spans="1:5" ht="15" customHeight="1" x14ac:dyDescent="0.2">
      <c r="A6631" s="1" t="s">
        <v>13210</v>
      </c>
      <c r="B6631" s="1">
        <v>0</v>
      </c>
      <c r="C6631" s="3">
        <v>44539.7971412037</v>
      </c>
      <c r="D6631" s="1" t="s">
        <v>13211</v>
      </c>
      <c r="E6631" s="1" t="str">
        <f ca="1">IFERROR(__xludf.DUMMYFUNCTION("GOOGLETRANSLATE(A3430 , ""tr"" , ""en"")"),"@drfahrettinkoca SMA patient with 3-month-old child feet and cannot move many locations of his body..l ... https://t.co/g3k3agdz5u")</f>
        <v>@drfahrettinkoca SMA patient with 3-month-old child feet and cannot move many locations of his body..l ... https://t.co/g3k3agdz5u</v>
      </c>
    </row>
    <row r="6632" spans="1:5" ht="15" customHeight="1" x14ac:dyDescent="0.2">
      <c r="A6632" s="1" t="s">
        <v>13212</v>
      </c>
      <c r="B6632" s="1">
        <v>0</v>
      </c>
      <c r="C6632" s="3">
        <v>44539.797106481485</v>
      </c>
      <c r="D6632" s="1" t="s">
        <v>13213</v>
      </c>
      <c r="E6632" s="1" t="str">
        <f ca="1">IFERROR(__xludf.DUMMYFUNCTION("GOOGLETRANSLATE(A3431 , ""tr"" , ""en"")"),"@drfahrettinkoca Are you thinking about the embankment of Bey Assignment? Hani read 16 years maybe we also take the bread or to our house.")</f>
        <v>@drfahrettinkoca Are you thinking about the embankment of Bey Assignment? Hani read 16 years maybe we also take the bread or to our house.</v>
      </c>
    </row>
    <row r="6633" spans="1:5" ht="15" customHeight="1" x14ac:dyDescent="0.2">
      <c r="A6633" s="1" t="s">
        <v>13214</v>
      </c>
      <c r="B6633" s="1">
        <v>0</v>
      </c>
      <c r="C6633" s="3">
        <v>44539.796956018516</v>
      </c>
      <c r="D6633" s="1" t="s">
        <v>13215</v>
      </c>
      <c r="E6633" s="1" t="str">
        <f ca="1">IFERROR(__xludf.DUMMYFUNCTION("GOOGLETRANSLATE(A3432 , ""tr"" , ""en"")"),"@drfahrettinkoca Over the next two weeks of past 6 weeks started like this lying such a fitting scenario cannot even write the best liars.")</f>
        <v>@drfahrettinkoca Over the next two weeks of past 6 weeks started like this lying such a fitting scenario cannot even write the best liars.</v>
      </c>
    </row>
    <row r="6634" spans="1:5" ht="15" customHeight="1" x14ac:dyDescent="0.2">
      <c r="A6634" s="1" t="s">
        <v>13216</v>
      </c>
      <c r="B6634" s="1">
        <v>24</v>
      </c>
      <c r="C6634" s="3">
        <v>44539.7969212963</v>
      </c>
      <c r="D6634" s="1" t="s">
        <v>13217</v>
      </c>
      <c r="E6634" s="1" t="str">
        <f ca="1">IFERROR(__xludf.DUMMYFUNCTION("GOOGLETRANSLATE(A3433 , ""tr"" , ""en"")"),"@drfahrettinkoca is the nephew is corona. SN.Indrfahrettinkoca is proud of yours.")</f>
        <v>@drfahrettinkoca is the nephew is corona. SN.Indrfahrettinkoca is proud of yours.</v>
      </c>
    </row>
    <row r="6635" spans="1:5" ht="15" customHeight="1" x14ac:dyDescent="0.2">
      <c r="A6635" s="1" t="s">
        <v>13218</v>
      </c>
      <c r="B6635" s="1">
        <v>0</v>
      </c>
      <c r="C6635" s="3">
        <v>44539.796875</v>
      </c>
      <c r="D6635" s="1" t="s">
        <v>13219</v>
      </c>
      <c r="E6635" s="1" t="str">
        <f ca="1">IFERROR(__xludf.DUMMYFUNCTION("GOOGLETRANSLATE(A3434 , ""tr"" , ""en"")"),"@drfahrettinka because the rebel rate has declined")</f>
        <v>@drfahrettinka because the rebel rate has declined</v>
      </c>
    </row>
    <row r="6636" spans="1:5" ht="15" customHeight="1" x14ac:dyDescent="0.2">
      <c r="A6636" s="1" t="s">
        <v>13220</v>
      </c>
      <c r="B6636" s="1">
        <v>0</v>
      </c>
      <c r="C6636" s="3">
        <v>44539.796655092592</v>
      </c>
      <c r="D6636" s="1" t="s">
        <v>13221</v>
      </c>
      <c r="E6636" s="1" t="str">
        <f ca="1">IFERROR(__xludf.DUMMYFUNCTION("GOOGLETRANSLATE(A3435 , ""tr"" , ""en"")"),"@drfahrettinkoca What are we waiting for guide")</f>
        <v>@drfahrettinkoca What are we waiting for guide</v>
      </c>
    </row>
    <row r="6637" spans="1:5" ht="15" customHeight="1" x14ac:dyDescent="0.2">
      <c r="A6637" s="1" t="s">
        <v>13222</v>
      </c>
      <c r="B6637" s="1">
        <v>0</v>
      </c>
      <c r="C6637" s="3">
        <v>44539.796458333331</v>
      </c>
      <c r="D6637" s="1" t="s">
        <v>13223</v>
      </c>
      <c r="E6637" s="1" t="str">
        <f ca="1">IFERROR(__xludf.DUMMYFUNCTION("GOOGLETRANSLATE(A3436 , ""tr"" , ""en"")"),"@drfahrettinkoca please support the geese they ate new feeds with appetite. https://t.co/3aiihmqbzgr")</f>
        <v>@drfahrettinkoca please support the geese they ate new feeds with appetite. https://t.co/3aiihmqbzgr</v>
      </c>
    </row>
    <row r="6638" spans="1:5" ht="15" customHeight="1" x14ac:dyDescent="0.2">
      <c r="A6638" s="1" t="s">
        <v>13224</v>
      </c>
      <c r="B6638" s="1">
        <v>0</v>
      </c>
      <c r="C6638" s="3">
        <v>44539.796377314815</v>
      </c>
      <c r="D6638" s="1" t="s">
        <v>13225</v>
      </c>
      <c r="E6638" s="1" t="str">
        <f ca="1">IFERROR(__xludf.DUMMYFUNCTION("GOOGLETRANSLATE(A3437 , ""tr"" , ""en"")"),"@drfahrettinkoca positive situation if you look at your own window, you'll see positive things in a bride see our windows ..")</f>
        <v>@drfahrettinkoca positive situation if you look at your own window, you'll see positive things in a bride see our windows ..</v>
      </c>
    </row>
    <row r="6639" spans="1:5" ht="15" customHeight="1" x14ac:dyDescent="0.2">
      <c r="A6639" s="1" t="s">
        <v>13226</v>
      </c>
      <c r="B6639" s="1">
        <v>3</v>
      </c>
      <c r="C6639" s="3">
        <v>44539.795636574076</v>
      </c>
      <c r="D6639" s="1" t="s">
        <v>13227</v>
      </c>
      <c r="E6639" s="1" t="str">
        <f ca="1">IFERROR(__xludf.DUMMYFUNCTION("GOOGLETRANSLATE(A3438 , ""tr"" , ""en"")"),"@drfahrettinka vaccine vaccine is nothing in another, the grafts in my surroundings are sick on my surrounding hali perhaps the sickness but lightweight horse ... https://t.co/mkmlcszog4")</f>
        <v>@drfahrettinka vaccine vaccine is nothing in another, the grafts in my surroundings are sick on my surrounding hali perhaps the sickness but lightweight horse ... https://t.co/mkmlcszog4</v>
      </c>
    </row>
    <row r="6640" spans="1:5" ht="15" customHeight="1" x14ac:dyDescent="0.2">
      <c r="A6640" s="1" t="s">
        <v>13228</v>
      </c>
      <c r="B6640" s="1">
        <v>0</v>
      </c>
      <c r="C6640" s="3">
        <v>44539.795601851853</v>
      </c>
      <c r="D6640" s="1" t="s">
        <v>13229</v>
      </c>
      <c r="E6640" s="1" t="str">
        <f ca="1">IFERROR(__xludf.DUMMYFUNCTION("GOOGLETRANSLATE(A3439 , ""tr"" , ""en"")"),"@drfahrettinkoca is increasing the number of cases in Europe because it does not hear if you are in storage ..")</f>
        <v>@drfahrettinkoca is increasing the number of cases in Europe because it does not hear if you are in storage ..</v>
      </c>
    </row>
    <row r="6641" spans="1:5" ht="15" customHeight="1" x14ac:dyDescent="0.2">
      <c r="A6641" s="1" t="s">
        <v>13230</v>
      </c>
      <c r="B6641" s="1">
        <v>0</v>
      </c>
      <c r="C6641" s="3">
        <v>44539.795520833337</v>
      </c>
      <c r="D6641" s="1" t="s">
        <v>13231</v>
      </c>
      <c r="E6641" s="1" t="str">
        <f ca="1">IFERROR(__xludf.DUMMYFUNCTION("GOOGLETRANSLATE(A3440 , ""tr"" , ""en"")"),"@drfahrettinkoca Guide you forgot Mu Mr. Minister? What happened to assigning people who have been hoping to people for months? Hani K ... https://t.co/bhmsb8qvzx")</f>
        <v>@drfahrettinkoca Guide you forgot Mu Mr. Minister? What happened to assigning people who have been hoping to people for months? Hani K ... https://t.co/bhmsb8qvzx</v>
      </c>
    </row>
    <row r="6642" spans="1:5" ht="15" customHeight="1" x14ac:dyDescent="0.2">
      <c r="A6642" s="1" t="s">
        <v>13232</v>
      </c>
      <c r="B6642" s="1">
        <v>0</v>
      </c>
      <c r="C6642" s="3">
        <v>44539.795405092591</v>
      </c>
      <c r="D6642" s="1" t="s">
        <v>13233</v>
      </c>
      <c r="E6642" s="1" t="str">
        <f ca="1">IFERROR(__xludf.DUMMYFUNCTION("GOOGLETRANSLATE(A3441 , ""tr"" , ""en"")"),"@drfahrettinkoca Assignment As Waiting As Health People Do You Hear What Do You Hear Me")</f>
        <v>@drfahrettinkoca Assignment As Waiting As Health People Do You Hear What Do You Hear Me</v>
      </c>
    </row>
    <row r="6643" spans="1:5" ht="15" customHeight="1" x14ac:dyDescent="0.2">
      <c r="A6643" s="1" t="s">
        <v>13234</v>
      </c>
      <c r="B6643" s="1">
        <v>0</v>
      </c>
      <c r="C6643" s="3">
        <v>44539.79519675926</v>
      </c>
      <c r="D6643" s="1" t="s">
        <v>13235</v>
      </c>
      <c r="E6643" s="1" t="str">
        <f ca="1">IFERROR(__xludf.DUMMYFUNCTION("GOOGLETRANSLATE(A3442 , ""tr"" , ""en"")"),"@drfahrettinkoca what decreases in the test number nor is the rise what is happening very different")</f>
        <v>@drfahrettinkoca what decreases in the test number nor is the rise what is happening very different</v>
      </c>
    </row>
    <row r="6644" spans="1:5" ht="15" customHeight="1" x14ac:dyDescent="0.2">
      <c r="A6644" s="1" t="s">
        <v>13236</v>
      </c>
      <c r="B6644" s="1">
        <v>7</v>
      </c>
      <c r="C6644" s="3">
        <v>44539.794918981483</v>
      </c>
      <c r="D6644" s="1" t="s">
        <v>13237</v>
      </c>
      <c r="E6644" s="1" t="str">
        <f ca="1">IFERROR(__xludf.DUMMYFUNCTION("GOOGLETRANSLATE(A3443 , ""tr"" , ""en"")"),"@drfahrettinkoca 2018 Assigned with KPSS, 14 months assignment to an assignment to a friend in your early July ""2-3 months i ... https://t.co/t4ojvblr15")</f>
        <v>@drfahrettinkoca 2018 Assigned with KPSS, 14 months assignment to an assignment to a friend in your early July "2-3 months i ... https://t.co/t4ojvblr15</v>
      </c>
    </row>
    <row r="6645" spans="1:5" ht="15" customHeight="1" x14ac:dyDescent="0.2">
      <c r="A6645" s="1" t="s">
        <v>13238</v>
      </c>
      <c r="B6645" s="1">
        <v>0</v>
      </c>
      <c r="C6645" s="3">
        <v>44539.79483796296</v>
      </c>
      <c r="D6645" s="1" t="s">
        <v>13239</v>
      </c>
      <c r="E6645" s="1" t="str">
        <f ca="1">IFERROR(__xludf.DUMMYFUNCTION("GOOGLETRANSLATE(A3444 , ""tr"" , ""en"")"),"@drfahrettinkoca Ministry System Press the button at the bottom of your hand get 15 thousand")</f>
        <v>@drfahrettinkoca Ministry System Press the button at the bottom of your hand get 15 thousand</v>
      </c>
    </row>
    <row r="6646" spans="1:5" ht="15" customHeight="1" x14ac:dyDescent="0.2">
      <c r="A6646" s="1" t="s">
        <v>13240</v>
      </c>
      <c r="B6646" s="1">
        <v>0</v>
      </c>
      <c r="C6646" s="3">
        <v>44539.794803240744</v>
      </c>
      <c r="D6646" s="1" t="s">
        <v>13241</v>
      </c>
      <c r="E6646" s="1" t="str">
        <f ca="1">IFERROR(__xludf.DUMMYFUNCTION("GOOGLETRANSLATE(A3445 , ""tr"" , ""en"")"),"@drfahrettinkoca we trust you don't leave us half way please post guide")</f>
        <v>@drfahrettinkoca we trust you don't leave us half way please post guide</v>
      </c>
    </row>
    <row r="6647" spans="1:5" ht="15" customHeight="1" x14ac:dyDescent="0.2">
      <c r="A6647" s="1" t="s">
        <v>13242</v>
      </c>
      <c r="B6647" s="1">
        <v>0</v>
      </c>
      <c r="C6647" s="3">
        <v>44539.794571759259</v>
      </c>
      <c r="D6647" s="1" t="s">
        <v>13243</v>
      </c>
      <c r="E6647" s="1" t="str">
        <f ca="1">IFERROR(__xludf.DUMMYFUNCTION("GOOGLETRANSLATE(A3446 , ""tr"" , ""en"")"),"@drfahrettinkoca class In the classroom, a student is also taken out of the virus, but the service tool is not received every ... https://t.co/8zcw0rtex4")</f>
        <v>@drfahrettinkoca class In the classroom, a student is also taken out of the virus, but the service tool is not received every ... https://t.co/8zcw0rtex4</v>
      </c>
    </row>
    <row r="6648" spans="1:5" ht="15" customHeight="1" x14ac:dyDescent="0.2">
      <c r="A6648" s="1" t="s">
        <v>13244</v>
      </c>
      <c r="B6648" s="1">
        <v>0</v>
      </c>
      <c r="C6648" s="3">
        <v>44539.794131944444</v>
      </c>
      <c r="D6648" s="1" t="s">
        <v>13245</v>
      </c>
      <c r="E6648" s="1" t="str">
        <f ca="1">IFERROR(__xludf.DUMMYFUNCTION("GOOGLETRANSLATE(A3447 , ""tr"" , ""en"")"),"@drfahrettinkoca You have to believe you still have a stop on these games if you were your fear of you and the Filim Board")</f>
        <v>@drfahrettinkoca You have to believe you still have a stop on these games if you were your fear of you and the Filim Board</v>
      </c>
    </row>
    <row r="6649" spans="1:5" ht="15" customHeight="1" x14ac:dyDescent="0.2">
      <c r="A6649" s="1" t="s">
        <v>13246</v>
      </c>
      <c r="B6649" s="1">
        <v>0</v>
      </c>
      <c r="C6649" s="3">
        <v>44539.793703703705</v>
      </c>
      <c r="D6649" s="1" t="s">
        <v>13247</v>
      </c>
      <c r="E6649" s="1" t="str">
        <f ca="1">IFERROR(__xludf.DUMMYFUNCTION("GOOGLETRANSLATE(A3448 , ""tr"" , ""en"")"),"@drfahrettinkoca Close Schools Baboli")</f>
        <v>@drfahrettinkoca Close Schools Baboli</v>
      </c>
    </row>
    <row r="6650" spans="1:5" ht="15" customHeight="1" x14ac:dyDescent="0.2">
      <c r="A6650" s="1" t="s">
        <v>13248</v>
      </c>
      <c r="B6650" s="1">
        <v>14</v>
      </c>
      <c r="C6650" s="3">
        <v>44539.793564814812</v>
      </c>
      <c r="D6650" s="1" t="s">
        <v>13249</v>
      </c>
      <c r="E6650" s="1" t="str">
        <f ca="1">IFERROR(__xludf.DUMMYFUNCTION("GOOGLETRANSLATE(A3449 , ""tr"" , ""en"")"),"@drfahrettinkoca Minister no longer share the table or something no one believes in this data #kabineomicrongelmedonline")</f>
        <v>@drfahrettinkoca Minister no longer share the table or something no one believes in this data #kabineomicrongelmedonline</v>
      </c>
    </row>
    <row r="6651" spans="1:5" ht="15" customHeight="1" x14ac:dyDescent="0.2">
      <c r="A6651" s="1" t="s">
        <v>13250</v>
      </c>
      <c r="B6651" s="1">
        <v>0</v>
      </c>
      <c r="C6651" s="3">
        <v>44539.793530092589</v>
      </c>
      <c r="D6651" s="1" t="s">
        <v>13251</v>
      </c>
      <c r="E6651" s="1" t="str">
        <f ca="1">IFERROR(__xludf.DUMMYFUNCTION("GOOGLETRANSLATE(A3450 , ""tr"" , ""en"")"),"@drfahrettinkoca Mr. Minister As soon as we are waiting as soon as we are looking forward to the central assignment I hope you don't coincide")</f>
        <v>@drfahrettinkoca Mr. Minister As soon as we are waiting as soon as we are looking forward to the central assignment I hope you don't coincide</v>
      </c>
    </row>
    <row r="6652" spans="1:5" ht="15" customHeight="1" x14ac:dyDescent="0.2">
      <c r="A6652" s="1" t="s">
        <v>13252</v>
      </c>
      <c r="B6652" s="1">
        <v>0</v>
      </c>
      <c r="C6652" s="3">
        <v>44539.793483796297</v>
      </c>
      <c r="D6652" s="1" t="s">
        <v>13253</v>
      </c>
      <c r="E6652" s="1" t="str">
        <f ca="1">IFERROR(__xludf.DUMMYFUNCTION("GOOGLETRANSLATE(A3451 , ""tr"" , ""en"")"),"@drfahrettinkoca I don't trust you SN. MINISTER.")</f>
        <v>@drfahrettinkoca I don't trust you SN. MINISTER.</v>
      </c>
    </row>
    <row r="6653" spans="1:5" ht="15" customHeight="1" x14ac:dyDescent="0.2">
      <c r="A6653" s="1" t="s">
        <v>13254</v>
      </c>
      <c r="B6653" s="1">
        <v>0</v>
      </c>
      <c r="C6653" s="3">
        <v>44539.793124999997</v>
      </c>
      <c r="D6653" s="1" t="s">
        <v>13255</v>
      </c>
      <c r="E6653" s="1" t="str">
        <f ca="1">IFERROR(__xludf.DUMMYFUNCTION("GOOGLETRANSLATE(A3452 , ""tr"" , ""en"")"),"@drfahrettinka you are connected to WHO")</f>
        <v>@drfahrettinka you are connected to WHO</v>
      </c>
    </row>
    <row r="6654" spans="1:5" ht="15" customHeight="1" x14ac:dyDescent="0.2">
      <c r="A6654" s="1" t="s">
        <v>13256</v>
      </c>
      <c r="B6654" s="1">
        <v>16</v>
      </c>
      <c r="C6654" s="3">
        <v>44539.793020833335</v>
      </c>
      <c r="D6654" s="1" t="s">
        <v>13257</v>
      </c>
      <c r="E6654" s="1" t="str">
        <f ca="1">IFERROR(__xludf.DUMMYFUNCTION("GOOGLETRANSLATE(A3453 , ""tr"" , ""en"")"),"@drfahrettinkoca sec.")</f>
        <v>@drfahrettinkoca sec.</v>
      </c>
    </row>
    <row r="6655" spans="1:5" ht="15" customHeight="1" x14ac:dyDescent="0.2">
      <c r="A6655" s="1" t="s">
        <v>13258</v>
      </c>
      <c r="B6655" s="1">
        <v>1</v>
      </c>
      <c r="C6655" s="3">
        <v>44539.792858796296</v>
      </c>
      <c r="D6655" s="1" t="s">
        <v>13259</v>
      </c>
      <c r="E6655" s="1" t="str">
        <f ca="1">IFERROR(__xludf.DUMMYFUNCTION("GOOGLETRANSLATE(A3454 , ""tr"" , ""en"")"),"@drfahrettinkoca anymore such as Europe, omicron a urgently against measure, precaution and shortening ??? Or Fac ... https://t.co/wdrkisfg23")</f>
        <v>@drfahrettinkoca anymore such as Europe, omicron a urgently against measure, precaution and shortening ??? Or Fac ... https://t.co/wdrkisfg23</v>
      </c>
    </row>
    <row r="6656" spans="1:5" ht="15" customHeight="1" x14ac:dyDescent="0.2">
      <c r="A6656" s="1" t="s">
        <v>13260</v>
      </c>
      <c r="B6656" s="1">
        <v>77</v>
      </c>
      <c r="C6656" s="3">
        <v>44539.792500000003</v>
      </c>
      <c r="D6656" s="1" t="s">
        <v>13261</v>
      </c>
      <c r="E6656" s="1" t="str">
        <f ca="1">IFERROR(__xludf.DUMMYFUNCTION("GOOGLETRANSLATE(A3455 , ""tr"" , ""en"")"),"@drfahrettinka students wants distance education for their health!")</f>
        <v>@drfahrettinka students wants distance education for their health!</v>
      </c>
    </row>
    <row r="6657" spans="1:5" ht="15" customHeight="1" x14ac:dyDescent="0.2">
      <c r="A6657" s="1" t="s">
        <v>13262</v>
      </c>
      <c r="B6657" s="1">
        <v>0</v>
      </c>
      <c r="C6657" s="3">
        <v>44539.79247685185</v>
      </c>
      <c r="D6657" s="1" t="s">
        <v>13263</v>
      </c>
      <c r="E6657" s="1" t="str">
        <f ca="1">IFERROR(__xludf.DUMMYFUNCTION("GOOGLETRANSLATE(A3456 , ""tr"" , ""en"")"),"@drfahrettinkoca We want to guide")</f>
        <v>@drfahrettinkoca We want to guide</v>
      </c>
    </row>
    <row r="6658" spans="1:5" ht="15" customHeight="1" x14ac:dyDescent="0.2">
      <c r="A6658" s="1" t="s">
        <v>13264</v>
      </c>
      <c r="B6658" s="1">
        <v>6</v>
      </c>
      <c r="C6658" s="3">
        <v>44539.792384259257</v>
      </c>
      <c r="D6658" s="1" t="s">
        <v>13265</v>
      </c>
      <c r="E6658" s="1" t="str">
        <f ca="1">IFERROR(__xludf.DUMMYFUNCTION("GOOGLETRANSLATE(A3457 , ""tr"" , ""en"")"),"Complete to @drfahrettinkoca..The dosures that won't come.")</f>
        <v>Complete to @drfahrettinkoca..The dosures that won't come.</v>
      </c>
    </row>
    <row r="6659" spans="1:5" ht="15" customHeight="1" x14ac:dyDescent="0.2">
      <c r="A6659" s="1" t="s">
        <v>13266</v>
      </c>
      <c r="B6659" s="1">
        <v>0</v>
      </c>
      <c r="C6659" s="3">
        <v>44539.792268518519</v>
      </c>
      <c r="D6659" s="1" t="s">
        <v>13267</v>
      </c>
      <c r="E6659" s="1" t="str">
        <f ca="1">IFERROR(__xludf.DUMMYFUNCTION("GOOGLETRANSLATE(A3458 , ""tr"" , ""en"")"),"@drfahrettinkoca Respectable Minister; If the deaths increases, please do not say the number of cases please let me open the new page in order of liveli 🙋🙋️")</f>
        <v>@drfahrettinkoca Respectable Minister; If the deaths increases, please do not say the number of cases please let me open the new page in order of liveli 🙋🙋️</v>
      </c>
    </row>
    <row r="6660" spans="1:5" ht="15" customHeight="1" x14ac:dyDescent="0.2">
      <c r="A6660" s="1" t="s">
        <v>13268</v>
      </c>
      <c r="B6660" s="1">
        <v>0</v>
      </c>
      <c r="C6660" s="3">
        <v>44539.792245370372</v>
      </c>
      <c r="D6660" s="1" t="s">
        <v>13269</v>
      </c>
      <c r="E6660" s="1" t="str">
        <f ca="1">IFERROR(__xludf.DUMMYFUNCTION("GOOGLETRANSLATE(A3459 , ""tr"" , ""en"")"),"@drfahrettinkoca 2 years ago we did not have Covit, then the deaths increased until the ba increased. I hope the same again ... https://t.co/banyfxntvm")</f>
        <v>@drfahrettinkoca 2 years ago we did not have Covit, then the deaths increased until the ba increased. I hope the same again ... https://t.co/banyfxntvm</v>
      </c>
    </row>
    <row r="6661" spans="1:5" ht="15" customHeight="1" x14ac:dyDescent="0.2">
      <c r="A6661" s="1" t="s">
        <v>13270</v>
      </c>
      <c r="B6661" s="1">
        <v>18</v>
      </c>
      <c r="C6661" s="3">
        <v>44539.791886574072</v>
      </c>
      <c r="D6661" s="1" t="s">
        <v>13271</v>
      </c>
      <c r="E6661" s="1" t="str">
        <f ca="1">IFERROR(__xludf.DUMMYFUNCTION("GOOGLETRANSLATE(A3460 , ""tr"" , ""en"")"),"@drfahrettinkoca when is the vaccination missing the missing receives is the continuous bi dose than you can spend s ... https://t.co/zckizdlnuf")</f>
        <v>@drfahrettinkoca when is the vaccination missing the missing receives is the continuous bi dose than you can spend s ... https://t.co/zckizdlnuf</v>
      </c>
    </row>
    <row r="6662" spans="1:5" ht="15" customHeight="1" x14ac:dyDescent="0.2">
      <c r="A6662" s="1" t="s">
        <v>13272</v>
      </c>
      <c r="B6662" s="1">
        <v>1</v>
      </c>
      <c r="C6662" s="3">
        <v>44539.79178240741</v>
      </c>
      <c r="D6662" s="1" t="s">
        <v>13273</v>
      </c>
      <c r="E6662" s="1" t="str">
        <f ca="1">IFERROR(__xludf.DUMMYFUNCTION("GOOGLETRANSLATE(A3461 , ""tr"" , ""en"")"),"@drfahrettinkoca Which positive situation you say positive situation to death of 200 to 200 E")</f>
        <v>@drfahrettinkoca Which positive situation you say positive situation to death of 200 to 200 E</v>
      </c>
    </row>
    <row r="6663" spans="1:5" ht="15" customHeight="1" x14ac:dyDescent="0.2">
      <c r="A6663" s="1" t="s">
        <v>13274</v>
      </c>
      <c r="B6663" s="1">
        <v>0</v>
      </c>
      <c r="C6663" s="3">
        <v>44539.791747685187</v>
      </c>
      <c r="D6663" s="1" t="s">
        <v>13275</v>
      </c>
      <c r="E6663" s="1" t="str">
        <f ca="1">IFERROR(__xludf.DUMMYFUNCTION("GOOGLETRANSLATE(A3462 , ""tr"" , ""en"")"),"@drfahrettinkoca don't see us a statement much of the minister nolur")</f>
        <v>@drfahrettinkoca don't see us a statement much of the minister nolur</v>
      </c>
    </row>
    <row r="6664" spans="1:5" ht="15" customHeight="1" x14ac:dyDescent="0.2">
      <c r="A6664" s="1" t="s">
        <v>13276</v>
      </c>
      <c r="B6664" s="1">
        <v>17</v>
      </c>
      <c r="C6664" s="3">
        <v>44539.791655092595</v>
      </c>
      <c r="D6664" s="1" t="s">
        <v>13277</v>
      </c>
      <c r="E6664" s="1" t="str">
        <f ca="1">IFERROR(__xludf.DUMMYFUNCTION("GOOGLETRANSLATE(A3463 , ""tr"" , ""en"")"),"@drfahrettinkoca I think this expectation could not be fully met .. https://t.co/mcpm3tobfk")</f>
        <v>@drfahrettinkoca I think this expectation could not be fully met .. https://t.co/mcpm3tobfk</v>
      </c>
    </row>
    <row r="6665" spans="1:5" ht="15" customHeight="1" x14ac:dyDescent="0.2">
      <c r="A6665" s="1" t="s">
        <v>13278</v>
      </c>
      <c r="B6665" s="1">
        <v>2</v>
      </c>
      <c r="C6665" s="3">
        <v>44539.791574074072</v>
      </c>
      <c r="D6665" s="1" t="s">
        <v>13279</v>
      </c>
      <c r="E6665" s="1" t="str">
        <f ca="1">IFERROR(__xludf.DUMMYFUNCTION("GOOGLETRANSLATE(A3464 , ""tr"" , ""en"")"),"@drfahrettinkoca he says you are saying Europe is jealous of us while their case is increasing our God is so your own ... https://t.co/dzpd9k1pfk")</f>
        <v>@drfahrettinkoca he says you are saying Europe is jealous of us while their case is increasing our God is so your own ... https://t.co/dzpd9k1pfk</v>
      </c>
    </row>
    <row r="6666" spans="1:5" ht="15" customHeight="1" x14ac:dyDescent="0.2">
      <c r="A6666" s="1" t="s">
        <v>13280</v>
      </c>
      <c r="B6666" s="1">
        <v>2</v>
      </c>
      <c r="C6666" s="3">
        <v>44539.791400462964</v>
      </c>
      <c r="D6666" s="1" t="s">
        <v>13281</v>
      </c>
      <c r="E6666" s="1" t="str">
        <f ca="1">IFERROR(__xludf.DUMMYFUNCTION("GOOGLETRANSLATE(A3465 , ""tr"" , ""en"")"),"See @drfahrettinka Learn State Detry. https://t.co/Iuhmammqp6")</f>
        <v>See @drfahrettinka Learn State Detry. https://t.co/Iuhmammqp6</v>
      </c>
    </row>
    <row r="6667" spans="1:5" ht="15" customHeight="1" x14ac:dyDescent="0.2">
      <c r="A6667" s="1" t="s">
        <v>13282</v>
      </c>
      <c r="B6667" s="1">
        <v>7</v>
      </c>
      <c r="C6667" s="3">
        <v>44539.791365740741</v>
      </c>
      <c r="D6667" s="1" t="s">
        <v>13283</v>
      </c>
      <c r="E6667" s="1" t="str">
        <f ca="1">IFERROR(__xludf.DUMMYFUNCTION("GOOGLETRANSLATE(A3466 , ""tr"" , ""en"")"),"@drfahrettinka vaccine birtek us uses us other countries more grafted caused by us Ceva ... https://t.co/patrf0cnnt")</f>
        <v>@drfahrettinka vaccine birtek us uses us other countries more grafted caused by us Ceva ... https://t.co/patrf0cnnt</v>
      </c>
    </row>
    <row r="6668" spans="1:5" ht="15" customHeight="1" x14ac:dyDescent="0.2">
      <c r="A6668" s="1" t="s">
        <v>13284</v>
      </c>
      <c r="B6668" s="1">
        <v>0</v>
      </c>
      <c r="C6668" s="3">
        <v>44539.791342592594</v>
      </c>
      <c r="D6668" s="1" t="s">
        <v>13285</v>
      </c>
      <c r="E6668" s="1" t="str">
        <f ca="1">IFERROR(__xludf.DUMMYFUNCTION("GOOGLETRANSLATE(A3467 , ""tr"" , ""en"")"),"@drfahrettinkoca Did you get a mask obligation to the blue provinces?")</f>
        <v>@drfahrettinkoca Did you get a mask obligation to the blue provinces?</v>
      </c>
    </row>
    <row r="6669" spans="1:5" ht="15" customHeight="1" x14ac:dyDescent="0.2">
      <c r="A6669" s="1" t="s">
        <v>13286</v>
      </c>
      <c r="B6669" s="1">
        <v>0</v>
      </c>
      <c r="C6669" s="3">
        <v>44539.791296296295</v>
      </c>
      <c r="D6669" s="1" t="s">
        <v>13287</v>
      </c>
      <c r="E6669" s="1" t="str">
        <f ca="1">IFERROR(__xludf.DUMMYFUNCTION("GOOGLETRANSLATE(A3468 , ""tr"" , ""en"")"),"@drfahrettinkoca Health Minister Fahrictin I don't trust husband")</f>
        <v>@drfahrettinkoca Health Minister Fahrictin I don't trust husband</v>
      </c>
    </row>
    <row r="6670" spans="1:5" ht="15" customHeight="1" x14ac:dyDescent="0.2">
      <c r="A6670" s="1" t="s">
        <v>13288</v>
      </c>
      <c r="B6670" s="1">
        <v>2</v>
      </c>
      <c r="C6670" s="3">
        <v>44539.791273148148</v>
      </c>
      <c r="D6670" s="1" t="s">
        <v>13289</v>
      </c>
      <c r="E6670" s="1" t="str">
        <f ca="1">IFERROR(__xludf.DUMMYFUNCTION("GOOGLETRANSLATE(A3469 , ""tr"" , ""en"")"),"@drfahrettinkoca Ministry of Branch + Guide")</f>
        <v>@drfahrettinkoca Ministry of Branch + Guide</v>
      </c>
    </row>
    <row r="6671" spans="1:5" ht="15" customHeight="1" x14ac:dyDescent="0.2">
      <c r="A6671" s="1" t="s">
        <v>13290</v>
      </c>
      <c r="B6671" s="1">
        <v>0</v>
      </c>
      <c r="C6671" s="3">
        <v>44539.791064814817</v>
      </c>
      <c r="D6671" s="1" t="s">
        <v>13291</v>
      </c>
      <c r="E6671" s="1" t="str">
        <f ca="1">IFERROR(__xludf.DUMMYFUNCTION("GOOGLETRANSLATE(A3470 , ""tr"" , ""en"")"),"@drfahrettinkoca Selection Time As we try to learn the number of provinces and try to learn the number, did we deserve them ... https://t.co/o6hmsxx1c5")</f>
        <v>@drfahrettinkoca Selection Time As we try to learn the number of provinces and try to learn the number, did we deserve them ... https://t.co/o6hmsxx1c5</v>
      </c>
    </row>
    <row r="6672" spans="1:5" ht="15" customHeight="1" x14ac:dyDescent="0.2">
      <c r="A6672" s="1" t="s">
        <v>13292</v>
      </c>
      <c r="B6672" s="1">
        <v>0</v>
      </c>
      <c r="C6672" s="3">
        <v>44539.790543981479</v>
      </c>
      <c r="D6672" s="1" t="s">
        <v>13293</v>
      </c>
      <c r="E6672" s="1" t="str">
        <f ca="1">IFERROR(__xludf.DUMMYFUNCTION("GOOGLETRANSLATE(A3471 , ""tr"" , ""en"")"),"@drfahrettinkoca 13 months assignment is not assigned 13 months We have been linger up 13 months You are ignoring us that you are ignoring us the year's joke ... https://t.co/zsftowze3n")</f>
        <v>@drfahrettinkoca 13 months assignment is not assigned 13 months We have been linger up 13 months You are ignoring us that you are ignoring us the year's joke ... https://t.co/zsftowze3n</v>
      </c>
    </row>
    <row r="6673" spans="1:5" ht="15" customHeight="1" x14ac:dyDescent="0.2">
      <c r="A6673" s="1" t="s">
        <v>13294</v>
      </c>
      <c r="B6673" s="1">
        <v>1</v>
      </c>
      <c r="C6673" s="3">
        <v>44539.790358796294</v>
      </c>
      <c r="D6673" s="1" t="s">
        <v>13295</v>
      </c>
      <c r="E6673" s="1" t="str">
        <f ca="1">IFERROR(__xludf.DUMMYFUNCTION("GOOGLETRANSLATE(A3472 , ""tr"" , ""en"")"),"@drfahrettinkoca from the cases lost in America will be affected how to affect Turkey and your assay Baka Baka How to escape ... https://t.co/9dqnlpvgxt")</f>
        <v>@drfahrettinkoca from the cases lost in America will be affected how to affect Turkey and your assay Baka Baka How to escape ... https://t.co/9dqnlpvgxt</v>
      </c>
    </row>
    <row r="6674" spans="1:5" ht="15" customHeight="1" x14ac:dyDescent="0.2">
      <c r="A6674" s="1" t="s">
        <v>13296</v>
      </c>
      <c r="B6674" s="1">
        <v>0</v>
      </c>
      <c r="C6674" s="3">
        <v>44539.790138888886</v>
      </c>
      <c r="D6674" s="1" t="s">
        <v>13297</v>
      </c>
      <c r="E6674" s="1" t="str">
        <f ca="1">IFERROR(__xludf.DUMMYFUNCTION("GOOGLETRANSLATE(A3473 , ""tr"" , ""en"")"),"@drfahrettinkoca Everything in Every Allah's Day Hike in the vaccines (!), which is the immortality potion (!)? Human ... https://t.co/lputwio59y")</f>
        <v>@drfahrettinkoca Everything in Every Allah's Day Hike in the vaccines (!), which is the immortality potion (!)? Human ... https://t.co/lputwio59y</v>
      </c>
    </row>
    <row r="6675" spans="1:5" ht="15" customHeight="1" x14ac:dyDescent="0.2">
      <c r="A6675" s="1" t="s">
        <v>13298</v>
      </c>
      <c r="B6675" s="1">
        <v>0</v>
      </c>
      <c r="C6675" s="3">
        <v>44539.790092592593</v>
      </c>
      <c r="D6675" s="1" t="s">
        <v>13299</v>
      </c>
      <c r="E6675" s="1" t="str">
        <f ca="1">IFERROR(__xludf.DUMMYFUNCTION("GOOGLETRANSLATE(A3474 , ""tr"" , ""en"")"),"@drfahrettinkoca you are the minister of nation, but the months are unable to give an answer to dozens of questions we asked here ... https://t.co/rrqugwsrmo")</f>
        <v>@drfahrettinkoca you are the minister of nation, but the months are unable to give an answer to dozens of questions we asked here ... https://t.co/rrqugwsrmo</v>
      </c>
    </row>
    <row r="6676" spans="1:5" ht="15" customHeight="1" x14ac:dyDescent="0.2">
      <c r="A6676" s="1" t="s">
        <v>13300</v>
      </c>
      <c r="B6676" s="1">
        <v>0</v>
      </c>
      <c r="C6676" s="3">
        <v>44539.789965277778</v>
      </c>
      <c r="D6676" s="1" t="s">
        <v>13301</v>
      </c>
      <c r="E6676" s="1" t="str">
        <f ca="1">IFERROR(__xludf.DUMMYFUNCTION("GOOGLETRANSLATE(A3475 , ""tr"" , ""en"")"),"@drfahrettinkoca Everything You have fixed as Millions such as 5 TL, we don't believe the figures of the figures you don't believe in Melih Hebekli these lists")</f>
        <v>@drfahrettinkoca Everything You have fixed as Millions such as 5 TL, we don't believe the figures of the figures you don't believe in Melih Hebekli these lists</v>
      </c>
    </row>
    <row r="6677" spans="1:5" ht="15" customHeight="1" x14ac:dyDescent="0.2">
      <c r="A6677" s="1" t="s">
        <v>13302</v>
      </c>
      <c r="B6677" s="1">
        <v>7</v>
      </c>
      <c r="C6677" s="3">
        <v>44539.789675925924</v>
      </c>
      <c r="D6677" s="1" t="s">
        <v>13303</v>
      </c>
      <c r="E6677" s="1" t="str">
        <f ca="1">IFERROR(__xludf.DUMMYFUNCTION("GOOGLETRANSLATE(A3476 , ""tr"" , ""en"")"),"@drfahrettinkoca I don't believe in the number of cases 😀😅😁😄")</f>
        <v>@drfahrettinkoca I don't believe in the number of cases 😀😅😁😄</v>
      </c>
    </row>
    <row r="6678" spans="1:5" ht="15" customHeight="1" x14ac:dyDescent="0.2">
      <c r="A6678" s="1" t="s">
        <v>13304</v>
      </c>
      <c r="B6678" s="1">
        <v>4</v>
      </c>
      <c r="C6678" s="3">
        <v>44539.789502314816</v>
      </c>
      <c r="D6678" s="1" t="s">
        <v>13305</v>
      </c>
      <c r="E6678" s="1" t="str">
        <f ca="1">IFERROR(__xludf.DUMMYFUNCTION("GOOGLETRANSLATE(A3477 , ""tr"" , ""en"")"),"@drfahrettinkoca Sayin Minister This reserves protects people Throw these foreigns please")</f>
        <v>@drfahrettinkoca Sayin Minister This reserves protects people Throw these foreigns please</v>
      </c>
    </row>
    <row r="6679" spans="1:5" ht="15" customHeight="1" x14ac:dyDescent="0.2">
      <c r="A6679" s="1" t="s">
        <v>13306</v>
      </c>
      <c r="B6679" s="1">
        <v>0</v>
      </c>
      <c r="C6679" s="3">
        <v>44539.789363425924</v>
      </c>
      <c r="D6679" s="1" t="s">
        <v>13307</v>
      </c>
      <c r="E6679" s="1" t="str">
        <f ca="1">IFERROR(__xludf.DUMMYFUNCTION("GOOGLETRANSLATE(A3478 , ""tr"" , ""en"")"),"@drfahrettinkoca @saglikbakanligi Online Education Don't go to Bari Chronic Disease Don't Go Didn't Go Write @DrFahrettinkoca")</f>
        <v>@drfahrettinkoca @saglikbakanligi Online Education Don't go to Bari Chronic Disease Don't Go Didn't Go Write @DrFahrettinkoca</v>
      </c>
    </row>
    <row r="6680" spans="1:5" ht="15" customHeight="1" x14ac:dyDescent="0.2">
      <c r="A6680" s="1" t="s">
        <v>13308</v>
      </c>
      <c r="B6680" s="1">
        <v>0</v>
      </c>
      <c r="C6680" s="3">
        <v>44539.789351851854</v>
      </c>
      <c r="D6680" s="1" t="s">
        <v>13309</v>
      </c>
      <c r="E6680" s="1" t="str">
        <f ca="1">IFERROR(__xludf.DUMMYFUNCTION("GOOGLETRANSLATE(A3479 , ""tr"" , ""en"")"),"@drfahrettinkoca Here we call him to Mr. Minister, sudden vessels in European countries that don't release everything like us ... https://t.co/ohvhm82gj5")</f>
        <v>@drfahrettinkoca Here we call him to Mr. Minister, sudden vessels in European countries that don't release everything like us ... https://t.co/ohvhm82gj5</v>
      </c>
    </row>
    <row r="6681" spans="1:5" ht="15" customHeight="1" x14ac:dyDescent="0.2">
      <c r="A6681" s="1" t="s">
        <v>13310</v>
      </c>
      <c r="B6681" s="1">
        <v>0</v>
      </c>
      <c r="C6681" s="3">
        <v>44539.7893287037</v>
      </c>
      <c r="D6681" s="1" t="s">
        <v>13311</v>
      </c>
      <c r="E6681" s="1" t="str">
        <f ca="1">IFERROR(__xludf.DUMMYFUNCTION("GOOGLETRANSLATE(A3480 , ""tr"" , ""en"")"),"@drfahrettinkoca was a year but either")</f>
        <v>@drfahrettinkoca was a year but either</v>
      </c>
    </row>
    <row r="6682" spans="1:5" ht="15" customHeight="1" x14ac:dyDescent="0.2">
      <c r="A6682" s="1" t="s">
        <v>13312</v>
      </c>
      <c r="B6682" s="1">
        <v>0</v>
      </c>
      <c r="C6682" s="3">
        <v>44539.789236111108</v>
      </c>
      <c r="D6682" s="1" t="s">
        <v>13313</v>
      </c>
      <c r="E6682" s="1" t="str">
        <f ca="1">IFERROR(__xludf.DUMMYFUNCTION("GOOGLETRANSLATE(A3481 , ""tr"" , ""en"")"),"@drfahrettinkoca manuscript")</f>
        <v>@drfahrettinkoca manuscript</v>
      </c>
    </row>
    <row r="6683" spans="1:5" ht="15" customHeight="1" x14ac:dyDescent="0.2">
      <c r="A6683" s="1" t="s">
        <v>13314</v>
      </c>
      <c r="B6683" s="1">
        <v>10</v>
      </c>
      <c r="C6683" s="3">
        <v>44539.789201388892</v>
      </c>
      <c r="D6683" s="1" t="s">
        <v>13315</v>
      </c>
      <c r="E6683" s="1" t="str">
        <f ca="1">IFERROR(__xludf.DUMMYFUNCTION("GOOGLETRANSLATE(A3482 , ""tr"" , ""en"")"),"@drfahrettinkoca hocam 3 You have said 3 cases, you call the baski 4. This is going to go until you go to the bar.")</f>
        <v>@drfahrettinkoca hocam 3 You have said 3 cases, you call the baski 4. This is going to go until you go to the bar.</v>
      </c>
    </row>
    <row r="6684" spans="1:5" ht="15" customHeight="1" x14ac:dyDescent="0.2">
      <c r="A6684" s="1" t="s">
        <v>13316</v>
      </c>
      <c r="B6684" s="1">
        <v>1</v>
      </c>
      <c r="C6684" s="3">
        <v>44539.789074074077</v>
      </c>
      <c r="D6684" s="1" t="s">
        <v>13317</v>
      </c>
      <c r="E6684" s="1" t="str">
        <f ca="1">IFERROR(__xludf.DUMMYFUNCTION("GOOGLETRANSLATE(A3483 , ""tr"" , ""en"")"),"@drfahrettinkoca is normal so every day 200 people ...")</f>
        <v>@drfahrettinkoca is normal so every day 200 people ...</v>
      </c>
    </row>
    <row r="6685" spans="1:5" ht="15" customHeight="1" x14ac:dyDescent="0.2">
      <c r="A6685" s="1" t="s">
        <v>13318</v>
      </c>
      <c r="B6685" s="1">
        <v>0</v>
      </c>
      <c r="C6685" s="3">
        <v>44539.788865740738</v>
      </c>
      <c r="D6685" s="1" t="s">
        <v>13319</v>
      </c>
      <c r="E6685" s="1" t="str">
        <f ca="1">IFERROR(__xludf.DUMMYFUNCTION("GOOGLETRANSLATE(A3484 , ""tr"" , ""en"")"),"@drfahrettinkoca I think the missing ones are completed in How to Measure for Omicron How to Measure The Country ... HTTPS://T.CO/2SGL8U4E7X")</f>
        <v>@drfahrettinkoca I think the missing ones are completed in How to Measure for Omicron How to Measure The Country ... HTTPS://T.CO/2SGL8U4E7X</v>
      </c>
    </row>
    <row r="6686" spans="1:5" ht="15" customHeight="1" x14ac:dyDescent="0.2">
      <c r="A6686" s="1" t="s">
        <v>13320</v>
      </c>
      <c r="B6686" s="1">
        <v>0</v>
      </c>
      <c r="C6686" s="3">
        <v>44539.788865740738</v>
      </c>
      <c r="D6686" s="1" t="s">
        <v>13321</v>
      </c>
      <c r="E6686" s="1" t="str">
        <f ca="1">IFERROR(__xludf.DUMMYFUNCTION("GOOGLETRANSLATE(A3485 , ""tr"" , ""en"")"),"@drfahrettinka what vaccine is fahrenheit")</f>
        <v>@drfahrettinka what vaccine is fahrenheit</v>
      </c>
    </row>
    <row r="6687" spans="1:5" ht="15" customHeight="1" x14ac:dyDescent="0.2">
      <c r="A6687" s="1" t="s">
        <v>13322</v>
      </c>
      <c r="B6687" s="1">
        <v>0</v>
      </c>
      <c r="C6687" s="3">
        <v>44539.788819444446</v>
      </c>
      <c r="D6687" s="1" t="s">
        <v>13323</v>
      </c>
      <c r="E6687" s="1" t="str">
        <f ca="1">IFERROR(__xludf.DUMMYFUNCTION("GOOGLETRANSLATE(A3486 , ""tr"" , ""en"")"),"@drfahrettinkoca you just said why don't you give us a month")</f>
        <v>@drfahrettinkoca you just said why don't you give us a month</v>
      </c>
    </row>
    <row r="6688" spans="1:5" ht="15" customHeight="1" x14ac:dyDescent="0.2">
      <c r="A6688" s="1" t="s">
        <v>13324</v>
      </c>
      <c r="B6688" s="1">
        <v>12</v>
      </c>
      <c r="C6688" s="3">
        <v>44539.788738425923</v>
      </c>
      <c r="D6688" s="1" t="s">
        <v>13325</v>
      </c>
      <c r="E6688" s="1" t="str">
        <f ca="1">IFERROR(__xludf.DUMMYFUNCTION("GOOGLETRANSLATE(A3487 , ""tr"" , ""en"")"),"@drfahrettinka We want online education Show real cases #kabineomicrongelmedonline")</f>
        <v>@drfahrettinka We want online education Show real cases #kabineomicrongelmedonline</v>
      </c>
    </row>
    <row r="6689" spans="1:5" ht="15" customHeight="1" x14ac:dyDescent="0.2">
      <c r="A6689" s="1" t="s">
        <v>13326</v>
      </c>
      <c r="B6689" s="1">
        <v>0</v>
      </c>
      <c r="C6689" s="3">
        <v>44539.78869212963</v>
      </c>
      <c r="D6689" s="1" t="s">
        <v>13327</v>
      </c>
      <c r="E6689" s="1" t="str">
        <f ca="1">IFERROR(__xludf.DUMMYFUNCTION("GOOGLETRANSLATE(A3488 , ""tr"" , ""en"")"),"@drfahrettinkoca Geeeldi Third DOOOOOZ HAANIIIM. HAANIIIMM arrived at the yetiii. Above Vaccination in Turkey ... https://t.co/v6qfvsaqkp")</f>
        <v>@drfahrettinkoca Geeeldi Third DOOOOOZ HAANIIIM. HAANIIIMM arrived at the yetiii. Above Vaccination in Turkey ... https://t.co/v6qfvsaqkp</v>
      </c>
    </row>
    <row r="6690" spans="1:5" ht="15" customHeight="1" x14ac:dyDescent="0.2">
      <c r="A6690" s="1" t="s">
        <v>13328</v>
      </c>
      <c r="B6690" s="1">
        <v>11</v>
      </c>
      <c r="C6690" s="3">
        <v>44539.788645833331</v>
      </c>
      <c r="D6690" s="1" t="s">
        <v>13329</v>
      </c>
      <c r="E6690" s="1" t="str">
        <f ca="1">IFERROR(__xludf.DUMMYFUNCTION("GOOGLETRANSLATE(A3489 , ""tr"" , ""en"")"),"@drfahrettinkoca Kendinzin even the fact that it does not believe that it is to share it, but we have forgotten that we have something to this table ... https://t.co/2wzpgxyqyx")</f>
        <v>@drfahrettinkoca Kendinzin even the fact that it does not believe that it is to share it, but we have forgotten that we have something to this table ... https://t.co/2wzpgxyqyx</v>
      </c>
    </row>
    <row r="6691" spans="1:5" ht="15" customHeight="1" x14ac:dyDescent="0.2">
      <c r="A6691" s="1" t="s">
        <v>13330</v>
      </c>
      <c r="B6691" s="1">
        <v>4</v>
      </c>
      <c r="C6691" s="3">
        <v>44539.788391203707</v>
      </c>
      <c r="D6691" s="1" t="s">
        <v>13331</v>
      </c>
      <c r="E6691" s="1" t="str">
        <f ca="1">IFERROR(__xludf.DUMMYFUNCTION("GOOGLETRANSLATE(A3490 , ""tr"" , ""en"")"),"@drfahrettinkoca # fkocayakilavuzyaistifa https://t.co/judzo7p4qx")</f>
        <v>@drfahrettinkoca # fkocayakilavuzyaistifa https://t.co/judzo7p4qx</v>
      </c>
    </row>
    <row r="6692" spans="1:5" ht="15" customHeight="1" x14ac:dyDescent="0.2">
      <c r="A6692" s="1" t="s">
        <v>13332</v>
      </c>
      <c r="B6692" s="1">
        <v>0</v>
      </c>
      <c r="C6692" s="3">
        <v>44539.788310185184</v>
      </c>
      <c r="D6692" s="1" t="s">
        <v>13333</v>
      </c>
      <c r="E6692" s="1" t="str">
        <f ca="1">IFERROR(__xludf.DUMMYFUNCTION("GOOGLETRANSLATE(A3491 , ""tr"" , ""en"")"),"@drfahrettinka you don't go to the bus that is non-vaccination, you're going to the MVM. Otherwise vaccination remains the way.")</f>
        <v>@drfahrettinka you don't go to the bus that is non-vaccination, you're going to the MVM. Otherwise vaccination remains the way.</v>
      </c>
    </row>
    <row r="6693" spans="1:5" ht="15" customHeight="1" x14ac:dyDescent="0.2">
      <c r="A6693" s="1" t="s">
        <v>13334</v>
      </c>
      <c r="B6693" s="1">
        <v>1</v>
      </c>
      <c r="C6693" s="3">
        <v>44539.788113425922</v>
      </c>
      <c r="D6693" s="1" t="s">
        <v>13335</v>
      </c>
      <c r="E6693" s="1" t="str">
        <f ca="1">IFERROR(__xludf.DUMMYFUNCTION("GOOGLETRANSLATE(A3492 , ""tr"" , ""en"")"),"@drfahrettinkoca Right hand Sun, if you give the Moon to our left hand, we won't be a though.")</f>
        <v>@drfahrettinkoca Right hand Sun, if you give the Moon to our left hand, we won't be a though.</v>
      </c>
    </row>
    <row r="6694" spans="1:5" ht="15" customHeight="1" x14ac:dyDescent="0.2">
      <c r="A6694" s="1" t="s">
        <v>13336</v>
      </c>
      <c r="B6694" s="1">
        <v>5</v>
      </c>
      <c r="C6694" s="3">
        <v>44539.788101851853</v>
      </c>
      <c r="D6694" s="1" t="s">
        <v>13337</v>
      </c>
      <c r="E6694" s="1" t="str">
        <f ca="1">IFERROR(__xludf.DUMMYFUNCTION("GOOGLETRANSLATE(A3493 , ""tr"" , ""en"")"),"@drfahrettinkoca Pass you Go Flowers Schools Online Training We know that these numbers are more of these numbers ... https://t.co/goei17suk2")</f>
        <v>@drfahrettinkoca Pass you Go Flowers Schools Online Training We know that these numbers are more of these numbers ... https://t.co/goei17suk2</v>
      </c>
    </row>
    <row r="6695" spans="1:5" ht="15" customHeight="1" x14ac:dyDescent="0.2">
      <c r="A6695" s="1" t="s">
        <v>13338</v>
      </c>
      <c r="B6695" s="1">
        <v>0</v>
      </c>
      <c r="C6695" s="3">
        <v>44539.78806712963</v>
      </c>
      <c r="D6695" s="1" t="s">
        <v>13339</v>
      </c>
      <c r="E6695" s="1" t="str">
        <f ca="1">IFERROR(__xludf.DUMMYFUNCTION("GOOGLETRANSLATE(A3494 , ""tr"" , ""en"")"),"@drfahrettinkoca guide we want to star")</f>
        <v>@drfahrettinkoca guide we want to star</v>
      </c>
    </row>
    <row r="6696" spans="1:5" ht="15" customHeight="1" x14ac:dyDescent="0.2">
      <c r="A6696" s="1" t="s">
        <v>13340</v>
      </c>
      <c r="B6696" s="1">
        <v>0</v>
      </c>
      <c r="C6696" s="3">
        <v>44539.788043981483</v>
      </c>
      <c r="D6696" s="1" t="s">
        <v>13341</v>
      </c>
      <c r="E6696" s="1" t="str">
        <f ca="1">IFERROR(__xludf.DUMMYFUNCTION("GOOGLETRANSLATE(A3495 , ""tr"" , ""en"")"),"@drfahrettinka weekend 15 thousand we see anymore with auspicious i hope 😂")</f>
        <v>@drfahrettinka weekend 15 thousand we see anymore with auspicious i hope 😂</v>
      </c>
    </row>
    <row r="6697" spans="1:5" ht="15" customHeight="1" x14ac:dyDescent="0.2">
      <c r="A6697" s="1" t="s">
        <v>13342</v>
      </c>
      <c r="B6697" s="1">
        <v>28</v>
      </c>
      <c r="C6697" s="3">
        <v>44539.788032407407</v>
      </c>
      <c r="D6697" s="1" t="s">
        <v>13343</v>
      </c>
      <c r="E6697" s="1" t="str">
        <f ca="1">IFERROR(__xludf.DUMMYFUNCTION("GOOGLETRANSLATE(A3496 , ""tr"" , ""en"")"),"@drfahrettinkoca Which measure is not taken in schools? #kabineomicrongelism")</f>
        <v>@drfahrettinkoca Which measure is not taken in schools? #kabineomicrongelism</v>
      </c>
    </row>
    <row r="6698" spans="1:5" ht="15" customHeight="1" x14ac:dyDescent="0.2">
      <c r="A6698" s="1" t="s">
        <v>13344</v>
      </c>
      <c r="B6698" s="1">
        <v>0</v>
      </c>
      <c r="C6698" s="3">
        <v>44539.787974537037</v>
      </c>
      <c r="D6698" s="1" t="s">
        <v>13345</v>
      </c>
      <c r="E6698" s="1" t="str">
        <f ca="1">IFERROR(__xludf.DUMMYFUNCTION("GOOGLETRANSLATE(A3497 , ""tr"" , ""en"")"),"@drfahrettinkoca assignment that is not killing credits @drfahrettinkoca")</f>
        <v>@drfahrettinkoca assignment that is not killing credits @drfahrettinkoca</v>
      </c>
    </row>
    <row r="6699" spans="1:5" ht="15" customHeight="1" x14ac:dyDescent="0.2">
      <c r="A6699" s="1" t="s">
        <v>13346</v>
      </c>
      <c r="B6699" s="1">
        <v>0</v>
      </c>
      <c r="C6699" s="3">
        <v>44539.787743055553</v>
      </c>
      <c r="D6699" s="1" t="s">
        <v>13347</v>
      </c>
      <c r="E6699" s="1" t="str">
        <f ca="1">IFERROR(__xludf.DUMMYFUNCTION("GOOGLETRANSLATE(A3498 , ""tr"" , ""en"")"),"@drfahrettinkoca We do not want a clear date, we request to publish the guide immediately Mr @drfahrettinkoca @gozdekirisciogl")</f>
        <v>@drfahrettinkoca We do not want a clear date, we request to publish the guide immediately Mr @drfahrettinkoca @gozdekirisciogl</v>
      </c>
    </row>
    <row r="6700" spans="1:5" ht="15" customHeight="1" x14ac:dyDescent="0.2">
      <c r="A6700" s="1" t="s">
        <v>13348</v>
      </c>
      <c r="B6700" s="1">
        <v>0</v>
      </c>
      <c r="C6700" s="3">
        <v>44539.787476851852</v>
      </c>
      <c r="D6700" s="1" t="s">
        <v>13349</v>
      </c>
      <c r="E6700" s="1" t="str">
        <f ca="1">IFERROR(__xludf.DUMMYFUNCTION("GOOGLETRANSLATE(A3499 , ""tr"" , ""en"")"),"@drfahrettinkoca guide now")</f>
        <v>@drfahrettinkoca guide now</v>
      </c>
    </row>
    <row r="6701" spans="1:5" ht="15" customHeight="1" x14ac:dyDescent="0.2">
      <c r="A6701" s="1" t="s">
        <v>13350</v>
      </c>
      <c r="B6701" s="1">
        <v>11</v>
      </c>
      <c r="C6701" s="3">
        <v>44539.787361111114</v>
      </c>
      <c r="D6701" s="1" t="s">
        <v>13351</v>
      </c>
      <c r="E6701" s="1" t="str">
        <f ca="1">IFERROR(__xludf.DUMMYFUNCTION("GOOGLETRANSLATE(A3500 , ""tr"" , ""en"")"),"@drfahrettinkoca 13 months The people you are not explained will never forget these days.")</f>
        <v>@drfahrettinkoca 13 months The people you are not explained will never forget these days.</v>
      </c>
    </row>
    <row r="6702" spans="1:5" ht="15" customHeight="1" x14ac:dyDescent="0.2">
      <c r="A6702" s="1" t="s">
        <v>13352</v>
      </c>
      <c r="B6702" s="1">
        <v>0</v>
      </c>
      <c r="C6702" s="3">
        <v>44539.787280092591</v>
      </c>
      <c r="D6702" s="1" t="s">
        <v>13353</v>
      </c>
      <c r="E6702" s="1" t="str">
        <f ca="1">IFERROR(__xludf.DUMMYFUNCTION("GOOGLETRANSLATE(A3501 , ""tr"" , ""en"")"),"@drfahrettinkoca you must remove HEPP completely. Life does not fit home, we won't fit in fit people, robot ... https://t.co/PFYDWQPRIU")</f>
        <v>@drfahrettinkoca you must remove HEPP completely. Life does not fit home, we won't fit in fit people, robot ... https://t.co/PFYDWQPRIU</v>
      </c>
    </row>
    <row r="6703" spans="1:5" ht="15" customHeight="1" x14ac:dyDescent="0.2">
      <c r="A6703" s="1" t="s">
        <v>13354</v>
      </c>
      <c r="B6703" s="1">
        <v>6</v>
      </c>
      <c r="C6703" s="3">
        <v>44539.787152777775</v>
      </c>
      <c r="D6703" s="1" t="s">
        <v>13355</v>
      </c>
      <c r="E6703" s="1" t="str">
        <f ca="1">IFERROR(__xludf.DUMMYFUNCTION("GOOGLETRANSLATE(A3502 , ""tr"" , ""en"")"),"@drfahrettinkoca I have never had vaccinated. I advise.")</f>
        <v>@drfahrettinkoca I have never had vaccinated. I advise.</v>
      </c>
    </row>
    <row r="6704" spans="1:5" ht="15" customHeight="1" x14ac:dyDescent="0.2">
      <c r="A6704" s="1" t="s">
        <v>13356</v>
      </c>
      <c r="B6704" s="1">
        <v>0</v>
      </c>
      <c r="C6704" s="3">
        <v>44539.787083333336</v>
      </c>
      <c r="D6704" s="1" t="s">
        <v>13357</v>
      </c>
      <c r="E6704" s="1" t="str">
        <f ca="1">IFERROR(__xludf.DUMMYFUNCTION("GOOGLETRANSLATE(A3503 , ""tr"" , ""en"")"),"@drfahrettinkoca is the pointless mask that causes discussions among people as no work ... HTTPS://T.CO/HINI0GZXLG")</f>
        <v>@drfahrettinkoca is the pointless mask that causes discussions among people as no work ... HTTPS://T.CO/HINI0GZXLG</v>
      </c>
    </row>
    <row r="6705" spans="1:5" ht="15" customHeight="1" x14ac:dyDescent="0.2">
      <c r="A6705" s="1" t="s">
        <v>13358</v>
      </c>
      <c r="B6705" s="1">
        <v>0</v>
      </c>
      <c r="C6705" s="3">
        <v>44539.78707175926</v>
      </c>
      <c r="D6705" s="1" t="s">
        <v>13359</v>
      </c>
      <c r="E6705" s="1" t="str">
        <f ca="1">IFERROR(__xludf.DUMMYFUNCTION("GOOGLETRANSLATE(A3504 , ""tr"" , ""en"")"),"@drfahrettinkoca Of course this table has large labor in this table Hold the same numbers in the same numbers big dedication 👏👏🏻👏👏🏻👏👏👏")</f>
        <v>@drfahrettinkoca Of course this table has large labor in this table Hold the same numbers in the same numbers big dedication 👏👏🏻👏👏🏻👏👏👏</v>
      </c>
    </row>
    <row r="6706" spans="1:5" ht="15" customHeight="1" x14ac:dyDescent="0.2">
      <c r="A6706" s="1" t="s">
        <v>13360</v>
      </c>
      <c r="B6706" s="1">
        <v>0</v>
      </c>
      <c r="C6706" s="3">
        <v>44539.786886574075</v>
      </c>
      <c r="D6706" s="1" t="s">
        <v>13361</v>
      </c>
      <c r="E6706" s="1" t="str">
        <f ca="1">IFERROR(__xludf.DUMMYFUNCTION("GOOGLETRANSLATE(A3505 , ""tr"" , ""en"")"),"@drfahrettinkoca that experimental liquid i never take this twti on me because I have never been")</f>
        <v>@drfahrettinkoca that experimental liquid i never take this twti on me because I have never been</v>
      </c>
    </row>
    <row r="6707" spans="1:5" ht="15" customHeight="1" x14ac:dyDescent="0.2">
      <c r="A6707" s="1" t="s">
        <v>13362</v>
      </c>
      <c r="B6707" s="1">
        <v>0</v>
      </c>
      <c r="C6707" s="3">
        <v>44539.786805555559</v>
      </c>
      <c r="D6707" s="1" t="s">
        <v>13363</v>
      </c>
      <c r="E6707" s="1" t="str">
        <f ca="1">IFERROR(__xludf.DUMMYFUNCTION("GOOGLETRANSLATE(A3506 , ""tr"" , ""en"")"),"@drfahrettinkoca you came so far to prolonged my minister today has been full 32 days guide still don't have")</f>
        <v>@drfahrettinkoca you came so far to prolonged my minister today has been full 32 days guide still don't have</v>
      </c>
    </row>
    <row r="6708" spans="1:5" ht="15" customHeight="1" x14ac:dyDescent="0.2">
      <c r="A6708" s="1" t="s">
        <v>13364</v>
      </c>
      <c r="B6708" s="1">
        <v>33</v>
      </c>
      <c r="C6708" s="3">
        <v>44539.786793981482</v>
      </c>
      <c r="D6708" s="1" t="s">
        <v>13365</v>
      </c>
      <c r="E6708" s="1" t="str">
        <f ca="1">IFERROR(__xludf.DUMMYFUNCTION("GOOGLETRANSLATE(A3507 , ""tr"" , ""en"")"),"@drfahrettinkoca illaki Bulk Vefat or a bulk event When you say the Omicron variant you are not first Cor ... https://t.co/jrrvrgjewz")</f>
        <v>@drfahrettinkoca illaki Bulk Vefat or a bulk event When you say the Omicron variant you are not first Cor ... https://t.co/jrrvrgjewz</v>
      </c>
    </row>
    <row r="6709" spans="1:5" ht="15" customHeight="1" x14ac:dyDescent="0.2">
      <c r="A6709" s="1" t="s">
        <v>13366</v>
      </c>
      <c r="B6709" s="1">
        <v>10</v>
      </c>
      <c r="C6709" s="3">
        <v>44539.786736111113</v>
      </c>
      <c r="D6709" s="1" t="s">
        <v>13367</v>
      </c>
      <c r="E6709" s="1" t="str">
        <f ca="1">IFERROR(__xludf.DUMMYFUNCTION("GOOGLETRANSLATE(A3508 , ""tr"" , ""en"")"),"@drfahrettinkoca kids are 5 11 years of age ??? Why not open your mouth knives in this regard families are waiting for vaccine !! ... https://t.co/h8xrh9USIA")</f>
        <v>@drfahrettinkoca kids are 5 11 years of age ??? Why not open your mouth knives in this regard families are waiting for vaccine !! ... https://t.co/h8xrh9USIA</v>
      </c>
    </row>
    <row r="6710" spans="1:5" ht="15" customHeight="1" x14ac:dyDescent="0.2">
      <c r="A6710" s="1" t="s">
        <v>13368</v>
      </c>
      <c r="B6710" s="1">
        <v>13</v>
      </c>
      <c r="C6710" s="3">
        <v>44539.786689814813</v>
      </c>
      <c r="D6710" s="1" t="s">
        <v>13369</v>
      </c>
      <c r="E6710" s="1" t="str">
        <f ca="1">IFERROR(__xludf.DUMMYFUNCTION("GOOGLETRANSLATE(A3509 , ""tr"" , ""en"")"),"@drfahrettinkoca Mr. Husband, you have to share the table where you don't believe in yourselves but we have something that we have forgotten ... https://t.co/f6syatabn9")</f>
        <v>@drfahrettinkoca Mr. Husband, you have to share the table where you don't believe in yourselves but we have something that we have forgotten ... https://t.co/f6syatabn9</v>
      </c>
    </row>
    <row r="6711" spans="1:5" ht="15" customHeight="1" x14ac:dyDescent="0.2">
      <c r="A6711" s="1" t="s">
        <v>13370</v>
      </c>
      <c r="B6711" s="1">
        <v>0</v>
      </c>
      <c r="C6711" s="3">
        <v>44539.786678240744</v>
      </c>
      <c r="D6711" s="1" t="s">
        <v>13371</v>
      </c>
      <c r="E6711" s="1" t="str">
        <f ca="1">IFERROR(__xludf.DUMMYFUNCTION("GOOGLETRANSLATE(A3510 , ""tr"" , ""en"")"),"@drfahrettinkoca who didn't know who you are missing you are not able to remind the two dose vaccines before you said ... https://t.co/bzngh4adqd")</f>
        <v>@drfahrettinkoca who didn't know who you are missing you are not able to remind the two dose vaccines before you said ... https://t.co/bzngh4adqd</v>
      </c>
    </row>
    <row r="6712" spans="1:5" ht="15" customHeight="1" x14ac:dyDescent="0.2">
      <c r="A6712" s="1" t="s">
        <v>13372</v>
      </c>
      <c r="B6712" s="1">
        <v>1</v>
      </c>
      <c r="C6712" s="3">
        <v>44539.786550925928</v>
      </c>
      <c r="D6712" s="1" t="s">
        <v>13373</v>
      </c>
      <c r="E6712" s="1" t="str">
        <f ca="1">IFERROR(__xludf.DUMMYFUNCTION("GOOGLETRANSLATE(A3511 , ""tr"" , ""en"")"),"@drfahrettinkoca Why don't you do your fourth dose Ulen Don't lift the outbreak of the outbreak 😂😂😂😂😂😂😂")</f>
        <v>@drfahrettinkoca Why don't you do your fourth dose Ulen Don't lift the outbreak of the outbreak 😂😂😂😂😂😂😂</v>
      </c>
    </row>
    <row r="6713" spans="1:5" ht="15" customHeight="1" x14ac:dyDescent="0.2">
      <c r="A6713" s="1" t="s">
        <v>13374</v>
      </c>
      <c r="B6713" s="1">
        <v>7</v>
      </c>
      <c r="C6713" s="3">
        <v>44539.786469907405</v>
      </c>
      <c r="D6713" s="1" t="s">
        <v>13375</v>
      </c>
      <c r="E6713" s="1" t="str">
        <f ca="1">IFERROR(__xludf.DUMMYFUNCTION("GOOGLETRANSLATE(A3512 , ""tr"" , ""en"")"),"If the number of @drfahrettinkoca tests increases, the number of cases increases the same number of tests in the last 6 weeks. The number of tests should increase")</f>
        <v>If the number of @drfahrettinkoca tests increases, the number of cases increases the same number of tests in the last 6 weeks. The number of tests should increase</v>
      </c>
    </row>
    <row r="6714" spans="1:5" ht="15" customHeight="1" x14ac:dyDescent="0.2">
      <c r="A6714" s="1" t="s">
        <v>13376</v>
      </c>
      <c r="B6714" s="1">
        <v>61</v>
      </c>
      <c r="C6714" s="3">
        <v>44539.786458333336</v>
      </c>
      <c r="D6714" s="1" t="s">
        <v>13377</v>
      </c>
      <c r="E6714" s="1" t="str">
        <f ca="1">IFERROR(__xludf.DUMMYFUNCTION("GOOGLETRANSLATE(A3513 , ""tr"" , ""en"")"),"@drfahrettinkoca O increases have been seen in our country, but you don't have to discourage that they are honest with the peoples ... https://t.co/xxikhslwyg")</f>
        <v>@drfahrettinkoca O increases have been seen in our country, but you don't have to discourage that they are honest with the peoples ... https://t.co/xxikhslwyg</v>
      </c>
    </row>
    <row r="6715" spans="1:5" ht="15" customHeight="1" x14ac:dyDescent="0.2">
      <c r="A6715" s="1" t="s">
        <v>13378</v>
      </c>
      <c r="B6715" s="1">
        <v>15</v>
      </c>
      <c r="C6715" s="3">
        <v>44539.786446759259</v>
      </c>
      <c r="D6715" s="1" t="s">
        <v>13379</v>
      </c>
      <c r="E6715" s="1" t="str">
        <f ca="1">IFERROR(__xludf.DUMMYFUNCTION("GOOGLETRANSLATE(A3514 , ""tr"" , ""en"")"),"@drfahrettinkoca Science Board Member Necmi Ünal, if there are 50 million double dose vaccination on July 11, 1000 of the cases of cases ... https://t.co/h3hwldizjl")</f>
        <v>@drfahrettinkoca Science Board Member Necmi Ünal, if there are 50 million double dose vaccination on July 11, 1000 of the cases of cases ... https://t.co/h3hwldizjl</v>
      </c>
    </row>
    <row r="6716" spans="1:5" ht="15" customHeight="1" x14ac:dyDescent="0.2">
      <c r="A6716" s="1" t="s">
        <v>13380</v>
      </c>
      <c r="B6716" s="1">
        <v>2</v>
      </c>
      <c r="C6716" s="3">
        <v>44539.786192129628</v>
      </c>
      <c r="D6716" s="1" t="s">
        <v>13381</v>
      </c>
      <c r="E6716" s="1" t="str">
        <f ca="1">IFERROR(__xludf.DUMMYFUNCTION("GOOGLETRANSLATE(A3515 , ""tr"" , ""en"")"),"@drfahrettinkoca Health Minister You are your Mr. Minister We will be able to get information from the course we are asking you 13 A ... https://t.co/arkmoxj6xa")</f>
        <v>@drfahrettinkoca Health Minister You are your Mr. Minister We will be able to get information from the course we are asking you 13 A ... https://t.co/arkmoxj6xa</v>
      </c>
    </row>
    <row r="6717" spans="1:5" ht="15" customHeight="1" x14ac:dyDescent="0.2">
      <c r="A6717" s="1" t="s">
        <v>13382</v>
      </c>
      <c r="B6717" s="1">
        <v>0</v>
      </c>
      <c r="C6717" s="3">
        <v>44539.785879629628</v>
      </c>
      <c r="D6717" s="1" t="s">
        <v>13383</v>
      </c>
      <c r="E6717" s="1" t="str">
        <f ca="1">IFERROR(__xludf.DUMMYFUNCTION("GOOGLETRANSLATE(A3516 , ""tr"" , ""en"")"),"@drfahrettinkoca Mr. Minister The night differences of employees in these state hospitals are taken to the 3lu shift system ... https://t.co/epiqpl7yvm")</f>
        <v>@drfahrettinkoca Mr. Minister The night differences of employees in these state hospitals are taken to the 3lu shift system ... https://t.co/epiqpl7yvm</v>
      </c>
    </row>
    <row r="6718" spans="1:5" ht="15" customHeight="1" x14ac:dyDescent="0.2">
      <c r="A6718" s="1" t="s">
        <v>13384</v>
      </c>
      <c r="B6718" s="1">
        <v>0</v>
      </c>
      <c r="C6718" s="3">
        <v>44539.785381944443</v>
      </c>
      <c r="D6718" s="1" t="s">
        <v>13385</v>
      </c>
      <c r="E6718" s="1" t="str">
        <f ca="1">IFERROR(__xludf.DUMMYFUNCTION("GOOGLETRANSLATE(A3517 , ""tr"" , ""en"")"),"@drfahrettinkoca hear us please please come guide now")</f>
        <v>@drfahrettinkoca hear us please please come guide now</v>
      </c>
    </row>
    <row r="6719" spans="1:5" ht="15" customHeight="1" x14ac:dyDescent="0.2">
      <c r="A6719" s="1" t="s">
        <v>13386</v>
      </c>
      <c r="B6719" s="1">
        <v>31</v>
      </c>
      <c r="C6719" s="3">
        <v>44539.78533564815</v>
      </c>
      <c r="D6719" s="1" t="s">
        <v>13387</v>
      </c>
      <c r="E6719" s="1" t="str">
        <f ca="1">IFERROR(__xludf.DUMMYFUNCTION("GOOGLETRANSLATE(A3518 , ""tr"" , ""en"")"),"@drfahrettinkoca Doesn't this virus get infected by breathing? Between the rows where there are no ventilation available ... https://t.co/4kphailogv")</f>
        <v>@drfahrettinkoca Doesn't this virus get infected by breathing? Between the rows where there are no ventilation available ... https://t.co/4kphailogv</v>
      </c>
    </row>
    <row r="6720" spans="1:5" ht="15" customHeight="1" x14ac:dyDescent="0.2">
      <c r="A6720" s="1" t="s">
        <v>13388</v>
      </c>
      <c r="B6720" s="1">
        <v>0</v>
      </c>
      <c r="C6720" s="3">
        <v>44539.785162037035</v>
      </c>
      <c r="D6720" s="1" t="s">
        <v>13389</v>
      </c>
      <c r="E6720" s="1" t="str">
        <f ca="1">IFERROR(__xludf.DUMMYFUNCTION("GOOGLETRANSLATE(A3519 , ""tr"" , ""en"")"),"@drfahrettinkoca we want the guide that is not a great deal")</f>
        <v>@drfahrettinkoca we want the guide that is not a great deal</v>
      </c>
    </row>
    <row r="6721" spans="1:5" ht="15" customHeight="1" x14ac:dyDescent="0.2">
      <c r="A6721" s="1" t="s">
        <v>13390</v>
      </c>
      <c r="B6721" s="1">
        <v>0</v>
      </c>
      <c r="C6721" s="3">
        <v>44539.784988425927</v>
      </c>
      <c r="D6721" s="1" t="s">
        <v>13391</v>
      </c>
      <c r="E6721" s="1" t="str">
        <f ca="1">IFERROR(__xludf.DUMMYFUNCTION("GOOGLETRANSLATE(A3520 , ""tr"" , ""en"")"),"@drfahrettinkoca please post us guide")</f>
        <v>@drfahrettinkoca please post us guide</v>
      </c>
    </row>
    <row r="6722" spans="1:5" ht="15" customHeight="1" x14ac:dyDescent="0.2">
      <c r="A6722" s="1" t="s">
        <v>13392</v>
      </c>
      <c r="B6722" s="1">
        <v>0</v>
      </c>
      <c r="C6722" s="3">
        <v>44539.784918981481</v>
      </c>
      <c r="D6722" s="1" t="s">
        <v>13393</v>
      </c>
      <c r="E6722" s="1" t="str">
        <f ca="1">IFERROR(__xludf.DUMMYFUNCTION("GOOGLETRANSLATE(A3521 , ""tr"" , ""en"")"),"@drfahrettinkoca Started again Bi to throw Twit Do not share our assignment")</f>
        <v>@drfahrettinkoca Started again Bi to throw Twit Do not share our assignment</v>
      </c>
    </row>
    <row r="6723" spans="1:5" ht="15" customHeight="1" x14ac:dyDescent="0.2">
      <c r="A6723" s="1" t="s">
        <v>13394</v>
      </c>
      <c r="B6723" s="1">
        <v>0</v>
      </c>
      <c r="C6723" s="3">
        <v>44539.784895833334</v>
      </c>
      <c r="D6723" s="1" t="s">
        <v>13395</v>
      </c>
      <c r="E6723" s="1" t="str">
        <f ca="1">IFERROR(__xludf.DUMMYFUNCTION("GOOGLETRANSLATE(A3522 , ""tr"" , ""en"")"),"@drfahrettinkoca okay my minister now let's talk the facts")</f>
        <v>@drfahrettinkoca okay my minister now let's talk the facts</v>
      </c>
    </row>
    <row r="6724" spans="1:5" ht="15" customHeight="1" x14ac:dyDescent="0.2">
      <c r="A6724" s="1" t="s">
        <v>13396</v>
      </c>
      <c r="B6724" s="1">
        <v>0</v>
      </c>
      <c r="C6724" s="3">
        <v>44539.784675925926</v>
      </c>
      <c r="D6724" s="1" t="s">
        <v>13397</v>
      </c>
      <c r="E6724" s="1" t="str">
        <f ca="1">IFERROR(__xludf.DUMMYFUNCTION("GOOGLETRANSLATE(A3523 , ""tr"" , ""en"")"),"@drfahrettinkoca We don't want to linger to wait! We want the guide")</f>
        <v>@drfahrettinkoca We don't want to linger to wait! We want the guide</v>
      </c>
    </row>
    <row r="6725" spans="1:5" ht="15" customHeight="1" x14ac:dyDescent="0.2">
      <c r="A6725" s="1" t="s">
        <v>13398</v>
      </c>
      <c r="B6725" s="1">
        <v>0</v>
      </c>
      <c r="C6725" s="3">
        <v>44539.784675925926</v>
      </c>
      <c r="D6725" s="1" t="s">
        <v>13399</v>
      </c>
      <c r="E6725" s="1" t="str">
        <f ca="1">IFERROR(__xludf.DUMMYFUNCTION("GOOGLETRANSLATE(A3524 , ""tr"" , ""en"")"),"@drfahrettinkoca either drop lie is no longer tired of lying")</f>
        <v>@drfahrettinkoca either drop lie is no longer tired of lying</v>
      </c>
    </row>
    <row r="6726" spans="1:5" ht="15" customHeight="1" x14ac:dyDescent="0.2">
      <c r="A6726" s="1" t="s">
        <v>13400</v>
      </c>
      <c r="B6726" s="1">
        <v>0</v>
      </c>
      <c r="C6726" s="3">
        <v>44539.784618055557</v>
      </c>
      <c r="D6726" s="1" t="s">
        <v>13401</v>
      </c>
      <c r="E6726" s="1" t="str">
        <f ca="1">IFERROR(__xludf.DUMMYFUNCTION("GOOGLETRANSLATE(A3525 , ""tr"" , ""en"")"),"@drfahrettinkoca vaccination speed decreases as more stable as though")</f>
        <v>@drfahrettinkoca vaccination speed decreases as more stable as though</v>
      </c>
    </row>
    <row r="6727" spans="1:5" ht="15" customHeight="1" x14ac:dyDescent="0.2">
      <c r="A6727" s="1" t="s">
        <v>13402</v>
      </c>
      <c r="B6727" s="1">
        <v>0</v>
      </c>
      <c r="C6727" s="3">
        <v>44539.784490740742</v>
      </c>
      <c r="D6727" s="1" t="s">
        <v>13403</v>
      </c>
      <c r="E6727" s="1" t="str">
        <f ca="1">IFERROR(__xludf.DUMMYFUNCTION("GOOGLETRANSLATE(A3526 , ""tr"" , ""en"")"),"@drfahrettinkoca We want guide")</f>
        <v>@drfahrettinkoca We want guide</v>
      </c>
    </row>
    <row r="6728" spans="1:5" ht="15" customHeight="1" x14ac:dyDescent="0.2">
      <c r="A6728" s="1" t="s">
        <v>13404</v>
      </c>
      <c r="B6728" s="1">
        <v>30</v>
      </c>
      <c r="C6728" s="3">
        <v>44539.784444444442</v>
      </c>
      <c r="D6728" s="1" t="s">
        <v>13405</v>
      </c>
      <c r="E6728" s="1" t="str">
        <f ca="1">IFERROR(__xludf.DUMMYFUNCTION("GOOGLETRANSLATE(A3527 , ""tr"" , ""en"")"),"@drfahrettinkoca has no precautions, as if the epidemic is over the virus dont reset the passages, as if you have never been absolutely ... https://t.co/pugul8wwgg")</f>
        <v>@drfahrettinkoca has no precautions, as if the epidemic is over the virus dont reset the passages, as if you have never been absolutely ... https://t.co/pugul8wwgg</v>
      </c>
    </row>
    <row r="6729" spans="1:5" ht="15" customHeight="1" x14ac:dyDescent="0.2">
      <c r="A6729" s="1" t="s">
        <v>13406</v>
      </c>
      <c r="B6729" s="1">
        <v>0</v>
      </c>
      <c r="C6729" s="3">
        <v>44539.784375000003</v>
      </c>
      <c r="D6729" s="1" t="s">
        <v>13407</v>
      </c>
      <c r="E6729" s="1" t="str">
        <f ca="1">IFERROR(__xludf.DUMMYFUNCTION("GOOGLETRANSLATE(A3528 , ""tr"" , ""en"")"),"@drfahrettinkoca Your relief to Goturuyo from the heart Find you from Allah")</f>
        <v>@drfahrettinkoca Your relief to Goturuyo from the heart Find you from Allah</v>
      </c>
    </row>
    <row r="6730" spans="1:5" ht="15" customHeight="1" x14ac:dyDescent="0.2">
      <c r="A6730" s="1" t="s">
        <v>11913</v>
      </c>
      <c r="B6730" s="1">
        <v>0</v>
      </c>
      <c r="C6730" s="3">
        <v>44539.784375000003</v>
      </c>
      <c r="D6730" s="1" t="s">
        <v>13408</v>
      </c>
      <c r="E6730" s="1" t="str">
        <f ca="1">IFERROR(__xludf.DUMMYFUNCTION("GOOGLETRANSLATE(A3529 , ""tr"" , ""en"")"),"@drfahrettinkoca guide guide guide guide")</f>
        <v>@drfahrettinkoca guide guide guide guide</v>
      </c>
    </row>
    <row r="6731" spans="1:5" ht="15" customHeight="1" x14ac:dyDescent="0.2">
      <c r="A6731" s="1" t="s">
        <v>10058</v>
      </c>
      <c r="B6731" s="1">
        <v>6</v>
      </c>
      <c r="C6731" s="3">
        <v>44539.784351851849</v>
      </c>
      <c r="D6731" s="1" t="s">
        <v>13409</v>
      </c>
      <c r="E6731" s="1" t="str">
        <f ca="1">IFERROR(__xludf.DUMMYFUNCTION("GOOGLETRANSLATE(A3530 , ""tr"" , ""en"")"),"@drfahrettinkoca Guide")</f>
        <v>@drfahrettinkoca Guide</v>
      </c>
    </row>
    <row r="6732" spans="1:5" ht="15" customHeight="1" x14ac:dyDescent="0.2">
      <c r="A6732" s="1" t="s">
        <v>13410</v>
      </c>
      <c r="B6732" s="1">
        <v>0</v>
      </c>
      <c r="C6732" s="3">
        <v>44539.78434027778</v>
      </c>
      <c r="D6732" s="1" t="s">
        <v>13411</v>
      </c>
      <c r="E6732" s="1" t="str">
        <f ca="1">IFERROR(__xludf.DUMMYFUNCTION("GOOGLETRANSLATE(A3531 , ""tr"" , ""en"")"),"@drfahrettinkoca increases case numbers after New Year's holiday")</f>
        <v>@drfahrettinkoca increases case numbers after New Year's holiday</v>
      </c>
    </row>
    <row r="6733" spans="1:5" ht="15" customHeight="1" x14ac:dyDescent="0.2">
      <c r="A6733" s="1" t="s">
        <v>13412</v>
      </c>
      <c r="B6733" s="1">
        <v>0</v>
      </c>
      <c r="C6733" s="3">
        <v>44539.784259259257</v>
      </c>
      <c r="D6733" s="1" t="s">
        <v>13413</v>
      </c>
      <c r="E6733" s="1" t="str">
        <f ca="1">IFERROR(__xludf.DUMMYFUNCTION("GOOGLETRANSLATE(A3532 , ""tr"" , ""en"")"),"@drfahrettinkoca either kilavuzzzzz /")</f>
        <v>@drfahrettinkoca either kilavuzzzzz /</v>
      </c>
    </row>
    <row r="6734" spans="1:5" ht="15" customHeight="1" x14ac:dyDescent="0.2">
      <c r="A6734" s="1" t="s">
        <v>13414</v>
      </c>
      <c r="B6734" s="1">
        <v>5</v>
      </c>
      <c r="C6734" s="3">
        <v>44539.784224537034</v>
      </c>
      <c r="D6734" s="1" t="s">
        <v>13415</v>
      </c>
      <c r="E6734" s="1" t="str">
        <f ca="1">IFERROR(__xludf.DUMMYFUNCTION("GOOGLETRANSLATE(A3533 , ""tr"" , ""en"")"),"@drfahrettinkoca Describe the guide")</f>
        <v>@drfahrettinkoca Describe the guide</v>
      </c>
    </row>
    <row r="6735" spans="1:5" ht="15" customHeight="1" x14ac:dyDescent="0.2">
      <c r="A6735" s="1" t="s">
        <v>13416</v>
      </c>
      <c r="B6735" s="1">
        <v>1</v>
      </c>
      <c r="C6735" s="3">
        <v>44539.784201388888</v>
      </c>
      <c r="D6735" s="1" t="s">
        <v>13417</v>
      </c>
      <c r="E6735" s="1" t="str">
        <f ca="1">IFERROR(__xludf.DUMMYFUNCTION("GOOGLETRANSLATE(A3534 , ""tr"" , ""en"")"),"@drfahrettinkoca every day you are relaxing by publishing the map Seriously")</f>
        <v>@drfahrettinkoca every day you are relaxing by publishing the map Seriously</v>
      </c>
    </row>
    <row r="6736" spans="1:5" ht="15" customHeight="1" x14ac:dyDescent="0.2">
      <c r="A6736" s="1" t="s">
        <v>13418</v>
      </c>
      <c r="B6736" s="1">
        <v>2</v>
      </c>
      <c r="C6736" s="3">
        <v>44539.784189814818</v>
      </c>
      <c r="D6736" s="1" t="s">
        <v>13419</v>
      </c>
      <c r="E6736" s="1" t="str">
        <f ca="1">IFERROR(__xludf.DUMMYFUNCTION("GOOGLETRANSLATE(A3535 , ""tr"" , ""en"")"),"@drfahrettinkoca chronic ill and elderly what are you overcomped what everyone in this country is in vaccination")</f>
        <v>@drfahrettinkoca chronic ill and elderly what are you overcomped what everyone in this country is in vaccination</v>
      </c>
    </row>
    <row r="6737" spans="1:5" ht="15" customHeight="1" x14ac:dyDescent="0.2">
      <c r="A6737" s="1" t="s">
        <v>13420</v>
      </c>
      <c r="B6737" s="1">
        <v>1</v>
      </c>
      <c r="C6737" s="3">
        <v>44539.784189814818</v>
      </c>
      <c r="D6737" s="1" t="s">
        <v>13421</v>
      </c>
      <c r="E6737" s="1" t="str">
        <f ca="1">IFERROR(__xludf.DUMMYFUNCTION("GOOGLETRANSLATE(A3536 , ""tr"" , ""en"")"),"@drfahrettinkoca Europe is normal if the shield makes the wrong result in the PCR that makes the wrong result.")</f>
        <v>@drfahrettinkoca Europe is normal if the shield makes the wrong result in the PCR that makes the wrong result.</v>
      </c>
    </row>
    <row r="6738" spans="1:5" ht="15" customHeight="1" x14ac:dyDescent="0.2">
      <c r="A6738" s="1" t="s">
        <v>13422</v>
      </c>
      <c r="B6738" s="1">
        <v>24</v>
      </c>
      <c r="C6738" s="3">
        <v>44539.784155092595</v>
      </c>
      <c r="D6738" s="1" t="s">
        <v>13423</v>
      </c>
      <c r="E6738" s="1" t="str">
        <f ca="1">IFERROR(__xludf.DUMMYFUNCTION("GOOGLETRANSLATE(A3537 , ""tr"" , ""en"")"),"@drfahrettinkoca continue to resume the fake news to resume 👍👍")</f>
        <v>@drfahrettinkoca continue to resume the fake news to resume 👍👍</v>
      </c>
    </row>
    <row r="6739" spans="1:5" ht="15" customHeight="1" x14ac:dyDescent="0.2">
      <c r="A6739" s="1" t="s">
        <v>13424</v>
      </c>
      <c r="B6739" s="1">
        <v>2</v>
      </c>
      <c r="C6739" s="3">
        <v>44539.784074074072</v>
      </c>
      <c r="D6739" s="1" t="s">
        <v>13425</v>
      </c>
      <c r="E6739" s="1" t="str">
        <f ca="1">IFERROR(__xludf.DUMMYFUNCTION("GOOGLETRANSLATE(A3538 , ""tr"" , ""en"")"),"@drfahrettinkoca you say the future in November, but we are waiting for the guide that we still don't understand what is still coming from @drfahrettinkoca")</f>
        <v>@drfahrettinkoca you say the future in November, but we are waiting for the guide that we still don't understand what is still coming from @drfahrettinkoca</v>
      </c>
    </row>
    <row r="6740" spans="1:5" ht="15" customHeight="1" x14ac:dyDescent="0.2">
      <c r="A6740" s="1" t="s">
        <v>13426</v>
      </c>
      <c r="B6740" s="1">
        <v>0</v>
      </c>
      <c r="C6740" s="3">
        <v>44539.783993055556</v>
      </c>
      <c r="D6740" s="1" t="s">
        <v>13427</v>
      </c>
      <c r="E6740" s="1" t="str">
        <f ca="1">IFERROR(__xludf.DUMMYFUNCTION("GOOGLETRANSLATE(A3539 , ""tr"" , ""en"")"),"@drfahrettinkoca When everything is ready we are looking forward to the guide")</f>
        <v>@drfahrettinkoca When everything is ready we are looking forward to the guide</v>
      </c>
    </row>
    <row r="6741" spans="1:5" ht="15" customHeight="1" x14ac:dyDescent="0.2">
      <c r="A6741" s="1" t="s">
        <v>13428</v>
      </c>
      <c r="B6741" s="1">
        <v>0</v>
      </c>
      <c r="C6741" s="3">
        <v>44539.783946759257</v>
      </c>
      <c r="D6741" s="1" t="s">
        <v>13429</v>
      </c>
      <c r="E6741" s="1" t="str">
        <f ca="1">IFERROR(__xludf.DUMMYFUNCTION("GOOGLETRANSLATE(A3540 , ""tr"" , ""en"")"),"@drfahrettinkoca single dose tetanus vaccination while protecting the person 5 years, why are the liquid you are constantly needing to be continuously renewed?")</f>
        <v>@drfahrettinkoca single dose tetanus vaccination while protecting the person 5 years, why are the liquid you are constantly needing to be continuously renewed?</v>
      </c>
    </row>
    <row r="6742" spans="1:5" ht="15" customHeight="1" x14ac:dyDescent="0.2">
      <c r="A6742" s="1" t="s">
        <v>13430</v>
      </c>
      <c r="B6742" s="1">
        <v>16</v>
      </c>
      <c r="C6742" s="3">
        <v>44539.783877314818</v>
      </c>
      <c r="D6742" s="1" t="s">
        <v>13431</v>
      </c>
      <c r="E6742" s="1" t="str">
        <f ca="1">IFERROR(__xludf.DUMMYFUNCTION("GOOGLETRANSLATE(A3541 , ""tr"" , ""en"")"),"@drfahrettinkoca say missing vaccines ??? How many dose do dose will be counted in full?")</f>
        <v>@drfahrettinkoca say missing vaccines ??? How many dose do dose will be counted in full?</v>
      </c>
    </row>
    <row r="6743" spans="1:5" ht="15" customHeight="1" x14ac:dyDescent="0.2">
      <c r="A6743" s="1" t="s">
        <v>13432</v>
      </c>
      <c r="B6743" s="1">
        <v>0</v>
      </c>
      <c r="C6743" s="3">
        <v>44539.783831018518</v>
      </c>
      <c r="D6743" s="1" t="s">
        <v>13433</v>
      </c>
      <c r="E6743" s="1" t="str">
        <f ca="1">IFERROR(__xludf.DUMMYFUNCTION("GOOGLETRANSLATE(A3542 , ""tr"" , ""en"")"),"@drfahrettinkoca has been a full month how to prepare after your appointment news on a month guide")</f>
        <v>@drfahrettinkoca has been a full month how to prepare after your appointment news on a month guide</v>
      </c>
    </row>
    <row r="6744" spans="1:5" ht="15" customHeight="1" x14ac:dyDescent="0.2">
      <c r="A6744" s="1" t="s">
        <v>13434</v>
      </c>
      <c r="B6744" s="1">
        <v>0</v>
      </c>
      <c r="C6744" s="3">
        <v>44539.783773148149</v>
      </c>
      <c r="D6744" s="1" t="s">
        <v>13435</v>
      </c>
      <c r="E6744" s="1" t="str">
        <f ca="1">IFERROR(__xludf.DUMMYFUNCTION("GOOGLETRANSLATE(A3543 , ""tr"" , ""en"")"),"@drfahrettinkoca Guide you come")</f>
        <v>@drfahrettinkoca Guide you come</v>
      </c>
    </row>
    <row r="6745" spans="1:5" ht="15" customHeight="1" x14ac:dyDescent="0.2">
      <c r="A6745" s="1" t="s">
        <v>13436</v>
      </c>
      <c r="B6745" s="1">
        <v>0</v>
      </c>
      <c r="C6745" s="3">
        <v>44539.783761574072</v>
      </c>
      <c r="D6745" s="1" t="s">
        <v>13437</v>
      </c>
      <c r="E6745" s="1" t="str">
        <f ca="1">IFERROR(__xludf.DUMMYFUNCTION("GOOGLETRANSLATE(A3544 , ""tr"" , ""en"")"),"@drfahrettinkoca Months Assignment We are waiting for the guide now")</f>
        <v>@drfahrettinkoca Months Assignment We are waiting for the guide now</v>
      </c>
    </row>
    <row r="6746" spans="1:5" ht="15" customHeight="1" x14ac:dyDescent="0.2">
      <c r="A6746" s="1" t="s">
        <v>13438</v>
      </c>
      <c r="B6746" s="1">
        <v>57</v>
      </c>
      <c r="C6746" s="3">
        <v>44539.783750000002</v>
      </c>
      <c r="D6746" s="1" t="s">
        <v>13439</v>
      </c>
      <c r="E6746" s="1" t="str">
        <f ca="1">IFERROR(__xludf.DUMMYFUNCTION("GOOGLETRANSLATE(A3545 , ""tr"" , ""en"")"),"@drfahrettinka your insistent attitude on the vaccine is also doubt about the number of vaccines and the situation g ... https://t.co/Ieb3unzdlh")</f>
        <v>@drfahrettinka your insistent attitude on the vaccine is also doubt about the number of vaccines and the situation g ... https://t.co/Ieb3unzdlh</v>
      </c>
    </row>
    <row r="6747" spans="1:5" ht="15" customHeight="1" x14ac:dyDescent="0.2">
      <c r="A6747" s="1" t="s">
        <v>13440</v>
      </c>
      <c r="B6747" s="1">
        <v>0</v>
      </c>
      <c r="C6747" s="3">
        <v>44539.783738425926</v>
      </c>
      <c r="D6747" s="1" t="s">
        <v>13441</v>
      </c>
      <c r="E6747" s="1" t="str">
        <f ca="1">IFERROR(__xludf.DUMMYFUNCTION("GOOGLETRANSLATE(A3546 , ""tr"" , ""en"")"),"@drfahrettinkoca prohibits gelsin schools hybrid training or weekend training system 40 people in a class n ... https://t.co/pdrhitmeun")</f>
        <v>@drfahrettinkoca prohibits gelsin schools hybrid training or weekend training system 40 people in a class n ... https://t.co/pdrhitmeun</v>
      </c>
    </row>
    <row r="6748" spans="1:5" ht="15" customHeight="1" x14ac:dyDescent="0.2">
      <c r="A6748" s="1" t="s">
        <v>13442</v>
      </c>
      <c r="B6748" s="1">
        <v>0</v>
      </c>
      <c r="C6748" s="3">
        <v>44539.783703703702</v>
      </c>
      <c r="D6748" s="1" t="s">
        <v>13443</v>
      </c>
      <c r="E6748" s="1" t="str">
        <f ca="1">IFERROR(__xludf.DUMMYFUNCTION("GOOGLETRANSLATE(A3547 , ""tr"" , ""en"")"),"@drfahrettinkoca Minister Guide")</f>
        <v>@drfahrettinkoca Minister Guide</v>
      </c>
    </row>
    <row r="6749" spans="1:5" ht="15" customHeight="1" x14ac:dyDescent="0.2">
      <c r="A6749" s="1" t="s">
        <v>10058</v>
      </c>
      <c r="B6749" s="1">
        <v>0</v>
      </c>
      <c r="C6749" s="3">
        <v>44539.783634259256</v>
      </c>
      <c r="D6749" s="1" t="s">
        <v>13444</v>
      </c>
      <c r="E6749" s="1" t="str">
        <f ca="1">IFERROR(__xludf.DUMMYFUNCTION("GOOGLETRANSLATE(A3548 , ""tr"" , ""en"")"),"@drfahrettinkoca Guide")</f>
        <v>@drfahrettinkoca Guide</v>
      </c>
    </row>
    <row r="6750" spans="1:5" ht="15" customHeight="1" x14ac:dyDescent="0.2">
      <c r="A6750" s="1" t="s">
        <v>13445</v>
      </c>
      <c r="B6750" s="1">
        <v>0</v>
      </c>
      <c r="C6750" s="3">
        <v>44539.783553240741</v>
      </c>
      <c r="D6750" s="1" t="s">
        <v>13446</v>
      </c>
      <c r="E6750" s="1" t="str">
        <f ca="1">IFERROR(__xludf.DUMMYFUNCTION("GOOGLETRANSLATE(A3549 , ""tr"" , ""en"")"),"@drfahrettinkoca I can't stand enough guide now")</f>
        <v>@drfahrettinkoca I can't stand enough guide now</v>
      </c>
    </row>
    <row r="6751" spans="1:5" ht="15" customHeight="1" x14ac:dyDescent="0.2">
      <c r="A6751" s="1" t="s">
        <v>13447</v>
      </c>
      <c r="B6751" s="1">
        <v>23</v>
      </c>
      <c r="C6751" s="3">
        <v>44539.783530092594</v>
      </c>
      <c r="D6751" s="1" t="s">
        <v>13448</v>
      </c>
      <c r="E6751" s="1" t="str">
        <f ca="1">IFERROR(__xludf.DUMMYFUNCTION("GOOGLETRANSLATE(A3550 , ""tr"" , ""en"")"),"@drfahrettinkoca you didn't get students in compulsory class and are not bored to corona @drfahrettinkoca # Cabinethousonline")</f>
        <v>@drfahrettinkoca you didn't get students in compulsory class and are not bored to corona @drfahrettinkoca # Cabinethousonline</v>
      </c>
    </row>
    <row r="6752" spans="1:5" ht="15" customHeight="1" x14ac:dyDescent="0.2">
      <c r="A6752" s="1" t="s">
        <v>13449</v>
      </c>
      <c r="B6752" s="1">
        <v>0</v>
      </c>
      <c r="C6752" s="3">
        <v>44539.783506944441</v>
      </c>
      <c r="D6752" s="1" t="s">
        <v>13450</v>
      </c>
      <c r="E6752" s="1" t="str">
        <f ca="1">IFERROR(__xludf.DUMMYFUNCTION("GOOGLETRANSLATE(A3551 , ""tr"" , ""en"")"),"@drfahrettinkoca we will now want guide")</f>
        <v>@drfahrettinkoca we will now want guide</v>
      </c>
    </row>
    <row r="6753" spans="1:5" ht="15" customHeight="1" x14ac:dyDescent="0.2">
      <c r="A6753" s="1" t="s">
        <v>13451</v>
      </c>
      <c r="B6753" s="1">
        <v>0</v>
      </c>
      <c r="C6753" s="3">
        <v>44539.783321759256</v>
      </c>
      <c r="D6753" s="1" t="s">
        <v>13452</v>
      </c>
      <c r="E6753" s="1" t="str">
        <f ca="1">IFERROR(__xludf.DUMMYFUNCTION("GOOGLETRANSLATE(A3552 , ""tr"" , ""en"")"),"@drfahrettinkoca Minister If you are not at all, always Sabret Sabret About Assignment is not to say Sabret ... https://t.co/dx7eigsslt")</f>
        <v>@drfahrettinkoca Minister If you are not at all, always Sabret Sabret About Assignment is not to say Sabret ... https://t.co/dx7eigsslt</v>
      </c>
    </row>
    <row r="6754" spans="1:5" ht="15" customHeight="1" x14ac:dyDescent="0.2">
      <c r="A6754" s="1" t="s">
        <v>13453</v>
      </c>
      <c r="B6754" s="1">
        <v>0</v>
      </c>
      <c r="C6754" s="3">
        <v>44539.783159722225</v>
      </c>
      <c r="D6754" s="1" t="s">
        <v>13454</v>
      </c>
      <c r="E6754" s="1" t="str">
        <f ca="1">IFERROR(__xludf.DUMMYFUNCTION("GOOGLETRANSLATE(A3553 , ""tr"" , ""en"")"),"@drfahrettinkoca is practicing what is doing what is doing a single scientists in the US EU countries in our country in our country ... https://t.co/acdqr0edu8")</f>
        <v>@drfahrettinkoca is practicing what is doing what is doing a single scientists in the US EU countries in our country in our country ... https://t.co/acdqr0edu8</v>
      </c>
    </row>
    <row r="6755" spans="1:5" ht="15" customHeight="1" x14ac:dyDescent="0.2">
      <c r="A6755" s="1" t="s">
        <v>13455</v>
      </c>
      <c r="B6755" s="1">
        <v>2</v>
      </c>
      <c r="C6755" s="3">
        <v>44539.783020833333</v>
      </c>
      <c r="D6755" s="1" t="s">
        <v>13456</v>
      </c>
      <c r="E6755" s="1" t="str">
        <f ca="1">IFERROR(__xludf.DUMMYFUNCTION("GOOGLETRANSLATE(A3554 , ""tr"" , ""en"")"),"@drfahrettinkoca located over the cities; percentile slices indicating that at least two dose of overdoses; Third Dose Z ... https://t.co/z729jjacyd")</f>
        <v>@drfahrettinkoca located over the cities; percentile slices indicating that at least two dose of overdoses; Third Dose Z ... https://t.co/z729jjacyd</v>
      </c>
    </row>
    <row r="6756" spans="1:5" ht="15" customHeight="1" x14ac:dyDescent="0.2">
      <c r="A6756" s="1" t="s">
        <v>13457</v>
      </c>
      <c r="B6756" s="1">
        <v>0</v>
      </c>
      <c r="C6756" s="3">
        <v>44539.783009259256</v>
      </c>
      <c r="D6756" s="1" t="s">
        <v>13458</v>
      </c>
      <c r="E6756" s="1" t="str">
        <f ca="1">IFERROR(__xludf.DUMMYFUNCTION("GOOGLETRANSLATE(A3555 , ""tr"" , ""en"")"),"@drfahrettinkoca e isn't it normal? 1 person in the family is positive if it is positive and direct quarantine ... https://t.co/lsuyslvgap")</f>
        <v>@drfahrettinkoca e isn't it normal? 1 person in the family is positive if it is positive and direct quarantine ... https://t.co/lsuyslvgap</v>
      </c>
    </row>
    <row r="6757" spans="1:5" ht="15" customHeight="1" x14ac:dyDescent="0.2">
      <c r="A6757" s="1" t="s">
        <v>13459</v>
      </c>
      <c r="B6757" s="1">
        <v>0</v>
      </c>
      <c r="C6757" s="3">
        <v>44539.782847222225</v>
      </c>
      <c r="D6757" s="1" t="s">
        <v>13460</v>
      </c>
      <c r="E6757" s="1" t="str">
        <f ca="1">IFERROR(__xludf.DUMMYFUNCTION("GOOGLETRANSLATE(A3556 , ""tr"" , ""en"")"),"As @drfahrettinkoca is falling in the rate of vaccination, cases and deaths also fall. I wonder if it doesn't see this sane?")</f>
        <v>As @drfahrettinkoca is falling in the rate of vaccination, cases and deaths also fall. I wonder if it doesn't see this sane?</v>
      </c>
    </row>
    <row r="6758" spans="1:5" ht="15" customHeight="1" x14ac:dyDescent="0.2">
      <c r="A6758" s="1" t="s">
        <v>13461</v>
      </c>
      <c r="B6758" s="1">
        <v>0</v>
      </c>
      <c r="C6758" s="3">
        <v>44539.782789351855</v>
      </c>
      <c r="D6758" s="1" t="s">
        <v>13462</v>
      </c>
      <c r="E6758" s="1" t="str">
        <f ca="1">IFERROR(__xludf.DUMMYFUNCTION("GOOGLETRANSLATE(A3557 , ""tr"" , ""en"")"),"@drfahrettinkoca is not so lied to be")</f>
        <v>@drfahrettinkoca is not so lied to be</v>
      </c>
    </row>
    <row r="6759" spans="1:5" ht="15" customHeight="1" x14ac:dyDescent="0.2">
      <c r="A6759" s="1" t="s">
        <v>13463</v>
      </c>
      <c r="B6759" s="1">
        <v>0</v>
      </c>
      <c r="C6759" s="3">
        <v>44539.782743055555</v>
      </c>
      <c r="D6759" s="1" t="s">
        <v>13464</v>
      </c>
      <c r="E6759" s="1" t="str">
        <f ca="1">IFERROR(__xludf.DUMMYFUNCTION("GOOGLETRANSLATE(A3558 , ""tr"" , ""en"")"),"@drfahrettinkoca not promise to execution @drfahrettinkoca")</f>
        <v>@drfahrettinkoca not promise to execution @drfahrettinkoca</v>
      </c>
    </row>
    <row r="6760" spans="1:5" ht="15" customHeight="1" x14ac:dyDescent="0.2">
      <c r="A6760" s="1" t="s">
        <v>13465</v>
      </c>
      <c r="B6760" s="1">
        <v>1</v>
      </c>
      <c r="C6760" s="3">
        <v>44539.782685185186</v>
      </c>
      <c r="D6760" s="1" t="s">
        <v>13466</v>
      </c>
      <c r="E6760" s="1" t="str">
        <f ca="1">IFERROR(__xludf.DUMMYFUNCTION("GOOGLETRANSLATE(A3559 , ""tr"" , ""en"")"),"@drfahrettinkoca guide where @drfahrettinkoca")</f>
        <v>@drfahrettinkoca guide where @drfahrettinkoca</v>
      </c>
    </row>
    <row r="6761" spans="1:5" ht="15" customHeight="1" x14ac:dyDescent="0.2">
      <c r="A6761" s="1" t="s">
        <v>13467</v>
      </c>
      <c r="B6761" s="1">
        <v>0</v>
      </c>
      <c r="C6761" s="3">
        <v>44539.782534722224</v>
      </c>
      <c r="D6761" s="1" t="s">
        <v>13468</v>
      </c>
      <c r="E6761" s="1" t="str">
        <f ca="1">IFERROR(__xludf.DUMMYFUNCTION("GOOGLETRANSLATE(A3560 , ""tr"" , ""en"")"),"@drfahrettinkoca 👏👏aman Aman also do not compromise for the guide")</f>
        <v>@drfahrettinkoca 👏👏aman Aman also do not compromise for the guide</v>
      </c>
    </row>
    <row r="6762" spans="1:5" ht="15" customHeight="1" x14ac:dyDescent="0.2">
      <c r="A6762" s="1" t="s">
        <v>13469</v>
      </c>
      <c r="B6762" s="1">
        <v>18</v>
      </c>
      <c r="C6762" s="3">
        <v>44539.782523148147</v>
      </c>
      <c r="D6762" s="1" t="s">
        <v>13470</v>
      </c>
      <c r="E6762" s="1" t="str">
        <f ca="1">IFERROR(__xludf.DUMMYFUNCTION("GOOGLETRANSLATE(A3561 , ""tr"" , ""en"")"),"@drfahrettinkoca 195 Life We have been installed on 20 thousand bands, what more?")</f>
        <v>@drfahrettinkoca 195 Life We have been installed on 20 thousand bands, what more?</v>
      </c>
    </row>
    <row r="6763" spans="1:5" ht="15" customHeight="1" x14ac:dyDescent="0.2">
      <c r="A6763" s="1" t="s">
        <v>13471</v>
      </c>
      <c r="B6763" s="1">
        <v>5</v>
      </c>
      <c r="C6763" s="3">
        <v>44539.782442129632</v>
      </c>
      <c r="D6763" s="1" t="s">
        <v>13472</v>
      </c>
      <c r="E6763" s="1" t="str">
        <f ca="1">IFERROR(__xludf.DUMMYFUNCTION("GOOGLETRANSLATE(A3562 , ""tr"" , ""en"")"),"@drfahrettinkoca I knew I knew Gene share the relevant table and see us. All you already do is ... https://t.co/os4uz94smg")</f>
        <v>@drfahrettinkoca I knew I knew Gene share the relevant table and see us. All you already do is ... https://t.co/os4uz94smg</v>
      </c>
    </row>
    <row r="6764" spans="1:5" ht="15" customHeight="1" x14ac:dyDescent="0.2">
      <c r="A6764" s="1" t="s">
        <v>13473</v>
      </c>
      <c r="B6764" s="1">
        <v>13</v>
      </c>
      <c r="C6764" s="3">
        <v>44539.782430555555</v>
      </c>
      <c r="D6764" s="1" t="s">
        <v>13474</v>
      </c>
      <c r="E6764" s="1" t="str">
        <f ca="1">IFERROR(__xludf.DUMMYFUNCTION("GOOGLETRANSLATE(A3563 , ""tr"" , ""en"")"),"@drfahrettinkoca is the only profession group that is not made of assignment. @drfahrettinkoca # fkocayakilavuzyaistifa")</f>
        <v>@drfahrettinkoca is the only profession group that is not made of assignment. @drfahrettinkoca # fkocayakilavuzyaistifa</v>
      </c>
    </row>
    <row r="6765" spans="1:5" ht="15" customHeight="1" x14ac:dyDescent="0.2">
      <c r="A6765" s="1" t="s">
        <v>13475</v>
      </c>
      <c r="B6765" s="1">
        <v>0</v>
      </c>
      <c r="C6765" s="3">
        <v>44539.782430555555</v>
      </c>
      <c r="D6765" s="1" t="s">
        <v>13476</v>
      </c>
      <c r="E6765" s="1" t="str">
        <f ca="1">IFERROR(__xludf.DUMMYFUNCTION("GOOGLETRANSLATE(A3564 , ""tr"" , ""en"")"),"@drfahrettinkoca TURKS DEN Mi Alıyon Figures President")</f>
        <v>@drfahrettinkoca TURKS DEN Mi Alıyon Figures President</v>
      </c>
    </row>
    <row r="6766" spans="1:5" ht="15" customHeight="1" x14ac:dyDescent="0.2">
      <c r="A6766" s="1" t="s">
        <v>13477</v>
      </c>
      <c r="B6766" s="1">
        <v>0</v>
      </c>
      <c r="C6766" s="3">
        <v>44539.782372685186</v>
      </c>
      <c r="D6766" s="1" t="s">
        <v>13478</v>
      </c>
      <c r="E6766" s="1" t="str">
        <f ca="1">IFERROR(__xludf.DUMMYFUNCTION("GOOGLETRANSLATE(A3565 , ""tr"" , ""en"")"),"@drfahrettinkoca no more 3. Dose 2. 3 months after 3 months after 16 years and up to all @saglikbakanligi @ drfahrettinkoca ... https://t.co/zdeaokhesj")</f>
        <v>@drfahrettinkoca no more 3. Dose 2. 3 months after 3 months after 16 years and up to all @saglikbakanligi @ drfahrettinkoca ... https://t.co/zdeaokhesj</v>
      </c>
    </row>
    <row r="6767" spans="1:5" ht="15" customHeight="1" x14ac:dyDescent="0.2">
      <c r="A6767" s="1" t="s">
        <v>13479</v>
      </c>
      <c r="B6767" s="1">
        <v>0</v>
      </c>
      <c r="C6767" s="3">
        <v>44539.782349537039</v>
      </c>
      <c r="D6767" s="1" t="s">
        <v>13480</v>
      </c>
      <c r="E6767" s="1" t="str">
        <f ca="1">IFERROR(__xludf.DUMMYFUNCTION("GOOGLETRANSLATE(A3566 , ""tr"" , ""en"")"),"@drfahrettinka you get the responsibility I'm not going to vaccinate I'm not Cengelköy Protect, I'm not Cengelköy Protect ... https://t.co/rrzaozjijn")</f>
        <v>@drfahrettinka you get the responsibility I'm not going to vaccinate I'm not Cengelköy Protect, I'm not Cengelköy Protect ... https://t.co/rrzaozjijn</v>
      </c>
    </row>
    <row r="6768" spans="1:5" ht="15" customHeight="1" x14ac:dyDescent="0.2">
      <c r="A6768" s="1" t="s">
        <v>13481</v>
      </c>
      <c r="B6768" s="1">
        <v>0</v>
      </c>
      <c r="C6768" s="3">
        <v>44539.782268518517</v>
      </c>
      <c r="D6768" s="1" t="s">
        <v>13482</v>
      </c>
      <c r="E6768" s="1" t="str">
        <f ca="1">IFERROR(__xludf.DUMMYFUNCTION("GOOGLETRANSLATE(A3567 , ""tr"" , ""en"")"),"@drfahrettinkoca and we are now requesting the guide we have been waiting for 13 months")</f>
        <v>@drfahrettinkoca and we are now requesting the guide we have been waiting for 13 months</v>
      </c>
    </row>
    <row r="6769" spans="1:5" ht="15" customHeight="1" x14ac:dyDescent="0.2">
      <c r="A6769" s="1" t="s">
        <v>13483</v>
      </c>
      <c r="B6769" s="1">
        <v>0</v>
      </c>
      <c r="C6769" s="3">
        <v>44539.782233796293</v>
      </c>
      <c r="D6769" s="1" t="s">
        <v>13484</v>
      </c>
      <c r="E6769" s="1" t="str">
        <f ca="1">IFERROR(__xludf.DUMMYFUNCTION("GOOGLETRANSLATE(A3568 , ""tr"" , ""en"")"),"@drfahrettinkoca Mr. Minister Manual")</f>
        <v>@drfahrettinkoca Mr. Minister Manual</v>
      </c>
    </row>
    <row r="6770" spans="1:5" ht="15" customHeight="1" x14ac:dyDescent="0.2">
      <c r="A6770" s="1" t="s">
        <v>13485</v>
      </c>
      <c r="B6770" s="1">
        <v>11</v>
      </c>
      <c r="C6770" s="3">
        <v>44539.782175925924</v>
      </c>
      <c r="D6770" s="1" t="s">
        <v>13486</v>
      </c>
      <c r="E6770" s="1" t="str">
        <f ca="1">IFERROR(__xludf.DUMMYFUNCTION("GOOGLETRANSLATE(A3569 , ""tr"" , ""en"")"),"@drfahrettinkoca is in a funny joke; Pandemide most employed occupational group healthcareists, one head in closure ... https://t.co/h1hykf5fve")</f>
        <v>@drfahrettinkoca is in a funny joke; Pandemide most employed occupational group healthcareists, one head in closure ... https://t.co/h1hykf5fve</v>
      </c>
    </row>
    <row r="6771" spans="1:5" ht="15" customHeight="1" x14ac:dyDescent="0.2">
      <c r="A6771" s="1" t="s">
        <v>13487</v>
      </c>
      <c r="B6771" s="1">
        <v>0</v>
      </c>
      <c r="C6771" s="3">
        <v>44539.782129629632</v>
      </c>
      <c r="D6771" s="1" t="s">
        <v>13488</v>
      </c>
      <c r="E6771" s="1" t="str">
        <f ca="1">IFERROR(__xludf.DUMMYFUNCTION("GOOGLETRANSLATE(A3570 , ""tr"" , ""en"")"),"@drfahrettinkoca so seriously fahrettin husband is the words you have ever been worth the guide you have no value.")</f>
        <v>@drfahrettinkoca so seriously fahrettin husband is the words you have ever been worth the guide you have no value.</v>
      </c>
    </row>
    <row r="6772" spans="1:5" ht="15" customHeight="1" x14ac:dyDescent="0.2">
      <c r="A6772" s="1" t="s">
        <v>13489</v>
      </c>
      <c r="B6772" s="1">
        <v>2</v>
      </c>
      <c r="C6772" s="3">
        <v>44539.782106481478</v>
      </c>
      <c r="D6772" s="1" t="s">
        <v>13490</v>
      </c>
      <c r="E6772" s="1" t="str">
        <f ca="1">IFERROR(__xludf.DUMMYFUNCTION("GOOGLETRANSLATE(A3571 , ""tr"" , ""en"")"),"@drfahrettinkoca Halal get very good cabinets translating")</f>
        <v>@drfahrettinkoca Halal get very good cabinets translating</v>
      </c>
    </row>
    <row r="6773" spans="1:5" ht="15" customHeight="1" x14ac:dyDescent="0.2">
      <c r="A6773" s="1" t="s">
        <v>13491</v>
      </c>
      <c r="B6773" s="1">
        <v>0</v>
      </c>
      <c r="C6773" s="3">
        <v>44539.782094907408</v>
      </c>
      <c r="D6773" s="1" t="s">
        <v>13492</v>
      </c>
      <c r="E6773" s="1" t="str">
        <f ca="1">IFERROR(__xludf.DUMMYFUNCTION("GOOGLETRANSLATE(A3572 , ""tr"" , ""en"")"),"I wonder why @drfahrettinkoca was not seen?")</f>
        <v>I wonder why @drfahrettinkoca was not seen?</v>
      </c>
    </row>
    <row r="6774" spans="1:5" ht="15" customHeight="1" x14ac:dyDescent="0.2">
      <c r="A6774" s="1" t="s">
        <v>13493</v>
      </c>
      <c r="B6774" s="1">
        <v>0</v>
      </c>
      <c r="C6774" s="3">
        <v>44539.782071759262</v>
      </c>
      <c r="D6774" s="1" t="s">
        <v>13494</v>
      </c>
      <c r="E6774" s="1" t="str">
        <f ca="1">IFERROR(__xludf.DUMMYFUNCTION("GOOGLETRANSLATE(A3573 , ""tr"" , ""en"")"),"@drfahrettinka you just look forward to telling you how to come your guide")</f>
        <v>@drfahrettinka you just look forward to telling you how to come your guide</v>
      </c>
    </row>
    <row r="6775" spans="1:5" ht="15" customHeight="1" x14ac:dyDescent="0.2">
      <c r="A6775" s="1" t="s">
        <v>13495</v>
      </c>
      <c r="B6775" s="1">
        <v>2</v>
      </c>
      <c r="C6775" s="3">
        <v>44539.782037037039</v>
      </c>
      <c r="D6775" s="1" t="s">
        <v>13496</v>
      </c>
      <c r="E6775" s="1" t="str">
        <f ca="1">IFERROR(__xludf.DUMMYFUNCTION("GOOGLETRANSLATE(A3574 , ""tr"" , ""en"")"),"@drfahrettinkoca wow you lied to lie to the corona you have finished 👏👏👏helall Liar shepherd this story end this lying shepherd")</f>
        <v>@drfahrettinkoca wow you lied to lie to the corona you have finished 👏👏👏helall Liar shepherd this story end this lying shepherd</v>
      </c>
    </row>
    <row r="6776" spans="1:5" ht="15" customHeight="1" x14ac:dyDescent="0.2">
      <c r="A6776" s="1" t="s">
        <v>13497</v>
      </c>
      <c r="B6776" s="1">
        <v>0</v>
      </c>
      <c r="C6776" s="3">
        <v>44539.782025462962</v>
      </c>
      <c r="D6776" s="1" t="s">
        <v>13498</v>
      </c>
      <c r="E6776" s="1" t="str">
        <f ca="1">IFERROR(__xludf.DUMMYFUNCTION("GOOGLETRANSLATE(A3575 , ""tr"" , ""en"")"),"@drfahrettinkoca quit meat honor")</f>
        <v>@drfahrettinkoca quit meat honor</v>
      </c>
    </row>
    <row r="6777" spans="1:5" ht="15" customHeight="1" x14ac:dyDescent="0.2">
      <c r="A6777" s="1" t="s">
        <v>13499</v>
      </c>
      <c r="B6777" s="1">
        <v>0</v>
      </c>
      <c r="C6777" s="3">
        <v>44539.782002314816</v>
      </c>
      <c r="D6777" s="1" t="s">
        <v>13500</v>
      </c>
      <c r="E6777" s="1" t="str">
        <f ca="1">IFERROR(__xludf.DUMMYFUNCTION("GOOGLETRANSLATE(A3576 , ""tr"" , ""en"")"),"@drfahrettinkoca is the least lying as much as you")</f>
        <v>@drfahrettinkoca is the least lying as much as you</v>
      </c>
    </row>
    <row r="6778" spans="1:5" ht="15" customHeight="1" x14ac:dyDescent="0.2">
      <c r="A6778" s="1" t="s">
        <v>13501</v>
      </c>
      <c r="B6778" s="1">
        <v>0</v>
      </c>
      <c r="C6778" s="3">
        <v>44539.781990740739</v>
      </c>
      <c r="D6778" s="1" t="s">
        <v>13502</v>
      </c>
      <c r="E6778" s="1" t="str">
        <f ca="1">IFERROR(__xludf.DUMMYFUNCTION("GOOGLETRANSLATE(A3577 , ""tr"" , ""en"")"),"@drfahrettinkoca Dear Minister We demand the publication of the assignment guide.")</f>
        <v>@drfahrettinkoca Dear Minister We demand the publication of the assignment guide.</v>
      </c>
    </row>
    <row r="6779" spans="1:5" ht="15" customHeight="1" x14ac:dyDescent="0.2">
      <c r="A6779" s="1" t="s">
        <v>13503</v>
      </c>
      <c r="B6779" s="1">
        <v>0</v>
      </c>
      <c r="C6779" s="3">
        <v>44539.781990740739</v>
      </c>
      <c r="D6779" s="1" t="s">
        <v>13504</v>
      </c>
      <c r="E6779" s="1" t="str">
        <f ca="1">IFERROR(__xludf.DUMMYFUNCTION("GOOGLETRANSLATE(A3578 , ""tr"" , ""en"")"),"@drfahrettinka explain the data in transparently before; let's know the missing stones.")</f>
        <v>@drfahrettinka explain the data in transparently before; let's know the missing stones.</v>
      </c>
    </row>
    <row r="6780" spans="1:5" ht="15" customHeight="1" x14ac:dyDescent="0.2">
      <c r="A6780" s="1" t="s">
        <v>13505</v>
      </c>
      <c r="B6780" s="1">
        <v>3</v>
      </c>
      <c r="C6780" s="3">
        <v>44539.781944444447</v>
      </c>
      <c r="D6780" s="1" t="s">
        <v>13506</v>
      </c>
      <c r="E6780" s="1" t="str">
        <f ca="1">IFERROR(__xludf.DUMMYFUNCTION("GOOGLETRANSLATE(A3579 , ""tr"" , ""en"")"),"@drfahrettinkoca is enough to hang up. @drfahrettinkoca nn # fkocayakilavuzyaistifa")</f>
        <v>@drfahrettinkoca is enough to hang up. @drfahrettinkoca nn # fkocayakilavuzyaistifa</v>
      </c>
    </row>
    <row r="6781" spans="1:5" ht="15" customHeight="1" x14ac:dyDescent="0.2">
      <c r="A6781" s="1" t="s">
        <v>13507</v>
      </c>
      <c r="B6781" s="1">
        <v>2</v>
      </c>
      <c r="C6781" s="3">
        <v>44539.781875000001</v>
      </c>
      <c r="D6781" s="1" t="s">
        <v>13508</v>
      </c>
      <c r="E6781" s="1" t="str">
        <f ca="1">IFERROR(__xludf.DUMMYFUNCTION("GOOGLETRANSLATE(A3580 , ""tr"" , ""en"")"),"@drfahrettinkoca to make a statement so it should not be so hard")</f>
        <v>@drfahrettinkoca to make a statement so it should not be so hard</v>
      </c>
    </row>
    <row r="6782" spans="1:5" ht="15" customHeight="1" x14ac:dyDescent="0.2">
      <c r="A6782" s="1" t="s">
        <v>13509</v>
      </c>
      <c r="B6782" s="1">
        <v>0</v>
      </c>
      <c r="C6782" s="3">
        <v>44539.781863425924</v>
      </c>
      <c r="D6782" s="1" t="s">
        <v>13510</v>
      </c>
      <c r="E6782" s="1" t="str">
        <f ca="1">IFERROR(__xludf.DUMMYFUNCTION("GOOGLETRANSLATE(A3581 , ""tr"" , ""en"")"),"@drfahrettinka I began to believe in the number of cases. Several students in husband school Covit and only Bi ... https://t.co/xb6z6ztkp3")</f>
        <v>@drfahrettinka I began to believe in the number of cases. Several students in husband school Covit and only Bi ... https://t.co/xb6z6ztkp3</v>
      </c>
    </row>
    <row r="6783" spans="1:5" ht="15" customHeight="1" x14ac:dyDescent="0.2">
      <c r="A6783" s="1" t="s">
        <v>13511</v>
      </c>
      <c r="B6783" s="1">
        <v>0</v>
      </c>
      <c r="C6783" s="3">
        <v>44539.781840277778</v>
      </c>
      <c r="D6783" s="1" t="s">
        <v>13512</v>
      </c>
      <c r="E6783" s="1" t="str">
        <f ca="1">IFERROR(__xludf.DUMMYFUNCTION("GOOGLETRANSLATE(A3582 , ""tr"" , ""en"")"),"@drfahrettinkoca clasum clavy claske clasum clasum clasum clasum clasum clasum clasum clasum clasum clasum clasum clasum clasum guide guide guide guide guide ... https://t.co/eyc7ujljz6")</f>
        <v>@drfahrettinkoca clasum clavy claske clasum clasum clasum clasum clasum clasum clasum clasum clasum clasum clasum clasum clasum guide guide guide guide guide ... https://t.co/eyc7ujljz6</v>
      </c>
    </row>
    <row r="6784" spans="1:5" ht="15" customHeight="1" x14ac:dyDescent="0.2">
      <c r="A6784" s="1" t="s">
        <v>13513</v>
      </c>
      <c r="B6784" s="1">
        <v>4</v>
      </c>
      <c r="C6784" s="3">
        <v>44539.781782407408</v>
      </c>
      <c r="D6784" s="1" t="s">
        <v>13514</v>
      </c>
      <c r="E6784" s="1" t="str">
        <f ca="1">IFERROR(__xludf.DUMMYFUNCTION("GOOGLETRANSLATE(A3583 , ""tr"" , ""en"")"),"@drfahrettinkoca is enough to hang up. @drfahrettinkoca # fkocayakilavuzyaistifa")</f>
        <v>@drfahrettinkoca is enough to hang up. @drfahrettinkoca # fkocayakilavuzyaistifa</v>
      </c>
    </row>
    <row r="6785" spans="1:5" ht="15" customHeight="1" x14ac:dyDescent="0.2">
      <c r="A6785" s="1" t="s">
        <v>13515</v>
      </c>
      <c r="B6785" s="1">
        <v>15</v>
      </c>
      <c r="C6785" s="3">
        <v>44539.781747685185</v>
      </c>
      <c r="D6785" s="1" t="s">
        <v>13516</v>
      </c>
      <c r="E6785" s="1" t="str">
        <f ca="1">IFERROR(__xludf.DUMMYFUNCTION("GOOGLETRANSLATE(A3584 , ""tr"" , ""en"")"),"@drfahrettinkoca Mr. Minister !! We have no news from our omicron ??? I wonder what is going on nais at our country ?? Han ... https://t.co/cmkh3lstwr")</f>
        <v>@drfahrettinkoca Mr. Minister !! We have no news from our omicron ??? I wonder what is going on nais at our country ?? Han ... https://t.co/cmkh3lstwr</v>
      </c>
    </row>
    <row r="6786" spans="1:5" ht="15" customHeight="1" x14ac:dyDescent="0.2">
      <c r="A6786" s="1" t="s">
        <v>13517</v>
      </c>
      <c r="B6786" s="1">
        <v>6</v>
      </c>
      <c r="C6786" s="3">
        <v>44539.781643518516</v>
      </c>
      <c r="D6786" s="1" t="s">
        <v>13518</v>
      </c>
      <c r="E6786" s="1" t="str">
        <f ca="1">IFERROR(__xludf.DUMMYFUNCTION("GOOGLETRANSLATE(A3585 , ""tr"" , ""en"")"),"@drfahrettinkoca il il is increasing but what hikmet is diminished in the tutal.")</f>
        <v>@drfahrettinkoca il il is increasing but what hikmet is diminished in the tutal.</v>
      </c>
    </row>
    <row r="6787" spans="1:5" ht="15" customHeight="1" x14ac:dyDescent="0.2">
      <c r="A6787" s="1" t="s">
        <v>13519</v>
      </c>
      <c r="B6787" s="1">
        <v>0</v>
      </c>
      <c r="C6787" s="3">
        <v>44539.781597222223</v>
      </c>
      <c r="D6787" s="1" t="s">
        <v>13520</v>
      </c>
      <c r="E6787" s="1" t="str">
        <f ca="1">IFERROR(__xludf.DUMMYFUNCTION("GOOGLETRANSLATE(A3586 , ""tr"" , ""en"")"),"@drfahrettinkoca Norwega has been a 5 thousand cases panic. We have been between 20-30 thousand in the weeks. Either increase ... https://t.co/ARVMZIDFVV")</f>
        <v>@drfahrettinkoca Norwega has been a 5 thousand cases panic. We have been between 20-30 thousand in the weeks. Either increase ... https://t.co/ARVMZIDFVV</v>
      </c>
    </row>
    <row r="6788" spans="1:5" ht="15" customHeight="1" x14ac:dyDescent="0.2">
      <c r="A6788" s="1" t="s">
        <v>13521</v>
      </c>
      <c r="B6788" s="1">
        <v>0</v>
      </c>
      <c r="C6788" s="3">
        <v>44539.781539351854</v>
      </c>
      <c r="D6788" s="1" t="s">
        <v>13522</v>
      </c>
      <c r="E6788" s="1" t="str">
        <f ca="1">IFERROR(__xludf.DUMMYFUNCTION("GOOGLETRANSLATE(A3587 , ""tr"" , ""en"")"),"@drfahrettinkoca Dear Minister Why Don't Assign Your Assignment You Just Demed Yourself The Process Weace Extended November ... HTTPS://T.CO/DW1A9QB4O1")</f>
        <v>@drfahrettinkoca Dear Minister Why Don't Assign Your Assignment You Just Demed Yourself The Process Weace Extended November ... HTTPS://T.CO/DW1A9QB4O1</v>
      </c>
    </row>
    <row r="6789" spans="1:5" ht="15" customHeight="1" x14ac:dyDescent="0.2">
      <c r="A6789" s="1" t="s">
        <v>13523</v>
      </c>
      <c r="B6789" s="1">
        <v>0</v>
      </c>
      <c r="C6789" s="3">
        <v>44539.781493055554</v>
      </c>
      <c r="D6789" s="1" t="s">
        <v>13524</v>
      </c>
      <c r="E6789" s="1" t="str">
        <f ca="1">IFERROR(__xludf.DUMMYFUNCTION("GOOGLETRANSLATE(A3588 , ""tr"" , ""en"")"),"@drfahrettinkoca Can all this be the responsible liquids?")</f>
        <v>@drfahrettinkoca Can all this be the responsible liquids?</v>
      </c>
    </row>
    <row r="6790" spans="1:5" ht="15" customHeight="1" x14ac:dyDescent="0.2">
      <c r="A6790" s="1" t="s">
        <v>13525</v>
      </c>
      <c r="B6790" s="1">
        <v>0</v>
      </c>
      <c r="C6790" s="3">
        <v>44539.781469907408</v>
      </c>
      <c r="D6790" s="1" t="s">
        <v>13526</v>
      </c>
      <c r="E6790" s="1" t="str">
        <f ca="1">IFERROR(__xludf.DUMMYFUNCTION("GOOGLETRANSLATE(A3589 , ""tr"" , ""en"")"),"@drfahrettinkoca Minister of Architecture Acquisite Nolur We will wait for our patience")</f>
        <v>@drfahrettinkoca Minister of Architecture Acquisite Nolur We will wait for our patience</v>
      </c>
    </row>
    <row r="6791" spans="1:5" ht="15" customHeight="1" x14ac:dyDescent="0.2">
      <c r="A6791" s="1" t="s">
        <v>13527</v>
      </c>
      <c r="B6791" s="1">
        <v>60</v>
      </c>
      <c r="C6791" s="3">
        <v>44539.781354166669</v>
      </c>
      <c r="D6791" s="1" t="s">
        <v>13528</v>
      </c>
      <c r="E6791" s="1" t="str">
        <f ca="1">IFERROR(__xludf.DUMMYFUNCTION("GOOGLETRANSLATE(A3590 , ""tr"" , ""en"")"),"@drfahrettinkoca Non-Virus Non Variant Disease Dutch You will continue in ... https://t.co/des3zqggvp")</f>
        <v>@drfahrettinkoca Non-Virus Non Variant Disease Dutch You will continue in ... https://t.co/des3zqggvp</v>
      </c>
    </row>
    <row r="6792" spans="1:5" ht="15" customHeight="1" x14ac:dyDescent="0.2">
      <c r="A6792" s="1" t="s">
        <v>13529</v>
      </c>
      <c r="B6792" s="1">
        <v>44</v>
      </c>
      <c r="C6792" s="3">
        <v>44539.781331018516</v>
      </c>
      <c r="D6792" s="1" t="s">
        <v>13530</v>
      </c>
      <c r="E6792" s="1" t="str">
        <f ca="1">IFERROR(__xludf.DUMMYFUNCTION("GOOGLETRANSLATE(A3591 , ""tr"" , ""en"")"),"@drfahrettinkoca World Omicron is taking measures on the precaution for the variant. We do not have case increase in Europe D ... https://t.co/zy1cwkcz7j")</f>
        <v>@drfahrettinkoca World Omicron is taking measures on the precaution for the variant. We do not have case increase in Europe D ... https://t.co/zy1cwkcz7j</v>
      </c>
    </row>
    <row r="6793" spans="1:5" ht="15" customHeight="1" x14ac:dyDescent="0.2">
      <c r="A6793" s="1" t="s">
        <v>13531</v>
      </c>
      <c r="B6793" s="1">
        <v>4</v>
      </c>
      <c r="C6793" s="3">
        <v>44539.7812962963</v>
      </c>
      <c r="D6793" s="1" t="s">
        <v>13532</v>
      </c>
      <c r="E6793" s="1" t="str">
        <f ca="1">IFERROR(__xludf.DUMMYFUNCTION("GOOGLETRANSLATE(A3592 , ""tr"" , ""en"")"),"@drfahrettinka 5 thousand cases and the maximum measure on 20 pass days have a bosverchally in these numbers.")</f>
        <v>@drfahrettinka 5 thousand cases and the maximum measure on 20 pass days have a bosverchally in these numbers.</v>
      </c>
    </row>
    <row r="6794" spans="1:5" ht="15" customHeight="1" x14ac:dyDescent="0.2">
      <c r="A6794" s="1" t="s">
        <v>13533</v>
      </c>
      <c r="B6794" s="1">
        <v>5</v>
      </c>
      <c r="C6794" s="3">
        <v>44539.7812962963</v>
      </c>
      <c r="D6794" s="1" t="s">
        <v>13534</v>
      </c>
      <c r="E6794" s="1" t="str">
        <f ca="1">IFERROR(__xludf.DUMMYFUNCTION("GOOGLETRANSLATE(A3593 , ""tr"" , ""en"")"),"@drfahrettinkoca I wondered how many dose of overdose will be completed after? Or continue to vaccination until you die")</f>
        <v>@drfahrettinkoca I wondered how many dose of overdose will be completed after? Or continue to vaccination until you die</v>
      </c>
    </row>
    <row r="6795" spans="1:5" ht="15" customHeight="1" x14ac:dyDescent="0.2">
      <c r="A6795" s="1" t="s">
        <v>13535</v>
      </c>
      <c r="B6795" s="1">
        <v>0</v>
      </c>
      <c r="C6795" s="3">
        <v>44539.781180555554</v>
      </c>
      <c r="D6795" s="1" t="s">
        <v>13536</v>
      </c>
      <c r="E6795" s="1" t="str">
        <f ca="1">IFERROR(__xludf.DUMMYFUNCTION("GOOGLETRANSLATE(A3594 , ""tr"" , ""en"")"),"@drfahrettinkoca 195 lost. Positive situation?")</f>
        <v>@drfahrettinkoca 195 lost. Positive situation?</v>
      </c>
    </row>
    <row r="6796" spans="1:5" ht="15" customHeight="1" x14ac:dyDescent="0.2">
      <c r="A6796" s="1" t="s">
        <v>13537</v>
      </c>
      <c r="B6796" s="1">
        <v>3</v>
      </c>
      <c r="C6796" s="3">
        <v>44539.781168981484</v>
      </c>
      <c r="D6796" s="1" t="s">
        <v>13538</v>
      </c>
      <c r="E6796" s="1" t="str">
        <f ca="1">IFERROR(__xludf.DUMMYFUNCTION("GOOGLETRANSLATE(A3595 , ""tr"" , ""en"")"),"@drfahrettinkoca Why did you show 40 thoini 2021 on the table you have shared? We have not been assigned because ... https://t.co/hrnup7blbn")</f>
        <v>@drfahrettinkoca Why did you show 40 thoini 2021 on the table you have shared? We have not been assigned because ... https://t.co/hrnup7blbn</v>
      </c>
    </row>
    <row r="6797" spans="1:5" ht="15" customHeight="1" x14ac:dyDescent="0.2">
      <c r="A6797" s="1" t="s">
        <v>13539</v>
      </c>
      <c r="B6797" s="1">
        <v>0</v>
      </c>
      <c r="C6797" s="3">
        <v>44539.781134259261</v>
      </c>
      <c r="D6797" s="1" t="s">
        <v>13540</v>
      </c>
      <c r="E6797" s="1" t="str">
        <f ca="1">IFERROR(__xludf.DUMMYFUNCTION("GOOGLETRANSLATE(A3596 , ""tr"" , ""en"")"),"@drfahrettinkoca guide guide guide")</f>
        <v>@drfahrettinkoca guide guide guide</v>
      </c>
    </row>
    <row r="6798" spans="1:5" ht="15" customHeight="1" x14ac:dyDescent="0.2">
      <c r="A6798" s="1" t="s">
        <v>13541</v>
      </c>
      <c r="B6798" s="1">
        <v>1</v>
      </c>
      <c r="C6798" s="3">
        <v>44539.781099537038</v>
      </c>
      <c r="D6798" s="1" t="s">
        <v>13542</v>
      </c>
      <c r="E6798" s="1" t="str">
        <f ca="1">IFERROR(__xludf.DUMMYFUNCTION("GOOGLETRANSLATE(A3597 , ""tr"" , ""en"")"),"@drfahrettinkoca necessarily be vaccinated and let's get to the rules let's keep our loved ones nice days close in disallah")</f>
        <v>@drfahrettinkoca necessarily be vaccinated and let's get to the rules let's keep our loved ones nice days close in disallah</v>
      </c>
    </row>
    <row r="6799" spans="1:5" ht="15" customHeight="1" x14ac:dyDescent="0.2">
      <c r="A6799" s="1" t="s">
        <v>12305</v>
      </c>
      <c r="B6799" s="1">
        <v>0</v>
      </c>
      <c r="C6799" s="3">
        <v>44539.781099537038</v>
      </c>
      <c r="D6799" s="1" t="s">
        <v>13543</v>
      </c>
      <c r="E6799" s="1" t="str">
        <f ca="1">IFERROR(__xludf.DUMMYFUNCTION("GOOGLETRANSLATE(A3598 , ""tr"" , ""en"")"),"@drfahrettinkoca Guide!")</f>
        <v>@drfahrettinkoca Guide!</v>
      </c>
    </row>
    <row r="6800" spans="1:5" ht="15" customHeight="1" x14ac:dyDescent="0.2">
      <c r="A6800" s="1" t="s">
        <v>13544</v>
      </c>
      <c r="B6800" s="1">
        <v>55</v>
      </c>
      <c r="C6800" s="3">
        <v>44539.781041666669</v>
      </c>
      <c r="D6800" s="1" t="s">
        <v>13545</v>
      </c>
      <c r="E6800" s="1" t="str">
        <f ca="1">IFERROR(__xludf.DUMMYFUNCTION("GOOGLETRANSLATE(A3599 , ""tr"" , ""en"")"),"@drfahrettinka has increases in Europe because they don't hide cases like you. Don't make fun of our mind anymore. First O ... https://t.co/ztmvcecgfq")</f>
        <v>@drfahrettinka has increases in Europe because they don't hide cases like you. Don't make fun of our mind anymore. First O ... https://t.co/ztmvcecgfq</v>
      </c>
    </row>
    <row r="6801" spans="1:5" ht="15" customHeight="1" x14ac:dyDescent="0.2">
      <c r="A6801" s="1" t="s">
        <v>13546</v>
      </c>
      <c r="B6801" s="1">
        <v>3</v>
      </c>
      <c r="C6801" s="3">
        <v>44539.781030092592</v>
      </c>
      <c r="D6801" s="1" t="s">
        <v>13547</v>
      </c>
      <c r="E6801" s="1" t="str">
        <f ca="1">IFERROR(__xludf.DUMMYFUNCTION("GOOGLETRANSLATE(A3600 , ""tr"" , ""en"")"),"@drfahrettinkoca Missing Experimental Civilant How many dose dose experiment is Civilians wondering?")</f>
        <v>@drfahrettinkoca Missing Experimental Civilant How many dose dose experiment is Civilians wondering?</v>
      </c>
    </row>
    <row r="6802" spans="1:5" ht="15" customHeight="1" x14ac:dyDescent="0.2">
      <c r="A6802" s="1" t="s">
        <v>13548</v>
      </c>
      <c r="B6802" s="1">
        <v>1</v>
      </c>
      <c r="C6802" s="3">
        <v>44539.780960648146</v>
      </c>
      <c r="D6802" s="1" t="s">
        <v>13549</v>
      </c>
      <c r="E6802" s="1" t="str">
        <f ca="1">IFERROR(__xludf.DUMMYFUNCTION("GOOGLETRANSLATE(A3601 , ""tr"" , ""en"")"),"@drfahrettinkoca Why did you show 40 thoini 2021 on the table you have shared? We have not been assigned ... k ... https://t.co/g2crgzw740")</f>
        <v>@drfahrettinkoca Why did you show 40 thoini 2021 on the table you have shared? We have not been assigned ... k ... https://t.co/g2crgzw740</v>
      </c>
    </row>
    <row r="6803" spans="1:5" ht="15" customHeight="1" x14ac:dyDescent="0.2">
      <c r="A6803" s="1" t="s">
        <v>13550</v>
      </c>
      <c r="B6803" s="1">
        <v>0</v>
      </c>
      <c r="C6803" s="3">
        <v>44539.78087962963</v>
      </c>
      <c r="D6803" s="1" t="s">
        <v>13551</v>
      </c>
      <c r="E6803" s="1" t="str">
        <f ca="1">IFERROR(__xludf.DUMMYFUNCTION("GOOGLETRANSLATE(A3602 , ""tr"" , ""en"")"),"@drfahrettinkoca is an increase in the number of tests")</f>
        <v>@drfahrettinkoca is an increase in the number of tests</v>
      </c>
    </row>
    <row r="6804" spans="1:5" ht="15" customHeight="1" x14ac:dyDescent="0.2">
      <c r="A6804" s="1" t="s">
        <v>13552</v>
      </c>
      <c r="B6804" s="1">
        <v>0</v>
      </c>
      <c r="C6804" s="3">
        <v>44539.78087962963</v>
      </c>
      <c r="D6804" s="1" t="s">
        <v>13553</v>
      </c>
      <c r="E6804" s="1" t="str">
        <f ca="1">IFERROR(__xludf.DUMMYFUNCTION("GOOGLETRANSLATE(A3603 , ""tr"" , ""en"")"),"@drfahrettinkoca Sn.Bakan We want the guide.Yeters now we expected ...")</f>
        <v>@drfahrettinkoca Sn.Bakan We want the guide.Yeters now we expected ...</v>
      </c>
    </row>
    <row r="6805" spans="1:5" ht="15" customHeight="1" x14ac:dyDescent="0.2">
      <c r="A6805" s="1" t="s">
        <v>13554</v>
      </c>
      <c r="B6805" s="1">
        <v>0</v>
      </c>
      <c r="C6805" s="3">
        <v>44539.780844907407</v>
      </c>
      <c r="D6805" s="1" t="s">
        <v>13555</v>
      </c>
      <c r="E6805" s="1" t="str">
        <f ca="1">IFERROR(__xludf.DUMMYFUNCTION("GOOGLETRANSLATE(A3604 , ""tr"" , ""en"")"),"@drfahrettinkoca not mentioning not execution expects guide now")</f>
        <v>@drfahrettinkoca not mentioning not execution expects guide now</v>
      </c>
    </row>
    <row r="6806" spans="1:5" ht="15" customHeight="1" x14ac:dyDescent="0.2">
      <c r="A6806" s="1" t="s">
        <v>13556</v>
      </c>
      <c r="B6806" s="1">
        <v>11</v>
      </c>
      <c r="C6806" s="3">
        <v>44539.780844907407</v>
      </c>
      <c r="D6806" s="1" t="s">
        <v>13557</v>
      </c>
      <c r="E6806" s="1" t="str">
        <f ca="1">IFERROR(__xludf.DUMMYFUNCTION("GOOGLETRANSLATE(A3605 , ""tr"" , ""en"")"),"@drfahrettinkoca Allah all your favorite ones in your mind let you come on your head #kabineomicrongel")</f>
        <v>@drfahrettinkoca Allah all your favorite ones in your mind let you come on your head #kabineomicrongel</v>
      </c>
    </row>
    <row r="6807" spans="1:5" ht="15" customHeight="1" x14ac:dyDescent="0.2">
      <c r="A6807" s="1" t="s">
        <v>13558</v>
      </c>
      <c r="B6807" s="1">
        <v>1</v>
      </c>
      <c r="C6807" s="3">
        <v>44539.780798611115</v>
      </c>
      <c r="D6807" s="1" t="s">
        <v>13559</v>
      </c>
      <c r="E6807" s="1" t="str">
        <f ca="1">IFERROR(__xludf.DUMMYFUNCTION("GOOGLETRANSLATE(A3606 , ""tr"" , ""en"")"),"@drfahrettinkoca Why did you show 40 thoini 2021 on the table you have shared? We were not assigned because ... ... https://t.co/h38x2wd5uo")</f>
        <v>@drfahrettinkoca Why did you show 40 thoini 2021 on the table you have shared? We were not assigned because ... ... https://t.co/h38x2wd5uo</v>
      </c>
    </row>
    <row r="6808" spans="1:5" ht="15" customHeight="1" x14ac:dyDescent="0.2">
      <c r="A6808" s="1" t="s">
        <v>13560</v>
      </c>
      <c r="B6808" s="1">
        <v>2</v>
      </c>
      <c r="C6808" s="3">
        <v>44539.780775462961</v>
      </c>
      <c r="D6808" s="1" t="s">
        <v>13561</v>
      </c>
      <c r="E6808" s="1" t="str">
        <f ca="1">IFERROR(__xludf.DUMMYFUNCTION("GOOGLETRANSLATE(A3607 , ""tr"" , ""en"")"),"If @drfahrettinkoca assign the stove, my right is not halal to those who cause it. We have ahny")</f>
        <v>If @drfahrettinkoca assign the stove, my right is not halal to those who cause it. We have ahny</v>
      </c>
    </row>
    <row r="6809" spans="1:5" ht="15" customHeight="1" x14ac:dyDescent="0.2">
      <c r="A6809" s="1" t="s">
        <v>13562</v>
      </c>
      <c r="B6809" s="1">
        <v>6</v>
      </c>
      <c r="C6809" s="3">
        <v>44539.780763888892</v>
      </c>
      <c r="D6809" s="1" t="s">
        <v>13563</v>
      </c>
      <c r="E6809" s="1" t="str">
        <f ca="1">IFERROR(__xludf.DUMMYFUNCTION("GOOGLETRANSLATE(A3608 , ""tr"" , ""en"")"),"@drfahrettinkoca SARS-COV-2 Is there a virus? The name of the disease names such as flu, cold, bronchitis, pneumonia D ... HTTPS://T.CO/KWXOEIFWFJ")</f>
        <v>@drfahrettinkoca SARS-COV-2 Is there a virus? The name of the disease names such as flu, cold, bronchitis, pneumonia D ... HTTPS://T.CO/KWXOEIFWFJ</v>
      </c>
    </row>
    <row r="6810" spans="1:5" ht="15" customHeight="1" x14ac:dyDescent="0.2">
      <c r="A6810" s="1" t="s">
        <v>13564</v>
      </c>
      <c r="B6810" s="1">
        <v>1</v>
      </c>
      <c r="C6810" s="3">
        <v>44539.780659722222</v>
      </c>
      <c r="D6810" s="1" t="s">
        <v>13565</v>
      </c>
      <c r="E6810" s="1" t="str">
        <f ca="1">IFERROR(__xludf.DUMMYFUNCTION("GOOGLETRANSLATE(A3609 , ""tr"" , ""en"")"),"@drfahrettinkoca 195 you have gone you still have positive situation in Europe don't have this daily daily number of daily aci ... https://t.co/hvrg2kdofe")</f>
        <v>@drfahrettinkoca 195 you have gone you still have positive situation in Europe don't have this daily daily number of daily aci ... https://t.co/hvrg2kdofe</v>
      </c>
    </row>
    <row r="6811" spans="1:5" ht="15" customHeight="1" x14ac:dyDescent="0.2">
      <c r="A6811" s="1" t="s">
        <v>13566</v>
      </c>
      <c r="B6811" s="1">
        <v>134</v>
      </c>
      <c r="C6811" s="3">
        <v>44539.780509259261</v>
      </c>
      <c r="D6811" s="1" t="s">
        <v>13567</v>
      </c>
      <c r="E6811" s="1" t="str">
        <f ca="1">IFERROR(__xludf.DUMMYFUNCTION("GOOGLETRANSLATE(A3610 , ""tr"" , ""en"")"),"@drfahrettinkoca in Europe in 70%, 80%, 90% in Europe in Europe, 100% nearby in Cebelitari ... https://t.co/y7s4eyq5ij")</f>
        <v>@drfahrettinkoca in Europe in 70%, 80%, 90% in Europe in Europe, 100% nearby in Cebelitari ... https://t.co/y7s4eyq5ij</v>
      </c>
    </row>
    <row r="6812" spans="1:5" ht="15" customHeight="1" x14ac:dyDescent="0.2">
      <c r="A6812" s="1" t="s">
        <v>12377</v>
      </c>
      <c r="B6812" s="1">
        <v>0</v>
      </c>
      <c r="C6812" s="3">
        <v>44539.780509259261</v>
      </c>
      <c r="D6812" s="1" t="s">
        <v>13568</v>
      </c>
      <c r="E6812" s="1" t="str">
        <f ca="1">IFERROR(__xludf.DUMMYFUNCTION("GOOGLETRANSLATE(A3611 , ""tr"" , ""en"")"),"@drfahrettinkoca 😀😀😀")</f>
        <v>@drfahrettinkoca 😀😀😀</v>
      </c>
    </row>
    <row r="6813" spans="1:5" ht="15" customHeight="1" x14ac:dyDescent="0.2">
      <c r="A6813" s="1" t="s">
        <v>13569</v>
      </c>
      <c r="B6813" s="1">
        <v>0</v>
      </c>
      <c r="C6813" s="3">
        <v>44539.780462962961</v>
      </c>
      <c r="D6813" s="1" t="s">
        <v>13570</v>
      </c>
      <c r="E6813" s="1" t="str">
        <f ca="1">IFERROR(__xludf.DUMMYFUNCTION("GOOGLETRANSLATE(A3612 , ""tr"" , ""en"")"),"@drfahrettinkoca is explained by the instruction.")</f>
        <v>@drfahrettinkoca is explained by the instruction.</v>
      </c>
    </row>
    <row r="6814" spans="1:5" ht="15" customHeight="1" x14ac:dyDescent="0.2">
      <c r="A6814" s="1" t="s">
        <v>13571</v>
      </c>
      <c r="B6814" s="1">
        <v>0</v>
      </c>
      <c r="C6814" s="3">
        <v>44539.780439814815</v>
      </c>
      <c r="D6814" s="1" t="s">
        <v>13572</v>
      </c>
      <c r="E6814" s="1" t="str">
        <f ca="1">IFERROR(__xludf.DUMMYFUNCTION("GOOGLETRANSLATE(A3613 , ""tr"" , ""en"")"),"@drfahrettinkoca Ministry of Turkovac Vaccine Approval")</f>
        <v>@drfahrettinkoca Ministry of Turkovac Vaccine Approval</v>
      </c>
    </row>
    <row r="6815" spans="1:5" ht="15" customHeight="1" x14ac:dyDescent="0.2">
      <c r="A6815" s="1" t="s">
        <v>13573</v>
      </c>
      <c r="B6815" s="1">
        <v>10</v>
      </c>
      <c r="C6815" s="3">
        <v>44539.780381944445</v>
      </c>
      <c r="D6815" s="1" t="s">
        <v>13574</v>
      </c>
      <c r="E6815" s="1" t="str">
        <f ca="1">IFERROR(__xludf.DUMMYFUNCTION("GOOGLETRANSLATE(A3614 , ""tr"" , ""en"")"),"@drfahrettinkoca I wish our trust in you wish you couldn't. https://t.co/f4sgifnbo3")</f>
        <v>@drfahrettinkoca I wish our trust in you wish you couldn't. https://t.co/f4sgifnbo3</v>
      </c>
    </row>
    <row r="6816" spans="1:5" ht="15" customHeight="1" x14ac:dyDescent="0.2">
      <c r="A6816" s="1" t="s">
        <v>13575</v>
      </c>
      <c r="B6816" s="1">
        <v>45</v>
      </c>
      <c r="C6816" s="3">
        <v>44539.780358796299</v>
      </c>
      <c r="D6816" s="1" t="s">
        <v>13576</v>
      </c>
      <c r="E6816" s="1" t="str">
        <f ca="1">IFERROR(__xludf.DUMMYFUNCTION("GOOGLETRANSLATE(A3615 , ""tr"" , ""en"")"),"@drfahrettinka What is the writer wants to tell here? https://t.co/3lpocea5kz")</f>
        <v>@drfahrettinka What is the writer wants to tell here? https://t.co/3lpocea5kz</v>
      </c>
    </row>
    <row r="6817" spans="1:5" ht="15" customHeight="1" x14ac:dyDescent="0.2">
      <c r="A6817" s="1" t="s">
        <v>13577</v>
      </c>
      <c r="B6817" s="1">
        <v>0</v>
      </c>
      <c r="C6817" s="3">
        <v>44539.780358796299</v>
      </c>
      <c r="D6817" s="1" t="s">
        <v>13578</v>
      </c>
      <c r="E6817" s="1" t="str">
        <f ca="1">IFERROR(__xludf.DUMMYFUNCTION("GOOGLETRANSLATE(A3616 , ""tr"" , ""en"")"),"@drfahrettinkoca shown not shown?")</f>
        <v>@drfahrettinkoca shown not shown?</v>
      </c>
    </row>
    <row r="6818" spans="1:5" ht="15" customHeight="1" x14ac:dyDescent="0.2">
      <c r="A6818" s="1" t="s">
        <v>13579</v>
      </c>
      <c r="B6818" s="1">
        <v>5</v>
      </c>
      <c r="C6818" s="3">
        <v>44539.780277777776</v>
      </c>
      <c r="D6818" s="1" t="s">
        <v>13580</v>
      </c>
      <c r="E6818" s="1" t="str">
        <f ca="1">IFERROR(__xludf.DUMMYFUNCTION("GOOGLETRANSLATE(A3617 , ""tr"" , ""en"")"),"@drfahrettinkoca every day you see thousands of guide messages and why don't you answer. Healthiers are not in your care")</f>
        <v>@drfahrettinkoca every day you see thousands of guide messages and why don't you answer. Healthiers are not in your care</v>
      </c>
    </row>
    <row r="6819" spans="1:5" ht="15" customHeight="1" x14ac:dyDescent="0.2">
      <c r="A6819" s="1" t="s">
        <v>13581</v>
      </c>
      <c r="B6819" s="1">
        <v>0</v>
      </c>
      <c r="C6819" s="3">
        <v>44539.78025462963</v>
      </c>
      <c r="D6819" s="1" t="s">
        <v>13582</v>
      </c>
      <c r="E6819" s="1" t="str">
        <f ca="1">IFERROR(__xludf.DUMMYFUNCTION("GOOGLETRANSLATE(A3618 , ""tr"" , ""en"")"),"@drfahrettinkoca nation will kill hunger to the vaccine will not need to be needed money.")</f>
        <v>@drfahrettinkoca nation will kill hunger to the vaccine will not need to be needed money.</v>
      </c>
    </row>
    <row r="6820" spans="1:5" ht="15" customHeight="1" x14ac:dyDescent="0.2">
      <c r="A6820" s="1" t="s">
        <v>13583</v>
      </c>
      <c r="B6820" s="1">
        <v>0</v>
      </c>
      <c r="C6820" s="3">
        <v>44539.780231481483</v>
      </c>
      <c r="D6820" s="1" t="s">
        <v>13584</v>
      </c>
      <c r="E6820" s="1" t="str">
        <f ca="1">IFERROR(__xludf.DUMMYFUNCTION("GOOGLETRANSLATE(A3619 , ""tr"" , ""en"")"),"@drfahrettinkoca Equomical Crisis in Musebb, a DSO officer F.Koca and Mason Scientist Science Board Si ... https://t.co/n9ldsodu7s")</f>
        <v>@drfahrettinkoca Equomical Crisis in Musebb, a DSO officer F.Koca and Mason Scientist Science Board Si ... https://t.co/n9ldsodu7s</v>
      </c>
    </row>
    <row r="6821" spans="1:5" ht="15" customHeight="1" x14ac:dyDescent="0.2">
      <c r="A6821" s="1" t="s">
        <v>13585</v>
      </c>
      <c r="B6821" s="1">
        <v>6</v>
      </c>
      <c r="C6821" s="3">
        <v>44539.780104166668</v>
      </c>
      <c r="D6821" s="1" t="s">
        <v>13586</v>
      </c>
      <c r="E6821" s="1" t="str">
        <f ca="1">IFERROR(__xludf.DUMMYFUNCTION("GOOGLETRANSLATE(A3620 , ""tr"" , ""en"")"),"@drfahrettinka 19000 Cake 9500 in our apartment. The other half of the other minister in your apartment! Find Yabu ... https://t.co/gjsqdtcifx")</f>
        <v>@drfahrettinka 19000 Cake 9500 in our apartment. The other half of the other minister in your apartment! Find Yabu ... https://t.co/gjsqdtcifx</v>
      </c>
    </row>
    <row r="6822" spans="1:5" ht="15" customHeight="1" x14ac:dyDescent="0.2">
      <c r="A6822" s="1" t="s">
        <v>13587</v>
      </c>
      <c r="B6822" s="1">
        <v>20</v>
      </c>
      <c r="C6822" s="3">
        <v>44539.779976851853</v>
      </c>
      <c r="D6822" s="1" t="s">
        <v>13588</v>
      </c>
      <c r="E6822" s="1" t="str">
        <f ca="1">IFERROR(__xludf.DUMMYFUNCTION("GOOGLETRANSLATE(A3621 , ""tr"" , ""en"")"),"@drfahrettinkoca We are waiting for an explanation of the Assignment Guide. # Fkocayakilavuzyaistifa")</f>
        <v>@drfahrettinkoca We are waiting for an explanation of the Assignment Guide. # Fkocayakilavuzyaistifa</v>
      </c>
    </row>
    <row r="6823" spans="1:5" ht="15" customHeight="1" x14ac:dyDescent="0.2">
      <c r="A6823" s="1" t="s">
        <v>13589</v>
      </c>
      <c r="B6823" s="1">
        <v>0</v>
      </c>
      <c r="C6823" s="3">
        <v>44539.779976851853</v>
      </c>
      <c r="D6823" s="1" t="s">
        <v>13590</v>
      </c>
      <c r="E6823" s="1" t="str">
        <f ca="1">IFERROR(__xludf.DUMMYFUNCTION("GOOGLETRANSLATE(A3622 , ""tr"" , ""en"")"),"@drfahrettinkoca guide Why don't you post too much do you want to")</f>
        <v>@drfahrettinkoca guide Why don't you post too much do you want to</v>
      </c>
    </row>
    <row r="6824" spans="1:5" ht="15" customHeight="1" x14ac:dyDescent="0.2">
      <c r="A6824" s="1" t="s">
        <v>13591</v>
      </c>
      <c r="B6824" s="1">
        <v>261</v>
      </c>
      <c r="C6824" s="3">
        <v>44539.779930555553</v>
      </c>
      <c r="D6824" s="1" t="s">
        <v>13592</v>
      </c>
      <c r="E6824" s="1" t="str">
        <f ca="1">IFERROR(__xludf.DUMMYFUNCTION("GOOGLETRANSLATE(A3623 , ""tr"" , ""en"")"),"@drfahrettinkoca believes in Hulk that believes the number of cases is real.")</f>
        <v>@drfahrettinkoca believes in Hulk that believes the number of cases is real.</v>
      </c>
    </row>
    <row r="6825" spans="1:5" ht="15" customHeight="1" x14ac:dyDescent="0.2">
      <c r="A6825" s="1" t="s">
        <v>13593</v>
      </c>
      <c r="B6825" s="1">
        <v>0</v>
      </c>
      <c r="C6825" s="3">
        <v>44539.779895833337</v>
      </c>
      <c r="D6825" s="1" t="s">
        <v>13594</v>
      </c>
      <c r="E6825" s="1" t="str">
        <f ca="1">IFERROR(__xludf.DUMMYFUNCTION("GOOGLETRANSLATE(A3624 , ""tr"" , ""en"")"),"@drfahrettinkoca we want guide @drfahrettinkoca")</f>
        <v>@drfahrettinkoca we want guide @drfahrettinkoca</v>
      </c>
    </row>
    <row r="6826" spans="1:5" ht="15" customHeight="1" x14ac:dyDescent="0.2">
      <c r="A6826" s="1" t="s">
        <v>13595</v>
      </c>
      <c r="B6826" s="1">
        <v>1</v>
      </c>
      <c r="C6826" s="3">
        <v>44539.779861111114</v>
      </c>
      <c r="D6826" s="1" t="s">
        <v>13596</v>
      </c>
      <c r="E6826" s="1" t="str">
        <f ca="1">IFERROR(__xludf.DUMMYFUNCTION("GOOGLETRANSLATE(A3625 , ""tr"" , ""en"")"),"@drfahrettinkoca guide guide guidezzzzz")</f>
        <v>@drfahrettinkoca guide guide guidezzzzz</v>
      </c>
    </row>
    <row r="6827" spans="1:5" ht="15" customHeight="1" x14ac:dyDescent="0.2">
      <c r="A6827" s="1" t="s">
        <v>13597</v>
      </c>
      <c r="B6827" s="1">
        <v>0</v>
      </c>
      <c r="C6827" s="3">
        <v>44539.779803240737</v>
      </c>
      <c r="D6827" s="1" t="s">
        <v>13598</v>
      </c>
      <c r="E6827" s="1" t="str">
        <f ca="1">IFERROR(__xludf.DUMMYFUNCTION("GOOGLETRANSLATE(A3626 , ""tr"" , ""en"")"),"@drfahrettinka https://t.co/dozfjjpyek")</f>
        <v>@drfahrettinka https://t.co/dozfjjpyek</v>
      </c>
    </row>
    <row r="6828" spans="1:5" ht="15" customHeight="1" x14ac:dyDescent="0.2">
      <c r="A6828" s="1" t="s">
        <v>13599</v>
      </c>
      <c r="B6828" s="1">
        <v>0</v>
      </c>
      <c r="C6828" s="3">
        <v>44539.779803240737</v>
      </c>
      <c r="D6828" s="1" t="s">
        <v>13600</v>
      </c>
      <c r="E6828" s="1" t="str">
        <f ca="1">IFERROR(__xludf.DUMMYFUNCTION("GOOGLETRANSLATE(A3627 , ""tr"" , ""en"")"),"@drfahrettinkoca Minister @drfahrettinka Truly our psychology is broken why this process is so long now ... https://t.co/v13tp0kswt")</f>
        <v>@drfahrettinkoca Minister @drfahrettinka Truly our psychology is broken why this process is so long now ... https://t.co/v13tp0kswt</v>
      </c>
    </row>
    <row r="6829" spans="1:5" ht="15" customHeight="1" x14ac:dyDescent="0.2">
      <c r="A6829" s="1" t="s">
        <v>13601</v>
      </c>
      <c r="B6829" s="1">
        <v>4</v>
      </c>
      <c r="C6829" s="3">
        <v>44539.779780092591</v>
      </c>
      <c r="D6829" s="1" t="s">
        <v>13602</v>
      </c>
      <c r="E6829" s="1" t="str">
        <f ca="1">IFERROR(__xludf.DUMMYFUNCTION("GOOGLETRANSLATE(A3628 , ""tr"" , ""en"")"),"@drfahrettinkoca not promise to execution # fkocayakilavuzyaistifa")</f>
        <v>@drfahrettinkoca not promise to execution # fkocayakilavuzyaistifa</v>
      </c>
    </row>
    <row r="6830" spans="1:5" ht="15" customHeight="1" x14ac:dyDescent="0.2">
      <c r="A6830" s="1" t="s">
        <v>13603</v>
      </c>
      <c r="B6830" s="1">
        <v>4</v>
      </c>
      <c r="C6830" s="3">
        <v>44539.779722222222</v>
      </c>
      <c r="D6830" s="1" t="s">
        <v>13604</v>
      </c>
      <c r="E6830" s="1" t="str">
        <f ca="1">IFERROR(__xludf.DUMMYFUNCTION("GOOGLETRANSLATE(A3629 , ""tr"" , ""en"")"),"@drfahrettinkoca @saglikbakanligi Vafar Editing Number HE Day 200 How is it on the band. Will not be 150 at all 250?")</f>
        <v>@drfahrettinkoca @saglikbakanligi Vafar Editing Number HE Day 200 How is it on the band. Will not be 150 at all 250?</v>
      </c>
    </row>
    <row r="6831" spans="1:5" ht="15" customHeight="1" x14ac:dyDescent="0.2">
      <c r="A6831" s="1" t="s">
        <v>13605</v>
      </c>
      <c r="B6831" s="1">
        <v>0</v>
      </c>
      <c r="C6831" s="3">
        <v>44539.779722222222</v>
      </c>
      <c r="D6831" s="1" t="s">
        <v>13606</v>
      </c>
      <c r="E6831" s="1" t="str">
        <f ca="1">IFERROR(__xludf.DUMMYFUNCTION("GOOGLETRANSLATE(A3630 , ""tr"" , ""en"")"),"@drfahrettinkoca Minister to assignment to assignment do not count so much that is so bad make an explanation")</f>
        <v>@drfahrettinkoca Minister to assignment to assignment do not count so much that is so bad make an explanation</v>
      </c>
    </row>
    <row r="6832" spans="1:5" ht="15" customHeight="1" x14ac:dyDescent="0.2">
      <c r="A6832" s="1" t="s">
        <v>13607</v>
      </c>
      <c r="B6832" s="1">
        <v>2</v>
      </c>
      <c r="C6832" s="3">
        <v>44539.779710648145</v>
      </c>
      <c r="D6832" s="1" t="s">
        <v>13608</v>
      </c>
      <c r="E6832" s="1" t="str">
        <f ca="1">IFERROR(__xludf.DUMMYFUNCTION("GOOGLETRANSLATE(A3631 , ""tr"" , ""en"")"),"@drfahrettinkoca We want to study online #kabineomicrongelism")</f>
        <v>@drfahrettinkoca We want to study online #kabineomicrongelism</v>
      </c>
    </row>
    <row r="6833" spans="1:5" ht="15" customHeight="1" x14ac:dyDescent="0.2">
      <c r="A6833" s="1" t="s">
        <v>13609</v>
      </c>
      <c r="B6833" s="1">
        <v>60</v>
      </c>
      <c r="C6833" s="3">
        <v>44539.779710648145</v>
      </c>
      <c r="D6833" s="1" t="s">
        <v>13610</v>
      </c>
      <c r="E6833" s="1" t="str">
        <f ca="1">IFERROR(__xludf.DUMMYFUNCTION("GOOGLETRANSLATE(A3632 , ""tr"" , ""en"")"),"@drfahrettinkoca schools are also the patient in the patient continuously, from there. Kim Covid Kim flu is not clear ... https://t.co/4kzlh50m2r")</f>
        <v>@drfahrettinkoca schools are also the patient in the patient continuously, from there. Kim Covid Kim flu is not clear ... https://t.co/4kzlh50m2r</v>
      </c>
    </row>
    <row r="6834" spans="1:5" ht="15" customHeight="1" x14ac:dyDescent="0.2">
      <c r="A6834" s="1" t="s">
        <v>13611</v>
      </c>
      <c r="B6834" s="1">
        <v>2</v>
      </c>
      <c r="C6834" s="3">
        <v>44539.779699074075</v>
      </c>
      <c r="D6834" s="1" t="s">
        <v>13612</v>
      </c>
      <c r="E6834" s="1" t="str">
        <f ca="1">IFERROR(__xludf.DUMMYFUNCTION("GOOGLETRANSLATE(A3633 , ""tr"" , ""en"")"),"@drfahrettinkoca has since the last two months of the same test numbers are not seen sudden increases")</f>
        <v>@drfahrettinkoca has since the last two months of the same test numbers are not seen sudden increases</v>
      </c>
    </row>
    <row r="6835" spans="1:5" ht="15" customHeight="1" x14ac:dyDescent="0.2">
      <c r="A6835" s="1" t="s">
        <v>13613</v>
      </c>
      <c r="B6835" s="1">
        <v>0</v>
      </c>
      <c r="C6835" s="3">
        <v>44539.779641203706</v>
      </c>
      <c r="D6835" s="1" t="s">
        <v>13614</v>
      </c>
      <c r="E6835" s="1" t="str">
        <f ca="1">IFERROR(__xludf.DUMMYFUNCTION("GOOGLETRANSLATE(A3634 , ""tr"" , ""en"")"),"@drfahrettinkoca guide when do a coming statement please anymore")</f>
        <v>@drfahrettinkoca guide when do a coming statement please anymore</v>
      </c>
    </row>
    <row r="6836" spans="1:5" ht="15" customHeight="1" x14ac:dyDescent="0.2">
      <c r="A6836" s="1" t="s">
        <v>13615</v>
      </c>
      <c r="B6836" s="1">
        <v>0</v>
      </c>
      <c r="C6836" s="3">
        <v>44539.779560185183</v>
      </c>
      <c r="D6836" s="1" t="s">
        <v>13616</v>
      </c>
      <c r="E6836" s="1" t="str">
        <f ca="1">IFERROR(__xludf.DUMMYFUNCTION("GOOGLETRANSLATE(A3635 , ""tr"" , ""en"")"),"@drfahrettinkoca klavuzzz")</f>
        <v>@drfahrettinkoca klavuzzz</v>
      </c>
    </row>
    <row r="6837" spans="1:5" ht="15" customHeight="1" x14ac:dyDescent="0.2">
      <c r="A6837" s="1" t="s">
        <v>13617</v>
      </c>
      <c r="B6837" s="1">
        <v>2</v>
      </c>
      <c r="C6837" s="3">
        <v>44539.779560185183</v>
      </c>
      <c r="D6837" s="1" t="s">
        <v>13618</v>
      </c>
      <c r="E6837" s="1" t="str">
        <f ca="1">IFERROR(__xludf.DUMMYFUNCTION("GOOGLETRANSLATE(A3636 , ""tr"" , ""en"")"),"@drfahrettinkoca This guy is going to go wild me #kabineomicrongelism")</f>
        <v>@drfahrettinkoca This guy is going to go wild me #kabineomicrongelism</v>
      </c>
    </row>
    <row r="6838" spans="1:5" ht="15" customHeight="1" x14ac:dyDescent="0.2">
      <c r="A6838" s="1" t="s">
        <v>13619</v>
      </c>
      <c r="B6838" s="1">
        <v>16</v>
      </c>
      <c r="C6838" s="3">
        <v>44539.779548611114</v>
      </c>
      <c r="D6838" s="1" t="s">
        <v>13620</v>
      </c>
      <c r="E6838" s="1" t="str">
        <f ca="1">IFERROR(__xludf.DUMMYFUNCTION("GOOGLETRANSLATE(A3637 , ""tr"" , ""en"")"),"@drfahrettinkoca do you have a full graft?")</f>
        <v>@drfahrettinkoca do you have a full graft?</v>
      </c>
    </row>
    <row r="6839" spans="1:5" ht="15" customHeight="1" x14ac:dyDescent="0.2">
      <c r="A6839" s="1" t="s">
        <v>13621</v>
      </c>
      <c r="B6839" s="1">
        <v>2</v>
      </c>
      <c r="C6839" s="3">
        <v>44539.779537037037</v>
      </c>
      <c r="D6839" s="1" t="s">
        <v>13622</v>
      </c>
      <c r="E6839" s="1" t="str">
        <f ca="1">IFERROR(__xludf.DUMMYFUNCTION("GOOGLETRANSLATE(A3638 , ""tr"" , ""en"")"),"@drfahrettinkoca I was just another places where I beg the Allah as I beg you. Our labor is welcoming ... https://t.co/3s0irptcaj")</f>
        <v>@drfahrettinkoca I was just another places where I beg the Allah as I beg you. Our labor is welcoming ... https://t.co/3s0irptcaj</v>
      </c>
    </row>
    <row r="6840" spans="1:5" ht="15" customHeight="1" x14ac:dyDescent="0.2">
      <c r="A6840" s="1" t="s">
        <v>13623</v>
      </c>
      <c r="B6840" s="1">
        <v>0</v>
      </c>
      <c r="C6840" s="3">
        <v>44539.779363425929</v>
      </c>
      <c r="D6840" s="1" t="s">
        <v>13624</v>
      </c>
      <c r="E6840" s="1" t="str">
        <f ca="1">IFERROR(__xludf.DUMMYFUNCTION("GOOGLETRANSLATE(A3639 , ""tr"" , ""en"")"),"@drfahrettinkoca to the Numbers from Tuik. There is no variant en in the world in the world even EN even EN. Sank ... https://t.co/mitlorwgIQ")</f>
        <v>@drfahrettinkoca to the Numbers from Tuik. There is no variant en in the world in the world even EN even EN. Sank ... https://t.co/mitlorwgIQ</v>
      </c>
    </row>
    <row r="6841" spans="1:5" ht="15" customHeight="1" x14ac:dyDescent="0.2">
      <c r="A6841" s="1" t="s">
        <v>13625</v>
      </c>
      <c r="B6841" s="1">
        <v>8</v>
      </c>
      <c r="C6841" s="3">
        <v>44539.779351851852</v>
      </c>
      <c r="D6841" s="1" t="s">
        <v>13626</v>
      </c>
      <c r="E6841" s="1" t="str">
        <f ca="1">IFERROR(__xludf.DUMMYFUNCTION("GOOGLETRANSLATE(A3640 , ""tr"" , ""en"")"),"@drfahrettinkoca Do not store cases #kabineomicrongelmedonline")</f>
        <v>@drfahrettinkoca Do not store cases #kabineomicrongelmedonline</v>
      </c>
    </row>
    <row r="6842" spans="1:5" ht="15" customHeight="1" x14ac:dyDescent="0.2">
      <c r="A6842" s="1" t="s">
        <v>13627</v>
      </c>
      <c r="B6842" s="1">
        <v>1</v>
      </c>
      <c r="C6842" s="3">
        <v>44539.779351851852</v>
      </c>
      <c r="D6842" s="1" t="s">
        <v>13628</v>
      </c>
      <c r="E6842" s="1" t="str">
        <f ca="1">IFERROR(__xludf.DUMMYFUNCTION("GOOGLETRANSLATE(A3641 , ""tr"" , ""en"")"),"@drfahrettinkoca doesn't come to come to the meaning of these uctions Uvalta people came")</f>
        <v>@drfahrettinkoca doesn't come to come to the meaning of these uctions Uvalta people came</v>
      </c>
    </row>
    <row r="6843" spans="1:5" ht="15" customHeight="1" x14ac:dyDescent="0.2">
      <c r="A6843" s="1" t="s">
        <v>13629</v>
      </c>
      <c r="B6843" s="1">
        <v>0</v>
      </c>
      <c r="C6843" s="3">
        <v>44539.779351851852</v>
      </c>
      <c r="D6843" s="1" t="s">
        <v>13630</v>
      </c>
      <c r="E6843" s="1" t="str">
        <f ca="1">IFERROR(__xludf.DUMMYFUNCTION("GOOGLETRANSLATE(A3642 , ""tr"" , ""en"")"),"@drfahrettinkoca I got cocktail Rebel Kalsin 🤠🤠")</f>
        <v>@drfahrettinkoca I got cocktail Rebel Kalsin 🤠🤠</v>
      </c>
    </row>
    <row r="6844" spans="1:5" ht="15" customHeight="1" x14ac:dyDescent="0.2">
      <c r="A6844" s="1" t="s">
        <v>13631</v>
      </c>
      <c r="B6844" s="1">
        <v>0</v>
      </c>
      <c r="C6844" s="3">
        <v>44539.779328703706</v>
      </c>
      <c r="D6844" s="1" t="s">
        <v>13632</v>
      </c>
      <c r="E6844" s="1" t="str">
        <f ca="1">IFERROR(__xludf.DUMMYFUNCTION("GOOGLETRANSLATE(A3643 , ""tr"" , ""en"")"),"@drfahrettinkoca Minister of Atsana at Minimum Wage Business")</f>
        <v>@drfahrettinkoca Minister of Atsana at Minimum Wage Business</v>
      </c>
    </row>
    <row r="6845" spans="1:5" ht="15" customHeight="1" x14ac:dyDescent="0.2">
      <c r="A6845" s="1" t="s">
        <v>13633</v>
      </c>
      <c r="B6845" s="1">
        <v>0</v>
      </c>
      <c r="C6845" s="3">
        <v>44539.779293981483</v>
      </c>
      <c r="D6845" s="1" t="s">
        <v>13634</v>
      </c>
      <c r="E6845" s="1" t="str">
        <f ca="1">IFERROR(__xludf.DUMMYFUNCTION("GOOGLETRANSLATE(A3644 , ""tr"" , ""en"")"),"@drfahrettinkoca dream of our dream side. Go on your Pen and Filimkurulu team, get out on your panic.")</f>
        <v>@drfahrettinkoca dream of our dream side. Go on your Pen and Filimkurulu team, get out on your panic.</v>
      </c>
    </row>
    <row r="6846" spans="1:5" ht="15" customHeight="1" x14ac:dyDescent="0.2">
      <c r="A6846" s="1" t="s">
        <v>13635</v>
      </c>
      <c r="B6846" s="1">
        <v>18</v>
      </c>
      <c r="C6846" s="3">
        <v>44539.779282407406</v>
      </c>
      <c r="D6846" s="1" t="s">
        <v>13636</v>
      </c>
      <c r="E6846" s="1" t="str">
        <f ca="1">IFERROR(__xludf.DUMMYFUNCTION("GOOGLETRANSLATE(A3645 , ""tr"" , ""en"")"),"@drfahrettinkoca ""The more people you vaccinate, the number of vaccine resistant mutations is so much, vaccines o ... https://t.co/wwxbh18jry")</f>
        <v>@drfahrettinkoca "The more people you vaccinate, the number of vaccine resistant mutations is so much, vaccines o ... https://t.co/wwxbh18jry</v>
      </c>
    </row>
    <row r="6847" spans="1:5" ht="15" customHeight="1" x14ac:dyDescent="0.2">
      <c r="A6847" s="1" t="s">
        <v>13637</v>
      </c>
      <c r="B6847" s="1">
        <v>0</v>
      </c>
      <c r="C6847" s="3">
        <v>44539.77925925926</v>
      </c>
      <c r="D6847" s="1" t="s">
        <v>13638</v>
      </c>
      <c r="E6847" s="1" t="str">
        <f ca="1">IFERROR(__xludf.DUMMYFUNCTION("GOOGLETRANSLATE(A3646 , ""tr"" , ""en"")"),"@drfahrettinkoca Schools Mandatory Test Apply See Trust")</f>
        <v>@drfahrettinkoca Schools Mandatory Test Apply See Trust</v>
      </c>
    </row>
    <row r="6848" spans="1:5" ht="15" customHeight="1" x14ac:dyDescent="0.2">
      <c r="A6848" s="1" t="s">
        <v>13639</v>
      </c>
      <c r="B6848" s="1">
        <v>39</v>
      </c>
      <c r="C6848" s="3">
        <v>44539.779236111113</v>
      </c>
      <c r="D6848" s="1" t="s">
        <v>13640</v>
      </c>
      <c r="E6848" s="1" t="str">
        <f ca="1">IFERROR(__xludf.DUMMYFUNCTION("GOOGLETRANSLATE(A3647 , ""tr"" , ""en"")"),"@drfahrettinkoca assigns my right, my right is never halal. We have been waiting for 90 points for 1 year, at least 2 ... https://t.co/hx4s6gzv2y")</f>
        <v>@drfahrettinkoca assigns my right, my right is never halal. We have been waiting for 90 points for 1 year, at least 2 ... https://t.co/hx4s6gzv2y</v>
      </c>
    </row>
    <row r="6849" spans="1:5" ht="15" customHeight="1" x14ac:dyDescent="0.2">
      <c r="A6849" s="1" t="s">
        <v>13641</v>
      </c>
      <c r="B6849" s="1">
        <v>17</v>
      </c>
      <c r="C6849" s="3">
        <v>44539.779224537036</v>
      </c>
      <c r="D6849" s="1" t="s">
        <v>13642</v>
      </c>
      <c r="E6849" s="1" t="str">
        <f ca="1">IFERROR(__xludf.DUMMYFUNCTION("GOOGLETRANSLATE(A3648 , ""tr"" , ""en"")"),"@drfahrettinkoca wouldn't be on the subject to tweet you if not in the corona table. For not seeing the malum healthman. # Fkocayakilavuzyaistifa")</f>
        <v>@drfahrettinkoca wouldn't be on the subject to tweet you if not in the corona table. For not seeing the malum healthman. # Fkocayakilavuzyaistifa</v>
      </c>
    </row>
    <row r="6850" spans="1:5" ht="15" customHeight="1" x14ac:dyDescent="0.2">
      <c r="A6850" s="1" t="s">
        <v>13643</v>
      </c>
      <c r="B6850" s="1">
        <v>1</v>
      </c>
      <c r="C6850" s="3">
        <v>44539.77921296296</v>
      </c>
      <c r="D6850" s="1" t="s">
        <v>13644</v>
      </c>
      <c r="E6850" s="1" t="str">
        <f ca="1">IFERROR(__xludf.DUMMYFUNCTION("GOOGLETRANSLATE(A3649 , ""tr"" , ""en"")"),"@drfahrettinkoca assignment you don't have to quit")</f>
        <v>@drfahrettinkoca assignment you don't have to quit</v>
      </c>
    </row>
    <row r="6851" spans="1:5" ht="15" customHeight="1" x14ac:dyDescent="0.2">
      <c r="A6851" s="1" t="s">
        <v>13645</v>
      </c>
      <c r="B6851" s="1">
        <v>1</v>
      </c>
      <c r="C6851" s="3">
        <v>44539.779178240744</v>
      </c>
      <c r="D6851" s="1" t="s">
        <v>13646</v>
      </c>
      <c r="E6851" s="1" t="str">
        <f ca="1">IFERROR(__xludf.DUMMYFUNCTION("GOOGLETRANSLATE(A3650 , ""tr"" , ""en"")"),"@drfahrettinkoca rock shake")</f>
        <v>@drfahrettinkoca rock shake</v>
      </c>
    </row>
    <row r="6852" spans="1:5" ht="15" customHeight="1" x14ac:dyDescent="0.2">
      <c r="A6852" s="1" t="s">
        <v>13647</v>
      </c>
      <c r="B6852" s="1">
        <v>14</v>
      </c>
      <c r="C6852" s="3">
        <v>44539.779085648152</v>
      </c>
      <c r="D6852" s="1" t="s">
        <v>13648</v>
      </c>
      <c r="E6852" s="1" t="str">
        <f ca="1">IFERROR(__xludf.DUMMYFUNCTION("GOOGLETRANSLATE(A3651 , ""tr"" , ""en"")"),"@drfahrettinkoca Shake the number of cases. You are not any convincing")</f>
        <v>@drfahrettinkoca Shake the number of cases. You are not any convincing</v>
      </c>
    </row>
    <row r="6853" spans="1:5" ht="15" customHeight="1" x14ac:dyDescent="0.2">
      <c r="A6853" s="1" t="s">
        <v>13649</v>
      </c>
      <c r="B6853" s="1">
        <v>6</v>
      </c>
      <c r="C6853" s="3">
        <v>44539.779085648152</v>
      </c>
      <c r="D6853" s="1" t="s">
        <v>13650</v>
      </c>
      <c r="E6853" s="1" t="str">
        <f ca="1">IFERROR(__xludf.DUMMYFUNCTION("GOOGLETRANSLATE(A3652 , ""tr"" , ""en"")"),"@drfahrettinka 740 thousand healthy grams are not in your care. Now publish the guide. You have been miserable for 13 months.")</f>
        <v>@drfahrettinka 740 thousand healthy grams are not in your care. Now publish the guide. You have been miserable for 13 months.</v>
      </c>
    </row>
    <row r="6854" spans="1:5" ht="15" customHeight="1" x14ac:dyDescent="0.2">
      <c r="A6854" s="1" t="s">
        <v>13651</v>
      </c>
      <c r="B6854" s="1">
        <v>9</v>
      </c>
      <c r="C6854" s="3">
        <v>44539.779074074075</v>
      </c>
      <c r="D6854" s="1" t="s">
        <v>13652</v>
      </c>
      <c r="E6854" s="1" t="str">
        <f ca="1">IFERROR(__xludf.DUMMYFUNCTION("GOOGLETRANSLATE(A3653 , ""tr"" , ""en"")"),"@drfahrettinkoca tired tired artikkk kilavuzzz")</f>
        <v>@drfahrettinkoca tired tired artikkk kilavuzzz</v>
      </c>
    </row>
    <row r="6855" spans="1:5" ht="15" customHeight="1" x14ac:dyDescent="0.2">
      <c r="A6855" s="1" t="s">
        <v>13653</v>
      </c>
      <c r="B6855" s="1">
        <v>82</v>
      </c>
      <c r="C6855" s="3">
        <v>44539.779062499998</v>
      </c>
      <c r="D6855" s="1" t="s">
        <v>13654</v>
      </c>
      <c r="E6855" s="1" t="str">
        <f ca="1">IFERROR(__xludf.DUMMYFUNCTION("GOOGLETRANSLATE(A3654 , ""tr"" , ""en"")"),"@drfahrettinkoca has been very compromised with the opening of schools")</f>
        <v>@drfahrettinkoca has been very compromised with the opening of schools</v>
      </c>
    </row>
    <row r="6856" spans="1:5" ht="15" customHeight="1" x14ac:dyDescent="0.2">
      <c r="A6856" s="1" t="s">
        <v>13655</v>
      </c>
      <c r="B6856" s="1">
        <v>62</v>
      </c>
      <c r="C6856" s="3">
        <v>44539.779050925928</v>
      </c>
      <c r="D6856" s="1" t="s">
        <v>13656</v>
      </c>
      <c r="E6856" s="1" t="str">
        <f ca="1">IFERROR(__xludf.DUMMYFUNCTION("GOOGLETRANSLATE(A3655 , ""tr"" , ""en"")"),"@drfahrettinkoca ONLINE We ​​want training")</f>
        <v>@drfahrettinkoca ONLINE We ​​want training</v>
      </c>
    </row>
    <row r="6857" spans="1:5" ht="15" customHeight="1" x14ac:dyDescent="0.2">
      <c r="A6857" s="1" t="s">
        <v>13657</v>
      </c>
      <c r="B6857" s="1">
        <v>1</v>
      </c>
      <c r="C6857" s="3">
        <v>44539.779004629629</v>
      </c>
      <c r="D6857" s="1" t="s">
        <v>13658</v>
      </c>
      <c r="E6857" s="1" t="str">
        <f ca="1">IFERROR(__xludf.DUMMYFUNCTION("GOOGLETRANSLATE(A3656 , ""tr"" , ""en"")"),"@drfahrettinkoca guide Do not publish the minister do not want to do in the description")</f>
        <v>@drfahrettinkoca guide Do not publish the minister do not want to do in the description</v>
      </c>
    </row>
    <row r="6858" spans="1:5" ht="15" customHeight="1" x14ac:dyDescent="0.2">
      <c r="A6858" s="1" t="s">
        <v>13659</v>
      </c>
      <c r="B6858" s="1">
        <v>12</v>
      </c>
      <c r="C6858" s="3">
        <v>44539.778981481482</v>
      </c>
      <c r="D6858" s="1" t="s">
        <v>13660</v>
      </c>
      <c r="E6858" s="1" t="str">
        <f ca="1">IFERROR(__xludf.DUMMYFUNCTION("GOOGLETRANSLATE(A3657 , ""tr"" , ""en"")"),"@drfahrettinkoca Exit the assignment we don't assign it even if I'm willing to do so don't ignore us anymore")</f>
        <v>@drfahrettinkoca Exit the assignment we don't assign it even if I'm willing to do so don't ignore us anymore</v>
      </c>
    </row>
    <row r="6859" spans="1:5" ht="15" customHeight="1" x14ac:dyDescent="0.2">
      <c r="A6859" s="1" t="s">
        <v>13661</v>
      </c>
      <c r="B6859" s="1">
        <v>1</v>
      </c>
      <c r="C6859" s="3">
        <v>44539.778946759259</v>
      </c>
      <c r="D6859" s="1" t="s">
        <v>13662</v>
      </c>
      <c r="E6859" s="1" t="str">
        <f ca="1">IFERROR(__xludf.DUMMYFUNCTION("GOOGLETRANSLATE(A3658 , ""tr"" , ""en"")"),"@drfahrettinkoca Minister of Kilavuzzzz")</f>
        <v>@drfahrettinkoca Minister of Kilavuzzzz</v>
      </c>
    </row>
    <row r="6860" spans="1:5" ht="15" customHeight="1" x14ac:dyDescent="0.2">
      <c r="A6860" s="1" t="s">
        <v>13663</v>
      </c>
      <c r="B6860" s="1">
        <v>0</v>
      </c>
      <c r="C6860" s="3">
        <v>44539.778946759259</v>
      </c>
      <c r="D6860" s="1" t="s">
        <v>13664</v>
      </c>
      <c r="E6860" s="1" t="str">
        <f ca="1">IFERROR(__xludf.DUMMYFUNCTION("GOOGLETRANSLATE(A3659 , ""tr"" , ""en"")"),"@drfahrettinkoca guide where are you waiting for guide for 6 weeks Mr. Minister")</f>
        <v>@drfahrettinkoca guide where are you waiting for guide for 6 weeks Mr. Minister</v>
      </c>
    </row>
    <row r="6861" spans="1:5" ht="15" customHeight="1" x14ac:dyDescent="0.2">
      <c r="A6861" s="1" t="s">
        <v>13665</v>
      </c>
      <c r="B6861" s="1">
        <v>75</v>
      </c>
      <c r="C6861" s="3">
        <v>44539.778923611113</v>
      </c>
      <c r="D6861" s="1" t="s">
        <v>13666</v>
      </c>
      <c r="E6861" s="1" t="str">
        <f ca="1">IFERROR(__xludf.DUMMYFUNCTION("GOOGLETRANSLATE(A3660 , ""tr"" , ""en"")"),"@drfahrettinkoca schools do online anymore is enough")</f>
        <v>@drfahrettinkoca schools do online anymore is enough</v>
      </c>
    </row>
    <row r="6862" spans="1:5" ht="15" customHeight="1" x14ac:dyDescent="0.2">
      <c r="A6862" s="1" t="s">
        <v>13667</v>
      </c>
      <c r="B6862" s="1">
        <v>0</v>
      </c>
      <c r="C6862" s="3">
        <v>44539.778923611113</v>
      </c>
      <c r="D6862" s="1" t="s">
        <v>13668</v>
      </c>
      <c r="E6862" s="1" t="str">
        <f ca="1">IFERROR(__xludf.DUMMYFUNCTION("GOOGLETRANSLATE(A3661 , ""tr"" , ""en"")"),"@drfahrettinkoca husband don't let a year shut down !!")</f>
        <v>@drfahrettinkoca husband don't let a year shut down !!</v>
      </c>
    </row>
    <row r="6863" spans="1:5" ht="15" customHeight="1" x14ac:dyDescent="0.2">
      <c r="A6863" s="1" t="s">
        <v>13669</v>
      </c>
      <c r="B6863" s="1">
        <v>12</v>
      </c>
      <c r="C6863" s="3">
        <v>44539.778923611113</v>
      </c>
      <c r="D6863" s="1" t="s">
        <v>13670</v>
      </c>
      <c r="E6863" s="1" t="str">
        <f ca="1">IFERROR(__xludf.DUMMYFUNCTION("GOOGLETRANSLATE(A3662 , ""tr"" , ""en"")"),"@drfahrettinkoca Every day the same table is already #kabineomicrongeling")</f>
        <v>@drfahrettinkoca Every day the same table is already #kabineomicrongeling</v>
      </c>
    </row>
    <row r="6864" spans="1:5" ht="15" customHeight="1" x14ac:dyDescent="0.2">
      <c r="A6864" s="1" t="s">
        <v>13671</v>
      </c>
      <c r="B6864" s="1">
        <v>1</v>
      </c>
      <c r="C6864" s="3">
        <v>44539.778900462959</v>
      </c>
      <c r="D6864" s="1" t="s">
        <v>13672</v>
      </c>
      <c r="E6864" s="1" t="str">
        <f ca="1">IFERROR(__xludf.DUMMYFUNCTION("GOOGLETRANSLATE(A3663 , ""tr"" , ""en"")"),"@drfahrettinkoca is sufficient now olderrrrrrrrrrrrrrrrrrrrrrrrrrrrrrrrrrrrrr")</f>
        <v>@drfahrettinkoca is sufficient now olderrrrrrrrrrrrrrrrrrrrrrrrrrrrrrrrrrrrrr</v>
      </c>
    </row>
    <row r="6865" spans="1:5" ht="15" customHeight="1" x14ac:dyDescent="0.2">
      <c r="A6865" s="1" t="s">
        <v>13673</v>
      </c>
      <c r="B6865" s="1">
        <v>24</v>
      </c>
      <c r="C6865" s="3">
        <v>44539.778900462959</v>
      </c>
      <c r="D6865" s="1" t="s">
        <v>13674</v>
      </c>
      <c r="E6865" s="1" t="str">
        <f ca="1">IFERROR(__xludf.DUMMYFUNCTION("GOOGLETRANSLATE(A3664 , ""tr"" , ""en"")"),"@drfahrettinkoca make assamaaaa for allah love")</f>
        <v>@drfahrettinkoca make assamaaaa for allah love</v>
      </c>
    </row>
    <row r="6866" spans="1:5" ht="15" customHeight="1" x14ac:dyDescent="0.2">
      <c r="A6866" s="1" t="s">
        <v>13675</v>
      </c>
      <c r="B6866" s="1">
        <v>8</v>
      </c>
      <c r="C6866" s="3">
        <v>44539.77888888889</v>
      </c>
      <c r="D6866" s="1" t="s">
        <v>13676</v>
      </c>
      <c r="E6866" s="1" t="str">
        <f ca="1">IFERROR(__xludf.DUMMYFUNCTION("GOOGLETRANSLATE(A3665 , ""tr"" , ""en"")"),"@drfahrettinkoca assignment not made # fkocayakilavuzyaistifa")</f>
        <v>@drfahrettinkoca assignment not made # fkocayakilavuzyaistifa</v>
      </c>
    </row>
    <row r="6867" spans="1:5" ht="15" customHeight="1" x14ac:dyDescent="0.2">
      <c r="A6867" s="1" t="s">
        <v>13677</v>
      </c>
      <c r="B6867" s="1">
        <v>1</v>
      </c>
      <c r="C6867" s="3">
        <v>44539.778854166667</v>
      </c>
      <c r="D6867" s="1" t="s">
        <v>13678</v>
      </c>
      <c r="E6867" s="1" t="str">
        <f ca="1">IFERROR(__xludf.DUMMYFUNCTION("GOOGLETRANSLATE(A3666 , ""tr"" , ""en"")"),"@drfahrettinkoca Hani Kilavizzzzz")</f>
        <v>@drfahrettinkoca Hani Kilavizzzzz</v>
      </c>
    </row>
    <row r="6868" spans="1:5" ht="15" customHeight="1" x14ac:dyDescent="0.2">
      <c r="A6868" s="1" t="s">
        <v>13679</v>
      </c>
      <c r="B6868" s="1">
        <v>40</v>
      </c>
      <c r="C6868" s="3">
        <v>44539.778807870367</v>
      </c>
      <c r="D6868" s="1" t="s">
        <v>13680</v>
      </c>
      <c r="E6868" s="1" t="str">
        <f ca="1">IFERROR(__xludf.DUMMYFUNCTION("GOOGLETRANSLATE(A3667 , ""tr"" , ""en"")"),"@drfahrettinkoca If you hide cases, are subject to similar figures, do not lie, you do not have the right to play with people's health now")</f>
        <v>@drfahrettinkoca If you hide cases, are subject to similar figures, do not lie, you do not have the right to play with people's health now</v>
      </c>
    </row>
    <row r="6869" spans="1:5" ht="15" customHeight="1" x14ac:dyDescent="0.2">
      <c r="A6869" s="1" t="s">
        <v>13681</v>
      </c>
      <c r="B6869" s="1">
        <v>0</v>
      </c>
      <c r="C6869" s="3">
        <v>44539.778773148151</v>
      </c>
      <c r="D6869" s="1" t="s">
        <v>13682</v>
      </c>
      <c r="E6869" s="1" t="str">
        <f ca="1">IFERROR(__xludf.DUMMYFUNCTION("GOOGLETRANSLATE(A3668 , ""tr"" , ""en"")"),"@drfahrettinkoca assigned kilavuzzz")</f>
        <v>@drfahrettinkoca assigned kilavuzzz</v>
      </c>
    </row>
    <row r="6870" spans="1:5" ht="15" customHeight="1" x14ac:dyDescent="0.2">
      <c r="A6870" s="1" t="s">
        <v>13683</v>
      </c>
      <c r="B6870" s="1">
        <v>72</v>
      </c>
      <c r="C6870" s="3">
        <v>44539.778749999998</v>
      </c>
      <c r="D6870" s="1" t="s">
        <v>13684</v>
      </c>
      <c r="E6870" s="1" t="str">
        <f ca="1">IFERROR(__xludf.DUMMYFUNCTION("GOOGLETRANSLATE(A3669 , ""tr"" , ""en"")"),"@drfahrettinkoca has no positive bi situation. Cases and deaths are always fixed as well as storing cases clearly")</f>
        <v>@drfahrettinkoca has no positive bi situation. Cases and deaths are always fixed as well as storing cases clearly</v>
      </c>
    </row>
    <row r="6871" spans="1:5" ht="15" customHeight="1" x14ac:dyDescent="0.2">
      <c r="A6871" s="1" t="s">
        <v>13685</v>
      </c>
      <c r="B6871" s="1">
        <v>0</v>
      </c>
      <c r="C6871" s="3">
        <v>44539.778726851851</v>
      </c>
      <c r="D6871" s="1" t="s">
        <v>13686</v>
      </c>
      <c r="E6871" s="1" t="str">
        <f ca="1">IFERROR(__xludf.DUMMYFUNCTION("GOOGLETRANSLATE(A3670 , ""tr"" , ""en"")"),"@drfahrettinkoca Do you also make vaccines to smokers")</f>
        <v>@drfahrettinkoca Do you also make vaccines to smokers</v>
      </c>
    </row>
    <row r="6872" spans="1:5" ht="15" customHeight="1" x14ac:dyDescent="0.2">
      <c r="A6872" s="1" t="s">
        <v>13687</v>
      </c>
      <c r="B6872" s="1">
        <v>0</v>
      </c>
      <c r="C6872" s="3">
        <v>44539.778726851851</v>
      </c>
      <c r="D6872" s="1" t="s">
        <v>13688</v>
      </c>
      <c r="E6872" s="1" t="str">
        <f ca="1">IFERROR(__xludf.DUMMYFUNCTION("GOOGLETRANSLATE(A3671 , ""tr"" , ""en"")"),"@drfahrettinkoca guanuzzz")</f>
        <v>@drfahrettinkoca guanuzzz</v>
      </c>
    </row>
    <row r="6873" spans="1:5" ht="15" customHeight="1" x14ac:dyDescent="0.2">
      <c r="A6873" s="1" t="s">
        <v>13689</v>
      </c>
      <c r="B6873" s="1">
        <v>0</v>
      </c>
      <c r="C6873" s="3">
        <v>44539.778692129628</v>
      </c>
      <c r="D6873" s="1" t="s">
        <v>13690</v>
      </c>
      <c r="E6873" s="1" t="str">
        <f ca="1">IFERROR(__xludf.DUMMYFUNCTION("GOOGLETRANSLATE(A3672 , ""tr"" , ""en"")"),"@drfahrettinkoca kilavuzzzz")</f>
        <v>@drfahrettinkoca kilavuzzzz</v>
      </c>
    </row>
    <row r="6874" spans="1:5" ht="15" customHeight="1" x14ac:dyDescent="0.2">
      <c r="A6874" s="1" t="s">
        <v>13691</v>
      </c>
      <c r="B6874" s="1">
        <v>9</v>
      </c>
      <c r="C6874" s="3">
        <v>44539.778657407405</v>
      </c>
      <c r="D6874" s="1" t="s">
        <v>13692</v>
      </c>
      <c r="E6874" s="1" t="str">
        <f ca="1">IFERROR(__xludf.DUMMYFUNCTION("GOOGLETRANSLATE(A3673 , ""tr"" , ""en"")"),"@drfahrettinkoca Look at the agenda see you again")</f>
        <v>@drfahrettinkoca Look at the agenda see you again</v>
      </c>
    </row>
    <row r="6875" spans="1:5" ht="15" customHeight="1" x14ac:dyDescent="0.2">
      <c r="A6875" s="1" t="s">
        <v>13693</v>
      </c>
      <c r="B6875" s="1">
        <v>0</v>
      </c>
      <c r="C6875" s="3">
        <v>44539.778645833336</v>
      </c>
      <c r="D6875" s="1" t="s">
        <v>13694</v>
      </c>
      <c r="E6875" s="1" t="str">
        <f ca="1">IFERROR(__xludf.DUMMYFUNCTION("GOOGLETRANSLATE(A3674 , ""tr"" , ""en"")"),"@drfahrettinkoca kadir believes but they don't even make these figures in accordance with the test rule")</f>
        <v>@drfahrettinkoca kadir believes but they don't even make these figures in accordance with the test rule</v>
      </c>
    </row>
    <row r="6876" spans="1:5" ht="15" customHeight="1" x14ac:dyDescent="0.2">
      <c r="A6876" s="1" t="s">
        <v>13695</v>
      </c>
      <c r="B6876" s="1">
        <v>18</v>
      </c>
      <c r="C6876" s="3">
        <v>44539.778622685182</v>
      </c>
      <c r="D6876" s="1" t="s">
        <v>13696</v>
      </c>
      <c r="E6876" s="1" t="str">
        <f ca="1">IFERROR(__xludf.DUMMYFUNCTION("GOOGLETRANSLATE(A3675 , ""tr"" , ""en"")"),"@drfahrettinkoca you will hear us when you want to see the Mr.")</f>
        <v>@drfahrettinkoca you will hear us when you want to see the Mr.</v>
      </c>
    </row>
    <row r="6877" spans="1:5" ht="15" customHeight="1" x14ac:dyDescent="0.2">
      <c r="A6877" s="1" t="s">
        <v>13697</v>
      </c>
      <c r="B6877" s="1">
        <v>49</v>
      </c>
      <c r="C6877" s="3">
        <v>44539.778611111113</v>
      </c>
      <c r="D6877" s="1" t="s">
        <v>13698</v>
      </c>
      <c r="E6877" s="1" t="str">
        <f ca="1">IFERROR(__xludf.DUMMYFUNCTION("GOOGLETRANSLATE(A3676 , ""tr"" , ""en"")"),"@drfahrettinkoca Europe is also the increases in Europe are also going to take measures! Turn off schools Closed media take measures")</f>
        <v>@drfahrettinkoca Europe is also the increases in Europe are also going to take measures! Turn off schools Closed media take measures</v>
      </c>
    </row>
    <row r="6878" spans="1:5" ht="15" customHeight="1" x14ac:dyDescent="0.2">
      <c r="A6878" s="1" t="s">
        <v>13699</v>
      </c>
      <c r="B6878" s="1">
        <v>9</v>
      </c>
      <c r="C6878" s="3">
        <v>44539.778599537036</v>
      </c>
      <c r="D6878" s="1" t="s">
        <v>13700</v>
      </c>
      <c r="E6878" s="1" t="str">
        <f ca="1">IFERROR(__xludf.DUMMYFUNCTION("GOOGLETRANSLATE(A3677 , ""tr"" , ""en"")"),"@drfahrettinkoca Healthier Year Over # fkocayakilavuzyaistifa")</f>
        <v>@drfahrettinkoca Healthier Year Over # fkocayakilavuzyaistifa</v>
      </c>
    </row>
    <row r="6879" spans="1:5" ht="15" customHeight="1" x14ac:dyDescent="0.2">
      <c r="A6879" s="1" t="s">
        <v>13701</v>
      </c>
      <c r="B6879" s="1">
        <v>5</v>
      </c>
      <c r="C6879" s="3">
        <v>44539.778599537036</v>
      </c>
      <c r="D6879" s="1" t="s">
        <v>13702</v>
      </c>
      <c r="E6879" s="1" t="str">
        <f ca="1">IFERROR(__xludf.DUMMYFUNCTION("GOOGLETRANSLATE(A3678 , ""tr"" , ""en"")"),"@drfahrettinkoca okay This tweets will have a sudden increase after the message was received. The reason for the sudden increase will have no pounds 🙂")</f>
        <v>@drfahrettinkoca okay This tweets will have a sudden increase after the message was received. The reason for the sudden increase will have no pounds 🙂</v>
      </c>
    </row>
    <row r="6880" spans="1:5" ht="15" customHeight="1" x14ac:dyDescent="0.2">
      <c r="A6880" s="1" t="s">
        <v>13703</v>
      </c>
      <c r="B6880" s="1">
        <v>0</v>
      </c>
      <c r="C6880" s="3">
        <v>44539.778564814813</v>
      </c>
      <c r="D6880" s="1" t="s">
        <v>13704</v>
      </c>
      <c r="E6880" s="1" t="str">
        <f ca="1">IFERROR(__xludf.DUMMYFUNCTION("GOOGLETRANSLATE(A3679 , ""tr"" , ""en"")"),"@drfahrettinkoca 13 months are waiting for a statement now please")</f>
        <v>@drfahrettinkoca 13 months are waiting for a statement now please</v>
      </c>
    </row>
    <row r="6881" spans="1:5" ht="15" customHeight="1" x14ac:dyDescent="0.2">
      <c r="A6881" s="1" t="s">
        <v>13705</v>
      </c>
      <c r="B6881" s="1">
        <v>24</v>
      </c>
      <c r="C6881" s="3">
        <v>44539.77847222222</v>
      </c>
      <c r="D6881" s="1" t="s">
        <v>13706</v>
      </c>
      <c r="E6881" s="1" t="str">
        <f ca="1">IFERROR(__xludf.DUMMYFUNCTION("GOOGLETRANSLATE(A3680 , ""tr"" , ""en"")"),"@drfahrettinkoca Is the Omicron seen?")</f>
        <v>@drfahrettinkoca Is the Omicron seen?</v>
      </c>
    </row>
    <row r="6882" spans="1:5" ht="15" customHeight="1" x14ac:dyDescent="0.2">
      <c r="A6882" s="1" t="s">
        <v>13707</v>
      </c>
      <c r="B6882" s="1">
        <v>0</v>
      </c>
      <c r="C6882" s="3">
        <v>44539.77847222222</v>
      </c>
      <c r="D6882" s="1" t="s">
        <v>13708</v>
      </c>
      <c r="E6882" s="1" t="str">
        <f ca="1">IFERROR(__xludf.DUMMYFUNCTION("GOOGLETRANSLATE(A3681 , ""tr"" , ""en"")"),"@drfahrettinkoca Guide Come to the Minister Please")</f>
        <v>@drfahrettinkoca Guide Come to the Minister Please</v>
      </c>
    </row>
    <row r="6883" spans="1:5" ht="15" customHeight="1" x14ac:dyDescent="0.2">
      <c r="A6883" s="1" t="s">
        <v>13709</v>
      </c>
      <c r="B6883" s="1">
        <v>0</v>
      </c>
      <c r="C6883" s="3">
        <v>44539.778437499997</v>
      </c>
      <c r="D6883" s="1" t="s">
        <v>13710</v>
      </c>
      <c r="E6883" s="1" t="str">
        <f ca="1">IFERROR(__xludf.DUMMYFUNCTION("GOOGLETRANSLATE(A3682 , ""tr"" , ""en"")"),"@drfahrettinkoca village's aerial view https://t.co/rpsazi5ık9")</f>
        <v>@drfahrettinkoca village's aerial view https://t.co/rpsazi5ık9</v>
      </c>
    </row>
    <row r="6884" spans="1:5" ht="15" customHeight="1" x14ac:dyDescent="0.2">
      <c r="A6884" s="1" t="s">
        <v>13711</v>
      </c>
      <c r="B6884" s="1">
        <v>0</v>
      </c>
      <c r="C6884" s="3">
        <v>44539.778425925928</v>
      </c>
      <c r="D6884" s="1" t="s">
        <v>13712</v>
      </c>
      <c r="E6884" s="1" t="str">
        <f ca="1">IFERROR(__xludf.DUMMYFUNCTION("GOOGLETRANSLATE(A3683 , ""tr"" , ""en"")"),"@drfahrettinkoca For how long we have to wait for the guide")</f>
        <v>@drfahrettinkoca For how long we have to wait for the guide</v>
      </c>
    </row>
    <row r="6885" spans="1:5" ht="15" customHeight="1" x14ac:dyDescent="0.2">
      <c r="A6885" s="1" t="s">
        <v>13713</v>
      </c>
      <c r="B6885" s="1">
        <v>12</v>
      </c>
      <c r="C6885" s="3">
        <v>44539.778379629628</v>
      </c>
      <c r="D6885" s="1" t="s">
        <v>13714</v>
      </c>
      <c r="E6885" s="1" t="str">
        <f ca="1">IFERROR(__xludf.DUMMYFUNCTION("GOOGLETRANSLATE(A3684 , ""tr"" , ""en"")"),"@drfahrettinkoca is over the healthcare year, no assignment was done. Immediately post the assignment guide! # Fkocayakilavuzyaistifa")</f>
        <v>@drfahrettinkoca is over the healthcare year, no assignment was done. Immediately post the assignment guide! # Fkocayakilavuzyaistifa</v>
      </c>
    </row>
    <row r="6886" spans="1:5" ht="15" customHeight="1" x14ac:dyDescent="0.2">
      <c r="A6886" s="1" t="s">
        <v>13715</v>
      </c>
      <c r="B6886" s="1">
        <v>1</v>
      </c>
      <c r="C6886" s="3">
        <v>44539.778379629628</v>
      </c>
      <c r="D6886" s="1" t="s">
        <v>13716</v>
      </c>
      <c r="E6886" s="1" t="str">
        <f ca="1">IFERROR(__xludf.DUMMYFUNCTION("GOOGLETRANSLATE(A3685 , ""tr"" , ""en"")"),"@drfahrettinka We are no longer able to ignore the healthpieces. @drfahrettinkoca")</f>
        <v>@drfahrettinka We are no longer able to ignore the healthpieces. @drfahrettinkoca</v>
      </c>
    </row>
    <row r="6887" spans="1:5" ht="15" customHeight="1" x14ac:dyDescent="0.2">
      <c r="A6887" s="1" t="s">
        <v>13717</v>
      </c>
      <c r="B6887" s="1">
        <v>0</v>
      </c>
      <c r="C6887" s="3">
        <v>44539.778287037036</v>
      </c>
      <c r="D6887" s="1" t="s">
        <v>13718</v>
      </c>
      <c r="E6887" s="1" t="str">
        <f ca="1">IFERROR(__xludf.DUMMYFUNCTION("GOOGLETRANSLATE(A3686 , ""tr"" , ""en"")"),"@drfahrettinkoca guide looking forward to")</f>
        <v>@drfahrettinkoca guide looking forward to</v>
      </c>
    </row>
    <row r="6888" spans="1:5" ht="15" customHeight="1" x14ac:dyDescent="0.2">
      <c r="A6888" s="1" t="s">
        <v>13719</v>
      </c>
      <c r="B6888" s="1">
        <v>48</v>
      </c>
      <c r="C6888" s="3">
        <v>44539.778263888889</v>
      </c>
      <c r="D6888" s="1" t="s">
        <v>13720</v>
      </c>
      <c r="E6888" s="1" t="str">
        <f ca="1">IFERROR(__xludf.DUMMYFUNCTION("GOOGLETRANSLATE(A3687 , ""tr"" , ""en"")"),"@drfahrettinkoca How hasn't been seen? Folks don't go on the test that everyone is getting it out of it ... Lütf ... httf ... https://t.co/Ipngum99lx")</f>
        <v>@drfahrettinkoca How hasn't been seen? Folks don't go on the test that everyone is getting it out of it ... Lütf ... httf ... https://t.co/Ipngum99lx</v>
      </c>
    </row>
    <row r="6889" spans="1:5" ht="15" customHeight="1" x14ac:dyDescent="0.2">
      <c r="A6889" s="1" t="s">
        <v>13721</v>
      </c>
      <c r="B6889" s="1">
        <v>0</v>
      </c>
      <c r="C6889" s="3">
        <v>44539.778263888889</v>
      </c>
      <c r="D6889" s="1" t="s">
        <v>13722</v>
      </c>
      <c r="E6889" s="1" t="str">
        <f ca="1">IFERROR(__xludf.DUMMYFUNCTION("GOOGLETRANSLATE(A3688 , ""tr"" , ""en"")"),"@drfahrettinkoca aloooooo guanetzzzzzzzzzzzz")</f>
        <v>@drfahrettinkoca aloooooo guanetzzzzzzzzzzzz</v>
      </c>
    </row>
    <row r="6890" spans="1:5" ht="15" customHeight="1" x14ac:dyDescent="0.2">
      <c r="A6890" s="1" t="s">
        <v>13723</v>
      </c>
      <c r="B6890" s="1">
        <v>0</v>
      </c>
      <c r="C6890" s="3">
        <v>44539.778252314813</v>
      </c>
      <c r="D6890" s="1" t="s">
        <v>13724</v>
      </c>
      <c r="E6890" s="1" t="str">
        <f ca="1">IFERROR(__xludf.DUMMYFUNCTION("GOOGLETRANSLATE(A3689 , ""tr"" , ""en"")"),"@drfahrettinkoca what are you going to do with the missing staff so that my minister")</f>
        <v>@drfahrettinkoca what are you going to do with the missing staff so that my minister</v>
      </c>
    </row>
    <row r="6891" spans="1:5" ht="15" customHeight="1" x14ac:dyDescent="0.2">
      <c r="A6891" s="1" t="s">
        <v>13725</v>
      </c>
      <c r="B6891" s="1">
        <v>3</v>
      </c>
      <c r="C6891" s="3">
        <v>44539.778217592589</v>
      </c>
      <c r="D6891" s="1" t="s">
        <v>13726</v>
      </c>
      <c r="E6891" s="1" t="str">
        <f ca="1">IFERROR(__xludf.DUMMYFUNCTION("GOOGLETRANSLATE(A3690 , ""tr"" , ""en"")"),"@drfahrettinkoca for the consent of Allah Guanzzzzzzzzzzzzzzzz")</f>
        <v>@drfahrettinkoca for the consent of Allah Guanzzzzzzzzzzzzzzzz</v>
      </c>
    </row>
    <row r="6892" spans="1:5" ht="15" customHeight="1" x14ac:dyDescent="0.2">
      <c r="A6892" s="1" t="s">
        <v>13727</v>
      </c>
      <c r="B6892" s="1">
        <v>5</v>
      </c>
      <c r="C6892" s="3">
        <v>44539.778194444443</v>
      </c>
      <c r="D6892" s="1" t="s">
        <v>13728</v>
      </c>
      <c r="E6892" s="1" t="str">
        <f ca="1">IFERROR(__xludf.DUMMYFUNCTION("GOOGLETRANSLATE(A3691 , ""tr"" , ""en"")"),"@drfahrettinkoca omicron Variant is a must without coming")</f>
        <v>@drfahrettinkoca omicron Variant is a must without coming</v>
      </c>
    </row>
    <row r="6893" spans="1:5" ht="15" customHeight="1" x14ac:dyDescent="0.2">
      <c r="A6893" s="1" t="s">
        <v>13729</v>
      </c>
      <c r="B6893" s="1">
        <v>0</v>
      </c>
      <c r="C6893" s="3">
        <v>44539.77815972222</v>
      </c>
      <c r="D6893" s="1" t="s">
        <v>13730</v>
      </c>
      <c r="E6893" s="1" t="str">
        <f ca="1">IFERROR(__xludf.DUMMYFUNCTION("GOOGLETRANSLATE(A3692 , ""tr"" , ""en"")"),"@drfahrettinkoca folks can't get wiper kagit you are still lay lay lom")</f>
        <v>@drfahrettinkoca folks can't get wiper kagit you are still lay lay lom</v>
      </c>
    </row>
    <row r="6894" spans="1:5" ht="15" customHeight="1" x14ac:dyDescent="0.2">
      <c r="A6894" s="1" t="s">
        <v>13731</v>
      </c>
      <c r="B6894" s="1">
        <v>0</v>
      </c>
      <c r="C6894" s="3">
        <v>44539.77815972222</v>
      </c>
      <c r="D6894" s="1" t="s">
        <v>13732</v>
      </c>
      <c r="E6894" s="1" t="str">
        <f ca="1">IFERROR(__xludf.DUMMYFUNCTION("GOOGLETRANSLATE(A3693 , ""tr"" , ""en"")"),"@drfahrettinkoca has not been able to make the following Istanbul in blue.")</f>
        <v>@drfahrettinkoca has not been able to make the following Istanbul in blue.</v>
      </c>
    </row>
    <row r="6895" spans="1:5" ht="15" customHeight="1" x14ac:dyDescent="0.2">
      <c r="A6895" s="1" t="s">
        <v>13733</v>
      </c>
      <c r="B6895" s="1">
        <v>30</v>
      </c>
      <c r="C6895" s="3">
        <v>44539.778136574074</v>
      </c>
      <c r="D6895" s="1" t="s">
        <v>13734</v>
      </c>
      <c r="E6895" s="1" t="str">
        <f ca="1">IFERROR(__xludf.DUMMYFUNCTION("GOOGLETRANSLATE(A3694 , ""tr"" , ""en"")"),"@drfahrettinkoca missing vaccine is what friend is missing according to")</f>
        <v>@drfahrettinkoca missing vaccine is what friend is missing according to</v>
      </c>
    </row>
    <row r="6896" spans="1:5" ht="15" customHeight="1" x14ac:dyDescent="0.2">
      <c r="A6896" s="1" t="s">
        <v>13735</v>
      </c>
      <c r="B6896" s="1">
        <v>32</v>
      </c>
      <c r="C6896" s="3">
        <v>44539.778124999997</v>
      </c>
      <c r="D6896" s="1" t="s">
        <v>13736</v>
      </c>
      <c r="E6896" s="1" t="str">
        <f ca="1">IFERROR(__xludf.DUMMYFUNCTION("GOOGLETRANSLATE(A3695 , ""tr"" , ""en"")"),"@drfahrettinkoca Minister Everyone is the seven guide guide you are still vaccine map")</f>
        <v>@drfahrettinkoca Minister Everyone is the seven guide guide you are still vaccine map</v>
      </c>
    </row>
    <row r="6897" spans="1:5" ht="15" customHeight="1" x14ac:dyDescent="0.2">
      <c r="A6897" s="1" t="s">
        <v>13737</v>
      </c>
      <c r="B6897" s="1">
        <v>0</v>
      </c>
      <c r="C6897" s="3">
        <v>44539.778124999997</v>
      </c>
      <c r="D6897" s="1" t="s">
        <v>13738</v>
      </c>
      <c r="E6897" s="1" t="str">
        <f ca="1">IFERROR(__xludf.DUMMYFUNCTION("GOOGLETRANSLATE(A3696 , ""tr"" , ""en"")"),"@drfahrettinkoca Our healthcareists are especially because doctors are very salary")</f>
        <v>@drfahrettinkoca Our healthcareists are especially because doctors are very salary</v>
      </c>
    </row>
    <row r="6898" spans="1:5" ht="15" customHeight="1" x14ac:dyDescent="0.2">
      <c r="A6898" s="1" t="s">
        <v>13739</v>
      </c>
      <c r="B6898" s="1">
        <v>1</v>
      </c>
      <c r="C6898" s="3">
        <v>44539.778124999997</v>
      </c>
      <c r="D6898" s="1" t="s">
        <v>13740</v>
      </c>
      <c r="E6898" s="1" t="str">
        <f ca="1">IFERROR(__xludf.DUMMYFUNCTION("GOOGLETRANSLATE(A3697 , ""tr"" , ""en"")"),"@drfahrettinkoca no longer ignore our sick pups in SMA")</f>
        <v>@drfahrettinkoca no longer ignore our sick pups in SMA</v>
      </c>
    </row>
    <row r="6899" spans="1:5" ht="15" customHeight="1" x14ac:dyDescent="0.2">
      <c r="A6899" s="1" t="s">
        <v>13741</v>
      </c>
      <c r="B6899" s="1">
        <v>0</v>
      </c>
      <c r="C6899" s="3">
        <v>44539.778101851851</v>
      </c>
      <c r="D6899" s="1" t="s">
        <v>13742</v>
      </c>
      <c r="E6899" s="1" t="str">
        <f ca="1">IFERROR(__xludf.DUMMYFUNCTION("GOOGLETRANSLATE(A3698 , ""tr"" , ""en"")"),"@drfahrettinkoca lies table ...")</f>
        <v>@drfahrettinkoca lies table ...</v>
      </c>
    </row>
    <row r="6900" spans="1:5" ht="15" customHeight="1" x14ac:dyDescent="0.2">
      <c r="A6900" s="1" t="s">
        <v>13743</v>
      </c>
      <c r="B6900" s="1">
        <v>3</v>
      </c>
      <c r="C6900" s="3">
        <v>44539.778067129628</v>
      </c>
      <c r="D6900" s="1" t="s">
        <v>13744</v>
      </c>
      <c r="E6900" s="1" t="str">
        <f ca="1">IFERROR(__xludf.DUMMYFUNCTION("GOOGLETRANSLATE(A3699 , ""tr"" , ""en"")"),"@drfahrettinkoca needle to be protected by the needle no, you are still getting sick. The needle is hitting by wearing the mask ... https://t.co/qkpnheIwft")</f>
        <v>@drfahrettinkoca needle to be protected by the needle no, you are still getting sick. The needle is hitting by wearing the mask ... https://t.co/qkpnheIwft</v>
      </c>
    </row>
    <row r="6901" spans="1:5" ht="15" customHeight="1" x14ac:dyDescent="0.2">
      <c r="A6901" s="1" t="s">
        <v>13745</v>
      </c>
      <c r="B6901" s="1">
        <v>12</v>
      </c>
      <c r="C6901" s="3">
        <v>44539.778032407405</v>
      </c>
      <c r="D6901" s="1" t="s">
        <v>13746</v>
      </c>
      <c r="E6901" s="1" t="str">
        <f ca="1">IFERROR(__xludf.DUMMYFUNCTION("GOOGLETRANSLATE(A3700 , ""tr"" , ""en"")"),"@drfahrettinkoca dormitories escrow. Online Training Issue")</f>
        <v>@drfahrettinkoca dormitories escrow. Online Training Issue</v>
      </c>
    </row>
    <row r="6902" spans="1:5" ht="15" customHeight="1" x14ac:dyDescent="0.2">
      <c r="A6902" s="1" t="s">
        <v>13747</v>
      </c>
      <c r="B6902" s="1">
        <v>3</v>
      </c>
      <c r="C6902" s="3">
        <v>44539.778009259258</v>
      </c>
      <c r="D6902" s="1" t="s">
        <v>13748</v>
      </c>
      <c r="E6902" s="1" t="str">
        <f ca="1">IFERROR(__xludf.DUMMYFUNCTION("GOOGLETRANSLATE(A3701 , ""tr"" , ""en"")"),"@drfahrettinkoca How to Reduce Our Ulkem is new on me in my nearby surroundings ??")</f>
        <v>@drfahrettinkoca How to Reduce Our Ulkem is new on me in my nearby surroundings ??</v>
      </c>
    </row>
    <row r="6903" spans="1:5" ht="15" customHeight="1" x14ac:dyDescent="0.2">
      <c r="A6903" s="1" t="s">
        <v>13749</v>
      </c>
      <c r="B6903" s="1">
        <v>6</v>
      </c>
      <c r="C6903" s="3">
        <v>44539.778009259258</v>
      </c>
      <c r="D6903" s="1" t="s">
        <v>13750</v>
      </c>
      <c r="E6903" s="1" t="str">
        <f ca="1">IFERROR(__xludf.DUMMYFUNCTION("GOOGLETRANSLATE(A3702 , ""tr"" , ""en"")"),"@drfahrettinkoca Months are over days Over 2021 Done Guide Where is my minister?")</f>
        <v>@drfahrettinkoca Months are over days Over 2021 Done Guide Where is my minister?</v>
      </c>
    </row>
    <row r="6904" spans="1:5" ht="15" customHeight="1" x14ac:dyDescent="0.2">
      <c r="A6904" s="1" t="s">
        <v>12851</v>
      </c>
      <c r="B6904" s="1">
        <v>11</v>
      </c>
      <c r="C6904" s="3">
        <v>44539.777997685182</v>
      </c>
      <c r="D6904" s="1" t="s">
        <v>13751</v>
      </c>
      <c r="E6904" s="1" t="str">
        <f ca="1">IFERROR(__xludf.DUMMYFUNCTION("GOOGLETRANSLATE(A3703 , ""tr"" , ""en"")"),"@drfahrettinkoca claved?")</f>
        <v>@drfahrettinkoca claved?</v>
      </c>
    </row>
    <row r="6905" spans="1:5" ht="15" customHeight="1" x14ac:dyDescent="0.2">
      <c r="A6905" s="1" t="s">
        <v>13752</v>
      </c>
      <c r="B6905" s="1">
        <v>0</v>
      </c>
      <c r="C6905" s="3">
        <v>44539.777986111112</v>
      </c>
      <c r="D6905" s="1" t="s">
        <v>13753</v>
      </c>
      <c r="E6905" s="1" t="str">
        <f ca="1">IFERROR(__xludf.DUMMYFUNCTION("GOOGLETRANSLATE(A3704 , ""tr"" , ""en"")"),"@drfahrettinkoca Minister What happens to the love of Allah is publishing the following guide")</f>
        <v>@drfahrettinkoca Minister What happens to the love of Allah is publishing the following guide</v>
      </c>
    </row>
    <row r="6906" spans="1:5" ht="15" customHeight="1" x14ac:dyDescent="0.2">
      <c r="A6906" s="1" t="s">
        <v>13754</v>
      </c>
      <c r="B6906" s="1">
        <v>1</v>
      </c>
      <c r="C6906" s="3">
        <v>44539.777962962966</v>
      </c>
      <c r="D6906" s="1" t="s">
        <v>13755</v>
      </c>
      <c r="E6906" s="1" t="str">
        <f ca="1">IFERROR(__xludf.DUMMYFUNCTION("GOOGLETRANSLATE(A3705 , ""tr"" , ""en"")"),"@drfahrettinka so my guide Mr. Ministry")</f>
        <v>@drfahrettinka so my guide Mr. Ministry</v>
      </c>
    </row>
    <row r="6907" spans="1:5" ht="15" customHeight="1" x14ac:dyDescent="0.2">
      <c r="A6907" s="1" t="s">
        <v>13756</v>
      </c>
      <c r="B6907" s="1">
        <v>3</v>
      </c>
      <c r="C6907" s="3">
        <v>44539.77789351852</v>
      </c>
      <c r="D6907" s="1" t="s">
        <v>13757</v>
      </c>
      <c r="E6907" s="1" t="str">
        <f ca="1">IFERROR(__xludf.DUMMYFUNCTION("GOOGLETRANSLATE(A3706 , ""tr"" , ""en"")"),"@drfahrettinkoca lie table")</f>
        <v>@drfahrettinkoca lie table</v>
      </c>
    </row>
    <row r="6908" spans="1:5" ht="15" customHeight="1" x14ac:dyDescent="0.2">
      <c r="A6908" s="1" t="s">
        <v>13758</v>
      </c>
      <c r="B6908" s="1">
        <v>0</v>
      </c>
      <c r="C6908" s="3">
        <v>44539.777824074074</v>
      </c>
      <c r="D6908" s="1" t="s">
        <v>13759</v>
      </c>
      <c r="E6908" s="1" t="str">
        <f ca="1">IFERROR(__xludf.DUMMYFUNCTION("GOOGLETRANSLATE(A3707 , ""tr"" , ""en"")"),"@drfahrettinkoca We want guide")</f>
        <v>@drfahrettinkoca We want guide</v>
      </c>
    </row>
    <row r="6909" spans="1:5" ht="15" customHeight="1" x14ac:dyDescent="0.2">
      <c r="A6909" s="1" t="s">
        <v>13760</v>
      </c>
      <c r="B6909" s="1">
        <v>8</v>
      </c>
      <c r="C6909" s="3">
        <v>44539.777824074074</v>
      </c>
      <c r="D6909" s="1" t="s">
        <v>13761</v>
      </c>
      <c r="E6909" s="1" t="str">
        <f ca="1">IFERROR(__xludf.DUMMYFUNCTION("GOOGLETRANSLATE(A3708 , ""tr"" , ""en"")"),"@drfahrettinkoca Allah i see the number of branches in someday too twiti amin")</f>
        <v>@drfahrettinkoca Allah i see the number of branches in someday too twiti amin</v>
      </c>
    </row>
    <row r="6910" spans="1:5" ht="15" customHeight="1" x14ac:dyDescent="0.2">
      <c r="A6910" s="1" t="s">
        <v>13762</v>
      </c>
      <c r="B6910" s="1">
        <v>1</v>
      </c>
      <c r="C6910" s="3">
        <v>44539.777824074074</v>
      </c>
      <c r="D6910" s="1" t="s">
        <v>13763</v>
      </c>
      <c r="E6910" s="1" t="str">
        <f ca="1">IFERROR(__xludf.DUMMYFUNCTION("GOOGLETRANSLATE(A3709 , ""tr"" , ""en"")"),"@drfahrettinkoca guide welcomezz")</f>
        <v>@drfahrettinkoca guide welcomezz</v>
      </c>
    </row>
    <row r="6911" spans="1:5" ht="15" customHeight="1" x14ac:dyDescent="0.2">
      <c r="A6911" s="1" t="s">
        <v>13764</v>
      </c>
      <c r="B6911" s="1">
        <v>13</v>
      </c>
      <c r="C6911" s="3">
        <v>44539.777800925927</v>
      </c>
      <c r="D6911" s="1" t="s">
        <v>13765</v>
      </c>
      <c r="E6911" s="1" t="str">
        <f ca="1">IFERROR(__xludf.DUMMYFUNCTION("GOOGLETRANSLATE(A3710 , ""tr"" , ""en"")"),"@drfahrettinkoca guide where is my minister? Hani During the year, you will be appointed without the end of our eyes we haven't left crying ... https://t.co/p2bllv48uz")</f>
        <v>@drfahrettinkoca guide where is my minister? Hani During the year, you will be appointed without the end of our eyes we haven't left crying ... https://t.co/p2bllv48uz</v>
      </c>
    </row>
    <row r="6912" spans="1:5" ht="15" customHeight="1" x14ac:dyDescent="0.2">
      <c r="A6912" s="1" t="s">
        <v>13766</v>
      </c>
      <c r="B6912" s="1">
        <v>4</v>
      </c>
      <c r="C6912" s="3">
        <v>44539.777789351851</v>
      </c>
      <c r="D6912" s="1" t="s">
        <v>13767</v>
      </c>
      <c r="E6912" s="1" t="str">
        <f ca="1">IFERROR(__xludf.DUMMYFUNCTION("GOOGLETRANSLATE(A3711 , ""tr"" , ""en"")"),"@drfahrettinkoca Mr. Ministry I have been waiting for purchase for 1 year, hear these bellows; (")</f>
        <v>@drfahrettinkoca Mr. Ministry I have been waiting for purchase for 1 year, hear these bellows; (</v>
      </c>
    </row>
    <row r="6913" spans="1:5" ht="15" customHeight="1" x14ac:dyDescent="0.2">
      <c r="A6913" s="1" t="s">
        <v>13768</v>
      </c>
      <c r="B6913" s="1">
        <v>4</v>
      </c>
      <c r="C6913" s="3">
        <v>44539.777789351851</v>
      </c>
      <c r="D6913" s="1" t="s">
        <v>13769</v>
      </c>
      <c r="E6913" s="1" t="str">
        <f ca="1">IFERROR(__xludf.DUMMYFUNCTION("GOOGLETRANSLATE(A3712 , ""tr"" , ""en"")"),"@drfahrettinka you have lost 740,000 i lost youth!")</f>
        <v>@drfahrettinka you have lost 740,000 i lost youth!</v>
      </c>
    </row>
    <row r="6914" spans="1:5" ht="15" customHeight="1" x14ac:dyDescent="0.2">
      <c r="A6914" s="1" t="s">
        <v>13770</v>
      </c>
      <c r="B6914" s="1">
        <v>27</v>
      </c>
      <c r="C6914" s="3">
        <v>44539.777789351851</v>
      </c>
      <c r="D6914" s="1" t="s">
        <v>13771</v>
      </c>
      <c r="E6914" s="1" t="str">
        <f ca="1">IFERROR(__xludf.DUMMYFUNCTION("GOOGLETRANSLATE(A3713 , ""tr"" , ""en"")"),"@drfahrettinkoca isn't yokkkkkiko kilavuuzzzzz")</f>
        <v>@drfahrettinkoca isn't yokkkkkiko kilavuuzzzzz</v>
      </c>
    </row>
    <row r="6915" spans="1:5" ht="15" customHeight="1" x14ac:dyDescent="0.2">
      <c r="A6915" s="1" t="s">
        <v>13772</v>
      </c>
      <c r="B6915" s="1">
        <v>3</v>
      </c>
      <c r="C6915" s="3">
        <v>44539.777777777781</v>
      </c>
      <c r="D6915" s="1" t="s">
        <v>13773</v>
      </c>
      <c r="E6915" s="1" t="str">
        <f ca="1">IFERROR(__xludf.DUMMYFUNCTION("GOOGLETRANSLATE(A3714 , ""tr"" , ""en"")"),"@drfahrettinkoca guide looking forward to the minister why don't you see us")</f>
        <v>@drfahrettinkoca guide looking forward to the minister why don't you see us</v>
      </c>
    </row>
    <row r="6916" spans="1:5" ht="15" customHeight="1" x14ac:dyDescent="0.2">
      <c r="A6916" s="1" t="s">
        <v>13774</v>
      </c>
      <c r="B6916" s="1">
        <v>0</v>
      </c>
      <c r="C6916" s="3">
        <v>44539.777766203704</v>
      </c>
      <c r="D6916" s="1" t="s">
        <v>13775</v>
      </c>
      <c r="E6916" s="1" t="str">
        <f ca="1">IFERROR(__xludf.DUMMYFUNCTION("GOOGLETRANSLATE(A3715 , ""tr"" , ""en"")"),"@drfahrettinkoca Since last night, we are in the hospital with great son in the hospital 40 LARA output the problem output my wife ... https://t.co/ly8dxxsq79")</f>
        <v>@drfahrettinkoca Since last night, we are in the hospital with great son in the hospital 40 LARA output the problem output my wife ... https://t.co/ly8dxxsq79</v>
      </c>
    </row>
    <row r="6917" spans="1:5" ht="15" customHeight="1" x14ac:dyDescent="0.2">
      <c r="A6917" s="1" t="s">
        <v>13776</v>
      </c>
      <c r="B6917" s="1">
        <v>88</v>
      </c>
      <c r="C6917" s="3">
        <v>44539.777731481481</v>
      </c>
      <c r="D6917" s="1" t="s">
        <v>13777</v>
      </c>
      <c r="E6917" s="1" t="str">
        <f ca="1">IFERROR(__xludf.DUMMYFUNCTION("GOOGLETRANSLATE(A3716 , ""tr"" , ""en"")"),"@drfahrettinkoca Pinookyo I would like to lie down so much to the moon. Pes so")</f>
        <v>@drfahrettinkoca Pinookyo I would like to lie down so much to the moon. Pes so</v>
      </c>
    </row>
    <row r="6918" spans="1:5" ht="15" customHeight="1" x14ac:dyDescent="0.2">
      <c r="A6918" s="1" t="s">
        <v>13778</v>
      </c>
      <c r="B6918" s="1">
        <v>0</v>
      </c>
      <c r="C6918" s="3">
        <v>44539.777708333335</v>
      </c>
      <c r="D6918" s="1" t="s">
        <v>13779</v>
      </c>
      <c r="E6918" s="1" t="str">
        <f ca="1">IFERROR(__xludf.DUMMYFUNCTION("GOOGLETRANSLATE(A3717 , ""tr"" , ""en"")"),"@drfahrettinkoca is either complete shutdown or complete vaccinated")</f>
        <v>@drfahrettinkoca is either complete shutdown or complete vaccinated</v>
      </c>
    </row>
    <row r="6919" spans="1:5" ht="15" customHeight="1" x14ac:dyDescent="0.2">
      <c r="A6919" s="1" t="s">
        <v>13780</v>
      </c>
      <c r="B6919" s="1">
        <v>0</v>
      </c>
      <c r="C6919" s="3">
        <v>44539.777708333335</v>
      </c>
      <c r="D6919" s="1" t="s">
        <v>13781</v>
      </c>
      <c r="E6919" s="1" t="str">
        <f ca="1">IFERROR(__xludf.DUMMYFUNCTION("GOOGLETRANSLATE(A3718 , ""tr"" , ""en"")"),"@drfahrettinkoca Hanimis Guide")</f>
        <v>@drfahrettinkoca Hanimis Guide</v>
      </c>
    </row>
    <row r="6920" spans="1:5" ht="15" customHeight="1" x14ac:dyDescent="0.2">
      <c r="A6920" s="1" t="s">
        <v>13782</v>
      </c>
      <c r="B6920" s="1">
        <v>0</v>
      </c>
      <c r="C6920" s="3">
        <v>44539.777673611112</v>
      </c>
      <c r="D6920" s="1" t="s">
        <v>13783</v>
      </c>
      <c r="E6920" s="1" t="str">
        <f ca="1">IFERROR(__xludf.DUMMYFUNCTION("GOOGLETRANSLATE(A3719 , ""tr"" , ""en"")"),"@drfahrettinkoca when is the assignment")</f>
        <v>@drfahrettinkoca when is the assignment</v>
      </c>
    </row>
    <row r="6921" spans="1:5" ht="15" customHeight="1" x14ac:dyDescent="0.2">
      <c r="A6921" s="1" t="s">
        <v>13784</v>
      </c>
      <c r="B6921" s="1">
        <v>25</v>
      </c>
      <c r="C6921" s="3">
        <v>44539.777650462966</v>
      </c>
      <c r="D6921" s="1" t="s">
        <v>13785</v>
      </c>
      <c r="E6921" s="1" t="str">
        <f ca="1">IFERROR(__xludf.DUMMYFUNCTION("GOOGLETRANSLATE(A3720 , ""tr"" , ""en"")"),"@drfahrettinkoca guide nerdeeeee33e")</f>
        <v>@drfahrettinkoca guide nerdeeeee33e</v>
      </c>
    </row>
    <row r="6922" spans="1:5" ht="15" customHeight="1" x14ac:dyDescent="0.2">
      <c r="A6922" s="1" t="s">
        <v>13786</v>
      </c>
      <c r="B6922" s="1">
        <v>0</v>
      </c>
      <c r="C6922" s="3">
        <v>44539.777650462966</v>
      </c>
      <c r="D6922" s="1" t="s">
        <v>13787</v>
      </c>
      <c r="E6922" s="1" t="str">
        <f ca="1">IFERROR(__xludf.DUMMYFUNCTION("GOOGLETRANSLATE(A3721 , ""tr"" , ""en"")"),"@drfahrettinkoca please make a broken description of your silence publish the guide")</f>
        <v>@drfahrettinkoca please make a broken description of your silence publish the guide</v>
      </c>
    </row>
    <row r="6923" spans="1:5" ht="15" customHeight="1" x14ac:dyDescent="0.2">
      <c r="A6923" s="1" t="s">
        <v>13788</v>
      </c>
      <c r="B6923" s="1">
        <v>1</v>
      </c>
      <c r="C6923" s="3">
        <v>44539.777604166666</v>
      </c>
      <c r="D6923" s="1" t="s">
        <v>13789</v>
      </c>
      <c r="E6923" s="1" t="str">
        <f ca="1">IFERROR(__xludf.DUMMYFUNCTION("GOOGLETRANSLATE(A3722 , ""tr"" , ""en"")"),"@drfahrettinka omicron has variant in the country")</f>
        <v>@drfahrettinka omicron has variant in the country</v>
      </c>
    </row>
    <row r="6924" spans="1:5" ht="15" customHeight="1" x14ac:dyDescent="0.2">
      <c r="A6924" s="1" t="s">
        <v>13790</v>
      </c>
      <c r="B6924" s="1">
        <v>0</v>
      </c>
      <c r="C6924" s="3">
        <v>44539.777592592596</v>
      </c>
      <c r="D6924" s="1" t="s">
        <v>13791</v>
      </c>
      <c r="E6924" s="1" t="str">
        <f ca="1">IFERROR(__xludf.DUMMYFUNCTION("GOOGLETRANSLATE(A3723 , ""tr"" , ""en"")"),"@drfahrettinkoca when will it come to guanemzzz")</f>
        <v>@drfahrettinkoca when will it come to guanemzzz</v>
      </c>
    </row>
    <row r="6925" spans="1:5" ht="15" customHeight="1" x14ac:dyDescent="0.2">
      <c r="A6925" s="1" t="s">
        <v>13312</v>
      </c>
      <c r="B6925" s="1">
        <v>0</v>
      </c>
      <c r="C6925" s="3">
        <v>44539.77752314815</v>
      </c>
      <c r="D6925" s="1" t="s">
        <v>13792</v>
      </c>
      <c r="E6925" s="1" t="str">
        <f ca="1">IFERROR(__xludf.DUMMYFUNCTION("GOOGLETRANSLATE(A3724 , ""tr"" , ""en"")"),"@drfahrettinkoca manuscript")</f>
        <v>@drfahrettinkoca manuscript</v>
      </c>
    </row>
    <row r="6926" spans="1:5" ht="15" customHeight="1" x14ac:dyDescent="0.2">
      <c r="A6926" s="1" t="s">
        <v>13793</v>
      </c>
      <c r="B6926" s="1">
        <v>14</v>
      </c>
      <c r="C6926" s="3">
        <v>44539.777499999997</v>
      </c>
      <c r="D6926" s="1" t="s">
        <v>13794</v>
      </c>
      <c r="E6926" s="1" t="str">
        <f ca="1">IFERROR(__xludf.DUMMYFUNCTION("GOOGLETRANSLATE(A3725 , ""tr"" , ""en"")"),"@drfahrettinkoca Ministry of Assignment Guide Please Come Please 🙏")</f>
        <v>@drfahrettinkoca Ministry of Assignment Guide Please Come Please 🙏</v>
      </c>
    </row>
    <row r="6927" spans="1:5" ht="15" customHeight="1" x14ac:dyDescent="0.2">
      <c r="A6927" s="1" t="s">
        <v>13795</v>
      </c>
      <c r="B6927" s="1">
        <v>6</v>
      </c>
      <c r="C6927" s="3">
        <v>44539.777488425927</v>
      </c>
      <c r="D6927" s="1" t="s">
        <v>13796</v>
      </c>
      <c r="E6927" s="1" t="str">
        <f ca="1">IFERROR(__xludf.DUMMYFUNCTION("GOOGLETRANSLATE(A3726 , ""tr"" , ""en"")"),"@drfahrettinkoca schools all variants in schools are traveling classes at least 60 people no windows indoor ventilation !! ... https://t.co/68llolszuI")</f>
        <v>@drfahrettinkoca schools all variants in schools are traveling classes at least 60 people no windows indoor ventilation !! ... https://t.co/68llolszuI</v>
      </c>
    </row>
    <row r="6928" spans="1:5" ht="15" customHeight="1" x14ac:dyDescent="0.2">
      <c r="A6928" s="1" t="s">
        <v>13797</v>
      </c>
      <c r="B6928" s="1">
        <v>12</v>
      </c>
      <c r="C6928" s="3">
        <v>44539.777488425927</v>
      </c>
      <c r="D6928" s="1" t="s">
        <v>13798</v>
      </c>
      <c r="E6928" s="1" t="str">
        <f ca="1">IFERROR(__xludf.DUMMYFUNCTION("GOOGLETRANSLATE(A3727 , ""tr"" , ""en"")"),"@drfahrettinkoca Minister For Allah consent now publish the following guide")</f>
        <v>@drfahrettinkoca Minister For Allah consent now publish the following guide</v>
      </c>
    </row>
    <row r="6929" spans="1:5" ht="15" customHeight="1" x14ac:dyDescent="0.2">
      <c r="A6929" s="1" t="s">
        <v>13799</v>
      </c>
      <c r="B6929" s="1">
        <v>11</v>
      </c>
      <c r="C6929" s="3">
        <v>44539.777465277781</v>
      </c>
      <c r="D6929" s="1" t="s">
        <v>13800</v>
      </c>
      <c r="E6929" s="1" t="str">
        <f ca="1">IFERROR(__xludf.DUMMYFUNCTION("GOOGLETRANSLATE(A3728 , ""tr"" , ""en"")"),"@drfahrettinkoca for Allah Icuz Yaw Yaw Yaw")</f>
        <v>@drfahrettinkoca for Allah Icuz Yaw Yaw Yaw</v>
      </c>
    </row>
    <row r="6930" spans="1:5" ht="15" customHeight="1" x14ac:dyDescent="0.2">
      <c r="A6930" s="1" t="s">
        <v>13801</v>
      </c>
      <c r="B6930" s="1">
        <v>33</v>
      </c>
      <c r="C6930" s="3">
        <v>44539.777453703704</v>
      </c>
      <c r="D6930" s="1" t="s">
        <v>13802</v>
      </c>
      <c r="E6930" s="1" t="str">
        <f ca="1">IFERROR(__xludf.DUMMYFUNCTION("GOOGLETRANSLATE(A3729 , ""tr"" , ""en"")"),"@drfahrettinkoca Abi Are you a joke or")</f>
        <v>@drfahrettinkoca Abi Are you a joke or</v>
      </c>
    </row>
    <row r="6931" spans="1:5" ht="15" customHeight="1" x14ac:dyDescent="0.2">
      <c r="A6931" s="1" t="s">
        <v>12681</v>
      </c>
      <c r="B6931" s="1">
        <v>19</v>
      </c>
      <c r="C6931" s="3">
        <v>44539.777453703704</v>
      </c>
      <c r="D6931" s="1" t="s">
        <v>13803</v>
      </c>
      <c r="E6931" s="1" t="str">
        <f ca="1">IFERROR(__xludf.DUMMYFUNCTION("GOOGLETRANSLATE(A3730 , ""tr"" , ""en"")"),"@drfahrettinkoca assignment")</f>
        <v>@drfahrettinkoca assignment</v>
      </c>
    </row>
    <row r="6932" spans="1:5" ht="15" customHeight="1" x14ac:dyDescent="0.2">
      <c r="A6932" s="1" t="s">
        <v>13687</v>
      </c>
      <c r="B6932" s="1">
        <v>19</v>
      </c>
      <c r="C6932" s="3">
        <v>44539.777418981481</v>
      </c>
      <c r="D6932" s="1" t="s">
        <v>13804</v>
      </c>
      <c r="E6932" s="1" t="str">
        <f ca="1">IFERROR(__xludf.DUMMYFUNCTION("GOOGLETRANSLATE(A3731 , ""tr"" , ""en"")"),"@drfahrettinkoca guanuzzz")</f>
        <v>@drfahrettinkoca guanuzzz</v>
      </c>
    </row>
    <row r="6933" spans="1:5" ht="15" customHeight="1" x14ac:dyDescent="0.2">
      <c r="A6933" s="1" t="s">
        <v>13805</v>
      </c>
      <c r="B6933" s="1">
        <v>0</v>
      </c>
      <c r="C6933" s="3">
        <v>44541.869398148148</v>
      </c>
      <c r="D6933" s="1" t="s">
        <v>13806</v>
      </c>
      <c r="E6933" s="1" t="str">
        <f ca="1">IFERROR(__xludf.DUMMYFUNCTION("GOOGLETRANSLATE(A3732 , ""tr"" , ""en"")"),"@drfahrettinkoca @drfahrettinkoca @drfahrettinkoca @rterdogan How do you guys black out our lives, our youth our blood ... https://t.co/gjhxaalxoc")</f>
        <v>@drfahrettinkoca @drfahrettinkoca @drfahrettinkoca @rterdogan How do you guys black out our lives, our youth our blood ... https://t.co/gjhxaalxoc</v>
      </c>
    </row>
    <row r="6934" spans="1:5" ht="15" customHeight="1" x14ac:dyDescent="0.2">
      <c r="A6934" s="1" t="s">
        <v>13807</v>
      </c>
      <c r="B6934" s="1">
        <v>0</v>
      </c>
      <c r="C6934" s="3">
        <v>44540.970543981479</v>
      </c>
      <c r="D6934" s="1" t="s">
        <v>13808</v>
      </c>
      <c r="E6934" s="1" t="str">
        <f ca="1">IFERROR(__xludf.DUMMYFUNCTION("GOOGLETRANSLATE(A3733 , ""tr"" , ""en"")"),"@drfahrettinkoca brains Leave five tables of science gang Five desks started the food war from your face Nation ... https://t.co/nondvbvugh")</f>
        <v>@drfahrettinkoca brains Leave five tables of science gang Five desks started the food war from your face Nation ... https://t.co/nondvbvugh</v>
      </c>
    </row>
    <row r="6935" spans="1:5" ht="15" customHeight="1" x14ac:dyDescent="0.2">
      <c r="A6935" s="1" t="s">
        <v>13809</v>
      </c>
      <c r="B6935" s="1">
        <v>1</v>
      </c>
      <c r="C6935" s="3">
        <v>44540.880810185183</v>
      </c>
      <c r="D6935" s="1" t="s">
        <v>13810</v>
      </c>
      <c r="E6935" s="1" t="str">
        <f ca="1">IFERROR(__xludf.DUMMYFUNCTION("GOOGLETRANSLATE(A3734 , ""tr"" , ""en"")"),"@drfahrettinkoca is positives although sister and enestem become grafted. The vaccine does not prevent being sick and impeduing ... https://t.co/LKOUOISW1Y")</f>
        <v>@drfahrettinkoca is positives although sister and enestem become grafted. The vaccine does not prevent being sick and impeduing ... https://t.co/LKOUOISW1Y</v>
      </c>
    </row>
    <row r="6936" spans="1:5" ht="15" customHeight="1" x14ac:dyDescent="0.2">
      <c r="A6936" s="1" t="s">
        <v>13811</v>
      </c>
      <c r="B6936" s="1">
        <v>1</v>
      </c>
      <c r="C6936" s="3">
        <v>44540.861134259256</v>
      </c>
      <c r="D6936" s="1" t="s">
        <v>13812</v>
      </c>
      <c r="E6936" s="1" t="str">
        <f ca="1">IFERROR(__xludf.DUMMYFUNCTION("GOOGLETRANSLATE(A3735 , ""tr"" , ""en"")"),"@drfahrettinkoca thumbs up Newlying flu variant https://t.co/1vgmn8ekwc")</f>
        <v>@drfahrettinkoca thumbs up Newlying flu variant https://t.co/1vgmn8ekwc</v>
      </c>
    </row>
    <row r="6937" spans="1:5" ht="15" customHeight="1" x14ac:dyDescent="0.2">
      <c r="A6937" s="1" t="s">
        <v>13813</v>
      </c>
      <c r="B6937" s="1">
        <v>1</v>
      </c>
      <c r="C6937" s="3">
        <v>44540.768842592595</v>
      </c>
      <c r="D6937" s="1" t="s">
        <v>13814</v>
      </c>
      <c r="E6937" s="1" t="str">
        <f ca="1">IFERROR(__xludf.DUMMYFUNCTION("GOOGLETRANSLATE(A3736 , ""tr"" , ""en"")"),"@drfahrettinkoca 3 grafted I'm close to the heart attack yesterday, passed the heart attack yesterday sisted wife hospital in intensive care room 3 grafted .This day y ... https://t.co/zweqmjwmht")</f>
        <v>@drfahrettinkoca 3 grafted I'm close to the heart attack yesterday, passed the heart attack yesterday sisted wife hospital in intensive care room 3 grafted .This day y ... https://t.co/zweqmjwmht</v>
      </c>
    </row>
    <row r="6938" spans="1:5" ht="15" customHeight="1" x14ac:dyDescent="0.2">
      <c r="A6938" s="1" t="s">
        <v>13815</v>
      </c>
      <c r="B6938" s="1">
        <v>0</v>
      </c>
      <c r="C6938" s="3">
        <v>44540.767141203702</v>
      </c>
      <c r="D6938" s="1" t="s">
        <v>13816</v>
      </c>
      <c r="E6938" s="1" t="str">
        <f ca="1">IFERROR(__xludf.DUMMYFUNCTION("GOOGLETRANSLATE(A3737 , ""tr"" , ""en"")"),"@drfahrettinkoca how i hesitate to comment on freedom of thought.")</f>
        <v>@drfahrettinkoca how i hesitate to comment on freedom of thought.</v>
      </c>
    </row>
    <row r="6939" spans="1:5" ht="15" customHeight="1" x14ac:dyDescent="0.2">
      <c r="A6939" s="1" t="s">
        <v>13817</v>
      </c>
      <c r="B6939" s="1">
        <v>1</v>
      </c>
      <c r="C6939" s="3">
        <v>44540.765879629631</v>
      </c>
      <c r="D6939" s="1" t="s">
        <v>13818</v>
      </c>
      <c r="E6939" s="1" t="str">
        <f ca="1">IFERROR(__xludf.DUMMYFUNCTION("GOOGLETRANSLATE(A3738 , ""tr"" , ""en"")"),"@drfahrettinkoca is the vaccination vaccination vaccination now. You have ruined people's life. If you left your course ... https://t.co/jozq1cdp2v")</f>
        <v>@drfahrettinkoca is the vaccination vaccination vaccination now. You have ruined people's life. If you left your course ... https://t.co/jozq1cdp2v</v>
      </c>
    </row>
    <row r="6940" spans="1:5" ht="15" customHeight="1" x14ac:dyDescent="0.2">
      <c r="A6940" s="1" t="s">
        <v>12002</v>
      </c>
      <c r="B6940" s="1">
        <v>0</v>
      </c>
      <c r="C6940" s="3">
        <v>44540.737037037034</v>
      </c>
      <c r="D6940" s="1" t="s">
        <v>13819</v>
      </c>
      <c r="E6940" s="1" t="str">
        <f ca="1">IFERROR(__xludf.DUMMYFUNCTION("GOOGLETRANSLATE(A3739 , ""tr"" , ""en"")"),"@drfahrettinka https://t.co/oo5ealvodb")</f>
        <v>@drfahrettinka https://t.co/oo5ealvodb</v>
      </c>
    </row>
    <row r="6941" spans="1:5" ht="15" customHeight="1" x14ac:dyDescent="0.2">
      <c r="A6941" s="1" t="s">
        <v>13820</v>
      </c>
      <c r="B6941" s="1">
        <v>0</v>
      </c>
      <c r="C6941" s="3">
        <v>44540.727916666663</v>
      </c>
      <c r="D6941" s="1" t="s">
        <v>13821</v>
      </c>
      <c r="E6941" s="1" t="str">
        <f ca="1">IFERROR(__xludf.DUMMYFUNCTION("GOOGLETRANSLATE(A3740 , ""tr"" , ""en"")"),"@drfahrettinkoca knows that you are not validity of what you have typed in the validity.")</f>
        <v>@drfahrettinkoca knows that you are not validity of what you have typed in the validity.</v>
      </c>
    </row>
    <row r="6942" spans="1:5" ht="15" customHeight="1" x14ac:dyDescent="0.2">
      <c r="A6942" s="1" t="s">
        <v>13822</v>
      </c>
      <c r="B6942" s="1">
        <v>0</v>
      </c>
      <c r="C6942" s="3">
        <v>44540.685393518521</v>
      </c>
      <c r="D6942" s="1" t="s">
        <v>13823</v>
      </c>
      <c r="E6942" s="1" t="str">
        <f ca="1">IFERROR(__xludf.DUMMYFUNCTION("GOOGLETRANSLATE(A3741 , ""tr"" , ""en"")"),"@drfahrettinkoca Puggest Pull Back Minister to Health Worker Zammii")</f>
        <v>@drfahrettinkoca Puggest Pull Back Minister to Health Worker Zammii</v>
      </c>
    </row>
    <row r="6943" spans="1:5" ht="15" customHeight="1" x14ac:dyDescent="0.2">
      <c r="A6943" s="1" t="s">
        <v>13824</v>
      </c>
      <c r="B6943" s="1">
        <v>0</v>
      </c>
      <c r="C6943" s="3">
        <v>44540.681597222225</v>
      </c>
      <c r="D6943" s="1" t="s">
        <v>13825</v>
      </c>
      <c r="E6943" s="1" t="str">
        <f ca="1">IFERROR(__xludf.DUMMYFUNCTION("GOOGLETRANSLATE(A3742 , ""tr"" , ""en"")"),"@drfahrettinkoca Mr. Ministry We have been drift from reading only sensations and negative reviews NED ... https://t.co/8l8mbxwike")</f>
        <v>@drfahrettinkoca Mr. Ministry We have been drift from reading only sensations and negative reviews NED ... https://t.co/8l8mbxwike</v>
      </c>
    </row>
    <row r="6944" spans="1:5" ht="15" customHeight="1" x14ac:dyDescent="0.2">
      <c r="A6944" s="1" t="s">
        <v>13826</v>
      </c>
      <c r="B6944" s="1">
        <v>1</v>
      </c>
      <c r="C6944" s="3">
        <v>44540.677870370368</v>
      </c>
      <c r="D6944" s="1" t="s">
        <v>13827</v>
      </c>
      <c r="E6944" s="1" t="str">
        <f ca="1">IFERROR(__xludf.DUMMYFUNCTION("GOOGLETRANSLATE(A3743 , ""tr"" , ""en"")"),"@drfahrettinkoca @saglikbakanligi to the end of December by the end of December Ranadevu in the patient Hospital eye polyclinics ... https://t.co/rmwn87vdpj")</f>
        <v>@drfahrettinkoca @saglikbakanligi to the end of December by the end of December Ranadevu in the patient Hospital eye polyclinics ... https://t.co/rmwn87vdpj</v>
      </c>
    </row>
    <row r="6945" spans="1:5" ht="15" customHeight="1" x14ac:dyDescent="0.2">
      <c r="A6945" s="1" t="s">
        <v>13828</v>
      </c>
      <c r="B6945" s="1">
        <v>2</v>
      </c>
      <c r="C6945" s="3">
        <v>44540.676261574074</v>
      </c>
      <c r="D6945" s="1" t="s">
        <v>13829</v>
      </c>
      <c r="E6945" s="1" t="str">
        <f ca="1">IFERROR(__xludf.DUMMYFUNCTION("GOOGLETRANSLATE(A3744 , ""tr"" , ""en"")"),"@drfahrettinkoca why don't you see us?")</f>
        <v>@drfahrettinkoca why don't you see us?</v>
      </c>
    </row>
    <row r="6946" spans="1:5" ht="15" customHeight="1" x14ac:dyDescent="0.2">
      <c r="A6946" s="1" t="s">
        <v>13830</v>
      </c>
      <c r="B6946" s="1">
        <v>0</v>
      </c>
      <c r="C6946" s="3">
        <v>44540.673136574071</v>
      </c>
      <c r="D6946" s="1" t="s">
        <v>13831</v>
      </c>
      <c r="E6946" s="1" t="str">
        <f ca="1">IFERROR(__xludf.DUMMYFUNCTION("GOOGLETRANSLATE(A3745 , ""tr"" , ""en"")"),"@drfahrettinkoca You have also considered the 2 dose of liquid ""A $$ ISIZ"". The incomplete dose exactly the dose of avoidance?")</f>
        <v>@drfahrettinkoca You have also considered the 2 dose of liquid "A $$ ISIZ". The incomplete dose exactly the dose of avoidance?</v>
      </c>
    </row>
    <row r="6947" spans="1:5" ht="15" customHeight="1" x14ac:dyDescent="0.2">
      <c r="A6947" s="1" t="s">
        <v>13832</v>
      </c>
      <c r="B6947" s="1">
        <v>0</v>
      </c>
      <c r="C6947" s="3">
        <v>44540.672361111108</v>
      </c>
      <c r="D6947" s="1" t="s">
        <v>13833</v>
      </c>
      <c r="E6947" s="1" t="str">
        <f ca="1">IFERROR(__xludf.DUMMYFUNCTION("GOOGLETRANSLATE(A3746 , ""tr"" , ""en"")"),"@drfahrettinkoca lie")</f>
        <v>@drfahrettinkoca lie</v>
      </c>
    </row>
    <row r="6948" spans="1:5" ht="15" customHeight="1" x14ac:dyDescent="0.2">
      <c r="A6948" s="1" t="s">
        <v>13834</v>
      </c>
      <c r="B6948" s="1">
        <v>1</v>
      </c>
      <c r="C6948" s="3">
        <v>44540.651284722226</v>
      </c>
      <c r="D6948" s="1" t="s">
        <v>13835</v>
      </c>
      <c r="E6948" s="1" t="str">
        <f ca="1">IFERROR(__xludf.DUMMYFUNCTION("GOOGLETRANSLATE(A3747 , ""tr"" , ""en"")"),"@drfahrettinkoca Is there anyone believing in this lie?")</f>
        <v>@drfahrettinkoca Is there anyone believing in this lie?</v>
      </c>
    </row>
    <row r="6949" spans="1:5" ht="15" customHeight="1" x14ac:dyDescent="0.2">
      <c r="A6949" s="1" t="s">
        <v>13836</v>
      </c>
      <c r="B6949" s="1">
        <v>0</v>
      </c>
      <c r="C6949" s="3">
        <v>44540.650891203702</v>
      </c>
      <c r="D6949" s="1" t="s">
        <v>13837</v>
      </c>
      <c r="E6949" s="1" t="str">
        <f ca="1">IFERROR(__xludf.DUMMYFUNCTION("GOOGLETRANSLATE(A3748 , ""tr"" , ""en"")"),"@drfahrettinkoca I'm not being vaccine in Yetrrrrr Fahrettin Efendii. Do you hear what you want to come to yourself. Working in the public ... https://t.co/6l3z5p7bqi")</f>
        <v>@drfahrettinkoca I'm not being vaccine in Yetrrrrr Fahrettin Efendii. Do you hear what you want to come to yourself. Working in the public ... https://t.co/6l3z5p7bqi</v>
      </c>
    </row>
    <row r="6950" spans="1:5" ht="15" customHeight="1" x14ac:dyDescent="0.2">
      <c r="A6950" s="1" t="s">
        <v>13838</v>
      </c>
      <c r="B6950" s="1">
        <v>0</v>
      </c>
      <c r="C6950" s="3">
        <v>44540.64638888889</v>
      </c>
      <c r="D6950" s="1" t="s">
        <v>13839</v>
      </c>
      <c r="E6950" s="1" t="str">
        <f ca="1">IFERROR(__xludf.DUMMYFUNCTION("GOOGLETRANSLATE(A3749 , ""tr"" , ""en"")"),"@drfahrettinkoca I don't believe at all. You are writing these numbers to your head")</f>
        <v>@drfahrettinkoca I don't believe at all. You are writing these numbers to your head</v>
      </c>
    </row>
    <row r="6951" spans="1:5" ht="15" customHeight="1" x14ac:dyDescent="0.2">
      <c r="A6951" s="1" t="s">
        <v>13840</v>
      </c>
      <c r="B6951" s="1">
        <v>0</v>
      </c>
      <c r="C6951" s="3">
        <v>44540.643726851849</v>
      </c>
      <c r="D6951" s="1" t="s">
        <v>13841</v>
      </c>
      <c r="E6951" s="1" t="str">
        <f ca="1">IFERROR(__xludf.DUMMYFUNCTION("GOOGLETRANSLATE(A3750 , ""tr"" , ""en"")"),"@drfahrettinka https://t.co/k3ayxqodhx")</f>
        <v>@drfahrettinka https://t.co/k3ayxqodhx</v>
      </c>
    </row>
    <row r="6952" spans="1:5" ht="15" customHeight="1" x14ac:dyDescent="0.2">
      <c r="A6952" s="1" t="s">
        <v>13842</v>
      </c>
      <c r="B6952" s="1">
        <v>0</v>
      </c>
      <c r="C6952" s="3">
        <v>44540.643263888887</v>
      </c>
      <c r="D6952" s="1" t="s">
        <v>13843</v>
      </c>
      <c r="E6952" s="1" t="str">
        <f ca="1">IFERROR(__xludf.DUMMYFUNCTION("GOOGLETRANSLATE(A3751 , ""tr"" , ""en"")"),"@drfahrettinkoca Ya You Go to the toilet without asking Sus Artik Erdogana")</f>
        <v>@drfahrettinkoca Ya You Go to the toilet without asking Sus Artik Erdogana</v>
      </c>
    </row>
    <row r="6953" spans="1:5" ht="15" customHeight="1" x14ac:dyDescent="0.2">
      <c r="A6953" s="1" t="s">
        <v>13844</v>
      </c>
      <c r="B6953" s="1">
        <v>0</v>
      </c>
      <c r="C6953" s="3">
        <v>44540.639016203706</v>
      </c>
      <c r="D6953" s="1" t="s">
        <v>13845</v>
      </c>
      <c r="E6953" s="1" t="str">
        <f ca="1">IFERROR(__xludf.DUMMYFUNCTION("GOOGLETRANSLATE(A3752 , ""tr"" , ""en"")"),"@drfahrettinkoca what we have in the epidemic we are going low in the epidemic Numbers of the Numbers in the epidemic Numbers ... https://t.co/2mtarba7rn")</f>
        <v>@drfahrettinkoca what we have in the epidemic we are going low in the epidemic Numbers of the Numbers in the epidemic Numbers ... https://t.co/2mtarba7rn</v>
      </c>
    </row>
    <row r="6954" spans="1:5" ht="15" customHeight="1" x14ac:dyDescent="0.2">
      <c r="A6954" s="1" t="s">
        <v>13846</v>
      </c>
      <c r="B6954" s="1">
        <v>0</v>
      </c>
      <c r="C6954" s="3">
        <v>44540.637060185189</v>
      </c>
      <c r="D6954" s="1" t="s">
        <v>13847</v>
      </c>
      <c r="E6954" s="1" t="str">
        <f ca="1">IFERROR(__xludf.DUMMYFUNCTION("GOOGLETRANSLATE(A3753 , ""tr"" , ""en"")"),"@drfahrettinkoca How many grafts are grafted, explained. She just can't see the melting in @ akparti.")</f>
        <v>@drfahrettinkoca How many grafts are grafted, explained. She just can't see the melting in @ akparti.</v>
      </c>
    </row>
    <row r="6955" spans="1:5" ht="15" customHeight="1" x14ac:dyDescent="0.2">
      <c r="A6955" s="1" t="s">
        <v>13848</v>
      </c>
      <c r="B6955" s="1">
        <v>0</v>
      </c>
      <c r="C6955" s="3">
        <v>44540.63653935185</v>
      </c>
      <c r="D6955" s="1" t="s">
        <v>13849</v>
      </c>
      <c r="E6955" s="1" t="str">
        <f ca="1">IFERROR(__xludf.DUMMYFUNCTION("GOOGLETRANSLATE(A3754 , ""tr"" , ""en"")"),"@drfahrettinkoca 3. Why do you do dose vaccines by 3 months. Again, you are hiding the number of cases we do not see the hospitals")</f>
        <v>@drfahrettinkoca 3. Why do you do dose vaccines by 3 months. Again, you are hiding the number of cases we do not see the hospitals</v>
      </c>
    </row>
    <row r="6956" spans="1:5" ht="15" customHeight="1" x14ac:dyDescent="0.2">
      <c r="A6956" s="1" t="s">
        <v>13850</v>
      </c>
      <c r="B6956" s="1">
        <v>0</v>
      </c>
      <c r="C6956" s="3">
        <v>44540.621863425928</v>
      </c>
      <c r="D6956" s="1" t="s">
        <v>13851</v>
      </c>
      <c r="E6956" s="1" t="str">
        <f ca="1">IFERROR(__xludf.DUMMYFUNCTION("GOOGLETRANSLATE(A3755 , ""tr"" , ""en"")"),"@drfahrettinkoca I have become Corona Natural Anktikor I have received your first antibodies You don't need your God")</f>
        <v>@drfahrettinkoca I have become Corona Natural Anktikor I have received your first antibodies You don't need your God</v>
      </c>
    </row>
    <row r="6957" spans="1:5" ht="15" customHeight="1" x14ac:dyDescent="0.2">
      <c r="A6957" s="1" t="s">
        <v>13852</v>
      </c>
      <c r="B6957" s="1">
        <v>0</v>
      </c>
      <c r="C6957" s="3">
        <v>44540.610138888886</v>
      </c>
      <c r="D6957" s="1" t="s">
        <v>13853</v>
      </c>
      <c r="E6957" s="1" t="str">
        <f ca="1">IFERROR(__xludf.DUMMYFUNCTION("GOOGLETRANSLATE(A3756 , ""tr"" , ""en"")"),"@drfahrettinkoca @saglikbakanligi how can they remain indifferent as this comment are amazed")</f>
        <v>@drfahrettinkoca @saglikbakanligi how can they remain indifferent as this comment are amazed</v>
      </c>
    </row>
    <row r="6958" spans="1:5" ht="15" customHeight="1" x14ac:dyDescent="0.2">
      <c r="A6958" s="1" t="s">
        <v>13854</v>
      </c>
      <c r="B6958" s="1">
        <v>0</v>
      </c>
      <c r="C6958" s="3">
        <v>44540.609768518516</v>
      </c>
      <c r="D6958" s="1" t="s">
        <v>13855</v>
      </c>
      <c r="E6958" s="1" t="str">
        <f ca="1">IFERROR(__xludf.DUMMYFUNCTION("GOOGLETRANSLATE(A3757 , ""tr"" , ""en"")"),"@drfahrettinkoca @saglikbakanligi guanuzzzz !!!!")</f>
        <v>@drfahrettinkoca @saglikbakanligi guanuzzzz !!!!</v>
      </c>
    </row>
    <row r="6959" spans="1:5" ht="15" customHeight="1" x14ac:dyDescent="0.2">
      <c r="A6959" s="1" t="s">
        <v>13856</v>
      </c>
      <c r="B6959" s="1">
        <v>0</v>
      </c>
      <c r="C6959" s="3">
        <v>44540.609201388892</v>
      </c>
      <c r="D6959" s="1" t="s">
        <v>13857</v>
      </c>
      <c r="E6959" s="1" t="str">
        <f ca="1">IFERROR(__xludf.DUMMYFUNCTION("GOOGLETRANSLATE(A3758 , ""tr"" , ""en"")"),"@drfahrettinkoca guide when to release it to the love of God")</f>
        <v>@drfahrettinkoca guide when to release it to the love of God</v>
      </c>
    </row>
    <row r="6960" spans="1:5" ht="15" customHeight="1" x14ac:dyDescent="0.2">
      <c r="A6960" s="1" t="s">
        <v>13858</v>
      </c>
      <c r="B6960" s="1">
        <v>0</v>
      </c>
      <c r="C6960" s="3">
        <v>44540.602164351854</v>
      </c>
      <c r="D6960" s="1" t="s">
        <v>13859</v>
      </c>
      <c r="E6960" s="1" t="str">
        <f ca="1">IFERROR(__xludf.DUMMYFUNCTION("GOOGLETRANSLATE(A3759 , ""tr"" , ""en"")"),"@drfahrettinkoca Yaa Allah ASSISSHIP Your self is enough Be enough that no one is to play with the mind of the bircok Kisi positively")</f>
        <v>@drfahrettinkoca Yaa Allah ASSISSHIP Your self is enough Be enough that no one is to play with the mind of the bircok Kisi positively</v>
      </c>
    </row>
    <row r="6961" spans="1:5" ht="15" customHeight="1" x14ac:dyDescent="0.2">
      <c r="A6961" s="1" t="s">
        <v>13860</v>
      </c>
      <c r="B6961" s="1">
        <v>0</v>
      </c>
      <c r="C6961" s="3">
        <v>44540.574861111112</v>
      </c>
      <c r="D6961" s="1" t="s">
        <v>13861</v>
      </c>
      <c r="E6961" s="1" t="str">
        <f ca="1">IFERROR(__xludf.DUMMYFUNCTION("GOOGLETRANSLATE(A3760 , ""tr"" , ""en"")"),"@drfahrettinkoca obstacle to sandwiches as disabled healthpieces and dietitians as our professions ... https://t.co/ecze0kof0h")</f>
        <v>@drfahrettinkoca obstacle to sandwiches as disabled healthpieces and dietitians as our professions ... https://t.co/ecze0kof0h</v>
      </c>
    </row>
    <row r="6962" spans="1:5" ht="15" customHeight="1" x14ac:dyDescent="0.2">
      <c r="A6962" s="1" t="s">
        <v>13862</v>
      </c>
      <c r="B6962" s="1">
        <v>1</v>
      </c>
      <c r="C6962" s="3">
        <v>44540.574803240743</v>
      </c>
      <c r="D6962" s="1" t="s">
        <v>13863</v>
      </c>
      <c r="E6962" s="1" t="str">
        <f ca="1">IFERROR(__xludf.DUMMYFUNCTION("GOOGLETRANSLATE(A3761 , ""tr"" , ""en"")"),"@drfahrettinka https://t.co/0fpdjombxe")</f>
        <v>@drfahrettinka https://t.co/0fpdjombxe</v>
      </c>
    </row>
    <row r="6963" spans="1:5" ht="15" customHeight="1" x14ac:dyDescent="0.2">
      <c r="A6963" s="1" t="s">
        <v>13864</v>
      </c>
      <c r="B6963" s="1">
        <v>0</v>
      </c>
      <c r="C6963" s="3">
        <v>44540.574745370373</v>
      </c>
      <c r="D6963" s="1" t="s">
        <v>13865</v>
      </c>
      <c r="E6963" s="1" t="str">
        <f ca="1">IFERROR(__xludf.DUMMYFUNCTION("GOOGLETRANSLATE(A3762 , ""tr"" , ""en"")"),"@drfahrettinkoca BlockLice Sandweight Healthparts and Dieticians to Sandweight As Https://t.co/qmgq75qqme")</f>
        <v>@drfahrettinkoca BlockLice Sandweight Healthparts and Dieticians to Sandweight As Https://t.co/qmgq75qqme</v>
      </c>
    </row>
    <row r="6964" spans="1:5" ht="15" customHeight="1" x14ac:dyDescent="0.2">
      <c r="A6964" s="1" t="s">
        <v>13866</v>
      </c>
      <c r="B6964" s="1">
        <v>0</v>
      </c>
      <c r="C6964" s="3">
        <v>44540.574687499997</v>
      </c>
      <c r="D6964" s="1" t="s">
        <v>13867</v>
      </c>
      <c r="E6964" s="1" t="str">
        <f ca="1">IFERROR(__xludf.DUMMYFUNCTION("GOOGLETRANSLATE(A3763 , ""tr"" , ""en"")"),"@drfahrettinkoca BlockLicova Sandweight Healthparts and Dietitians to Sandweight As Https://t.co/r0npqvw9dd")</f>
        <v>@drfahrettinkoca BlockLicova Sandweight Healthparts and Dietitians to Sandweight As Https://t.co/r0npqvw9dd</v>
      </c>
    </row>
    <row r="6965" spans="1:5" ht="15" customHeight="1" x14ac:dyDescent="0.2">
      <c r="A6965" s="1" t="s">
        <v>13868</v>
      </c>
      <c r="B6965" s="1">
        <v>1</v>
      </c>
      <c r="C6965" s="3">
        <v>44540.574583333335</v>
      </c>
      <c r="D6965" s="1" t="s">
        <v>13869</v>
      </c>
      <c r="E6965" s="1" t="str">
        <f ca="1">IFERROR(__xludf.DUMMYFUNCTION("GOOGLETRANSLATE(A3764 , ""tr"" , ""en"")"),"@drfahrettinka https://t.co/6lknjwizw2")</f>
        <v>@drfahrettinka https://t.co/6lknjwizw2</v>
      </c>
    </row>
    <row r="6966" spans="1:5" ht="15" customHeight="1" x14ac:dyDescent="0.2">
      <c r="A6966" s="1" t="s">
        <v>13870</v>
      </c>
      <c r="B6966" s="1">
        <v>0</v>
      </c>
      <c r="C6966" s="3">
        <v>44540.574537037035</v>
      </c>
      <c r="D6966" s="1" t="s">
        <v>13871</v>
      </c>
      <c r="E6966" s="1" t="str">
        <f ca="1">IFERROR(__xludf.DUMMYFUNCTION("GOOGLETRANSLATE(A3765 , ""tr"" , ""en"")"),"@drfahrettinkoca BlockLice Sandweight Healthparts and Dietitians to Sandweight As Https://t.co/Q5VSVHMPIL")</f>
        <v>@drfahrettinkoca BlockLice Sandweight Healthparts and Dietitians to Sandweight As Https://t.co/Q5VSVHMPIL</v>
      </c>
    </row>
    <row r="6967" spans="1:5" ht="15" customHeight="1" x14ac:dyDescent="0.2">
      <c r="A6967" s="1" t="s">
        <v>13872</v>
      </c>
      <c r="B6967" s="1">
        <v>0</v>
      </c>
      <c r="C6967" s="3">
        <v>44540.574444444443</v>
      </c>
      <c r="D6967" s="1" t="s">
        <v>13873</v>
      </c>
      <c r="E6967" s="1" t="str">
        <f ca="1">IFERROR(__xludf.DUMMYFUNCTION("GOOGLETRANSLATE(A3766 , ""tr"" , ""en"")"),"@drfahrettinkoca BlockLice Sandweight Healthparts and Dieticians to Sandweight As Https://t.co/8esrdvjexg")</f>
        <v>@drfahrettinkoca BlockLice Sandweight Healthparts and Dieticians to Sandweight As Https://t.co/8esrdvjexg</v>
      </c>
    </row>
    <row r="6968" spans="1:5" ht="15" customHeight="1" x14ac:dyDescent="0.2">
      <c r="A6968" s="1" t="s">
        <v>13874</v>
      </c>
      <c r="B6968" s="1">
        <v>0</v>
      </c>
      <c r="C6968" s="3">
        <v>44540.567083333335</v>
      </c>
      <c r="D6968" s="1" t="s">
        <v>13875</v>
      </c>
      <c r="E6968" s="1" t="str">
        <f ca="1">IFERROR(__xludf.DUMMYFUNCTION("GOOGLETRANSLATE(A3767 , ""tr"" , ""en"")"),"@drfahrettinka did not experience more semesters, let's see what the actual will be after her ...")</f>
        <v>@drfahrettinka did not experience more semesters, let's see what the actual will be after her ...</v>
      </c>
    </row>
    <row r="6969" spans="1:5" ht="15" customHeight="1" x14ac:dyDescent="0.2">
      <c r="A6969" s="1" t="s">
        <v>13876</v>
      </c>
      <c r="B6969" s="1">
        <v>0</v>
      </c>
      <c r="C6969" s="3">
        <v>44540.557881944442</v>
      </c>
      <c r="D6969" s="1" t="s">
        <v>13877</v>
      </c>
      <c r="E6969" s="1" t="str">
        <f ca="1">IFERROR(__xludf.DUMMYFUNCTION("GOOGLETRANSLATE(A3768 , ""tr"" , ""en"")"),"@drfahrettinkoca is in my opinion too.")</f>
        <v>@drfahrettinkoca is in my opinion too.</v>
      </c>
    </row>
    <row r="6970" spans="1:5" ht="15" customHeight="1" x14ac:dyDescent="0.2">
      <c r="A6970" s="1" t="s">
        <v>13878</v>
      </c>
      <c r="B6970" s="1">
        <v>0</v>
      </c>
      <c r="C6970" s="3">
        <v>44540.553090277775</v>
      </c>
      <c r="D6970" s="1" t="s">
        <v>13879</v>
      </c>
      <c r="E6970" s="1" t="str">
        <f ca="1">IFERROR(__xludf.DUMMYFUNCTION("GOOGLETRANSLATE(A3769 , ""tr"" , ""en"")"),"@drfahrettinkoca vaccine there are Dhabbe they say, if we are the Minister of Mr.")</f>
        <v>@drfahrettinkoca vaccine there are Dhabbe they say, if we are the Minister of Mr.</v>
      </c>
    </row>
    <row r="6971" spans="1:5" ht="15" customHeight="1" x14ac:dyDescent="0.2">
      <c r="A6971" s="1" t="s">
        <v>13880</v>
      </c>
      <c r="B6971" s="1">
        <v>0</v>
      </c>
      <c r="C6971" s="3">
        <v>44540.547210648147</v>
      </c>
      <c r="D6971" s="1" t="s">
        <v>13881</v>
      </c>
      <c r="E6971" s="1" t="str">
        <f ca="1">IFERROR(__xludf.DUMMYFUNCTION("GOOGLETRANSLATE(A3770 , ""tr"" , ""en"")"),"@drfahrettinkoca Health We will read that we are reading a thousand we will read when you will be doing this assignment when you will ... https://t.co/vsuxiajt02")</f>
        <v>@drfahrettinkoca Health We will read that we are reading a thousand we will read when you will be doing this assignment when you will ... https://t.co/vsuxiajt02</v>
      </c>
    </row>
    <row r="6972" spans="1:5" ht="15" customHeight="1" x14ac:dyDescent="0.2">
      <c r="A6972" s="1" t="s">
        <v>13882</v>
      </c>
      <c r="B6972" s="1">
        <v>0</v>
      </c>
      <c r="C6972" s="3">
        <v>44540.540717592594</v>
      </c>
      <c r="D6972" s="1" t="s">
        <v>13883</v>
      </c>
      <c r="E6972" s="1" t="str">
        <f ca="1">IFERROR(__xludf.DUMMYFUNCTION("GOOGLETRANSLATE(A3771 , ""tr"" , ""en"")"),"@drfahrettinkoca @drtolgatolunay https://t.co/ypglh4ppvp")</f>
        <v>@drfahrettinkoca @drtolgatolunay https://t.co/ypglh4ppvp</v>
      </c>
    </row>
    <row r="6973" spans="1:5" ht="15" customHeight="1" x14ac:dyDescent="0.2">
      <c r="A6973" s="1" t="s">
        <v>13884</v>
      </c>
      <c r="B6973" s="1">
        <v>0</v>
      </c>
      <c r="C6973" s="3">
        <v>44540.540543981479</v>
      </c>
      <c r="D6973" s="1" t="s">
        <v>13885</v>
      </c>
      <c r="E6973" s="1" t="str">
        <f ca="1">IFERROR(__xludf.DUMMYFUNCTION("GOOGLETRANSLATE(A3772 , ""tr"" , ""en"")"),"@drfahrettinkoca @drtolgatolunay Mr. @rterdogan You have given 40,000 personnel employment at the Ministry of Safety but ... https://t.co/fwvucnnpwl")</f>
        <v>@drfahrettinkoca @drtolgatolunay Mr. @rterdogan You have given 40,000 personnel employment at the Ministry of Safety but ... https://t.co/fwvucnnpwl</v>
      </c>
    </row>
    <row r="6974" spans="1:5" ht="15" customHeight="1" x14ac:dyDescent="0.2">
      <c r="A6974" s="1" t="s">
        <v>13886</v>
      </c>
      <c r="B6974" s="1">
        <v>0</v>
      </c>
      <c r="C6974" s="3">
        <v>44540.52716435185</v>
      </c>
      <c r="D6974" s="1" t="s">
        <v>13887</v>
      </c>
      <c r="E6974" s="1" t="str">
        <f ca="1">IFERROR(__xludf.DUMMYFUNCTION("GOOGLETRANSLATE(A3773 , ""tr"" , ""en"")"),"@drfahrettinkoca We do not compromise the precaution so we don't get vaccinated on the mask we don't use pills. government n ... https://t.co/oulaznawls")</f>
        <v>@drfahrettinkoca We do not compromise the precaution so we don't get vaccinated on the mask we don't use pills. government n ... https://t.co/oulaznawls</v>
      </c>
    </row>
    <row r="6975" spans="1:5" ht="15" customHeight="1" x14ac:dyDescent="0.2">
      <c r="A6975" s="1" t="s">
        <v>13888</v>
      </c>
      <c r="B6975" s="1">
        <v>0</v>
      </c>
      <c r="C6975" s="3">
        <v>44540.52648148148</v>
      </c>
      <c r="D6975" s="1" t="s">
        <v>13889</v>
      </c>
      <c r="E6975" s="1" t="str">
        <f ca="1">IFERROR(__xludf.DUMMYFUNCTION("GOOGLETRANSLATE(A3774 , ""tr"" , ""en"")"),"@drfahrettinkoca Mr. @rterdogan You have given 40,000 staff employment employment but yet move GE ... https://t.co/POL0IM0KL9")</f>
        <v>@drfahrettinkoca Mr. @rterdogan You have given 40,000 staff employment employment but yet move GE ... https://t.co/POL0IM0KL9</v>
      </c>
    </row>
    <row r="6976" spans="1:5" ht="15" customHeight="1" x14ac:dyDescent="0.2">
      <c r="A6976" s="1" t="s">
        <v>13890</v>
      </c>
      <c r="B6976" s="1">
        <v>1</v>
      </c>
      <c r="C6976" s="3">
        <v>44540.525266203702</v>
      </c>
      <c r="D6976" s="1" t="s">
        <v>13891</v>
      </c>
      <c r="E6976" s="1" t="str">
        <f ca="1">IFERROR(__xludf.DUMMYFUNCTION("GOOGLETRANSLATE(A3775 , ""tr"" , ""en"")"),"@drfahrettinka https://t.co/rjj6rh88wn")</f>
        <v>@drfahrettinka https://t.co/rjj6rh88wn</v>
      </c>
    </row>
    <row r="6977" spans="1:5" ht="15" customHeight="1" x14ac:dyDescent="0.2">
      <c r="A6977" s="1" t="s">
        <v>13892</v>
      </c>
      <c r="B6977" s="1">
        <v>7</v>
      </c>
      <c r="C6977" s="3">
        <v>44540.515914351854</v>
      </c>
      <c r="D6977" s="1" t="s">
        <v>13893</v>
      </c>
      <c r="E6977" s="1" t="str">
        <f ca="1">IFERROR(__xludf.DUMMYFUNCTION("GOOGLETRANSLATE(A3776 , ""tr"" , ""en"")"),"@drfahrettinkoca is beautiful things in this country. Thanks Mr. Ministry. @drfahrettinkoca @sagliklicozum https://t.co/lct8avdxmh")</f>
        <v>@drfahrettinkoca is beautiful things in this country. Thanks Mr. Ministry. @drfahrettinkoca @sagliklicozum https://t.co/lct8avdxmh</v>
      </c>
    </row>
    <row r="6978" spans="1:5" ht="15" customHeight="1" x14ac:dyDescent="0.2">
      <c r="A6978" s="1" t="s">
        <v>13894</v>
      </c>
      <c r="B6978" s="1">
        <v>3</v>
      </c>
      <c r="C6978" s="3">
        <v>44540.513506944444</v>
      </c>
      <c r="D6978" s="1" t="s">
        <v>13895</v>
      </c>
      <c r="E6978" s="1" t="str">
        <f ca="1">IFERROR(__xludf.DUMMYFUNCTION("GOOGLETRANSLATE(A3777 , ""tr"" , ""en"")"),"@drfahrettinkoca inmate not human beings in prisons: Health finice dishes are not to be defeated in unhealthyest ... https://t.co/dyyecu7jvk")</f>
        <v>@drfahrettinkoca inmate not human beings in prisons: Health finice dishes are not to be defeated in unhealthyest ... https://t.co/dyyecu7jvk</v>
      </c>
    </row>
    <row r="6979" spans="1:5" ht="15" customHeight="1" x14ac:dyDescent="0.2">
      <c r="A6979" s="1" t="s">
        <v>13896</v>
      </c>
      <c r="B6979" s="1">
        <v>2</v>
      </c>
      <c r="C6979" s="3">
        <v>44540.503587962965</v>
      </c>
      <c r="D6979" s="1" t="s">
        <v>13897</v>
      </c>
      <c r="E6979" s="1" t="str">
        <f ca="1">IFERROR(__xludf.DUMMYFUNCTION("GOOGLETRANSLATE(A3778 , ""tr"" , ""en"")"),"@drfahrettinkoca Mr. Minister in 2021, you would make an assignment! The last 20 days to over the year maybe the news of the date ... https://t.co/sbep6dcy5p")</f>
        <v>@drfahrettinkoca Mr. Minister in 2021, you would make an assignment! The last 20 days to over the year maybe the news of the date ... https://t.co/sbep6dcy5p</v>
      </c>
    </row>
    <row r="6980" spans="1:5" ht="15" customHeight="1" x14ac:dyDescent="0.2">
      <c r="A6980" s="1" t="s">
        <v>13898</v>
      </c>
      <c r="B6980" s="1">
        <v>0</v>
      </c>
      <c r="C6980" s="3">
        <v>44540.49291666667</v>
      </c>
      <c r="D6980" s="1" t="s">
        <v>13899</v>
      </c>
      <c r="E6980" s="1" t="str">
        <f ca="1">IFERROR(__xludf.DUMMYFUNCTION("GOOGLETRANSLATE(A3779 , ""tr"" , ""en"")"),"@drfahrettinkoca EYT forgetting AKP")</f>
        <v>@drfahrettinkoca EYT forgetting AKP</v>
      </c>
    </row>
    <row r="6981" spans="1:5" ht="15" customHeight="1" x14ac:dyDescent="0.2">
      <c r="A6981" s="1" t="s">
        <v>13900</v>
      </c>
      <c r="B6981" s="1">
        <v>0</v>
      </c>
      <c r="C6981" s="3">
        <v>44540.487164351849</v>
      </c>
      <c r="D6981" s="1" t="s">
        <v>13901</v>
      </c>
      <c r="E6981" s="1" t="str">
        <f ca="1">IFERROR(__xludf.DUMMYFUNCTION("GOOGLETRANSLATE(A3780 , ""tr"" , ""en"")"),"@drfahrettinkoca LAN 20K Case There is no guy What is not seen in DION 200 people Daily 200 people calculate measure with 365 days")</f>
        <v>@drfahrettinkoca LAN 20K Case There is no guy What is not seen in DION 200 people Daily 200 people calculate measure with 365 days</v>
      </c>
    </row>
    <row r="6982" spans="1:5" ht="15" customHeight="1" x14ac:dyDescent="0.2">
      <c r="A6982" s="1" t="s">
        <v>13902</v>
      </c>
      <c r="B6982" s="1">
        <v>0</v>
      </c>
      <c r="C6982" s="3">
        <v>44540.487060185187</v>
      </c>
      <c r="D6982" s="1" t="s">
        <v>13903</v>
      </c>
      <c r="E6982" s="1" t="str">
        <f ca="1">IFERROR(__xludf.DUMMYFUNCTION("GOOGLETRANSLATE(A3781 , ""tr"" , ""en"")"),"@drfahrettinkoca Disabled Health Cause 4Senedr Examination and Why No Receipts will be held EKPSS Assignment Ministries ... Https://t.co/da7rnbp2xh")</f>
        <v>@drfahrettinkoca Disabled Health Cause 4Senedr Examination and Why No Receipts will be held EKPSS Assignment Ministries ... Https://t.co/da7rnbp2xh</v>
      </c>
    </row>
    <row r="6983" spans="1:5" ht="15" customHeight="1" x14ac:dyDescent="0.2">
      <c r="A6983" s="1" t="s">
        <v>13904</v>
      </c>
      <c r="B6983" s="1">
        <v>0</v>
      </c>
      <c r="C6983" s="3">
        <v>44540.486493055556</v>
      </c>
      <c r="D6983" s="1" t="s">
        <v>13905</v>
      </c>
      <c r="E6983" s="1" t="str">
        <f ca="1">IFERROR(__xludf.DUMMYFUNCTION("GOOGLETRANSLATE(A3782 , ""tr"" , ""en"")"),"@drfahrettinkoca Disabled Health Students 4Senedr Examination and Why No Receiving Ekpss Assignment will be held Ministries ... Https://t.co/yzma27iudk")</f>
        <v>@drfahrettinkoca Disabled Health Students 4Senedr Examination and Why No Receiving Ekpss Assignment will be held Ministries ... Https://t.co/yzma27iudk</v>
      </c>
    </row>
    <row r="6984" spans="1:5" ht="15" customHeight="1" x14ac:dyDescent="0.2">
      <c r="A6984" s="1" t="s">
        <v>13906</v>
      </c>
      <c r="B6984" s="1">
        <v>0</v>
      </c>
      <c r="C6984" s="3">
        <v>44540.484710648147</v>
      </c>
      <c r="D6984" s="1" t="s">
        <v>13907</v>
      </c>
      <c r="E6984" s="1" t="str">
        <f ca="1">IFERROR(__xludf.DUMMYFUNCTION("GOOGLETRANSLATE(A3783 , ""tr"" , ""en"")"),"@drfahrettinkoca EU's 5 members warning you ...! What to your children, what to your teenagers, what adults are 50 years old ... https://t.co/fwtobtn13x")</f>
        <v>@drfahrettinkoca EU's 5 members warning you ...! What to your children, what to your teenagers, what adults are 50 years old ... https://t.co/fwtobtn13x</v>
      </c>
    </row>
    <row r="6985" spans="1:5" ht="15" customHeight="1" x14ac:dyDescent="0.2">
      <c r="A6985" s="1" t="s">
        <v>13908</v>
      </c>
      <c r="B6985" s="1">
        <v>1</v>
      </c>
      <c r="C6985" s="3">
        <v>44540.473807870374</v>
      </c>
      <c r="D6985" s="1" t="s">
        <v>13909</v>
      </c>
      <c r="E6985" s="1" t="str">
        <f ca="1">IFERROR(__xludf.DUMMYFUNCTION("GOOGLETRANSLATE(A3784 , ""tr"" , ""en"")"),"@drfahrettinkoca vaccine We also have a supply of supplies and we will be charged anymore, see that he doesn't want to do it ... https://t.co/ulhskmhge5")</f>
        <v>@drfahrettinkoca vaccine We also have a supply of supplies and we will be charged anymore, see that he doesn't want to do it ... https://t.co/ulhskmhge5</v>
      </c>
    </row>
    <row r="6986" spans="1:5" ht="15" customHeight="1" x14ac:dyDescent="0.2">
      <c r="A6986" s="1" t="s">
        <v>13910</v>
      </c>
      <c r="B6986" s="1">
        <v>0</v>
      </c>
      <c r="C6986" s="3">
        <v>44540.467974537038</v>
      </c>
      <c r="D6986" s="1" t="s">
        <v>13911</v>
      </c>
      <c r="E6986" s="1" t="str">
        <f ca="1">IFERROR(__xludf.DUMMYFUNCTION("GOOGLETRANSLATE(A3785 , ""tr"" , ""en"")"),"@drfahrettinkoca guide nerdeee")</f>
        <v>@drfahrettinkoca guide nerdeee</v>
      </c>
    </row>
    <row r="6987" spans="1:5" ht="15" customHeight="1" x14ac:dyDescent="0.2">
      <c r="A6987" s="1" t="s">
        <v>13912</v>
      </c>
      <c r="B6987" s="1">
        <v>0</v>
      </c>
      <c r="C6987" s="3">
        <v>44540.437303240738</v>
      </c>
      <c r="D6987" s="1" t="s">
        <v>13913</v>
      </c>
      <c r="E6987" s="1" t="str">
        <f ca="1">IFERROR(__xludf.DUMMYFUNCTION("GOOGLETRANSLATE(A3786 , ""tr"" , ""en"")"),"@drfahrettinka https://t.co/9USM3I9ui4")</f>
        <v>@drfahrettinka https://t.co/9USM3I9ui4</v>
      </c>
    </row>
    <row r="6988" spans="1:5" ht="15" customHeight="1" x14ac:dyDescent="0.2">
      <c r="A6988" s="1" t="s">
        <v>13914</v>
      </c>
      <c r="B6988" s="1">
        <v>0</v>
      </c>
      <c r="C6988" s="3">
        <v>44540.432592592595</v>
      </c>
      <c r="D6988" s="1" t="s">
        <v>13915</v>
      </c>
      <c r="E6988" s="1" t="str">
        <f ca="1">IFERROR(__xludf.DUMMYFUNCTION("GOOGLETRANSLATE(A3787 , ""tr"" , ""en"")"),"@drfahrettinka https://t.co/n3p6lzjkum")</f>
        <v>@drfahrettinka https://t.co/n3p6lzjkum</v>
      </c>
    </row>
    <row r="6989" spans="1:5" ht="15" customHeight="1" x14ac:dyDescent="0.2">
      <c r="A6989" s="1" t="s">
        <v>13916</v>
      </c>
      <c r="B6989" s="1">
        <v>0</v>
      </c>
      <c r="C6989" s="3">
        <v>44540.43141203704</v>
      </c>
      <c r="D6989" s="1" t="s">
        <v>13917</v>
      </c>
      <c r="E6989" s="1" t="str">
        <f ca="1">IFERROR(__xludf.DUMMYFUNCTION("GOOGLETRANSLATE(A3788 , ""tr"" , ""en"")"),"@drfahrettinka https://t.co/31zrsqblgr")</f>
        <v>@drfahrettinka https://t.co/31zrsqblgr</v>
      </c>
    </row>
    <row r="6990" spans="1:5" ht="15" customHeight="1" x14ac:dyDescent="0.2">
      <c r="A6990" s="1" t="s">
        <v>13918</v>
      </c>
      <c r="B6990" s="1">
        <v>1</v>
      </c>
      <c r="C6990" s="3">
        <v>44540.425520833334</v>
      </c>
      <c r="D6990" s="1" t="s">
        <v>13919</v>
      </c>
      <c r="E6990" s="1" t="str">
        <f ca="1">IFERROR(__xludf.DUMMYFUNCTION("GOOGLETRANSLATE(A3789 , ""tr"" , ""en"")"),"@drfahrettinkoca #Vakalargizes")</f>
        <v>@drfahrettinkoca #Vakalargizes</v>
      </c>
    </row>
    <row r="6991" spans="1:5" ht="15" customHeight="1" x14ac:dyDescent="0.2">
      <c r="A6991" s="1" t="s">
        <v>13920</v>
      </c>
      <c r="B6991" s="1">
        <v>1</v>
      </c>
      <c r="C6991" s="3">
        <v>44540.41302083333</v>
      </c>
      <c r="D6991" s="1" t="s">
        <v>13921</v>
      </c>
      <c r="E6991" s="1" t="str">
        <f ca="1">IFERROR(__xludf.DUMMYFUNCTION("GOOGLETRANSLATE(A3790 , ""tr"" , ""en"")"),"@drfahrettinkoca Case Numbers didn't watch similar to you. I don't think anyone believes on these tables.😕")</f>
        <v>@drfahrettinkoca Case Numbers didn't watch similar to you. I don't think anyone believes on these tables.😕</v>
      </c>
    </row>
    <row r="6992" spans="1:5" ht="15" customHeight="1" x14ac:dyDescent="0.2">
      <c r="A6992" s="1" t="s">
        <v>13922</v>
      </c>
      <c r="B6992" s="1">
        <v>0</v>
      </c>
      <c r="C6992" s="3">
        <v>44540.409108796295</v>
      </c>
      <c r="D6992" s="1" t="s">
        <v>13923</v>
      </c>
      <c r="E6992" s="1" t="str">
        <f ca="1">IFERROR(__xludf.DUMMYFUNCTION("GOOGLETRANSLATE(A3791 , ""tr"" , ""en"")"),"@drfahrettinkoca ulan still says the vaccine.")</f>
        <v>@drfahrettinkoca ulan still says the vaccine.</v>
      </c>
    </row>
    <row r="6993" spans="1:5" ht="15" customHeight="1" x14ac:dyDescent="0.2">
      <c r="A6993" s="1" t="s">
        <v>13924</v>
      </c>
      <c r="B6993" s="1">
        <v>1</v>
      </c>
      <c r="C6993" s="3">
        <v>44540.398692129631</v>
      </c>
      <c r="D6993" s="1" t="s">
        <v>13925</v>
      </c>
      <c r="E6993" s="1" t="str">
        <f ca="1">IFERROR(__xludf.DUMMYFUNCTION("GOOGLETRANSLATE(A3792 , ""tr"" , ""en"")"),"@drfahrettinkoca Today the Human Rights Day give us the guide to our right to today Please @drfahrettinkoca @gozdekirisciogl")</f>
        <v>@drfahrettinkoca Today the Human Rights Day give us the guide to our right to today Please @drfahrettinkoca @gozdekirisciogl</v>
      </c>
    </row>
    <row r="6994" spans="1:5" ht="15" customHeight="1" x14ac:dyDescent="0.2">
      <c r="A6994" s="1" t="s">
        <v>13926</v>
      </c>
      <c r="B6994" s="1">
        <v>1</v>
      </c>
      <c r="C6994" s="3">
        <v>44540.397291666668</v>
      </c>
      <c r="D6994" s="1" t="s">
        <v>13927</v>
      </c>
      <c r="E6994" s="1" t="str">
        <f ca="1">IFERROR(__xludf.DUMMYFUNCTION("GOOGLETRANSLATE(A3793 , ""tr"" , ""en"")"),"@drfahrettinkoca According to the research, the Turkish Bill has still investigated how the people do not kill the people.")</f>
        <v>@drfahrettinkoca According to the research, the Turkish Bill has still investigated how the people do not kill the people.</v>
      </c>
    </row>
    <row r="6995" spans="1:5" ht="15" customHeight="1" x14ac:dyDescent="0.2">
      <c r="A6995" s="1" t="s">
        <v>13928</v>
      </c>
      <c r="B6995" s="1">
        <v>4</v>
      </c>
      <c r="C6995" s="3">
        <v>44540.393148148149</v>
      </c>
      <c r="D6995" s="1" t="s">
        <v>13929</v>
      </c>
      <c r="E6995" s="1" t="str">
        <f ca="1">IFERROR(__xludf.DUMMYFUNCTION("GOOGLETRANSLATE(A3794 , ""tr"" , ""en"")"),"@drfahrettinkoca # Cabinetcaonlinlinistinistinistinişlıkınınırıkınınınırda İngür on the Faculty of theology Study of our students from Corona ... https://t.co/3whq4hcekeyf")</f>
        <v>@drfahrettinkoca # Cabinetcaonlinlinistinistinistinişlıkınınırıkınınınırda İngür on the Faculty of theology Study of our students from Corona ... https://t.co/3whq4hcekeyf</v>
      </c>
    </row>
    <row r="6996" spans="1:5" ht="15" customHeight="1" x14ac:dyDescent="0.2">
      <c r="A6996" s="1" t="s">
        <v>13930</v>
      </c>
      <c r="B6996" s="1">
        <v>0</v>
      </c>
      <c r="C6996" s="3">
        <v>44540.39230324074</v>
      </c>
      <c r="D6996" s="1" t="s">
        <v>13931</v>
      </c>
      <c r="E6996" s="1" t="str">
        <f ca="1">IFERROR(__xludf.DUMMYFUNCTION("GOOGLETRANSLATE(A3795 , ""tr"" , ""en"")"),"@drfahrettinkoca Why do you expect 6 months for 3 dose, urgent approval verify MHRS, please.")</f>
        <v>@drfahrettinkoca Why do you expect 6 months for 3 dose, urgent approval verify MHRS, please.</v>
      </c>
    </row>
    <row r="6997" spans="1:5" ht="15" customHeight="1" x14ac:dyDescent="0.2">
      <c r="A6997" s="1" t="s">
        <v>13932</v>
      </c>
      <c r="B6997" s="1">
        <v>0</v>
      </c>
      <c r="C6997" s="3">
        <v>44540.387314814812</v>
      </c>
      <c r="D6997" s="1" t="s">
        <v>13933</v>
      </c>
      <c r="E6997" s="1" t="str">
        <f ca="1">IFERROR(__xludf.DUMMYFUNCTION("GOOGLETRANSLATE(A3796 , ""tr"" , ""en"")"),"@drfahrettinkoca #The Türkovac I look forward to")</f>
        <v>@drfahrettinkoca #The Türkovac I look forward to</v>
      </c>
    </row>
    <row r="6998" spans="1:5" ht="15" customHeight="1" x14ac:dyDescent="0.2">
      <c r="A6998" s="1" t="s">
        <v>13934</v>
      </c>
      <c r="B6998" s="1">
        <v>1</v>
      </c>
      <c r="C6998" s="3">
        <v>44540.378900462965</v>
      </c>
      <c r="D6998" s="1" t="s">
        <v>13935</v>
      </c>
      <c r="E6998" s="1" t="str">
        <f ca="1">IFERROR(__xludf.DUMMYFUNCTION("GOOGLETRANSLATE(A3797 , ""tr"" , ""en"")"),"@drfahrettinkoca sec Minister 3 Dose Sinovac Seniors 4. Dose of dose not recognizable after 3 months No protectoration ... https://t.co/sgjl9habzw")</f>
        <v>@drfahrettinkoca sec Minister 3 Dose Sinovac Seniors 4. Dose of dose not recognizable after 3 months No protectoration ... https://t.co/sgjl9habzw</v>
      </c>
    </row>
    <row r="6999" spans="1:5" ht="15" customHeight="1" x14ac:dyDescent="0.2">
      <c r="A6999" s="1" t="s">
        <v>13936</v>
      </c>
      <c r="B6999" s="1">
        <v>1</v>
      </c>
      <c r="C6999" s="3">
        <v>44540.369872685187</v>
      </c>
      <c r="D6999" s="1" t="s">
        <v>13937</v>
      </c>
      <c r="E6999" s="1" t="str">
        <f ca="1">IFERROR(__xludf.DUMMYFUNCTION("GOOGLETRANSLATE(A3798 , ""tr"" , ""en"")"),"@drfahrettinkoca Publish the guide on this Mubarq day for Allah consent or please @drfahrettinkoca @gozdekirisciogl")</f>
        <v>@drfahrettinkoca Publish the guide on this Mubarq day for Allah consent or please @drfahrettinkoca @gozdekirisciogl</v>
      </c>
    </row>
    <row r="7000" spans="1:5" ht="15" customHeight="1" x14ac:dyDescent="0.2">
      <c r="A7000" s="1" t="s">
        <v>13938</v>
      </c>
      <c r="B7000" s="1">
        <v>0</v>
      </c>
      <c r="C7000" s="3">
        <v>44540.369097222225</v>
      </c>
      <c r="D7000" s="1" t="s">
        <v>13939</v>
      </c>
      <c r="E7000" s="1" t="str">
        <f ca="1">IFERROR(__xludf.DUMMYFUNCTION("GOOGLETRANSLATE(A3799 , ""tr"" , ""en"")"),"@drfahrettinkoca is nothing obstacle to all ministries when it comes to us when the obstacle is staring at the top of the obstacle Why is it Oluyo ... https://t.co/vx4pdknu73")</f>
        <v>@drfahrettinkoca is nothing obstacle to all ministries when it comes to us when the obstacle is staring at the top of the obstacle Why is it Oluyo ... https://t.co/vx4pdknu73</v>
      </c>
    </row>
    <row r="7001" spans="1:5" ht="15" customHeight="1" x14ac:dyDescent="0.2">
      <c r="A7001" s="1" t="s">
        <v>13940</v>
      </c>
      <c r="B7001" s="1">
        <v>0</v>
      </c>
      <c r="C7001" s="3">
        <v>44540.365243055552</v>
      </c>
      <c r="D7001" s="1" t="s">
        <v>13941</v>
      </c>
      <c r="E7001" s="1" t="str">
        <f ca="1">IFERROR(__xludf.DUMMYFUNCTION("GOOGLETRANSLATE(A3800 , ""tr"" , ""en"")"),"Although we receive high scores of @drfahrettinkoca Anca 300-400 people can be assigned 2 years Halbuki is a thousands of Misses every year ... https://t.co/khcgakzkbp")</f>
        <v>Although we receive high scores of @drfahrettinkoca Anca 300-400 people can be assigned 2 years Halbuki is a thousands of Misses every year ... https://t.co/khcgakzkbp</v>
      </c>
    </row>
    <row r="7002" spans="1:5" ht="15" customHeight="1" x14ac:dyDescent="0.2">
      <c r="A7002" s="1" t="s">
        <v>13942</v>
      </c>
      <c r="B7002" s="1">
        <v>0</v>
      </c>
      <c r="C7002" s="3">
        <v>44540.364236111112</v>
      </c>
      <c r="D7002" s="1" t="s">
        <v>13943</v>
      </c>
      <c r="E7002" s="1" t="str">
        <f ca="1">IFERROR(__xludf.DUMMYFUNCTION("GOOGLETRANSLATE(A3801 , ""tr"" , ""en"")"),"@drfahrettinkoca assignment where is the assignment ?? Enable to either Vallahi.")</f>
        <v>@drfahrettinkoca assignment where is the assignment ?? Enable to either Vallahi.</v>
      </c>
    </row>
    <row r="7003" spans="1:5" ht="15" customHeight="1" x14ac:dyDescent="0.2">
      <c r="A7003" s="1" t="s">
        <v>13944</v>
      </c>
      <c r="B7003" s="1">
        <v>0</v>
      </c>
      <c r="C7003" s="3">
        <v>44540.363993055558</v>
      </c>
      <c r="D7003" s="1" t="s">
        <v>13945</v>
      </c>
      <c r="E7003" s="1" t="str">
        <f ca="1">IFERROR(__xludf.DUMMYFUNCTION("GOOGLETRANSLATE(A3802 , ""tr"" , ""en"")"),"@drfahrettinkoca People's Dietitarian Needs the assignment of the dietary @drfahrettinkoca @drfahrettinkoca @hmbakanligi @rterdogan @tdd_dyt_der")</f>
        <v>@drfahrettinkoca People's Dietitarian Needs the assignment of the dietary @drfahrettinkoca @drfahrettinkoca @hmbakanligi @rterdogan @tdd_dyt_der</v>
      </c>
    </row>
    <row r="7004" spans="1:5" ht="15" customHeight="1" x14ac:dyDescent="0.2">
      <c r="A7004" s="1" t="s">
        <v>13946</v>
      </c>
      <c r="B7004" s="1">
        <v>0</v>
      </c>
      <c r="C7004" s="3">
        <v>44540.363668981481</v>
      </c>
      <c r="D7004" s="1" t="s">
        <v>13947</v>
      </c>
      <c r="E7004" s="1" t="str">
        <f ca="1">IFERROR(__xludf.DUMMYFUNCTION("GOOGLETRANSLATE(A3803 , ""tr"" , ""en"")"),"@drfahrettinkoca folk dietisia is considered luxury to go to the dietisis, but it was a need to go luxury to the dietity ... https://t.co/0zj6ivfw6e")</f>
        <v>@drfahrettinkoca folk dietisia is considered luxury to go to the dietisis, but it was a need to go luxury to the dietity ... https://t.co/0zj6ivfw6e</v>
      </c>
    </row>
    <row r="7005" spans="1:5" ht="15" customHeight="1" x14ac:dyDescent="0.2">
      <c r="A7005" s="1" t="s">
        <v>13948</v>
      </c>
      <c r="B7005" s="1">
        <v>0</v>
      </c>
      <c r="C7005" s="3">
        <v>44540.362187500003</v>
      </c>
      <c r="D7005" s="1" t="s">
        <v>13949</v>
      </c>
      <c r="E7005" s="1" t="str">
        <f ca="1">IFERROR(__xludf.DUMMYFUNCTION("GOOGLETRANSLATE(A3804 , ""tr"" , ""en"")"),"@drfahrettinkoca dieticians wish to be an assignment that you do not forget that there is a health worker ... https://t.co/ewwesvn1ch")</f>
        <v>@drfahrettinkoca dieticians wish to be an assignment that you do not forget that there is a health worker ... https://t.co/ewwesvn1ch</v>
      </c>
    </row>
    <row r="7006" spans="1:5" ht="15" customHeight="1" x14ac:dyDescent="0.2">
      <c r="A7006" s="1" t="s">
        <v>13950</v>
      </c>
      <c r="B7006" s="1">
        <v>0</v>
      </c>
      <c r="C7006" s="3">
        <v>44540.361550925925</v>
      </c>
      <c r="D7006" s="1" t="s">
        <v>13951</v>
      </c>
      <c r="E7006" s="1" t="str">
        <f ca="1">IFERROR(__xludf.DUMMYFUNCTION("GOOGLETRANSLATE(A3805 , ""tr"" , ""en"")"),"@drfahrettinkoca people have difficulties in reaching healthy food because of the bari dietisian cola ... https://t.co/o679pql4nt")</f>
        <v>@drfahrettinkoca people have difficulties in reaching healthy food because of the bari dietisian cola ... https://t.co/o679pql4nt</v>
      </c>
    </row>
    <row r="7007" spans="1:5" ht="15" customHeight="1" x14ac:dyDescent="0.2">
      <c r="A7007" s="1" t="s">
        <v>13952</v>
      </c>
      <c r="B7007" s="1">
        <v>0</v>
      </c>
      <c r="C7007" s="3">
        <v>44540.34652777778</v>
      </c>
      <c r="D7007" s="1" t="s">
        <v>13953</v>
      </c>
      <c r="E7007" s="1" t="str">
        <f ca="1">IFERROR(__xludf.DUMMYFUNCTION("GOOGLETRANSLATE(A3806 , ""tr"" , ""en"")"),"@drfahrettinkoca is all you will do now; Hawk, who speaks Der Spiegel magazine, ""If the omicron variant is also spread ... https://t.co/itu8gig8mx")</f>
        <v>@drfahrettinkoca is all you will do now; Hawk, who speaks Der Spiegel magazine, "If the omicron variant is also spread ... https://t.co/itu8gig8mx</v>
      </c>
    </row>
    <row r="7008" spans="1:5" ht="15" customHeight="1" x14ac:dyDescent="0.2">
      <c r="A7008" s="1" t="s">
        <v>13954</v>
      </c>
      <c r="B7008" s="1">
        <v>0</v>
      </c>
      <c r="C7008" s="3">
        <v>44540.34615740741</v>
      </c>
      <c r="D7008" s="1" t="s">
        <v>13955</v>
      </c>
      <c r="E7008" s="1" t="str">
        <f ca="1">IFERROR(__xludf.DUMMYFUNCTION("GOOGLETRANSLATE(A3807 , ""tr"" , ""en"")"),"@drfahrettinkoca @saglikbakanligi Means are the Mother for Mother We are unable to make an appointment from Cerrahpasa orthopedic service. Lutfen ear on our voice")</f>
        <v>@drfahrettinkoca @saglikbakanligi Means are the Mother for Mother We are unable to make an appointment from Cerrahpasa orthopedic service. Lutfen ear on our voice</v>
      </c>
    </row>
    <row r="7009" spans="1:5" ht="15" customHeight="1" x14ac:dyDescent="0.2">
      <c r="A7009" s="1" t="s">
        <v>13956</v>
      </c>
      <c r="B7009" s="1">
        <v>0</v>
      </c>
      <c r="C7009" s="3">
        <v>44540.345312500001</v>
      </c>
      <c r="D7009" s="1" t="s">
        <v>13957</v>
      </c>
      <c r="E7009" s="1" t="str">
        <f ca="1">IFERROR(__xludf.DUMMYFUNCTION("GOOGLETRANSLATE(A3808 , ""tr"" , ""en"")"),"@drfahrettinka months are never an appointment from Cerrahpasa orthopedic service for my mother. Please hear our voice @drfahrettinkoca")</f>
        <v>@drfahrettinka months are never an appointment from Cerrahpasa orthopedic service for my mother. Please hear our voice @drfahrettinkoca</v>
      </c>
    </row>
    <row r="7010" spans="1:5" ht="15" customHeight="1" x14ac:dyDescent="0.2">
      <c r="A7010" s="1" t="s">
        <v>13958</v>
      </c>
      <c r="B7010" s="1">
        <v>0</v>
      </c>
      <c r="C7010" s="3">
        <v>44540.341782407406</v>
      </c>
      <c r="D7010" s="1" t="s">
        <v>13959</v>
      </c>
      <c r="E7010" s="1" t="str">
        <f ca="1">IFERROR(__xludf.DUMMYFUNCTION("GOOGLETRANSLATE(A3809 , ""tr"" , ""en"")"),"@drfahrettinkoca @saglikbakanligi Covid's contacts, not quarantined.")</f>
        <v>@drfahrettinkoca @saglikbakanligi Covid's contacts, not quarantined.</v>
      </c>
    </row>
    <row r="7011" spans="1:5" ht="15" customHeight="1" x14ac:dyDescent="0.2">
      <c r="A7011" s="1" t="s">
        <v>13960</v>
      </c>
      <c r="B7011" s="1">
        <v>0</v>
      </c>
      <c r="C7011" s="3">
        <v>44540.336377314816</v>
      </c>
      <c r="D7011" s="1" t="s">
        <v>13961</v>
      </c>
      <c r="E7011" s="1" t="str">
        <f ca="1">IFERROR(__xludf.DUMMYFUNCTION("GOOGLETRANSLATE(A3810 , ""tr"" , ""en"")"),"@drfahrettinkoca Sayin Ministry I Tweeted You Tweeted Immediate Return to Kayinvalidem, For Vaccine, Deal ... https://t.co/pxxavmq3fj")</f>
        <v>@drfahrettinkoca Sayin Ministry I Tweeted You Tweeted Immediate Return to Kayinvalidem, For Vaccine, Deal ... https://t.co/pxxavmq3fj</v>
      </c>
    </row>
    <row r="7012" spans="1:5" ht="15" customHeight="1" x14ac:dyDescent="0.2">
      <c r="A7012" s="1" t="s">
        <v>13962</v>
      </c>
      <c r="B7012" s="1">
        <v>0</v>
      </c>
      <c r="C7012" s="3">
        <v>44540.335694444446</v>
      </c>
      <c r="D7012" s="1" t="s">
        <v>13963</v>
      </c>
      <c r="E7012" s="1" t="str">
        <f ca="1">IFERROR(__xludf.DUMMYFUNCTION("GOOGLETRANSLATE(A3811 , ""tr"" , ""en"")"),"@drfahrettinkoca novelows no increase 🙋")</f>
        <v>@drfahrettinkoca novelows no increase 🙋</v>
      </c>
    </row>
    <row r="7013" spans="1:5" ht="15" customHeight="1" x14ac:dyDescent="0.2">
      <c r="A7013" s="1" t="s">
        <v>13964</v>
      </c>
      <c r="B7013" s="1">
        <v>3</v>
      </c>
      <c r="C7013" s="3">
        <v>44540.329907407409</v>
      </c>
      <c r="D7013" s="1" t="s">
        <v>13965</v>
      </c>
      <c r="E7013" s="1" t="str">
        <f ca="1">IFERROR(__xludf.DUMMYFUNCTION("GOOGLETRANSLATE(A3812 , ""tr"" , ""en"")"),"@drfahrettinkoca hey gait benzesir 83% vaccination rate despite the most cases in the case table in the case table ... https://t.co/zmgfcgxq0f")</f>
        <v>@drfahrettinkoca hey gait benzesir 83% vaccination rate despite the most cases in the case table in the case table ... https://t.co/zmgfcgxq0f</v>
      </c>
    </row>
    <row r="7014" spans="1:5" ht="15" customHeight="1" x14ac:dyDescent="0.2">
      <c r="A7014" s="1" t="s">
        <v>13966</v>
      </c>
      <c r="B7014" s="1">
        <v>1</v>
      </c>
      <c r="C7014" s="3">
        <v>44540.328113425923</v>
      </c>
      <c r="D7014" s="1" t="s">
        <v>13967</v>
      </c>
      <c r="E7014" s="1" t="str">
        <f ca="1">IFERROR(__xludf.DUMMYFUNCTION("GOOGLETRANSLATE(A3813 , ""tr"" , ""en"")"),"@drfahrettinkoca kovit For many years, seasonal flu, they want to instill you with experimental fluids, African or ... https://t.co/8mwj97ckad")</f>
        <v>@drfahrettinkoca kovit For many years, seasonal flu, they want to instill you with experimental fluids, African or ... https://t.co/8mwj97ckad</v>
      </c>
    </row>
    <row r="7015" spans="1:5" ht="15" customHeight="1" x14ac:dyDescent="0.2">
      <c r="A7015" s="1" t="s">
        <v>13968</v>
      </c>
      <c r="B7015" s="1">
        <v>1</v>
      </c>
      <c r="C7015" s="3">
        <v>44540.321180555555</v>
      </c>
      <c r="D7015" s="1" t="s">
        <v>13969</v>
      </c>
      <c r="E7015" s="1" t="str">
        <f ca="1">IFERROR(__xludf.DUMMYFUNCTION("GOOGLETRANSLATE(A3814 , ""tr"" , ""en"")"),"@drfahrettinka vaccine abi 4. When does the dose come?")</f>
        <v>@drfahrettinka vaccine abi 4. When does the dose come?</v>
      </c>
    </row>
    <row r="7016" spans="1:5" ht="15" customHeight="1" x14ac:dyDescent="0.2">
      <c r="A7016" s="1" t="s">
        <v>13970</v>
      </c>
      <c r="B7016" s="1">
        <v>0</v>
      </c>
      <c r="C7016" s="3">
        <v>44540.320972222224</v>
      </c>
      <c r="D7016" s="1" t="s">
        <v>13971</v>
      </c>
      <c r="E7016" s="1" t="str">
        <f ca="1">IFERROR(__xludf.DUMMYFUNCTION("GOOGLETRANSLATE(A3815 , ""tr"" , ""en"")"),"@drfahrettinka https://t.co/de1nc4d7sq")</f>
        <v>@drfahrettinka https://t.co/de1nc4d7sq</v>
      </c>
    </row>
    <row r="7017" spans="1:5" ht="15" customHeight="1" x14ac:dyDescent="0.2">
      <c r="A7017" s="1" t="s">
        <v>13972</v>
      </c>
      <c r="B7017" s="1">
        <v>0</v>
      </c>
      <c r="C7017" s="3">
        <v>44540.316886574074</v>
      </c>
      <c r="D7017" s="1" t="s">
        <v>13973</v>
      </c>
      <c r="E7017" s="1" t="str">
        <f ca="1">IFERROR(__xludf.DUMMYFUNCTION("GOOGLETRANSLATE(A3816 , ""tr"" , ""en"")"),"@drfahrettinkoca Come on Foolish Measure No Cone Curtains")</f>
        <v>@drfahrettinkoca Come on Foolish Measure No Cone Curtains</v>
      </c>
    </row>
    <row r="7018" spans="1:5" ht="15" customHeight="1" x14ac:dyDescent="0.2">
      <c r="A7018" s="1" t="s">
        <v>13974</v>
      </c>
      <c r="B7018" s="1">
        <v>0</v>
      </c>
      <c r="C7018" s="3">
        <v>44540.303854166668</v>
      </c>
      <c r="D7018" s="1" t="s">
        <v>13975</v>
      </c>
      <c r="E7018" s="1" t="str">
        <f ca="1">IFERROR(__xludf.DUMMYFUNCTION("GOOGLETRANSLATE(A3817 , ""tr"" , ""en"")"),"@drfahrettinka vaccine vaccine vaccine that is no other remedy, everyone should be vaccines in the morning with hungry belly in the morning. ... https://t.co/20jkx8ISai")</f>
        <v>@drfahrettinka vaccine vaccine vaccine that is no other remedy, everyone should be vaccines in the morning with hungry belly in the morning. ... https://t.co/20jkx8ISai</v>
      </c>
    </row>
    <row r="7019" spans="1:5" ht="15" customHeight="1" x14ac:dyDescent="0.2">
      <c r="A7019" s="1" t="s">
        <v>13976</v>
      </c>
      <c r="B7019" s="1">
        <v>0</v>
      </c>
      <c r="C7019" s="3">
        <v>44540.303518518522</v>
      </c>
      <c r="D7019" s="1" t="s">
        <v>13977</v>
      </c>
      <c r="E7019" s="1" t="str">
        <f ca="1">IFERROR(__xludf.DUMMYFUNCTION("GOOGLETRANSLATE(A3818 , ""tr"" , ""en"")"),"@drfahrettinkoca get off without looking you are bored")</f>
        <v>@drfahrettinkoca get off without looking you are bored</v>
      </c>
    </row>
    <row r="7020" spans="1:5" ht="15" customHeight="1" x14ac:dyDescent="0.2">
      <c r="A7020" s="1" t="s">
        <v>13978</v>
      </c>
      <c r="B7020" s="1">
        <v>0</v>
      </c>
      <c r="C7020" s="3">
        <v>44540.29991898148</v>
      </c>
      <c r="D7020" s="1" t="s">
        <v>13979</v>
      </c>
      <c r="E7020" s="1" t="str">
        <f ca="1">IFERROR(__xludf.DUMMYFUNCTION("GOOGLETRANSLATE(A3819 , ""tr"" , ""en"")"),"@drfahrettinkoca People's Covid19 is not from Life's expensive SN to break each other")</f>
        <v>@drfahrettinkoca People's Covid19 is not from Life's expensive SN to break each other</v>
      </c>
    </row>
    <row r="7021" spans="1:5" ht="15" customHeight="1" x14ac:dyDescent="0.2">
      <c r="A7021" s="1" t="s">
        <v>13980</v>
      </c>
      <c r="B7021" s="1">
        <v>0</v>
      </c>
      <c r="C7021" s="3">
        <v>44540.293576388889</v>
      </c>
      <c r="D7021" s="1" t="s">
        <v>13981</v>
      </c>
      <c r="E7021" s="1" t="str">
        <f ca="1">IFERROR(__xludf.DUMMYFUNCTION("GOOGLETRANSLATE(A3820 , ""tr"" , ""en"")"),"@drfahrettinkoca dicle Üniversitesi Ultrasya in the hospital 2ay they give day after day after day 160 TL in the lower floor ... https://t.co/mvytbvdpcs")</f>
        <v>@drfahrettinkoca dicle Üniversitesi Ultrasya in the hospital 2ay they give day after day after day 160 TL in the lower floor ... https://t.co/mvytbvdpcs</v>
      </c>
    </row>
    <row r="7022" spans="1:5" ht="15" customHeight="1" x14ac:dyDescent="0.2">
      <c r="A7022" s="1" t="s">
        <v>13982</v>
      </c>
      <c r="B7022" s="1">
        <v>0</v>
      </c>
      <c r="C7022" s="3">
        <v>44540.292013888888</v>
      </c>
      <c r="D7022" s="1" t="s">
        <v>13983</v>
      </c>
      <c r="E7022" s="1" t="str">
        <f ca="1">IFERROR(__xludf.DUMMYFUNCTION("GOOGLETRANSLATE(A3821 , ""tr"" , ""en"")"),"@drfahrettinkoca we entered the hardest period of virus everyone careful attention to the cases in Europe Look at the cases in Europe ... https://t.co/b4v8s6b0zf")</f>
        <v>@drfahrettinkoca we entered the hardest period of virus everyone careful attention to the cases in Europe Look at the cases in Europe ... https://t.co/b4v8s6b0zf</v>
      </c>
    </row>
    <row r="7023" spans="1:5" ht="15" customHeight="1" x14ac:dyDescent="0.2">
      <c r="A7023" s="1" t="s">
        <v>13984</v>
      </c>
      <c r="B7023" s="1">
        <v>0</v>
      </c>
      <c r="C7023" s="3">
        <v>44540.290266203701</v>
      </c>
      <c r="D7023" s="1" t="s">
        <v>13985</v>
      </c>
      <c r="E7023" s="1" t="str">
        <f ca="1">IFERROR(__xludf.DUMMYFUNCTION("GOOGLETRANSLATE(A3822 , ""tr"" , ""en"")"),"@drfahrettinkoca Mr. Minister; Dying is in our dentrat. Take it easy.")</f>
        <v>@drfahrettinkoca Mr. Minister; Dying is in our dentrat. Take it easy.</v>
      </c>
    </row>
    <row r="7024" spans="1:5" ht="15" customHeight="1" x14ac:dyDescent="0.2">
      <c r="A7024" s="1" t="s">
        <v>13986</v>
      </c>
      <c r="B7024" s="1">
        <v>0</v>
      </c>
      <c r="C7024" s="3">
        <v>44540.289305555554</v>
      </c>
      <c r="D7024" s="1" t="s">
        <v>13987</v>
      </c>
      <c r="E7024" s="1" t="str">
        <f ca="1">IFERROR(__xludf.DUMMYFUNCTION("GOOGLETRANSLATE(A3823 , ""tr"" , ""en"")"),"@drfahrettinkoca guide we want @drfahrettinkoca @rterdogan")</f>
        <v>@drfahrettinkoca guide we want @drfahrettinkoca @rterdogan</v>
      </c>
    </row>
    <row r="7025" spans="1:5" ht="15" customHeight="1" x14ac:dyDescent="0.2">
      <c r="A7025" s="1" t="s">
        <v>7766</v>
      </c>
      <c r="B7025" s="1">
        <v>0</v>
      </c>
      <c r="C7025" s="3">
        <v>44540.288981481484</v>
      </c>
      <c r="D7025" s="1" t="s">
        <v>13988</v>
      </c>
      <c r="E7025" s="1" t="str">
        <f ca="1">IFERROR(__xludf.DUMMYFUNCTION("GOOGLETRANSLATE(A3824 , ""tr"" , ""en"")"),"@drfahrettinkoca Dieticians are welcome to assign the assignment to the dietitians The minister is still the agencies with 90 above points")</f>
        <v>@drfahrettinkoca Dieticians are welcome to assign the assignment to the dietitians The minister is still the agencies with 90 above points</v>
      </c>
    </row>
    <row r="7026" spans="1:5" ht="15" customHeight="1" x14ac:dyDescent="0.2">
      <c r="A7026" s="1" t="s">
        <v>7770</v>
      </c>
      <c r="B7026" s="1">
        <v>0</v>
      </c>
      <c r="C7026" s="3">
        <v>44540.288842592592</v>
      </c>
      <c r="D7026" s="1" t="s">
        <v>13989</v>
      </c>
      <c r="E7026" s="1" t="str">
        <f ca="1">IFERROR(__xludf.DUMMYFUNCTION("GOOGLETRANSLATE(A3825 , ""tr"" , ""en"")"),"@drfahrettinkoca dietitians are welcomed to assign the assignment to the dietitians Sayin Minister 91 Score of Cardiacy Still Acikta")</f>
        <v>@drfahrettinkoca dietitians are welcomed to assign the assignment to the dietitians Sayin Minister 91 Score of Cardiacy Still Acikta</v>
      </c>
    </row>
    <row r="7027" spans="1:5" ht="15" customHeight="1" x14ac:dyDescent="0.2">
      <c r="A7027" s="1" t="s">
        <v>8466</v>
      </c>
      <c r="B7027" s="1">
        <v>0</v>
      </c>
      <c r="C7027" s="3">
        <v>44540.28869212963</v>
      </c>
      <c r="D7027" s="1" t="s">
        <v>13990</v>
      </c>
      <c r="E7027" s="1" t="str">
        <f ca="1">IFERROR(__xludf.DUMMYFUNCTION("GOOGLETRANSLATE(A3826 , ""tr"" , ""en"")"),"@drfahrettinkoca dietitians are looking forward to the assignment to the dietitians")</f>
        <v>@drfahrettinkoca dietitians are looking forward to the assignment to the dietitians</v>
      </c>
    </row>
    <row r="7028" spans="1:5" ht="15" customHeight="1" x14ac:dyDescent="0.2">
      <c r="A7028" s="1" t="s">
        <v>13991</v>
      </c>
      <c r="B7028" s="1">
        <v>1</v>
      </c>
      <c r="C7028" s="3">
        <v>44540.278634259259</v>
      </c>
      <c r="D7028" s="1" t="s">
        <v>13992</v>
      </c>
      <c r="E7028" s="1" t="str">
        <f ca="1">IFERROR(__xludf.DUMMYFUNCTION("GOOGLETRANSLATE(A3827 , ""tr"" , ""en"")"),"@drfahrettinka 3rdoz The right to vaccine is defined but should be made between 9/16 December. After this date Cancel M ... https://t.co/bkppqgp1yb")</f>
        <v>@drfahrettinka 3rdoz The right to vaccine is defined but should be made between 9/16 December. After this date Cancel M ... https://t.co/bkppqgp1yb</v>
      </c>
    </row>
    <row r="7029" spans="1:5" ht="15" customHeight="1" x14ac:dyDescent="0.2">
      <c r="A7029" s="1" t="s">
        <v>13993</v>
      </c>
      <c r="B7029" s="1">
        <v>0</v>
      </c>
      <c r="C7029" s="3">
        <v>44540.266423611109</v>
      </c>
      <c r="D7029" s="1" t="s">
        <v>13994</v>
      </c>
      <c r="E7029" s="1" t="str">
        <f ca="1">IFERROR(__xludf.DUMMYFUNCTION("GOOGLETRANSLATE(A3828 , ""tr"" , ""en"")"),"@drfahrettinkoca people are referred to with the executions they are doing in the authorities are temporary, you want to be named with your execution ... https://t.co/zrrn7szdlb")</f>
        <v>@drfahrettinkoca people are referred to with the executions they are doing in the authorities are temporary, you want to be named with your execution ... https://t.co/zrrn7szdlb</v>
      </c>
    </row>
    <row r="7030" spans="1:5" ht="15" customHeight="1" x14ac:dyDescent="0.2">
      <c r="A7030" s="1" t="s">
        <v>13995</v>
      </c>
      <c r="B7030" s="1">
        <v>0</v>
      </c>
      <c r="C7030" s="3">
        <v>44539.999201388891</v>
      </c>
      <c r="D7030" s="1" t="s">
        <v>13996</v>
      </c>
      <c r="E7030" s="1" t="str">
        <f ca="1">IFERROR(__xludf.DUMMYFUNCTION("GOOGLETRANSLATE(A3829 , ""tr"" , ""en"")"),"@drfahrettinkoca Kosoca is not the Ministry of Health, Koskoca all the world's rupture as the tear as the rupture of the tear as it comes out of the world ... https://t.co/buyxls1y5i")</f>
        <v>@drfahrettinkoca Kosoca is not the Ministry of Health, Koskoca all the world's rupture as the tear as the rupture of the tear as it comes out of the world ... https://t.co/buyxls1y5i</v>
      </c>
    </row>
    <row r="7031" spans="1:5" ht="15" customHeight="1" x14ac:dyDescent="0.2">
      <c r="A7031" s="1" t="s">
        <v>13997</v>
      </c>
      <c r="B7031" s="1">
        <v>0</v>
      </c>
      <c r="C7031" s="3">
        <v>44539.965960648151</v>
      </c>
      <c r="D7031" s="1" t="s">
        <v>13998</v>
      </c>
      <c r="E7031" s="1" t="str">
        <f ca="1">IFERROR(__xludf.DUMMYFUNCTION("GOOGLETRANSLATE(A3830 , ""tr"" , ""en"")"),"@drfahrettinkoca I pray you caaase wholeheartedly. Of course you will find the trouble")</f>
        <v>@drfahrettinkoca I pray you caaase wholeheartedly. Of course you will find the trouble</v>
      </c>
    </row>
    <row r="7032" spans="1:5" ht="15" customHeight="1" x14ac:dyDescent="0.2">
      <c r="A7032" s="1" t="s">
        <v>13999</v>
      </c>
      <c r="B7032" s="1">
        <v>0</v>
      </c>
      <c r="C7032" s="3">
        <v>44539.941481481481</v>
      </c>
      <c r="D7032" s="1" t="s">
        <v>14000</v>
      </c>
      <c r="E7032" s="1" t="str">
        <f ca="1">IFERROR(__xludf.DUMMYFUNCTION("GOOGLETRANSLATE(A3831 , ""tr"" , ""en"")"),"@drfahrettinkoca Why is this uneasiness why?")</f>
        <v>@drfahrettinkoca Why is this uneasiness why?</v>
      </c>
    </row>
    <row r="7033" spans="1:5" ht="15" customHeight="1" x14ac:dyDescent="0.2">
      <c r="A7033" s="1" t="s">
        <v>14001</v>
      </c>
      <c r="B7033" s="1">
        <v>0</v>
      </c>
      <c r="C7033" s="3">
        <v>44539.941192129627</v>
      </c>
      <c r="D7033" s="1" t="s">
        <v>14002</v>
      </c>
      <c r="E7033" s="1" t="str">
        <f ca="1">IFERROR(__xludf.DUMMYFUNCTION("GOOGLETRANSLATE(A3832 , ""tr"" , ""en"")"),"@drfahrettinka vaccine do they not trust their vaccines?")</f>
        <v>@drfahrettinka vaccine do they not trust their vaccines?</v>
      </c>
    </row>
    <row r="7034" spans="1:5" ht="15" customHeight="1" x14ac:dyDescent="0.2">
      <c r="A7034" s="1" t="s">
        <v>14003</v>
      </c>
      <c r="B7034" s="1">
        <v>0</v>
      </c>
      <c r="C7034" s="3">
        <v>44539.940486111111</v>
      </c>
      <c r="D7034" s="1" t="s">
        <v>14004</v>
      </c>
      <c r="E7034" s="1" t="str">
        <f ca="1">IFERROR(__xludf.DUMMYFUNCTION("GOOGLETRANSLATE(A3833 , ""tr"" , ""en"")"),"@drfahrettinka training system crashed already! The Ministry of Health has brought vaccination to these courses! Your young population ... https://t.co/g12gpqn19p")</f>
        <v>@drfahrettinka training system crashed already! The Ministry of Health has brought vaccination to these courses! Your young population ... https://t.co/g12gpqn19p</v>
      </c>
    </row>
    <row r="7035" spans="1:5" ht="15" customHeight="1" x14ac:dyDescent="0.2">
      <c r="A7035" s="1" t="s">
        <v>14005</v>
      </c>
      <c r="B7035" s="1">
        <v>0</v>
      </c>
      <c r="C7035" s="3">
        <v>44539.939166666663</v>
      </c>
      <c r="D7035" s="1" t="s">
        <v>14006</v>
      </c>
      <c r="E7035" s="1" t="str">
        <f ca="1">IFERROR(__xludf.DUMMYFUNCTION("GOOGLETRANSLATE(A3834 , ""tr"" , ""en"")"),"@drfahrettinkoca As soon as they were taken once in the headlers ... Now, the hebaed Nice Covered Mothers Puppies ... https://t.co/ppgqs4mw12")</f>
        <v>@drfahrettinkoca As soon as they were taken once in the headlers ... Now, the hebaed Nice Covered Mothers Puppies ... https://t.co/ppgqs4mw12</v>
      </c>
    </row>
    <row r="7036" spans="1:5" ht="15" customHeight="1" x14ac:dyDescent="0.2">
      <c r="A7036" s="1" t="s">
        <v>14007</v>
      </c>
      <c r="B7036" s="1">
        <v>0</v>
      </c>
      <c r="C7036" s="3">
        <v>44539.937152777777</v>
      </c>
      <c r="D7036" s="1" t="s">
        <v>14008</v>
      </c>
      <c r="E7036" s="1" t="str">
        <f ca="1">IFERROR(__xludf.DUMMYFUNCTION("GOOGLETRANSLATE(A3835 , ""tr"" , ""en"")"),"Why @drfahrettinka is a vaccination or PCR obligation in the rank. Our offspring! Each is blocked in front of where they go!")</f>
        <v>Why @drfahrettinka is a vaccination or PCR obligation in the rank. Our offspring! Each is blocked in front of where they go!</v>
      </c>
    </row>
    <row r="7037" spans="1:5" ht="15" customHeight="1" x14ac:dyDescent="0.2">
      <c r="A7037" s="1" t="s">
        <v>14009</v>
      </c>
      <c r="B7037" s="1">
        <v>0</v>
      </c>
      <c r="C7037" s="3">
        <v>44539.861238425925</v>
      </c>
      <c r="D7037" s="1" t="s">
        <v>14010</v>
      </c>
      <c r="E7037" s="1" t="str">
        <f ca="1">IFERROR(__xludf.DUMMYFUNCTION("GOOGLETRANSLATE(A3836 , ""tr"" , ""en"")"),"@drfahrettinkoca hospital they don't say 99% of the lies in the hospital don't say so no longer. Of the patients who lied to the ""important division ... https://t.co/uwxhikkv5r")</f>
        <v>@drfahrettinkoca hospital they don't say 99% of the lies in the hospital don't say so no longer. Of the patients who lied to the "important division ... https://t.co/uwxhikkv5r</v>
      </c>
    </row>
    <row r="7038" spans="1:5" ht="15" customHeight="1" x14ac:dyDescent="0.2">
      <c r="A7038" s="1" t="s">
        <v>14011</v>
      </c>
      <c r="B7038" s="1">
        <v>0</v>
      </c>
      <c r="C7038" s="3">
        <v>44539.824456018519</v>
      </c>
      <c r="D7038" s="1" t="s">
        <v>14012</v>
      </c>
      <c r="E7038" s="1" t="str">
        <f ca="1">IFERROR(__xludf.DUMMYFUNCTION("GOOGLETRANSLATE(A3837 , ""tr"" , ""en"")"),"@DRFAHRETTINKA HASTIIIIRRRRR ORADANN, ""husband"" head ...")</f>
        <v>@DRFAHRETTINKA HASTIIIIRRRRR ORADANN, "husband" head ...</v>
      </c>
    </row>
    <row r="7039" spans="1:5" ht="15" customHeight="1" x14ac:dyDescent="0.2">
      <c r="A7039" s="1" t="s">
        <v>14013</v>
      </c>
      <c r="B7039" s="1">
        <v>0</v>
      </c>
      <c r="C7039" s="3">
        <v>44539.817002314812</v>
      </c>
      <c r="D7039" s="1" t="s">
        <v>14014</v>
      </c>
      <c r="E7039" s="1" t="str">
        <f ca="1">IFERROR(__xludf.DUMMYFUNCTION("GOOGLETRANSLATE(A3838 , ""tr"" , ""en"")"),"@drfahrettinkoca Madem Shared the numbers in a transparent way, you are unconvincing.")</f>
        <v>@drfahrettinkoca Madem Shared the numbers in a transparent way, you are unconvincing.</v>
      </c>
    </row>
    <row r="7040" spans="1:5" ht="15" customHeight="1" x14ac:dyDescent="0.2">
      <c r="A7040" s="1" t="s">
        <v>14015</v>
      </c>
      <c r="B7040" s="1">
        <v>0</v>
      </c>
      <c r="C7040" s="3">
        <v>44539.816458333335</v>
      </c>
      <c r="D7040" s="1" t="s">
        <v>14016</v>
      </c>
      <c r="E7040" s="1" t="str">
        <f ca="1">IFERROR(__xludf.DUMMYFUNCTION("GOOGLETRANSLATE(A3839 , ""tr"" , ""en"")"),"@drfahrettinka you will see what the vaccine is bored with the vaccine representative of the vaccine agent.")</f>
        <v>@drfahrettinka you will see what the vaccine is bored with the vaccine representative of the vaccine agent.</v>
      </c>
    </row>
    <row r="7041" spans="1:5" ht="15" customHeight="1" x14ac:dyDescent="0.2">
      <c r="A7041" s="1" t="s">
        <v>14017</v>
      </c>
      <c r="B7041" s="1">
        <v>0</v>
      </c>
      <c r="C7041" s="3">
        <v>44539.810590277775</v>
      </c>
      <c r="D7041" s="1" t="s">
        <v>14018</v>
      </c>
      <c r="E7041" s="1" t="str">
        <f ca="1">IFERROR(__xludf.DUMMYFUNCTION("GOOGLETRANSLATE(A3840 , ""tr"" , ""en"")"),"@drfahrettinkoca you can't be able to see Europe stores the European data and vaccination is high from us. Https://t.co/zmqairoru2")</f>
        <v>@drfahrettinkoca you can't be able to see Europe stores the European data and vaccination is high from us. Https://t.co/zmqairoru2</v>
      </c>
    </row>
    <row r="7042" spans="1:5" ht="15" customHeight="1" x14ac:dyDescent="0.2">
      <c r="A7042" s="1" t="s">
        <v>14019</v>
      </c>
      <c r="B7042" s="1">
        <v>0</v>
      </c>
      <c r="C7042" s="3">
        <v>44539.802303240744</v>
      </c>
      <c r="D7042" s="1" t="s">
        <v>14020</v>
      </c>
      <c r="E7042" s="1" t="str">
        <f ca="1">IFERROR(__xludf.DUMMYFUNCTION("GOOGLETRANSLATE(A3841 , ""tr"" , ""en"")"),"@drfahrettinkoca Healthiers waiting for assignment. When will the assignment guide to the promise will be published")</f>
        <v>@drfahrettinkoca Healthiers waiting for assignment. When will the assignment guide to the promise will be published</v>
      </c>
    </row>
    <row r="7043" spans="1:5" ht="15" customHeight="1" x14ac:dyDescent="0.2">
      <c r="A7043" s="1" t="s">
        <v>14021</v>
      </c>
      <c r="B7043" s="1">
        <v>0</v>
      </c>
      <c r="C7043" s="3">
        <v>44539.798171296294</v>
      </c>
      <c r="D7043" s="1" t="s">
        <v>14022</v>
      </c>
      <c r="E7043" s="1" t="str">
        <f ca="1">IFERROR(__xludf.DUMMYFUNCTION("GOOGLETRANSLATE(A3842 , ""tr"" , ""en"")"),"@drfahrettinkoca you have trained our labor #Amaglikatamasi")</f>
        <v>@drfahrettinkoca you have trained our labor #Amaglikatamasi</v>
      </c>
    </row>
    <row r="7044" spans="1:5" ht="15" customHeight="1" x14ac:dyDescent="0.2">
      <c r="A7044" s="1" t="s">
        <v>14023</v>
      </c>
      <c r="B7044" s="1">
        <v>0</v>
      </c>
      <c r="C7044" s="3">
        <v>44539.797118055554</v>
      </c>
      <c r="D7044" s="1" t="s">
        <v>14024</v>
      </c>
      <c r="E7044" s="1" t="str">
        <f ca="1">IFERROR(__xludf.DUMMYFUNCTION("GOOGLETRANSLATE(A3843 , ""tr"" , ""en"")"),"@drfahrettinkoca when you're scare? Korkmaz Hoca who knows the truth. Do you find new guinea pigs? Ha, by the way 2019 dies ... https://t.co/pjos7tpmhx")</f>
        <v>@drfahrettinkoca when you're scare? Korkmaz Hoca who knows the truth. Do you find new guinea pigs? Ha, by the way 2019 dies ... https://t.co/pjos7tpmhx</v>
      </c>
    </row>
    <row r="7045" spans="1:5" ht="15" customHeight="1" x14ac:dyDescent="0.2">
      <c r="A7045" s="1" t="s">
        <v>14025</v>
      </c>
      <c r="B7045" s="1">
        <v>0</v>
      </c>
      <c r="C7045" s="3">
        <v>44539.79210648148</v>
      </c>
      <c r="D7045" s="1" t="s">
        <v>14026</v>
      </c>
      <c r="E7045" s="1" t="str">
        <f ca="1">IFERROR(__xludf.DUMMYFUNCTION("GOOGLETRANSLATE(A3844 , ""tr"" , ""en"")"),"@drfahrettinkoca I'm just asking my curiosity Mr. Minister: What did the patients have to take home in the lungs?")</f>
        <v>@drfahrettinkoca I'm just asking my curiosity Mr. Minister: What did the patients have to take home in the lungs?</v>
      </c>
    </row>
    <row r="7046" spans="1:5" ht="15" customHeight="1" x14ac:dyDescent="0.2">
      <c r="A7046" s="1" t="s">
        <v>14027</v>
      </c>
      <c r="B7046" s="1">
        <v>1</v>
      </c>
      <c r="C7046" s="3">
        <v>44539.784849537034</v>
      </c>
      <c r="D7046" s="1" t="s">
        <v>14028</v>
      </c>
      <c r="E7046" s="1" t="str">
        <f ca="1">IFERROR(__xludf.DUMMYFUNCTION("GOOGLETRANSLATE(A3845 , ""tr"" , ""en"")"),"@drfahrettinkoca min overlooking, why are you asking us the questions you need to ask yourself?! Horror Pump and Mask, Ko ... https://t.co/umsztfkdsz")</f>
        <v>@drfahrettinkoca min overlooking, why are you asking us the questions you need to ask yourself?! Horror Pump and Mask, Ko ... https://t.co/umsztfkdsz</v>
      </c>
    </row>
    <row r="7047" spans="1:5" ht="15" customHeight="1" x14ac:dyDescent="0.2">
      <c r="A7047" s="1" t="s">
        <v>14029</v>
      </c>
      <c r="B7047" s="1">
        <v>0</v>
      </c>
      <c r="C7047" s="3">
        <v>44539.784837962965</v>
      </c>
      <c r="D7047" s="1" t="s">
        <v>14030</v>
      </c>
      <c r="E7047" s="1" t="str">
        <f ca="1">IFERROR(__xludf.DUMMYFUNCTION("GOOGLETRANSLATE(A3846 , ""tr"" , ""en"")"),"@drfahrettinkoca horse lie,")</f>
        <v>@drfahrettinkoca horse lie,</v>
      </c>
    </row>
    <row r="7048" spans="1:5" ht="15" customHeight="1" x14ac:dyDescent="0.2">
      <c r="A7048" s="1" t="s">
        <v>14031</v>
      </c>
      <c r="B7048" s="1">
        <v>0</v>
      </c>
      <c r="C7048" s="3">
        <v>44539.782592592594</v>
      </c>
      <c r="D7048" s="1" t="s">
        <v>14032</v>
      </c>
      <c r="E7048" s="1" t="str">
        <f ca="1">IFERROR(__xludf.DUMMYFUNCTION("GOOGLETRANSLATE(A3847 , ""tr"" , ""en"")"),"@drfahrettinkoca Talkke fell, it looked bald. Wasted fluffs.")</f>
        <v>@drfahrettinkoca Talkke fell, it looked bald. Wasted fluffs.</v>
      </c>
    </row>
    <row r="7049" spans="1:5" ht="15" customHeight="1" x14ac:dyDescent="0.2">
      <c r="A7049" s="1" t="s">
        <v>14033</v>
      </c>
      <c r="B7049" s="1">
        <v>0</v>
      </c>
      <c r="C7049" s="3">
        <v>44539.775682870371</v>
      </c>
      <c r="D7049" s="1" t="s">
        <v>14034</v>
      </c>
      <c r="E7049" s="1" t="str">
        <f ca="1">IFERROR(__xludf.DUMMYFUNCTION("GOOGLETRANSLATE(A3848 , ""tr"" , ""en"")"),"@drfahrettinkoca liar ..")</f>
        <v>@drfahrettinkoca liar ..</v>
      </c>
    </row>
    <row r="7050" spans="1:5" ht="15" customHeight="1" x14ac:dyDescent="0.2">
      <c r="A7050" s="1" t="s">
        <v>14035</v>
      </c>
      <c r="B7050" s="1">
        <v>0</v>
      </c>
      <c r="C7050" s="3">
        <v>44539.767962962964</v>
      </c>
      <c r="D7050" s="1" t="s">
        <v>14036</v>
      </c>
      <c r="E7050" s="1" t="str">
        <f ca="1">IFERROR(__xludf.DUMMYFUNCTION("GOOGLETRANSLATE(A3849 , ""tr"" , ""en"")"),"@drfahrettinkoca I stayed in you")</f>
        <v>@drfahrettinkoca I stayed in you</v>
      </c>
    </row>
    <row r="7051" spans="1:5" ht="15" customHeight="1" x14ac:dyDescent="0.2">
      <c r="A7051" s="1" t="s">
        <v>14037</v>
      </c>
      <c r="B7051" s="1">
        <v>1</v>
      </c>
      <c r="C7051" s="3">
        <v>44539.7655787037</v>
      </c>
      <c r="D7051" s="1" t="s">
        <v>14038</v>
      </c>
      <c r="E7051" s="1" t="str">
        <f ca="1">IFERROR(__xludf.DUMMYFUNCTION("GOOGLETRANSLATE(A3850 , ""tr"" , ""en"")"),"@drfahrettinkoca is the principal fear that you are the ones whose people do not even mention anyone who lost their life from regret ... https://t.co/6pkdc6dg7j")</f>
        <v>@drfahrettinkoca is the principal fear that you are the ones whose people do not even mention anyone who lost their life from regret ... https://t.co/6pkdc6dg7j</v>
      </c>
    </row>
    <row r="7052" spans="1:5" ht="15" customHeight="1" x14ac:dyDescent="0.2">
      <c r="A7052" s="1" t="s">
        <v>14039</v>
      </c>
      <c r="B7052" s="1">
        <v>0</v>
      </c>
      <c r="C7052" s="3">
        <v>44539.764513888891</v>
      </c>
      <c r="D7052" s="1" t="s">
        <v>14040</v>
      </c>
      <c r="E7052" s="1" t="str">
        <f ca="1">IFERROR(__xludf.DUMMYFUNCTION("GOOGLETRANSLATE(A3851 , ""tr"" , ""en"")"),"@drfahrettinkoca is now tired of the courtesy. Are you keeping the mind? Sinovak Protects 1 Dose Protects 2 Protects No 3 2 of 2d ... https://t.co/o8ybbnhyog")</f>
        <v>@drfahrettinkoca is now tired of the courtesy. Are you keeping the mind? Sinovak Protects 1 Dose Protects 2 Protects No 3 2 of 2d ... https://t.co/o8ybbnhyog</v>
      </c>
    </row>
    <row r="7053" spans="1:5" ht="15" customHeight="1" x14ac:dyDescent="0.2">
      <c r="A7053" s="1" t="s">
        <v>14041</v>
      </c>
      <c r="B7053" s="1">
        <v>0</v>
      </c>
      <c r="C7053" s="3">
        <v>44539.764317129629</v>
      </c>
      <c r="D7053" s="1" t="s">
        <v>14042</v>
      </c>
      <c r="E7053" s="1" t="str">
        <f ca="1">IFERROR(__xludf.DUMMYFUNCTION("GOOGLETRANSLATE(A3852 , ""tr"" , ""en"")"),"@drfahrettinkoca You are intimidated by intimidating what you won the main")</f>
        <v>@drfahrettinkoca You are intimidated by intimidating what you won the main</v>
      </c>
    </row>
    <row r="7054" spans="1:5" ht="15" customHeight="1" x14ac:dyDescent="0.2">
      <c r="A7054" s="1" t="s">
        <v>14043</v>
      </c>
      <c r="B7054" s="1">
        <v>0</v>
      </c>
      <c r="C7054" s="3">
        <v>44539.763969907406</v>
      </c>
      <c r="D7054" s="1" t="s">
        <v>14044</v>
      </c>
      <c r="E7054" s="1" t="str">
        <f ca="1">IFERROR(__xludf.DUMMYFUNCTION("GOOGLETRANSLATE(A3853 , ""tr"" , ""en"")"),"@drfahrettinkoca a..Ş. If you don't have PCR to what you say and A..Lo..For you say such as C..o..vid saying this kltps://t.co/zb1vc6ipfl")</f>
        <v>@drfahrettinkoca a..Ş. If you don't have PCR to what you say and A..Lo..For you say such as C..o..vid saying this kltps://t.co/zb1vc6ipfl</v>
      </c>
    </row>
    <row r="7055" spans="1:5" ht="15" customHeight="1" x14ac:dyDescent="0.2">
      <c r="A7055" s="1" t="s">
        <v>14045</v>
      </c>
      <c r="B7055" s="1">
        <v>0</v>
      </c>
      <c r="C7055" s="3">
        <v>44539.762939814813</v>
      </c>
      <c r="D7055" s="1" t="s">
        <v>14046</v>
      </c>
      <c r="E7055" s="1" t="str">
        <f ca="1">IFERROR(__xludf.DUMMYFUNCTION("GOOGLETRANSLATE(A3854 , ""tr"" , ""en"")"),"@drfahrettinkoca bay @drfahrettinkoca we don't trust you because you are doing the trading of vaccine passports and drug firm ... https://t.co/xhok9rmaed")</f>
        <v>@drfahrettinkoca bay @drfahrettinkoca we don't trust you because you are doing the trading of vaccine passports and drug firm ... https://t.co/xhok9rmaed</v>
      </c>
    </row>
    <row r="7056" spans="1:5" ht="15" customHeight="1" x14ac:dyDescent="0.2">
      <c r="A7056" s="1" t="s">
        <v>14047</v>
      </c>
      <c r="B7056" s="1">
        <v>0</v>
      </c>
      <c r="C7056" s="3">
        <v>44539.762106481481</v>
      </c>
      <c r="D7056" s="1" t="s">
        <v>14048</v>
      </c>
      <c r="E7056" s="1" t="str">
        <f ca="1">IFERROR(__xludf.DUMMYFUNCTION("GOOGLETRANSLATE(A3855 , ""tr"" , ""en"")"),"@drfahrettinka https://t.co/LOFAFKI7MJ")</f>
        <v>@drfahrettinka https://t.co/LOFAFKI7MJ</v>
      </c>
    </row>
    <row r="7057" spans="1:5" ht="15" customHeight="1" x14ac:dyDescent="0.2">
      <c r="A7057" s="1" t="s">
        <v>14049</v>
      </c>
      <c r="B7057" s="1">
        <v>0</v>
      </c>
      <c r="C7057" s="3">
        <v>44539.761990740742</v>
      </c>
      <c r="D7057" s="1" t="s">
        <v>14050</v>
      </c>
      <c r="E7057" s="1" t="str">
        <f ca="1">IFERROR(__xludf.DUMMYFUNCTION("GOOGLETRANSLATE(A3856 , ""tr"" , ""en"")"),"@drfahrettinka https://t.co/gjrtu2frym")</f>
        <v>@drfahrettinka https://t.co/gjrtu2frym</v>
      </c>
    </row>
    <row r="7058" spans="1:5" ht="15" customHeight="1" x14ac:dyDescent="0.2">
      <c r="A7058" s="1" t="s">
        <v>14051</v>
      </c>
      <c r="B7058" s="1">
        <v>0</v>
      </c>
      <c r="C7058" s="3">
        <v>44539.761597222219</v>
      </c>
      <c r="D7058" s="1" t="s">
        <v>14052</v>
      </c>
      <c r="E7058" s="1" t="str">
        <f ca="1">IFERROR(__xludf.DUMMYFUNCTION("GOOGLETRANSLATE(A3857 , ""tr"" , ""en"")"),"@drfahrettinka https://t.co/bvvzkz15nj")</f>
        <v>@drfahrettinka https://t.co/bvvzkz15nj</v>
      </c>
    </row>
    <row r="7059" spans="1:5" ht="15" customHeight="1" x14ac:dyDescent="0.2">
      <c r="A7059" s="1" t="s">
        <v>14053</v>
      </c>
      <c r="B7059" s="1">
        <v>0</v>
      </c>
      <c r="C7059" s="3">
        <v>44539.754120370373</v>
      </c>
      <c r="D7059" s="1" t="s">
        <v>14054</v>
      </c>
      <c r="E7059" s="1" t="str">
        <f ca="1">IFERROR(__xludf.DUMMYFUNCTION("GOOGLETRANSLATE(A3858 , ""tr"" , ""en"")"),"@drfahrettinka https://t.co/MXP7SI6QD6")</f>
        <v>@drfahrettinka https://t.co/MXP7SI6QD6</v>
      </c>
    </row>
    <row r="7060" spans="1:5" ht="15" customHeight="1" x14ac:dyDescent="0.2">
      <c r="A7060" s="1" t="s">
        <v>14055</v>
      </c>
      <c r="B7060" s="1">
        <v>0</v>
      </c>
      <c r="C7060" s="3">
        <v>44539.751875000002</v>
      </c>
      <c r="D7060" s="1" t="s">
        <v>14056</v>
      </c>
      <c r="E7060" s="1" t="str">
        <f ca="1">IFERROR(__xludf.DUMMYFUNCTION("GOOGLETRANSLATE(A3859 , ""tr"" , ""en"")"),"@drfahrettinkoca Ministry of N'Ut Your N'App us the Ministry of the Ministry who will give you the account of my uncle's account who will give my uncle Obstay ... https://t.co/bnlw6ygpyu")</f>
        <v>@drfahrettinkoca Ministry of N'Ut Your N'App us the Ministry of the Ministry who will give you the account of my uncle's account who will give my uncle Obstay ... https://t.co/bnlw6ygpyu</v>
      </c>
    </row>
    <row r="7061" spans="1:5" ht="15" customHeight="1" x14ac:dyDescent="0.2">
      <c r="A7061" s="1" t="s">
        <v>14057</v>
      </c>
      <c r="B7061" s="1">
        <v>0</v>
      </c>
      <c r="C7061" s="3">
        <v>44539.749467592592</v>
      </c>
      <c r="D7061" s="1" t="s">
        <v>14058</v>
      </c>
      <c r="E7061" s="1" t="str">
        <f ca="1">IFERROR(__xludf.DUMMYFUNCTION("GOOGLETRANSLATE(A3860 , ""tr"" , ""en"")"),"@drfahrettinka https://t.co/slyuxhb97x")</f>
        <v>@drfahrettinka https://t.co/slyuxhb97x</v>
      </c>
    </row>
    <row r="7062" spans="1:5" ht="15" customHeight="1" x14ac:dyDescent="0.2">
      <c r="A7062" s="1" t="s">
        <v>14059</v>
      </c>
      <c r="B7062" s="1">
        <v>0</v>
      </c>
      <c r="C7062" s="3">
        <v>44539.748564814814</v>
      </c>
      <c r="D7062" s="1" t="s">
        <v>14060</v>
      </c>
      <c r="E7062" s="1" t="str">
        <f ca="1">IFERROR(__xludf.DUMMYFUNCTION("GOOGLETRANSLATE(A3861 , ""tr"" , ""en"")"),"@drfahrettinkoca https://t.co/oixq4uprut https://t.co/sr0kgheeooj https://t.co/d9x3a5maym https://t.co/41aj1ybb7q... https://t.co/ugtb3acqmm")</f>
        <v>@drfahrettinkoca https://t.co/oixq4uprut https://t.co/sr0kgheeooj https://t.co/d9x3a5maym https://t.co/41aj1ybb7q... https://t.co/ugtb3acqmm</v>
      </c>
    </row>
    <row r="7063" spans="1:5" ht="15" customHeight="1" x14ac:dyDescent="0.2">
      <c r="A7063" s="1" t="s">
        <v>14061</v>
      </c>
      <c r="B7063" s="1">
        <v>0</v>
      </c>
      <c r="C7063" s="3">
        <v>44539.748460648145</v>
      </c>
      <c r="D7063" s="1" t="s">
        <v>14062</v>
      </c>
      <c r="E7063" s="1" t="str">
        <f ca="1">IFERROR(__xludf.DUMMYFUNCTION("GOOGLETRANSLATE(A3862 , ""tr"" , ""en"")"),"@drfahrettinka https://t.co/oixq4uprut https://t.co/sr0kgheeooj https://t.co/d9x3a5maym https://t.co/41aj1ybb7q... https://t.co/wpg7zur7ef")</f>
        <v>@drfahrettinka https://t.co/oixq4uprut https://t.co/sr0kgheeooj https://t.co/d9x3a5maym https://t.co/41aj1ybb7q... https://t.co/wpg7zur7ef</v>
      </c>
    </row>
    <row r="7064" spans="1:5" ht="15" customHeight="1" x14ac:dyDescent="0.2">
      <c r="A7064" s="1" t="s">
        <v>14063</v>
      </c>
      <c r="B7064" s="1">
        <v>0</v>
      </c>
      <c r="C7064" s="3">
        <v>44539.748356481483</v>
      </c>
      <c r="D7064" s="1" t="s">
        <v>14064</v>
      </c>
      <c r="E7064" s="1" t="str">
        <f ca="1">IFERROR(__xludf.DUMMYFUNCTION("GOOGLETRANSLATE(A3863 , ""tr"" , ""en"")"),"@drfahrettinkoca https://t.co/oixq4uprut https://t.co/sr0kgheeooj https://t.co/d9x3a5maym https://t.co/41aj1ybb7q... https://t.co/vqsqlxntsn")</f>
        <v>@drfahrettinkoca https://t.co/oixq4uprut https://t.co/sr0kgheeooj https://t.co/d9x3a5maym https://t.co/41aj1ybb7q... https://t.co/vqsqlxntsn</v>
      </c>
    </row>
    <row r="7065" spans="1:5" ht="15" customHeight="1" x14ac:dyDescent="0.2">
      <c r="A7065" s="1" t="s">
        <v>14065</v>
      </c>
      <c r="B7065" s="1">
        <v>0</v>
      </c>
      <c r="C7065" s="3">
        <v>44539.748252314814</v>
      </c>
      <c r="D7065" s="1" t="s">
        <v>14066</v>
      </c>
      <c r="E7065" s="1" t="str">
        <f ca="1">IFERROR(__xludf.DUMMYFUNCTION("GOOGLETRANSLATE(A3864 , ""tr"" , ""en"")"),"@drfahrettinka https://t.co/sr0kgheeooj https://t.co/d9x3a5maym https://t.co/41aj1ybb7q https://t.co/w7rz1fvılk... https://t.co/davv91xsq9")</f>
        <v>@drfahrettinka https://t.co/sr0kgheeooj https://t.co/d9x3a5maym https://t.co/41aj1ybb7q https://t.co/w7rz1fvılk... https://t.co/davv91xsq9</v>
      </c>
    </row>
    <row r="7066" spans="1:5" ht="15" customHeight="1" x14ac:dyDescent="0.2">
      <c r="A7066" s="1" t="s">
        <v>14067</v>
      </c>
      <c r="B7066" s="1">
        <v>0</v>
      </c>
      <c r="C7066" s="3">
        <v>44539.74800925926</v>
      </c>
      <c r="D7066" s="1" t="s">
        <v>14068</v>
      </c>
      <c r="E7066" s="1" t="str">
        <f ca="1">IFERROR(__xludf.DUMMYFUNCTION("GOOGLETRANSLATE(A3865 , ""tr"" , ""en"")"),"@drfahrettinka https://t.co/wjbkygqxvs")</f>
        <v>@drfahrettinka https://t.co/wjbkygqxvs</v>
      </c>
    </row>
    <row r="7067" spans="1:5" ht="15" customHeight="1" x14ac:dyDescent="0.2">
      <c r="A7067" s="1" t="s">
        <v>14069</v>
      </c>
      <c r="B7067" s="1">
        <v>0</v>
      </c>
      <c r="C7067" s="3">
        <v>44539.74763888889</v>
      </c>
      <c r="D7067" s="1" t="s">
        <v>14070</v>
      </c>
      <c r="E7067" s="1" t="str">
        <f ca="1">IFERROR(__xludf.DUMMYFUNCTION("GOOGLETRANSLATE(A3866 , ""tr"" , ""en"")"),"@drfahrettinka https://t.co/anrgdyxlbq")</f>
        <v>@drfahrettinka https://t.co/anrgdyxlbq</v>
      </c>
    </row>
    <row r="7068" spans="1:5" ht="15" customHeight="1" x14ac:dyDescent="0.2">
      <c r="A7068" s="1" t="s">
        <v>14071</v>
      </c>
      <c r="B7068" s="1">
        <v>0</v>
      </c>
      <c r="C7068" s="3">
        <v>44539.74728009259</v>
      </c>
      <c r="D7068" s="1" t="s">
        <v>14072</v>
      </c>
      <c r="E7068" s="1" t="str">
        <f ca="1">IFERROR(__xludf.DUMMYFUNCTION("GOOGLETRANSLATE(A3867 , ""tr"" , ""en"")"),"@drfahrettinka https://t.co/enp81psgag")</f>
        <v>@drfahrettinka https://t.co/enp81psgag</v>
      </c>
    </row>
    <row r="7069" spans="1:5" ht="15" customHeight="1" x14ac:dyDescent="0.2">
      <c r="A7069" s="1" t="s">
        <v>14073</v>
      </c>
      <c r="B7069" s="1">
        <v>1</v>
      </c>
      <c r="C7069" s="3">
        <v>44539.735590277778</v>
      </c>
      <c r="D7069" s="1" t="s">
        <v>14074</v>
      </c>
      <c r="E7069" s="1" t="str">
        <f ca="1">IFERROR(__xludf.DUMMYFUNCTION("GOOGLETRANSLATE(A3868 , ""tr"" , ""en"")"),"@drfahrettinkoca Fahrettin husband Set up your hand A na I don't believe you. reason of the reason. Your very success is in your work ..!")</f>
        <v>@drfahrettinkoca Fahrettin husband Set up your hand A na I don't believe you. reason of the reason. Your very success is in your work ..!</v>
      </c>
    </row>
    <row r="7070" spans="1:5" ht="15" customHeight="1" x14ac:dyDescent="0.2">
      <c r="A7070" s="1" t="s">
        <v>14075</v>
      </c>
      <c r="B7070" s="1">
        <v>1</v>
      </c>
      <c r="C7070" s="3">
        <v>44539.734652777777</v>
      </c>
      <c r="D7070" s="1" t="s">
        <v>14076</v>
      </c>
      <c r="E7070" s="1" t="str">
        <f ca="1">IFERROR(__xludf.DUMMYFUNCTION("GOOGLETRANSLATE(A3869 , ""tr"" , ""en"")"),"@drfahrettinkoca is the pain real what will you say ... https://t.co/bgsdjb81tx")</f>
        <v>@drfahrettinkoca is the pain real what will you say ... https://t.co/bgsdjb81tx</v>
      </c>
    </row>
    <row r="7071" spans="1:5" ht="15" customHeight="1" x14ac:dyDescent="0.2">
      <c r="A7071" s="1" t="s">
        <v>14077</v>
      </c>
      <c r="B7071" s="1">
        <v>1</v>
      </c>
      <c r="C7071" s="3">
        <v>44539.733472222222</v>
      </c>
      <c r="D7071" s="1" t="s">
        <v>14078</v>
      </c>
      <c r="E7071" s="1" t="str">
        <f ca="1">IFERROR(__xludf.DUMMYFUNCTION("GOOGLETRANSLATE(A3870 , ""tr"" , ""en"")"),"@drfahrettinkoca 😁 https://t.co/rgrbtwbvkl")</f>
        <v>@drfahrettinkoca 😁 https://t.co/rgrbtwbvkl</v>
      </c>
    </row>
    <row r="7072" spans="1:5" ht="15" customHeight="1" x14ac:dyDescent="0.2">
      <c r="A7072" s="1" t="s">
        <v>14079</v>
      </c>
      <c r="B7072" s="1">
        <v>1</v>
      </c>
      <c r="C7072" s="3">
        <v>44539.732025462959</v>
      </c>
      <c r="D7072" s="1" t="s">
        <v>14080</v>
      </c>
      <c r="E7072" s="1" t="str">
        <f ca="1">IFERROR(__xludf.DUMMYFUNCTION("GOOGLETRANSLATE(A3871 , ""tr"" , ""en"")"),"@drfahrettinkoca How many people daily do you pass a few people can be less than you want the factual numbers of the numbers ... https://t.co/0vjjjgvxtl")</f>
        <v>@drfahrettinkoca How many people daily do you pass a few people can be less than you want the factual numbers of the numbers ... https://t.co/0vjjjgvxtl</v>
      </c>
    </row>
    <row r="7073" spans="1:5" ht="15" customHeight="1" x14ac:dyDescent="0.2">
      <c r="A7073" s="1" t="s">
        <v>14081</v>
      </c>
      <c r="B7073" s="1">
        <v>0</v>
      </c>
      <c r="C7073" s="3">
        <v>44539.731226851851</v>
      </c>
      <c r="D7073" s="1" t="s">
        <v>14082</v>
      </c>
      <c r="E7073" s="1" t="str">
        <f ca="1">IFERROR(__xludf.DUMMYFUNCTION("GOOGLETRANSLATE(A3872 , ""tr"" , ""en"")"),"@drfahrettinka Mr. Minister Good day Ben Ben Aksaray Province of Education and Research Emergency Polklinic 1 De 464 ... https://t.co/cu38y2xjah")</f>
        <v>@drfahrettinka Mr. Minister Good day Ben Ben Aksaray Province of Education and Research Emergency Polklinic 1 De 464 ... https://t.co/cu38y2xjah</v>
      </c>
    </row>
    <row r="7074" spans="1:5" ht="15" customHeight="1" x14ac:dyDescent="0.2">
      <c r="A7074" s="1" t="s">
        <v>14083</v>
      </c>
      <c r="B7074" s="1">
        <v>0</v>
      </c>
      <c r="C7074" s="3">
        <v>44539.730347222219</v>
      </c>
      <c r="D7074" s="1" t="s">
        <v>14084</v>
      </c>
      <c r="E7074" s="1" t="str">
        <f ca="1">IFERROR(__xludf.DUMMYFUNCTION("GOOGLETRANSLATE(A3873 , ""tr"" , ""en"")"),"@drfahrettinkoca will be something to our children. Irresponsible @drfahrettinkoca @erolozvar @tcbestepe @tcmeb @ showtv ... https://t.co/tbmznxlass")</f>
        <v>@drfahrettinkoca will be something to our children. Irresponsible @drfahrettinkoca @erolozvar @tcbestepe @tcmeb @ showtv ... https://t.co/tbmznxlass</v>
      </c>
    </row>
    <row r="7075" spans="1:5" ht="15" customHeight="1" x14ac:dyDescent="0.2">
      <c r="A7075" s="1" t="s">
        <v>14085</v>
      </c>
      <c r="B7075" s="1">
        <v>0</v>
      </c>
      <c r="C7075" s="3">
        <v>44539.729131944441</v>
      </c>
      <c r="D7075" s="1" t="s">
        <v>14086</v>
      </c>
      <c r="E7075" s="1" t="str">
        <f ca="1">IFERROR(__xludf.DUMMYFUNCTION("GOOGLETRANSLATE(A3874 , ""tr"" , ""en"")"),"@drfahrettinkoca Ya Bi Sus Bi Sus Be Our Neighbor Disturbated 3. What do you say more than the overdose Omicron variant ... https://t.co/md7qgex1kk")</f>
        <v>@drfahrettinkoca Ya Bi Sus Bi Sus Be Our Neighbor Disturbated 3. What do you say more than the overdose Omicron variant ... https://t.co/md7qgex1kk</v>
      </c>
    </row>
    <row r="7076" spans="1:5" ht="15" customHeight="1" x14ac:dyDescent="0.2">
      <c r="A7076" s="1" t="s">
        <v>14087</v>
      </c>
      <c r="B7076" s="1">
        <v>0</v>
      </c>
      <c r="C7076" s="3">
        <v>44539.724120370367</v>
      </c>
      <c r="D7076" s="1" t="s">
        <v>14088</v>
      </c>
      <c r="E7076" s="1" t="str">
        <f ca="1">IFERROR(__xludf.DUMMYFUNCTION("GOOGLETRANSLATE(A3875 , ""tr"" , ""en"")"),"@drfahrettinka https://t.co/kqjzxspsk")</f>
        <v>@drfahrettinka https://t.co/kqjzxspsk</v>
      </c>
    </row>
    <row r="7077" spans="1:5" ht="15" customHeight="1" x14ac:dyDescent="0.2">
      <c r="A7077" s="1" t="s">
        <v>14089</v>
      </c>
      <c r="B7077" s="1">
        <v>0</v>
      </c>
      <c r="C7077" s="3">
        <v>44539.722777777781</v>
      </c>
      <c r="D7077" s="1" t="s">
        <v>14090</v>
      </c>
      <c r="E7077" s="1" t="str">
        <f ca="1">IFERROR(__xludf.DUMMYFUNCTION("GOOGLETRANSLATE(A3876 , ""tr"" , ""en"")"),"@drfahrettinka https://t.co/n2c10np2cl")</f>
        <v>@drfahrettinka https://t.co/n2c10np2cl</v>
      </c>
    </row>
    <row r="7078" spans="1:5" ht="15" customHeight="1" x14ac:dyDescent="0.2">
      <c r="A7078" s="1" t="s">
        <v>14091</v>
      </c>
      <c r="B7078" s="1">
        <v>0</v>
      </c>
      <c r="C7078" s="3">
        <v>44539.722280092596</v>
      </c>
      <c r="D7078" s="1" t="s">
        <v>14092</v>
      </c>
      <c r="E7078" s="1" t="str">
        <f ca="1">IFERROR(__xludf.DUMMYFUNCTION("GOOGLETRANSLATE(A3877 , ""tr"" , ""en"")"),"@drfahrettinkoca criminals found 🤣")</f>
        <v>@drfahrettinkoca criminals found 🤣</v>
      </c>
    </row>
    <row r="7079" spans="1:5" ht="15" customHeight="1" x14ac:dyDescent="0.2">
      <c r="A7079" s="1" t="s">
        <v>14093</v>
      </c>
      <c r="B7079" s="1">
        <v>0</v>
      </c>
      <c r="C7079" s="3">
        <v>44539.718657407408</v>
      </c>
      <c r="D7079" s="1" t="s">
        <v>14094</v>
      </c>
      <c r="E7079" s="1" t="str">
        <f ca="1">IFERROR(__xludf.DUMMYFUNCTION("GOOGLETRANSLATE(A3878 , ""tr"" , ""en"")"),"@drfahrettinka https://t.co/l4hv32mmpw")</f>
        <v>@drfahrettinka https://t.co/l4hv32mmpw</v>
      </c>
    </row>
    <row r="7080" spans="1:5" ht="15" customHeight="1" x14ac:dyDescent="0.2">
      <c r="A7080" s="1" t="s">
        <v>14095</v>
      </c>
      <c r="B7080" s="1">
        <v>0</v>
      </c>
      <c r="C7080" s="3">
        <v>44539.718240740738</v>
      </c>
      <c r="D7080" s="1" t="s">
        <v>14096</v>
      </c>
      <c r="E7080" s="1" t="str">
        <f ca="1">IFERROR(__xludf.DUMMYFUNCTION("GOOGLETRANSLATE(A3879 , ""tr"" , ""en"")"),"@drfahrettinkoca you cannot persuade people with such call. @drfahrettinkoca understand this now and the method has changed ... https://t.co/wuh0l2ndou")</f>
        <v>@drfahrettinkoca you cannot persuade people with such call. @drfahrettinkoca understand this now and the method has changed ... https://t.co/wuh0l2ndou</v>
      </c>
    </row>
    <row r="7081" spans="1:5" ht="15" customHeight="1" x14ac:dyDescent="0.2">
      <c r="A7081" s="1" t="s">
        <v>14097</v>
      </c>
      <c r="B7081" s="1">
        <v>0</v>
      </c>
      <c r="C7081" s="3">
        <v>44539.718229166669</v>
      </c>
      <c r="D7081" s="1" t="s">
        <v>14098</v>
      </c>
      <c r="E7081" s="1" t="str">
        <f ca="1">IFERROR(__xludf.DUMMYFUNCTION("GOOGLETRANSLATE(A3880 , ""tr"" , ""en"")"),"@drfahrettinkoca 1996 So when I was 6 years old, when I was skunking the flu, the letter of your present Cavit 19 flour. Https://t.co/xqnytc1hbl")</f>
        <v>@drfahrettinkoca 1996 So when I was 6 years old, when I was skunking the flu, the letter of your present Cavit 19 flour. Https://t.co/xqnytc1hbl</v>
      </c>
    </row>
    <row r="7082" spans="1:5" ht="15" customHeight="1" x14ac:dyDescent="0.2">
      <c r="A7082" s="1" t="s">
        <v>14099</v>
      </c>
      <c r="B7082" s="1">
        <v>1</v>
      </c>
      <c r="C7082" s="3">
        <v>44539.718113425923</v>
      </c>
      <c r="D7082" s="1" t="s">
        <v>14100</v>
      </c>
      <c r="E7082" s="1" t="str">
        <f ca="1">IFERROR(__xludf.DUMMYFUNCTION("GOOGLETRANSLATE(A3881 , ""tr"" , ""en"")"),"@drfahrettinkoca https://t.co/5GNZWSGQEI")</f>
        <v>@drfahrettinkoca https://t.co/5GNZWSGQEI</v>
      </c>
    </row>
    <row r="7083" spans="1:5" ht="15" customHeight="1" x14ac:dyDescent="0.2">
      <c r="A7083" s="1" t="s">
        <v>14101</v>
      </c>
      <c r="B7083" s="1">
        <v>0</v>
      </c>
      <c r="C7083" s="3">
        <v>44539.715648148151</v>
      </c>
      <c r="D7083" s="1" t="s">
        <v>14102</v>
      </c>
      <c r="E7083" s="1" t="str">
        <f ca="1">IFERROR(__xludf.DUMMYFUNCTION("GOOGLETRANSLATE(A3882 , ""tr"" , ""en"")"),"@drfahrettinkoca Death Process 👉PCR Positive, 8 + 8 Favira, if you feel bad, 112 call 112")</f>
        <v>@drfahrettinkoca Death Process 👉PCR Positive, 8 + 8 Favira, if you feel bad, 112 call 112</v>
      </c>
    </row>
    <row r="7084" spans="1:5" ht="15" customHeight="1" x14ac:dyDescent="0.2">
      <c r="A7084" s="1" t="s">
        <v>14103</v>
      </c>
      <c r="B7084" s="1">
        <v>0</v>
      </c>
      <c r="C7084" s="3">
        <v>44539.713287037041</v>
      </c>
      <c r="D7084" s="1" t="s">
        <v>14104</v>
      </c>
      <c r="E7084" s="1" t="str">
        <f ca="1">IFERROR(__xludf.DUMMYFUNCTION("GOOGLETRANSLATE(A3883 , ""tr"" , ""en"")"),"@drfahrettinkoca allah the sense for allah sake you can keep us online keep breathing is not breathing 8 hours in the virus nest #eurdicitimizer")</f>
        <v>@drfahrettinkoca allah the sense for allah sake you can keep us online keep breathing is not breathing 8 hours in the virus nest #eurdicitimizer</v>
      </c>
    </row>
    <row r="7085" spans="1:5" ht="15" customHeight="1" x14ac:dyDescent="0.2">
      <c r="A7085" s="1" t="s">
        <v>14105</v>
      </c>
      <c r="B7085" s="1">
        <v>0</v>
      </c>
      <c r="C7085" s="3">
        <v>44539.71199074074</v>
      </c>
      <c r="D7085" s="1" t="s">
        <v>14106</v>
      </c>
      <c r="E7085" s="1" t="str">
        <f ca="1">IFERROR(__xludf.DUMMYFUNCTION("GOOGLETRANSLATE(A3884 , ""tr"" , ""en"")"),"@drfahrettinkoca We are a ridiculous situation in this table in this table, a look at a look at the Ministry of the Ministry who do this ... https://t.co/hgjabnpfcq")</f>
        <v>@drfahrettinkoca We are a ridiculous situation in this table in this table, a look at a look at the Ministry of the Ministry who do this ... https://t.co/hgjabnpfcq</v>
      </c>
    </row>
    <row r="7086" spans="1:5" ht="15" customHeight="1" x14ac:dyDescent="0.2">
      <c r="A7086" s="1" t="s">
        <v>14107</v>
      </c>
      <c r="B7086" s="1">
        <v>0</v>
      </c>
      <c r="C7086" s="3">
        <v>44539.710324074076</v>
      </c>
      <c r="D7086" s="1" t="s">
        <v>14108</v>
      </c>
      <c r="E7086" s="1" t="str">
        <f ca="1">IFERROR(__xludf.DUMMYFUNCTION("GOOGLETRANSLATE(A3885 , ""tr"" , ""en"")"),"@drfahrettinkoca has lost 3 vaccinated relatives as if the vaccines do not act as if they have never died")</f>
        <v>@drfahrettinkoca has lost 3 vaccinated relatives as if the vaccines do not act as if they have never died</v>
      </c>
    </row>
    <row r="7087" spans="1:5" ht="15" customHeight="1" x14ac:dyDescent="0.2">
      <c r="A7087" s="1" t="s">
        <v>14109</v>
      </c>
      <c r="B7087" s="1">
        <v>0</v>
      </c>
      <c r="C7087" s="3">
        <v>44539.709976851853</v>
      </c>
      <c r="D7087" s="1" t="s">
        <v>14110</v>
      </c>
      <c r="E7087" s="1" t="str">
        <f ca="1">IFERROR(__xludf.DUMMYFUNCTION("GOOGLETRANSLATE(A3886 , ""tr"" , ""en"")"),"@drfahrettinkoca # you will account for https://t.co/7cpzcnjzjc")</f>
        <v>@drfahrettinkoca # you will account for https://t.co/7cpzcnjzjc</v>
      </c>
    </row>
    <row r="7088" spans="1:5" ht="15" customHeight="1" x14ac:dyDescent="0.2">
      <c r="A7088" s="1" t="s">
        <v>14111</v>
      </c>
      <c r="B7088" s="1">
        <v>0</v>
      </c>
      <c r="C7088" s="3">
        <v>44539.708680555559</v>
      </c>
      <c r="D7088" s="1" t="s">
        <v>14112</v>
      </c>
      <c r="E7088" s="1" t="str">
        <f ca="1">IFERROR(__xludf.DUMMYFUNCTION("GOOGLETRANSLATE(A3887 , ""tr"" , ""en"")"),"@drfahrettinka https://t.co/gypnmq4juw")</f>
        <v>@drfahrettinka https://t.co/gypnmq4juw</v>
      </c>
    </row>
    <row r="7089" spans="1:5" ht="15" customHeight="1" x14ac:dyDescent="0.2">
      <c r="A7089" s="1" t="s">
        <v>14113</v>
      </c>
      <c r="B7089" s="1">
        <v>2</v>
      </c>
      <c r="C7089" s="3">
        <v>44539.707673611112</v>
      </c>
      <c r="D7089" s="1" t="s">
        <v>14114</v>
      </c>
      <c r="E7089" s="1" t="str">
        <f ca="1">IFERROR(__xludf.DUMMYFUNCTION("GOOGLETRANSLATE(A3888 , ""tr"" , ""en"")"),"@drfahrettinkoca Our frighten is living Mr. Minister. What are your scared of you?")</f>
        <v>@drfahrettinkoca Our frighten is living Mr. Minister. What are your scared of you?</v>
      </c>
    </row>
    <row r="7090" spans="1:5" ht="15" customHeight="1" x14ac:dyDescent="0.2">
      <c r="A7090" s="1" t="s">
        <v>14115</v>
      </c>
      <c r="B7090" s="1">
        <v>0</v>
      </c>
      <c r="C7090" s="3">
        <v>44539.706759259258</v>
      </c>
      <c r="D7090" s="1" t="s">
        <v>14116</v>
      </c>
      <c r="E7090" s="1" t="str">
        <f ca="1">IFERROR(__xludf.DUMMYFUNCTION("GOOGLETRANSLATE(A3889 , ""tr"" , ""en"")"),"@drfahrettinkoca min overlooking me 3.doz I want to be a biontek overrun I'm waiting for 6 months.")</f>
        <v>@drfahrettinkoca min overlooking me 3.doz I want to be a biontek overrun I'm waiting for 6 months.</v>
      </c>
    </row>
    <row r="7091" spans="1:5" ht="15" customHeight="1" x14ac:dyDescent="0.2">
      <c r="A7091" s="1" t="s">
        <v>14117</v>
      </c>
      <c r="B7091" s="1">
        <v>0</v>
      </c>
      <c r="C7091" s="3">
        <v>44539.703946759262</v>
      </c>
      <c r="D7091" s="1" t="s">
        <v>14118</v>
      </c>
      <c r="E7091" s="1" t="str">
        <f ca="1">IFERROR(__xludf.DUMMYFUNCTION("GOOGLETRANSLATE(A3890 , ""tr"" , ""en"")"),"@drfahrettinkoca 18 The mandatory vaccine should not be struck on any individual under 18 should not be made. 1 in the vaccine ... https://t.co/rhuksa3k86")</f>
        <v>@drfahrettinkoca 18 The mandatory vaccine should not be struck on any individual under 18 should not be made. 1 in the vaccine ... https://t.co/rhuksa3k86</v>
      </c>
    </row>
    <row r="7092" spans="1:5" ht="15" customHeight="1" x14ac:dyDescent="0.2">
      <c r="A7092" s="1" t="s">
        <v>14119</v>
      </c>
      <c r="B7092" s="1">
        <v>0</v>
      </c>
      <c r="C7092" s="3">
        <v>44539.702870370369</v>
      </c>
      <c r="D7092" s="1" t="s">
        <v>14120</v>
      </c>
      <c r="E7092" s="1" t="str">
        <f ca="1">IFERROR(__xludf.DUMMYFUNCTION("GOOGLETRANSLATE(A3891 , ""tr"" , ""en"")"),"See @drfahrettinkoca See what I have written my Bey what my job is what my bread is what my bread nede my parents face me ... https://t.co/3llbne4jqh")</f>
        <v>See @drfahrettinkoca See what I have written my Bey what my job is what my bread is what my bread nede my parents face me ... https://t.co/3llbne4jqh</v>
      </c>
    </row>
    <row r="7093" spans="1:5" ht="15" customHeight="1" x14ac:dyDescent="0.2">
      <c r="A7093" s="1" t="s">
        <v>14121</v>
      </c>
      <c r="B7093" s="1">
        <v>0</v>
      </c>
      <c r="C7093" s="3">
        <v>44539.702256944445</v>
      </c>
      <c r="D7093" s="1" t="s">
        <v>14122</v>
      </c>
      <c r="E7093" s="1" t="str">
        <f ca="1">IFERROR(__xludf.DUMMYFUNCTION("GOOGLETRANSLATE(A3892 , ""tr"" , ""en"")"),"@drfahrettinkoca Mr. Okayınır Unable to perform operations in state hospitals The material is called people specialists ... https://t.co/0sjfyj6rkh")</f>
        <v>@drfahrettinkoca Mr. Okayınır Unable to perform operations in state hospitals The material is called people specialists ... https://t.co/0sjfyj6rkh</v>
      </c>
    </row>
    <row r="7094" spans="1:5" ht="15" customHeight="1" x14ac:dyDescent="0.2">
      <c r="A7094" s="1" t="s">
        <v>14123</v>
      </c>
      <c r="B7094" s="1">
        <v>0</v>
      </c>
      <c r="C7094" s="3">
        <v>44539.70208333333</v>
      </c>
      <c r="D7094" s="1" t="s">
        <v>14124</v>
      </c>
      <c r="E7094" s="1" t="str">
        <f ca="1">IFERROR(__xludf.DUMMYFUNCTION("GOOGLETRANSLATE(A3893 , ""tr"" , ""en"")"),"@drfahrettinkoca A child father died from a serious brain hemorrhage after receiving astrazeneca vaccination ... https://t.co/wffbsjcscv")</f>
        <v>@drfahrettinkoca A child father died from a serious brain hemorrhage after receiving astrazeneca vaccination ... https://t.co/wffbsjcscv</v>
      </c>
    </row>
    <row r="7095" spans="1:5" ht="15" customHeight="1" x14ac:dyDescent="0.2">
      <c r="A7095" s="1" t="s">
        <v>14125</v>
      </c>
      <c r="B7095" s="1">
        <v>0</v>
      </c>
      <c r="C7095" s="3">
        <v>44539.701851851853</v>
      </c>
      <c r="D7095" s="1" t="s">
        <v>14126</v>
      </c>
      <c r="E7095" s="1" t="str">
        <f ca="1">IFERROR(__xludf.DUMMYFUNCTION("GOOGLETRANSLATE(A3894 , ""tr"" , ""en"")"),"@drfahrettinkoca Tomorrow You will not be able to account for those lies at tomorrow, we do not permit the entitlement to you")</f>
        <v>@drfahrettinkoca Tomorrow You will not be able to account for those lies at tomorrow, we do not permit the entitlement to you</v>
      </c>
    </row>
    <row r="7096" spans="1:5" ht="15" customHeight="1" x14ac:dyDescent="0.2">
      <c r="A7096" s="1" t="s">
        <v>14127</v>
      </c>
      <c r="B7096" s="1">
        <v>1</v>
      </c>
      <c r="C7096" s="3">
        <v>44539.701851851853</v>
      </c>
      <c r="D7096" s="1" t="s">
        <v>14128</v>
      </c>
      <c r="E7096" s="1" t="str">
        <f ca="1">IFERROR(__xludf.DUMMYFUNCTION("GOOGLETRANSLATE(A3895 , ""tr"" , ""en"")"),"@drfahrettinkoca Allah CC Bless your Ummeni Muhammad married")</f>
        <v>@drfahrettinkoca Allah CC Bless your Ummeni Muhammad married</v>
      </c>
    </row>
    <row r="7097" spans="1:5" ht="15" customHeight="1" x14ac:dyDescent="0.2">
      <c r="A7097" s="1" t="s">
        <v>14129</v>
      </c>
      <c r="B7097" s="1">
        <v>0</v>
      </c>
      <c r="C7097" s="3">
        <v>44539.701192129629</v>
      </c>
      <c r="D7097" s="1" t="s">
        <v>14130</v>
      </c>
      <c r="E7097" s="1" t="str">
        <f ca="1">IFERROR(__xludf.DUMMYFUNCTION("GOOGLETRANSLATE(A3896 , ""tr"" , ""en"")"),"@drfahrettinkoca Fahrettin Husband Efendi I'm lying to tell you anything You are lying to lying no benefit ... https://t.co/pzbjgzvdji")</f>
        <v>@drfahrettinkoca Fahrettin Husband Efendi I'm lying to tell you anything You are lying to lying no benefit ... https://t.co/pzbjgzvdji</v>
      </c>
    </row>
    <row r="7098" spans="1:5" ht="15" customHeight="1" x14ac:dyDescent="0.2">
      <c r="A7098" s="1" t="s">
        <v>14131</v>
      </c>
      <c r="B7098" s="1">
        <v>0</v>
      </c>
      <c r="C7098" s="3">
        <v>44539.700995370367</v>
      </c>
      <c r="D7098" s="1" t="s">
        <v>14132</v>
      </c>
      <c r="E7098" s="1" t="str">
        <f ca="1">IFERROR(__xludf.DUMMYFUNCTION("GOOGLETRANSLATE(A3897 , ""tr"" , ""en"")"),"@drfahrettinkoca Minister Bey Last year can you give information about the number of deaths this month with the number of deaths this month ... https://t.co/kqgqg54oqr")</f>
        <v>@drfahrettinkoca Minister Bey Last year can you give information about the number of deaths this month with the number of deaths this month ... https://t.co/kqgqg54oqr</v>
      </c>
    </row>
    <row r="7099" spans="1:5" ht="15" customHeight="1" x14ac:dyDescent="0.2">
      <c r="A7099" s="1" t="s">
        <v>14133</v>
      </c>
      <c r="B7099" s="1">
        <v>0</v>
      </c>
      <c r="C7099" s="3">
        <v>44539.700324074074</v>
      </c>
      <c r="D7099" s="1" t="s">
        <v>14134</v>
      </c>
      <c r="E7099" s="1" t="str">
        <f ca="1">IFERROR(__xludf.DUMMYFUNCTION("GOOGLETRANSLATE(A3898 , ""tr"" , ""en"")"),"@drfahrettinkoca Mr. Safik Minister We have said that you will not make the mandatory vaccine to the mandatory vaccine No Constitution Veril ... https://t.co/yupryr6gkb")</f>
        <v>@drfahrettinkoca Mr. Safik Minister We have said that you will not make the mandatory vaccine to the mandatory vaccine No Constitution Veril ... https://t.co/yupryr6gkb</v>
      </c>
    </row>
    <row r="7100" spans="1:5" ht="15" customHeight="1" x14ac:dyDescent="0.2">
      <c r="A7100" s="1" t="s">
        <v>14135</v>
      </c>
      <c r="B7100" s="1">
        <v>0</v>
      </c>
      <c r="C7100" s="3">
        <v>44539.699490740742</v>
      </c>
      <c r="D7100" s="1" t="s">
        <v>14136</v>
      </c>
      <c r="E7100" s="1" t="str">
        <f ca="1">IFERROR(__xludf.DUMMYFUNCTION("GOOGLETRANSLATE(A3899 , ""tr"" , ""en"")"),"@drfahrettinkoca you've never had a confirmation of your vaccine since the beginning of the vaccine keep you from the arrival of vaccines ... https://t.co/krdcsl1ekx")</f>
        <v>@drfahrettinkoca you've never had a confirmation of your vaccine since the beginning of the vaccine keep you from the arrival of vaccines ... https://t.co/krdcsl1ekx</v>
      </c>
    </row>
    <row r="7101" spans="1:5" ht="15" customHeight="1" x14ac:dyDescent="0.2">
      <c r="A7101" s="1" t="s">
        <v>14137</v>
      </c>
      <c r="B7101" s="1">
        <v>0</v>
      </c>
      <c r="C7101" s="3">
        <v>44539.697708333333</v>
      </c>
      <c r="D7101" s="1" t="s">
        <v>14138</v>
      </c>
      <c r="E7101" s="1" t="str">
        <f ca="1">IFERROR(__xludf.DUMMYFUNCTION("GOOGLETRANSLATE(A3900 , ""tr"" , ""en"")"),"@drfahrettinkoca regret I'm not a nighter at home. Why you guys sign the paper to the people. Https://t.co/pjofzloizb")</f>
        <v>@drfahrettinkoca regret I'm not a nighter at home. Why you guys sign the paper to the people. Https://t.co/pjofzloizb</v>
      </c>
    </row>
    <row r="7102" spans="1:5" ht="15" customHeight="1" x14ac:dyDescent="0.2">
      <c r="A7102" s="1" t="s">
        <v>14139</v>
      </c>
      <c r="B7102" s="1">
        <v>0</v>
      </c>
      <c r="C7102" s="3">
        <v>44539.697453703702</v>
      </c>
      <c r="D7102" s="1" t="s">
        <v>14140</v>
      </c>
      <c r="E7102" s="1" t="str">
        <f ca="1">IFERROR(__xludf.DUMMYFUNCTION("GOOGLETRANSLATE(A3901 , ""tr"" , ""en"")"),"@drfahrettinka Mr. Husband is too late to make this call!")</f>
        <v>@drfahrettinka Mr. Husband is too late to make this call!</v>
      </c>
    </row>
    <row r="7103" spans="1:5" ht="15" customHeight="1" x14ac:dyDescent="0.2">
      <c r="A7103" s="1" t="s">
        <v>14141</v>
      </c>
      <c r="B7103" s="1">
        <v>0</v>
      </c>
      <c r="C7103" s="3">
        <v>44539.692696759259</v>
      </c>
      <c r="D7103" s="1" t="s">
        <v>14142</v>
      </c>
      <c r="E7103" s="1" t="str">
        <f ca="1">IFERROR(__xludf.DUMMYFUNCTION("GOOGLETRANSLATE(A3902 , ""tr"" , ""en"")"),"@drfahrettinkoca Mr @drfahrettinkoca Lucen Lucen You have to close or do these health cookies Net B ... https://t.co/z9qggmdjm5")</f>
        <v>@drfahrettinkoca Mr @drfahrettinkoca Lucen Lucen You have to close or do these health cookies Net B ... https://t.co/z9qggmdjm5</v>
      </c>
    </row>
    <row r="7104" spans="1:5" ht="15" customHeight="1" x14ac:dyDescent="0.2">
      <c r="A7104" s="1" t="s">
        <v>14143</v>
      </c>
      <c r="B7104" s="1">
        <v>5</v>
      </c>
      <c r="C7104" s="3">
        <v>44539.691458333335</v>
      </c>
      <c r="D7104" s="1" t="s">
        <v>14144</v>
      </c>
      <c r="E7104" s="1" t="str">
        <f ca="1">IFERROR(__xludf.DUMMYFUNCTION("GOOGLETRANSLATE(A3903 , ""tr"" , ""en"")"),"@drfahrettinkoca what you have won, other than to introduce the economy in the world. Don't tell yourself, Total Ba ... https://t.co/so7du4cjdr")</f>
        <v>@drfahrettinkoca what you have won, other than to introduce the economy in the world. Don't tell yourself, Total Ba ... https://t.co/so7du4cjdr</v>
      </c>
    </row>
    <row r="7105" spans="1:5" ht="15" customHeight="1" x14ac:dyDescent="0.2">
      <c r="A7105" s="1" t="s">
        <v>14145</v>
      </c>
      <c r="B7105" s="1">
        <v>0</v>
      </c>
      <c r="C7105" s="3">
        <v>44539.682164351849</v>
      </c>
      <c r="D7105" s="1" t="s">
        <v>14146</v>
      </c>
      <c r="E7105" s="1" t="str">
        <f ca="1">IFERROR(__xludf.DUMMYFUNCTION("GOOGLETRANSLATE(A3904 , ""tr"" , ""en"")"),"@drfahrettinka Mr. Minister, I wonder on which stage of the improvement of physicians' fees?")</f>
        <v>@drfahrettinka Mr. Minister, I wonder on which stage of the improvement of physicians' fees?</v>
      </c>
    </row>
    <row r="7106" spans="1:5" ht="15" customHeight="1" x14ac:dyDescent="0.2">
      <c r="A7106" s="1" t="s">
        <v>14147</v>
      </c>
      <c r="B7106" s="1">
        <v>0</v>
      </c>
      <c r="C7106" s="3">
        <v>44539.67800925926</v>
      </c>
      <c r="D7106" s="1" t="s">
        <v>14148</v>
      </c>
      <c r="E7106" s="1" t="str">
        <f ca="1">IFERROR(__xludf.DUMMYFUNCTION("GOOGLETRANSLATE(A3905 , ""tr"" , ""en"")"),"@drfahrettinkoca Mr. Minister The people and scientists and healthcare people who push to be vaccines by intimidating people ... https://t.co/2gx1bi5dke")</f>
        <v>@drfahrettinkoca Mr. Minister The people and scientists and healthcare people who push to be vaccines by intimidating people ... https://t.co/2gx1bi5dke</v>
      </c>
    </row>
    <row r="7107" spans="1:5" ht="15" customHeight="1" x14ac:dyDescent="0.2">
      <c r="A7107" s="1" t="s">
        <v>14149</v>
      </c>
      <c r="B7107" s="1">
        <v>0</v>
      </c>
      <c r="C7107" s="3">
        <v>44539.677905092591</v>
      </c>
      <c r="D7107" s="1" t="s">
        <v>14150</v>
      </c>
      <c r="E7107" s="1" t="str">
        <f ca="1">IFERROR(__xludf.DUMMYFUNCTION("GOOGLETRANSLATE(A3906 , ""tr"" , ""en"")"),"@drfahrettinka Mr. Minister You could not market the vaccine if you are medicine medication. It uses as subjects for vaccine ... https://t.co/tujvcuubu8")</f>
        <v>@drfahrettinka Mr. Minister You could not market the vaccine if you are medicine medication. It uses as subjects for vaccine ... https://t.co/tujvcuubu8</v>
      </c>
    </row>
    <row r="7108" spans="1:5" ht="15" customHeight="1" x14ac:dyDescent="0.2">
      <c r="A7108" s="1" t="s">
        <v>14151</v>
      </c>
      <c r="B7108" s="1">
        <v>1</v>
      </c>
      <c r="C7108" s="3">
        <v>44539.677291666667</v>
      </c>
      <c r="D7108" s="1" t="s">
        <v>14152</v>
      </c>
      <c r="E7108" s="1" t="str">
        <f ca="1">IFERROR(__xludf.DUMMYFUNCTION("GOOGLETRANSLATE(A3907 , ""tr"" , ""en"")"),"@drfahrettinkoca Holam 2 Biontech Vaccine I've been to 3 dose I have 6 months crossed 6 months I am disabled 182 You called the vaccine process ...")</f>
        <v>@drfahrettinkoca Holam 2 Biontech Vaccine I've been to 3 dose I have 6 months crossed 6 months I am disabled 182 You called the vaccine process ...</v>
      </c>
    </row>
    <row r="7109" spans="1:5" ht="15" customHeight="1" x14ac:dyDescent="0.2">
      <c r="A7109" s="1" t="s">
        <v>14153</v>
      </c>
      <c r="B7109" s="1">
        <v>0</v>
      </c>
      <c r="C7109" s="3">
        <v>44539.67633101852</v>
      </c>
      <c r="D7109" s="1" t="s">
        <v>14154</v>
      </c>
      <c r="E7109" s="1" t="str">
        <f ca="1">IFERROR(__xludf.DUMMYFUNCTION("GOOGLETRANSLATE(A3908 , ""tr"" , ""en"")"),"@drfahrettinkoca Dad has taken three vaccines when I was fired in the village.")</f>
        <v>@drfahrettinkoca Dad has taken three vaccines when I was fired in the village.</v>
      </c>
    </row>
    <row r="7110" spans="1:5" ht="15" customHeight="1" x14ac:dyDescent="0.2">
      <c r="A7110" s="1" t="s">
        <v>14155</v>
      </c>
      <c r="B7110" s="1">
        <v>1</v>
      </c>
      <c r="C7110" s="3">
        <v>44539.673055555555</v>
      </c>
      <c r="D7110" s="1" t="s">
        <v>14156</v>
      </c>
      <c r="E7110" s="1" t="str">
        <f ca="1">IFERROR(__xludf.DUMMYFUNCTION("GOOGLETRANSLATE(A3909 , ""tr"" , ""en"")"),"@drfahrettinka schools now remote education remote education is no longer the joke of this job")</f>
        <v>@drfahrettinka schools now remote education remote education is no longer the joke of this job</v>
      </c>
    </row>
    <row r="7111" spans="1:5" ht="15" customHeight="1" x14ac:dyDescent="0.2">
      <c r="A7111" s="1" t="s">
        <v>13306</v>
      </c>
      <c r="B7111" s="1">
        <v>0</v>
      </c>
      <c r="C7111" s="3">
        <v>44539.671597222223</v>
      </c>
      <c r="D7111" s="1" t="s">
        <v>14157</v>
      </c>
      <c r="E7111" s="1" t="str">
        <f ca="1">IFERROR(__xludf.DUMMYFUNCTION("GOOGLETRANSLATE(A3910 , ""tr"" , ""en"")"),"@drfahrettinkoca @saglikbakanligi Online Education Don't go to Bari Chronic Disease Don't Go Didn't Go Write @DrFahrettinkoca")</f>
        <v>@drfahrettinkoca @saglikbakanligi Online Education Don't go to Bari Chronic Disease Don't Go Didn't Go Write @DrFahrettinkoca</v>
      </c>
    </row>
    <row r="7112" spans="1:5" ht="15" customHeight="1" x14ac:dyDescent="0.2">
      <c r="A7112" s="1" t="s">
        <v>14158</v>
      </c>
      <c r="B7112" s="1">
        <v>0</v>
      </c>
      <c r="C7112" s="3">
        <v>44539.668391203704</v>
      </c>
      <c r="D7112" s="1" t="s">
        <v>14159</v>
      </c>
      <c r="E7112" s="1" t="str">
        <f ca="1">IFERROR(__xludf.DUMMYFUNCTION("GOOGLETRANSLATE(A3911 , ""tr"" , ""en"")"),"@drfahrettinka what scientific data do you speak based on. 90% I have vaccinated Germany Da cases exploded ... https://t.co/paupsbya3m")</f>
        <v>@drfahrettinka what scientific data do you speak based on. 90% I have vaccinated Germany Da cases exploded ... https://t.co/paupsbya3m</v>
      </c>
    </row>
    <row r="7113" spans="1:5" ht="15" customHeight="1" x14ac:dyDescent="0.2">
      <c r="A7113" s="1" t="s">
        <v>14160</v>
      </c>
      <c r="B7113" s="1">
        <v>0</v>
      </c>
      <c r="C7113" s="3">
        <v>44539.666134259256</v>
      </c>
      <c r="D7113" s="1" t="s">
        <v>14161</v>
      </c>
      <c r="E7113" s="1" t="str">
        <f ca="1">IFERROR(__xludf.DUMMYFUNCTION("GOOGLETRANSLATE(A3912 , ""tr"" , ""en"")"),"@drfahrettinkoca Yes Yes You take very serious measures. This job is similar to traveling with the S500 bakamnn. https://t.co/97I0jsbdhp")</f>
        <v>@drfahrettinkoca Yes Yes You take very serious measures. This job is similar to traveling with the S500 bakamnn. https://t.co/97I0jsbdhp</v>
      </c>
    </row>
    <row r="7114" spans="1:5" ht="15" customHeight="1" x14ac:dyDescent="0.2">
      <c r="A7114" s="1" t="s">
        <v>14162</v>
      </c>
      <c r="B7114" s="1">
        <v>0</v>
      </c>
      <c r="C7114" s="3">
        <v>44539.662511574075</v>
      </c>
      <c r="D7114" s="1" t="s">
        <v>14163</v>
      </c>
      <c r="E7114" s="1" t="str">
        <f ca="1">IFERROR(__xludf.DUMMYFUNCTION("GOOGLETRANSLATE(A3913 , ""tr"" , ""en"")"),"@drfahrettinkoca public health table for Scotland. Look how many people died from the double vaccine? Look how many people died unsounded. ... https://t.co/7bactepk68")</f>
        <v>@drfahrettinkoca public health table for Scotland. Look how many people died from the double vaccine? Look how many people died unsounded. ... https://t.co/7bactepk68</v>
      </c>
    </row>
    <row r="7115" spans="1:5" ht="15" customHeight="1" x14ac:dyDescent="0.2">
      <c r="A7115" s="1" t="s">
        <v>14164</v>
      </c>
      <c r="B7115" s="1">
        <v>0</v>
      </c>
      <c r="C7115" s="3">
        <v>44539.660532407404</v>
      </c>
      <c r="D7115" s="1" t="s">
        <v>14165</v>
      </c>
      <c r="E7115" s="1" t="str">
        <f ca="1">IFERROR(__xludf.DUMMYFUNCTION("GOOGLETRANSLATE(A3914 , ""tr"" , ""en"")"),"@drfahrettinkoca walla how much experimental liquid in my surroundings, it was heavily Corona in all, continue to be ... https://t.co/jjkreq4aj3")</f>
        <v>@drfahrettinkoca walla how much experimental liquid in my surroundings, it was heavily Corona in all, continue to be ... https://t.co/jjkreq4aj3</v>
      </c>
    </row>
    <row r="7116" spans="1:5" ht="15" customHeight="1" x14ac:dyDescent="0.2">
      <c r="A7116" s="1" t="s">
        <v>14166</v>
      </c>
      <c r="B7116" s="1">
        <v>0</v>
      </c>
      <c r="C7116" s="3">
        <v>44539.658460648148</v>
      </c>
      <c r="D7116" s="1" t="s">
        <v>14167</v>
      </c>
      <c r="E7116" s="1" t="str">
        <f ca="1">IFERROR(__xludf.DUMMYFUNCTION("GOOGLETRANSLATE(A3915 , ""tr"" , ""en"")"),"@drfahrettinkoca you can't hide the lies, people wake up on sleep ... https://t.co/4llyrqqjjew")</f>
        <v>@drfahrettinkoca you can't hide the lies, people wake up on sleep ... https://t.co/4llyrqqjjew</v>
      </c>
    </row>
    <row r="7117" spans="1:5" ht="15" customHeight="1" x14ac:dyDescent="0.2">
      <c r="A7117" s="1" t="s">
        <v>14168</v>
      </c>
      <c r="B7117" s="1">
        <v>0</v>
      </c>
      <c r="C7117" s="3">
        <v>44539.6559375</v>
      </c>
      <c r="D7117" s="1" t="s">
        <v>14169</v>
      </c>
      <c r="E7117" s="1" t="str">
        <f ca="1">IFERROR(__xludf.DUMMYFUNCTION("GOOGLETRANSLATE(A3916 , ""tr"" , ""en"")"),"@drfahrettinkoca guide when it comesrrrrrrrr")</f>
        <v>@drfahrettinkoca guide when it comesrrrrrrrr</v>
      </c>
    </row>
    <row r="7118" spans="1:5" ht="15" customHeight="1" x14ac:dyDescent="0.2">
      <c r="A7118" s="1" t="s">
        <v>14170</v>
      </c>
      <c r="B7118" s="1">
        <v>0</v>
      </c>
      <c r="C7118" s="3">
        <v>44539.655532407407</v>
      </c>
      <c r="D7118" s="1" t="s">
        <v>14171</v>
      </c>
      <c r="E7118" s="1" t="str">
        <f ca="1">IFERROR(__xludf.DUMMYFUNCTION("GOOGLETRANSLATE(A3917 , ""tr"" , ""en"")"),"@drfahrettinkoca Turkey is really political in the system of the Ministry of Ministry @drfahrettinka @GozdekiriscioGL")</f>
        <v>@drfahrettinkoca Turkey is really political in the system of the Ministry of Ministry @drfahrettinka @GozdekiriscioGL</v>
      </c>
    </row>
    <row r="7119" spans="1:5" ht="15" customHeight="1" x14ac:dyDescent="0.2">
      <c r="A7119" s="1" t="s">
        <v>14172</v>
      </c>
      <c r="B7119" s="1">
        <v>0</v>
      </c>
      <c r="C7119" s="3">
        <v>44539.653078703705</v>
      </c>
      <c r="D7119" s="1" t="s">
        <v>14173</v>
      </c>
      <c r="E7119" s="1" t="str">
        <f ca="1">IFERROR(__xludf.DUMMYFUNCTION("GOOGLETRANSLATE(A3918 , ""tr"" , ""en"")"),"@drfahrettinka my grandfather was full 3 times vaccination 3! WHAT HAPPENED ?! I lies in the tomb now my grandfather! Beach in intensive care ... https://t.co/chowop6jz7")</f>
        <v>@drfahrettinka my grandfather was full 3 times vaccination 3! WHAT HAPPENED ?! I lies in the tomb now my grandfather! Beach in intensive care ... https://t.co/chowop6jz7</v>
      </c>
    </row>
    <row r="7120" spans="1:5" ht="15" customHeight="1" x14ac:dyDescent="0.2">
      <c r="A7120" s="1" t="s">
        <v>14174</v>
      </c>
      <c r="B7120" s="1">
        <v>0</v>
      </c>
      <c r="C7120" s="3">
        <v>44539.644189814811</v>
      </c>
      <c r="D7120" s="1" t="s">
        <v>14175</v>
      </c>
      <c r="E7120" s="1" t="str">
        <f ca="1">IFERROR(__xludf.DUMMYFUNCTION("GOOGLETRANSLATE(A3919 , ""tr"" , ""en"")"),"@drfahrettinkoca Look Fahrettin to you the vaccine of the nation, why is the liquids that don't wound a shit in this nation in this nation ... https://t.co/yyzmivqvtk")</f>
        <v>@drfahrettinkoca Look Fahrettin to you the vaccine of the nation, why is the liquids that don't wound a shit in this nation in this nation ... https://t.co/yyzmivqvtk</v>
      </c>
    </row>
    <row r="7121" spans="1:5" ht="15" customHeight="1" x14ac:dyDescent="0.2">
      <c r="A7121" s="1" t="s">
        <v>14176</v>
      </c>
      <c r="B7121" s="1">
        <v>0</v>
      </c>
      <c r="C7121" s="3">
        <v>44539.643692129626</v>
      </c>
      <c r="D7121" s="1" t="s">
        <v>14177</v>
      </c>
      <c r="E7121" s="1" t="str">
        <f ca="1">IFERROR(__xludf.DUMMYFUNCTION("GOOGLETRANSLATE(A3920 , ""tr"" , ""en"")"),"@drfahrettinkoca enough law In intensive care of those who are all those who are all the missing and missing vaccines, says the validates ... https://t.co/jdjuz4zz")</f>
        <v>@drfahrettinkoca enough law In intensive care of those who are all those who are all the missing and missing vaccines, says the validates ... https://t.co/jdjuz4zz</v>
      </c>
    </row>
    <row r="7122" spans="1:5" ht="15" customHeight="1" x14ac:dyDescent="0.2">
      <c r="A7122" s="1" t="s">
        <v>14178</v>
      </c>
      <c r="B7122" s="1">
        <v>1</v>
      </c>
      <c r="C7122" s="3">
        <v>44539.64366898148</v>
      </c>
      <c r="D7122" s="1" t="s">
        <v>14179</v>
      </c>
      <c r="E7122" s="1" t="str">
        <f ca="1">IFERROR(__xludf.DUMMYFUNCTION("GOOGLETRANSLATE(A3921 , ""tr"" , ""en"")"),"@drfahrettinkoca Guide where you have entered the guide all your teenager how are you people ever conscience")</f>
        <v>@drfahrettinkoca Guide where you have entered the guide all your teenager how are you people ever conscience</v>
      </c>
    </row>
    <row r="7123" spans="1:5" ht="15" customHeight="1" x14ac:dyDescent="0.2">
      <c r="A7123" s="1" t="s">
        <v>14180</v>
      </c>
      <c r="B7123" s="1">
        <v>0</v>
      </c>
      <c r="C7123" s="3">
        <v>44539.633275462962</v>
      </c>
      <c r="D7123" s="1" t="s">
        <v>14181</v>
      </c>
      <c r="E7123" s="1" t="str">
        <f ca="1">IFERROR(__xludf.DUMMYFUNCTION("GOOGLETRANSLATE(A3922 , ""tr"" , ""en"")"),"@drfahrettinkoca Sayin Beni Ben Pendik Medipol Hospital As a Hospital Hospital 1 Cycling Sen, Https://t.co/zvfp23o65z")</f>
        <v>@drfahrettinkoca Sayin Beni Ben Pendik Medipol Hospital As a Hospital Hospital 1 Cycling Sen, Https://t.co/zvfp23o65z</v>
      </c>
    </row>
    <row r="7124" spans="1:5" ht="15" customHeight="1" x14ac:dyDescent="0.2">
      <c r="A7124" s="1" t="s">
        <v>14182</v>
      </c>
      <c r="B7124" s="1">
        <v>1</v>
      </c>
      <c r="C7124" s="3">
        <v>44539.632731481484</v>
      </c>
      <c r="D7124" s="1" t="s">
        <v>14183</v>
      </c>
      <c r="E7124" s="1" t="str">
        <f ca="1">IFERROR(__xludf.DUMMYFUNCTION("GOOGLETRANSLATE(A3923 , ""tr"" , ""en"")"),"@drfahrettinkoca 😂 Number Overlooking you Go to me talk to people who are not completed :) :)")</f>
        <v>@drfahrettinkoca 😂 Number Overlooking you Go to me talk to people who are not completed :) :)</v>
      </c>
    </row>
    <row r="7125" spans="1:5" ht="15" customHeight="1" x14ac:dyDescent="0.2">
      <c r="A7125" s="1" t="s">
        <v>14184</v>
      </c>
      <c r="B7125" s="1">
        <v>0</v>
      </c>
      <c r="C7125" s="3">
        <v>44539.628576388888</v>
      </c>
      <c r="D7125" s="1" t="s">
        <v>14185</v>
      </c>
      <c r="E7125" s="1" t="str">
        <f ca="1">IFERROR(__xludf.DUMMYFUNCTION("GOOGLETRANSLATE(A3924 , ""tr"" , ""en"")"),"@drfahrettinkoca is now reading your twits just to laugh.")</f>
        <v>@drfahrettinkoca is now reading your twits just to laugh.</v>
      </c>
    </row>
    <row r="7126" spans="1:5" ht="15" customHeight="1" x14ac:dyDescent="0.2">
      <c r="A7126" s="1" t="s">
        <v>14186</v>
      </c>
      <c r="B7126" s="1">
        <v>3</v>
      </c>
      <c r="C7126" s="3">
        <v>44539.626122685186</v>
      </c>
      <c r="D7126" s="1" t="s">
        <v>14187</v>
      </c>
      <c r="E7126" s="1" t="str">
        <f ca="1">IFERROR(__xludf.DUMMYFUNCTION("GOOGLETRANSLATE(A3925 , ""tr"" , ""en"")"),"@drfahrettinkoca exactly when the kac dose is full of the full rogue oluyoduk minister of religion? You started to civilization ... https://t.co/nxrepbaazu")</f>
        <v>@drfahrettinkoca exactly when the kac dose is full of the full rogue oluyoduk minister of religion? You started to civilization ... https://t.co/nxrepbaazu</v>
      </c>
    </row>
    <row r="7127" spans="1:5" ht="15" customHeight="1" x14ac:dyDescent="0.2">
      <c r="A7127" s="1" t="s">
        <v>14188</v>
      </c>
      <c r="B7127" s="1">
        <v>0</v>
      </c>
      <c r="C7127" s="3">
        <v>44539.625590277778</v>
      </c>
      <c r="D7127" s="1" t="s">
        <v>14189</v>
      </c>
      <c r="E7127" s="1" t="str">
        <f ca="1">IFERROR(__xludf.DUMMYFUNCTION("GOOGLETRANSLATE(A3926 , ""tr"" , ""en"")"),"@drfahrettinka https://t.co/ftisp5zpvh")</f>
        <v>@drfahrettinka https://t.co/ftisp5zpvh</v>
      </c>
    </row>
    <row r="7128" spans="1:5" ht="15" customHeight="1" x14ac:dyDescent="0.2">
      <c r="A7128" s="1" t="s">
        <v>14190</v>
      </c>
      <c r="B7128" s="1">
        <v>0</v>
      </c>
      <c r="C7128" s="3">
        <v>44539.624340277776</v>
      </c>
      <c r="D7128" s="1" t="s">
        <v>14191</v>
      </c>
      <c r="E7128" s="1" t="str">
        <f ca="1">IFERROR(__xludf.DUMMYFUNCTION("GOOGLETRANSLATE(A3927 , ""tr"" , ""en"")"),"@drfahrettinka is the actual regret you will live! The people you are unsurred are never one of the disease ... https://t.co/rb8bqomt9x")</f>
        <v>@drfahrettinka is the actual regret you will live! The people you are unsurred are never one of the disease ... https://t.co/rb8bqomt9x</v>
      </c>
    </row>
    <row r="7129" spans="1:5" ht="15" customHeight="1" x14ac:dyDescent="0.2">
      <c r="A7129" s="1" t="s">
        <v>14192</v>
      </c>
      <c r="B7129" s="1">
        <v>0</v>
      </c>
      <c r="C7129" s="3">
        <v>44539.618541666663</v>
      </c>
      <c r="D7129" s="1" t="s">
        <v>14193</v>
      </c>
      <c r="E7129" s="1" t="str">
        <f ca="1">IFERROR(__xludf.DUMMYFUNCTION("GOOGLETRANSLATE(A3928 , ""tr"" , ""en"")"),"@drfahrettinka https://t.co/iela5vndgh")</f>
        <v>@drfahrettinka https://t.co/iela5vndgh</v>
      </c>
    </row>
    <row r="7130" spans="1:5" ht="15" customHeight="1" x14ac:dyDescent="0.2">
      <c r="A7130" s="1" t="s">
        <v>14194</v>
      </c>
      <c r="B7130" s="1">
        <v>0</v>
      </c>
      <c r="C7130" s="3">
        <v>44539.611585648148</v>
      </c>
      <c r="D7130" s="1" t="s">
        <v>14195</v>
      </c>
      <c r="E7130" s="1" t="str">
        <f ca="1">IFERROR(__xludf.DUMMYFUNCTION("GOOGLETRANSLATE(A3929 , ""tr"" , ""en"")"),"@drfahrettinkoca This jurisdiction is an overlooking world history with so much fear, panic and psychological forcing, ins ... https://t.co/6hk8jqzr8d")</f>
        <v>@drfahrettinkoca This jurisdiction is an overlooking world history with so much fear, panic and psychological forcing, ins ... https://t.co/6hk8jqzr8d</v>
      </c>
    </row>
    <row r="7131" spans="1:5" ht="15" customHeight="1" x14ac:dyDescent="0.2">
      <c r="A7131" s="1" t="s">
        <v>14196</v>
      </c>
      <c r="B7131" s="1">
        <v>0</v>
      </c>
      <c r="C7131" s="3">
        <v>44539.611284722225</v>
      </c>
      <c r="D7131" s="1" t="s">
        <v>14197</v>
      </c>
      <c r="E7131" s="1" t="str">
        <f ca="1">IFERROR(__xludf.DUMMYFUNCTION("GOOGLETRANSLATE(A3930 , ""tr"" , ""en"")"),"@drfahrettinka Mr. Ministry I want to be 14 years old once to the hospital once in the health center ... https://t.co/r2m55ddxf2")</f>
        <v>@drfahrettinka Mr. Ministry I want to be 14 years old once to the hospital once in the health center ... https://t.co/r2m55ddxf2</v>
      </c>
    </row>
    <row r="7132" spans="1:5" ht="15" customHeight="1" x14ac:dyDescent="0.2">
      <c r="A7132" s="1" t="s">
        <v>14198</v>
      </c>
      <c r="B7132" s="1">
        <v>0</v>
      </c>
      <c r="C7132" s="3">
        <v>44539.607766203706</v>
      </c>
      <c r="D7132" s="1" t="s">
        <v>14199</v>
      </c>
      <c r="E7132" s="1" t="str">
        <f ca="1">IFERROR(__xludf.DUMMYFUNCTION("GOOGLETRANSLATE(A3931 , ""tr"" , ""en"")"),"@drfahrettinkoca fahrettin how much you will hide the omicron more Pust")</f>
        <v>@drfahrettinkoca fahrettin how much you will hide the omicron more Pust</v>
      </c>
    </row>
    <row r="7133" spans="1:5" ht="15" customHeight="1" x14ac:dyDescent="0.2">
      <c r="A7133" s="1" t="s">
        <v>12849</v>
      </c>
      <c r="B7133" s="1">
        <v>0</v>
      </c>
      <c r="C7133" s="3">
        <v>44539.604085648149</v>
      </c>
      <c r="D7133" s="1" t="s">
        <v>14200</v>
      </c>
      <c r="E7133" s="1" t="str">
        <f ca="1">IFERROR(__xludf.DUMMYFUNCTION("GOOGLETRANSLATE(A3932 , ""tr"" , ""en"")"),"@drfahrettinkoca manual @drfahrettinkoca")</f>
        <v>@drfahrettinkoca manual @drfahrettinkoca</v>
      </c>
    </row>
    <row r="7134" spans="1:5" ht="15" customHeight="1" x14ac:dyDescent="0.2">
      <c r="A7134" s="1" t="s">
        <v>14201</v>
      </c>
      <c r="B7134" s="1">
        <v>0</v>
      </c>
      <c r="C7134" s="3">
        <v>44539.598564814813</v>
      </c>
      <c r="D7134" s="1" t="s">
        <v>14202</v>
      </c>
      <c r="E7134" s="1" t="str">
        <f ca="1">IFERROR(__xludf.DUMMYFUNCTION("GOOGLETRANSLATE(A3933 , ""tr"" , ""en"")"),"@drfahrettinkoca I wasn't even a vaccination in Lakin Covid 19 I'm caught up 19 and are quarantine at home .23 years old. Taste V ... https://t.co/krm9bz2bs0")</f>
        <v>@drfahrettinkoca I wasn't even a vaccination in Lakin Covid 19 I'm caught up 19 and are quarantine at home .23 years old. Taste V ... https://t.co/krm9bz2bs0</v>
      </c>
    </row>
    <row r="7135" spans="1:5" ht="15" customHeight="1" x14ac:dyDescent="0.2">
      <c r="A7135" s="1" t="s">
        <v>14203</v>
      </c>
      <c r="B7135" s="1">
        <v>1</v>
      </c>
      <c r="C7135" s="3">
        <v>44539.59443287037</v>
      </c>
      <c r="D7135" s="1" t="s">
        <v>14204</v>
      </c>
      <c r="E7135" s="1" t="str">
        <f ca="1">IFERROR(__xludf.DUMMYFUNCTION("GOOGLETRANSLATE(A3934 , ""tr"" , ""en"")"),"@drfahrettinka Mr. @drfahrettinkoca Safik Staff Guide When will you publish ???????? Lutfen now explain")</f>
        <v>@drfahrettinka Mr. @drfahrettinkoca Safik Staff Guide When will you publish ???????? Lutfen now explain</v>
      </c>
    </row>
    <row r="7136" spans="1:5" ht="15" customHeight="1" x14ac:dyDescent="0.2">
      <c r="A7136" s="1" t="s">
        <v>14205</v>
      </c>
      <c r="B7136" s="1">
        <v>2</v>
      </c>
      <c r="C7136" s="3">
        <v>44539.593414351853</v>
      </c>
      <c r="D7136" s="1" t="s">
        <v>14206</v>
      </c>
      <c r="E7136" s="1" t="str">
        <f ca="1">IFERROR(__xludf.DUMMYFUNCTION("GOOGLETRANSLATE(A3935 , ""tr"" , ""en"")"),"@drfahrettinkoca I have never been vaccinated and I'm stuck ... I love my mind ..")</f>
        <v>@drfahrettinkoca I have never been vaccinated and I'm stuck ... I love my mind ..</v>
      </c>
    </row>
    <row r="7137" spans="1:5" ht="15" customHeight="1" x14ac:dyDescent="0.2">
      <c r="A7137" s="1" t="s">
        <v>14207</v>
      </c>
      <c r="B7137" s="1">
        <v>0</v>
      </c>
      <c r="C7137" s="3">
        <v>44539.587037037039</v>
      </c>
      <c r="D7137" s="1" t="s">
        <v>14208</v>
      </c>
      <c r="E7137" s="1" t="str">
        <f ca="1">IFERROR(__xludf.DUMMYFUNCTION("GOOGLETRANSLATE(A3936 , ""tr"" , ""en"")"),"@drfahrettinka why don't you say that they died out of vaccine ????")</f>
        <v>@drfahrettinka why don't you say that they died out of vaccine ????</v>
      </c>
    </row>
    <row r="7138" spans="1:5" ht="15" customHeight="1" x14ac:dyDescent="0.2">
      <c r="A7138" s="1" t="s">
        <v>14209</v>
      </c>
      <c r="B7138" s="1">
        <v>0</v>
      </c>
      <c r="C7138" s="3">
        <v>44539.582245370373</v>
      </c>
      <c r="D7138" s="1" t="s">
        <v>14210</v>
      </c>
      <c r="E7138" s="1" t="str">
        <f ca="1">IFERROR(__xludf.DUMMYFUNCTION("GOOGLETRANSLATE(A3937 , ""tr"" , ""en"")"),"@drfahrettinkoca is the only persuasion sentence; Intensive patients in intensive care. The same sentence since the beginning of the epidemic: D is this convinced ... https://t.co/fqmndbus1b")</f>
        <v>@drfahrettinkoca is the only persuasion sentence; Intensive patients in intensive care. The same sentence since the beginning of the epidemic: D is this convinced ... https://t.co/fqmndbus1b</v>
      </c>
    </row>
    <row r="7139" spans="1:5" ht="15" customHeight="1" x14ac:dyDescent="0.2">
      <c r="A7139" s="1" t="s">
        <v>14211</v>
      </c>
      <c r="B7139" s="1">
        <v>3</v>
      </c>
      <c r="C7139" s="3">
        <v>44539.57744212963</v>
      </c>
      <c r="D7139" s="1" t="s">
        <v>14212</v>
      </c>
      <c r="E7139" s="1" t="str">
        <f ca="1">IFERROR(__xludf.DUMMYFUNCTION("GOOGLETRANSLATE(A3938 , ""tr"" , ""en"")"),"@drfahrettinkoca Mr. Minister 3 Do doses immediately open 6 months Do not expect 6 months Why do you have to do after work work")</f>
        <v>@drfahrettinkoca Mr. Minister 3 Do doses immediately open 6 months Do not expect 6 months Why do you have to do after work work</v>
      </c>
    </row>
    <row r="7140" spans="1:5" ht="15" customHeight="1" x14ac:dyDescent="0.2">
      <c r="A7140" s="1" t="s">
        <v>14213</v>
      </c>
      <c r="B7140" s="1">
        <v>0</v>
      </c>
      <c r="C7140" s="3">
        <v>44539.575798611113</v>
      </c>
      <c r="D7140" s="1" t="s">
        <v>14214</v>
      </c>
      <c r="E7140" s="1" t="str">
        <f ca="1">IFERROR(__xludf.DUMMYFUNCTION("GOOGLETRANSLATE(A3939 , ""tr"" , ""en"")"),"@drfahrettinkoca 4 have been familiar with allah I'm the more peaceful feeling of the Safety Minister")</f>
        <v>@drfahrettinkoca 4 have been familiar with allah I'm the more peaceful feeling of the Safety Minister</v>
      </c>
    </row>
    <row r="7141" spans="1:5" ht="15" customHeight="1" x14ac:dyDescent="0.2">
      <c r="A7141" s="1" t="s">
        <v>14215</v>
      </c>
      <c r="B7141" s="1">
        <v>2</v>
      </c>
      <c r="C7141" s="3">
        <v>44539.569224537037</v>
      </c>
      <c r="D7141" s="1" t="s">
        <v>14216</v>
      </c>
      <c r="E7141" s="1" t="str">
        <f ca="1">IFERROR(__xludf.DUMMYFUNCTION("GOOGLETRANSLATE(A3940 , ""tr"" , ""en"")"),"@drfahrettinkoca Come on which hospital in which hospital has no interest. B.k Horse Trail Learn from your older brothers ... https://t.co/cnv3bwxqqn")</f>
        <v>@drfahrettinkoca Come on which hospital in which hospital has no interest. B.k Horse Trail Learn from your older brothers ... https://t.co/cnv3bwxqqn</v>
      </c>
    </row>
    <row r="7142" spans="1:5" ht="15" customHeight="1" x14ac:dyDescent="0.2">
      <c r="A7142" s="1" t="s">
        <v>14217</v>
      </c>
      <c r="B7142" s="1">
        <v>0</v>
      </c>
      <c r="C7142" s="3">
        <v>44539.568935185183</v>
      </c>
      <c r="D7142" s="1" t="s">
        <v>14218</v>
      </c>
      <c r="E7142" s="1" t="str">
        <f ca="1">IFERROR(__xludf.DUMMYFUNCTION("GOOGLETRANSLATE(A3941 , ""tr"" , ""en"")"),"@drfahrettinkoca We have never lost Bisey Alhamdülillah and my Lord is among the familiar currents I am found to be ... https://t.co/zvdxrsi3mj")</f>
        <v>@drfahrettinkoca We have never lost Bisey Alhamdülillah and my Lord is among the familiar currents I am found to be ... https://t.co/zvdxrsi3mj</v>
      </c>
    </row>
    <row r="7143" spans="1:5" ht="15" customHeight="1" x14ac:dyDescent="0.2">
      <c r="A7143" s="1" t="s">
        <v>14219</v>
      </c>
      <c r="B7143" s="1">
        <v>0</v>
      </c>
      <c r="C7143" s="3">
        <v>44539.568680555552</v>
      </c>
      <c r="D7143" s="1" t="s">
        <v>14220</v>
      </c>
      <c r="E7143" s="1" t="str">
        <f ca="1">IFERROR(__xludf.DUMMYFUNCTION("GOOGLETRANSLATE(A3942 , ""tr"" , ""en"")"),"@drfahrettinkoca Südge Atleast Cancel the Pandemide Cancel My Minister What happens to you What happens for 2 years time I have expired ... https://t.co/lxtjcuufjs")</f>
        <v>@drfahrettinkoca Südge Atleast Cancel the Pandemide Cancel My Minister What happens to you What happens for 2 years time I have expired ... https://t.co/lxtjcuufjs</v>
      </c>
    </row>
    <row r="7144" spans="1:5" ht="15" customHeight="1" x14ac:dyDescent="0.2">
      <c r="A7144" s="1" t="s">
        <v>14221</v>
      </c>
      <c r="B7144" s="1">
        <v>0</v>
      </c>
      <c r="C7144" s="3">
        <v>44539.568472222221</v>
      </c>
      <c r="D7144" s="1" t="s">
        <v>14222</v>
      </c>
      <c r="E7144" s="1" t="str">
        <f ca="1">IFERROR(__xludf.DUMMYFUNCTION("GOOGLETRANSLATE(A3943 , ""tr"" , ""en"")"),"@drfahrettinkoca Südge Atleast Cancel the Pandemide Cancel My Minister is what happens to you what happens for 2 years time my time is full ... https://t.co/iqby203msq")</f>
        <v>@drfahrettinkoca Südge Atleast Cancel the Pandemide Cancel My Minister is what happens to you what happens for 2 years time my time is full ... https://t.co/iqby203msq</v>
      </c>
    </row>
    <row r="7145" spans="1:5" ht="15" customHeight="1" x14ac:dyDescent="0.2">
      <c r="A7145" s="1" t="s">
        <v>14223</v>
      </c>
      <c r="B7145" s="1">
        <v>0</v>
      </c>
      <c r="C7145" s="3">
        <v>44539.568379629629</v>
      </c>
      <c r="D7145" s="1" t="s">
        <v>14224</v>
      </c>
      <c r="E7145" s="1" t="str">
        <f ca="1">IFERROR(__xludf.DUMMYFUNCTION("GOOGLETRANSLATE(A3944 , ""tr"" , ""en"")"),"@drfahrettinkoca Südge At least cancel the pandemide Cancel the Minister begged to you what happens for 2 years when I have expired ... https://t.co/9zeaysncwm")</f>
        <v>@drfahrettinkoca Südge At least cancel the pandemide Cancel the Minister begged to you what happens for 2 years when I have expired ... https://t.co/9zeaysncwm</v>
      </c>
    </row>
    <row r="7146" spans="1:5" ht="15" customHeight="1" x14ac:dyDescent="0.2">
      <c r="A7146" s="1" t="s">
        <v>14225</v>
      </c>
      <c r="B7146" s="1">
        <v>0</v>
      </c>
      <c r="C7146" s="3">
        <v>44539.56832175926</v>
      </c>
      <c r="D7146" s="1" t="s">
        <v>14226</v>
      </c>
      <c r="E7146" s="1" t="str">
        <f ca="1">IFERROR(__xludf.DUMMYFUNCTION("GOOGLETRANSLATE(A3945 , ""tr"" , ""en"")"),"@drfahrettinkoca Südge At least cancel the pandemide Cancel my Minister begged to you what happens for 2 years while my time is full of time ... https://t.co/gvkmqnzevj")</f>
        <v>@drfahrettinkoca Südge At least cancel the pandemide Cancel my Minister begged to you what happens for 2 years while my time is full of time ... https://t.co/gvkmqnzevj</v>
      </c>
    </row>
    <row r="7147" spans="1:5" ht="15" customHeight="1" x14ac:dyDescent="0.2">
      <c r="A7147" s="1" t="s">
        <v>14227</v>
      </c>
      <c r="B7147" s="1">
        <v>0</v>
      </c>
      <c r="C7147" s="3">
        <v>44539.56826388889</v>
      </c>
      <c r="D7147" s="1" t="s">
        <v>14228</v>
      </c>
      <c r="E7147" s="1" t="str">
        <f ca="1">IFERROR(__xludf.DUMMYFUNCTION("GOOGLETRANSLATE(A3946 , ""tr"" , ""en"")"),"@drfahrettinkoca Südge At least cancel the pandemide Cancel my Minister is begged to you what happens for 2 years time my time is full ... https://t.co/46sc7zneze")</f>
        <v>@drfahrettinkoca Südge At least cancel the pandemide Cancel my Minister is begged to you what happens for 2 years time my time is full ... https://t.co/46sc7zneze</v>
      </c>
    </row>
    <row r="7148" spans="1:5" ht="15" customHeight="1" x14ac:dyDescent="0.2">
      <c r="A7148" s="1" t="s">
        <v>14229</v>
      </c>
      <c r="B7148" s="1">
        <v>0</v>
      </c>
      <c r="C7148" s="3">
        <v>44539.56821759259</v>
      </c>
      <c r="D7148" s="1" t="s">
        <v>14230</v>
      </c>
      <c r="E7148" s="1" t="str">
        <f ca="1">IFERROR(__xludf.DUMMYFUNCTION("GOOGLETRANSLATE(A3947 , ""tr"" , ""en"")"),"@drfahrettinkoca Südge Atleast Cancel at the following Pandemide Minister begged to you what happens for 2 years time my duration is full of time ... https://t.co/nygvuenalr")</f>
        <v>@drfahrettinkoca Südge Atleast Cancel at the following Pandemide Minister begged to you what happens for 2 years time my duration is full of time ... https://t.co/nygvuenalr</v>
      </c>
    </row>
    <row r="7149" spans="1:5" ht="15" customHeight="1" x14ac:dyDescent="0.2">
      <c r="A7149" s="1" t="s">
        <v>14231</v>
      </c>
      <c r="B7149" s="1">
        <v>0</v>
      </c>
      <c r="C7149" s="3">
        <v>44539.565393518518</v>
      </c>
      <c r="D7149" s="1" t="s">
        <v>14232</v>
      </c>
      <c r="E7149" s="1" t="str">
        <f ca="1">IFERROR(__xludf.DUMMYFUNCTION("GOOGLETRANSLATE(A3948 , ""tr"" , ""en"")"),"@drfahrettinka there will be a thousand regrets that have no vaccines, vaccines ...")</f>
        <v>@drfahrettinka there will be a thousand regrets that have no vaccines, vaccines ...</v>
      </c>
    </row>
    <row r="7150" spans="1:5" ht="15" customHeight="1" x14ac:dyDescent="0.2">
      <c r="A7150" s="1" t="s">
        <v>14233</v>
      </c>
      <c r="B7150" s="1">
        <v>0</v>
      </c>
      <c r="C7150" s="3">
        <v>44539.559699074074</v>
      </c>
      <c r="D7150" s="1" t="s">
        <v>14234</v>
      </c>
      <c r="E7150" s="1" t="str">
        <f ca="1">IFERROR(__xludf.DUMMYFUNCTION("GOOGLETRANSLATE(A3949 , ""tr"" , ""en"")"),"@drfahrettinkoca because You and this PCR test (which Will Detect Any and All Dead Virus Cells if the Cycles are ab ... https://t.co/kmogdhzdhu")</f>
        <v>@drfahrettinkoca because You and this PCR test (which Will Detect Any and All Dead Virus Cells if the Cycles are ab ... https://t.co/kmogdhzdhu</v>
      </c>
    </row>
    <row r="7151" spans="1:5" ht="15" customHeight="1" x14ac:dyDescent="0.2">
      <c r="A7151" s="1" t="s">
        <v>14235</v>
      </c>
      <c r="B7151" s="1">
        <v>0</v>
      </c>
      <c r="C7151" s="3">
        <v>44539.558796296296</v>
      </c>
      <c r="D7151" s="1" t="s">
        <v>14236</v>
      </c>
      <c r="E7151" s="1" t="str">
        <f ca="1">IFERROR(__xludf.DUMMYFUNCTION("GOOGLETRANSLATE(A3950 , ""tr"" , ""en"")"),"@drfahrettinka https://t.co/svpsh9ppyo")</f>
        <v>@drfahrettinka https://t.co/svpsh9ppyo</v>
      </c>
    </row>
    <row r="7152" spans="1:5" ht="15" customHeight="1" x14ac:dyDescent="0.2">
      <c r="A7152" s="1" t="s">
        <v>14237</v>
      </c>
      <c r="B7152" s="1">
        <v>8</v>
      </c>
      <c r="C7152" s="3">
        <v>44539.555810185186</v>
      </c>
      <c r="D7152" s="1" t="s">
        <v>14238</v>
      </c>
      <c r="E7152" s="1" t="str">
        <f ca="1">IFERROR(__xludf.DUMMYFUNCTION("GOOGLETRANSLATE(A3951 , ""tr"" , ""en"")"),"@drfahrettinkoca What did the real question exceed people with a perception of fake outbreaks with an unlicensed liquid? Young age ... https://t.co/2qfet4wgMI")</f>
        <v>@drfahrettinkoca What did the real question exceed people with a perception of fake outbreaks with an unlicensed liquid? Young age ... https://t.co/2qfet4wgMI</v>
      </c>
    </row>
    <row r="7153" spans="1:5" ht="15" customHeight="1" x14ac:dyDescent="0.2">
      <c r="A7153" s="1" t="s">
        <v>14239</v>
      </c>
      <c r="B7153" s="1">
        <v>0</v>
      </c>
      <c r="C7153" s="3">
        <v>44539.548784722225</v>
      </c>
      <c r="D7153" s="1" t="s">
        <v>14240</v>
      </c>
      <c r="E7153" s="1" t="str">
        <f ca="1">IFERROR(__xludf.DUMMYFUNCTION("GOOGLETRANSLATE(A3952 , ""tr"" , ""en"")"),"@drfahrettinka https://t.co/l9FIJIJLFR")</f>
        <v>@drfahrettinka https://t.co/l9FIJIJLFR</v>
      </c>
    </row>
    <row r="7154" spans="1:5" ht="15" customHeight="1" x14ac:dyDescent="0.2">
      <c r="A7154" s="1" t="s">
        <v>14241</v>
      </c>
      <c r="B7154" s="1">
        <v>0</v>
      </c>
      <c r="C7154" s="3">
        <v>44539.545624999999</v>
      </c>
      <c r="D7154" s="1" t="s">
        <v>14242</v>
      </c>
      <c r="E7154" s="1" t="str">
        <f ca="1">IFERROR(__xludf.DUMMYFUNCTION("GOOGLETRANSLATE(A3953 , ""tr"" , ""en"")"),"@drfahrettinkoca @saglikbakanligi Dear Ministry of Mr. Whether it's blood from my wife's mouth and there is also asthma, Rand ... https://t.co/tb44ybkwfw")</f>
        <v>@drfahrettinkoca @saglikbakanligi Dear Ministry of Mr. Whether it's blood from my wife's mouth and there is also asthma, Rand ... https://t.co/tb44ybkwfw</v>
      </c>
    </row>
    <row r="7155" spans="1:5" ht="15" customHeight="1" x14ac:dyDescent="0.2">
      <c r="A7155" s="1" t="s">
        <v>14243</v>
      </c>
      <c r="B7155" s="1">
        <v>0</v>
      </c>
      <c r="C7155" s="3">
        <v>44539.545555555553</v>
      </c>
      <c r="D7155" s="1" t="s">
        <v>14244</v>
      </c>
      <c r="E7155" s="1" t="str">
        <f ca="1">IFERROR(__xludf.DUMMYFUNCTION("GOOGLETRANSLATE(A3954 , ""tr"" , ""en"")"),"@drfahrettinkoca first day 1 vaccine will not die, then do the news, then 1 vaccine is not enough 2 vaccines, then 3. Then Snovak is good ... https://t.co/Ifczajeyzc")</f>
        <v>@drfahrettinkoca first day 1 vaccine will not die, then do the news, then 1 vaccine is not enough 2 vaccines, then 3. Then Snovak is good ... https://t.co/Ifczajeyzc</v>
      </c>
    </row>
    <row r="7156" spans="1:5" ht="15" customHeight="1" x14ac:dyDescent="0.2">
      <c r="A7156" s="1" t="s">
        <v>14245</v>
      </c>
      <c r="B7156" s="1">
        <v>0</v>
      </c>
      <c r="C7156" s="3">
        <v>44539.537824074076</v>
      </c>
      <c r="D7156" s="1" t="s">
        <v>14246</v>
      </c>
      <c r="E7156" s="1" t="str">
        <f ca="1">IFERROR(__xludf.DUMMYFUNCTION("GOOGLETRANSLATE(A3955 , ""tr"" , ""en"")"),"@drfahrettinkoca Don't even believe what you say?")</f>
        <v>@drfahrettinkoca Don't even believe what you say?</v>
      </c>
    </row>
    <row r="7157" spans="1:5" ht="15" customHeight="1" x14ac:dyDescent="0.2">
      <c r="A7157" s="1" t="s">
        <v>14247</v>
      </c>
      <c r="B7157" s="1">
        <v>2</v>
      </c>
      <c r="C7157" s="3">
        <v>44539.537129629629</v>
      </c>
      <c r="D7157" s="1" t="s">
        <v>14248</v>
      </c>
      <c r="E7157" s="1" t="str">
        <f ca="1">IFERROR(__xludf.DUMMYFUNCTION("GOOGLETRANSLATE(A3956 , ""tr"" , ""en"")"),"With @drfahrettinkoca Rahman and Rahîm, the name of Allah, you fits them about regret and sadness day. Because it is ... https://t.co/gocs0ucznd")</f>
        <v>With @drfahrettinkoca Rahman and Rahîm, the name of Allah, you fits them about regret and sadness day. Because it is ... https://t.co/gocs0ucznd</v>
      </c>
    </row>
    <row r="7158" spans="1:5" ht="15" customHeight="1" x14ac:dyDescent="0.2">
      <c r="A7158" s="1" t="s">
        <v>14249</v>
      </c>
      <c r="B7158" s="1">
        <v>1</v>
      </c>
      <c r="C7158" s="3">
        <v>44539.535509259258</v>
      </c>
      <c r="D7158" s="1" t="s">
        <v>14250</v>
      </c>
      <c r="E7158" s="1" t="str">
        <f ca="1">IFERROR(__xludf.DUMMYFUNCTION("GOOGLETRANSLATE(A3957 , ""tr"" , ""en"")"),"@drfahrettinkoca We do not receive medical advice from mood patients.")</f>
        <v>@drfahrettinkoca We do not receive medical advice from mood patients.</v>
      </c>
    </row>
    <row r="7159" spans="1:5" ht="15" customHeight="1" x14ac:dyDescent="0.2">
      <c r="A7159" s="1" t="s">
        <v>14251</v>
      </c>
      <c r="B7159" s="1">
        <v>0</v>
      </c>
      <c r="C7159" s="3">
        <v>44539.530682870369</v>
      </c>
      <c r="D7159" s="1" t="s">
        <v>14252</v>
      </c>
      <c r="E7159" s="1" t="str">
        <f ca="1">IFERROR(__xludf.DUMMYFUNCTION("GOOGLETRANSLATE(A3958 , ""tr"" , ""en"")"),"@drfahrettinka vaccine halan story I haven't been vaccinated in 1 day I have skipped 2 vaccines in the hospital yaşıyo.")</f>
        <v>@drfahrettinka vaccine halan story I haven't been vaccinated in 1 day I have skipped 2 vaccines in the hospital yaşıyo.</v>
      </c>
    </row>
    <row r="7160" spans="1:5" ht="15" customHeight="1" x14ac:dyDescent="0.2">
      <c r="A7160" s="1" t="s">
        <v>14253</v>
      </c>
      <c r="B7160" s="1">
        <v>0</v>
      </c>
      <c r="C7160" s="3">
        <v>44539.530092592591</v>
      </c>
      <c r="D7160" s="1" t="s">
        <v>14254</v>
      </c>
      <c r="E7160" s="1" t="str">
        <f ca="1">IFERROR(__xludf.DUMMYFUNCTION("GOOGLETRANSLATE(A3959 , ""tr"" , ""en"")"),"@drfahrettinkoca TM 1 month What do you mean an appointment? https://t.co/hye9sgiire")</f>
        <v>@drfahrettinkoca TM 1 month What do you mean an appointment? https://t.co/hye9sgiire</v>
      </c>
    </row>
    <row r="7161" spans="1:5" ht="15" customHeight="1" x14ac:dyDescent="0.2">
      <c r="A7161" s="1" t="s">
        <v>14255</v>
      </c>
      <c r="B7161" s="1">
        <v>0</v>
      </c>
      <c r="C7161" s="3">
        <v>44539.529270833336</v>
      </c>
      <c r="D7161" s="1" t="s">
        <v>14256</v>
      </c>
      <c r="E7161" s="1" t="str">
        <f ca="1">IFERROR(__xludf.DUMMYFUNCTION("GOOGLETRANSLATE(A3960 , ""tr"" , ""en"")"),"@drfahrettinkoca @saglikbakanligi 80 thousand populations in Aydin did not have urology doctor")</f>
        <v>@drfahrettinkoca @saglikbakanligi 80 thousand populations in Aydin did not have urology doctor</v>
      </c>
    </row>
    <row r="7162" spans="1:5" ht="15" customHeight="1" x14ac:dyDescent="0.2">
      <c r="A7162" s="1" t="s">
        <v>14257</v>
      </c>
      <c r="B7162" s="1">
        <v>3</v>
      </c>
      <c r="C7162" s="3">
        <v>44539.524988425925</v>
      </c>
      <c r="D7162" s="1" t="s">
        <v>14258</v>
      </c>
      <c r="E7162" s="1" t="str">
        <f ca="1">IFERROR(__xludf.DUMMYFUNCTION("GOOGLETRANSLATE(A3961 , ""tr"" , ""en"")"),"@drfahrettinkoca Mr. Health Minister Hakan Ural, who says the person in Hakan Ural, hate the doctors 'eyes' and ... https://t.co/nphbqupbpy")</f>
        <v>@drfahrettinkoca Mr. Health Minister Hakan Ural, who says the person in Hakan Ural, hate the doctors 'eyes' and ... https://t.co/nphbqupbpy</v>
      </c>
    </row>
    <row r="7163" spans="1:5" ht="15" customHeight="1" x14ac:dyDescent="0.2">
      <c r="A7163" s="1" t="s">
        <v>14259</v>
      </c>
      <c r="B7163" s="1">
        <v>0</v>
      </c>
      <c r="C7163" s="3">
        <v>44539.524837962963</v>
      </c>
      <c r="D7163" s="1" t="s">
        <v>14260</v>
      </c>
      <c r="E7163" s="1" t="str">
        <f ca="1">IFERROR(__xludf.DUMMYFUNCTION("GOOGLETRANSLATE(A3962 , ""tr"" , ""en"")"),"@drfahrettinkoca NEKAdarlik Bi Department Explain unless you are keeping themselves hidden")</f>
        <v>@drfahrettinkoca NEKAdarlik Bi Department Explain unless you are keeping themselves hidden</v>
      </c>
    </row>
    <row r="7164" spans="1:5" ht="15" customHeight="1" x14ac:dyDescent="0.2">
      <c r="A7164" s="1" t="s">
        <v>14261</v>
      </c>
      <c r="B7164" s="1">
        <v>1</v>
      </c>
      <c r="C7164" s="3">
        <v>44539.520381944443</v>
      </c>
      <c r="D7164" s="1" t="s">
        <v>14262</v>
      </c>
      <c r="E7164" s="1" t="str">
        <f ca="1">IFERROR(__xludf.DUMMYFUNCTION("GOOGLETRANSLATE(A3963 , ""tr"" , ""en"")"),"@drfahrettinkoca Mr. Minister; Families who attract credit to get to their children, who don't get what they want ... https://t.co/na1utxt8qp")</f>
        <v>@drfahrettinkoca Mr. Minister; Families who attract credit to get to their children, who don't get what they want ... https://t.co/na1utxt8qp</v>
      </c>
    </row>
    <row r="7165" spans="1:5" ht="15" customHeight="1" x14ac:dyDescent="0.2">
      <c r="A7165" s="1" t="s">
        <v>14263</v>
      </c>
      <c r="B7165" s="1">
        <v>0</v>
      </c>
      <c r="C7165" s="3">
        <v>44539.516909722224</v>
      </c>
      <c r="D7165" s="1" t="s">
        <v>14264</v>
      </c>
      <c r="E7165" s="1" t="str">
        <f ca="1">IFERROR(__xludf.DUMMYFUNCTION("GOOGLETRANSLATE(A3964 , ""tr"" , ""en"")"),"@drfahrettinkoca Net Talk I think, how many of how far the fuck is missed out of grafting? Saying two together ... https://t.co/9j5pbzljoa")</f>
        <v>@drfahrettinkoca Net Talk I think, how many of how far the fuck is missed out of grafting? Saying two together ... https://t.co/9j5pbzljoa</v>
      </c>
    </row>
    <row r="7166" spans="1:5" ht="15" customHeight="1" x14ac:dyDescent="0.2">
      <c r="A7166" s="1" t="s">
        <v>14265</v>
      </c>
      <c r="B7166" s="1">
        <v>0</v>
      </c>
      <c r="C7166" s="3">
        <v>44539.5158912037</v>
      </c>
      <c r="D7166" s="1" t="s">
        <v>14266</v>
      </c>
      <c r="E7166" s="1" t="str">
        <f ca="1">IFERROR(__xludf.DUMMYFUNCTION("GOOGLETRANSLATE(A3965 , ""tr"" , ""en"")"),"@drfahrettinkoca Assignment I will not forget that torture you do to the pending healthpieces until the end of my life. @drfahrettinkoca @gozdekirisciogl")</f>
        <v>@drfahrettinkoca Assignment I will not forget that torture you do to the pending healthpieces until the end of my life. @drfahrettinkoca @gozdekirisciogl</v>
      </c>
    </row>
    <row r="7167" spans="1:5" ht="15" customHeight="1" x14ac:dyDescent="0.2">
      <c r="A7167" s="1" t="s">
        <v>14267</v>
      </c>
      <c r="B7167" s="1">
        <v>0</v>
      </c>
      <c r="C7167" s="3">
        <v>44539.512349537035</v>
      </c>
      <c r="D7167" s="1" t="s">
        <v>14268</v>
      </c>
      <c r="E7167" s="1" t="str">
        <f ca="1">IFERROR(__xludf.DUMMYFUNCTION("GOOGLETRANSLATE(A3966 , ""tr"" , ""en"")"),"@drfahrettinkoca who closed the remorse of those who have the regret, answer the questions asked you first. Year ... https://t.co/oDIZ38WO3E")</f>
        <v>@drfahrettinkoca who closed the remorse of those who have the regret, answer the questions asked you first. Year ... https://t.co/oDIZ38WO3E</v>
      </c>
    </row>
    <row r="7168" spans="1:5" ht="15" customHeight="1" x14ac:dyDescent="0.2">
      <c r="A7168" s="1" t="s">
        <v>14269</v>
      </c>
      <c r="B7168" s="1">
        <v>1</v>
      </c>
      <c r="C7168" s="3">
        <v>44539.510474537034</v>
      </c>
      <c r="D7168" s="1" t="s">
        <v>14270</v>
      </c>
      <c r="E7168" s="1" t="str">
        <f ca="1">IFERROR(__xludf.DUMMYFUNCTION("GOOGLETRANSLATE(A3967 , ""tr"" , ""en"")"),"@drfahrettinkoca does not come to the end of your lies that you are still in the middle of you that you don't have the full vaccine this is how a hice !!!!")</f>
        <v>@drfahrettinkoca does not come to the end of your lies that you are still in the middle of you that you don't have the full vaccine this is how a hice !!!!</v>
      </c>
    </row>
    <row r="7169" spans="1:5" ht="15" customHeight="1" x14ac:dyDescent="0.2">
      <c r="A7169" s="1" t="s">
        <v>14271</v>
      </c>
      <c r="B7169" s="1">
        <v>0</v>
      </c>
      <c r="C7169" s="3">
        <v>44539.507569444446</v>
      </c>
      <c r="D7169" s="1" t="s">
        <v>14272</v>
      </c>
      <c r="E7169" s="1" t="str">
        <f ca="1">IFERROR(__xludf.DUMMYFUNCTION("GOOGLETRANSLATE(A3968 , ""tr"" , ""en"")"),"@drfahrettinkoca you delayed assignment again. Months will be assigned to the moon of the months in order to be assigned 13 months atam ... https://t.co/qrtwrxjkpc")</f>
        <v>@drfahrettinkoca you delayed assignment again. Months will be assigned to the moon of the months in order to be assigned 13 months atam ... https://t.co/qrtwrxjkpc</v>
      </c>
    </row>
    <row r="7170" spans="1:5" ht="15" customHeight="1" x14ac:dyDescent="0.2">
      <c r="A7170" s="1" t="s">
        <v>14273</v>
      </c>
      <c r="B7170" s="1">
        <v>0</v>
      </c>
      <c r="C7170" s="3">
        <v>44539.507557870369</v>
      </c>
      <c r="D7170" s="1" t="s">
        <v>14274</v>
      </c>
      <c r="E7170" s="1" t="str">
        <f ca="1">IFERROR(__xludf.DUMMYFUNCTION("GOOGLETRANSLATE(A3969 , ""tr"" , ""en"")"),"@drfahrettinkoca Mr. Minister As a citizen expect your support. You are at the highest authority we can reach. ... https://t.co/7urtnolqwx")</f>
        <v>@drfahrettinkoca Mr. Minister As a citizen expect your support. You are at the highest authority we can reach. ... https://t.co/7urtnolqwx</v>
      </c>
    </row>
    <row r="7171" spans="1:5" ht="15" customHeight="1" x14ac:dyDescent="0.2">
      <c r="A7171" s="1" t="s">
        <v>14275</v>
      </c>
      <c r="B7171" s="1">
        <v>0</v>
      </c>
      <c r="C7171" s="3">
        <v>44539.505300925928</v>
      </c>
      <c r="D7171" s="1" t="s">
        <v>14276</v>
      </c>
      <c r="E7171" s="1" t="str">
        <f ca="1">IFERROR(__xludf.DUMMYFUNCTION("GOOGLETRANSLATE(A3970 , ""tr"" , ""en"")"),"@drfahrettinkoca Square Your Funding Science Board Vaccine Companies Explaining Facts Apart from Puppies ... https://t.co/zaowgobxkv")</f>
        <v>@drfahrettinkoca Square Your Funding Science Board Vaccine Companies Explaining Facts Apart from Puppies ... https://t.co/zaowgobxkv</v>
      </c>
    </row>
    <row r="7172" spans="1:5" ht="15" customHeight="1" x14ac:dyDescent="0.2">
      <c r="A7172" s="1" t="s">
        <v>14277</v>
      </c>
      <c r="B7172" s="1">
        <v>0</v>
      </c>
      <c r="C7172" s="3">
        <v>44539.504259259258</v>
      </c>
      <c r="D7172" s="1" t="s">
        <v>14278</v>
      </c>
      <c r="E7172" s="1" t="str">
        <f ca="1">IFERROR(__xludf.DUMMYFUNCTION("GOOGLETRANSLATE(A3971 , ""tr"" , ""en"")"),"@drfahrettinkoca We are not Rebeled by Dryri Law in your Cikarsan We don't change this Biz People Cola Negative Madem Protect ... https://t.co/lf3lndohqd")</f>
        <v>@drfahrettinkoca We are not Rebeled by Dryri Law in your Cikarsan We don't change this Biz People Cola Negative Madem Protect ... https://t.co/lf3lndohqd</v>
      </c>
    </row>
    <row r="7173" spans="1:5" ht="15" customHeight="1" x14ac:dyDescent="0.2">
      <c r="A7173" s="1" t="s">
        <v>14279</v>
      </c>
      <c r="B7173" s="1">
        <v>0</v>
      </c>
      <c r="C7173" s="3">
        <v>44539.503055555557</v>
      </c>
      <c r="D7173" s="1" t="s">
        <v>14280</v>
      </c>
      <c r="E7173" s="1" t="str">
        <f ca="1">IFERROR(__xludf.DUMMYFUNCTION("GOOGLETRANSLATE(A3972 , ""tr"" , ""en"")"),"@drfahrettinkoca anymore people awoke newspaper newspaper news that is very deadly self-contagious omicron a ... https://t.co/zijkptbu6z")</f>
        <v>@drfahrettinkoca anymore people awoke newspaper newspaper news that is very deadly self-contagious omicron a ... https://t.co/zijkptbu6z</v>
      </c>
    </row>
    <row r="7174" spans="1:5" ht="15" customHeight="1" x14ac:dyDescent="0.2">
      <c r="A7174" s="1" t="s">
        <v>14281</v>
      </c>
      <c r="B7174" s="1">
        <v>0</v>
      </c>
      <c r="C7174" s="3">
        <v>44539.502696759257</v>
      </c>
      <c r="D7174" s="1" t="s">
        <v>14282</v>
      </c>
      <c r="E7174" s="1" t="str">
        <f ca="1">IFERROR(__xludf.DUMMYFUNCTION("GOOGLETRANSLATE(A3973 , ""tr"" , ""en"")"),"@drfahrettinka you may have gained a lot with your lies so it's verifies to your business. You will die too, don't forget")</f>
        <v>@drfahrettinka you may have gained a lot with your lies so it's verifies to your business. You will die too, don't forget</v>
      </c>
    </row>
    <row r="7175" spans="1:5" ht="15" customHeight="1" x14ac:dyDescent="0.2">
      <c r="A7175" s="1" t="s">
        <v>14283</v>
      </c>
      <c r="B7175" s="1">
        <v>0</v>
      </c>
      <c r="C7175" s="3">
        <v>44539.501354166663</v>
      </c>
      <c r="D7175" s="1" t="s">
        <v>14284</v>
      </c>
      <c r="E7175" s="1" t="str">
        <f ca="1">IFERROR(__xludf.DUMMYFUNCTION("GOOGLETRANSLATE(A3974 , ""tr"" , ""en"")"),"@drfahrettinkoca is the principal people in front of people's video bulk bodies in front of people's video bulk bulk bulkır https://t.co/66z3uvwzuu")</f>
        <v>@drfahrettinkoca is the principal people in front of people's video bulk bodies in front of people's video bulk bulk bulkır https://t.co/66z3uvwzuu</v>
      </c>
    </row>
    <row r="7176" spans="1:5" ht="15" customHeight="1" x14ac:dyDescent="0.2">
      <c r="A7176" s="1" t="s">
        <v>14285</v>
      </c>
      <c r="B7176" s="1">
        <v>0</v>
      </c>
      <c r="C7176" s="3">
        <v>44539.497349537036</v>
      </c>
      <c r="D7176" s="1" t="s">
        <v>14286</v>
      </c>
      <c r="E7176" s="1" t="str">
        <f ca="1">IFERROR(__xludf.DUMMYFUNCTION("GOOGLETRANSLATE(A3975 , ""tr"" , ""en"")"),"@drfahrettinka is like a statistic bikini. It's the mind that it reveals, but it is important that he hides. Aaron Levvenstein")</f>
        <v>@drfahrettinka is like a statistic bikini. It's the mind that it reveals, but it is important that he hides. Aaron Levvenstein</v>
      </c>
    </row>
    <row r="7177" spans="1:5" ht="15" customHeight="1" x14ac:dyDescent="0.2">
      <c r="A7177" s="1" t="s">
        <v>14287</v>
      </c>
      <c r="B7177" s="1">
        <v>0</v>
      </c>
      <c r="C7177" s="3">
        <v>44539.497048611112</v>
      </c>
      <c r="D7177" s="1" t="s">
        <v>14288</v>
      </c>
      <c r="E7177" s="1" t="str">
        <f ca="1">IFERROR(__xludf.DUMMYFUNCTION("GOOGLETRANSLATE(A3976 , ""tr"" , ""en"")"),"@drfahrettinka https://t.co/6dzq6v0cne")</f>
        <v>@drfahrettinka https://t.co/6dzq6v0cne</v>
      </c>
    </row>
    <row r="7178" spans="1:5" ht="15" customHeight="1" x14ac:dyDescent="0.2">
      <c r="A7178" s="1" t="s">
        <v>14289</v>
      </c>
      <c r="B7178" s="1">
        <v>0</v>
      </c>
      <c r="C7178" s="3">
        <v>44539.495069444441</v>
      </c>
      <c r="D7178" s="1" t="s">
        <v>14290</v>
      </c>
      <c r="E7178" s="1" t="str">
        <f ca="1">IFERROR(__xludf.DUMMYFUNCTION("GOOGLETRANSLATE(A3977 , ""tr"" , ""en"")"),"@drfahrettinkoca We are the sects and congregations where you are in Catholic Priest Edward Meeks: ""No earthy king, ... https://t.co/ebcnpjywex")</f>
        <v>@drfahrettinkoca We are the sects and congregations where you are in Catholic Priest Edward Meeks: "No earthy king, ... https://t.co/ebcnpjywex</v>
      </c>
    </row>
    <row r="7179" spans="1:5" ht="15" customHeight="1" x14ac:dyDescent="0.2">
      <c r="A7179" s="1" t="s">
        <v>14291</v>
      </c>
      <c r="B7179" s="1">
        <v>0</v>
      </c>
      <c r="C7179" s="3">
        <v>44539.492037037038</v>
      </c>
      <c r="D7179" s="1" t="s">
        <v>14292</v>
      </c>
      <c r="E7179" s="1" t="str">
        <f ca="1">IFERROR(__xludf.DUMMYFUNCTION("GOOGLETRANSLATE(A3978 , ""tr"" , ""en"")"),"@drfahrettinka https://t.co/7s89bvjfpz")</f>
        <v>@drfahrettinka https://t.co/7s89bvjfpz</v>
      </c>
    </row>
    <row r="7180" spans="1:5" ht="15" customHeight="1" x14ac:dyDescent="0.2">
      <c r="A7180" s="1" t="s">
        <v>14293</v>
      </c>
      <c r="B7180" s="1">
        <v>0</v>
      </c>
      <c r="C7180" s="3">
        <v>44539.491747685184</v>
      </c>
      <c r="D7180" s="1" t="s">
        <v>14294</v>
      </c>
      <c r="E7180" s="1" t="str">
        <f ca="1">IFERROR(__xludf.DUMMYFUNCTION("GOOGLETRANSLATE(A3979 , ""tr"" , ""en"")"),"@drfahrettinka is the result of not managing this process properly. You cannot persuade people by painting the map. '' Patients ... https://t.co/fcykmxvude")</f>
        <v>@drfahrettinka is the result of not managing this process properly. You cannot persuade people by painting the map. '' Patients ... https://t.co/fcykmxvude</v>
      </c>
    </row>
    <row r="7181" spans="1:5" ht="15" customHeight="1" x14ac:dyDescent="0.2">
      <c r="A7181" s="1" t="s">
        <v>14295</v>
      </c>
      <c r="B7181" s="1">
        <v>1</v>
      </c>
      <c r="C7181" s="3">
        <v>44539.491736111115</v>
      </c>
      <c r="D7181" s="1" t="s">
        <v>14296</v>
      </c>
      <c r="E7181" s="1" t="str">
        <f ca="1">IFERROR(__xludf.DUMMYFUNCTION("GOOGLETRANSLATE(A3980 , ""tr"" , ""en"")"),"@drfahrettinka https://t.co/y9cvtgphc8")</f>
        <v>@drfahrettinka https://t.co/y9cvtgphc8</v>
      </c>
    </row>
    <row r="7182" spans="1:5" ht="15" customHeight="1" x14ac:dyDescent="0.2">
      <c r="A7182" s="1" t="s">
        <v>14297</v>
      </c>
      <c r="B7182" s="1">
        <v>0</v>
      </c>
      <c r="C7182" s="3">
        <v>44539.491562499999</v>
      </c>
      <c r="D7182" s="1" t="s">
        <v>14298</v>
      </c>
      <c r="E7182" s="1" t="str">
        <f ca="1">IFERROR(__xludf.DUMMYFUNCTION("GOOGLETRANSLATE(A3981 , ""tr"" , ""en"")"),"@drfahrettinkoca This table 13 months is our Ligatives Ministry @drfahrettinkoca @haleldemir @ Suepayurinci ... https://t.co/HFTIJOD0CR")</f>
        <v>@drfahrettinkoca This table 13 months is our Ligatives Ministry @drfahrettinkoca @haleldemir @ Suepayurinci ... https://t.co/HFTIJOD0CR</v>
      </c>
    </row>
    <row r="7183" spans="1:5" ht="15" customHeight="1" x14ac:dyDescent="0.2">
      <c r="A7183" s="1" t="s">
        <v>14299</v>
      </c>
      <c r="B7183" s="1">
        <v>0</v>
      </c>
      <c r="C7183" s="3">
        <v>44539.49119212963</v>
      </c>
      <c r="D7183" s="1" t="s">
        <v>14300</v>
      </c>
      <c r="E7183" s="1" t="str">
        <f ca="1">IFERROR(__xludf.DUMMYFUNCTION("GOOGLETRANSLATE(A3982 , ""tr"" , ""en"")"),"@drfahrettinkoca I don't understand that you are looking forward to our way to your place. Yes you can be comfortable ... https://t.co/9wixefasfc")</f>
        <v>@drfahrettinkoca I don't understand that you are looking forward to our way to your place. Yes you can be comfortable ... https://t.co/9wixefasfc</v>
      </c>
    </row>
    <row r="7184" spans="1:5" ht="15" customHeight="1" x14ac:dyDescent="0.2">
      <c r="A7184" s="1" t="s">
        <v>14301</v>
      </c>
      <c r="B7184" s="1">
        <v>2</v>
      </c>
      <c r="C7184" s="3">
        <v>44539.489768518521</v>
      </c>
      <c r="D7184" s="1" t="s">
        <v>14302</v>
      </c>
      <c r="E7184" s="1" t="str">
        <f ca="1">IFERROR(__xludf.DUMMYFUNCTION("GOOGLETRANSLATE(A3983 , ""tr"" , ""en"")"),"@drfahrettinkoca is no longer enough guideline we want to get snapped in a vague cavity, sound to our voice ... https://t.co/9s5vkn34hr")</f>
        <v>@drfahrettinkoca is no longer enough guideline we want to get snapped in a vague cavity, sound to our voice ... https://t.co/9s5vkn34hr</v>
      </c>
    </row>
    <row r="7185" spans="1:5" ht="15" customHeight="1" x14ac:dyDescent="0.2">
      <c r="A7185" s="1" t="s">
        <v>14303</v>
      </c>
      <c r="B7185" s="1">
        <v>3</v>
      </c>
      <c r="C7185" s="3">
        <v>44539.487986111111</v>
      </c>
      <c r="D7185" s="1" t="s">
        <v>14304</v>
      </c>
      <c r="E7185" s="1" t="str">
        <f ca="1">IFERROR(__xludf.DUMMYFUNCTION("GOOGLETRANSLATE(A3984 , ""tr"" , ""en"")"),"@drfahrettinkoca every end means a new start.")</f>
        <v>@drfahrettinkoca every end means a new start.</v>
      </c>
    </row>
    <row r="7186" spans="1:5" ht="15" customHeight="1" x14ac:dyDescent="0.2">
      <c r="A7186" s="1" t="s">
        <v>14305</v>
      </c>
      <c r="B7186" s="1">
        <v>0</v>
      </c>
      <c r="C7186" s="3">
        <v>44539.486724537041</v>
      </c>
      <c r="D7186" s="1" t="s">
        <v>14306</v>
      </c>
      <c r="E7186" s="1" t="str">
        <f ca="1">IFERROR(__xludf.DUMMYFUNCTION("GOOGLETRANSLATE(A3985 , ""tr"" , ""en"")"),"@drfahrettinkoca we are not we will regret")</f>
        <v>@drfahrettinkoca we are not we will regret</v>
      </c>
    </row>
    <row r="7187" spans="1:5" ht="15" customHeight="1" x14ac:dyDescent="0.2">
      <c r="A7187" s="1" t="s">
        <v>14307</v>
      </c>
      <c r="B7187" s="1">
        <v>2</v>
      </c>
      <c r="C7187" s="3">
        <v>44539.484270833331</v>
      </c>
      <c r="D7187" s="1" t="s">
        <v>14308</v>
      </c>
      <c r="E7187" s="1" t="str">
        <f ca="1">IFERROR(__xludf.DUMMYFUNCTION("GOOGLETRANSLATE(A3986 , ""tr"" , ""en"")"),"@drfahrettinkoca moisture won the cost of paying with their lives Damrettin Abi")</f>
        <v>@drfahrettinkoca moisture won the cost of paying with their lives Damrettin Abi</v>
      </c>
    </row>
    <row r="7188" spans="1:5" ht="15" customHeight="1" x14ac:dyDescent="0.2">
      <c r="A7188" s="1" t="s">
        <v>14309</v>
      </c>
      <c r="B7188" s="1">
        <v>0</v>
      </c>
      <c r="C7188" s="3">
        <v>44539.481446759259</v>
      </c>
      <c r="D7188" s="1" t="s">
        <v>14310</v>
      </c>
      <c r="E7188" s="1" t="str">
        <f ca="1">IFERROR(__xludf.DUMMYFUNCTION("GOOGLETRANSLATE(A3987 , ""tr"" , ""en"")"),"@drfahrettinkoca There is Allah, Of course he has an account.")</f>
        <v>@drfahrettinkoca There is Allah, Of course he has an account.</v>
      </c>
    </row>
    <row r="7189" spans="1:5" ht="15" customHeight="1" x14ac:dyDescent="0.2">
      <c r="A7189" s="1" t="s">
        <v>14311</v>
      </c>
      <c r="B7189" s="1">
        <v>0</v>
      </c>
      <c r="C7189" s="3">
        <v>44539.476643518516</v>
      </c>
      <c r="D7189" s="1" t="s">
        <v>14312</v>
      </c>
      <c r="E7189" s="1" t="str">
        <f ca="1">IFERROR(__xludf.DUMMYFUNCTION("GOOGLETRANSLATE(A3988 , ""tr"" , ""en"")"),"@drfahrettinkoca you have exceeded 90% of the country are still the same number of deaths")</f>
        <v>@drfahrettinkoca you have exceeded 90% of the country are still the same number of deaths</v>
      </c>
    </row>
    <row r="7190" spans="1:5" ht="15" customHeight="1" x14ac:dyDescent="0.2">
      <c r="A7190" s="1" t="s">
        <v>14313</v>
      </c>
      <c r="B7190" s="1">
        <v>0</v>
      </c>
      <c r="C7190" s="3">
        <v>44539.475891203707</v>
      </c>
      <c r="D7190" s="1" t="s">
        <v>14314</v>
      </c>
      <c r="E7190" s="1" t="str">
        <f ca="1">IFERROR(__xludf.DUMMYFUNCTION("GOOGLETRANSLATE(A3989 , ""tr"" , ""en"")"),"@drfahrettinkoca Mr. Husband One day You will also regret it but it will be too late")</f>
        <v>@drfahrettinkoca Mr. Husband One day You will also regret it but it will be too late</v>
      </c>
    </row>
    <row r="7191" spans="1:5" ht="15" customHeight="1" x14ac:dyDescent="0.2">
      <c r="A7191" s="1" t="s">
        <v>14315</v>
      </c>
      <c r="B7191" s="1">
        <v>0</v>
      </c>
      <c r="C7191" s="3">
        <v>44539.470277777778</v>
      </c>
      <c r="D7191" s="1" t="s">
        <v>14316</v>
      </c>
      <c r="E7191" s="1" t="str">
        <f ca="1">IFERROR(__xludf.DUMMYFUNCTION("GOOGLETRANSLATE(A3990 , ""tr"" , ""en"")"),"@drfahrettinkoca is very empty talk of the Master of Master !! bombshells. 120 million of the past vaccines. 85% Close ... https://t.co/mx7dspfdzi")</f>
        <v>@drfahrettinkoca is very empty talk of the Master of Master !! bombshells. 120 million of the past vaccines. 85% Close ... https://t.co/mx7dspfdzi</v>
      </c>
    </row>
    <row r="7192" spans="1:5" ht="15" customHeight="1" x14ac:dyDescent="0.2">
      <c r="A7192" s="1" t="s">
        <v>14317</v>
      </c>
      <c r="B7192" s="1">
        <v>0</v>
      </c>
      <c r="C7192" s="3">
        <v>44539.470046296294</v>
      </c>
      <c r="D7192" s="1" t="s">
        <v>14318</v>
      </c>
      <c r="E7192" s="1" t="str">
        <f ca="1">IFERROR(__xludf.DUMMYFUNCTION("GOOGLETRANSLATE(A3991 , ""tr"" , ""en"")"),"@drfahrettinkoca You know what is the guide SN @drfahrettinkoca")</f>
        <v>@drfahrettinkoca You know what is the guide SN @drfahrettinkoca</v>
      </c>
    </row>
    <row r="7193" spans="1:5" ht="15" customHeight="1" x14ac:dyDescent="0.2">
      <c r="A7193" s="1" t="s">
        <v>14319</v>
      </c>
      <c r="B7193" s="1">
        <v>0</v>
      </c>
      <c r="C7193" s="3">
        <v>44539.466828703706</v>
      </c>
      <c r="D7193" s="1" t="s">
        <v>14320</v>
      </c>
      <c r="E7193" s="1" t="str">
        <f ca="1">IFERROR(__xludf.DUMMYFUNCTION("GOOGLETRANSLATE(A3992 , ""tr"" , ""en"")"),"@drfahrettinkoca We are tired of the lies you have told us as healthiers not assigned. These lies ... https://t.co/vgb13ehj3h")</f>
        <v>@drfahrettinkoca We are tired of the lies you have told us as healthiers not assigned. These lies ... https://t.co/vgb13ehj3h</v>
      </c>
    </row>
    <row r="7194" spans="1:5" ht="15" customHeight="1" x14ac:dyDescent="0.2">
      <c r="A7194" s="1" t="s">
        <v>14321</v>
      </c>
      <c r="B7194" s="1">
        <v>0</v>
      </c>
      <c r="C7194" s="3">
        <v>44539.465983796297</v>
      </c>
      <c r="D7194" s="1" t="s">
        <v>14322</v>
      </c>
      <c r="E7194" s="1" t="str">
        <f ca="1">IFERROR(__xludf.DUMMYFUNCTION("GOOGLETRANSLATE(A3993 , ""tr"" , ""en"")"),"@drfahrettinka is enough of those who are from the job because of the imposition of PCR. The unlawful practices you make. Tourist ... https://t.co/1ygk042d8r")</f>
        <v>@drfahrettinka is enough of those who are from the job because of the imposition of PCR. The unlawful practices you make. Tourist ... https://t.co/1ygk042d8r</v>
      </c>
    </row>
    <row r="7195" spans="1:5" ht="15" customHeight="1" x14ac:dyDescent="0.2">
      <c r="A7195" s="1" t="s">
        <v>14323</v>
      </c>
      <c r="B7195" s="1">
        <v>0</v>
      </c>
      <c r="C7195" s="3">
        <v>44539.463530092595</v>
      </c>
      <c r="D7195" s="1" t="s">
        <v>14324</v>
      </c>
      <c r="E7195" s="1" t="str">
        <f ca="1">IFERROR(__xludf.DUMMYFUNCTION("GOOGLETRANSLATE(A3994 , ""tr"" , ""en"")"),"@drfahrettinkoca If you slept in the busy maintenance, you are not full, if you are spending light, even if you have been the first dose ... https://t.co/gsdfeuv6vp")</f>
        <v>@drfahrettinkoca If you slept in the busy maintenance, you are not full, if you are spending light, even if you have been the first dose ... https://t.co/gsdfeuv6vp</v>
      </c>
    </row>
    <row r="7196" spans="1:5" ht="15" customHeight="1" x14ac:dyDescent="0.2">
      <c r="A7196" s="1" t="s">
        <v>14325</v>
      </c>
      <c r="B7196" s="1">
        <v>0</v>
      </c>
      <c r="C7196" s="3">
        <v>44539.460185185184</v>
      </c>
      <c r="D7196" s="1" t="s">
        <v>14326</v>
      </c>
      <c r="E7196" s="1" t="str">
        <f ca="1">IFERROR(__xludf.DUMMYFUNCTION("GOOGLETRANSLATE(A3995 , ""tr"" , ""en"")"),"@drfahrettinka favipiravir you have been saying the same in the Noldu? I'm never trusting you.")</f>
        <v>@drfahrettinka favipiravir you have been saying the same in the Noldu? I'm never trusting you.</v>
      </c>
    </row>
    <row r="7197" spans="1:5" ht="15" customHeight="1" x14ac:dyDescent="0.2">
      <c r="A7197" s="1" t="s">
        <v>14327</v>
      </c>
      <c r="B7197" s="1">
        <v>0</v>
      </c>
      <c r="C7197" s="3">
        <v>44539.457789351851</v>
      </c>
      <c r="D7197" s="1" t="s">
        <v>14328</v>
      </c>
      <c r="E7197" s="1" t="str">
        <f ca="1">IFERROR(__xludf.DUMMYFUNCTION("GOOGLETRANSLATE(A3996 , ""tr"" , ""en"")"),"@drfahrettinkoca demon's butler")</f>
        <v>@drfahrettinkoca demon's butler</v>
      </c>
    </row>
    <row r="7198" spans="1:5" ht="15" customHeight="1" x14ac:dyDescent="0.2">
      <c r="A7198" s="1" t="s">
        <v>14329</v>
      </c>
      <c r="B7198" s="1">
        <v>0</v>
      </c>
      <c r="C7198" s="3">
        <v>44539.455821759257</v>
      </c>
      <c r="D7198" s="1" t="s">
        <v>14330</v>
      </c>
      <c r="E7198" s="1" t="str">
        <f ca="1">IFERROR(__xludf.DUMMYFUNCTION("GOOGLETRANSLATE(A3997 , ""tr"" , ""en"")"),"@drfahrettinkoca in this absence where do you get so much vaccination on this money? They give free? Ba ... https://t.co/VINO37DLSX")</f>
        <v>@drfahrettinkoca in this absence where do you get so much vaccination on this money? They give free? Ba ... https://t.co/VINO37DLSX</v>
      </c>
    </row>
    <row r="7199" spans="1:5" ht="15" customHeight="1" x14ac:dyDescent="0.2">
      <c r="A7199" s="1" t="s">
        <v>14331</v>
      </c>
      <c r="B7199" s="1">
        <v>1</v>
      </c>
      <c r="C7199" s="3">
        <v>44539.449918981481</v>
      </c>
      <c r="D7199" s="1" t="s">
        <v>14332</v>
      </c>
      <c r="E7199" s="1" t="str">
        <f ca="1">IFERROR(__xludf.DUMMYFUNCTION("GOOGLETRANSLATE(A3998 , ""tr"" , ""en"")"),"@drfahrettinkoca This theater is grafted and the mind is that we know it's back in Eskink and returns among the people. Our grave ... https://t.co/qarawafpka")</f>
        <v>@drfahrettinkoca This theater is grafted and the mind is that we know it's back in Eskink and returns among the people. Our grave ... https://t.co/qarawafpka</v>
      </c>
    </row>
    <row r="7200" spans="1:5" ht="15" customHeight="1" x14ac:dyDescent="0.2">
      <c r="A7200" s="1" t="s">
        <v>14333</v>
      </c>
      <c r="B7200" s="1">
        <v>0</v>
      </c>
      <c r="C7200" s="3">
        <v>44539.447916666664</v>
      </c>
      <c r="D7200" s="1" t="s">
        <v>14334</v>
      </c>
      <c r="E7200" s="1" t="str">
        <f ca="1">IFERROR(__xludf.DUMMYFUNCTION("GOOGLETRANSLATE(A3999 , ""tr"" , ""en"")"),"@drfahrettinkoca is the trust and faith in medicine.")</f>
        <v>@drfahrettinkoca is the trust and faith in medicine.</v>
      </c>
    </row>
    <row r="7201" spans="1:5" ht="15" customHeight="1" x14ac:dyDescent="0.2">
      <c r="A7201" s="1" t="s">
        <v>14335</v>
      </c>
      <c r="B7201" s="1">
        <v>0</v>
      </c>
      <c r="C7201" s="3">
        <v>44539.446875000001</v>
      </c>
      <c r="D7201" s="1" t="s">
        <v>14336</v>
      </c>
      <c r="E7201" s="1" t="str">
        <f ca="1">IFERROR(__xludf.DUMMYFUNCTION("GOOGLETRANSLATE(A4000 , ""tr"" , ""en"")"),"Most of the @drfahrettinka vaccine event is a game that is steadily of a game, especially the 3rd milling baxilari balance is not removed from the balance ... https://t.co/ri9wog5t2k")</f>
        <v>Most of the @drfahrettinka vaccine event is a game that is steadily of a game, especially the 3rd milling baxilari balance is not removed from the balance ... https://t.co/ri9wog5t2k</v>
      </c>
    </row>
    <row r="7202" spans="1:5" ht="15" customHeight="1" x14ac:dyDescent="0.2">
      <c r="A7202" s="1" t="s">
        <v>14337</v>
      </c>
      <c r="B7202" s="1">
        <v>0</v>
      </c>
      <c r="C7202" s="3">
        <v>44539.442465277774</v>
      </c>
      <c r="D7202" s="1" t="s">
        <v>14338</v>
      </c>
      <c r="E7202" s="1" t="str">
        <f ca="1">IFERROR(__xludf.DUMMYFUNCTION("GOOGLETRANSLATE(A4001 , ""tr"" , ""en"")"),"@drfahrettinkoca laf ta so ... the actual essence official is explaining ... that vaccine is so many people dying 💯 15 ... https://t.co/k4klabticu")</f>
        <v>@drfahrettinkoca laf ta so ... the actual essence official is explaining ... that vaccine is so many people dying 💯 15 ... https://t.co/k4klabticu</v>
      </c>
    </row>
    <row r="7203" spans="1:5" ht="15" customHeight="1" x14ac:dyDescent="0.2">
      <c r="A7203" s="1" t="s">
        <v>14339</v>
      </c>
      <c r="B7203" s="1">
        <v>0</v>
      </c>
      <c r="C7203" s="3">
        <v>44539.440370370372</v>
      </c>
      <c r="D7203" s="1" t="s">
        <v>14340</v>
      </c>
      <c r="E7203" s="1" t="str">
        <f ca="1">IFERROR(__xludf.DUMMYFUNCTION("GOOGLETRANSLATE(A4002 , ""tr"" , ""en"")"),"@drfahrettinkoca We want to guide you expect more than a full year. We are now tired @drfahrettinkoca")</f>
        <v>@drfahrettinkoca We want to guide you expect more than a full year. We are now tired @drfahrettinkoca</v>
      </c>
    </row>
    <row r="7204" spans="1:5" ht="15" customHeight="1" x14ac:dyDescent="0.2">
      <c r="A7204" s="1" t="s">
        <v>14341</v>
      </c>
      <c r="B7204" s="1">
        <v>0</v>
      </c>
      <c r="C7204" s="3">
        <v>44539.439432870371</v>
      </c>
      <c r="D7204" s="1" t="s">
        <v>14342</v>
      </c>
      <c r="E7204" s="1" t="str">
        <f ca="1">IFERROR(__xludf.DUMMYFUNCTION("GOOGLETRANSLATE(A4003 , ""tr"" , ""en"")"),"@drfahrettinkoca You don't have anything other than the vaccine Say the manuscript anymore anymore. # Fkocayaklavuzyaistifa")</f>
        <v>@drfahrettinkoca You don't have anything other than the vaccine Say the manuscript anymore anymore. # Fkocayaklavuzyaistifa</v>
      </c>
    </row>
    <row r="7205" spans="1:5" ht="15" customHeight="1" x14ac:dyDescent="0.2">
      <c r="A7205" s="1" t="s">
        <v>14343</v>
      </c>
      <c r="B7205" s="1">
        <v>0</v>
      </c>
      <c r="C7205" s="3">
        <v>44539.439039351855</v>
      </c>
      <c r="D7205" s="1" t="s">
        <v>14344</v>
      </c>
      <c r="E7205" s="1" t="str">
        <f ca="1">IFERROR(__xludf.DUMMYFUNCTION("GOOGLETRANSLATE(A4004 , ""tr"" , ""en"")"),"@drfahrettinkoca late Erbakan Hocam was ""Come on there"" for this type of explanations")</f>
        <v>@drfahrettinkoca late Erbakan Hocam was "Come on there" for this type of explanations</v>
      </c>
    </row>
    <row r="7206" spans="1:5" ht="15" customHeight="1" x14ac:dyDescent="0.2">
      <c r="A7206" s="1" t="s">
        <v>14345</v>
      </c>
      <c r="B7206" s="1">
        <v>0</v>
      </c>
      <c r="C7206" s="3">
        <v>44539.433611111112</v>
      </c>
      <c r="D7206" s="1" t="s">
        <v>14346</v>
      </c>
      <c r="E7206" s="1" t="str">
        <f ca="1">IFERROR(__xludf.DUMMYFUNCTION("GOOGLETRANSLATE(A4005 , ""tr"" , ""en"")"),"@drfahrettinkoca We are tired of the lies you have told us as healthiers not assigned. These lies ... https://t.co/qweqbksjpo")</f>
        <v>@drfahrettinkoca We are tired of the lies you have told us as healthiers not assigned. These lies ... https://t.co/qweqbksjpo</v>
      </c>
    </row>
    <row r="7207" spans="1:5" ht="15" customHeight="1" x14ac:dyDescent="0.2">
      <c r="A7207" s="1" t="s">
        <v>14347</v>
      </c>
      <c r="B7207" s="1">
        <v>0</v>
      </c>
      <c r="C7207" s="3">
        <v>44539.433472222219</v>
      </c>
      <c r="D7207" s="1" t="s">
        <v>14348</v>
      </c>
      <c r="E7207" s="1" t="str">
        <f ca="1">IFERROR(__xludf.DUMMYFUNCTION("GOOGLETRANSLATE(A4006 , ""tr"" , ""en"")"),"@drfahrettinkoca We are tired of the lies you have told us as healthiers not assigned. These lies ... https://t.co/tfbznfszee")</f>
        <v>@drfahrettinkoca We are tired of the lies you have told us as healthiers not assigned. These lies ... https://t.co/tfbznfszee</v>
      </c>
    </row>
    <row r="7208" spans="1:5" ht="15" customHeight="1" x14ac:dyDescent="0.2">
      <c r="A7208" s="1" t="s">
        <v>14349</v>
      </c>
      <c r="B7208" s="1">
        <v>0</v>
      </c>
      <c r="C7208" s="3">
        <v>44539.431342592594</v>
      </c>
      <c r="D7208" s="1" t="s">
        <v>14350</v>
      </c>
      <c r="E7208" s="1" t="str">
        <f ca="1">IFERROR(__xludf.DUMMYFUNCTION("GOOGLETRANSLATE(A4007 , ""tr"" , ""en"")"),"@drfahrettinkoca We are tired of the lies you have told us as healthiers not assigned. These lies ... https://t.co/of6pquk3cg")</f>
        <v>@drfahrettinkoca We are tired of the lies you have told us as healthiers not assigned. These lies ... https://t.co/of6pquk3cg</v>
      </c>
    </row>
    <row r="7209" spans="1:5" ht="15" customHeight="1" x14ac:dyDescent="0.2">
      <c r="A7209" s="1" t="s">
        <v>14351</v>
      </c>
      <c r="B7209" s="1">
        <v>0</v>
      </c>
      <c r="C7209" s="3">
        <v>44539.431342592594</v>
      </c>
      <c r="D7209" s="1" t="s">
        <v>14352</v>
      </c>
      <c r="E7209" s="1" t="str">
        <f ca="1">IFERROR(__xludf.DUMMYFUNCTION("GOOGLETRANSLATE(A4008 , ""tr"" , ""en"")"),"@drfahrettinka you are the most harm to the government and still too gorevdea")</f>
        <v>@drfahrettinka you are the most harm to the government and still too gorevdea</v>
      </c>
    </row>
    <row r="7210" spans="1:5" ht="15" customHeight="1" x14ac:dyDescent="0.2">
      <c r="A7210" s="1" t="s">
        <v>14353</v>
      </c>
      <c r="B7210" s="1">
        <v>0</v>
      </c>
      <c r="C7210" s="3">
        <v>44539.430138888885</v>
      </c>
      <c r="D7210" s="1" t="s">
        <v>14354</v>
      </c>
      <c r="E7210" s="1" t="str">
        <f ca="1">IFERROR(__xludf.DUMMYFUNCTION("GOOGLETRANSLATE(A4009 , ""tr"" , ""en"")"),"@drfahrettinkoca Mr. Ministry 1.5once Heart attack in the workplace and 112ile.Ozel hospitalized hospitalized my heart Two st ... https://t.co/fjweqfzawm")</f>
        <v>@drfahrettinkoca Mr. Ministry 1.5once Heart attack in the workplace and 112ile.Ozel hospitalized hospitalized my heart Two st ... https://t.co/fjweqfzawm</v>
      </c>
    </row>
    <row r="7211" spans="1:5" ht="15" customHeight="1" x14ac:dyDescent="0.2">
      <c r="A7211" s="1" t="s">
        <v>14355</v>
      </c>
      <c r="B7211" s="1">
        <v>0</v>
      </c>
      <c r="C7211" s="3">
        <v>44539.42560185185</v>
      </c>
      <c r="D7211" s="1" t="s">
        <v>14356</v>
      </c>
      <c r="E7211" s="1" t="str">
        <f ca="1">IFERROR(__xludf.DUMMYFUNCTION("GOOGLETRANSLATE(A4010 , ""tr"" , ""en"")"),"@drfahrettinkoca We get as much as we want to don't say that you don't say but he did when he made the decalers ... https://t.co/enyuaqehg1")</f>
        <v>@drfahrettinkoca We get as much as we want to don't say that you don't say but he did when he made the decalers ... https://t.co/enyuaqehg1</v>
      </c>
    </row>
    <row r="7212" spans="1:5" ht="15" customHeight="1" x14ac:dyDescent="0.2">
      <c r="A7212" s="1" t="s">
        <v>14357</v>
      </c>
      <c r="B7212" s="1">
        <v>0</v>
      </c>
      <c r="C7212" s="3">
        <v>44539.425578703704</v>
      </c>
      <c r="D7212" s="1" t="s">
        <v>14358</v>
      </c>
      <c r="E7212" s="1" t="str">
        <f ca="1">IFERROR(__xludf.DUMMYFUNCTION("GOOGLETRANSLATE(A4011 , ""tr"" , ""en"")"),"@drfahrettinkoca İzmir is also less than the case in the east when the cases do not know the cases end. What did the grafts wonder what wins?")</f>
        <v>@drfahrettinkoca İzmir is also less than the case in the east when the cases do not know the cases end. What did the grafts wonder what wins?</v>
      </c>
    </row>
    <row r="7213" spans="1:5" ht="15" customHeight="1" x14ac:dyDescent="0.2">
      <c r="A7213" s="1" t="s">
        <v>14359</v>
      </c>
      <c r="B7213" s="1">
        <v>0</v>
      </c>
      <c r="C7213" s="3">
        <v>44539.420717592591</v>
      </c>
      <c r="D7213" s="1" t="s">
        <v>14360</v>
      </c>
      <c r="E7213" s="1" t="str">
        <f ca="1">IFERROR(__xludf.DUMMYFUNCTION("GOOGLETRANSLATE(A4012 , ""tr"" , ""en"")"),"@drfahrettinkoca We have become our Asian Unfortunately we can't be a mye from ours unfortunately I ricamiz from you in Ricamiz I trace ... https://t.co/osdoxsa8sp")</f>
        <v>@drfahrettinkoca We have become our Asian Unfortunately we can't be a mye from ours unfortunately I ricamiz from you in Ricamiz I trace ... https://t.co/osdoxsa8sp</v>
      </c>
    </row>
    <row r="7214" spans="1:5" ht="15" customHeight="1" x14ac:dyDescent="0.2">
      <c r="A7214" s="1" t="s">
        <v>14361</v>
      </c>
      <c r="B7214" s="1">
        <v>0</v>
      </c>
      <c r="C7214" s="3">
        <v>44539.416273148148</v>
      </c>
      <c r="D7214" s="1" t="s">
        <v>14362</v>
      </c>
      <c r="E7214" s="1" t="str">
        <f ca="1">IFERROR(__xludf.DUMMYFUNCTION("GOOGLETRANSLATE(A4013 , ""tr"" , ""en"")"),"@drfahrettinkoca I am very curious about the age ratio and the age ratio of those who have vaccines in intensive care.")</f>
        <v>@drfahrettinkoca I am very curious about the age ratio and the age ratio of those who have vaccines in intensive care.</v>
      </c>
    </row>
    <row r="7215" spans="1:5" ht="15" customHeight="1" x14ac:dyDescent="0.2">
      <c r="A7215" s="1" t="s">
        <v>14363</v>
      </c>
      <c r="B7215" s="1">
        <v>0</v>
      </c>
      <c r="C7215" s="3">
        <v>44539.415949074071</v>
      </c>
      <c r="D7215" s="1" t="s">
        <v>14364</v>
      </c>
      <c r="E7215" s="1" t="str">
        <f ca="1">IFERROR(__xludf.DUMMYFUNCTION("GOOGLETRANSLATE(A4014 , ""tr"" , ""en"")"),"@drfahrettinkoca yes the outcome of faulty decisions I have seen the most closely cardiologist")</f>
        <v>@drfahrettinkoca yes the outcome of faulty decisions I have seen the most closely cardiologist</v>
      </c>
    </row>
    <row r="7216" spans="1:5" ht="15" customHeight="1" x14ac:dyDescent="0.2">
      <c r="A7216" s="1" t="s">
        <v>14365</v>
      </c>
      <c r="B7216" s="1">
        <v>1</v>
      </c>
      <c r="C7216" s="3">
        <v>44539.414444444446</v>
      </c>
      <c r="D7216" s="1" t="s">
        <v>14366</v>
      </c>
      <c r="E7216" s="1" t="str">
        <f ca="1">IFERROR(__xludf.DUMMYFUNCTION("GOOGLETRANSLATE(A4015 , ""tr"" , ""en"")"),"@drfahrettinkoca I would like to thank our nation from here is the possibility to walk in the idustlal in the 12sight ... https://t.co/yfe8c7l7WI")</f>
        <v>@drfahrettinkoca I would like to thank our nation from here is the possibility to walk in the idustlal in the 12sight ... https://t.co/yfe8c7l7WI</v>
      </c>
    </row>
    <row r="7217" spans="1:5" ht="15" customHeight="1" x14ac:dyDescent="0.2">
      <c r="A7217" s="1" t="s">
        <v>14367</v>
      </c>
      <c r="B7217" s="1">
        <v>0</v>
      </c>
      <c r="C7217" s="3">
        <v>44539.413344907407</v>
      </c>
      <c r="D7217" s="1" t="s">
        <v>14368</v>
      </c>
      <c r="E7217" s="1" t="str">
        <f ca="1">IFERROR(__xludf.DUMMYFUNCTION("GOOGLETRANSLATE(A4016 , ""tr"" , ""en"")"),"@drfahrettinkoca is no longer to go to the hospital to the hospital to the hospital is now in the case ... https://t.co/fskcgfnjxm")</f>
        <v>@drfahrettinkoca is no longer to go to the hospital to the hospital to the hospital is now in the case ... https://t.co/fskcgfnjxm</v>
      </c>
    </row>
    <row r="7218" spans="1:5" ht="15" customHeight="1" x14ac:dyDescent="0.2">
      <c r="A7218" s="1" t="s">
        <v>14369</v>
      </c>
      <c r="B7218" s="1">
        <v>0</v>
      </c>
      <c r="C7218" s="3">
        <v>44539.412430555552</v>
      </c>
      <c r="D7218" s="1" t="s">
        <v>14370</v>
      </c>
      <c r="E7218" s="1" t="str">
        <f ca="1">IFERROR(__xludf.DUMMYFUNCTION("GOOGLETRANSLATE(A4017 , ""tr"" , ""en"")"),"@drfahrettinkoca is relinquishing with bias")</f>
        <v>@drfahrettinkoca is relinquishing with bias</v>
      </c>
    </row>
    <row r="7219" spans="1:5" ht="15" customHeight="1" x14ac:dyDescent="0.2">
      <c r="A7219" s="1" t="s">
        <v>14371</v>
      </c>
      <c r="B7219" s="1">
        <v>5</v>
      </c>
      <c r="C7219" s="3">
        <v>44539.411840277775</v>
      </c>
      <c r="D7219" s="1" t="s">
        <v>14372</v>
      </c>
      <c r="E7219" s="1" t="str">
        <f ca="1">IFERROR(__xludf.DUMMYFUNCTION("GOOGLETRANSLATE(A4018 , ""tr"" , ""en"")"),"@drfahrettinkoca sec. Overlooking 3 dose grafted relatives laid 6 days in the hospital with Covid + in the last week. Director of the Director of Her ... https://t.co/hmfsnjhsg8")</f>
        <v>@drfahrettinkoca sec. Overlooking 3 dose grafted relatives laid 6 days in the hospital with Covid + in the last week. Director of the Director of Her ... https://t.co/hmfsnjhsg8</v>
      </c>
    </row>
    <row r="7220" spans="1:5" ht="15" customHeight="1" x14ac:dyDescent="0.2">
      <c r="A7220" s="1" t="s">
        <v>14373</v>
      </c>
      <c r="B7220" s="1">
        <v>0</v>
      </c>
      <c r="C7220" s="3">
        <v>44539.407673611109</v>
      </c>
      <c r="D7220" s="1" t="s">
        <v>14374</v>
      </c>
      <c r="E7220" s="1" t="str">
        <f ca="1">IFERROR(__xludf.DUMMYFUNCTION("GOOGLETRANSLATE(A4019 , ""tr"" , ""en"")"),"@drfahrettinkoca pre-set variasts come in order ..! When will we be mind.")</f>
        <v>@drfahrettinkoca pre-set variasts come in order ..! When will we be mind.</v>
      </c>
    </row>
    <row r="7221" spans="1:5" ht="15" customHeight="1" x14ac:dyDescent="0.2">
      <c r="A7221" s="1" t="s">
        <v>14375</v>
      </c>
      <c r="B7221" s="1">
        <v>1</v>
      </c>
      <c r="C7221" s="3">
        <v>44539.398356481484</v>
      </c>
      <c r="D7221" s="1" t="s">
        <v>14376</v>
      </c>
      <c r="E7221" s="1" t="str">
        <f ca="1">IFERROR(__xludf.DUMMYFUNCTION("GOOGLETRANSLATE(A4020 , ""tr"" , ""en"")"),"@drfahrettinkoca Ministry of people who try to intimidate from the vaccine I don't know what he won but all I know is one of us ... https://t.co/maqyapv3uw")</f>
        <v>@drfahrettinkoca Ministry of people who try to intimidate from the vaccine I don't know what he won but all I know is one of us ... https://t.co/maqyapv3uw</v>
      </c>
    </row>
    <row r="7222" spans="1:5" ht="15" customHeight="1" x14ac:dyDescent="0.2">
      <c r="A7222" s="1" t="s">
        <v>14377</v>
      </c>
      <c r="B7222" s="1">
        <v>0</v>
      </c>
      <c r="C7222" s="3">
        <v>44539.396631944444</v>
      </c>
      <c r="D7222" s="1" t="s">
        <v>14378</v>
      </c>
      <c r="E7222" s="1" t="str">
        <f ca="1">IFERROR(__xludf.DUMMYFUNCTION("GOOGLETRANSLATE(A4021 , ""tr"" , ""en"")"),"@drfahrettinkoca sec. Our Minister please do you publish the guide? This assignment pending friends None Moy in the group in the group DIY ... https://t.co/b7qsyqnqbx")</f>
        <v>@drfahrettinkoca sec. Our Minister please do you publish the guide? This assignment pending friends None Moy in the group in the group DIY ... https://t.co/b7qsyqnqbx</v>
      </c>
    </row>
    <row r="7223" spans="1:5" ht="15" customHeight="1" x14ac:dyDescent="0.2">
      <c r="A7223" s="1" t="s">
        <v>14379</v>
      </c>
      <c r="B7223" s="1">
        <v>3</v>
      </c>
      <c r="C7223" s="3">
        <v>44539.394490740742</v>
      </c>
      <c r="D7223" s="1" t="s">
        <v>14380</v>
      </c>
      <c r="E7223" s="1" t="str">
        <f ca="1">IFERROR(__xludf.DUMMYFUNCTION("GOOGLETRANSLATE(A4022 , ""tr"" , ""en"")"),"@drfahrettinkoca We want your distance education final exam online !!! Hear us please 21 hours from our own province ... https://t.co/aemqcb57ue")</f>
        <v>@drfahrettinkoca We want your distance education final exam online !!! Hear us please 21 hours from our own province ... https://t.co/aemqcb57ue</v>
      </c>
    </row>
    <row r="7224" spans="1:5" ht="15" customHeight="1" x14ac:dyDescent="0.2">
      <c r="A7224" s="1" t="s">
        <v>14381</v>
      </c>
      <c r="B7224" s="1">
        <v>0</v>
      </c>
      <c r="C7224" s="3">
        <v>44539.393414351849</v>
      </c>
      <c r="D7224" s="1" t="s">
        <v>14382</v>
      </c>
      <c r="E7224" s="1" t="str">
        <f ca="1">IFERROR(__xludf.DUMMYFUNCTION("GOOGLETRANSLATE(A4023 , ""tr"" , ""en"")"),"@drfahrettinkoca I don't seriously almiyacaz diyin even if you're not halal, let's see our work even if you will take our business 1 year of my life ... https://t.co/4aldbowjzl")</f>
        <v>@drfahrettinkoca I don't seriously almiyacaz diyin even if you're not halal, let's see our work even if you will take our business 1 year of my life ... https://t.co/4aldbowjzl</v>
      </c>
    </row>
    <row r="7225" spans="1:5" ht="15" customHeight="1" x14ac:dyDescent="0.2">
      <c r="A7225" s="1" t="s">
        <v>14383</v>
      </c>
      <c r="B7225" s="1">
        <v>3</v>
      </c>
      <c r="C7225" s="3">
        <v>44539.392569444448</v>
      </c>
      <c r="D7225" s="1" t="s">
        <v>14384</v>
      </c>
      <c r="E7225" s="1" t="str">
        <f ca="1">IFERROR(__xludf.DUMMYFUNCTION("GOOGLETRANSLATE(A4024 , ""tr"" , ""en"")"),"@drfahrettinkoca Distance Education Although we have to go to school with 21 hours of transportation for 2 3-hour exam ... https://t.co/twrmlsvpgo")</f>
        <v>@drfahrettinkoca Distance Education Although we have to go to school with 21 hours of transportation for 2 3-hour exam ... https://t.co/twrmlsvpgo</v>
      </c>
    </row>
    <row r="7226" spans="1:5" ht="15" customHeight="1" x14ac:dyDescent="0.2">
      <c r="A7226" s="1" t="s">
        <v>14385</v>
      </c>
      <c r="B7226" s="1">
        <v>0</v>
      </c>
      <c r="C7226" s="3">
        <v>44539.391319444447</v>
      </c>
      <c r="D7226" s="1" t="s">
        <v>14386</v>
      </c>
      <c r="E7226" s="1" t="str">
        <f ca="1">IFERROR(__xludf.DUMMYFUNCTION("GOOGLETRANSLATE(A4025 , ""tr"" , ""en"")"),"@drfahrettinkoca is spreading grafts Covid. Since it is light and they are traveling in the middle for not taking PCR from them.")</f>
        <v>@drfahrettinkoca is spreading grafts Covid. Since it is light and they are traveling in the middle for not taking PCR from them.</v>
      </c>
    </row>
    <row r="7227" spans="1:5" ht="15" customHeight="1" x14ac:dyDescent="0.2">
      <c r="A7227" s="1" t="s">
        <v>14387</v>
      </c>
      <c r="B7227" s="1">
        <v>0</v>
      </c>
      <c r="C7227" s="3">
        <v>44539.385358796295</v>
      </c>
      <c r="D7227" s="1" t="s">
        <v>14388</v>
      </c>
      <c r="E7227" s="1" t="str">
        <f ca="1">IFERROR(__xludf.DUMMYFUNCTION("GOOGLETRANSLATE(A4026 , ""tr"" , ""en"")"),"@drfahrettinka you are advertising the vaccine with 200 TL for free and all four dose. 30 ... https://t.co/c5lswtyf9x")</f>
        <v>@drfahrettinka you are advertising the vaccine with 200 TL for free and all four dose. 30 ... https://t.co/c5lswtyf9x</v>
      </c>
    </row>
    <row r="7228" spans="1:5" ht="15" customHeight="1" x14ac:dyDescent="0.2">
      <c r="A7228" s="1" t="s">
        <v>14389</v>
      </c>
      <c r="B7228" s="1">
        <v>0</v>
      </c>
      <c r="C7228" s="3">
        <v>44539.381886574076</v>
      </c>
      <c r="D7228" s="1" t="s">
        <v>14390</v>
      </c>
      <c r="E7228" s="1" t="str">
        <f ca="1">IFERROR(__xludf.DUMMYFUNCTION("GOOGLETRANSLATE(A4027 , ""tr"" , ""en"")"),"@drfahrettinkoca recently you will recently say you are ineffective in vaccines such as Covid medicines.On how to account")</f>
        <v>@drfahrettinkoca recently you will recently say you are ineffective in vaccines such as Covid medicines.On how to account</v>
      </c>
    </row>
    <row r="7229" spans="1:5" ht="15" customHeight="1" x14ac:dyDescent="0.2">
      <c r="A7229" s="1" t="s">
        <v>14391</v>
      </c>
      <c r="B7229" s="1">
        <v>0</v>
      </c>
      <c r="C7229" s="3">
        <v>44539.378287037034</v>
      </c>
      <c r="D7229" s="1" t="s">
        <v>14392</v>
      </c>
      <c r="E7229" s="1" t="str">
        <f ca="1">IFERROR(__xludf.DUMMYFUNCTION("GOOGLETRANSLATE(A4028 , ""tr"" , ""en"")"),"@drfahrettinkoca nation misleading Mr. Minister. Explain the deceased from Covid, and you see the folks who hide. ... https://t.co/wmld1ir506")</f>
        <v>@drfahrettinkoca nation misleading Mr. Minister. Explain the deceased from Covid, and you see the folks who hide. ... https://t.co/wmld1ir506</v>
      </c>
    </row>
    <row r="7230" spans="1:5" ht="15" customHeight="1" x14ac:dyDescent="0.2">
      <c r="A7230" s="1" t="s">
        <v>14393</v>
      </c>
      <c r="B7230" s="1">
        <v>0</v>
      </c>
      <c r="C7230" s="3">
        <v>44539.378148148149</v>
      </c>
      <c r="D7230" s="1" t="s">
        <v>14394</v>
      </c>
      <c r="E7230" s="1" t="str">
        <f ca="1">IFERROR(__xludf.DUMMYFUNCTION("GOOGLETRANSLATE(A4029 , ""tr"" , ""en"")"),"@drfahrettinkoca to write the permission from the president?")</f>
        <v>@drfahrettinkoca to write the permission from the president?</v>
      </c>
    </row>
    <row r="7231" spans="1:5" ht="15" customHeight="1" x14ac:dyDescent="0.2">
      <c r="A7231" s="1" t="s">
        <v>14395</v>
      </c>
      <c r="B7231" s="1">
        <v>0</v>
      </c>
      <c r="C7231" s="3">
        <v>44539.37190972222</v>
      </c>
      <c r="D7231" s="1" t="s">
        <v>14396</v>
      </c>
      <c r="E7231" s="1" t="str">
        <f ca="1">IFERROR(__xludf.DUMMYFUNCTION("GOOGLETRANSLATE(A4030 , ""tr"" , ""en"")"),"@drfahrettinkoca what won elhamdulillah health won 💁🏻♀️")</f>
        <v>@drfahrettinkoca what won elhamdulillah health won 💁🏻♀️</v>
      </c>
    </row>
    <row r="7232" spans="1:5" ht="15" customHeight="1" x14ac:dyDescent="0.2">
      <c r="A7232" s="1" t="s">
        <v>14397</v>
      </c>
      <c r="B7232" s="1">
        <v>0</v>
      </c>
      <c r="C7232" s="3">
        <v>44539.370081018518</v>
      </c>
      <c r="D7232" s="1" t="s">
        <v>14398</v>
      </c>
      <c r="E7232" s="1" t="str">
        <f ca="1">IFERROR(__xludf.DUMMYFUNCTION("GOOGLETRANSLATE(A4031 , ""tr"" , ""en"")"),"@drfahrettinkoca Madem Omicron for Omicron 3. The protection of the vaccines is disclosed with the studies, the anti-EM * L of the vaccine ... https://t.co/4vsp3gueqg")</f>
        <v>@drfahrettinkoca Madem Omicron for Omicron 3. The protection of the vaccines is disclosed with the studies, the anti-EM * L of the vaccine ... https://t.co/4vsp3gueqg</v>
      </c>
    </row>
    <row r="7233" spans="1:5" ht="15" customHeight="1" x14ac:dyDescent="0.2">
      <c r="A7233" s="1" t="s">
        <v>14399</v>
      </c>
      <c r="B7233" s="1">
        <v>3</v>
      </c>
      <c r="C7233" s="3">
        <v>44539.366562499999</v>
      </c>
      <c r="D7233" s="1" t="s">
        <v>14400</v>
      </c>
      <c r="E7233" s="1" t="str">
        <f ca="1">IFERROR(__xludf.DUMMYFUNCTION("GOOGLETRANSLATE(A4032 , ""tr"" , ""en"")"),"@drfahrettinkoca What have you been trying to intimidate our people with an abnormal virus? Incorrect treatments ... https://t.co/uh70zvd89w")</f>
        <v>@drfahrettinkoca What have you been trying to intimidate our people with an abnormal virus? Incorrect treatments ... https://t.co/uh70zvd89w</v>
      </c>
    </row>
    <row r="7234" spans="1:5" ht="15" customHeight="1" x14ac:dyDescent="0.2">
      <c r="A7234" s="1" t="s">
        <v>14401</v>
      </c>
      <c r="B7234" s="1">
        <v>0</v>
      </c>
      <c r="C7234" s="3">
        <v>44539.365682870368</v>
      </c>
      <c r="D7234" s="1" t="s">
        <v>14402</v>
      </c>
      <c r="E7234" s="1" t="str">
        <f ca="1">IFERROR(__xludf.DUMMYFUNCTION("GOOGLETRANSLATE(A4033 , ""tr"" , ""en"")"),"@drfahrettinkoca Covid-19 Test Kits how it was imported in 2017 and experiments in 90 days in 1223 Death Old ... https://t.co/glidsycsd")</f>
        <v>@drfahrettinkoca Covid-19 Test Kits how it was imported in 2017 and experiments in 90 days in 1223 Death Old ... https://t.co/glidsycsd</v>
      </c>
    </row>
    <row r="7235" spans="1:5" ht="15" customHeight="1" x14ac:dyDescent="0.2">
      <c r="A7235" s="1" t="s">
        <v>14403</v>
      </c>
      <c r="B7235" s="1">
        <v>1</v>
      </c>
      <c r="C7235" s="3">
        <v>44539.364942129629</v>
      </c>
      <c r="D7235" s="1" t="s">
        <v>14404</v>
      </c>
      <c r="E7235" s="1" t="str">
        <f ca="1">IFERROR(__xludf.DUMMYFUNCTION("GOOGLETRANSLATE(A4034 , ""tr"" , ""en"")"),"@drfahrettinkoca has believed in these cases for allah sake")</f>
        <v>@drfahrettinkoca has believed in these cases for allah sake</v>
      </c>
    </row>
    <row r="7236" spans="1:5" ht="15" customHeight="1" x14ac:dyDescent="0.2">
      <c r="A7236" s="1" t="s">
        <v>14405</v>
      </c>
      <c r="B7236" s="1">
        <v>0</v>
      </c>
      <c r="C7236" s="3">
        <v>44539.36346064815</v>
      </c>
      <c r="D7236" s="1" t="s">
        <v>14406</v>
      </c>
      <c r="E7236" s="1" t="str">
        <f ca="1">IFERROR(__xludf.DUMMYFUNCTION("GOOGLETRANSLATE(A4035 , ""tr"" , ""en"")"),"@drfahrettinkoca Portugal 87.4% of the population is completed in all vaccines. All of the population outside the kids is vaccinated ... https://t.co/vay2hvbd1z")</f>
        <v>@drfahrettinkoca Portugal 87.4% of the population is completed in all vaccines. All of the population outside the kids is vaccinated ... https://t.co/vay2hvbd1z</v>
      </c>
    </row>
    <row r="7237" spans="1:5" ht="15" customHeight="1" x14ac:dyDescent="0.2">
      <c r="A7237" s="1" t="s">
        <v>14407</v>
      </c>
      <c r="B7237" s="1">
        <v>0</v>
      </c>
      <c r="C7237" s="3">
        <v>44539.361145833333</v>
      </c>
      <c r="D7237" s="1" t="s">
        <v>14408</v>
      </c>
      <c r="E7237" s="1" t="str">
        <f ca="1">IFERROR(__xludf.DUMMYFUNCTION("GOOGLETRANSLATE(A4036 , ""tr"" , ""en"")"),"@drfahrettinkoca Guide?")</f>
        <v>@drfahrettinkoca Guide?</v>
      </c>
    </row>
    <row r="7238" spans="1:5" ht="15" customHeight="1" x14ac:dyDescent="0.2">
      <c r="A7238" s="1" t="s">
        <v>14409</v>
      </c>
      <c r="B7238" s="1">
        <v>1</v>
      </c>
      <c r="C7238" s="3">
        <v>44539.36041666667</v>
      </c>
      <c r="D7238" s="1" t="s">
        <v>14410</v>
      </c>
      <c r="E7238" s="1" t="str">
        <f ca="1">IFERROR(__xludf.DUMMYFUNCTION("GOOGLETRANSLATE(A4037 , ""tr"" , ""en"")"),"@drfahrettinkoca no one else doesn't fit close up is the following school https://t.co/lrdz0Iwccck")</f>
        <v>@drfahrettinkoca no one else doesn't fit close up is the following school https://t.co/lrdz0Iwccck</v>
      </c>
    </row>
    <row r="7239" spans="1:5" ht="15" customHeight="1" x14ac:dyDescent="0.2">
      <c r="A7239" s="1" t="s">
        <v>14411</v>
      </c>
      <c r="B7239" s="1">
        <v>6</v>
      </c>
      <c r="C7239" s="3">
        <v>44539.359467592592</v>
      </c>
      <c r="D7239" s="1" t="s">
        <v>14412</v>
      </c>
      <c r="E7239" s="1" t="str">
        <f ca="1">IFERROR(__xludf.DUMMYFUNCTION("GOOGLETRANSLATE(A4038 , ""tr"" , ""en"")"),"@drfahrettinkoca Yes, what did the people have to intimidate our people to fake outbreaks? Plenty of sin and the ilencer. This ti ... https://t.co/r0seouahg3")</f>
        <v>@drfahrettinkoca Yes, what did the people have to intimidate our people to fake outbreaks? Plenty of sin and the ilencer. This ti ... https://t.co/r0seouahg3</v>
      </c>
    </row>
    <row r="7240" spans="1:5" ht="15" customHeight="1" x14ac:dyDescent="0.2">
      <c r="A7240" s="1" t="s">
        <v>14413</v>
      </c>
      <c r="B7240" s="1">
        <v>0</v>
      </c>
      <c r="C7240" s="3">
        <v>44539.358703703707</v>
      </c>
      <c r="D7240" s="1" t="s">
        <v>14414</v>
      </c>
      <c r="E7240" s="1" t="str">
        <f ca="1">IFERROR(__xludf.DUMMYFUNCTION("GOOGLETRANSLATE(A4039 , ""tr"" , ""en"")"),"@drfahrettinkoca Talk to Every Day Talk To Talk To Talk We Were Summer Summer Summer")</f>
        <v>@drfahrettinkoca Talk to Every Day Talk To Talk To Talk We Were Summer Summer Summer</v>
      </c>
    </row>
    <row r="7241" spans="1:5" ht="15" customHeight="1" x14ac:dyDescent="0.2">
      <c r="A7241" s="1" t="s">
        <v>14415</v>
      </c>
      <c r="B7241" s="1">
        <v>0</v>
      </c>
      <c r="C7241" s="3">
        <v>44539.358136574076</v>
      </c>
      <c r="D7241" s="1" t="s">
        <v>14416</v>
      </c>
      <c r="E7241" s="1" t="str">
        <f ca="1">IFERROR(__xludf.DUMMYFUNCTION("GOOGLETRANSLATE(A4040 , ""tr"" , ""en"")"),"@drfahrettinkoca Stop cheating on the bulbs group. Describe you are mason https://t.co/xddwmqu4up")</f>
        <v>@drfahrettinkoca Stop cheating on the bulbs group. Describe you are mason https://t.co/xddwmqu4up</v>
      </c>
    </row>
    <row r="7242" spans="1:5" ht="15" customHeight="1" x14ac:dyDescent="0.2">
      <c r="A7242" s="1" t="s">
        <v>14417</v>
      </c>
      <c r="B7242" s="1">
        <v>0</v>
      </c>
      <c r="C7242" s="3">
        <v>44539.355717592596</v>
      </c>
      <c r="D7242" s="1" t="s">
        <v>14418</v>
      </c>
      <c r="E7242" s="1" t="str">
        <f ca="1">IFERROR(__xludf.DUMMYFUNCTION("GOOGLETRANSLATE(A4041 , ""tr"" , ""en"")"),"@drfahrettinkoca A lie is running out of year no More Https://t.co/l3hv7zuj3i")</f>
        <v>@drfahrettinkoca A lie is running out of year no More Https://t.co/l3hv7zuj3i</v>
      </c>
    </row>
    <row r="7243" spans="1:5" ht="15" customHeight="1" x14ac:dyDescent="0.2">
      <c r="A7243" s="1" t="s">
        <v>14419</v>
      </c>
      <c r="B7243" s="1">
        <v>0</v>
      </c>
      <c r="C7243" s="3">
        <v>44539.354560185187</v>
      </c>
      <c r="D7243" s="1" t="s">
        <v>14420</v>
      </c>
      <c r="E7243" s="1" t="str">
        <f ca="1">IFERROR(__xludf.DUMMYFUNCTION("GOOGLETRANSLATE(A4042 , ""tr"" , ""en"")"),"@drfahrettinkoca guide now you're published")</f>
        <v>@drfahrettinkoca guide now you're published</v>
      </c>
    </row>
    <row r="7244" spans="1:5" ht="15" customHeight="1" x14ac:dyDescent="0.2">
      <c r="A7244" s="1" t="s">
        <v>14421</v>
      </c>
      <c r="B7244" s="1">
        <v>0</v>
      </c>
      <c r="C7244" s="3">
        <v>44539.34988425926</v>
      </c>
      <c r="D7244" s="1" t="s">
        <v>14422</v>
      </c>
      <c r="E7244" s="1" t="str">
        <f ca="1">IFERROR(__xludf.DUMMYFUNCTION("GOOGLETRANSLATE(A4043 , ""tr"" , ""en"")"),"@drfahrettinkoca @saglikbakanligi National Health System (NHS) According to the full dose of liquid areas hospital hospital ... https://t.co/k5x5usdgxb")</f>
        <v>@drfahrettinkoca @saglikbakanligi National Health System (NHS) According to the full dose of liquid areas hospital hospital ... https://t.co/k5x5usdgxb</v>
      </c>
    </row>
    <row r="7245" spans="1:5" ht="15" customHeight="1" x14ac:dyDescent="0.2">
      <c r="A7245" s="1" t="s">
        <v>14423</v>
      </c>
      <c r="B7245" s="1">
        <v>2</v>
      </c>
      <c r="C7245" s="3">
        <v>44539.346782407411</v>
      </c>
      <c r="D7245" s="1" t="s">
        <v>14424</v>
      </c>
      <c r="E7245" s="1" t="str">
        <f ca="1">IFERROR(__xludf.DUMMYFUNCTION("GOOGLETRANSLATE(A4044 , ""tr"" , ""en"")"),"@drfahrettinkoca we don't trust the zerre we will not accept the liquid that doesn't have that approval that you call the vaccine.")</f>
        <v>@drfahrettinkoca we don't trust the zerre we will not accept the liquid that doesn't have that approval that you call the vaccine.</v>
      </c>
    </row>
    <row r="7246" spans="1:5" ht="15" customHeight="1" x14ac:dyDescent="0.2">
      <c r="A7246" s="1" t="s">
        <v>14425</v>
      </c>
      <c r="B7246" s="1">
        <v>0</v>
      </c>
      <c r="C7246" s="3">
        <v>44539.344074074077</v>
      </c>
      <c r="D7246" s="1" t="s">
        <v>14426</v>
      </c>
      <c r="E7246" s="1" t="str">
        <f ca="1">IFERROR(__xludf.DUMMYFUNCTION("GOOGLETRANSLATE(A4045 , ""tr"" , ""en"")"),"@drfahrettinkoca Mr. Minister, someone from your Professor is small as the side effect of needles, Milnak, cute! COPIKL ... HTTPS://T.CO/B9HU4FIXO9")</f>
        <v>@drfahrettinkoca Mr. Minister, someone from your Professor is small as the side effect of needles, Milnak, cute! COPIKL ... HTTPS://T.CO/B9HU4FIXO9</v>
      </c>
    </row>
    <row r="7247" spans="1:5" ht="15" customHeight="1" x14ac:dyDescent="0.2">
      <c r="A7247" s="1" t="s">
        <v>14427</v>
      </c>
      <c r="B7247" s="1">
        <v>0</v>
      </c>
      <c r="C7247" s="3">
        <v>44539.342361111114</v>
      </c>
      <c r="D7247" s="1" t="s">
        <v>14428</v>
      </c>
      <c r="E7247" s="1" t="str">
        <f ca="1">IFERROR(__xludf.DUMMYFUNCTION("GOOGLETRANSLATE(A4046 , ""tr"" , ""en"")"),"@drfahrettinka I beg you now Now publish the guide right now")</f>
        <v>@drfahrettinka I beg you now Now publish the guide right now</v>
      </c>
    </row>
    <row r="7248" spans="1:5" ht="15" customHeight="1" x14ac:dyDescent="0.2">
      <c r="A7248" s="1" t="s">
        <v>14429</v>
      </c>
      <c r="B7248" s="1">
        <v>1</v>
      </c>
      <c r="C7248" s="3">
        <v>44539.341527777775</v>
      </c>
      <c r="D7248" s="1" t="s">
        <v>14430</v>
      </c>
      <c r="E7248" s="1" t="str">
        <f ca="1">IFERROR(__xludf.DUMMYFUNCTION("GOOGLETRANSLATE(A4047 , ""tr"" , ""en"")"),"@drfahrettinkoca you are the clear examples to what they say lies. Look under their shares to see you dozens of vaccines ... https://t.co/t5cbgdtsfs")</f>
        <v>@drfahrettinkoca you are the clear examples to what they say lies. Look under their shares to see you dozens of vaccines ... https://t.co/t5cbgdtsfs</v>
      </c>
    </row>
    <row r="7249" spans="1:5" ht="15" customHeight="1" x14ac:dyDescent="0.2">
      <c r="A7249" s="1" t="s">
        <v>14431</v>
      </c>
      <c r="B7249" s="1">
        <v>0</v>
      </c>
      <c r="C7249" s="3">
        <v>44539.341249999998</v>
      </c>
      <c r="D7249" s="1" t="s">
        <v>14432</v>
      </c>
      <c r="E7249" s="1" t="str">
        <f ca="1">IFERROR(__xludf.DUMMYFUNCTION("GOOGLETRANSLATE(A4048 , ""tr"" , ""en"")"),"@drfahrettinkoca Ministry When we like what we did what we did, we did what we do. just be at the beginning of our work ... https://t.co/tpvtovodw8")</f>
        <v>@drfahrettinkoca Ministry When we like what we did what we did, we did what we do. just be at the beginning of our work ... https://t.co/tpvtovodw8</v>
      </c>
    </row>
    <row r="7250" spans="1:5" ht="15" customHeight="1" x14ac:dyDescent="0.2">
      <c r="A7250" s="1" t="s">
        <v>14433</v>
      </c>
      <c r="B7250" s="1">
        <v>0</v>
      </c>
      <c r="C7250" s="3">
        <v>44539.341238425928</v>
      </c>
      <c r="D7250" s="1" t="s">
        <v>14434</v>
      </c>
      <c r="E7250" s="1" t="str">
        <f ca="1">IFERROR(__xludf.DUMMYFUNCTION("GOOGLETRANSLATE(A4049 , ""tr"" , ""en"")"),"@drfahrettinkoca Len Oglim You played the ""Medical"" game in Medical Faculty, or did you read the faculty from the outside")</f>
        <v>@drfahrettinkoca Len Oglim You played the "Medical" game in Medical Faculty, or did you read the faculty from the outside</v>
      </c>
    </row>
    <row r="7251" spans="1:5" ht="15" customHeight="1" x14ac:dyDescent="0.2">
      <c r="A7251" s="1" t="s">
        <v>14435</v>
      </c>
      <c r="B7251" s="1">
        <v>0</v>
      </c>
      <c r="C7251" s="3">
        <v>44539.340428240743</v>
      </c>
      <c r="D7251" s="1" t="s">
        <v>14436</v>
      </c>
      <c r="E7251" s="1" t="str">
        <f ca="1">IFERROR(__xludf.DUMMYFUNCTION("GOOGLETRANSLATE(A4050 , ""tr"" , ""en"")"),"@drfahrettinka Mr. Minister, there is an institution called TURKSTAT, 2020 Death data that needs to explain in June ... https://t.co/ywnzynkl2e")</f>
        <v>@drfahrettinka Mr. Minister, there is an institution called TURKSTAT, 2020 Death data that needs to explain in June ... https://t.co/ywnzynkl2e</v>
      </c>
    </row>
    <row r="7252" spans="1:5" ht="15" customHeight="1" x14ac:dyDescent="0.2">
      <c r="A7252" s="1" t="s">
        <v>14437</v>
      </c>
      <c r="B7252" s="1">
        <v>0</v>
      </c>
      <c r="C7252" s="3">
        <v>44539.339930555558</v>
      </c>
      <c r="D7252" s="1" t="s">
        <v>14438</v>
      </c>
      <c r="E7252" s="1" t="str">
        <f ca="1">IFERROR(__xludf.DUMMYFUNCTION("GOOGLETRANSLATE(A4051 , ""tr"" , ""en"")"),"@drfahrettinkoca nobody frightened us from the vaccination you and the purchased media are actually unpredicted in the vaccine you have emerged d ... https://t.co/trh1i7pn6y")</f>
        <v>@drfahrettinkoca nobody frightened us from the vaccination you and the purchased media are actually unpredicted in the vaccine you have emerged d ... https://t.co/trh1i7pn6y</v>
      </c>
    </row>
    <row r="7253" spans="1:5" ht="15" customHeight="1" x14ac:dyDescent="0.2">
      <c r="A7253" s="1" t="s">
        <v>14439</v>
      </c>
      <c r="B7253" s="1">
        <v>0</v>
      </c>
      <c r="C7253" s="3">
        <v>44539.339895833335</v>
      </c>
      <c r="D7253" s="1" t="s">
        <v>14440</v>
      </c>
      <c r="E7253" s="1" t="str">
        <f ca="1">IFERROR(__xludf.DUMMYFUNCTION("GOOGLETRANSLATE(A4052 , ""tr"" , ""en"")"),"@drfahrettinka https://t.co/oh5pbg8erb")</f>
        <v>@drfahrettinka https://t.co/oh5pbg8erb</v>
      </c>
    </row>
    <row r="7254" spans="1:5" ht="15" customHeight="1" x14ac:dyDescent="0.2">
      <c r="A7254" s="1" t="s">
        <v>14441</v>
      </c>
      <c r="B7254" s="1">
        <v>0</v>
      </c>
      <c r="C7254" s="3">
        <v>44539.339143518519</v>
      </c>
      <c r="D7254" s="1" t="s">
        <v>14442</v>
      </c>
      <c r="E7254" s="1" t="str">
        <f ca="1">IFERROR(__xludf.DUMMYFUNCTION("GOOGLETRANSLATE(A4053 , ""tr"" , ""en"")"),"@drfahrettinkoca Nobody frightened Mr. Minister folks that began to use a little bit of mind Coviden Cov ... https://t.co/e0j7st1kea")</f>
        <v>@drfahrettinkoca Nobody frightened Mr. Minister folks that began to use a little bit of mind Coviden Cov ... https://t.co/e0j7st1kea</v>
      </c>
    </row>
    <row r="7255" spans="1:5" ht="15" customHeight="1" x14ac:dyDescent="0.2">
      <c r="A7255" s="1" t="s">
        <v>14443</v>
      </c>
      <c r="B7255" s="1">
        <v>1</v>
      </c>
      <c r="C7255" s="3">
        <v>44539.336956018517</v>
      </c>
      <c r="D7255" s="1" t="s">
        <v>14444</v>
      </c>
      <c r="E7255" s="1" t="str">
        <f ca="1">IFERROR(__xludf.DUMMYFUNCTION("GOOGLETRANSLATE(A4054 , ""tr"" , ""en"")"),"@drfahrettinkoca Do not look into the vaccine we will not be the eternal customer of the fucking firms!")</f>
        <v>@drfahrettinkoca Do not look into the vaccine we will not be the eternal customer of the fucking firms!</v>
      </c>
    </row>
    <row r="7256" spans="1:5" ht="15" customHeight="1" x14ac:dyDescent="0.2">
      <c r="A7256" s="1" t="s">
        <v>14445</v>
      </c>
      <c r="B7256" s="1">
        <v>0</v>
      </c>
      <c r="C7256" s="3">
        <v>44539.33320601852</v>
      </c>
      <c r="D7256" s="1" t="s">
        <v>14446</v>
      </c>
      <c r="E7256" s="1" t="str">
        <f ca="1">IFERROR(__xludf.DUMMYFUNCTION("GOOGLETRANSLATE(A4055 , ""tr"" , ""en"")"),"@drfahrettinkoca vaccine, I'm sure you will regret what do you serve?")</f>
        <v>@drfahrettinkoca vaccine, I'm sure you will regret what do you serve?</v>
      </c>
    </row>
    <row r="7257" spans="1:5" ht="15" customHeight="1" x14ac:dyDescent="0.2">
      <c r="A7257" s="1" t="s">
        <v>14447</v>
      </c>
      <c r="B7257" s="1">
        <v>1</v>
      </c>
      <c r="C7257" s="3">
        <v>44539.333136574074</v>
      </c>
      <c r="D7257" s="1" t="s">
        <v>14448</v>
      </c>
      <c r="E7257" s="1" t="str">
        <f ca="1">IFERROR(__xludf.DUMMYFUNCTION("GOOGLETRANSLATE(A4056 , ""tr"" , ""en"")"),"@drfahrettinkoca pzifer cases and their consequences are a little too")</f>
        <v>@drfahrettinkoca pzifer cases and their consequences are a little too</v>
      </c>
    </row>
    <row r="7258" spans="1:5" ht="15" customHeight="1" x14ac:dyDescent="0.2">
      <c r="A7258" s="1" t="s">
        <v>14449</v>
      </c>
      <c r="B7258" s="1">
        <v>0</v>
      </c>
      <c r="C7258" s="3">
        <v>44539.327627314815</v>
      </c>
      <c r="D7258" s="1" t="s">
        <v>14450</v>
      </c>
      <c r="E7258" s="1" t="str">
        <f ca="1">IFERROR(__xludf.DUMMYFUNCTION("GOOGLETRANSLATE(A4057 , ""tr"" , ""en"")"),"@drfahrettinkoca Hani, you would protect your divine $ IVI? https://t.co/jqeju4uzys")</f>
        <v>@drfahrettinkoca Hani, you would protect your divine $ IVI? https://t.co/jqeju4uzys</v>
      </c>
    </row>
    <row r="7259" spans="1:5" ht="15" customHeight="1" x14ac:dyDescent="0.2">
      <c r="A7259" s="1" t="s">
        <v>14451</v>
      </c>
      <c r="B7259" s="1">
        <v>0</v>
      </c>
      <c r="C7259" s="3">
        <v>44539.326608796298</v>
      </c>
      <c r="D7259" s="1" t="s">
        <v>14452</v>
      </c>
      <c r="E7259" s="1" t="str">
        <f ca="1">IFERROR(__xludf.DUMMYFUNCTION("GOOGLETRANSLATE(A4058 , ""tr"" , ""en"")"),"@drfahrettinkoca Full grafting term is not the end of the ending in every variant ....")</f>
        <v>@drfahrettinkoca Full grafting term is not the end of the ending in every variant ....</v>
      </c>
    </row>
    <row r="7260" spans="1:5" ht="15" customHeight="1" x14ac:dyDescent="0.2">
      <c r="A7260" s="1" t="s">
        <v>14453</v>
      </c>
      <c r="B7260" s="1">
        <v>0</v>
      </c>
      <c r="C7260" s="3">
        <v>44539.326018518521</v>
      </c>
      <c r="D7260" s="1" t="s">
        <v>14454</v>
      </c>
      <c r="E7260" s="1" t="str">
        <f ca="1">IFERROR(__xludf.DUMMYFUNCTION("GOOGLETRANSLATE(A4059 , ""tr"" , ""en"")"),"@drfahrettinkoca guide guide guide guide guide guide guide guide guide guide guide guide kina ... https://t.co/raabfel2sl")</f>
        <v>@drfahrettinkoca guide guide guide guide guide guide guide guide guide guide guide guide kina ... https://t.co/raabfel2sl</v>
      </c>
    </row>
    <row r="7261" spans="1:5" ht="15" customHeight="1" x14ac:dyDescent="0.2">
      <c r="A7261" s="1" t="s">
        <v>14455</v>
      </c>
      <c r="B7261" s="1">
        <v>0</v>
      </c>
      <c r="C7261" s="3">
        <v>44539.325648148151</v>
      </c>
      <c r="D7261" s="1" t="s">
        <v>14456</v>
      </c>
      <c r="E7261" s="1" t="str">
        <f ca="1">IFERROR(__xludf.DUMMYFUNCTION("GOOGLETRANSLATE(A4060 , ""tr"" , ""en"")"),"@drfahrettinkoca If you go to the guide of January your waiting for the votes then you regret it for us ... https://t.co/oh1uyqxugn")</f>
        <v>@drfahrettinkoca If you go to the guide of January your waiting for the votes then you regret it for us ... https://t.co/oh1uyqxugn</v>
      </c>
    </row>
    <row r="7262" spans="1:5" ht="15" customHeight="1" x14ac:dyDescent="0.2">
      <c r="A7262" s="1" t="s">
        <v>14457</v>
      </c>
      <c r="B7262" s="1">
        <v>0</v>
      </c>
      <c r="C7262" s="3">
        <v>44539.325532407405</v>
      </c>
      <c r="D7262" s="1" t="s">
        <v>14458</v>
      </c>
      <c r="E7262" s="1" t="str">
        <f ca="1">IFERROR(__xludf.DUMMYFUNCTION("GOOGLETRANSLATE(A4061 , ""tr"" , ""en"")"),"@drfahrettinka so why the most vaccinated illder cases high https://t.co/s6pdd0jo6v")</f>
        <v>@drfahrettinka so why the most vaccinated illder cases high https://t.co/s6pdd0jo6v</v>
      </c>
    </row>
    <row r="7263" spans="1:5" ht="15" customHeight="1" x14ac:dyDescent="0.2">
      <c r="A7263" s="1" t="s">
        <v>14459</v>
      </c>
      <c r="B7263" s="1">
        <v>1</v>
      </c>
      <c r="C7263" s="3">
        <v>44539.325312499997</v>
      </c>
      <c r="D7263" s="1" t="s">
        <v>14460</v>
      </c>
      <c r="E7263" s="1" t="str">
        <f ca="1">IFERROR(__xludf.DUMMYFUNCTION("GOOGLETRANSLATE(A4062 , ""tr"" , ""en"")"),"@drfahrettinkoca Indoor Virus Faster Spreading Faster The Fastenizing You Deadly You Stated You In Prison 20 In Prison ... https://t.co/xnbzp46xny")</f>
        <v>@drfahrettinkoca Indoor Virus Faster Spreading Faster The Fastenizing You Deadly You Stated You In Prison 20 In Prison ... https://t.co/xnbzp46xny</v>
      </c>
    </row>
    <row r="7264" spans="1:5" ht="15" customHeight="1" x14ac:dyDescent="0.2">
      <c r="A7264" s="1" t="s">
        <v>14461</v>
      </c>
      <c r="B7264" s="1">
        <v>0</v>
      </c>
      <c r="C7264" s="3">
        <v>44539.321909722225</v>
      </c>
      <c r="D7264" s="1" t="s">
        <v>14462</v>
      </c>
      <c r="E7264" s="1" t="str">
        <f ca="1">IFERROR(__xludf.DUMMYFUNCTION("GOOGLETRANSLATE(A4063 , ""tr"" , ""en"")"),"@drfahrettinkoca Abi I have a valid reason to not trust you. You are the Akparti Ministry of Health.")</f>
        <v>@drfahrettinkoca Abi I have a valid reason to not trust you. You are the Akparti Ministry of Health.</v>
      </c>
    </row>
    <row r="7265" spans="1:5" ht="15" customHeight="1" x14ac:dyDescent="0.2">
      <c r="A7265" s="1" t="s">
        <v>14463</v>
      </c>
      <c r="B7265" s="1">
        <v>0</v>
      </c>
      <c r="C7265" s="3">
        <v>44539.315763888888</v>
      </c>
      <c r="D7265" s="1" t="s">
        <v>14464</v>
      </c>
      <c r="E7265" s="1" t="str">
        <f ca="1">IFERROR(__xludf.DUMMYFUNCTION("GOOGLETRANSLATE(A4064 , ""tr"" , ""en"")"),"@drfahrettinkoca ahahha Nevere Manual How old is the man you are looking for Mr. Mr.")</f>
        <v>@drfahrettinkoca ahahha Nevere Manual How old is the man you are looking for Mr. Mr.</v>
      </c>
    </row>
    <row r="7266" spans="1:5" ht="15" customHeight="1" x14ac:dyDescent="0.2">
      <c r="A7266" s="1" t="s">
        <v>14465</v>
      </c>
      <c r="B7266" s="1">
        <v>0</v>
      </c>
      <c r="C7266" s="3">
        <v>44539.314212962963</v>
      </c>
      <c r="D7266" s="1" t="s">
        <v>14466</v>
      </c>
      <c r="E7266" s="1" t="str">
        <f ca="1">IFERROR(__xludf.DUMMYFUNCTION("GOOGLETRANSLATE(A4065 , ""tr"" , ""en"")"),"@drfahrettinkoca vaccine from non-fully out of complete: 2 dose but did not have the 3rd dose, 3rd dose but not reminder ... https://t.co/q2qtpogjsa")</f>
        <v>@drfahrettinkoca vaccine from non-fully out of complete: 2 dose but did not have the 3rd dose, 3rd dose but not reminder ... https://t.co/q2qtpogjsa</v>
      </c>
    </row>
    <row r="7267" spans="1:5" ht="15" customHeight="1" x14ac:dyDescent="0.2">
      <c r="A7267" s="1" t="s">
        <v>14467</v>
      </c>
      <c r="B7267" s="1">
        <v>0</v>
      </c>
      <c r="C7267" s="3">
        <v>44539.314074074071</v>
      </c>
      <c r="D7267" s="1" t="s">
        <v>14468</v>
      </c>
      <c r="E7267" s="1" t="str">
        <f ca="1">IFERROR(__xludf.DUMMYFUNCTION("GOOGLETRANSLATE(A4066 , ""tr"" , ""en"")"),"@drfahrettinka what is the ratio of those who are in grafted lies and vaccine exactly what is the ratio of lies.")</f>
        <v>@drfahrettinka what is the ratio of those who are in grafted lies and vaccine exactly what is the ratio of lies.</v>
      </c>
    </row>
    <row r="7268" spans="1:5" ht="15" customHeight="1" x14ac:dyDescent="0.2">
      <c r="A7268" s="1" t="s">
        <v>14469</v>
      </c>
      <c r="B7268" s="1">
        <v>1</v>
      </c>
      <c r="C7268" s="3">
        <v>44539.308981481481</v>
      </c>
      <c r="D7268" s="1" t="s">
        <v>14470</v>
      </c>
      <c r="E7268" s="1" t="str">
        <f ca="1">IFERROR(__xludf.DUMMYFUNCTION("GOOGLETRANSLATE(A4067 , ""tr"" , ""en"")"),"@drfahrettinkoca is sure so. The maps tell the opposite. Number of cases where there is a vaccination phenomenon;")</f>
        <v>@drfahrettinkoca is sure so. The maps tell the opposite. Number of cases where there is a vaccination phenomenon;</v>
      </c>
    </row>
    <row r="7269" spans="1:5" ht="15" customHeight="1" x14ac:dyDescent="0.2">
      <c r="A7269" s="1" t="s">
        <v>14471</v>
      </c>
      <c r="B7269" s="1">
        <v>0</v>
      </c>
      <c r="C7269" s="3">
        <v>44539.308645833335</v>
      </c>
      <c r="D7269" s="1" t="s">
        <v>14472</v>
      </c>
      <c r="E7269" s="1" t="str">
        <f ca="1">IFERROR(__xludf.DUMMYFUNCTION("GOOGLETRANSLATE(A4068 , ""tr"" , ""en"")"),"@drfahrettinka john D. Rockefeller's Text from the Masonian faith will offer a different story to the world because T ... https://t.co/ık3vrfz8hg")</f>
        <v>@drfahrettinka john D. Rockefeller's Text from the Masonian faith will offer a different story to the world because T ... https://t.co/ık3vrfz8hg</v>
      </c>
    </row>
    <row r="7270" spans="1:5" ht="15" customHeight="1" x14ac:dyDescent="0.2">
      <c r="A7270" s="1" t="s">
        <v>14473</v>
      </c>
      <c r="B7270" s="1">
        <v>0</v>
      </c>
      <c r="C7270" s="3">
        <v>44539.306921296295</v>
      </c>
      <c r="D7270" s="1" t="s">
        <v>14474</v>
      </c>
      <c r="E7270" s="1" t="str">
        <f ca="1">IFERROR(__xludf.DUMMYFUNCTION("GOOGLETRANSLATE(A4069 , ""tr"" , ""en"")"),"@drfahrettinkoca I, 55 years later I'll be out!")</f>
        <v>@drfahrettinkoca I, 55 years later I'll be out!</v>
      </c>
    </row>
    <row r="7271" spans="1:5" ht="15" customHeight="1" x14ac:dyDescent="0.2">
      <c r="A7271" s="1" t="s">
        <v>14475</v>
      </c>
      <c r="B7271" s="1">
        <v>0</v>
      </c>
      <c r="C7271" s="3">
        <v>44539.30572916667</v>
      </c>
      <c r="D7271" s="1" t="s">
        <v>14476</v>
      </c>
      <c r="E7271" s="1" t="str">
        <f ca="1">IFERROR(__xludf.DUMMYFUNCTION("GOOGLETRANSLATE(A4070 , ""tr"" , ""en"")"),"@drfahrettinkoca nationality that is unable to inject these evil $ IVIs in our nation ... Https://t.co/0awxbpe0jw")</f>
        <v>@drfahrettinkoca nationality that is unable to inject these evil $ IVIs in our nation ... Https://t.co/0awxbpe0jw</v>
      </c>
    </row>
    <row r="7272" spans="1:5" ht="15" customHeight="1" x14ac:dyDescent="0.2">
      <c r="A7272" s="1" t="s">
        <v>14477</v>
      </c>
      <c r="B7272" s="1">
        <v>0</v>
      </c>
      <c r="C7272" s="3">
        <v>44539.305474537039</v>
      </c>
      <c r="D7272" s="1" t="s">
        <v>14478</v>
      </c>
      <c r="E7272" s="1" t="str">
        <f ca="1">IFERROR(__xludf.DUMMYFUNCTION("GOOGLETRANSLATE(A4071 , ""tr"" , ""en"")"),"@drfahrettinkoca Phone At the additional settings of the Mac setting and scan with Bluetooth in the crowd, see if you see ... https://t.co/p7llhs9lja")</f>
        <v>@drfahrettinkoca Phone At the additional settings of the Mac setting and scan with Bluetooth in the crowd, see if you see ... https://t.co/p7llhs9lja</v>
      </c>
    </row>
    <row r="7273" spans="1:5" ht="15" customHeight="1" x14ac:dyDescent="0.2">
      <c r="A7273" s="1" t="s">
        <v>14479</v>
      </c>
      <c r="B7273" s="1">
        <v>0</v>
      </c>
      <c r="C7273" s="3">
        <v>44539.304872685185</v>
      </c>
      <c r="D7273" s="1" t="s">
        <v>14480</v>
      </c>
      <c r="E7273" s="1" t="str">
        <f ca="1">IFERROR(__xludf.DUMMYFUNCTION("GOOGLETRANSLATE(A4072 , ""tr"" , ""en"")"),"@drfahrettinkoca Do not play with people's hopes or 13 months guide are waiting for you only a single right ... https://t.co/RIWCIZSIDX")</f>
        <v>@drfahrettinkoca Do not play with people's hopes or 13 months guide are waiting for you only a single right ... https://t.co/RIWCIZSIDX</v>
      </c>
    </row>
    <row r="7274" spans="1:5" ht="15" customHeight="1" x14ac:dyDescent="0.2">
      <c r="A7274" s="1" t="s">
        <v>14481</v>
      </c>
      <c r="B7274" s="1">
        <v>2</v>
      </c>
      <c r="C7274" s="3">
        <v>44539.304780092592</v>
      </c>
      <c r="D7274" s="1" t="s">
        <v>14482</v>
      </c>
      <c r="E7274" s="1" t="str">
        <f ca="1">IFERROR(__xludf.DUMMYFUNCTION("GOOGLETRANSLATE(A4073 , ""tr"" , ""en"")"),"@drfahrettinkoca vaccine is full of vaccine that you need to make it in the inside of the kac, the folks completely complement to him ... https://t.co/mlndoanhkw")</f>
        <v>@drfahrettinkoca vaccine is full of vaccine that you need to make it in the inside of the kac, the folks completely complement to him ... https://t.co/mlndoanhkw</v>
      </c>
    </row>
    <row r="7275" spans="1:5" ht="15" customHeight="1" x14ac:dyDescent="0.2">
      <c r="A7275" s="1" t="s">
        <v>14483</v>
      </c>
      <c r="B7275" s="1">
        <v>1</v>
      </c>
      <c r="C7275" s="3">
        <v>44539.303576388891</v>
      </c>
      <c r="D7275" s="1" t="s">
        <v>14484</v>
      </c>
      <c r="E7275" s="1" t="str">
        <f ca="1">IFERROR(__xludf.DUMMYFUNCTION("GOOGLETRANSLATE(A4074 , ""tr"" , ""en"")"),"@drfahrettinkoca yes there is a virus but do not believe in the epidemic or not as they frighten ..")</f>
        <v>@drfahrettinkoca yes there is a virus but do not believe in the epidemic or not as they frighten ..</v>
      </c>
    </row>
    <row r="7276" spans="1:5" ht="15" customHeight="1" x14ac:dyDescent="0.2">
      <c r="A7276" s="1" t="s">
        <v>14485</v>
      </c>
      <c r="B7276" s="1">
        <v>0</v>
      </c>
      <c r="C7276" s="3">
        <v>44539.30332175926</v>
      </c>
      <c r="D7276" s="1" t="s">
        <v>14486</v>
      </c>
      <c r="E7276" s="1" t="str">
        <f ca="1">IFERROR(__xludf.DUMMYFUNCTION("GOOGLETRANSLATE(A4075 , ""tr"" , ""en"")"),"@drfahrettinkoca pity or pity.")</f>
        <v>@drfahrettinkoca pity or pity.</v>
      </c>
    </row>
    <row r="7277" spans="1:5" ht="15" customHeight="1" x14ac:dyDescent="0.2">
      <c r="A7277" s="1" t="s">
        <v>14487</v>
      </c>
      <c r="B7277" s="1">
        <v>0</v>
      </c>
      <c r="C7277" s="3">
        <v>44539.30269675926</v>
      </c>
      <c r="D7277" s="1" t="s">
        <v>14488</v>
      </c>
      <c r="E7277" s="1" t="str">
        <f ca="1">IFERROR(__xludf.DUMMYFUNCTION("GOOGLETRANSLATE(A4076 , ""tr"" , ""en"")"),"@drfahrettinkoca Come on Ordan's slave of tayion")</f>
        <v>@drfahrettinkoca Come on Ordan's slave of tayion</v>
      </c>
    </row>
    <row r="7278" spans="1:5" ht="15" customHeight="1" x14ac:dyDescent="0.2">
      <c r="A7278" s="1" t="s">
        <v>14489</v>
      </c>
      <c r="B7278" s="1">
        <v>0</v>
      </c>
      <c r="C7278" s="3">
        <v>44539.301608796297</v>
      </c>
      <c r="D7278" s="1" t="s">
        <v>14490</v>
      </c>
      <c r="E7278" s="1" t="str">
        <f ca="1">IFERROR(__xludf.DUMMYFUNCTION("GOOGLETRANSLATE(A4077 , ""tr"" , ""en"")"),"@drfahrettinkoca is a great crime to lie to this nation")</f>
        <v>@drfahrettinkoca is a great crime to lie to this nation</v>
      </c>
    </row>
    <row r="7279" spans="1:5" ht="15" customHeight="1" x14ac:dyDescent="0.2">
      <c r="A7279" s="1" t="s">
        <v>14491</v>
      </c>
      <c r="B7279" s="1">
        <v>0</v>
      </c>
      <c r="C7279" s="3">
        <v>44539.301365740743</v>
      </c>
      <c r="D7279" s="1" t="s">
        <v>14492</v>
      </c>
      <c r="E7279" s="1" t="str">
        <f ca="1">IFERROR(__xludf.DUMMYFUNCTION("GOOGLETRANSLATE(A4078 , ""tr"" , ""en"")"),"@drfahrettinkoca Guide Your publication is now enough ...")</f>
        <v>@drfahrettinkoca Guide Your publication is now enough ...</v>
      </c>
    </row>
    <row r="7280" spans="1:5" ht="15" customHeight="1" x14ac:dyDescent="0.2">
      <c r="A7280" s="1" t="s">
        <v>14493</v>
      </c>
      <c r="B7280" s="1">
        <v>6</v>
      </c>
      <c r="C7280" s="3">
        <v>44539.301053240742</v>
      </c>
      <c r="D7280" s="1" t="s">
        <v>14494</v>
      </c>
      <c r="E7280" s="1" t="str">
        <f ca="1">IFERROR(__xludf.DUMMYFUNCTION("GOOGLETRANSLATE(A4079 , ""tr"" , ""en"")"),"@drfahrettinkoca The troubles we have taken in this absence You know my Allah 10 hours 12 hours road Go eating icing bin TL ... https://t.co/zfctulciuw")</f>
        <v>@drfahrettinkoca The troubles we have taken in this absence You know my Allah 10 hours 12 hours road Go eating icing bin TL ... https://t.co/zfctulciuw</v>
      </c>
    </row>
    <row r="7281" spans="1:5" ht="15" customHeight="1" x14ac:dyDescent="0.2">
      <c r="A7281" s="1" t="s">
        <v>14495</v>
      </c>
      <c r="B7281" s="1">
        <v>1</v>
      </c>
      <c r="C7281" s="3">
        <v>44539.299166666664</v>
      </c>
      <c r="D7281" s="1" t="s">
        <v>14496</v>
      </c>
      <c r="E7281" s="1" t="str">
        <f ca="1">IFERROR(__xludf.DUMMYFUNCTION("GOOGLETRANSLATE(A4080 , ""tr"" , ""en"")"),"@drfahrettinkoca forty lies Case with Farettin Invalid PCR is not detected.")</f>
        <v>@drfahrettinkoca forty lies Case with Farettin Invalid PCR is not detected.</v>
      </c>
    </row>
    <row r="7282" spans="1:5" ht="15" customHeight="1" x14ac:dyDescent="0.2">
      <c r="A7282" s="1" t="s">
        <v>14497</v>
      </c>
      <c r="B7282" s="1">
        <v>0</v>
      </c>
      <c r="C7282" s="3">
        <v>44539.295416666668</v>
      </c>
      <c r="D7282" s="1" t="s">
        <v>14498</v>
      </c>
      <c r="E7282" s="1" t="str">
        <f ca="1">IFERROR(__xludf.DUMMYFUNCTION("GOOGLETRANSLATE(A4081 , ""tr"" , ""en"")"),"@drfahrettinkoca 1st year with hydroxyclulorine, divergents with the 2nd year with favipiravir ... they agreed to both. Rek ... https://t.co/m2e27blm4v")</f>
        <v>@drfahrettinkoca 1st year with hydroxyclulorine, divergents with the 2nd year with favipiravir ... they agreed to both. Rek ... https://t.co/m2e27blm4v</v>
      </c>
    </row>
    <row r="7283" spans="1:5" ht="15" customHeight="1" x14ac:dyDescent="0.2">
      <c r="A7283" s="1" t="s">
        <v>14499</v>
      </c>
      <c r="B7283" s="1">
        <v>0</v>
      </c>
      <c r="C7283" s="3">
        <v>44539.293865740743</v>
      </c>
      <c r="D7283" s="1" t="s">
        <v>14500</v>
      </c>
      <c r="E7283" s="1" t="str">
        <f ca="1">IFERROR(__xludf.DUMMYFUNCTION("GOOGLETRANSLATE(A4082 , ""tr"" , ""en"")"),"@drfahrettinkoca has a plan of allah if globalists have plans. No doubt that trap is the most auspicious of theories ..")</f>
        <v>@drfahrettinkoca has a plan of allah if globalists have plans. No doubt that trap is the most auspicious of theories ..</v>
      </c>
    </row>
    <row r="7284" spans="1:5" ht="15" customHeight="1" x14ac:dyDescent="0.2">
      <c r="A7284" s="1" t="s">
        <v>14501</v>
      </c>
      <c r="B7284" s="1">
        <v>7</v>
      </c>
      <c r="C7284" s="3">
        <v>44539.293564814812</v>
      </c>
      <c r="D7284" s="1" t="s">
        <v>14502</v>
      </c>
      <c r="E7284" s="1" t="str">
        <f ca="1">IFERROR(__xludf.DUMMYFUNCTION("GOOGLETRANSLATE(A4083 , ""tr"" , ""en"")"),"@drfahrettinkoca Dear husband when you will regret #kabineomicrongelmedonline")</f>
        <v>@drfahrettinkoca Dear husband when you will regret #kabineomicrongelmedonline</v>
      </c>
    </row>
    <row r="7285" spans="1:5" ht="15" customHeight="1" x14ac:dyDescent="0.2">
      <c r="A7285" s="1" t="s">
        <v>14503</v>
      </c>
      <c r="B7285" s="1">
        <v>0</v>
      </c>
      <c r="C7285" s="3">
        <v>44539.29210648148</v>
      </c>
      <c r="D7285" s="1" t="s">
        <v>14504</v>
      </c>
      <c r="E7285" s="1" t="str">
        <f ca="1">IFERROR(__xludf.DUMMYFUNCTION("GOOGLETRANSLATE(A4084 , ""tr"" , ""en"")"),"@drfahrettinkoca I haven't been a good vaccination. Describe the following vaccine side effect data !!! I won't be a vaccination .. firm responsibility ... https://t.co/el7gnyeesb")</f>
        <v>@drfahrettinkoca I haven't been a good vaccination. Describe the following vaccine side effect data !!! I won't be a vaccination .. firm responsibility ... https://t.co/el7gnyeesb</v>
      </c>
    </row>
    <row r="7286" spans="1:5" ht="15" customHeight="1" x14ac:dyDescent="0.2">
      <c r="A7286" s="1" t="s">
        <v>14505</v>
      </c>
      <c r="B7286" s="1">
        <v>0</v>
      </c>
      <c r="C7286" s="3">
        <v>44539.291643518518</v>
      </c>
      <c r="D7286" s="1" t="s">
        <v>14506</v>
      </c>
      <c r="E7286" s="1" t="str">
        <f ca="1">IFERROR(__xludf.DUMMYFUNCTION("GOOGLETRANSLATE(A4085 , ""tr"" , ""en"")"),"@drfahrettinkoca either dive with the shovel to the opening your mouth but you remain the audience of this vaccine to beat the fink ... ... Https://t.co/o9jpwlkax9")</f>
        <v>@drfahrettinkoca either dive with the shovel to the opening your mouth but you remain the audience of this vaccine to beat the fink ... ... Https://t.co/o9jpwlkax9</v>
      </c>
    </row>
    <row r="7287" spans="1:5" ht="15" customHeight="1" x14ac:dyDescent="0.2">
      <c r="A7287" s="1" t="s">
        <v>14507</v>
      </c>
      <c r="B7287" s="1">
        <v>0</v>
      </c>
      <c r="C7287" s="3">
        <v>44539.289247685185</v>
      </c>
      <c r="D7287" s="1" t="s">
        <v>14508</v>
      </c>
      <c r="E7287" s="1" t="str">
        <f ca="1">IFERROR(__xludf.DUMMYFUNCTION("GOOGLETRANSLATE(A4086 , ""tr"" , ""en"")"),"@drfahrettinkoca still come to sleepers? https://t.co/5lfkxwqmjo")</f>
        <v>@drfahrettinkoca still come to sleepers? https://t.co/5lfkxwqmjo</v>
      </c>
    </row>
    <row r="7288" spans="1:5" ht="15" customHeight="1" x14ac:dyDescent="0.2">
      <c r="A7288" s="1" t="s">
        <v>14509</v>
      </c>
      <c r="B7288" s="1">
        <v>0</v>
      </c>
      <c r="C7288" s="3">
        <v>44539.288981481484</v>
      </c>
      <c r="D7288" s="1" t="s">
        <v>14510</v>
      </c>
      <c r="E7288" s="1" t="str">
        <f ca="1">IFERROR(__xludf.DUMMYFUNCTION("GOOGLETRANSLATE(A4087 , ""tr"" , ""en"")"),"@drfahrettinkoca What are you telling the teacher")</f>
        <v>@drfahrettinkoca What are you telling the teacher</v>
      </c>
    </row>
    <row r="7289" spans="1:5" ht="15" customHeight="1" x14ac:dyDescent="0.2">
      <c r="A7289" s="1" t="s">
        <v>14511</v>
      </c>
      <c r="B7289" s="1">
        <v>0</v>
      </c>
      <c r="C7289" s="3">
        <v>44539.286782407406</v>
      </c>
      <c r="D7289" s="1" t="s">
        <v>14512</v>
      </c>
      <c r="E7289" s="1" t="str">
        <f ca="1">IFERROR(__xludf.DUMMYFUNCTION("GOOGLETRANSLATE(A4088 , ""tr"" , ""en"")"),"@drfahrettinkoca Mr. Minister is unable to go to hospitals. No Reason Appointment. No money to go to the private. Please ist ... https://t.co/jqqclfa4IH")</f>
        <v>@drfahrettinkoca Mr. Minister is unable to go to hospitals. No Reason Appointment. No money to go to the private. Please ist ... https://t.co/jqqclfa4IH</v>
      </c>
    </row>
    <row r="7290" spans="1:5" ht="15" customHeight="1" x14ac:dyDescent="0.2">
      <c r="A7290" s="1" t="s">
        <v>14513</v>
      </c>
      <c r="B7290" s="1">
        <v>2</v>
      </c>
      <c r="C7290" s="3">
        <v>44539.284675925926</v>
      </c>
      <c r="D7290" s="1" t="s">
        <v>14514</v>
      </c>
      <c r="E7290" s="1" t="str">
        <f ca="1">IFERROR(__xludf.DUMMYFUNCTION("GOOGLETRANSLATE(A4089 , ""tr"" , ""en"")"),"@drfahrettinka Mr. Minister, you should now give the online education decision for all provinces. 9 grade in school today ... https://t.co/zpjv4voifr")</f>
        <v>@drfahrettinka Mr. Minister, you should now give the online education decision for all provinces. 9 grade in school today ... https://t.co/zpjv4voifr</v>
      </c>
    </row>
    <row r="7291" spans="1:5" ht="15" customHeight="1" x14ac:dyDescent="0.2">
      <c r="A7291" s="1" t="s">
        <v>14515</v>
      </c>
      <c r="B7291" s="1">
        <v>0</v>
      </c>
      <c r="C7291" s="3">
        <v>44539.283622685187</v>
      </c>
      <c r="D7291" s="1" t="s">
        <v>14516</v>
      </c>
      <c r="E7291" s="1" t="str">
        <f ca="1">IFERROR(__xludf.DUMMYFUNCTION("GOOGLETRANSLATE(A4090 , ""tr"" , ""en"")"),"@drfahrettinkoca we have never been vaccinated or don't have the perception of the whole perception of the fact that it is no longer the man of the man, go out the man ... https://t.co/ozypbagljb")</f>
        <v>@drfahrettinkoca we have never been vaccinated or don't have the perception of the whole perception of the fact that it is no longer the man of the man, go out the man ... https://t.co/ozypbagljb</v>
      </c>
    </row>
    <row r="7292" spans="1:5" ht="15" customHeight="1" x14ac:dyDescent="0.2">
      <c r="A7292" s="1" t="s">
        <v>14517</v>
      </c>
      <c r="B7292" s="1">
        <v>0</v>
      </c>
      <c r="C7292" s="3">
        <v>44539.282546296294</v>
      </c>
      <c r="D7292" s="1" t="s">
        <v>14518</v>
      </c>
      <c r="E7292" s="1" t="str">
        <f ca="1">IFERROR(__xludf.DUMMYFUNCTION("GOOGLETRANSLATE(A4091 , ""tr"" , ""en"")"),"@drfahrettinkoca regret I don't regret it's not to be my mine I need to take the death of us to use yourself! Covid ... https://t.co/tl08fgqjvw")</f>
        <v>@drfahrettinkoca regret I don't regret it's not to be my mine I need to take the death of us to use yourself! Covid ... https://t.co/tl08fgqjvw</v>
      </c>
    </row>
    <row r="7293" spans="1:5" ht="15" customHeight="1" x14ac:dyDescent="0.2">
      <c r="A7293" s="1" t="s">
        <v>14519</v>
      </c>
      <c r="B7293" s="1">
        <v>0</v>
      </c>
      <c r="C7293" s="3">
        <v>44539.279386574075</v>
      </c>
      <c r="D7293" s="1" t="s">
        <v>14520</v>
      </c>
      <c r="E7293" s="1" t="str">
        <f ca="1">IFERROR(__xludf.DUMMYFUNCTION("GOOGLETRANSLATE(A4092 , ""tr"" , ""en"")"),"@drfahrettinkoca What have you earned Mr. Minister ?? Explain data instead of giving nuall information instead of the citizen ... https://t.co/trcvaqdbhw")</f>
        <v>@drfahrettinkoca What have you earned Mr. Minister ?? Explain data instead of giving nuall information instead of the citizen ... https://t.co/trcvaqdbhw</v>
      </c>
    </row>
    <row r="7294" spans="1:5" ht="15" customHeight="1" x14ac:dyDescent="0.2">
      <c r="A7294" s="1" t="s">
        <v>14521</v>
      </c>
      <c r="B7294" s="1">
        <v>0</v>
      </c>
      <c r="C7294" s="3">
        <v>44539.274421296293</v>
      </c>
      <c r="D7294" s="1" t="s">
        <v>14522</v>
      </c>
      <c r="E7294" s="1" t="str">
        <f ca="1">IFERROR(__xludf.DUMMYFUNCTION("GOOGLETRANSLATE(A4093 , ""tr"" , ""en"")"),"@drfahrettinkoca What did we think of our states so far Hergun 3000 children in Africa ... https://t.co/TVKVUKYAIL")</f>
        <v>@drfahrettinkoca What did we think of our states so far Hergun 3000 children in Africa ... https://t.co/TVKVUKYAIL</v>
      </c>
    </row>
    <row r="7295" spans="1:5" ht="15" customHeight="1" x14ac:dyDescent="0.2">
      <c r="A7295" s="1" t="s">
        <v>14523</v>
      </c>
      <c r="B7295" s="1">
        <v>2</v>
      </c>
      <c r="C7295" s="3">
        <v>44539.273368055554</v>
      </c>
      <c r="D7295" s="1" t="s">
        <v>14524</v>
      </c>
      <c r="E7295" s="1" t="str">
        <f ca="1">IFERROR(__xludf.DUMMYFUNCTION("GOOGLETRANSLATE(A4094 , ""tr"" , ""en"")"),"@drfahrettinkoca with prejudice no one scares anyone. She is your job unfortunately. Scientist in the world is only ... https://t.co/trl7aawegh")</f>
        <v>@drfahrettinkoca with prejudice no one scares anyone. She is your job unfortunately. Scientist in the world is only ... https://t.co/trl7aawegh</v>
      </c>
    </row>
    <row r="7296" spans="1:5" ht="15" customHeight="1" x14ac:dyDescent="0.2">
      <c r="A7296" s="1" t="s">
        <v>14525</v>
      </c>
      <c r="B7296" s="1">
        <v>0</v>
      </c>
      <c r="C7296" s="3">
        <v>44539.266724537039</v>
      </c>
      <c r="D7296" s="1" t="s">
        <v>14526</v>
      </c>
      <c r="E7296" s="1" t="str">
        <f ca="1">IFERROR(__xludf.DUMMYFUNCTION("GOOGLETRANSLATE(A4095 , ""tr"" , ""en"")"),"@drfahrettinka suslan dso")</f>
        <v>@drfahrettinka suslan dso</v>
      </c>
    </row>
    <row r="7297" spans="1:5" ht="15" customHeight="1" x14ac:dyDescent="0.2">
      <c r="A7297" s="1" t="s">
        <v>14527</v>
      </c>
      <c r="B7297" s="1">
        <v>0</v>
      </c>
      <c r="C7297" s="3">
        <v>44539.263032407405</v>
      </c>
      <c r="D7297" s="1" t="s">
        <v>14528</v>
      </c>
      <c r="E7297" s="1" t="str">
        <f ca="1">IFERROR(__xludf.DUMMYFUNCTION("GOOGLETRANSLATE(A4096 , ""tr"" , ""en"")"),"@drfahrettinkoca @halksagligig what have you won frighten with virus and death ???? I think Bayontek and Sinovak wind ... https://t.co/11azugde8o")</f>
        <v>@drfahrettinkoca @halksagligig what have you won frighten with virus and death ???? I think Bayontek and Sinovak wind ... https://t.co/11azugde8o</v>
      </c>
    </row>
    <row r="7298" spans="1:5" ht="15" customHeight="1" x14ac:dyDescent="0.2">
      <c r="A7298" s="1" t="s">
        <v>14529</v>
      </c>
      <c r="B7298" s="1">
        <v>1</v>
      </c>
      <c r="C7298" s="3">
        <v>44539.260613425926</v>
      </c>
      <c r="D7298" s="1" t="s">
        <v>14530</v>
      </c>
      <c r="E7298" s="1" t="str">
        <f ca="1">IFERROR(__xludf.DUMMYFUNCTION("GOOGLETRANSLATE(A4097 , ""tr"" , ""en"")"),"@drfahrettinkoca can die Covidden if a person's immune system is weak ""and again a person's immune system z ... https://t.co/81xhtfvs50")</f>
        <v>@drfahrettinkoca can die Covidden if a person's immune system is weak "and again a person's immune system z ... https://t.co/81xhtfvs50</v>
      </c>
    </row>
    <row r="7299" spans="1:5" ht="15" customHeight="1" x14ac:dyDescent="0.2">
      <c r="A7299" s="1" t="s">
        <v>14531</v>
      </c>
      <c r="B7299" s="1">
        <v>0</v>
      </c>
      <c r="C7299" s="3">
        <v>44538.995034722226</v>
      </c>
      <c r="D7299" s="1" t="s">
        <v>14532</v>
      </c>
      <c r="E7299" s="1" t="str">
        <f ca="1">IFERROR(__xludf.DUMMYFUNCTION("GOOGLETRANSLATE(A4098 , ""tr"" , ""en"")"),"@drfahrettinkoca tmm")</f>
        <v>@drfahrettinkoca tmm</v>
      </c>
    </row>
    <row r="7300" spans="1:5" ht="15" customHeight="1" x14ac:dyDescent="0.2">
      <c r="A7300" s="1" t="s">
        <v>14533</v>
      </c>
      <c r="B7300" s="1">
        <v>0</v>
      </c>
      <c r="C7300" s="3">
        <v>44538.992442129631</v>
      </c>
      <c r="D7300" s="1" t="s">
        <v>14534</v>
      </c>
      <c r="E7300" s="1" t="str">
        <f ca="1">IFERROR(__xludf.DUMMYFUNCTION("GOOGLETRANSLATE(A4099 , ""tr"" , ""en"")"),"@drfahrettinkoca What is the full vaccine caste? Each time is missing after a few time !!!")</f>
        <v>@drfahrettinkoca What is the full vaccine caste? Each time is missing after a few time !!!</v>
      </c>
    </row>
    <row r="7301" spans="1:5" ht="15" customHeight="1" x14ac:dyDescent="0.2">
      <c r="A7301" s="1" t="s">
        <v>14535</v>
      </c>
      <c r="B7301" s="1">
        <v>2</v>
      </c>
      <c r="C7301" s="3">
        <v>44538.98982638889</v>
      </c>
      <c r="D7301" s="1" t="s">
        <v>14536</v>
      </c>
      <c r="E7301" s="1" t="str">
        <f ca="1">IFERROR(__xludf.DUMMYFUNCTION("GOOGLETRANSLATE(A4100 , ""tr"" , ""en"")"),"@drfahrettinkoca The main question to be asked is: What did this Plan, who won? https://t.co/c1gxpeuvuv")</f>
        <v>@drfahrettinkoca The main question to be asked is: What did this Plan, who won? https://t.co/c1gxpeuvuv</v>
      </c>
    </row>
    <row r="7302" spans="1:5" ht="15" customHeight="1" x14ac:dyDescent="0.2">
      <c r="A7302" s="1" t="s">
        <v>14537</v>
      </c>
      <c r="B7302" s="1">
        <v>0</v>
      </c>
      <c r="C7302" s="3">
        <v>44538.987685185188</v>
      </c>
      <c r="D7302" s="1" t="s">
        <v>14538</v>
      </c>
      <c r="E7302" s="1" t="str">
        <f ca="1">IFERROR(__xludf.DUMMYFUNCTION("GOOGLETRANSLATE(A4101 , ""tr"" , ""en"")"),"@drfahrettinkoca We have not been brought to die with the poison of the WHO we are not worried by the wound we are not to drug cartels")</f>
        <v>@drfahrettinkoca We have not been brought to die with the poison of the WHO we are not worried by the wound we are not to drug cartels</v>
      </c>
    </row>
    <row r="7303" spans="1:5" ht="15" customHeight="1" x14ac:dyDescent="0.2">
      <c r="A7303" s="1" t="s">
        <v>14539</v>
      </c>
      <c r="B7303" s="1">
        <v>1</v>
      </c>
      <c r="C7303" s="3">
        <v>44538.983877314815</v>
      </c>
      <c r="D7303" s="1" t="s">
        <v>14540</v>
      </c>
      <c r="E7303" s="1" t="str">
        <f ca="1">IFERROR(__xludf.DUMMYFUNCTION("GOOGLETRANSLATE(A4102 , ""tr"" , ""en"")"),"@drfahrettinkoca A $$ I'm wondering how to give the account of our relatives we lost after the liquid. You will be bored.")</f>
        <v>@drfahrettinkoca A $$ I'm wondering how to give the account of our relatives we lost after the liquid. You will be bored.</v>
      </c>
    </row>
    <row r="7304" spans="1:5" ht="15" customHeight="1" x14ac:dyDescent="0.2">
      <c r="A7304" s="1" t="s">
        <v>14541</v>
      </c>
      <c r="B7304" s="1">
        <v>0</v>
      </c>
      <c r="C7304" s="3">
        <v>44538.979629629626</v>
      </c>
      <c r="D7304" s="1" t="s">
        <v>14542</v>
      </c>
      <c r="E7304" s="1" t="str">
        <f ca="1">IFERROR(__xludf.DUMMYFUNCTION("GOOGLETRANSLATE(A4103 , ""tr"" , ""en"")"),"@drfahrettinkoca Hello the Hi-Hello Friends Don't stupur We are really hard to rent our rent noise ... https://t.co/9sueuaaqrw")</f>
        <v>@drfahrettinkoca Hello the Hi-Hello Friends Don't stupur We are really hard to rent our rent noise ... https://t.co/9sueuaaqrw</v>
      </c>
    </row>
    <row r="7305" spans="1:5" ht="15" customHeight="1" x14ac:dyDescent="0.2">
      <c r="A7305" s="1" t="s">
        <v>14543</v>
      </c>
      <c r="B7305" s="1">
        <v>0</v>
      </c>
      <c r="C7305" s="3">
        <v>44538.977847222224</v>
      </c>
      <c r="D7305" s="1" t="s">
        <v>14544</v>
      </c>
      <c r="E7305" s="1" t="str">
        <f ca="1">IFERROR(__xludf.DUMMYFUNCTION("GOOGLETRANSLATE(A4104 , ""tr"" , ""en"")"),"@drfahrettinkoca is no longer this job in the news that you have taken a comedy in the media you have purchased in the media ... https://t.co/lzyzj2zyfu")</f>
        <v>@drfahrettinkoca is no longer this job in the news that you have taken a comedy in the media you have purchased in the media ... https://t.co/lzyzj2zyfu</v>
      </c>
    </row>
    <row r="7306" spans="1:5" ht="15" customHeight="1" x14ac:dyDescent="0.2">
      <c r="A7306" s="1" t="s">
        <v>14545</v>
      </c>
      <c r="B7306" s="1">
        <v>2</v>
      </c>
      <c r="C7306" s="3">
        <v>44538.975081018521</v>
      </c>
      <c r="D7306" s="1" t="s">
        <v>14546</v>
      </c>
      <c r="E7306" s="1" t="str">
        <f ca="1">IFERROR(__xludf.DUMMYFUNCTION("GOOGLETRANSLATE(A4105 , ""tr"" , ""en"")"),"@drfahrettinkoca clogs home and throwing one of the tourists to tourists, this tweet?")</f>
        <v>@drfahrettinkoca clogs home and throwing one of the tourists to tourists, this tweet?</v>
      </c>
    </row>
    <row r="7307" spans="1:5" ht="15" customHeight="1" x14ac:dyDescent="0.2">
      <c r="A7307" s="1" t="s">
        <v>14547</v>
      </c>
      <c r="B7307" s="1">
        <v>0</v>
      </c>
      <c r="C7307" s="3">
        <v>44538.974224537036</v>
      </c>
      <c r="D7307" s="1" t="s">
        <v>14548</v>
      </c>
      <c r="E7307" s="1" t="str">
        <f ca="1">IFERROR(__xludf.DUMMYFUNCTION("GOOGLETRANSLATE(A4106 , ""tr"" , ""en"")"),"@drfahrettinkoca # I'm not # I won't be MRNA experiment fluids! I'm too slightly skipped the disease too thankful. I slept two days ... https://t.co/m4catf4t6j")</f>
        <v>@drfahrettinkoca # I'm not # I won't be MRNA experiment fluids! I'm too slightly skipped the disease too thankful. I slept two days ... https://t.co/m4catf4t6j</v>
      </c>
    </row>
    <row r="7308" spans="1:5" ht="15" customHeight="1" x14ac:dyDescent="0.2">
      <c r="A7308" s="1" t="s">
        <v>14549</v>
      </c>
      <c r="B7308" s="1">
        <v>1</v>
      </c>
      <c r="C7308" s="3">
        <v>44538.973958333336</v>
      </c>
      <c r="D7308" s="1" t="s">
        <v>14550</v>
      </c>
      <c r="E7308" s="1" t="str">
        <f ca="1">IFERROR(__xludf.DUMMYFUNCTION("GOOGLETRANSLATE(A4107 , ""tr"" , ""en"")"),"@drfahrettinkoca Couple Dose Biontek is dying in our environment Everyone is dying from the heart crisis. I wonder it is so heart death ... https://t.co/emqbks4lsm")</f>
        <v>@drfahrettinkoca Couple Dose Biontek is dying in our environment Everyone is dying from the heart crisis. I wonder it is so heart death ... https://t.co/emqbks4lsm</v>
      </c>
    </row>
    <row r="7309" spans="1:5" ht="15" customHeight="1" x14ac:dyDescent="0.2">
      <c r="A7309" s="1" t="s">
        <v>14551</v>
      </c>
      <c r="B7309" s="1">
        <v>0</v>
      </c>
      <c r="C7309" s="3">
        <v>44538.973437499997</v>
      </c>
      <c r="D7309" s="1" t="s">
        <v>14552</v>
      </c>
      <c r="E7309" s="1" t="str">
        <f ca="1">IFERROR(__xludf.DUMMYFUNCTION("GOOGLETRANSLATE(A4108 , ""tr"" , ""en"")"),"@drfahrettinkoca teeny pihti mini paralysis minicay is going to eee very innocent")</f>
        <v>@drfahrettinkoca teeny pihti mini paralysis minicay is going to eee very innocent</v>
      </c>
    </row>
    <row r="7310" spans="1:5" ht="15" customHeight="1" x14ac:dyDescent="0.2">
      <c r="A7310" s="1" t="s">
        <v>14553</v>
      </c>
      <c r="B7310" s="1">
        <v>5</v>
      </c>
      <c r="C7310" s="3">
        <v>44538.973321759258</v>
      </c>
      <c r="D7310" s="1" t="s">
        <v>14554</v>
      </c>
      <c r="E7310" s="1" t="str">
        <f ca="1">IFERROR(__xludf.DUMMYFUNCTION("GOOGLETRANSLATE(A4109 , ""tr"" , ""en"")"),"@drfahrettinkoca after vaccine hide dies due to various heart vascular diseases, paralysis and minicial clams ... https://t.co/dv3zmlobj1")</f>
        <v>@drfahrettinkoca after vaccine hide dies due to various heart vascular diseases, paralysis and minicial clams ... https://t.co/dv3zmlobj1</v>
      </c>
    </row>
    <row r="7311" spans="1:5" ht="15" customHeight="1" x14ac:dyDescent="0.2">
      <c r="A7311" s="1" t="s">
        <v>14555</v>
      </c>
      <c r="B7311" s="1">
        <v>1</v>
      </c>
      <c r="C7311" s="3">
        <v>44538.972002314818</v>
      </c>
      <c r="D7311" s="1" t="s">
        <v>14556</v>
      </c>
      <c r="E7311" s="1" t="str">
        <f ca="1">IFERROR(__xludf.DUMMYFUNCTION("GOOGLETRANSLATE(A4110 , ""tr"" , ""en"")"),"@drfahrettinkoca I'm not trying to win anyone anyone anyone use your own mind and fall for your own life. B ... https://t.co/nrskq1id85")</f>
        <v>@drfahrettinkoca I'm not trying to win anyone anyone anyone use your own mind and fall for your own life. B ... https://t.co/nrskq1id85</v>
      </c>
    </row>
    <row r="7312" spans="1:5" ht="15" customHeight="1" x14ac:dyDescent="0.2">
      <c r="A7312" s="1" t="s">
        <v>14557</v>
      </c>
      <c r="B7312" s="1">
        <v>0</v>
      </c>
      <c r="C7312" s="3">
        <v>44538.968761574077</v>
      </c>
      <c r="D7312" s="1" t="s">
        <v>14558</v>
      </c>
      <c r="E7312" s="1" t="str">
        <f ca="1">IFERROR(__xludf.DUMMYFUNCTION("GOOGLETRANSLATE(A4111 , ""tr"" , ""en"")"),"@drfahrettinkoca If we all collectively ASI man, you are adamental, 54 Yasinde Delta died Hic Large funeral ... https://t.co/9ewcpwe8uc")</f>
        <v>@drfahrettinkoca If we all collectively ASI man, you are adamental, 54 Yasinde Delta died Hic Large funeral ... https://t.co/9ewcpwe8uc</v>
      </c>
    </row>
    <row r="7313" spans="1:5" ht="15" customHeight="1" x14ac:dyDescent="0.2">
      <c r="A7313" s="1" t="s">
        <v>14559</v>
      </c>
      <c r="B7313" s="1">
        <v>0</v>
      </c>
      <c r="C7313" s="3">
        <v>44538.966793981483</v>
      </c>
      <c r="D7313" s="1" t="s">
        <v>14560</v>
      </c>
      <c r="E7313" s="1" t="str">
        <f ca="1">IFERROR(__xludf.DUMMYFUNCTION("GOOGLETRANSLATE(A4112 , ""tr"" , ""en"")"),"@drfahrettinkoca urban day Ah you will not accept repeats that you come on that day!")</f>
        <v>@drfahrettinkoca urban day Ah you will not accept repeats that you come on that day!</v>
      </c>
    </row>
    <row r="7314" spans="1:5" ht="15" customHeight="1" x14ac:dyDescent="0.2">
      <c r="A7314" s="1" t="s">
        <v>14561</v>
      </c>
      <c r="B7314" s="1">
        <v>1</v>
      </c>
      <c r="C7314" s="3">
        <v>44538.961006944446</v>
      </c>
      <c r="D7314" s="1" t="s">
        <v>14562</v>
      </c>
      <c r="E7314" s="1" t="str">
        <f ca="1">IFERROR(__xludf.DUMMYFUNCTION("GOOGLETRANSLATE(A4113 , ""tr"" , ""en"")"),"@drfahrettinkoca vaccines to you and if we do it to the members of the Science Board, I wish you were fed from you, get tired of bragging ... https://t.co/ot0Ioiykjb")</f>
        <v>@drfahrettinkoca vaccines to you and if we do it to the members of the Science Board, I wish you were fed from you, get tired of bragging ... https://t.co/ot0Ioiykjb</v>
      </c>
    </row>
    <row r="7315" spans="1:5" ht="15" customHeight="1" x14ac:dyDescent="0.2">
      <c r="A7315" s="1" t="s">
        <v>14563</v>
      </c>
      <c r="B7315" s="1">
        <v>0</v>
      </c>
      <c r="C7315" s="3">
        <v>44538.955208333333</v>
      </c>
      <c r="D7315" s="1" t="s">
        <v>14564</v>
      </c>
      <c r="E7315" s="1" t="str">
        <f ca="1">IFERROR(__xludf.DUMMYFUNCTION("GOOGLETRANSLATE(A4114 , ""tr"" , ""en"")"),"@drfahrettinkoca you lost it anymore.")</f>
        <v>@drfahrettinkoca you lost it anymore.</v>
      </c>
    </row>
    <row r="7316" spans="1:5" ht="15" customHeight="1" x14ac:dyDescent="0.2">
      <c r="A7316" s="1" t="s">
        <v>14565</v>
      </c>
      <c r="B7316" s="1">
        <v>0</v>
      </c>
      <c r="C7316" s="3">
        <v>44538.95144675926</v>
      </c>
      <c r="D7316" s="1" t="s">
        <v>14566</v>
      </c>
      <c r="E7316" s="1" t="str">
        <f ca="1">IFERROR(__xludf.DUMMYFUNCTION("GOOGLETRANSLATE(A4115 , ""tr"" , ""en"")"),"@drfahrettinkoca This will not end this ordeal")</f>
        <v>@drfahrettinkoca This will not end this ordeal</v>
      </c>
    </row>
    <row r="7317" spans="1:5" ht="15" customHeight="1" x14ac:dyDescent="0.2">
      <c r="A7317" s="1" t="s">
        <v>14567</v>
      </c>
      <c r="B7317" s="1">
        <v>0</v>
      </c>
      <c r="C7317" s="3">
        <v>44538.949259259258</v>
      </c>
      <c r="D7317" s="1" t="s">
        <v>14568</v>
      </c>
      <c r="E7317" s="1" t="str">
        <f ca="1">IFERROR(__xludf.DUMMYFUNCTION("GOOGLETRANSLATE(A4116 , ""tr"" , ""en"")"),"@drfahrettinkoca has side effect statistics of experimental fluids all over the world. We do not have.")</f>
        <v>@drfahrettinkoca has side effect statistics of experimental fluids all over the world. We do not have.</v>
      </c>
    </row>
    <row r="7318" spans="1:5" ht="15" customHeight="1" x14ac:dyDescent="0.2">
      <c r="A7318" s="1" t="s">
        <v>14569</v>
      </c>
      <c r="B7318" s="1">
        <v>0</v>
      </c>
      <c r="C7318" s="3">
        <v>44538.949062500003</v>
      </c>
      <c r="D7318" s="1" t="s">
        <v>14570</v>
      </c>
      <c r="E7318" s="1" t="str">
        <f ca="1">IFERROR(__xludf.DUMMYFUNCTION("GOOGLETRANSLATE(A4117 , ""tr"" , ""en"")"),"@drfahrettinkoca vaccine to do not come along with what is called Halel, you already have all the precautions https://t.co/uu4vug1z4w")</f>
        <v>@drfahrettinkoca vaccine to do not come along with what is called Halel, you already have all the precautions https://t.co/uu4vug1z4w</v>
      </c>
    </row>
    <row r="7319" spans="1:5" ht="15" customHeight="1" x14ac:dyDescent="0.2">
      <c r="A7319" s="1" t="s">
        <v>14571</v>
      </c>
      <c r="B7319" s="1">
        <v>0</v>
      </c>
      <c r="C7319" s="3">
        <v>44538.945891203701</v>
      </c>
      <c r="D7319" s="1" t="s">
        <v>14572</v>
      </c>
      <c r="E7319" s="1" t="str">
        <f ca="1">IFERROR(__xludf.DUMMYFUNCTION("GOOGLETRANSLATE(A4118 , ""tr"" , ""en"")"),"@drfahrettinkoca Full grafted uncle after the intubators today they gave it to the ground today was not on the first this job ... https://t.co/ytakbeyaye")</f>
        <v>@drfahrettinkoca Full grafted uncle after the intubators today they gave it to the ground today was not on the first this job ... https://t.co/ytakbeyaye</v>
      </c>
    </row>
    <row r="7320" spans="1:5" ht="15" customHeight="1" x14ac:dyDescent="0.2">
      <c r="A7320" s="1" t="s">
        <v>14573</v>
      </c>
      <c r="B7320" s="1">
        <v>2</v>
      </c>
      <c r="C7320" s="3">
        <v>44538.9455787037</v>
      </c>
      <c r="D7320" s="1" t="s">
        <v>14574</v>
      </c>
      <c r="E7320" s="1" t="str">
        <f ca="1">IFERROR(__xludf.DUMMYFUNCTION("GOOGLETRANSLATE(A4119 , ""tr"" , ""en"")"),"@drfahrettinkoca Who is doing the perception and the nation is being fooled and allah give his trouble. Amen Mi Mr. Minister?")</f>
        <v>@drfahrettinkoca Who is doing the perception and the nation is being fooled and allah give his trouble. Amen Mi Mr. Minister?</v>
      </c>
    </row>
    <row r="7321" spans="1:5" ht="15" customHeight="1" x14ac:dyDescent="0.2">
      <c r="A7321" s="1" t="s">
        <v>14575</v>
      </c>
      <c r="B7321" s="1">
        <v>6</v>
      </c>
      <c r="C7321" s="3">
        <v>44538.944421296299</v>
      </c>
      <c r="D7321" s="1" t="s">
        <v>14576</v>
      </c>
      <c r="E7321" s="1" t="str">
        <f ca="1">IFERROR(__xludf.DUMMYFUNCTION("GOOGLETRANSLATE(A4120 , ""tr"" , ""en"")"),"@drfahrettinkoca you are doing what you earn? You explain that 200 people died everyday!")</f>
        <v>@drfahrettinkoca you are doing what you earn? You explain that 200 people died everyday!</v>
      </c>
    </row>
    <row r="7322" spans="1:5" ht="15" customHeight="1" x14ac:dyDescent="0.2">
      <c r="A7322" s="1" t="s">
        <v>14577</v>
      </c>
      <c r="B7322" s="1">
        <v>1</v>
      </c>
      <c r="C7322" s="3">
        <v>44538.944201388891</v>
      </c>
      <c r="D7322" s="1" t="s">
        <v>14578</v>
      </c>
      <c r="E7322" s="1" t="str">
        <f ca="1">IFERROR(__xludf.DUMMYFUNCTION("GOOGLETRANSLATE(A4121 , ""tr"" , ""en"")"),"@drfahrettinkoca I'm not going to believe.")</f>
        <v>@drfahrettinkoca I'm not going to believe.</v>
      </c>
    </row>
    <row r="7323" spans="1:5" ht="15" customHeight="1" x14ac:dyDescent="0.2">
      <c r="A7323" s="1" t="s">
        <v>14579</v>
      </c>
      <c r="B7323" s="1">
        <v>0</v>
      </c>
      <c r="C7323" s="3">
        <v>44538.942673611113</v>
      </c>
      <c r="D7323" s="1" t="s">
        <v>14580</v>
      </c>
      <c r="E7323" s="1" t="str">
        <f ca="1">IFERROR(__xludf.DUMMYFUNCTION("GOOGLETRANSLATE(A4122 , ""tr"" , ""en"")"),"@drfahrettinkoca PCR rods &amp; gt; Are there graphen compounds? &amp; gt; Are there any other harmful elements? Warranty of absence ... https://t.co/x11yomwodb")</f>
        <v>@drfahrettinkoca PCR rods &amp; gt; Are there graphen compounds? &amp; gt; Are there any other harmful elements? Warranty of absence ... https://t.co/x11yomwodb</v>
      </c>
    </row>
    <row r="7324" spans="1:5" ht="15" customHeight="1" x14ac:dyDescent="0.2">
      <c r="A7324" s="1" t="s">
        <v>14581</v>
      </c>
      <c r="B7324" s="1">
        <v>0</v>
      </c>
      <c r="C7324" s="3">
        <v>44538.940960648149</v>
      </c>
      <c r="D7324" s="1" t="s">
        <v>14582</v>
      </c>
      <c r="E7324" s="1" t="str">
        <f ca="1">IFERROR(__xludf.DUMMYFUNCTION("GOOGLETRANSLATE(A4123 , ""tr"" , ""en"")"),"@drfahrettinkoca after they have died of heart crisis, dying or to sabotize you ... https://t.co/tv9ghhf2es")</f>
        <v>@drfahrettinkoca after they have died of heart crisis, dying or to sabotize you ... https://t.co/tv9ghhf2es</v>
      </c>
    </row>
    <row r="7325" spans="1:5" ht="15" customHeight="1" x14ac:dyDescent="0.2">
      <c r="A7325" s="1" t="s">
        <v>14583</v>
      </c>
      <c r="B7325" s="1">
        <v>0</v>
      </c>
      <c r="C7325" s="3">
        <v>44538.939826388887</v>
      </c>
      <c r="D7325" s="1" t="s">
        <v>14584</v>
      </c>
      <c r="E7325" s="1" t="str">
        <f ca="1">IFERROR(__xludf.DUMMYFUNCTION("GOOGLETRANSLATE(A4124 , ""tr"" , ""en"")"),"@drfahrettinkoca Hadi Ordan Whole Bill Gatsiin Mercenary buttons you overrun them to them they are now SO ... https://t.co/vo2zxjfwcr")</f>
        <v>@drfahrettinkoca Hadi Ordan Whole Bill Gatsiin Mercenary buttons you overrun them to them they are now SO ... https://t.co/vo2zxjfwcr</v>
      </c>
    </row>
    <row r="7326" spans="1:5" ht="15" customHeight="1" x14ac:dyDescent="0.2">
      <c r="A7326" s="1" t="s">
        <v>14585</v>
      </c>
      <c r="B7326" s="1">
        <v>0</v>
      </c>
      <c r="C7326" s="3">
        <v>44538.939375000002</v>
      </c>
      <c r="D7326" s="1" t="s">
        <v>14586</v>
      </c>
      <c r="E7326" s="1" t="str">
        <f ca="1">IFERROR(__xludf.DUMMYFUNCTION("GOOGLETRANSLATE(A4125 , ""tr"" , ""en"")"),"@drfahrettinkoca Resign the dishonorable honor")</f>
        <v>@drfahrettinkoca Resign the dishonorable honor</v>
      </c>
    </row>
    <row r="7327" spans="1:5" ht="15" customHeight="1" x14ac:dyDescent="0.2">
      <c r="A7327" s="1" t="s">
        <v>14587</v>
      </c>
      <c r="B7327" s="1">
        <v>5</v>
      </c>
      <c r="C7327" s="3">
        <v>44538.938715277778</v>
      </c>
      <c r="D7327" s="1" t="s">
        <v>14588</v>
      </c>
      <c r="E7327" s="1" t="str">
        <f ca="1">IFERROR(__xludf.DUMMYFUNCTION("GOOGLETRANSLATE(A4126 , ""tr"" , ""en"")"),"@drfahrettinkoca you first, make the transactions on the terrorists you delivered to the following community, tear their diplomas and criminal house ... https://t.co/n9tzy7q0gp")</f>
        <v>@drfahrettinkoca you first, make the transactions on the terrorists you delivered to the following community, tear their diplomas and criminal house ... https://t.co/n9tzy7q0gp</v>
      </c>
    </row>
    <row r="7328" spans="1:5" ht="15" customHeight="1" x14ac:dyDescent="0.2">
      <c r="A7328" s="1" t="s">
        <v>14589</v>
      </c>
      <c r="B7328" s="1">
        <v>0</v>
      </c>
      <c r="C7328" s="3">
        <v>44538.936099537037</v>
      </c>
      <c r="D7328" s="1" t="s">
        <v>14590</v>
      </c>
      <c r="E7328" s="1" t="str">
        <f ca="1">IFERROR(__xludf.DUMMYFUNCTION("GOOGLETRANSLATE(A4127 , ""tr"" , ""en"")"),"@drfahrettinkoca case numbers are very nice falling while the numbers of death are not falling in the number of deaths why don't you fall? Right to this topic ... https://t.co/4yyop5pwog")</f>
        <v>@drfahrettinkoca case numbers are very nice falling while the numbers of death are not falling in the number of deaths why don't you fall? Right to this topic ... https://t.co/4yyop5pwog</v>
      </c>
    </row>
    <row r="7329" spans="1:5" ht="15" customHeight="1" x14ac:dyDescent="0.2">
      <c r="A7329" s="1" t="s">
        <v>14591</v>
      </c>
      <c r="B7329" s="1">
        <v>0</v>
      </c>
      <c r="C7329" s="3">
        <v>44538.934999999998</v>
      </c>
      <c r="D7329" s="1" t="s">
        <v>14592</v>
      </c>
      <c r="E7329" s="1" t="str">
        <f ca="1">IFERROR(__xludf.DUMMYFUNCTION("GOOGLETRANSLATE(A4128 , ""tr"" , ""en"")"),"@drfahrettinkoca o OOO he is still not allowed to get the guide for the guide?")</f>
        <v>@drfahrettinkoca o OOO he is still not allowed to get the guide for the guide?</v>
      </c>
    </row>
    <row r="7330" spans="1:5" ht="15" customHeight="1" x14ac:dyDescent="0.2">
      <c r="A7330" s="1" t="s">
        <v>14593</v>
      </c>
      <c r="B7330" s="1">
        <v>19</v>
      </c>
      <c r="C7330" s="3">
        <v>44538.934999999998</v>
      </c>
      <c r="D7330" s="1" t="s">
        <v>14594</v>
      </c>
      <c r="E7330" s="1" t="str">
        <f ca="1">IFERROR(__xludf.DUMMYFUNCTION("GOOGLETRANSLATE(A4129 , ""tr"" , ""en"")"),"@drfahrettinkoca caused by case of non-vaccine african, 40% of deaths developed and billions of billions of dose of overdose: https://t.co/vkqejzvzlb")</f>
        <v>@drfahrettinkoca caused by case of non-vaccine african, 40% of deaths developed and billions of billions of dose of overdose: https://t.co/vkqejzvzlb</v>
      </c>
    </row>
    <row r="7331" spans="1:5" ht="15" customHeight="1" x14ac:dyDescent="0.2">
      <c r="A7331" s="1" t="s">
        <v>14595</v>
      </c>
      <c r="B7331" s="1">
        <v>0</v>
      </c>
      <c r="C7331" s="3">
        <v>44538.934594907405</v>
      </c>
      <c r="D7331" s="1" t="s">
        <v>14596</v>
      </c>
      <c r="E7331" s="1" t="str">
        <f ca="1">IFERROR(__xludf.DUMMYFUNCTION("GOOGLETRANSLATE(A4130 , ""tr"" , ""en"")"),"@drfahrettinkoca Minister I wonder my ignorance that my ignorance appears to be exhausted tamnel 2doz Sinovak Mi Full Hanging ... https://t.co/oahoeorbe2")</f>
        <v>@drfahrettinkoca Minister I wonder my ignorance that my ignorance appears to be exhausted tamnel 2doz Sinovak Mi Full Hanging ... https://t.co/oahoeorbe2</v>
      </c>
    </row>
    <row r="7332" spans="1:5" ht="15" customHeight="1" x14ac:dyDescent="0.2">
      <c r="A7332" s="1" t="s">
        <v>14597</v>
      </c>
      <c r="B7332" s="1">
        <v>0</v>
      </c>
      <c r="C7332" s="3">
        <v>44538.933391203704</v>
      </c>
      <c r="D7332" s="1" t="s">
        <v>14598</v>
      </c>
      <c r="E7332" s="1" t="str">
        <f ca="1">IFERROR(__xludf.DUMMYFUNCTION("GOOGLETRANSLATE(A4131 , ""tr"" , ""en"")"),"@drfahrettinkoca PCPER man me A $ ILA DIO friend head eaten and those who advocate it to this ... https://t.co/lkhwqyrq6z")</f>
        <v>@drfahrettinkoca PCPER man me A $ ILA DIO friend head eaten and those who advocate it to this ... https://t.co/lkhwqyrq6z</v>
      </c>
    </row>
    <row r="7333" spans="1:5" ht="15" customHeight="1" x14ac:dyDescent="0.2">
      <c r="A7333" s="1" t="s">
        <v>14599</v>
      </c>
      <c r="B7333" s="1">
        <v>1</v>
      </c>
      <c r="C7333" s="3">
        <v>44538.93310185185</v>
      </c>
      <c r="D7333" s="1" t="s">
        <v>14600</v>
      </c>
      <c r="E7333" s="1" t="str">
        <f ca="1">IFERROR(__xludf.DUMMYFUNCTION("GOOGLETRANSLATE(A4132 , ""tr"" , ""en"")"),"@drfahrettinkoca, Throw ..... How to make a calculator ... 1.Doz 90% 2.Doz 82% Still 21 thousand cases ... https://t.co/hdchjtn0su")</f>
        <v>@drfahrettinkoca, Throw ..... How to make a calculator ... 1.Doz 90% 2.Doz 82% Still 21 thousand cases ... https://t.co/hdchjtn0su</v>
      </c>
    </row>
    <row r="7334" spans="1:5" ht="15" customHeight="1" x14ac:dyDescent="0.2">
      <c r="A7334" s="1" t="s">
        <v>14601</v>
      </c>
      <c r="B7334" s="1">
        <v>0</v>
      </c>
      <c r="C7334" s="3">
        <v>44538.931423611109</v>
      </c>
      <c r="D7334" s="1" t="s">
        <v>14602</v>
      </c>
      <c r="E7334" s="1" t="str">
        <f ca="1">IFERROR(__xludf.DUMMYFUNCTION("GOOGLETRANSLATE(A4133 , ""tr"" , ""en"")"),"@drfahrettinkoca Falling Falling Falling Bouncers Barking Like Dog Templating Role of Vibration Role ... https://t.co/o62x8mq4uh")</f>
        <v>@drfahrettinkoca Falling Falling Falling Bouncers Barking Like Dog Templating Role of Vibration Role ... https://t.co/o62x8mq4uh</v>
      </c>
    </row>
    <row r="7335" spans="1:5" ht="15" customHeight="1" x14ac:dyDescent="0.2">
      <c r="A7335" s="1" t="s">
        <v>14603</v>
      </c>
      <c r="B7335" s="1">
        <v>1</v>
      </c>
      <c r="C7335" s="3">
        <v>44538.93068287037</v>
      </c>
      <c r="D7335" s="1" t="s">
        <v>14604</v>
      </c>
      <c r="E7335" s="1" t="str">
        <f ca="1">IFERROR(__xludf.DUMMYFUNCTION("GOOGLETRANSLATE(A4134 , ""tr"" , ""en"")"),"@drfahrettinka we win what we win but you are winning well.")</f>
        <v>@drfahrettinka we win what we win but you are winning well.</v>
      </c>
    </row>
    <row r="7336" spans="1:5" ht="15" customHeight="1" x14ac:dyDescent="0.2">
      <c r="A7336" s="1" t="s">
        <v>14605</v>
      </c>
      <c r="B7336" s="1">
        <v>0</v>
      </c>
      <c r="C7336" s="3">
        <v>44538.930347222224</v>
      </c>
      <c r="D7336" s="1" t="s">
        <v>14606</v>
      </c>
      <c r="E7336" s="1" t="str">
        <f ca="1">IFERROR(__xludf.DUMMYFUNCTION("GOOGLETRANSLATE(A4135 , ""tr"" , ""en"")"),"@drfahrettinkoca is a random hospital with a broadcasting TV team with a doctor against harmful vaccine ... https://t.co/epuqbokrqw")</f>
        <v>@drfahrettinkoca is a random hospital with a broadcasting TV team with a doctor against harmful vaccine ... https://t.co/epuqbokrqw</v>
      </c>
    </row>
    <row r="7337" spans="1:5" ht="15" customHeight="1" x14ac:dyDescent="0.2">
      <c r="A7337" s="1" t="s">
        <v>14607</v>
      </c>
      <c r="B7337" s="1">
        <v>0</v>
      </c>
      <c r="C7337" s="3">
        <v>44538.929502314815</v>
      </c>
      <c r="D7337" s="1" t="s">
        <v>14608</v>
      </c>
      <c r="E7337" s="1" t="str">
        <f ca="1">IFERROR(__xludf.DUMMYFUNCTION("GOOGLETRANSLATE(A4136 , ""tr"" , ""en"")"),"@drfahrettinkoca hundreds of five thousands of five people who have liked the twigs do you see the difference that has fallen away. 3,4,5 d ... https://t.co/fkutkk0byo")</f>
        <v>@drfahrettinkoca hundreds of five thousands of five people who have liked the twigs do you see the difference that has fallen away. 3,4,5 d ... https://t.co/fkutkk0byo</v>
      </c>
    </row>
    <row r="7338" spans="1:5" ht="15" customHeight="1" x14ac:dyDescent="0.2">
      <c r="A7338" s="1" t="s">
        <v>14609</v>
      </c>
      <c r="B7338" s="1">
        <v>5</v>
      </c>
      <c r="C7338" s="3">
        <v>44538.929178240738</v>
      </c>
      <c r="D7338" s="1" t="s">
        <v>14610</v>
      </c>
      <c r="E7338" s="1" t="str">
        <f ca="1">IFERROR(__xludf.DUMMYFUNCTION("GOOGLETRANSLATE(A4137 , ""tr"" , ""en"")"),"@drfahrettinkoca Herself has enough mind, you are the mind of others, the next day he said someday ... https://t.co/4r2jckze44")</f>
        <v>@drfahrettinkoca Herself has enough mind, you are the mind of others, the next day he said someday ... https://t.co/4r2jckze44</v>
      </c>
    </row>
    <row r="7339" spans="1:5" ht="15" customHeight="1" x14ac:dyDescent="0.2">
      <c r="A7339" s="1" t="s">
        <v>14611</v>
      </c>
      <c r="B7339" s="1">
        <v>0</v>
      </c>
      <c r="C7339" s="3">
        <v>44538.927534722221</v>
      </c>
      <c r="D7339" s="1" t="s">
        <v>14612</v>
      </c>
      <c r="E7339" s="1" t="str">
        <f ca="1">IFERROR(__xludf.DUMMYFUNCTION("GOOGLETRANSLATE(A4138 , ""tr"" , ""en"")"),"@drfahrettinkoca has so many people who find out of medicine healing that the man has found the healing more difficultyon vaccine PCR and ... https://t.co/comwo5xpem")</f>
        <v>@drfahrettinkoca has so many people who find out of medicine healing that the man has found the healing more difficultyon vaccine PCR and ... https://t.co/comwo5xpem</v>
      </c>
    </row>
    <row r="7340" spans="1:5" ht="15" customHeight="1" x14ac:dyDescent="0.2">
      <c r="A7340" s="1" t="s">
        <v>14613</v>
      </c>
      <c r="B7340" s="1">
        <v>3</v>
      </c>
      <c r="C7340" s="3">
        <v>44538.926539351851</v>
      </c>
      <c r="D7340" s="1" t="s">
        <v>14614</v>
      </c>
      <c r="E7340" s="1" t="str">
        <f ca="1">IFERROR(__xludf.DUMMYFUNCTION("GOOGLETRANSLATE(A4139 , ""tr"" , ""en"")"),"@drfahrettinkoca Subject to the fact that you want to earn what you wanted to win the global system ... https://t.co/zdezj64gae")</f>
        <v>@drfahrettinkoca Subject to the fact that you want to earn what you wanted to win the global system ... https://t.co/zdezj64gae</v>
      </c>
    </row>
    <row r="7341" spans="1:5" ht="15" customHeight="1" x14ac:dyDescent="0.2">
      <c r="A7341" s="1" t="s">
        <v>14615</v>
      </c>
      <c r="B7341" s="1">
        <v>1</v>
      </c>
      <c r="C7341" s="3">
        <v>44538.926446759258</v>
      </c>
      <c r="D7341" s="1" t="s">
        <v>14616</v>
      </c>
      <c r="E7341" s="1" t="str">
        <f ca="1">IFERROR(__xludf.DUMMYFUNCTION("GOOGLETRANSLATE(A4140 , ""tr"" , ""en"")"),"@drfahrettinkca After the vaccine, after the deceased, paralyzed #bionttechyanetki #işturu There are many thousands of people, you don't have one word ... https://t.co/lrct0pofem")</f>
        <v>@drfahrettinkca After the vaccine, after the deceased, paralyzed #bionttechyanetki #işturu There are many thousands of people, you don't have one word ... https://t.co/lrct0pofem</v>
      </c>
    </row>
    <row r="7342" spans="1:5" ht="15" customHeight="1" x14ac:dyDescent="0.2">
      <c r="A7342" s="1" t="s">
        <v>14617</v>
      </c>
      <c r="B7342" s="1">
        <v>0</v>
      </c>
      <c r="C7342" s="3">
        <v>44538.926006944443</v>
      </c>
      <c r="D7342" s="1" t="s">
        <v>14618</v>
      </c>
      <c r="E7342" s="1" t="str">
        <f ca="1">IFERROR(__xludf.DUMMYFUNCTION("GOOGLETRANSLATE(A4141 , ""tr"" , ""en"")"),"@drfahrettinkoca is because of my job vaccine and PCR Oy overlooking you is not in Friday night with your special name, even ... https://t.co/hovwskfcvb")</f>
        <v>@drfahrettinkoca is because of my job vaccine and PCR Oy overlooking you is not in Friday night with your special name, even ... https://t.co/hovwskfcvb</v>
      </c>
    </row>
    <row r="7343" spans="1:5" ht="15" customHeight="1" x14ac:dyDescent="0.2">
      <c r="A7343" s="1" t="s">
        <v>14619</v>
      </c>
      <c r="B7343" s="1">
        <v>0</v>
      </c>
      <c r="C7343" s="3">
        <v>44538.925011574072</v>
      </c>
      <c r="D7343" s="1" t="s">
        <v>14620</v>
      </c>
      <c r="E7343" s="1" t="str">
        <f ca="1">IFERROR(__xludf.DUMMYFUNCTION("GOOGLETRANSLATE(A4142 , ""tr"" , ""en"")"),"@drfahrettinkoca water at the moment.")</f>
        <v>@drfahrettinkoca water at the moment.</v>
      </c>
    </row>
    <row r="7344" spans="1:5" ht="15" customHeight="1" x14ac:dyDescent="0.2">
      <c r="A7344" s="1" t="s">
        <v>14621</v>
      </c>
      <c r="B7344" s="1">
        <v>1</v>
      </c>
      <c r="C7344" s="3">
        <v>44538.92355324074</v>
      </c>
      <c r="D7344" s="1" t="s">
        <v>14622</v>
      </c>
      <c r="E7344" s="1" t="str">
        <f ca="1">IFERROR(__xludf.DUMMYFUNCTION("GOOGLETRANSLATE(A4143 , ""tr"" , ""en"")"),"@drfahrettinkoca for 2 years, USA, Canada, Turkey is completely maskless, free walking around the distance. Still ... https://t.co/4yirsqmyrm")</f>
        <v>@drfahrettinkoca for 2 years, USA, Canada, Turkey is completely maskless, free walking around the distance. Still ... https://t.co/4yirsqmyrm</v>
      </c>
    </row>
    <row r="7345" spans="1:5" ht="15" customHeight="1" x14ac:dyDescent="0.2">
      <c r="A7345" s="1" t="s">
        <v>14623</v>
      </c>
      <c r="B7345" s="1">
        <v>0</v>
      </c>
      <c r="C7345" s="3">
        <v>44538.923159722224</v>
      </c>
      <c r="D7345" s="1" t="s">
        <v>14624</v>
      </c>
      <c r="E7345" s="1" t="str">
        <f ca="1">IFERROR(__xludf.DUMMYFUNCTION("GOOGLETRANSLATE(A4144 , ""tr"" , ""en"")"),"@drfahrettinkoca vaccine as he wants to be as much as he wants to be namert that says Namert, but not to be to be of 48 SA ... https://t.co/u01fxcexaI")</f>
        <v>@drfahrettinkoca vaccine as he wants to be as much as he wants to be namert that says Namert, but not to be to be of 48 SA ... https://t.co/u01fxcexaI</v>
      </c>
    </row>
    <row r="7346" spans="1:5" ht="15" customHeight="1" x14ac:dyDescent="0.2">
      <c r="A7346" s="1" t="s">
        <v>14625</v>
      </c>
      <c r="B7346" s="1">
        <v>1</v>
      </c>
      <c r="C7346" s="3">
        <v>44538.922800925924</v>
      </c>
      <c r="D7346" s="1" t="s">
        <v>14626</v>
      </c>
      <c r="E7346" s="1" t="str">
        <f ca="1">IFERROR(__xludf.DUMMYFUNCTION("GOOGLETRANSLATE(A4145 , ""tr"" , ""en"")"),"@drfahrettinkoca regrettable ones vaccine and our relatives we give to the land, unable to say in them unfortunately .. Think of it ..")</f>
        <v>@drfahrettinkoca regrettable ones vaccine and our relatives we give to the land, unable to say in them unfortunately .. Think of it ..</v>
      </c>
    </row>
    <row r="7347" spans="1:5" ht="15" customHeight="1" x14ac:dyDescent="0.2">
      <c r="A7347" s="1" t="s">
        <v>14627</v>
      </c>
      <c r="B7347" s="1">
        <v>0</v>
      </c>
      <c r="C7347" s="3">
        <v>44538.917638888888</v>
      </c>
      <c r="D7347" s="1" t="s">
        <v>14628</v>
      </c>
      <c r="E7347" s="1" t="str">
        <f ca="1">IFERROR(__xludf.DUMMYFUNCTION("GOOGLETRANSLATE(A4146 , ""tr"" , ""en"")"),"@drfahrettinkoca You have taken a massacre with conscious incorrect treatments! Who believes in your nonsense, honesty? !!! ... https://t.co/xpuwtmdte1")</f>
        <v>@drfahrettinkoca You have taken a massacre with conscious incorrect treatments! Who believes in your nonsense, honesty? !!! ... https://t.co/xpuwtmdte1</v>
      </c>
    </row>
    <row r="7348" spans="1:5" ht="15" customHeight="1" x14ac:dyDescent="0.2">
      <c r="A7348" s="1" t="s">
        <v>14629</v>
      </c>
      <c r="B7348" s="1">
        <v>1</v>
      </c>
      <c r="C7348" s="3">
        <v>44538.915081018517</v>
      </c>
      <c r="D7348" s="1" t="s">
        <v>14630</v>
      </c>
      <c r="E7348" s="1" t="str">
        <f ca="1">IFERROR(__xludf.DUMMYFUNCTION("GOOGLETRANSLATE(A4147 , ""tr"" , ""en"")"),"@drfahrettinkoca you know that as much as you know the result of faulty decisions as well as the result of the vaccine. But proof ... https://t.co/Ibsizmomzp")</f>
        <v>@drfahrettinkoca you know that as much as you know the result of faulty decisions as well as the result of the vaccine. But proof ... https://t.co/Ibsizmomzp</v>
      </c>
    </row>
    <row r="7349" spans="1:5" ht="15" customHeight="1" x14ac:dyDescent="0.2">
      <c r="A7349" s="1" t="s">
        <v>14631</v>
      </c>
      <c r="B7349" s="1">
        <v>1</v>
      </c>
      <c r="C7349" s="3">
        <v>44538.913715277777</v>
      </c>
      <c r="D7349" s="1" t="s">
        <v>14632</v>
      </c>
      <c r="E7349" s="1" t="str">
        <f ca="1">IFERROR(__xludf.DUMMYFUNCTION("GOOGLETRANSLATE(A4148 , ""tr"" , ""en"")"),"@drfahrettinkoca I have not forgotten this period and I won't forget what you will see what you see 2022 too ... https://t.co/e9f8zsrbce")</f>
        <v>@drfahrettinkoca I have not forgotten this period and I won't forget what you will see what you see 2022 too ... https://t.co/e9f8zsrbce</v>
      </c>
    </row>
    <row r="7350" spans="1:5" ht="15" customHeight="1" x14ac:dyDescent="0.2">
      <c r="A7350" s="1" t="s">
        <v>14633</v>
      </c>
      <c r="B7350" s="1">
        <v>4</v>
      </c>
      <c r="C7350" s="3">
        <v>44538.913229166668</v>
      </c>
      <c r="D7350" s="1" t="s">
        <v>14634</v>
      </c>
      <c r="E7350" s="1" t="str">
        <f ca="1">IFERROR(__xludf.DUMMYFUNCTION("GOOGLETRANSLATE(A4149 , ""tr"" , ""en"")"),"@drfahrettinkoca Last warning 1 has a time given to us and this time is running out. Sort from each other with lie v ... https://t.co/w7pu9mvyeo")</f>
        <v>@drfahrettinkoca Last warning 1 has a time given to us and this time is running out. Sort from each other with lie v ... https://t.co/w7pu9mvyeo</v>
      </c>
    </row>
    <row r="7351" spans="1:5" ht="15" customHeight="1" x14ac:dyDescent="0.2">
      <c r="A7351" s="1" t="s">
        <v>14635</v>
      </c>
      <c r="B7351" s="1">
        <v>3</v>
      </c>
      <c r="C7351" s="3">
        <v>44538.913182870368</v>
      </c>
      <c r="D7351" s="1" t="s">
        <v>14636</v>
      </c>
      <c r="E7351" s="1" t="str">
        <f ca="1">IFERROR(__xludf.DUMMYFUNCTION("GOOGLETRANSLATE(A4150 , ""tr"" , ""en"")"),"@drfahrettinkoca Last Notice 2 Friends Only you want this event until this event is heard from you .. B ... https://t.co/odjyp2uc7s")</f>
        <v>@drfahrettinkoca Last Notice 2 Friends Only you want this event until this event is heard from you .. B ... https://t.co/odjyp2uc7s</v>
      </c>
    </row>
    <row r="7352" spans="1:5" ht="15" customHeight="1" x14ac:dyDescent="0.2">
      <c r="A7352" s="1" t="s">
        <v>14637</v>
      </c>
      <c r="B7352" s="1">
        <v>0</v>
      </c>
      <c r="C7352" s="3">
        <v>44538.911874999998</v>
      </c>
      <c r="D7352" s="1" t="s">
        <v>14638</v>
      </c>
      <c r="E7352" s="1" t="str">
        <f ca="1">IFERROR(__xludf.DUMMYFUNCTION("GOOGLETRANSLATE(A4151 , ""tr"" , ""en"")"),"@drfahrettinkoca Find all the best of your God 13 months What you have made us in the dark of our lives ever throughout a year ... https://t.co/sshukieqou")</f>
        <v>@drfahrettinkoca Find all the best of your God 13 months What you have made us in the dark of our lives ever throughout a year ... https://t.co/sshukieqou</v>
      </c>
    </row>
    <row r="7353" spans="1:5" ht="15" customHeight="1" x14ac:dyDescent="0.2">
      <c r="A7353" s="1" t="s">
        <v>14639</v>
      </c>
      <c r="B7353" s="1">
        <v>1</v>
      </c>
      <c r="C7353" s="3">
        <v>44538.911435185182</v>
      </c>
      <c r="D7353" s="1" t="s">
        <v>14640</v>
      </c>
      <c r="E7353" s="1" t="str">
        <f ca="1">IFERROR(__xludf.DUMMYFUNCTION("GOOGLETRANSLATE(A4152 , ""tr"" , ""en"")"),"@drfahrettinkoca We do not intimidate with prejudice to the disregard with the bias. We are investigating our investigations and g ... https://t.co/e2uctxm0ol")</f>
        <v>@drfahrettinkoca We do not intimidate with prejudice to the disregard with the bias. We are investigating our investigations and g ... https://t.co/e2uctxm0ol</v>
      </c>
    </row>
    <row r="7354" spans="1:5" ht="15" customHeight="1" x14ac:dyDescent="0.2">
      <c r="A7354" s="1" t="s">
        <v>14641</v>
      </c>
      <c r="B7354" s="1">
        <v>0</v>
      </c>
      <c r="C7354" s="3">
        <v>44538.911354166667</v>
      </c>
      <c r="D7354" s="1" t="s">
        <v>14642</v>
      </c>
      <c r="E7354" s="1" t="str">
        <f ca="1">IFERROR(__xludf.DUMMYFUNCTION("GOOGLETRANSLATE(A4153 , ""tr"" , ""en"")"),"@drfahrettinkoca Whose vaccine is in the country. You are taking a new one of the residue everyday. New Variant saying vaccines kit ... https://t.co/uz43njvvvg")</f>
        <v>@drfahrettinkoca Whose vaccine is in the country. You are taking a new one of the residue everyday. New Variant saying vaccines kit ... https://t.co/uz43njvvvg</v>
      </c>
    </row>
    <row r="7355" spans="1:5" ht="15" customHeight="1" x14ac:dyDescent="0.2">
      <c r="A7355" s="1" t="s">
        <v>14643</v>
      </c>
      <c r="B7355" s="1">
        <v>1</v>
      </c>
      <c r="C7355" s="3">
        <v>44538.909930555557</v>
      </c>
      <c r="D7355" s="1" t="s">
        <v>14644</v>
      </c>
      <c r="E7355" s="1" t="str">
        <f ca="1">IFERROR(__xludf.DUMMYFUNCTION("GOOGLETRANSLATE(A4154 , ""tr"" , ""en"")"),"@drfahrettinkoca is still there anyone who believes in these lies 🤥")</f>
        <v>@drfahrettinkoca is still there anyone who believes in these lies 🤥</v>
      </c>
    </row>
    <row r="7356" spans="1:5" ht="15" customHeight="1" x14ac:dyDescent="0.2">
      <c r="A7356" s="1" t="s">
        <v>14645</v>
      </c>
      <c r="B7356" s="1">
        <v>0</v>
      </c>
      <c r="C7356" s="3">
        <v>44538.908738425926</v>
      </c>
      <c r="D7356" s="1" t="s">
        <v>14646</v>
      </c>
      <c r="E7356" s="1" t="str">
        <f ca="1">IFERROR(__xludf.DUMMYFUNCTION("GOOGLETRANSLATE(A4155 , ""tr"" , ""en"")"),"@drfahrettinka so what have you gained by force that liquid called the vaccinating the husband people ??")</f>
        <v>@drfahrettinka so what have you gained by force that liquid called the vaccinating the husband people ??</v>
      </c>
    </row>
    <row r="7357" spans="1:5" ht="15" customHeight="1" x14ac:dyDescent="0.2">
      <c r="A7357" s="1" t="s">
        <v>14647</v>
      </c>
      <c r="B7357" s="1">
        <v>2</v>
      </c>
      <c r="C7357" s="3">
        <v>44538.906585648147</v>
      </c>
      <c r="D7357" s="1" t="s">
        <v>14648</v>
      </c>
      <c r="E7357" s="1" t="str">
        <f ca="1">IFERROR(__xludf.DUMMYFUNCTION("GOOGLETRANSLATE(A4156 , ""tr"" , ""en"")"),"@drfahrettinkoca Random Bi Go Intensive Care And Let's Sight See Mr. Minister, Are There Being Involved In Lies on there? ARE YOU IN?")</f>
        <v>@drfahrettinkoca Random Bi Go Intensive Care And Let's Sight See Mr. Minister, Are There Being Involved In Lies on there? ARE YOU IN?</v>
      </c>
    </row>
    <row r="7358" spans="1:5" ht="15" customHeight="1" x14ac:dyDescent="0.2">
      <c r="A7358" s="1" t="s">
        <v>14649</v>
      </c>
      <c r="B7358" s="1">
        <v>0</v>
      </c>
      <c r="C7358" s="3">
        <v>44538.906076388892</v>
      </c>
      <c r="D7358" s="1" t="s">
        <v>14650</v>
      </c>
      <c r="E7358" s="1" t="str">
        <f ca="1">IFERROR(__xludf.DUMMYFUNCTION("GOOGLETRANSLATE(A4157 , ""tr"" , ""en"")"),"@drfahrettinkoca Health Study Don't Want a Looking Up A Minister You Don't Get Your Business")</f>
        <v>@drfahrettinkoca Health Study Don't Want a Looking Up A Minister You Don't Get Your Business</v>
      </c>
    </row>
    <row r="7359" spans="1:5" ht="15" customHeight="1" x14ac:dyDescent="0.2">
      <c r="A7359" s="1" t="s">
        <v>14651</v>
      </c>
      <c r="B7359" s="1">
        <v>0</v>
      </c>
      <c r="C7359" s="3">
        <v>44538.906006944446</v>
      </c>
      <c r="D7359" s="1" t="s">
        <v>14652</v>
      </c>
      <c r="E7359" s="1" t="str">
        <f ca="1">IFERROR(__xludf.DUMMYFUNCTION("GOOGLETRANSLATE(A4158 , ""tr"" , ""en"")"),"@drfahrettinkoca Well🙄")</f>
        <v>@drfahrettinkoca Well🙄</v>
      </c>
    </row>
    <row r="7360" spans="1:5" ht="15" customHeight="1" x14ac:dyDescent="0.2">
      <c r="A7360" s="1" t="s">
        <v>14653</v>
      </c>
      <c r="B7360" s="1">
        <v>0</v>
      </c>
      <c r="C7360" s="3">
        <v>44538.903773148151</v>
      </c>
      <c r="D7360" s="1" t="s">
        <v>14654</v>
      </c>
      <c r="E7360" s="1" t="str">
        <f ca="1">IFERROR(__xludf.DUMMYFUNCTION("GOOGLETRANSLATE(A4159 , ""tr"" , ""en"")"),"@drfahrettinkoca Congratulations You have turned off the year 2021 without assignment Health While you didn't assign at all the seat ... HTTPS://t.co/r2hq44wig2")</f>
        <v>@drfahrettinkoca Congratulations You have turned off the year 2021 without assignment Health While you didn't assign at all the seat ... HTTPS://t.co/r2hq44wig2</v>
      </c>
    </row>
    <row r="7361" spans="1:5" ht="15" customHeight="1" x14ac:dyDescent="0.2">
      <c r="A7361" s="1" t="s">
        <v>14655</v>
      </c>
      <c r="B7361" s="1">
        <v>1</v>
      </c>
      <c r="C7361" s="3">
        <v>44538.903599537036</v>
      </c>
      <c r="D7361" s="1" t="s">
        <v>14656</v>
      </c>
      <c r="E7361" s="1" t="str">
        <f ca="1">IFERROR(__xludf.DUMMYFUNCTION("GOOGLETRANSLATE(A4160 , ""tr"" , ""en"")"),"@drfahrettinkoca is the main plenty of vaccine vaccines Channel channel navigations! Or mask, disinfectant sellers all ... https://t.co/y7kp4boaoq")</f>
        <v>@drfahrettinkoca is the main plenty of vaccine vaccines Channel channel navigations! Or mask, disinfectant sellers all ... https://t.co/y7kp4boaoq</v>
      </c>
    </row>
    <row r="7362" spans="1:5" ht="15" customHeight="1" x14ac:dyDescent="0.2">
      <c r="A7362" s="1" t="s">
        <v>14657</v>
      </c>
      <c r="B7362" s="1">
        <v>0</v>
      </c>
      <c r="C7362" s="3">
        <v>44538.899861111109</v>
      </c>
      <c r="D7362" s="1" t="s">
        <v>14658</v>
      </c>
      <c r="E7362" s="1" t="str">
        <f ca="1">IFERROR(__xludf.DUMMYFUNCTION("GOOGLETRANSLATE(A4161 , ""tr"" , ""en"")"),"@drfahrettinkoca sec Minister 3 Dose Sinovacli 4. Dose of dose is not given to cause. Seniors are in the risk group ... https://t.co/i5btj6brvi")</f>
        <v>@drfahrettinkoca sec Minister 3 Dose Sinovacli 4. Dose of dose is not given to cause. Seniors are in the risk group ... https://t.co/i5btj6brvi</v>
      </c>
    </row>
    <row r="7363" spans="1:5" ht="15" customHeight="1" x14ac:dyDescent="0.2">
      <c r="A7363" s="1" t="s">
        <v>14659</v>
      </c>
      <c r="B7363" s="1">
        <v>0</v>
      </c>
      <c r="C7363" s="3">
        <v>44538.899467592593</v>
      </c>
      <c r="D7363" s="1" t="s">
        <v>14660</v>
      </c>
      <c r="E7363" s="1" t="str">
        <f ca="1">IFERROR(__xludf.DUMMYFUNCTION("GOOGLETRANSLATE(A4162 , ""tr"" , ""en"")"),"@drfahrettinkoca who etsicted this map painting bill gates")</f>
        <v>@drfahrettinkoca who etsicted this map painting bill gates</v>
      </c>
    </row>
    <row r="7364" spans="1:5" ht="15" customHeight="1" x14ac:dyDescent="0.2">
      <c r="A7364" s="1" t="s">
        <v>14661</v>
      </c>
      <c r="B7364" s="1">
        <v>0</v>
      </c>
      <c r="C7364" s="3">
        <v>44538.898773148147</v>
      </c>
      <c r="D7364" s="1" t="s">
        <v>14662</v>
      </c>
      <c r="E7364" s="1" t="str">
        <f ca="1">IFERROR(__xludf.DUMMYFUNCTION("GOOGLETRANSLATE(A4163 , ""tr"" , ""en"")"),"@drfahrettinkoca This nation's Vebalini, you won't be able to pay, in the honor")</f>
        <v>@drfahrettinkoca This nation's Vebalini, you won't be able to pay, in the honor</v>
      </c>
    </row>
    <row r="7365" spans="1:5" ht="15" customHeight="1" x14ac:dyDescent="0.2">
      <c r="A7365" s="1" t="s">
        <v>14663</v>
      </c>
      <c r="B7365" s="1">
        <v>0</v>
      </c>
      <c r="C7365" s="3">
        <v>44538.89875</v>
      </c>
      <c r="D7365" s="1" t="s">
        <v>14664</v>
      </c>
      <c r="E7365" s="1" t="str">
        <f ca="1">IFERROR(__xludf.DUMMYFUNCTION("GOOGLETRANSLATE(A4164 , ""tr"" , ""en"")"),"@drfahrettinkoca Half of the Intensive Care Half of Incurrenced Those who are leftovers ❓❓❓❓ Vaccinate out-of-space aliens ... https://t.co/ztxvlnhuws")</f>
        <v>@drfahrettinkoca Half of the Intensive Care Half of Incurrenced Those who are leftovers ❓❓❓❓ Vaccinate out-of-space aliens ... https://t.co/ztxvlnhuws</v>
      </c>
    </row>
    <row r="7366" spans="1:5" ht="15" customHeight="1" x14ac:dyDescent="0.2">
      <c r="A7366" s="1" t="s">
        <v>14665</v>
      </c>
      <c r="B7366" s="1">
        <v>0</v>
      </c>
      <c r="C7366" s="3">
        <v>44538.897673611114</v>
      </c>
      <c r="D7366" s="1" t="s">
        <v>14666</v>
      </c>
      <c r="E7366" s="1" t="str">
        <f ca="1">IFERROR(__xludf.DUMMYFUNCTION("GOOGLETRANSLATE(A4165 , ""tr"" , ""en"")"),"@drfahrettinka so you will never publish the guide. What did you win? @ drfahrettinkoca ... https://t.co/pcmfbgcszb")</f>
        <v>@drfahrettinka so you will never publish the guide. What did you win? @ drfahrettinkoca ... https://t.co/pcmfbgcszb</v>
      </c>
    </row>
    <row r="7367" spans="1:5" ht="15" customHeight="1" x14ac:dyDescent="0.2">
      <c r="A7367" s="1" t="s">
        <v>14667</v>
      </c>
      <c r="B7367" s="1">
        <v>3</v>
      </c>
      <c r="C7367" s="3">
        <v>44538.896840277775</v>
      </c>
      <c r="D7367" s="1" t="s">
        <v>14668</v>
      </c>
      <c r="E7367" s="1" t="str">
        <f ca="1">IFERROR(__xludf.DUMMYFUNCTION("GOOGLETRANSLATE(A4166 , ""tr"" , ""en"")"),"@drfahrettinkoca The anti-vaccination of the vaccine is killed from Covid19: (Covid19 I have met: (Vaccine opposites, don't be mania if you don't. Others ... https://t.co/otqbxkjchc")</f>
        <v>@drfahrettinkoca The anti-vaccination of the vaccine is killed from Covid19: (Covid19 I have met: (Vaccine opposites, don't be mania if you don't. Others ... https://t.co/otqbxkjchc</v>
      </c>
    </row>
    <row r="7368" spans="1:5" ht="15" customHeight="1" x14ac:dyDescent="0.2">
      <c r="A7368" s="1" t="s">
        <v>14669</v>
      </c>
      <c r="B7368" s="1">
        <v>0</v>
      </c>
      <c r="C7368" s="3">
        <v>44538.896284722221</v>
      </c>
      <c r="D7368" s="1" t="s">
        <v>14670</v>
      </c>
      <c r="E7368" s="1" t="str">
        <f ca="1">IFERROR(__xludf.DUMMYFUNCTION("GOOGLETRANSLATE(A4167 , ""tr"" , ""en"")"),"@drfahrettinkoca is no longer bleeding mean to the lies.")</f>
        <v>@drfahrettinkoca is no longer bleeding mean to the lies.</v>
      </c>
    </row>
    <row r="7369" spans="1:5" ht="15" customHeight="1" x14ac:dyDescent="0.2">
      <c r="A7369" s="1" t="s">
        <v>14671</v>
      </c>
      <c r="B7369" s="1">
        <v>17</v>
      </c>
      <c r="C7369" s="3">
        <v>44538.896273148152</v>
      </c>
      <c r="D7369" s="1" t="s">
        <v>14672</v>
      </c>
      <c r="E7369" s="1" t="str">
        <f ca="1">IFERROR(__xludf.DUMMYFUNCTION("GOOGLETRANSLATE(A4168 , ""tr"" , ""en"")"),"@drfahrettinkoca, we are healthy and gaaay is healthy.")</f>
        <v>@drfahrettinkoca, we are healthy and gaaay is healthy.</v>
      </c>
    </row>
    <row r="7370" spans="1:5" ht="15" customHeight="1" x14ac:dyDescent="0.2">
      <c r="A7370" s="1" t="s">
        <v>14673</v>
      </c>
      <c r="B7370" s="1">
        <v>0</v>
      </c>
      <c r="C7370" s="3">
        <v>44538.89471064815</v>
      </c>
      <c r="D7370" s="1" t="s">
        <v>14674</v>
      </c>
      <c r="E7370" s="1" t="str">
        <f ca="1">IFERROR(__xludf.DUMMYFUNCTION("GOOGLETRANSLATE(A4169 , ""tr"" , ""en"")"),"@drfahrettinkoca for two years doesn't have anything to me, no place to bed")</f>
        <v>@drfahrettinkoca for two years doesn't have anything to me, no place to bed</v>
      </c>
    </row>
    <row r="7371" spans="1:5" ht="15" customHeight="1" x14ac:dyDescent="0.2">
      <c r="A7371" s="1" t="s">
        <v>14675</v>
      </c>
      <c r="B7371" s="1">
        <v>0</v>
      </c>
      <c r="C7371" s="3">
        <v>44538.894537037035</v>
      </c>
      <c r="D7371" s="1" t="s">
        <v>14676</v>
      </c>
      <c r="E7371" s="1" t="str">
        <f ca="1">IFERROR(__xludf.DUMMYFUNCTION("GOOGLETRANSLATE(A4170 , ""tr"" , ""en"")"),"@drfahrettinkoca 3 Dose grafted Daddy has passed away! The patients who are in intensive care are all grafted!")</f>
        <v>@drfahrettinkoca 3 Dose grafted Daddy has passed away! The patients who are in intensive care are all grafted!</v>
      </c>
    </row>
    <row r="7372" spans="1:5" ht="15" customHeight="1" x14ac:dyDescent="0.2">
      <c r="A7372" s="1" t="s">
        <v>14677</v>
      </c>
      <c r="B7372" s="1">
        <v>3</v>
      </c>
      <c r="C7372" s="3">
        <v>44538.894421296296</v>
      </c>
      <c r="D7372" s="1" t="s">
        <v>14678</v>
      </c>
      <c r="E7372" s="1" t="str">
        <f ca="1">IFERROR(__xludf.DUMMYFUNCTION("GOOGLETRANSLATE(A4171 , ""tr"" , ""en"")"),"@drfahrettinkoca how many vaccines are the vaccine getting full? For example, you have 3 biontecs and do you consider the ones who have died. ? ?")</f>
        <v>@drfahrettinkoca how many vaccines are the vaccine getting full? For example, you have 3 biontecs and do you consider the ones who have died. ? ?</v>
      </c>
    </row>
    <row r="7373" spans="1:5" ht="15" customHeight="1" x14ac:dyDescent="0.2">
      <c r="A7373" s="1" t="s">
        <v>14679</v>
      </c>
      <c r="B7373" s="1">
        <v>2</v>
      </c>
      <c r="C7373" s="3">
        <v>44538.894270833334</v>
      </c>
      <c r="D7373" s="1" t="s">
        <v>14680</v>
      </c>
      <c r="E7373" s="1" t="str">
        <f ca="1">IFERROR(__xludf.DUMMYFUNCTION("GOOGLETRANSLATE(A4172 , ""tr"" , ""en"")"),"@drfahrettinka Mr. Overlooking these days people stop wearing masks. The worst is at elevators, bulk ... https://t.co/xx4r74dwzg")</f>
        <v>@drfahrettinka Mr. Overlooking these days people stop wearing masks. The worst is at elevators, bulk ... https://t.co/xx4r74dwzg</v>
      </c>
    </row>
    <row r="7374" spans="1:5" ht="15" customHeight="1" x14ac:dyDescent="0.2">
      <c r="A7374" s="1" t="s">
        <v>14681</v>
      </c>
      <c r="B7374" s="1">
        <v>0</v>
      </c>
      <c r="C7374" s="3">
        <v>44538.894155092596</v>
      </c>
      <c r="D7374" s="1" t="s">
        <v>14682</v>
      </c>
      <c r="E7374" s="1" t="str">
        <f ca="1">IFERROR(__xludf.DUMMYFUNCTION("GOOGLETRANSLATE(A4173 , ""tr"" , ""en"")"),"@drfahrettinkoca excussure's LOG'S LOG'S BIGGEST'S ZALİM ZALİM will be more ŞETİN if no one's doubt is k ... https://t.co/gqnnmeu9vz")</f>
        <v>@drfahrettinkoca excussure's LOG'S LOG'S BIGGEST'S ZALİM ZALİM will be more ŞETİN if no one's doubt is k ... https://t.co/gqnnmeu9vz</v>
      </c>
    </row>
    <row r="7375" spans="1:5" ht="15" customHeight="1" x14ac:dyDescent="0.2">
      <c r="A7375" s="1" t="s">
        <v>14683</v>
      </c>
      <c r="B7375" s="1">
        <v>0</v>
      </c>
      <c r="C7375" s="3">
        <v>44538.893090277779</v>
      </c>
      <c r="D7375" s="1" t="s">
        <v>14684</v>
      </c>
      <c r="E7375" s="1" t="str">
        <f ca="1">IFERROR(__xludf.DUMMYFUNCTION("GOOGLETRANSLATE(A4174 , ""tr"" , ""en"")"),"@drfahrettinkoca What did the people share intensive care to scare people once?")</f>
        <v>@drfahrettinkoca What did the people share intensive care to scare people once?</v>
      </c>
    </row>
    <row r="7376" spans="1:5" ht="15" customHeight="1" x14ac:dyDescent="0.2">
      <c r="A7376" s="1" t="s">
        <v>14685</v>
      </c>
      <c r="B7376" s="1">
        <v>6</v>
      </c>
      <c r="C7376" s="3">
        <v>44538.891909722224</v>
      </c>
      <c r="D7376" s="1" t="s">
        <v>14686</v>
      </c>
      <c r="E7376" s="1" t="str">
        <f ca="1">IFERROR(__xludf.DUMMYFUNCTION("GOOGLETRANSLATE(A4175 , ""tr"" , ""en"")"),"@drfahrettinkoca vaccine not complete ??? How many dose dose of this vaccine will be full?")</f>
        <v>@drfahrettinkoca vaccine not complete ??? How many dose dose of this vaccine will be full?</v>
      </c>
    </row>
    <row r="7377" spans="1:5" ht="15" customHeight="1" x14ac:dyDescent="0.2">
      <c r="A7377" s="1" t="s">
        <v>14687</v>
      </c>
      <c r="B7377" s="1">
        <v>0</v>
      </c>
      <c r="C7377" s="3">
        <v>44538.891493055555</v>
      </c>
      <c r="D7377" s="1" t="s">
        <v>14688</v>
      </c>
      <c r="E7377" s="1" t="str">
        <f ca="1">IFERROR(__xludf.DUMMYFUNCTION("GOOGLETRANSLATE(A4176 , ""tr"" , ""en"")"),"walk @drfahrettinkoca go, walk walk, my mouth bump me, let allah")</f>
        <v>walk @drfahrettinkoca go, walk walk, my mouth bump me, let allah</v>
      </c>
    </row>
    <row r="7378" spans="1:5" ht="15" customHeight="1" x14ac:dyDescent="0.2">
      <c r="A7378" s="1" t="s">
        <v>14689</v>
      </c>
      <c r="B7378" s="1">
        <v>0</v>
      </c>
      <c r="C7378" s="3">
        <v>44538.891064814816</v>
      </c>
      <c r="D7378" s="1" t="s">
        <v>14690</v>
      </c>
      <c r="E7378" s="1" t="str">
        <f ca="1">IFERROR(__xludf.DUMMYFUNCTION("GOOGLETRANSLATE(A4177 , ""tr"" , ""en"")"),"@drfahrettinkoca kids decided to be full vaccine at the end of two years, I said tomorrow, I said my Sinovac event Kiii ... https://t.co/bppcnu9kyl")</f>
        <v>@drfahrettinkoca kids decided to be full vaccine at the end of two years, I said tomorrow, I said my Sinovac event Kiii ... https://t.co/bppcnu9kyl</v>
      </c>
    </row>
    <row r="7379" spans="1:5" ht="15" customHeight="1" x14ac:dyDescent="0.2">
      <c r="A7379" s="1" t="s">
        <v>14691</v>
      </c>
      <c r="B7379" s="1">
        <v>1</v>
      </c>
      <c r="C7379" s="3">
        <v>44538.889618055553</v>
      </c>
      <c r="D7379" s="1" t="s">
        <v>14692</v>
      </c>
      <c r="E7379" s="1" t="str">
        <f ca="1">IFERROR(__xludf.DUMMYFUNCTION("GOOGLETRANSLATE(A4178 , ""tr"" , ""en"")"),"@drfahrettinkoca prejudice, people use the right to be vaccinated, did you say you don't say to yourself, middle and long valley ... https://t.co/b1xwhgff8x")</f>
        <v>@drfahrettinkoca prejudice, people use the right to be vaccinated, did you say you don't say to yourself, middle and long valley ... https://t.co/b1xwhgff8x</v>
      </c>
    </row>
    <row r="7380" spans="1:5" ht="15" customHeight="1" x14ac:dyDescent="0.2">
      <c r="A7380" s="1" t="s">
        <v>14693</v>
      </c>
      <c r="B7380" s="1">
        <v>20</v>
      </c>
      <c r="C7380" s="3">
        <v>44538.889363425929</v>
      </c>
      <c r="D7380" s="1" t="s">
        <v>14694</v>
      </c>
      <c r="E7380" s="1" t="str">
        <f ca="1">IFERROR(__xludf.DUMMYFUNCTION("GOOGLETRANSLATE(A4179 , ""tr"" , ""en"")"),"@drfahrettinkoca MRNA is not the long-term results of the vaccines are not known? What has changed? Pfiz ... https://t.co/fkhı50lyjy")</f>
        <v>@drfahrettinkoca MRNA is not the long-term results of the vaccines are not known? What has changed? Pfiz ... https://t.co/fkhı50lyjy</v>
      </c>
    </row>
    <row r="7381" spans="1:5" ht="15" customHeight="1" x14ac:dyDescent="0.2">
      <c r="A7381" s="1" t="s">
        <v>14695</v>
      </c>
      <c r="B7381" s="1">
        <v>0</v>
      </c>
      <c r="C7381" s="3">
        <v>44538.88722222222</v>
      </c>
      <c r="D7381" s="1" t="s">
        <v>14696</v>
      </c>
      <c r="E7381" s="1" t="str">
        <f ca="1">IFERROR(__xludf.DUMMYFUNCTION("GOOGLETRANSLATE(A4180 , ""tr"" , ""en"")"),"@drfahrettinkoca guide we want enough arık your dating !!!!!!")</f>
        <v>@drfahrettinkoca guide we want enough arık your dating !!!!!!</v>
      </c>
    </row>
    <row r="7382" spans="1:5" ht="15" customHeight="1" x14ac:dyDescent="0.2">
      <c r="A7382" s="1" t="s">
        <v>14697</v>
      </c>
      <c r="B7382" s="1">
        <v>0</v>
      </c>
      <c r="C7382" s="3">
        <v>44538.886307870373</v>
      </c>
      <c r="D7382" s="1" t="s">
        <v>14698</v>
      </c>
      <c r="E7382" s="1" t="str">
        <f ca="1">IFERROR(__xludf.DUMMYFUNCTION("GOOGLETRANSLATE(A4181 , ""tr"" , ""en"")"),"@drfahrettinkoca do you need to vaccine these conditions we are dying to live already do us")</f>
        <v>@drfahrettinkoca do you need to vaccine these conditions we are dying to live already do us</v>
      </c>
    </row>
    <row r="7383" spans="1:5" ht="15" customHeight="1" x14ac:dyDescent="0.2">
      <c r="A7383" s="1" t="s">
        <v>14699</v>
      </c>
      <c r="B7383" s="1">
        <v>4</v>
      </c>
      <c r="C7383" s="3">
        <v>44538.88590277778</v>
      </c>
      <c r="D7383" s="1" t="s">
        <v>14700</v>
      </c>
      <c r="E7383" s="1" t="str">
        <f ca="1">IFERROR(__xludf.DUMMYFUNCTION("GOOGLETRANSLATE(A4182 , ""tr"" , ""en"")"),"@drfahrettinkoca is the most ultimately everyone's twill? I want my right to die out of noose. YOU DIE GOTEL OK? Understand ... https://t.co/uupbz8wpx7")</f>
        <v>@drfahrettinkoca is the most ultimately everyone's twill? I want my right to die out of noose. YOU DIE GOTEL OK? Understand ... https://t.co/uupbz8wpx7</v>
      </c>
    </row>
    <row r="7384" spans="1:5" ht="15" customHeight="1" x14ac:dyDescent="0.2">
      <c r="A7384" s="1" t="s">
        <v>14701</v>
      </c>
      <c r="B7384" s="1">
        <v>14</v>
      </c>
      <c r="C7384" s="3">
        <v>44538.882650462961</v>
      </c>
      <c r="D7384" s="1" t="s">
        <v>14702</v>
      </c>
      <c r="E7384" s="1" t="str">
        <f ca="1">IFERROR(__xludf.DUMMYFUNCTION("GOOGLETRANSLATE(A4183 , ""tr"" , ""en"")"),"@drfahrettinkoca sn.bakan Put your hand on your love for Allah's love and answer: In this country, you know a vaccine source ... https://t.co/scekuikvc8")</f>
        <v>@drfahrettinkoca sn.bakan Put your hand on your love for Allah's love and answer: In this country, you know a vaccine source ... https://t.co/scekuikvc8</v>
      </c>
    </row>
    <row r="7385" spans="1:5" ht="15" customHeight="1" x14ac:dyDescent="0.2">
      <c r="A7385" s="1" t="s">
        <v>14703</v>
      </c>
      <c r="B7385" s="1">
        <v>3</v>
      </c>
      <c r="C7385" s="3">
        <v>44538.882407407407</v>
      </c>
      <c r="D7385" s="1" t="s">
        <v>14704</v>
      </c>
      <c r="E7385" s="1" t="str">
        <f ca="1">IFERROR(__xludf.DUMMYFUNCTION("GOOGLETRANSLATE(A4184 , ""tr"" , ""en"")"),"@drfahrettinka you also take the necessary measures. Why the misal arab tourists fit the mask and distance rule ... https://t.co/dmjgvfcqj4")</f>
        <v>@drfahrettinka you also take the necessary measures. Why the misal arab tourists fit the mask and distance rule ... https://t.co/dmjgvfcqj4</v>
      </c>
    </row>
    <row r="7386" spans="1:5" ht="15" customHeight="1" x14ac:dyDescent="0.2">
      <c r="A7386" s="1" t="s">
        <v>14705</v>
      </c>
      <c r="B7386" s="1">
        <v>13</v>
      </c>
      <c r="C7386" s="3">
        <v>44538.882349537038</v>
      </c>
      <c r="D7386" s="1" t="s">
        <v>14706</v>
      </c>
      <c r="E7386" s="1" t="str">
        <f ca="1">IFERROR(__xludf.DUMMYFUNCTION("GOOGLETRANSLATE(A4185 , ""tr"" , ""en"")"),"@drfahrettinka vaccine lobbies were rich enough .. Enough now, think of our mind 😠 https://t.co/3z4d0b2h4o")</f>
        <v>@drfahrettinka vaccine lobbies were rich enough .. Enough now, think of our mind 😠 https://t.co/3z4d0b2h4o</v>
      </c>
    </row>
    <row r="7387" spans="1:5" ht="15" customHeight="1" x14ac:dyDescent="0.2">
      <c r="A7387" s="1" t="s">
        <v>14707</v>
      </c>
      <c r="B7387" s="1">
        <v>9</v>
      </c>
      <c r="C7387" s="3">
        <v>44538.880162037036</v>
      </c>
      <c r="D7387" s="1" t="s">
        <v>14708</v>
      </c>
      <c r="E7387" s="1" t="str">
        <f ca="1">IFERROR(__xludf.DUMMYFUNCTION("GOOGLETRANSLATE(A4186 , ""tr"" , ""en"")"),"@drfahrettinkoca same nakarat all the same same, complete bayat, tell about 🎶🎶")</f>
        <v>@drfahrettinkoca same nakarat all the same same, complete bayat, tell about 🎶🎶</v>
      </c>
    </row>
    <row r="7388" spans="1:5" ht="15" customHeight="1" x14ac:dyDescent="0.2">
      <c r="A7388" s="1" t="s">
        <v>14709</v>
      </c>
      <c r="B7388" s="1">
        <v>2</v>
      </c>
      <c r="C7388" s="3">
        <v>44538.878750000003</v>
      </c>
      <c r="D7388" s="1" t="s">
        <v>14710</v>
      </c>
      <c r="E7388" s="1" t="str">
        <f ca="1">IFERROR(__xludf.DUMMYFUNCTION("GOOGLETRANSLATE(A4187 , ""tr"" , ""en"")"),"@drfahrettinka Omicron Variant was announced that 2 dose of overdose against the variant is insufficient. 3 dose vaccines ... https://t.co/zfifqevlbx")</f>
        <v>@drfahrettinka Omicron Variant was announced that 2 dose of overdose against the variant is insufficient. 3 dose vaccines ... https://t.co/zfifqevlbx</v>
      </c>
    </row>
    <row r="7389" spans="1:5" ht="15" customHeight="1" x14ac:dyDescent="0.2">
      <c r="A7389" s="1" t="s">
        <v>14711</v>
      </c>
      <c r="B7389" s="1">
        <v>91</v>
      </c>
      <c r="C7389" s="3">
        <v>44538.878483796296</v>
      </c>
      <c r="D7389" s="1" t="s">
        <v>14712</v>
      </c>
      <c r="E7389" s="1" t="str">
        <f ca="1">IFERROR(__xludf.DUMMYFUNCTION("GOOGLETRANSLATE(A4188 , ""tr"" , ""en"")"),"@drfahrettinkoca on my surroundings in only 1 week after vaccine ""minnaci PITHTI"" for emboli and acute coronary se ... https://t.co/ftaqsyzjgw")</f>
        <v>@drfahrettinkoca on my surroundings in only 1 week after vaccine "minnaci PITHTI" for emboli and acute coronary se ... https://t.co/ftaqsyzjgw</v>
      </c>
    </row>
    <row r="7390" spans="1:5" ht="15" customHeight="1" x14ac:dyDescent="0.2">
      <c r="A7390" s="1" t="s">
        <v>14713</v>
      </c>
      <c r="B7390" s="1">
        <v>0</v>
      </c>
      <c r="C7390" s="3">
        <v>44538.874884259261</v>
      </c>
      <c r="D7390" s="1" t="s">
        <v>14714</v>
      </c>
      <c r="E7390" s="1" t="str">
        <f ca="1">IFERROR(__xludf.DUMMYFUNCTION("GOOGLETRANSLATE(A4189 , ""tr"" , ""en"")"),"@drfahrettinkoca Hope your Bed Before Cabinet Change")</f>
        <v>@drfahrettinkoca Hope your Bed Before Cabinet Change</v>
      </c>
    </row>
    <row r="7391" spans="1:5" ht="15" customHeight="1" x14ac:dyDescent="0.2">
      <c r="A7391" s="1" t="s">
        <v>14715</v>
      </c>
      <c r="B7391" s="1">
        <v>0</v>
      </c>
      <c r="C7391" s="3">
        <v>44538.874108796299</v>
      </c>
      <c r="D7391" s="1" t="s">
        <v>14716</v>
      </c>
      <c r="E7391" s="1" t="str">
        <f ca="1">IFERROR(__xludf.DUMMYFUNCTION("GOOGLETRANSLATE(A4190 , ""tr"" , ""en"")"),"@drfahrettinka What did you earn as you explain the side effects of a minnacetic PIHTICK? 8 weeks after the vaccine ... https://t.co/0g40syfnzw")</f>
        <v>@drfahrettinka What did you earn as you explain the side effects of a minnacetic PIHTICK? 8 weeks after the vaccine ... https://t.co/0g40syfnzw</v>
      </c>
    </row>
    <row r="7392" spans="1:5" ht="15" customHeight="1" x14ac:dyDescent="0.2">
      <c r="A7392" s="1" t="s">
        <v>14717</v>
      </c>
      <c r="B7392" s="1">
        <v>0</v>
      </c>
      <c r="C7392" s="3">
        <v>44538.873333333337</v>
      </c>
      <c r="D7392" s="1" t="s">
        <v>14718</v>
      </c>
      <c r="E7392" s="1" t="str">
        <f ca="1">IFERROR(__xludf.DUMMYFUNCTION("GOOGLETRANSLATE(A4191 , ""tr"" , ""en"")"),"@drfahrettinkoca Muşettin Your husband is dying at the same rate on the vaccines lying. The vaccine has no benefits. Yala ... https://t.co/vvqg3ohnav")</f>
        <v>@drfahrettinkoca Muşettin Your husband is dying at the same rate on the vaccines lying. The vaccine has no benefits. Yala ... https://t.co/vvqg3ohnav</v>
      </c>
    </row>
    <row r="7393" spans="1:5" ht="15" customHeight="1" x14ac:dyDescent="0.2">
      <c r="A7393" s="1" t="s">
        <v>14719</v>
      </c>
      <c r="B7393" s="1">
        <v>0</v>
      </c>
      <c r="C7393" s="3">
        <v>44538.872824074075</v>
      </c>
      <c r="D7393" s="1" t="s">
        <v>14720</v>
      </c>
      <c r="E7393" s="1" t="str">
        <f ca="1">IFERROR(__xludf.DUMMYFUNCTION("GOOGLETRANSLATE(A4192 , ""tr"" , ""en"")"),"@drfahrettinkoca Mr. Overlooking yourself ""vaccine non-complete persons"" the state of the State Ministry of Ministry ... https://t.co/z4sskgggfwn")</f>
        <v>@drfahrettinkoca Mr. Overlooking yourself "vaccine non-complete persons" the state of the State Ministry of Ministry ... https://t.co/z4sskgggfwn</v>
      </c>
    </row>
    <row r="7394" spans="1:5" ht="15" customHeight="1" x14ac:dyDescent="0.2">
      <c r="A7394" s="1" t="s">
        <v>14721</v>
      </c>
      <c r="B7394" s="1">
        <v>2</v>
      </c>
      <c r="C7394" s="3">
        <v>44538.872800925928</v>
      </c>
      <c r="D7394" s="1" t="s">
        <v>14722</v>
      </c>
      <c r="E7394" s="1" t="str">
        <f ca="1">IFERROR(__xludf.DUMMYFUNCTION("GOOGLETRANSLATE(A4193 , ""tr"" , ""en"")"),"@drfahrettinkoca or bi go elsewhere tell other tales. You still have a lot of ilac kakaladin nation https://t.co/zukaIqheht")</f>
        <v>@drfahrettinkoca or bi go elsewhere tell other tales. You still have a lot of ilac kakaladin nation https://t.co/zukaIqheht</v>
      </c>
    </row>
    <row r="7395" spans="1:5" ht="15" customHeight="1" x14ac:dyDescent="0.2">
      <c r="A7395" s="1" t="s">
        <v>14723</v>
      </c>
      <c r="B7395" s="1">
        <v>18</v>
      </c>
      <c r="C7395" s="3">
        <v>44538.872175925928</v>
      </c>
      <c r="D7395" s="1" t="s">
        <v>14724</v>
      </c>
      <c r="E7395" s="1" t="str">
        <f ca="1">IFERROR(__xludf.DUMMYFUNCTION("GOOGLETRANSLATE(A4194 , ""tr"" , ""en"")"),"@drfahrettinkoca assignment, but what did the Ministry of Health working with the missing staff? https://t.co/ecoxxnaovj")</f>
        <v>@drfahrettinkoca assignment, but what did the Ministry of Health working with the missing staff? https://t.co/ecoxxnaovj</v>
      </c>
    </row>
    <row r="7396" spans="1:5" ht="15" customHeight="1" x14ac:dyDescent="0.2">
      <c r="A7396" s="1" t="s">
        <v>14725</v>
      </c>
      <c r="B7396" s="1">
        <v>0</v>
      </c>
      <c r="C7396" s="3">
        <v>44538.870254629626</v>
      </c>
      <c r="D7396" s="1" t="s">
        <v>14726</v>
      </c>
      <c r="E7396" s="1" t="str">
        <f ca="1">IFERROR(__xludf.DUMMYFUNCTION("GOOGLETRANSLATE(A4195 , ""tr"" , ""en"")"),"@drfahrettinkoca How many percentage percentage is missing percentage ??")</f>
        <v>@drfahrettinkoca How many percentage percentage is missing percentage ??</v>
      </c>
    </row>
    <row r="7397" spans="1:5" ht="15" customHeight="1" x14ac:dyDescent="0.2">
      <c r="A7397" s="1" t="s">
        <v>14727</v>
      </c>
      <c r="B7397" s="1">
        <v>4</v>
      </c>
      <c r="C7397" s="3">
        <v>44538.869699074072</v>
      </c>
      <c r="D7397" s="1" t="s">
        <v>14728</v>
      </c>
      <c r="E7397" s="1" t="str">
        <f ca="1">IFERROR(__xludf.DUMMYFUNCTION("GOOGLETRANSLATE(A4196 , ""tr"" , ""en"")"),"@drfahrettinkoca assignment also should be taken bi decision dude 😎")</f>
        <v>@drfahrettinkoca assignment also should be taken bi decision dude 😎</v>
      </c>
    </row>
    <row r="7398" spans="1:5" ht="15" customHeight="1" x14ac:dyDescent="0.2">
      <c r="A7398" s="1" t="s">
        <v>14729</v>
      </c>
      <c r="B7398" s="1">
        <v>1</v>
      </c>
      <c r="C7398" s="3">
        <v>44538.869201388887</v>
      </c>
      <c r="D7398" s="1" t="s">
        <v>14730</v>
      </c>
      <c r="E7398" s="1" t="str">
        <f ca="1">IFERROR(__xludf.DUMMYFUNCTION("GOOGLETRANSLATE(A4197 , ""tr"" , ""en"")"),"@drfahrettinkoca @drmetincakir You are doing so much thinking about us or drop these jobs in the 3 day world Men ... https://t.co/ouc7ecvnoj")</f>
        <v>@drfahrettinkoca @drmetincakir You are doing so much thinking about us or drop these jobs in the 3 day world Men ... https://t.co/ouc7ecvnoj</v>
      </c>
    </row>
    <row r="7399" spans="1:5" ht="15" customHeight="1" x14ac:dyDescent="0.2">
      <c r="A7399" s="1" t="s">
        <v>14731</v>
      </c>
      <c r="B7399" s="1">
        <v>0</v>
      </c>
      <c r="C7399" s="3">
        <v>44538.868136574078</v>
      </c>
      <c r="D7399" s="1" t="s">
        <v>14732</v>
      </c>
      <c r="E7399" s="1" t="str">
        <f ca="1">IFERROR(__xludf.DUMMYFUNCTION("GOOGLETRANSLATE(A4198 , ""tr"" , ""en"")"),"@drfahrettinkoca yes 3 grafted why you are still rejoicing if you respond to yogun care")</f>
        <v>@drfahrettinkoca yes 3 grafted why you are still rejoicing if you respond to yogun care</v>
      </c>
    </row>
    <row r="7400" spans="1:5" ht="15" customHeight="1" x14ac:dyDescent="0.2">
      <c r="A7400" s="1" t="s">
        <v>14733</v>
      </c>
      <c r="B7400" s="1">
        <v>5</v>
      </c>
      <c r="C7400" s="3">
        <v>44538.867824074077</v>
      </c>
      <c r="D7400" s="1" t="s">
        <v>14734</v>
      </c>
      <c r="E7400" s="1" t="str">
        <f ca="1">IFERROR(__xludf.DUMMYFUNCTION("GOOGLETRANSLATE(A4199 , ""tr"" , ""en"")"),"@drfahrettinka is a huge year 60 thousand staff you have received or where is 60 thousand staff? Took 12 thousand 2020 ... https://t.co/qmrd88f5rI")</f>
        <v>@drfahrettinka is a huge year 60 thousand staff you have received or where is 60 thousand staff? Took 12 thousand 2020 ... https://t.co/qmrd88f5rI</v>
      </c>
    </row>
    <row r="7401" spans="1:5" ht="15" customHeight="1" x14ac:dyDescent="0.2">
      <c r="A7401" s="1" t="s">
        <v>14735</v>
      </c>
      <c r="B7401" s="1">
        <v>0</v>
      </c>
      <c r="C7401" s="3">
        <v>44538.867696759262</v>
      </c>
      <c r="D7401" s="1" t="s">
        <v>14736</v>
      </c>
      <c r="E7401" s="1" t="str">
        <f ca="1">IFERROR(__xludf.DUMMYFUNCTION("GOOGLETRANSLATE(A4200 , ""tr"" , ""en"")"),"@drfahrettinkoca is now that you need to have the most cases of the most cases that are made in this table. A ... https://t.co/1cbthulcbp")</f>
        <v>@drfahrettinkoca is now that you need to have the most cases of the most cases that are made in this table. A ... https://t.co/1cbthulcbp</v>
      </c>
    </row>
    <row r="7402" spans="1:5" ht="15" customHeight="1" x14ac:dyDescent="0.2">
      <c r="A7402" s="1" t="s">
        <v>14737</v>
      </c>
      <c r="B7402" s="1">
        <v>1</v>
      </c>
      <c r="C7402" s="3">
        <v>44538.867349537039</v>
      </c>
      <c r="D7402" s="1" t="s">
        <v>14738</v>
      </c>
      <c r="E7402" s="1" t="str">
        <f ca="1">IFERROR(__xludf.DUMMYFUNCTION("GOOGLETRANSLATE(A4201 , ""tr"" , ""en"")"),"@drfahrettinkoca I have never injected the liquid of my vaccine injecting my body and I'm always healthy in my own ... https://t.co/9e6j73iq2u")</f>
        <v>@drfahrettinkoca I have never injected the liquid of my vaccine injecting my body and I'm always healthy in my own ... https://t.co/9e6j73iq2u</v>
      </c>
    </row>
    <row r="7403" spans="1:5" ht="15" customHeight="1" x14ac:dyDescent="0.2">
      <c r="A7403" s="1" t="s">
        <v>14739</v>
      </c>
      <c r="B7403" s="1">
        <v>0</v>
      </c>
      <c r="C7403" s="3">
        <v>44538.867083333331</v>
      </c>
      <c r="D7403" s="1" t="s">
        <v>14740</v>
      </c>
      <c r="E7403" s="1" t="str">
        <f ca="1">IFERROR(__xludf.DUMMYFUNCTION("GOOGLETRANSLATE(A4202 , ""tr"" , ""en"")"),"@drfahrettinkoca you have a firm evidence? The possible side of the vaccines that you have forced and threat to ... https://t.co/6gkcfamyws")</f>
        <v>@drfahrettinkoca you have a firm evidence? The possible side of the vaccines that you have forced and threat to ... https://t.co/6gkcfamyws</v>
      </c>
    </row>
    <row r="7404" spans="1:5" ht="15" customHeight="1" x14ac:dyDescent="0.2">
      <c r="A7404" s="1" t="s">
        <v>14741</v>
      </c>
      <c r="B7404" s="1">
        <v>0</v>
      </c>
      <c r="C7404" s="3">
        <v>44538.866597222222</v>
      </c>
      <c r="D7404" s="1" t="s">
        <v>14742</v>
      </c>
      <c r="E7404" s="1" t="str">
        <f ca="1">IFERROR(__xludf.DUMMYFUNCTION("GOOGLETRANSLATE(A4203 , ""tr"" , ""en"")"),"@drfahrettinkoca 3. Download the range for 3 months")</f>
        <v>@drfahrettinkoca 3. Download the range for 3 months</v>
      </c>
    </row>
    <row r="7405" spans="1:5" ht="15" customHeight="1" x14ac:dyDescent="0.2">
      <c r="A7405" s="1" t="s">
        <v>14743</v>
      </c>
      <c r="B7405" s="1">
        <v>0</v>
      </c>
      <c r="C7405" s="3">
        <v>44538.866342592592</v>
      </c>
      <c r="D7405" s="1" t="s">
        <v>14744</v>
      </c>
      <c r="E7405" s="1" t="str">
        <f ca="1">IFERROR(__xludf.DUMMYFUNCTION("GOOGLETRANSLATE(A4204 , ""tr"" , ""en"")"),"@drfahrettinkoca does not understand, in the rate of vaccination, the number of dying does not change much, 200 people andfat ediyo a day ... https://t.co/vdbj4uvp2c")</f>
        <v>@drfahrettinkoca does not understand, in the rate of vaccination, the number of dying does not change much, 200 people andfat ediyo a day ... https://t.co/vdbj4uvp2c</v>
      </c>
    </row>
    <row r="7406" spans="1:5" ht="15" customHeight="1" x14ac:dyDescent="0.2">
      <c r="A7406" s="1" t="s">
        <v>14745</v>
      </c>
      <c r="B7406" s="1">
        <v>0</v>
      </c>
      <c r="C7406" s="3">
        <v>44538.866238425922</v>
      </c>
      <c r="D7406" s="1" t="s">
        <v>14746</v>
      </c>
      <c r="E7406" s="1" t="str">
        <f ca="1">IFERROR(__xludf.DUMMYFUNCTION("GOOGLETRANSLATE(A4205 , ""tr"" , ""en"")"),"@drfahrettinkoca Enough is now fed up to famous familiar people MOBING printing at work")</f>
        <v>@drfahrettinkoca Enough is now fed up to famous familiar people MOBING printing at work</v>
      </c>
    </row>
    <row r="7407" spans="1:5" ht="15" customHeight="1" x14ac:dyDescent="0.2">
      <c r="A7407" s="1" t="s">
        <v>14747</v>
      </c>
      <c r="B7407" s="1">
        <v>0</v>
      </c>
      <c r="C7407" s="3">
        <v>44538.865833333337</v>
      </c>
      <c r="D7407" s="1" t="s">
        <v>14748</v>
      </c>
      <c r="E7407" s="1" t="str">
        <f ca="1">IFERROR(__xludf.DUMMYFUNCTION("GOOGLETRANSLATE(A4206 , ""tr"" , ""en"")"),"@drfahrettinkoca get optional enough sense hear")</f>
        <v>@drfahrettinkoca get optional enough sense hear</v>
      </c>
    </row>
    <row r="7408" spans="1:5" ht="15" customHeight="1" x14ac:dyDescent="0.2">
      <c r="A7408" s="1" t="s">
        <v>14749</v>
      </c>
      <c r="B7408" s="1">
        <v>0</v>
      </c>
      <c r="C7408" s="3">
        <v>44538.865405092591</v>
      </c>
      <c r="D7408" s="1" t="s">
        <v>14750</v>
      </c>
      <c r="E7408" s="1" t="str">
        <f ca="1">IFERROR(__xludf.DUMMYFUNCTION("GOOGLETRANSLATE(A4207 , ""tr"" , ""en"")"),"@drfahrettinkoca We have done daily vaccine to be full-grown with your discourse 2 dose Sinovac You said ZA ... https://t.co/orifdqkvde")</f>
        <v>@drfahrettinkoca We have done daily vaccine to be full-grown with your discourse 2 dose Sinovac You said ZA ... https://t.co/orifdqkvde</v>
      </c>
    </row>
    <row r="7409" spans="1:5" ht="15" customHeight="1" x14ac:dyDescent="0.2">
      <c r="A7409" s="1" t="s">
        <v>14751</v>
      </c>
      <c r="B7409" s="1">
        <v>0</v>
      </c>
      <c r="C7409" s="3">
        <v>44538.864652777775</v>
      </c>
      <c r="D7409" s="1" t="s">
        <v>14752</v>
      </c>
      <c r="E7409" s="1" t="str">
        <f ca="1">IFERROR(__xludf.DUMMYFUNCTION("GOOGLETRANSLATE(A4208 , ""tr"" , ""en"")"),"@drfahrettinkoca guide are waiting for the minister we don't have enough time?")</f>
        <v>@drfahrettinkoca guide are waiting for the minister we don't have enough time?</v>
      </c>
    </row>
    <row r="7410" spans="1:5" ht="15" customHeight="1" x14ac:dyDescent="0.2">
      <c r="A7410" s="1" t="s">
        <v>14753</v>
      </c>
      <c r="B7410" s="1">
        <v>1</v>
      </c>
      <c r="C7410" s="3">
        <v>44538.863715277781</v>
      </c>
      <c r="D7410" s="1" t="s">
        <v>14754</v>
      </c>
      <c r="E7410" s="1" t="str">
        <f ca="1">IFERROR(__xludf.DUMMYFUNCTION("GOOGLETRANSLATE(A4209 , ""tr"" , ""en"")"),"@drfahrettinka Divine Dear Minister. You are a lot of joke. I don't have that test that I don't have the vaccine or something. This is ... https://t.co/BPI75idexs")</f>
        <v>@drfahrettinka Divine Dear Minister. You are a lot of joke. I don't have that test that I don't have the vaccine or something. This is ... https://t.co/BPI75idexs</v>
      </c>
    </row>
    <row r="7411" spans="1:5" ht="15" customHeight="1" x14ac:dyDescent="0.2">
      <c r="A7411" s="1" t="s">
        <v>14755</v>
      </c>
      <c r="B7411" s="1">
        <v>0</v>
      </c>
      <c r="C7411" s="3">
        <v>44538.862581018519</v>
      </c>
      <c r="D7411" s="1" t="s">
        <v>14756</v>
      </c>
      <c r="E7411" s="1" t="str">
        <f ca="1">IFERROR(__xludf.DUMMYFUNCTION("GOOGLETRANSLATE(A4210 , ""tr"" , ""en"")"),"@drfahrettinkoca Do you have any news from death numbers")</f>
        <v>@drfahrettinkoca Do you have any news from death numbers</v>
      </c>
    </row>
    <row r="7412" spans="1:5" ht="15" customHeight="1" x14ac:dyDescent="0.2">
      <c r="A7412" s="1" t="s">
        <v>14757</v>
      </c>
      <c r="B7412" s="1">
        <v>1</v>
      </c>
      <c r="C7412" s="3">
        <v>44538.86210648148</v>
      </c>
      <c r="D7412" s="1" t="s">
        <v>14758</v>
      </c>
      <c r="E7412" s="1" t="str">
        <f ca="1">IFERROR(__xludf.DUMMYFUNCTION("GOOGLETRANSLATE(A4211 , ""tr"" , ""en"")"),"@drfahrettinkoca grafted my friend sleeping in the vaccine hocam where is the vaccination?")</f>
        <v>@drfahrettinkoca grafted my friend sleeping in the vaccine hocam where is the vaccination?</v>
      </c>
    </row>
    <row r="7413" spans="1:5" ht="15" customHeight="1" x14ac:dyDescent="0.2">
      <c r="A7413" s="1" t="s">
        <v>14759</v>
      </c>
      <c r="B7413" s="1">
        <v>0</v>
      </c>
      <c r="C7413" s="3">
        <v>44538.861574074072</v>
      </c>
      <c r="D7413" s="1" t="s">
        <v>14760</v>
      </c>
      <c r="E7413" s="1" t="str">
        <f ca="1">IFERROR(__xludf.DUMMYFUNCTION("GOOGLETRANSLATE(A4212 , ""tr"" , ""en"")"),"@drfahrettinkoca has passed over the top of the assignment that you don't promise today. Never But Never Pull us for 1 year ... https://t.co/qygl2evnpj")</f>
        <v>@drfahrettinkoca has passed over the top of the assignment that you don't promise today. Never But Never Pull us for 1 year ... https://t.co/qygl2evnpj</v>
      </c>
    </row>
    <row r="7414" spans="1:5" ht="15" customHeight="1" x14ac:dyDescent="0.2">
      <c r="A7414" s="1" t="s">
        <v>14761</v>
      </c>
      <c r="B7414" s="1">
        <v>0</v>
      </c>
      <c r="C7414" s="3">
        <v>44538.861504629633</v>
      </c>
      <c r="D7414" s="1" t="s">
        <v>14762</v>
      </c>
      <c r="E7414" s="1" t="str">
        <f ca="1">IFERROR(__xludf.DUMMYFUNCTION("GOOGLETRANSLATE(A4213 , ""tr"" , ""en"")"),"@drfahrettinkoca bosuna Ugrasma does not make our nation knows Law Law")</f>
        <v>@drfahrettinkoca bosuna Ugrasma does not make our nation knows Law Law</v>
      </c>
    </row>
    <row r="7415" spans="1:5" ht="15" customHeight="1" x14ac:dyDescent="0.2">
      <c r="A7415" s="1" t="s">
        <v>14763</v>
      </c>
      <c r="B7415" s="1">
        <v>1</v>
      </c>
      <c r="C7415" s="3">
        <v>44538.86078703704</v>
      </c>
      <c r="D7415" s="1" t="s">
        <v>14764</v>
      </c>
      <c r="E7415" s="1" t="str">
        <f ca="1">IFERROR(__xludf.DUMMYFUNCTION("GOOGLETRANSLATE(A4214 , ""tr"" , ""en"")"),"@drfahrettinka https://t.co/PRIXoi34do")</f>
        <v>@drfahrettinka https://t.co/PRIXoi34do</v>
      </c>
    </row>
    <row r="7416" spans="1:5" ht="15" customHeight="1" x14ac:dyDescent="0.2">
      <c r="A7416" s="1" t="s">
        <v>14765</v>
      </c>
      <c r="B7416" s="1">
        <v>3</v>
      </c>
      <c r="C7416" s="3">
        <v>44538.860682870371</v>
      </c>
      <c r="D7416" s="1" t="s">
        <v>14766</v>
      </c>
      <c r="E7416" s="1" t="str">
        <f ca="1">IFERROR(__xludf.DUMMYFUNCTION("GOOGLETRANSLATE(A4215 , ""tr"" , ""en"")"),"@drfahrettinka https://t.co/apm7Ia0mow")</f>
        <v>@drfahrettinka https://t.co/apm7Ia0mow</v>
      </c>
    </row>
    <row r="7417" spans="1:5" ht="15" customHeight="1" x14ac:dyDescent="0.2">
      <c r="A7417" s="1" t="s">
        <v>14767</v>
      </c>
      <c r="B7417" s="1">
        <v>3</v>
      </c>
      <c r="C7417" s="3">
        <v>44538.860578703701</v>
      </c>
      <c r="D7417" s="1" t="s">
        <v>14768</v>
      </c>
      <c r="E7417" s="1" t="str">
        <f ca="1">IFERROR(__xludf.DUMMYFUNCTION("GOOGLETRANSLATE(A4216 , ""tr"" , ""en"")"),"@drfahrettinka https://t.co/kednzdgjo0")</f>
        <v>@drfahrettinka https://t.co/kednzdgjo0</v>
      </c>
    </row>
    <row r="7418" spans="1:5" ht="15" customHeight="1" x14ac:dyDescent="0.2">
      <c r="A7418" s="1" t="s">
        <v>14769</v>
      </c>
      <c r="B7418" s="1">
        <v>0</v>
      </c>
      <c r="C7418" s="3">
        <v>44538.859259259261</v>
      </c>
      <c r="D7418" s="1" t="s">
        <v>14770</v>
      </c>
      <c r="E7418" s="1" t="str">
        <f ca="1">IFERROR(__xludf.DUMMYFUNCTION("GOOGLETRANSLATE(A4217 , ""tr"" , ""en"")"),"@drfahrettinkoca Cikin karsilarina then you are sagghir, you are doing such as Cikin and the guy you make applications ispa ... https://t.co/mkk3gxt1w4")</f>
        <v>@drfahrettinkoca Cikin karsilarina then you are sagghir, you are doing such as Cikin and the guy you make applications ispa ... https://t.co/mkk3gxt1w4</v>
      </c>
    </row>
    <row r="7419" spans="1:5" ht="15" customHeight="1" x14ac:dyDescent="0.2">
      <c r="A7419" s="1" t="s">
        <v>14771</v>
      </c>
      <c r="B7419" s="1">
        <v>1</v>
      </c>
      <c r="C7419" s="3">
        <v>44538.859201388892</v>
      </c>
      <c r="D7419" s="1" t="s">
        <v>14772</v>
      </c>
      <c r="E7419" s="1" t="str">
        <f ca="1">IFERROR(__xludf.DUMMYFUNCTION("GOOGLETRANSLATE(A4218 , ""tr"" , ""en"")"),"@drfahrettinka Our 5-11 years of age boys are waiting for the vaccination order.")</f>
        <v>@drfahrettinka Our 5-11 years of age boys are waiting for the vaccination order.</v>
      </c>
    </row>
    <row r="7420" spans="1:5" ht="15" customHeight="1" x14ac:dyDescent="0.2">
      <c r="A7420" s="1" t="s">
        <v>14773</v>
      </c>
      <c r="B7420" s="1">
        <v>0</v>
      </c>
      <c r="C7420" s="3">
        <v>44538.859131944446</v>
      </c>
      <c r="D7420" s="1" t="s">
        <v>14774</v>
      </c>
      <c r="E7420" s="1" t="str">
        <f ca="1">IFERROR(__xludf.DUMMYFUNCTION("GOOGLETRANSLATE(A4219 , ""tr"" , ""en"")"),"@drfahrettinkoca @drmetincakir You will be on history as the most dishonest health minister ever. The vaccine is dead ... https://t.co/exfisrcdds")</f>
        <v>@drfahrettinkoca @drmetincakir You will be on history as the most dishonest health minister ever. The vaccine is dead ... https://t.co/exfisrcdds</v>
      </c>
    </row>
    <row r="7421" spans="1:5" ht="15" customHeight="1" x14ac:dyDescent="0.2">
      <c r="A7421" s="1" t="s">
        <v>14775</v>
      </c>
      <c r="B7421" s="1">
        <v>1</v>
      </c>
      <c r="C7421" s="3">
        <v>44538.857777777775</v>
      </c>
      <c r="D7421" s="1" t="s">
        <v>14776</v>
      </c>
      <c r="E7421" s="1" t="str">
        <f ca="1">IFERROR(__xludf.DUMMYFUNCTION("GOOGLETRANSLATE(A4220 , ""tr"" , ""en"")"),"@drfahrettinkoca Mr. Minister Double Dose Biontech The more patient has the disease, passing disease, (old miles ... https://t.co/eyul6rthxr")</f>
        <v>@drfahrettinkoca Mr. Minister Double Dose Biontech The more patient has the disease, passing disease, (old miles ... https://t.co/eyul6rthxr</v>
      </c>
    </row>
    <row r="7422" spans="1:5" ht="15" customHeight="1" x14ac:dyDescent="0.2">
      <c r="A7422" s="1" t="s">
        <v>14777</v>
      </c>
      <c r="B7422" s="1">
        <v>0</v>
      </c>
      <c r="C7422" s="3">
        <v>44538.856574074074</v>
      </c>
      <c r="D7422" s="1" t="s">
        <v>14778</v>
      </c>
      <c r="E7422" s="1" t="str">
        <f ca="1">IFERROR(__xludf.DUMMYFUNCTION("GOOGLETRANSLATE(A4221 , ""tr"" , ""en"")"),"@drfahrettinka Mr. Ministry of Covid, Prof.Dr.Dr.")</f>
        <v>@drfahrettinka Mr. Ministry of Covid, Prof.Dr.Dr.</v>
      </c>
    </row>
    <row r="7423" spans="1:5" ht="15" customHeight="1" x14ac:dyDescent="0.2">
      <c r="A7423" s="1" t="s">
        <v>14779</v>
      </c>
      <c r="B7423" s="1">
        <v>0</v>
      </c>
      <c r="C7423" s="3">
        <v>44538.856134259258</v>
      </c>
      <c r="D7423" s="1" t="s">
        <v>14780</v>
      </c>
      <c r="E7423" s="1" t="str">
        <f ca="1">IFERROR(__xludf.DUMMYFUNCTION("GOOGLETRANSLATE(A4222 , ""tr"" , ""en"")"),"@drfahrettinkoca number facing 3 dose synovac Olmus Lies 4 When you are hurting? Our Lies Our Temmu ... https://t.co/f846lzelo7")</f>
        <v>@drfahrettinkoca number facing 3 dose synovac Olmus Lies 4 When you are hurting? Our Lies Our Temmu ... https://t.co/f846lzelo7</v>
      </c>
    </row>
    <row r="7424" spans="1:5" ht="15" customHeight="1" x14ac:dyDescent="0.2">
      <c r="A7424" s="1" t="s">
        <v>14781</v>
      </c>
      <c r="B7424" s="1">
        <v>0</v>
      </c>
      <c r="C7424" s="3">
        <v>44538.855069444442</v>
      </c>
      <c r="D7424" s="1" t="s">
        <v>14782</v>
      </c>
      <c r="E7424" s="1" t="str">
        <f ca="1">IFERROR(__xludf.DUMMYFUNCTION("GOOGLETRANSLATE(A4223 , ""tr"" , ""en"")"),"@drfahrettinkoca there are you to make a tour of the coke in the arm coke ??")</f>
        <v>@drfahrettinkoca there are you to make a tour of the coke in the arm coke ??</v>
      </c>
    </row>
    <row r="7425" spans="1:5" ht="15" customHeight="1" x14ac:dyDescent="0.2">
      <c r="A7425" s="1" t="s">
        <v>14783</v>
      </c>
      <c r="B7425" s="1">
        <v>4</v>
      </c>
      <c r="C7425" s="3">
        <v>44538.854328703703</v>
      </c>
      <c r="D7425" s="1" t="s">
        <v>14784</v>
      </c>
      <c r="E7425" s="1" t="str">
        <f ca="1">IFERROR(__xludf.DUMMYFUNCTION("GOOGLETRANSLATE(A4224 , ""tr"" , ""en"")"),"@drfahrettinkoca Allah has been hanging on your surroundings how much it has been hanging on your surroundings or was hospitalized! This hike ... https://t.co/ubbzzuhsje")</f>
        <v>@drfahrettinkoca Allah has been hanging on your surroundings how much it has been hanging on your surroundings or was hospitalized! This hike ... https://t.co/ubbzzuhsje</v>
      </c>
    </row>
    <row r="7426" spans="1:5" ht="15" customHeight="1" x14ac:dyDescent="0.2">
      <c r="A7426" s="1" t="s">
        <v>14785</v>
      </c>
      <c r="B7426" s="1">
        <v>0</v>
      </c>
      <c r="C7426" s="3">
        <v>44538.854328703703</v>
      </c>
      <c r="D7426" s="1" t="s">
        <v>14786</v>
      </c>
      <c r="E7426" s="1" t="str">
        <f ca="1">IFERROR(__xludf.DUMMYFUNCTION("GOOGLETRANSLATE(A4225 , ""tr"" , ""en"")"),"@drfahrettinkoca that bias you say, not inquiry. https://t.co/hshtacmdtv")</f>
        <v>@drfahrettinkoca that bias you say, not inquiry. https://t.co/hshtacmdtv</v>
      </c>
    </row>
    <row r="7427" spans="1:5" ht="15" customHeight="1" x14ac:dyDescent="0.2">
      <c r="A7427" s="1" t="s">
        <v>14787</v>
      </c>
      <c r="B7427" s="1">
        <v>0</v>
      </c>
      <c r="C7427" s="3">
        <v>44538.853819444441</v>
      </c>
      <c r="D7427" s="1" t="s">
        <v>14788</v>
      </c>
      <c r="E7427" s="1" t="str">
        <f ca="1">IFERROR(__xludf.DUMMYFUNCTION("GOOGLETRANSLATE(A4226 , ""tr"" , ""en"")"),"@drfahrettinkoca has been up to the ridiculous taplo ????")</f>
        <v>@drfahrettinkoca has been up to the ridiculous taplo ????</v>
      </c>
    </row>
    <row r="7428" spans="1:5" ht="15" customHeight="1" x14ac:dyDescent="0.2">
      <c r="A7428" s="1" t="s">
        <v>14789</v>
      </c>
      <c r="B7428" s="1">
        <v>0</v>
      </c>
      <c r="C7428" s="3">
        <v>44538.852662037039</v>
      </c>
      <c r="D7428" s="1" t="s">
        <v>14790</v>
      </c>
      <c r="E7428" s="1" t="str">
        <f ca="1">IFERROR(__xludf.DUMMYFUNCTION("GOOGLETRANSLATE(A4227 , ""tr"" , ""en"")"),"@drfahrettinkoca export the health workers who do the work performing an action.")</f>
        <v>@drfahrettinkoca export the health workers who do the work performing an action.</v>
      </c>
    </row>
    <row r="7429" spans="1:5" ht="15" customHeight="1" x14ac:dyDescent="0.2">
      <c r="A7429" s="1" t="s">
        <v>14791</v>
      </c>
      <c r="B7429" s="1">
        <v>0</v>
      </c>
      <c r="C7429" s="3">
        <v>44538.851840277777</v>
      </c>
      <c r="D7429" s="1" t="s">
        <v>14792</v>
      </c>
      <c r="E7429" s="1" t="str">
        <f ca="1">IFERROR(__xludf.DUMMYFUNCTION("GOOGLETRANSLATE(A4228 , ""tr"" , ""en"")"),"@drfahrettinkoca 3. urgently 3 months decision to overdose")</f>
        <v>@drfahrettinkoca 3. urgently 3 months decision to overdose</v>
      </c>
    </row>
    <row r="7430" spans="1:5" ht="15" customHeight="1" x14ac:dyDescent="0.2">
      <c r="A7430" s="1" t="s">
        <v>14793</v>
      </c>
      <c r="B7430" s="1">
        <v>0</v>
      </c>
      <c r="C7430" s="3">
        <v>44538.851412037038</v>
      </c>
      <c r="D7430" s="1" t="s">
        <v>14794</v>
      </c>
      <c r="E7430" s="1" t="str">
        <f ca="1">IFERROR(__xludf.DUMMYFUNCTION("GOOGLETRANSLATE(A4229 , ""tr"" , ""en"")"),"@drfahrettinkoca what have you gained by making the vaccination. By closing the hometown, giving the money to the world, open the nation ... https://t.co/E2IEIJEBV2")</f>
        <v>@drfahrettinkoca what have you gained by making the vaccination. By closing the hometown, giving the money to the world, open the nation ... https://t.co/E2IEIJEBV2</v>
      </c>
    </row>
    <row r="7431" spans="1:5" ht="15" customHeight="1" x14ac:dyDescent="0.2">
      <c r="A7431" s="1" t="s">
        <v>14795</v>
      </c>
      <c r="B7431" s="1">
        <v>0</v>
      </c>
      <c r="C7431" s="3">
        <v>44538.851168981484</v>
      </c>
      <c r="D7431" s="1" t="s">
        <v>14796</v>
      </c>
      <c r="E7431" s="1" t="str">
        <f ca="1">IFERROR(__xludf.DUMMYFUNCTION("GOOGLETRANSLATE(A4230 , ""tr"" , ""en"")"),"@drfahrettinkoca 3. Dose vaccines are told by the bass bass that you need to be reduced to 3 months You have been told by you 6 months")</f>
        <v>@drfahrettinkoca 3. Dose vaccines are told by the bass bass that you need to be reduced to 3 months You have been told by you 6 months</v>
      </c>
    </row>
    <row r="7432" spans="1:5" ht="15" customHeight="1" x14ac:dyDescent="0.2">
      <c r="A7432" s="1" t="s">
        <v>14797</v>
      </c>
      <c r="B7432" s="1">
        <v>0</v>
      </c>
      <c r="C7432" s="3">
        <v>44538.851111111115</v>
      </c>
      <c r="D7432" s="1" t="s">
        <v>14798</v>
      </c>
      <c r="E7432" s="1" t="str">
        <f ca="1">IFERROR(__xludf.DUMMYFUNCTION("GOOGLETRANSLATE(A4231 , ""tr"" , ""en"")"),"@drfahrettinkoca You should now be judged in the country's people who are no longer in our country's human.")</f>
        <v>@drfahrettinkoca You should now be judged in the country's people who are no longer in our country's human.</v>
      </c>
    </row>
    <row r="7433" spans="1:5" ht="15" customHeight="1" x14ac:dyDescent="0.2">
      <c r="A7433" s="1" t="s">
        <v>14799</v>
      </c>
      <c r="B7433" s="1">
        <v>0</v>
      </c>
      <c r="C7433" s="3">
        <v>44538.849976851852</v>
      </c>
      <c r="D7433" s="1" t="s">
        <v>14800</v>
      </c>
      <c r="E7433" s="1" t="str">
        <f ca="1">IFERROR(__xludf.DUMMYFUNCTION("GOOGLETRANSLATE(A4232 , ""tr"" , ""en"")"),"@drfahrettinkoca is the fact that the professional's commercial doctors at the beginning of the agile of the agile of the heart and mini mini pih ... https://t.co/i1ojsbvejr")</f>
        <v>@drfahrettinkoca is the fact that the professional's commercial doctors at the beginning of the agile of the agile of the heart and mini mini pih ... https://t.co/i1ojsbvejr</v>
      </c>
    </row>
    <row r="7434" spans="1:5" ht="15" customHeight="1" x14ac:dyDescent="0.2">
      <c r="A7434" s="1" t="s">
        <v>14801</v>
      </c>
      <c r="B7434" s="1">
        <v>0</v>
      </c>
      <c r="C7434" s="3">
        <v>44538.849907407406</v>
      </c>
      <c r="D7434" s="1" t="s">
        <v>14802</v>
      </c>
      <c r="E7434" s="1" t="str">
        <f ca="1">IFERROR(__xludf.DUMMYFUNCTION("GOOGLETRANSLATE(A4233 , ""tr"" , ""en"")"),"@drfahrettinkoca please make vaccine vaccine can be a damage to you what the life of God is the wolf with the mansion to God ... https://t.co/o05zmtkae5")</f>
        <v>@drfahrettinkoca please make vaccine vaccine can be a damage to you what the life of God is the wolf with the mansion to God ... https://t.co/o05zmtkae5</v>
      </c>
    </row>
    <row r="7435" spans="1:5" ht="15" customHeight="1" x14ac:dyDescent="0.2">
      <c r="A7435" s="1" t="s">
        <v>14803</v>
      </c>
      <c r="B7435" s="1">
        <v>0</v>
      </c>
      <c r="C7435" s="3">
        <v>44538.848981481482</v>
      </c>
      <c r="D7435" s="1" t="s">
        <v>14804</v>
      </c>
      <c r="E7435" s="1" t="str">
        <f ca="1">IFERROR(__xludf.DUMMYFUNCTION("GOOGLETRANSLATE(A4234 , ""tr"" , ""en"")"),"@drfahrettinka vaccines will be full of avoidance dose")</f>
        <v>@drfahrettinka vaccines will be full of avoidance dose</v>
      </c>
    </row>
    <row r="7436" spans="1:5" ht="15" customHeight="1" x14ac:dyDescent="0.2">
      <c r="A7436" s="1" t="s">
        <v>14805</v>
      </c>
      <c r="B7436" s="1">
        <v>0</v>
      </c>
      <c r="C7436" s="3">
        <v>44538.848333333335</v>
      </c>
      <c r="D7436" s="1" t="s">
        <v>14806</v>
      </c>
      <c r="E7436" s="1" t="str">
        <f ca="1">IFERROR(__xludf.DUMMYFUNCTION("GOOGLETRANSLATE(A4235 , ""tr"" , ""en"")"),"@drfahrettinka you are constantly pumping fear. Your Science Board is members and ceyhan.")</f>
        <v>@drfahrettinka you are constantly pumping fear. Your Science Board is members and ceyhan.</v>
      </c>
    </row>
    <row r="7437" spans="1:5" ht="15" customHeight="1" x14ac:dyDescent="0.2">
      <c r="A7437" s="1" t="s">
        <v>14807</v>
      </c>
      <c r="B7437" s="1">
        <v>0</v>
      </c>
      <c r="C7437" s="3">
        <v>44538.847546296296</v>
      </c>
      <c r="D7437" s="1" t="s">
        <v>14808</v>
      </c>
      <c r="E7437" s="1" t="str">
        <f ca="1">IFERROR(__xludf.DUMMYFUNCTION("GOOGLETRANSLATE(A4236 , ""tr"" , ""en"")"),"@drfahrettinkoca is still the same terane and dared and whether you have no vaccines to be once and two three dose vaccines and two three dose of vaccines ... https://t.co/lr7q40dtx0")</f>
        <v>@drfahrettinkoca is still the same terane and dared and whether you have no vaccines to be once and two three dose vaccines and two three dose of vaccines ... https://t.co/lr7q40dtx0</v>
      </c>
    </row>
    <row r="7438" spans="1:5" ht="15" customHeight="1" x14ac:dyDescent="0.2">
      <c r="A7438" s="1" t="s">
        <v>14809</v>
      </c>
      <c r="B7438" s="1">
        <v>0</v>
      </c>
      <c r="C7438" s="3">
        <v>44538.847071759257</v>
      </c>
      <c r="D7438" s="1" t="s">
        <v>14810</v>
      </c>
      <c r="E7438" s="1" t="str">
        <f ca="1">IFERROR(__xludf.DUMMYFUNCTION("GOOGLETRANSLATE(A4237 , ""tr"" , ""en"")"),"@drfahrettinkoca ya big huge man you are still lying why you lie.")</f>
        <v>@drfahrettinkoca ya big huge man you are still lying why you lie.</v>
      </c>
    </row>
    <row r="7439" spans="1:5" ht="15" customHeight="1" x14ac:dyDescent="0.2">
      <c r="A7439" s="1" t="s">
        <v>14811</v>
      </c>
      <c r="B7439" s="1">
        <v>0</v>
      </c>
      <c r="C7439" s="3">
        <v>44538.846504629626</v>
      </c>
      <c r="D7439" s="1" t="s">
        <v>14812</v>
      </c>
      <c r="E7439" s="1" t="str">
        <f ca="1">IFERROR(__xludf.DUMMYFUNCTION("GOOGLETRANSLATE(A4238 , ""tr"" , ""en"")"),"@drfahrettinkoca can they also be mutated, they will also be muted to those who are still living.")</f>
        <v>@drfahrettinkoca can they also be mutated, they will also be muted to those who are still living.</v>
      </c>
    </row>
    <row r="7440" spans="1:5" ht="15" customHeight="1" x14ac:dyDescent="0.2">
      <c r="A7440" s="1" t="s">
        <v>14813</v>
      </c>
      <c r="B7440" s="1">
        <v>0</v>
      </c>
      <c r="C7440" s="3">
        <v>44538.845497685186</v>
      </c>
      <c r="D7440" s="1" t="s">
        <v>14814</v>
      </c>
      <c r="E7440" s="1" t="str">
        <f ca="1">IFERROR(__xludf.DUMMYFUNCTION("GOOGLETRANSLATE(A4239 , ""tr"" , ""en"")"),"@drfahrettinkoca is not blushing in your face although everything you use in the treatment is wrong. In the treatment protocol y ... https://t.co/ojpt99sgvv")</f>
        <v>@drfahrettinkoca is not blushing in your face although everything you use in the treatment is wrong. In the treatment protocol y ... https://t.co/ojpt99sgvv</v>
      </c>
    </row>
    <row r="7441" spans="1:5" ht="15" customHeight="1" x14ac:dyDescent="0.2">
      <c r="A7441" s="1" t="s">
        <v>14815</v>
      </c>
      <c r="B7441" s="1">
        <v>0</v>
      </c>
      <c r="C7441" s="3">
        <v>44538.844224537039</v>
      </c>
      <c r="D7441" s="1" t="s">
        <v>14816</v>
      </c>
      <c r="E7441" s="1" t="str">
        <f ca="1">IFERROR(__xludf.DUMMYFUNCTION("GOOGLETRANSLATE(A4240 , ""tr"" , ""en"")"),"@drfahrettinkoca I just try to figure out my Minister. According to you, the vaccine is completed approximately 12.5 million, be vaccine ... https://t.co/czf3pogs7y")</f>
        <v>@drfahrettinkoca I just try to figure out my Minister. According to you, the vaccine is completed approximately 12.5 million, be vaccine ... https://t.co/czf3pogs7y</v>
      </c>
    </row>
    <row r="7442" spans="1:5" ht="15" customHeight="1" x14ac:dyDescent="0.2">
      <c r="A7442" s="1" t="s">
        <v>14817</v>
      </c>
      <c r="B7442" s="1">
        <v>0</v>
      </c>
      <c r="C7442" s="3">
        <v>44538.844131944446</v>
      </c>
      <c r="D7442" s="1" t="s">
        <v>14818</v>
      </c>
      <c r="E7442" s="1" t="str">
        <f ca="1">IFERROR(__xludf.DUMMYFUNCTION("GOOGLETRANSLATE(A4241 , ""tr"" , ""en"")"),"@drfahrettinkoca Most of the hospital hospitals are Gaziantepte 15 years of age Lies Batın Your Enough Vinclora Bride ... https://t.co/wnuqtfakqn")</f>
        <v>@drfahrettinkoca Most of the hospital hospitals are Gaziantepte 15 years of age Lies Batın Your Enough Vinclora Bride ... https://t.co/wnuqtfakqn</v>
      </c>
    </row>
    <row r="7443" spans="1:5" ht="15" customHeight="1" x14ac:dyDescent="0.2">
      <c r="A7443" s="1" t="s">
        <v>14819</v>
      </c>
      <c r="B7443" s="1">
        <v>1</v>
      </c>
      <c r="C7443" s="3">
        <v>44538.843865740739</v>
      </c>
      <c r="D7443" s="1" t="s">
        <v>14820</v>
      </c>
      <c r="E7443" s="1" t="str">
        <f ca="1">IFERROR(__xludf.DUMMYFUNCTION("GOOGLETRANSLATE(A4242 , ""tr"" , ""en"")"),"@drfahrettinkoca If you share the following data, we also believe in peace of mind, even those inude tc num ... https://t.co/vs2rfth6dp")</f>
        <v>@drfahrettinkoca If you share the following data, we also believe in peace of mind, even those inude tc num ... https://t.co/vs2rfth6dp</v>
      </c>
    </row>
    <row r="7444" spans="1:5" ht="15" customHeight="1" x14ac:dyDescent="0.2">
      <c r="A7444" s="1" t="s">
        <v>14821</v>
      </c>
      <c r="B7444" s="1">
        <v>0</v>
      </c>
      <c r="C7444" s="3">
        <v>44538.842962962961</v>
      </c>
      <c r="D7444" s="1" t="s">
        <v>14822</v>
      </c>
      <c r="E7444" s="1" t="str">
        <f ca="1">IFERROR(__xludf.DUMMYFUNCTION("GOOGLETRANSLATE(A4243 , ""tr"" , ""en"")"),"@drfahrettinkoca What is the full vaccine is what you mean to Mr. Minister, more than three dose of these days, Uğur Şahin. That vaccine ... https://t.co/vunkiakyyp0")</f>
        <v>@drfahrettinkoca What is the full vaccine is what you mean to Mr. Minister, more than three dose of these days, Uğur Şahin. That vaccine ... https://t.co/vunkiakyyp0</v>
      </c>
    </row>
    <row r="7445" spans="1:5" ht="15" customHeight="1" x14ac:dyDescent="0.2">
      <c r="A7445" s="1" t="s">
        <v>14823</v>
      </c>
      <c r="B7445" s="1">
        <v>1</v>
      </c>
      <c r="C7445" s="3">
        <v>44538.842488425929</v>
      </c>
      <c r="D7445" s="1" t="s">
        <v>14824</v>
      </c>
      <c r="E7445" s="1" t="str">
        <f ca="1">IFERROR(__xludf.DUMMYFUNCTION("GOOGLETRANSLATE(A4244 , ""tr"" , ""en"")"),"@drfahrettinkoca heart attack, paralysis, inflammation of heart muscle, stroke, possible cancer, blind growth and more ... https://t.co/oxeblzlq9j")</f>
        <v>@drfahrettinkoca heart attack, paralysis, inflammation of heart muscle, stroke, possible cancer, blind growth and more ... https://t.co/oxeblzlq9j</v>
      </c>
    </row>
    <row r="7446" spans="1:5" ht="15" customHeight="1" x14ac:dyDescent="0.2">
      <c r="A7446" s="1" t="s">
        <v>14825</v>
      </c>
      <c r="B7446" s="1">
        <v>0</v>
      </c>
      <c r="C7446" s="3">
        <v>44538.841979166667</v>
      </c>
      <c r="D7446" s="1" t="s">
        <v>14826</v>
      </c>
      <c r="E7446" s="1" t="str">
        <f ca="1">IFERROR(__xludf.DUMMYFUNCTION("GOOGLETRANSLATE(A4245 , ""tr"" , ""en"")"),"@drfahrettinkoca yahu this isn't that rank don't go to the president sir, who says anything that says nothing without asking you?")</f>
        <v>@drfahrettinkoca yahu this isn't that rank don't go to the president sir, who says anything that says nothing without asking you?</v>
      </c>
    </row>
    <row r="7447" spans="1:5" ht="15" customHeight="1" x14ac:dyDescent="0.2">
      <c r="A7447" s="1" t="s">
        <v>14827</v>
      </c>
      <c r="B7447" s="1">
        <v>0</v>
      </c>
      <c r="C7447" s="3">
        <v>44538.840856481482</v>
      </c>
      <c r="D7447" s="1" t="s">
        <v>14828</v>
      </c>
      <c r="E7447" s="1" t="str">
        <f ca="1">IFERROR(__xludf.DUMMYFUNCTION("GOOGLETRANSLATE(A4246 , ""tr"" , ""en"")"),"@drfahrettinkoca yaw hee mahfettin hube 😂😂")</f>
        <v>@drfahrettinkoca yaw hee mahfettin hube 😂😂</v>
      </c>
    </row>
    <row r="7448" spans="1:5" ht="15" customHeight="1" x14ac:dyDescent="0.2">
      <c r="A7448" s="1" t="s">
        <v>14829</v>
      </c>
      <c r="B7448" s="1">
        <v>2</v>
      </c>
      <c r="C7448" s="3">
        <v>44538.839548611111</v>
      </c>
      <c r="D7448" s="1" t="s">
        <v>14830</v>
      </c>
      <c r="E7448" s="1" t="str">
        <f ca="1">IFERROR(__xludf.DUMMYFUNCTION("GOOGLETRANSLATE(A4247 , ""tr"" , ""en"")"),"@drfahrettinka you do not know the long-term effects of the vaccine.")</f>
        <v>@drfahrettinka you do not know the long-term effects of the vaccine.</v>
      </c>
    </row>
    <row r="7449" spans="1:5" ht="15" customHeight="1" x14ac:dyDescent="0.2">
      <c r="A7449" s="1" t="s">
        <v>14831</v>
      </c>
      <c r="B7449" s="1">
        <v>5</v>
      </c>
      <c r="C7449" s="3">
        <v>44538.839409722219</v>
      </c>
      <c r="D7449" s="1" t="s">
        <v>14832</v>
      </c>
      <c r="E7449" s="1" t="str">
        <f ca="1">IFERROR(__xludf.DUMMYFUNCTION("GOOGLETRANSLATE(A4248 , ""tr"" , ""en"")"),"Subject to @drfahrettinkoca Subject ... You do not reveal a negative impact on one vaccination, these people believe these people? Leading ... https://t.co/YGIIM4Q3JN")</f>
        <v>Subject to @drfahrettinkoca Subject ... You do not reveal a negative impact on one vaccination, these people believe these people? Leading ... https://t.co/YGIIM4Q3JN</v>
      </c>
    </row>
    <row r="7450" spans="1:5" ht="15" customHeight="1" x14ac:dyDescent="0.2">
      <c r="A7450" s="1" t="s">
        <v>14833</v>
      </c>
      <c r="B7450" s="1">
        <v>0</v>
      </c>
      <c r="C7450" s="3">
        <v>44538.839317129627</v>
      </c>
      <c r="D7450" s="1" t="s">
        <v>14834</v>
      </c>
      <c r="E7450" s="1" t="str">
        <f ca="1">IFERROR(__xludf.DUMMYFUNCTION("GOOGLETRANSLATE(A4249 , ""tr"" , ""en"")"),"@drfahrettinkoca Mr. Minister We have opened the Healthiers #AmportileHailAral, would you like to join the Tag")</f>
        <v>@drfahrettinkoca Mr. Minister We have opened the Healthiers #AmportileHailAral, would you like to join the Tag</v>
      </c>
    </row>
    <row r="7451" spans="1:5" ht="15" customHeight="1" x14ac:dyDescent="0.2">
      <c r="A7451" s="1" t="s">
        <v>14835</v>
      </c>
      <c r="B7451" s="1">
        <v>0</v>
      </c>
      <c r="C7451" s="3">
        <v>44538.839050925926</v>
      </c>
      <c r="D7451" s="1" t="s">
        <v>14836</v>
      </c>
      <c r="E7451" s="1" t="str">
        <f ca="1">IFERROR(__xludf.DUMMYFUNCTION("GOOGLETRANSLATE(A4250 , ""tr"" , ""en"")"),"Post @drfahrettinka publish figures, we see how many people don't have vaccinated, how many people have been vaccinated (along with doses)")</f>
        <v>Post @drfahrettinka publish figures, we see how many people don't have vaccinated, how many people have been vaccinated (along with doses)</v>
      </c>
    </row>
    <row r="7452" spans="1:5" ht="15" customHeight="1" x14ac:dyDescent="0.2">
      <c r="A7452" s="1" t="s">
        <v>14837</v>
      </c>
      <c r="B7452" s="1">
        <v>0</v>
      </c>
      <c r="C7452" s="3">
        <v>44538.838043981479</v>
      </c>
      <c r="D7452" s="1" t="s">
        <v>14838</v>
      </c>
      <c r="E7452" s="1" t="str">
        <f ca="1">IFERROR(__xludf.DUMMYFUNCTION("GOOGLETRANSLATE(A4251 , ""tr"" , ""en"")"),"@drfahrettinkoca nothing is no fear of God ½ Hz Peygamber Lord is that you're never a joke never lying")</f>
        <v>@drfahrettinkoca nothing is no fear of God ½ Hz Peygamber Lord is that you're never a joke never lying</v>
      </c>
    </row>
    <row r="7453" spans="1:5" ht="15" customHeight="1" x14ac:dyDescent="0.2">
      <c r="A7453" s="1" t="s">
        <v>14839</v>
      </c>
      <c r="B7453" s="1">
        <v>0</v>
      </c>
      <c r="C7453" s="3">
        <v>44538.837708333333</v>
      </c>
      <c r="D7453" s="1" t="s">
        <v>14840</v>
      </c>
      <c r="E7453" s="1" t="str">
        <f ca="1">IFERROR(__xludf.DUMMYFUNCTION("GOOGLETRANSLATE(A4252 , ""tr"" , ""en"")"),"@drfahrettinkoca Come on From There Cavit Minister Anti My Family All Your Family Your Family Your Family Your Family Sounds Your 6 Month Son ... https://t.co/292zls3vyh")</f>
        <v>@drfahrettinkoca Come on From There Cavit Minister Anti My Family All Your Family Your Family Your Family Your Family Sounds Your 6 Month Son ... https://t.co/292zls3vyh</v>
      </c>
    </row>
    <row r="7454" spans="1:5" ht="15" customHeight="1" x14ac:dyDescent="0.2">
      <c r="A7454" s="1" t="s">
        <v>14841</v>
      </c>
      <c r="B7454" s="1">
        <v>0</v>
      </c>
      <c r="C7454" s="3">
        <v>44538.83734953704</v>
      </c>
      <c r="D7454" s="1" t="s">
        <v>14842</v>
      </c>
      <c r="E7454" s="1" t="str">
        <f ca="1">IFERROR(__xludf.DUMMYFUNCTION("GOOGLETRANSLATE(A4253 , ""tr"" , ""en"")"),"@drfahrettinkoca bi We laughed at our side This is what you say.")</f>
        <v>@drfahrettinkoca bi We laughed at our side This is what you say.</v>
      </c>
    </row>
    <row r="7455" spans="1:5" ht="15" customHeight="1" x14ac:dyDescent="0.2">
      <c r="A7455" s="1" t="s">
        <v>14843</v>
      </c>
      <c r="B7455" s="1">
        <v>0</v>
      </c>
      <c r="C7455" s="3">
        <v>44538.836736111109</v>
      </c>
      <c r="D7455" s="1" t="s">
        <v>14844</v>
      </c>
      <c r="E7455" s="1" t="str">
        <f ca="1">IFERROR(__xludf.DUMMYFUNCTION("GOOGLETRANSLATE(A4254 , ""tr"" , ""en"")"),"@drfahrettinkoca Precious President, the arms of the chest of six spinal cord paralysis of six spinal cord paraphrops are also intact ... https://t.co/mrxmso9ymt")</f>
        <v>@drfahrettinkoca Precious President, the arms of the chest of six spinal cord paralysis of six spinal cord paraphrops are also intact ... https://t.co/mrxmso9ymt</v>
      </c>
    </row>
    <row r="7456" spans="1:5" ht="15" customHeight="1" x14ac:dyDescent="0.2">
      <c r="A7456" s="1" t="s">
        <v>14845</v>
      </c>
      <c r="B7456" s="1">
        <v>0</v>
      </c>
      <c r="C7456" s="3">
        <v>44538.835960648146</v>
      </c>
      <c r="D7456" s="1" t="s">
        <v>14846</v>
      </c>
      <c r="E7456" s="1" t="str">
        <f ca="1">IFERROR(__xludf.DUMMYFUNCTION("GOOGLETRANSLATE(A4255 , ""tr"" , ""en"")"),"@drfahrettinkoca Did we leave these lies now Mr.")</f>
        <v>@drfahrettinkoca Did we leave these lies now Mr.</v>
      </c>
    </row>
    <row r="7457" spans="1:5" ht="15" customHeight="1" x14ac:dyDescent="0.2">
      <c r="A7457" s="1" t="s">
        <v>14847</v>
      </c>
      <c r="B7457" s="1">
        <v>11</v>
      </c>
      <c r="C7457" s="3">
        <v>44538.835381944446</v>
      </c>
      <c r="D7457" s="1" t="s">
        <v>14848</v>
      </c>
      <c r="E7457" s="1" t="str">
        <f ca="1">IFERROR(__xludf.DUMMYFUNCTION("GOOGLETRANSLATE(A4256 , ""tr"" , ""en"")"),"@drfahrettinkoca vaccine and PCR results as a family owner of 3 children as a family owner ... https://t.co/xwahzf3q2h")</f>
        <v>@drfahrettinkoca vaccine and PCR results as a family owner of 3 children as a family owner ... https://t.co/xwahzf3q2h</v>
      </c>
    </row>
    <row r="7458" spans="1:5" ht="15" customHeight="1" x14ac:dyDescent="0.2">
      <c r="A7458" s="1" t="s">
        <v>14849</v>
      </c>
      <c r="B7458" s="1">
        <v>3</v>
      </c>
      <c r="C7458" s="3">
        <v>44538.835034722222</v>
      </c>
      <c r="D7458" s="1" t="s">
        <v>14850</v>
      </c>
      <c r="E7458" s="1" t="str">
        <f ca="1">IFERROR(__xludf.DUMMYFUNCTION("GOOGLETRANSLATE(A4257 , ""tr"" , ""en"")"),"@drfahrettinkoca saliver life is our life. What is the vaccine, what is the one of me to sanane")</f>
        <v>@drfahrettinkoca saliver life is our life. What is the vaccine, what is the one of me to sanane</v>
      </c>
    </row>
    <row r="7459" spans="1:5" ht="15" customHeight="1" x14ac:dyDescent="0.2">
      <c r="A7459" s="1" t="s">
        <v>14851</v>
      </c>
      <c r="B7459" s="1">
        <v>0</v>
      </c>
      <c r="C7459" s="3">
        <v>44538.834745370368</v>
      </c>
      <c r="D7459" s="1" t="s">
        <v>14852</v>
      </c>
      <c r="E7459" s="1" t="str">
        <f ca="1">IFERROR(__xludf.DUMMYFUNCTION("GOOGLETRANSLATE(A4258 , ""tr"" , ""en"")"),"Another decision to be taken @drfahrettinkca is also the rights of health workers and the rights of financial and extract the rights ... https://t.co/okrp8obodg")</f>
        <v>Another decision to be taken @drfahrettinkca is also the rights of health workers and the rights of financial and extract the rights ... https://t.co/okrp8obodg</v>
      </c>
    </row>
    <row r="7460" spans="1:5" ht="15" customHeight="1" x14ac:dyDescent="0.2">
      <c r="A7460" s="1" t="s">
        <v>14853</v>
      </c>
      <c r="B7460" s="1">
        <v>0</v>
      </c>
      <c r="C7460" s="3">
        <v>44538.833807870367</v>
      </c>
      <c r="D7460" s="1" t="s">
        <v>14854</v>
      </c>
      <c r="E7460" s="1" t="str">
        <f ca="1">IFERROR(__xludf.DUMMYFUNCTION("GOOGLETRANSLATE(A4259 , ""tr"" , ""en"")"),"@drfahrettinkoca profile picture is a bit fried, as if there is little embarrassment.")</f>
        <v>@drfahrettinkoca profile picture is a bit fried, as if there is little embarrassment.</v>
      </c>
    </row>
    <row r="7461" spans="1:5" ht="15" customHeight="1" x14ac:dyDescent="0.2">
      <c r="A7461" s="1" t="s">
        <v>14855</v>
      </c>
      <c r="B7461" s="1">
        <v>0</v>
      </c>
      <c r="C7461" s="3">
        <v>44538.833414351851</v>
      </c>
      <c r="D7461" s="1" t="s">
        <v>14856</v>
      </c>
      <c r="E7461" s="1" t="str">
        <f ca="1">IFERROR(__xludf.DUMMYFUNCTION("GOOGLETRANSLATE(A4260 , ""tr"" , ""en"")"),"What did @drfahrettinka vaccine and PCR test what did they won? We know the result of your faulty vaccines. Vaccine Y ... https://t.co/4nq55rahxj")</f>
        <v>What did @drfahrettinka vaccine and PCR test what did they won? We know the result of your faulty vaccines. Vaccine Y ... https://t.co/4nq55rahxj</v>
      </c>
    </row>
    <row r="7462" spans="1:5" ht="15" customHeight="1" x14ac:dyDescent="0.2">
      <c r="A7462" s="1" t="s">
        <v>14857</v>
      </c>
      <c r="B7462" s="1">
        <v>1</v>
      </c>
      <c r="C7462" s="3">
        <v>44538.833287037036</v>
      </c>
      <c r="D7462" s="1" t="s">
        <v>14858</v>
      </c>
      <c r="E7462" s="1" t="str">
        <f ca="1">IFERROR(__xludf.DUMMYFUNCTION("GOOGLETRANSLATE(A4261 , ""tr"" , ""en"")"),"@drfahrettinkoca We want to study online how do you hear us how do you hear us")</f>
        <v>@drfahrettinkoca We want to study online how do you hear us how do you hear us</v>
      </c>
    </row>
    <row r="7463" spans="1:5" ht="15" customHeight="1" x14ac:dyDescent="0.2">
      <c r="A7463" s="1" t="s">
        <v>14859</v>
      </c>
      <c r="B7463" s="1">
        <v>0</v>
      </c>
      <c r="C7463" s="3">
        <v>44538.833032407405</v>
      </c>
      <c r="D7463" s="1" t="s">
        <v>14860</v>
      </c>
      <c r="E7463" s="1" t="str">
        <f ca="1">IFERROR(__xludf.DUMMYFUNCTION("GOOGLETRANSLATE(A4262 , ""tr"" , ""en"")"),"@drfahrettinkoca patients with the rest of the patients will say noblet but it will be. The rebels protects the full monacle Doyo ... https://t.co/yj4wzngpq3")</f>
        <v>@drfahrettinkoca patients with the rest of the patients will say noblet but it will be. The rebels protects the full monacle Doyo ... https://t.co/yj4wzngpq3</v>
      </c>
    </row>
    <row r="7464" spans="1:5" ht="15" customHeight="1" x14ac:dyDescent="0.2">
      <c r="A7464" s="1" t="s">
        <v>14861</v>
      </c>
      <c r="B7464" s="1">
        <v>0</v>
      </c>
      <c r="C7464" s="3">
        <v>44538.832662037035</v>
      </c>
      <c r="D7464" s="1" t="s">
        <v>14862</v>
      </c>
      <c r="E7464" s="1" t="str">
        <f ca="1">IFERROR(__xludf.DUMMYFUNCTION("GOOGLETRANSLATE(A4263 , ""tr"" , ""en"")"),"@drfahrettinkoca Publish data from the Ministry. DON'T CLASSIFY, VOULLY BUT SINGLE DOSE DON'T COUNT THE SEQUE DON'T SUCCESS LOVES, END ... HTTPS://T.CO/J2ATPFMWAU")</f>
        <v>@drfahrettinkoca Publish data from the Ministry. DON'T CLASSIFY, VOULLY BUT SINGLE DOSE DON'T COUNT THE SEQUE DON'T SUCCESS LOVES, END ... HTTPS://T.CO/J2ATPFMWAU</v>
      </c>
    </row>
    <row r="7465" spans="1:5" ht="15" customHeight="1" x14ac:dyDescent="0.2">
      <c r="A7465" s="1" t="s">
        <v>14239</v>
      </c>
      <c r="B7465" s="1">
        <v>0</v>
      </c>
      <c r="C7465" s="3">
        <v>44538.83258101852</v>
      </c>
      <c r="D7465" s="1" t="s">
        <v>14863</v>
      </c>
      <c r="E7465" s="1" t="str">
        <f ca="1">IFERROR(__xludf.DUMMYFUNCTION("GOOGLETRANSLATE(A4264 , ""tr"" , ""en"")"),"@drfahrettinka https://t.co/l9FIJIJLFR")</f>
        <v>@drfahrettinka https://t.co/l9FIJIJLFR</v>
      </c>
    </row>
    <row r="7466" spans="1:5" ht="15" customHeight="1" x14ac:dyDescent="0.2">
      <c r="A7466" s="1" t="s">
        <v>14864</v>
      </c>
      <c r="B7466" s="1">
        <v>1</v>
      </c>
      <c r="C7466" s="3">
        <v>44538.832569444443</v>
      </c>
      <c r="D7466" s="1" t="s">
        <v>14865</v>
      </c>
      <c r="E7466" s="1" t="str">
        <f ca="1">IFERROR(__xludf.DUMMYFUNCTION("GOOGLETRANSLATE(A4265 , ""tr"" , ""en"")"),"@drfahrettinkoca Fahrettin. Deep bi breathe and hold forever o breath. Because she needs up to the vaccines you adore ... https://t.co/hoylpmd0fo")</f>
        <v>@drfahrettinkoca Fahrettin. Deep bi breathe and hold forever o breath. Because she needs up to the vaccines you adore ... https://t.co/hoylpmd0fo</v>
      </c>
    </row>
    <row r="7467" spans="1:5" ht="15" customHeight="1" x14ac:dyDescent="0.2">
      <c r="A7467" s="1" t="s">
        <v>14866</v>
      </c>
      <c r="B7467" s="1">
        <v>1</v>
      </c>
      <c r="C7467" s="3">
        <v>44538.832453703704</v>
      </c>
      <c r="D7467" s="1" t="s">
        <v>14867</v>
      </c>
      <c r="E7467" s="1" t="str">
        <f ca="1">IFERROR(__xludf.DUMMYFUNCTION("GOOGLETRANSLATE(A4266 , ""tr"" , ""en"")"),"@drfahrettinkoca What lovely topic is your Mr. Minister. Incorrect treatment wrong treatment and wrong vaccine and ... https://t.co/e4sw6pzpyo")</f>
        <v>@drfahrettinkoca What lovely topic is your Mr. Minister. Incorrect treatment wrong treatment and wrong vaccine and ... https://t.co/e4sw6pzpyo</v>
      </c>
    </row>
    <row r="7468" spans="1:5" ht="15" customHeight="1" x14ac:dyDescent="0.2">
      <c r="A7468" s="1" t="s">
        <v>14868</v>
      </c>
      <c r="B7468" s="1">
        <v>0</v>
      </c>
      <c r="C7468" s="3">
        <v>44538.832453703704</v>
      </c>
      <c r="D7468" s="1" t="s">
        <v>14869</v>
      </c>
      <c r="E7468" s="1" t="str">
        <f ca="1">IFERROR(__xludf.DUMMYFUNCTION("GOOGLETRANSLATE(A4267 , ""tr"" , ""en"")"),"@drfahrettinka You do not sign those papers to those who want to be in that time. Get responsibility in a side effect. ... https://t.co/ezjztqbert")</f>
        <v>@drfahrettinka You do not sign those papers to those who want to be in that time. Get responsibility in a side effect. ... https://t.co/ezjztqbert</v>
      </c>
    </row>
    <row r="7469" spans="1:5" ht="15" customHeight="1" x14ac:dyDescent="0.2">
      <c r="A7469" s="1" t="s">
        <v>14870</v>
      </c>
      <c r="B7469" s="1">
        <v>0</v>
      </c>
      <c r="C7469" s="3">
        <v>44538.832326388889</v>
      </c>
      <c r="D7469" s="1" t="s">
        <v>14871</v>
      </c>
      <c r="E7469" s="1" t="str">
        <f ca="1">IFERROR(__xludf.DUMMYFUNCTION("GOOGLETRANSLATE(A4268 , ""tr"" , ""en"")"),"@drfahrettinka https://t.co/ehgmfruxda")</f>
        <v>@drfahrettinka https://t.co/ehgmfruxda</v>
      </c>
    </row>
    <row r="7470" spans="1:5" ht="15" customHeight="1" x14ac:dyDescent="0.2">
      <c r="A7470" s="1" t="s">
        <v>14872</v>
      </c>
      <c r="B7470" s="1">
        <v>1</v>
      </c>
      <c r="C7470" s="3">
        <v>44538.831250000003</v>
      </c>
      <c r="D7470" s="1" t="s">
        <v>14873</v>
      </c>
      <c r="E7470" s="1" t="str">
        <f ca="1">IFERROR(__xludf.DUMMYFUNCTION("GOOGLETRANSLATE(A4269 , ""tr"" , ""en"")"),"@drfahrettinka Mr. Minister! ⁉Mrna Gen Changer Liquid, when was the vaccination? ⁉ Madem MRNA was the liquid vaccine; A ... https://t.co/rznjuwp1mk")</f>
        <v>@drfahrettinka Mr. Minister! ⁉Mrna Gen Changer Liquid, when was the vaccination? ⁉ Madem MRNA was the liquid vaccine; A ... https://t.co/rznjuwp1mk</v>
      </c>
    </row>
    <row r="7471" spans="1:5" ht="15" customHeight="1" x14ac:dyDescent="0.2">
      <c r="A7471" s="1" t="s">
        <v>14874</v>
      </c>
      <c r="B7471" s="1">
        <v>1</v>
      </c>
      <c r="C7471" s="3">
        <v>44538.831076388888</v>
      </c>
      <c r="D7471" s="1" t="s">
        <v>14875</v>
      </c>
      <c r="E7471" s="1" t="str">
        <f ca="1">IFERROR(__xludf.DUMMYFUNCTION("GOOGLETRANSLATE(A4270 , ""tr"" , ""en"")"),"@drfahrettinkoca Mr. Minister Pandemide We struggled away from our family and only support from you as a healthman ... https://t.co/4enbgslde1")</f>
        <v>@drfahrettinkoca Mr. Minister Pandemide We struggled away from our family and only support from you as a healthman ... https://t.co/4enbgslde1</v>
      </c>
    </row>
    <row r="7472" spans="1:5" ht="15" customHeight="1" x14ac:dyDescent="0.2">
      <c r="A7472" s="1" t="s">
        <v>14876</v>
      </c>
      <c r="B7472" s="1">
        <v>0</v>
      </c>
      <c r="C7472" s="3">
        <v>44538.830520833333</v>
      </c>
      <c r="D7472" s="1" t="s">
        <v>14877</v>
      </c>
      <c r="E7472" s="1" t="str">
        <f ca="1">IFERROR(__xludf.DUMMYFUNCTION("GOOGLETRANSLATE(A4271 , ""tr"" , ""en"")"),"@drfahrettinkoca yesterday a friend's father passed away from the corona. 3 were grafted.")</f>
        <v>@drfahrettinkoca yesterday a friend's father passed away from the corona. 3 were grafted.</v>
      </c>
    </row>
    <row r="7473" spans="1:5" ht="15" customHeight="1" x14ac:dyDescent="0.2">
      <c r="A7473" s="1" t="s">
        <v>14878</v>
      </c>
      <c r="B7473" s="1">
        <v>0</v>
      </c>
      <c r="C7473" s="3">
        <v>44538.830300925925</v>
      </c>
      <c r="D7473" s="1" t="s">
        <v>14879</v>
      </c>
      <c r="E7473" s="1" t="str">
        <f ca="1">IFERROR(__xludf.DUMMYFUNCTION("GOOGLETRANSLATE(A4272 , ""tr"" , ""en"")"),"@drfahrettinkoca Official Describe all figures of lens Province Province. Avoid Vaccine Avoid Vaccination of Cases and Dies ... https://t.co/hqcgtlupeg")</f>
        <v>@drfahrettinkoca Official Describe all figures of lens Province Province. Avoid Vaccine Avoid Vaccination of Cases and Dies ... https://t.co/hqcgtlupeg</v>
      </c>
    </row>
    <row r="7474" spans="1:5" ht="15" customHeight="1" x14ac:dyDescent="0.2">
      <c r="A7474" s="1" t="s">
        <v>14880</v>
      </c>
      <c r="B7474" s="1">
        <v>0</v>
      </c>
      <c r="C7474" s="3">
        <v>44538.830127314817</v>
      </c>
      <c r="D7474" s="1" t="s">
        <v>14881</v>
      </c>
      <c r="E7474" s="1" t="str">
        <f ca="1">IFERROR(__xludf.DUMMYFUNCTION("GOOGLETRANSLATE(A4273 , ""tr"" , ""en"")"),"@drfahrettinka https://t.co/kzvhsvlvxk")</f>
        <v>@drfahrettinka https://t.co/kzvhsvlvxk</v>
      </c>
    </row>
    <row r="7475" spans="1:5" ht="15" customHeight="1" x14ac:dyDescent="0.2">
      <c r="A7475" s="1" t="s">
        <v>14882</v>
      </c>
      <c r="B7475" s="1">
        <v>0</v>
      </c>
      <c r="C7475" s="3">
        <v>44538.829745370371</v>
      </c>
      <c r="D7475" s="1" t="s">
        <v>14883</v>
      </c>
      <c r="E7475" s="1" t="str">
        <f ca="1">IFERROR(__xludf.DUMMYFUNCTION("GOOGLETRANSLATE(A4274 , ""tr"" , ""en"")"),"@drfahrettinkoca two synovak a biontek https://t.co/8rgm3fwkdr need #fahrettinkoca")</f>
        <v>@drfahrettinkoca two synovak a biontek https://t.co/8rgm3fwkdr need #fahrettinkoca</v>
      </c>
    </row>
    <row r="7476" spans="1:5" ht="15" customHeight="1" x14ac:dyDescent="0.2">
      <c r="A7476" s="1" t="s">
        <v>14884</v>
      </c>
      <c r="B7476" s="1">
        <v>9</v>
      </c>
      <c r="C7476" s="3">
        <v>44538.829710648148</v>
      </c>
      <c r="D7476" s="1" t="s">
        <v>14885</v>
      </c>
      <c r="E7476" s="1" t="str">
        <f ca="1">IFERROR(__xludf.DUMMYFUNCTION("GOOGLETRANSLATE(A4275 , ""tr"" , ""en"")"),"@drfahrettinkoca 2 dose of grafted friends I'm sorry, but the vaccine is intense for you to enter the category of non-fully ... https://t.co/asykc9zu38")</f>
        <v>@drfahrettinkoca 2 dose of grafted friends I'm sorry, but the vaccine is intense for you to enter the category of non-fully ... https://t.co/asykc9zu38</v>
      </c>
    </row>
    <row r="7477" spans="1:5" ht="15" customHeight="1" x14ac:dyDescent="0.2">
      <c r="A7477" s="1" t="s">
        <v>14886</v>
      </c>
      <c r="B7477" s="1">
        <v>0</v>
      </c>
      <c r="C7477" s="3">
        <v>44538.829317129632</v>
      </c>
      <c r="D7477" s="1" t="s">
        <v>14887</v>
      </c>
      <c r="E7477" s="1" t="str">
        <f ca="1">IFERROR(__xludf.DUMMYFUNCTION("GOOGLETRANSLATE(A4276 , ""tr"" , ""en"")"),"@drfahrettinka https://t.co/yc6exntevc")</f>
        <v>@drfahrettinka https://t.co/yc6exntevc</v>
      </c>
    </row>
    <row r="7478" spans="1:5" ht="15" customHeight="1" x14ac:dyDescent="0.2">
      <c r="A7478" s="1" t="s">
        <v>14888</v>
      </c>
      <c r="B7478" s="1">
        <v>0</v>
      </c>
      <c r="C7478" s="3">
        <v>44538.82917824074</v>
      </c>
      <c r="D7478" s="1" t="s">
        <v>14889</v>
      </c>
      <c r="E7478" s="1" t="str">
        <f ca="1">IFERROR(__xludf.DUMMYFUNCTION("GOOGLETRANSLATE(A4277 , ""tr"" , ""en"")"),"@drfahrettinkoca Hasan Abi with Rabia Benge Double 3 dose were grafted in the Rabia Yeng Korona were hospitalized and died. This much")</f>
        <v>@drfahrettinkoca Hasan Abi with Rabia Benge Double 3 dose were grafted in the Rabia Yeng Korona were hospitalized and died. This much</v>
      </c>
    </row>
    <row r="7479" spans="1:5" ht="15" customHeight="1" x14ac:dyDescent="0.2">
      <c r="A7479" s="1" t="s">
        <v>14890</v>
      </c>
      <c r="B7479" s="1">
        <v>0</v>
      </c>
      <c r="C7479" s="3">
        <v>44538.828900462962</v>
      </c>
      <c r="D7479" s="1" t="s">
        <v>14891</v>
      </c>
      <c r="E7479" s="1" t="str">
        <f ca="1">IFERROR(__xludf.DUMMYFUNCTION("GOOGLETRANSLATE(A4278 , ""tr"" , ""en"")"),"@drfahrettinkoca Buy you vaccinate https://t.co/tpokwjuxwr")</f>
        <v>@drfahrettinkoca Buy you vaccinate https://t.co/tpokwjuxwr</v>
      </c>
    </row>
    <row r="7480" spans="1:5" ht="15" customHeight="1" x14ac:dyDescent="0.2">
      <c r="A7480" s="1" t="s">
        <v>14892</v>
      </c>
      <c r="B7480" s="1">
        <v>0</v>
      </c>
      <c r="C7480" s="3">
        <v>44538.828425925924</v>
      </c>
      <c r="D7480" s="1" t="s">
        <v>14893</v>
      </c>
      <c r="E7480" s="1" t="str">
        <f ca="1">IFERROR(__xludf.DUMMYFUNCTION("GOOGLETRANSLATE(A4279 , ""tr"" , ""en"")"),"@drfahrettinka https://t.co/brax5zogp9")</f>
        <v>@drfahrettinka https://t.co/brax5zogp9</v>
      </c>
    </row>
    <row r="7481" spans="1:5" ht="15" customHeight="1" x14ac:dyDescent="0.2">
      <c r="A7481" s="1" t="s">
        <v>14894</v>
      </c>
      <c r="B7481" s="1">
        <v>0</v>
      </c>
      <c r="C7481" s="3">
        <v>44538.828298611108</v>
      </c>
      <c r="D7481" s="1" t="s">
        <v>14895</v>
      </c>
      <c r="E7481" s="1" t="str">
        <f ca="1">IFERROR(__xludf.DUMMYFUNCTION("GOOGLETRANSLATE(A4280 , ""tr"" , ""en"")"),"@drfahrettinkoca We don't die for Allah's sake of Allah Covitten !!! You still speak the salt !!")</f>
        <v>@drfahrettinkoca We don't die for Allah's sake of Allah Covitten !!! You still speak the salt !!</v>
      </c>
    </row>
    <row r="7482" spans="1:5" ht="15" customHeight="1" x14ac:dyDescent="0.2">
      <c r="A7482" s="1" t="s">
        <v>14896</v>
      </c>
      <c r="B7482" s="1">
        <v>0</v>
      </c>
      <c r="C7482" s="3">
        <v>44538.828275462962</v>
      </c>
      <c r="D7482" s="1" t="s">
        <v>14897</v>
      </c>
      <c r="E7482" s="1" t="str">
        <f ca="1">IFERROR(__xludf.DUMMYFUNCTION("GOOGLETRANSLATE(A4281 , ""tr"" , ""en"")"),"@drfahrettinkoca Bill Gates is the vaccination, sini? We should hit !!! English-speaking bi Yokmu Yözmu Alooooo")</f>
        <v>@drfahrettinkoca Bill Gates is the vaccination, sini? We should hit !!! English-speaking bi Yokmu Yözmu Alooooo</v>
      </c>
    </row>
    <row r="7483" spans="1:5" ht="15" customHeight="1" x14ac:dyDescent="0.2">
      <c r="A7483" s="1" t="s">
        <v>14898</v>
      </c>
      <c r="B7483" s="1">
        <v>0</v>
      </c>
      <c r="C7483" s="3">
        <v>44538.82775462963</v>
      </c>
      <c r="D7483" s="1" t="s">
        <v>14899</v>
      </c>
      <c r="E7483" s="1" t="str">
        <f ca="1">IFERROR(__xludf.DUMMYFUNCTION("GOOGLETRANSLATE(A4282 , ""tr"" , ""en"")"),"@drfahrettinkoca this maybe responds to the love of some of them but don't think you guys go up to 8 vaccine https://t.co/o3rjtvjzcz")</f>
        <v>@drfahrettinkoca this maybe responds to the love of some of them but don't think you guys go up to 8 vaccine https://t.co/o3rjtvjzcz</v>
      </c>
    </row>
    <row r="7484" spans="1:5" ht="15" customHeight="1" x14ac:dyDescent="0.2">
      <c r="A7484" s="1" t="s">
        <v>14900</v>
      </c>
      <c r="B7484" s="1">
        <v>0</v>
      </c>
      <c r="C7484" s="3">
        <v>44538.827476851853</v>
      </c>
      <c r="D7484" s="1" t="s">
        <v>14901</v>
      </c>
      <c r="E7484" s="1" t="str">
        <f ca="1">IFERROR(__xludf.DUMMYFUNCTION("GOOGLETRANSLATE(A4283 , ""tr"" , ""en"")"),"@drfahrettinkoca you are sure my attorney is the assignment of the assignment of the assignment of the assignment of the grade but give the rezers to the tuic")</f>
        <v>@drfahrettinkoca you are sure my attorney is the assignment of the assignment of the assignment of the assignment of the grade but give the rezers to the tuic</v>
      </c>
    </row>
    <row r="7485" spans="1:5" ht="15" customHeight="1" x14ac:dyDescent="0.2">
      <c r="A7485" s="1" t="s">
        <v>14902</v>
      </c>
      <c r="B7485" s="1">
        <v>0</v>
      </c>
      <c r="C7485" s="3">
        <v>44538.827187499999</v>
      </c>
      <c r="D7485" s="1" t="s">
        <v>14903</v>
      </c>
      <c r="E7485" s="1" t="str">
        <f ca="1">IFERROR(__xludf.DUMMYFUNCTION("GOOGLETRANSLATE(A4284 , ""tr"" , ""en"")"),"@drfahrettinkoca are they experienced? Do I believe the WHO usaks like you? 2 dose biontech vaccine my job my friend ... https://t.co/I3kr0otvtx")</f>
        <v>@drfahrettinkoca are they experienced? Do I believe the WHO usaks like you? 2 dose biontech vaccine my job my friend ... https://t.co/I3kr0otvtx</v>
      </c>
    </row>
    <row r="7486" spans="1:5" ht="15" customHeight="1" x14ac:dyDescent="0.2">
      <c r="A7486" s="1" t="s">
        <v>14904</v>
      </c>
      <c r="B7486" s="1">
        <v>0</v>
      </c>
      <c r="C7486" s="3">
        <v>44538.827187499999</v>
      </c>
      <c r="D7486" s="1" t="s">
        <v>14905</v>
      </c>
      <c r="E7486" s="1" t="str">
        <f ca="1">IFERROR(__xludf.DUMMYFUNCTION("GOOGLETRANSLATE(A4285 , ""tr"" , ""en"")"),"@drfahrettinkoca Paravan Company How many money is the vaccines? How much are they sold to the state these vaccines?")</f>
        <v>@drfahrettinkoca Paravan Company How many money is the vaccines? How much are they sold to the state these vaccines?</v>
      </c>
    </row>
    <row r="7487" spans="1:5" ht="15" customHeight="1" x14ac:dyDescent="0.2">
      <c r="A7487" s="1" t="s">
        <v>14906</v>
      </c>
      <c r="B7487" s="1">
        <v>0</v>
      </c>
      <c r="C7487" s="3">
        <v>44538.826898148145</v>
      </c>
      <c r="D7487" s="1" t="s">
        <v>14907</v>
      </c>
      <c r="E7487" s="1" t="str">
        <f ca="1">IFERROR(__xludf.DUMMYFUNCTION("GOOGLETRANSLATE(A4286 , ""tr"" , ""en"")"),"@drfahrettinkoca is a problem after most of my dorm friends. Madem is so sure as your acin is that still ... https://t.co/n4zajbvaxe")</f>
        <v>@drfahrettinkoca is a problem after most of my dorm friends. Madem is so sure as your acin is that still ... https://t.co/n4zajbvaxe</v>
      </c>
    </row>
    <row r="7488" spans="1:5" ht="15" customHeight="1" x14ac:dyDescent="0.2">
      <c r="A7488" s="1" t="s">
        <v>14908</v>
      </c>
      <c r="B7488" s="1">
        <v>0</v>
      </c>
      <c r="C7488" s="3">
        <v>44538.826469907406</v>
      </c>
      <c r="D7488" s="1" t="s">
        <v>14909</v>
      </c>
      <c r="E7488" s="1" t="str">
        <f ca="1">IFERROR(__xludf.DUMMYFUNCTION("GOOGLETRANSLATE(A4287 , ""tr"" , ""en"")"),"@drfahrettinka is very hard to understand this nation; Doctoral, profosor, does not believe, believing in the man who is not commuting and a diploma!")</f>
        <v>@drfahrettinka is very hard to understand this nation; Doctoral, profosor, does not believe, believing in the man who is not commuting and a diploma!</v>
      </c>
    </row>
    <row r="7489" spans="1:5" ht="15" customHeight="1" x14ac:dyDescent="0.2">
      <c r="A7489" s="1" t="s">
        <v>14910</v>
      </c>
      <c r="B7489" s="1">
        <v>2</v>
      </c>
      <c r="C7489" s="3">
        <v>44538.826423611114</v>
      </c>
      <c r="D7489" s="1" t="s">
        <v>14911</v>
      </c>
      <c r="E7489" s="1" t="str">
        <f ca="1">IFERROR(__xludf.DUMMYFUNCTION("GOOGLETRANSLATE(A4288 , ""tr"" , ""en"")"),"@drfahrettinka you first leave doctors comfortable to force the treatment protocols of the DSO. Doctors ... https://t.co/pj17caroea")</f>
        <v>@drfahrettinka you first leave doctors comfortable to force the treatment protocols of the DSO. Doctors ... https://t.co/pj17caroea</v>
      </c>
    </row>
    <row r="7490" spans="1:5" ht="15" customHeight="1" x14ac:dyDescent="0.2">
      <c r="A7490" s="1" t="s">
        <v>14912</v>
      </c>
      <c r="B7490" s="1">
        <v>0</v>
      </c>
      <c r="C7490" s="3">
        <v>44538.826377314814</v>
      </c>
      <c r="D7490" s="1" t="s">
        <v>14913</v>
      </c>
      <c r="E7490" s="1" t="str">
        <f ca="1">IFERROR(__xludf.DUMMYFUNCTION("GOOGLETRANSLATE(A4289 , ""tr"" , ""en"")"),"@drfahrettinkoca OFFFFFF I drink swelled inside")</f>
        <v>@drfahrettinkoca OFFFFFF I drink swelled inside</v>
      </c>
    </row>
    <row r="7491" spans="1:5" ht="15" customHeight="1" x14ac:dyDescent="0.2">
      <c r="A7491" s="1" t="s">
        <v>14914</v>
      </c>
      <c r="B7491" s="1">
        <v>0</v>
      </c>
      <c r="C7491" s="3">
        <v>44538.826203703706</v>
      </c>
      <c r="D7491" s="1" t="s">
        <v>14915</v>
      </c>
      <c r="E7491" s="1" t="str">
        <f ca="1">IFERROR(__xludf.DUMMYFUNCTION("GOOGLETRANSLATE(A4290 , ""tr"" , ""en"")"),"@drfahrettinkoca ie 3 grafted Anamiz Our father died in intensive care, allah 2 Cihans are also zealous ... https://t.co/rfbugpodzr")</f>
        <v>@drfahrettinkoca ie 3 grafted Anamiz Our father died in intensive care, allah 2 Cihans are also zealous ... https://t.co/rfbugpodzr</v>
      </c>
    </row>
    <row r="7492" spans="1:5" ht="15" customHeight="1" x14ac:dyDescent="0.2">
      <c r="A7492" s="1" t="s">
        <v>14916</v>
      </c>
      <c r="B7492" s="1">
        <v>0</v>
      </c>
      <c r="C7492" s="3">
        <v>44538.82576388889</v>
      </c>
      <c r="D7492" s="1" t="s">
        <v>14917</v>
      </c>
      <c r="E7492" s="1" t="str">
        <f ca="1">IFERROR(__xludf.DUMMYFUNCTION("GOOGLETRANSLATE(A4291 , ""tr"" , ""en"")"),"@drfahrettinkoca we're not being olrifzzzzzzz.")</f>
        <v>@drfahrettinkoca we're not being olrifzzzzzzz.</v>
      </c>
    </row>
    <row r="7493" spans="1:5" ht="15" customHeight="1" x14ac:dyDescent="0.2">
      <c r="A7493" s="1" t="s">
        <v>14918</v>
      </c>
      <c r="B7493" s="1">
        <v>0</v>
      </c>
      <c r="C7493" s="3">
        <v>44538.825694444444</v>
      </c>
      <c r="D7493" s="1" t="s">
        <v>14919</v>
      </c>
      <c r="E7493" s="1" t="str">
        <f ca="1">IFERROR(__xludf.DUMMYFUNCTION("GOOGLETRANSLATE(A4292 , ""tr"" , ""en"")"),"@drfahrettinkoca 3. Dose sales decreased to the Heralde, not in the vaccine, ""If you don't call the remaining vaccines napacaz"" ... https://t.co/h4i2rhh6n3")</f>
        <v>@drfahrettinkoca 3. Dose sales decreased to the Heralde, not in the vaccine, "If you don't call the remaining vaccines napacaz" ... https://t.co/h4i2rhh6n3</v>
      </c>
    </row>
    <row r="7494" spans="1:5" ht="15" customHeight="1" x14ac:dyDescent="0.2">
      <c r="A7494" s="1" t="s">
        <v>14920</v>
      </c>
      <c r="B7494" s="1">
        <v>1</v>
      </c>
      <c r="C7494" s="3">
        <v>44538.825543981482</v>
      </c>
      <c r="D7494" s="1" t="s">
        <v>14921</v>
      </c>
      <c r="E7494" s="1" t="str">
        <f ca="1">IFERROR(__xludf.DUMMYFUNCTION("GOOGLETRANSLATE(A4293 , ""tr"" , ""en"")"),"@drfahrettinkoca is not counting people with business vaccine. Hazard Hazard Https://t.co/zclo8qxvse")</f>
        <v>@drfahrettinkoca is not counting people with business vaccine. Hazard Hazard Https://t.co/zclo8qxvse</v>
      </c>
    </row>
    <row r="7495" spans="1:5" ht="15" customHeight="1" x14ac:dyDescent="0.2">
      <c r="A7495" s="1" t="s">
        <v>14922</v>
      </c>
      <c r="B7495" s="1">
        <v>0</v>
      </c>
      <c r="C7495" s="3">
        <v>44538.823865740742</v>
      </c>
      <c r="D7495" s="1" t="s">
        <v>14923</v>
      </c>
      <c r="E7495" s="1" t="str">
        <f ca="1">IFERROR(__xludf.DUMMYFUNCTION("GOOGLETRANSLATE(A4294 , ""tr"" , ""en"")"),"@drfahrettinkoca Mr. Minister Look 95% of those who answered you are faulted and tired of your lies, Fahrettin ... HTTPS://T.CO/KIJCGFSTI3")</f>
        <v>@drfahrettinkoca Mr. Minister Look 95% of those who answered you are faulted and tired of your lies, Fahrettin ... HTTPS://T.CO/KIJCGFSTI3</v>
      </c>
    </row>
    <row r="7496" spans="1:5" ht="15" customHeight="1" x14ac:dyDescent="0.2">
      <c r="A7496" s="1" t="s">
        <v>14924</v>
      </c>
      <c r="B7496" s="1">
        <v>3</v>
      </c>
      <c r="C7496" s="3">
        <v>44538.823750000003</v>
      </c>
      <c r="D7496" s="1" t="s">
        <v>14925</v>
      </c>
      <c r="E7496" s="1" t="str">
        <f ca="1">IFERROR(__xludf.DUMMYFUNCTION("GOOGLETRANSLATE(A4295 , ""tr"" , ""en"")"),"@drfahrettinkoca then ththhrhhrage is allowed by https://t.co/givhpgr5e4")</f>
        <v>@drfahrettinkoca then ththhrhhrage is allowed by https://t.co/givhpgr5e4</v>
      </c>
    </row>
    <row r="7497" spans="1:5" ht="15" customHeight="1" x14ac:dyDescent="0.2">
      <c r="A7497" s="1" t="s">
        <v>14926</v>
      </c>
      <c r="B7497" s="1">
        <v>0</v>
      </c>
      <c r="C7497" s="3">
        <v>44538.822974537034</v>
      </c>
      <c r="D7497" s="1" t="s">
        <v>14927</v>
      </c>
      <c r="E7497" s="1" t="str">
        <f ca="1">IFERROR(__xludf.DUMMYFUNCTION("GOOGLETRANSLATE(A4296 , ""tr"" , ""en"")"),"@drfahrettinkca Ditto remove the vaccine immediately and don't regret it immediately before the anti-virus get rid of God and hope allah")</f>
        <v>@drfahrettinkca Ditto remove the vaccine immediately and don't regret it immediately before the anti-virus get rid of God and hope allah</v>
      </c>
    </row>
    <row r="7498" spans="1:5" ht="15" customHeight="1" x14ac:dyDescent="0.2">
      <c r="A7498" s="1" t="s">
        <v>14928</v>
      </c>
      <c r="B7498" s="1">
        <v>20</v>
      </c>
      <c r="C7498" s="3">
        <v>44538.822881944441</v>
      </c>
      <c r="D7498" s="1" t="s">
        <v>14929</v>
      </c>
      <c r="E7498" s="1" t="str">
        <f ca="1">IFERROR(__xludf.DUMMYFUNCTION("GOOGLETRANSLATE(A4297 , ""tr"" , ""en"")"),"@drfahrettinkoca my corona's mother of my neighbor in hospital (especially inaccurate treatment) today 3 dose a ... https://t.co/gxrvi5xxqr")</f>
        <v>@drfahrettinkoca my corona's mother of my neighbor in hospital (especially inaccurate treatment) today 3 dose a ... https://t.co/gxrvi5xxqr</v>
      </c>
    </row>
    <row r="7499" spans="1:5" ht="15" customHeight="1" x14ac:dyDescent="0.2">
      <c r="A7499" s="1" t="s">
        <v>14930</v>
      </c>
      <c r="B7499" s="1">
        <v>0</v>
      </c>
      <c r="C7499" s="3">
        <v>44538.822777777779</v>
      </c>
      <c r="D7499" s="1" t="s">
        <v>14931</v>
      </c>
      <c r="E7499" s="1" t="str">
        <f ca="1">IFERROR(__xludf.DUMMYFUNCTION("GOOGLETRANSLATE(A4298 , ""tr"" , ""en"")"),"@drfahrettinkoca are you taking on the responsibility? Remove the Firm Form, All Liability Ministry of Health Ministry of Health ... https://t.co/nx60nmwr0a")</f>
        <v>@drfahrettinkoca are you taking on the responsibility? Remove the Firm Form, All Liability Ministry of Health Ministry of Health ... https://t.co/nx60nmwr0a</v>
      </c>
    </row>
    <row r="7500" spans="1:5" ht="15" customHeight="1" x14ac:dyDescent="0.2">
      <c r="A7500" s="1" t="s">
        <v>14932</v>
      </c>
      <c r="B7500" s="1">
        <v>3</v>
      </c>
      <c r="C7500" s="3">
        <v>44538.82234953704</v>
      </c>
      <c r="D7500" s="1" t="s">
        <v>14933</v>
      </c>
      <c r="E7500" s="1" t="str">
        <f ca="1">IFERROR(__xludf.DUMMYFUNCTION("GOOGLETRANSLATE(A4299 , ""tr"" , ""en"")"),"@drfahrettinkoca Ali Rıza Demircan Hoca See what says, https://t.co/oqsyvufc2e")</f>
        <v>@drfahrettinkoca Ali Rıza Demircan Hoca See what says, https://t.co/oqsyvufc2e</v>
      </c>
    </row>
    <row r="7501" spans="1:5" ht="15" customHeight="1" x14ac:dyDescent="0.2">
      <c r="A7501" s="1" t="s">
        <v>14934</v>
      </c>
      <c r="B7501" s="1">
        <v>0</v>
      </c>
      <c r="C7501" s="3">
        <v>44538.822002314817</v>
      </c>
      <c r="D7501" s="1" t="s">
        <v>14935</v>
      </c>
      <c r="E7501" s="1" t="str">
        <f ca="1">IFERROR(__xludf.DUMMYFUNCTION("GOOGLETRANSLATE(A4300 , ""tr"" , ""en"")"),"@drfahrettinkoca virus will be stopped at somewhere in the vaccine, gladly curves as dancer virus variants")</f>
        <v>@drfahrettinkoca virus will be stopped at somewhere in the vaccine, gladly curves as dancer virus variants</v>
      </c>
    </row>
    <row r="7502" spans="1:5" ht="15" customHeight="1" x14ac:dyDescent="0.2">
      <c r="A7502" s="1" t="s">
        <v>14936</v>
      </c>
      <c r="B7502" s="1">
        <v>38</v>
      </c>
      <c r="C7502" s="3">
        <v>44538.821701388886</v>
      </c>
      <c r="D7502" s="1" t="s">
        <v>14937</v>
      </c>
      <c r="E7502" s="1" t="str">
        <f ca="1">IFERROR(__xludf.DUMMYFUNCTION("GOOGLETRANSLATE(A4301 , ""tr"" , ""en"")"),"@drfahrettinkoca mini mini clench causing experimental mRNA gene therapy, to try on this nation ... https://t.co/b6lzbzupld")</f>
        <v>@drfahrettinkoca mini mini clench causing experimental mRNA gene therapy, to try on this nation ... https://t.co/b6lzbzupld</v>
      </c>
    </row>
    <row r="7503" spans="1:5" ht="15" customHeight="1" x14ac:dyDescent="0.2">
      <c r="A7503" s="1" t="s">
        <v>14938</v>
      </c>
      <c r="B7503" s="1">
        <v>0</v>
      </c>
      <c r="C7503" s="3">
        <v>44538.820833333331</v>
      </c>
      <c r="D7503" s="1" t="s">
        <v>14939</v>
      </c>
      <c r="E7503" s="1" t="str">
        <f ca="1">IFERROR(__xludf.DUMMYFUNCTION("GOOGLETRANSLATE(A4302 , ""tr"" , ""en"")"),"@drfahrettinkoca PIHTIKik Minister, you expire the Whö and Film Board, how the fürügu ends spontaneously.")</f>
        <v>@drfahrettinkoca PIHTIKik Minister, you expire the Whö and Film Board, how the fürügu ends spontaneously.</v>
      </c>
    </row>
    <row r="7504" spans="1:5" ht="15" customHeight="1" x14ac:dyDescent="0.2">
      <c r="A7504" s="1" t="s">
        <v>14940</v>
      </c>
      <c r="B7504" s="1">
        <v>0</v>
      </c>
      <c r="C7504" s="3">
        <v>44538.820543981485</v>
      </c>
      <c r="D7504" s="1" t="s">
        <v>14941</v>
      </c>
      <c r="E7504" s="1" t="str">
        <f ca="1">IFERROR(__xludf.DUMMYFUNCTION("GOOGLETRANSLATE(A4303 , ""tr"" , ""en"")"),"@drfahrettinkoca I'm not")</f>
        <v>@drfahrettinkoca I'm not</v>
      </c>
    </row>
    <row r="7505" spans="1:5" ht="15" customHeight="1" x14ac:dyDescent="0.2">
      <c r="A7505" s="1" t="s">
        <v>14942</v>
      </c>
      <c r="B7505" s="1">
        <v>0</v>
      </c>
      <c r="C7505" s="3">
        <v>44538.820162037038</v>
      </c>
      <c r="D7505" s="1" t="s">
        <v>14943</v>
      </c>
      <c r="E7505" s="1" t="str">
        <f ca="1">IFERROR(__xludf.DUMMYFUNCTION("GOOGLETRANSLATE(A4304 , ""tr"" , ""en"")"),"@drfahrettinkoca Dear Minister The following folks regret to believe you.")</f>
        <v>@drfahrettinkoca Dear Minister The following folks regret to believe you.</v>
      </c>
    </row>
    <row r="7506" spans="1:5" ht="15" customHeight="1" x14ac:dyDescent="0.2">
      <c r="A7506" s="1" t="s">
        <v>14944</v>
      </c>
      <c r="B7506" s="1">
        <v>2</v>
      </c>
      <c r="C7506" s="3">
        <v>44538.820023148146</v>
      </c>
      <c r="D7506" s="1" t="s">
        <v>14945</v>
      </c>
      <c r="E7506" s="1" t="str">
        <f ca="1">IFERROR(__xludf.DUMMYFUNCTION("GOOGLETRANSLATE(A4305 , ""tr"" , ""en"")"),"@drfahrettinkoca I wonder who will win unique competition between Konya and Niğde for 4-5 months")</f>
        <v>@drfahrettinkoca I wonder who will win unique competition between Konya and Niğde for 4-5 months</v>
      </c>
    </row>
    <row r="7507" spans="1:5" ht="15" customHeight="1" x14ac:dyDescent="0.2">
      <c r="A7507" s="1" t="s">
        <v>14946</v>
      </c>
      <c r="B7507" s="1">
        <v>1</v>
      </c>
      <c r="C7507" s="3">
        <v>44538.820011574076</v>
      </c>
      <c r="D7507" s="1" t="s">
        <v>14947</v>
      </c>
      <c r="E7507" s="1" t="str">
        <f ca="1">IFERROR(__xludf.DUMMYFUNCTION("GOOGLETRANSLATE(A4306 , ""tr"" , ""en"")"),"@drfahrettinka https://t.co/n8ybiyd6wn")</f>
        <v>@drfahrettinka https://t.co/n8ybiyd6wn</v>
      </c>
    </row>
    <row r="7508" spans="1:5" ht="15" customHeight="1" x14ac:dyDescent="0.2">
      <c r="A7508" s="1" t="s">
        <v>14948</v>
      </c>
      <c r="B7508" s="1">
        <v>0</v>
      </c>
      <c r="C7508" s="3">
        <v>44538.819652777776</v>
      </c>
      <c r="D7508" s="1" t="s">
        <v>14949</v>
      </c>
      <c r="E7508" s="1" t="str">
        <f ca="1">IFERROR(__xludf.DUMMYFUNCTION("GOOGLETRANSLATE(A4307 , ""tr"" , ""en"")"),"@drfahrettinkoca HI ​​HII, OK")</f>
        <v>@drfahrettinkoca HI ​​HII, OK</v>
      </c>
    </row>
    <row r="7509" spans="1:5" ht="15" customHeight="1" x14ac:dyDescent="0.2">
      <c r="A7509" s="1" t="s">
        <v>14950</v>
      </c>
      <c r="B7509" s="1">
        <v>0</v>
      </c>
      <c r="C7509" s="3">
        <v>44538.819120370368</v>
      </c>
      <c r="D7509" s="1" t="s">
        <v>14951</v>
      </c>
      <c r="E7509" s="1" t="str">
        <f ca="1">IFERROR(__xludf.DUMMYFUNCTION("GOOGLETRANSLATE(A4308 , ""tr"" , ""en"")"),"@drfahrettinkoca how much rebel is full of it is exactly telling him by Hessplayal")</f>
        <v>@drfahrettinkoca how much rebel is full of it is exactly telling him by Hessplayal</v>
      </c>
    </row>
    <row r="7510" spans="1:5" ht="15" customHeight="1" x14ac:dyDescent="0.2">
      <c r="A7510" s="1" t="s">
        <v>14952</v>
      </c>
      <c r="B7510" s="1">
        <v>0</v>
      </c>
      <c r="C7510" s="3">
        <v>44538.818483796298</v>
      </c>
      <c r="D7510" s="1" t="s">
        <v>14953</v>
      </c>
      <c r="E7510" s="1" t="str">
        <f ca="1">IFERROR(__xludf.DUMMYFUNCTION("GOOGLETRANSLATE(A4309 , ""tr"" , ""en"")"),"@drfahrettinkoca faho you went to the pride of nonsense .. hell is waiting for you")</f>
        <v>@drfahrettinkoca faho you went to the pride of nonsense .. hell is waiting for you</v>
      </c>
    </row>
    <row r="7511" spans="1:5" ht="15" customHeight="1" x14ac:dyDescent="0.2">
      <c r="A7511" s="1" t="s">
        <v>14954</v>
      </c>
      <c r="B7511" s="1">
        <v>155</v>
      </c>
      <c r="C7511" s="3">
        <v>44538.818391203706</v>
      </c>
      <c r="D7511" s="1" t="s">
        <v>14955</v>
      </c>
      <c r="E7511" s="1" t="str">
        <f ca="1">IFERROR(__xludf.DUMMYFUNCTION("GOOGLETRANSLATE(A4310 , ""tr"" , ""en"")"),"@drfahrettinkoca Do you think you get rid of crime to us @drfahrettinkoca, hodri challenge intensive care ... https://t.co/pmhs7ksgpc")</f>
        <v>@drfahrettinkoca Do you think you get rid of crime to us @drfahrettinkoca, hodri challenge intensive care ... https://t.co/pmhs7ksgpc</v>
      </c>
    </row>
    <row r="7512" spans="1:5" ht="15" customHeight="1" x14ac:dyDescent="0.2">
      <c r="A7512" s="1" t="s">
        <v>14956</v>
      </c>
      <c r="B7512" s="1">
        <v>1</v>
      </c>
      <c r="C7512" s="3">
        <v>44538.817916666667</v>
      </c>
      <c r="D7512" s="1" t="s">
        <v>14957</v>
      </c>
      <c r="E7512" s="1" t="str">
        <f ca="1">IFERROR(__xludf.DUMMYFUNCTION("GOOGLETRANSLATE(A4311 , ""tr"" , ""en"")"),"@drfahrettinkoca Explains MISIs you are facing? MADEM OUR HEALTH THIS KEYDAR THIS KEEP BASIC FOOD PRICES ... HTTPS://T.CO/CRH1FPSDXO")</f>
        <v>@drfahrettinkoca Explains MISIs you are facing? MADEM OUR HEALTH THIS KEYDAR THIS KEEP BASIC FOOD PRICES ... HTTPS://T.CO/CRH1FPSDXO</v>
      </c>
    </row>
    <row r="7513" spans="1:5" ht="15" customHeight="1" x14ac:dyDescent="0.2">
      <c r="A7513" s="1" t="s">
        <v>14958</v>
      </c>
      <c r="B7513" s="1">
        <v>2</v>
      </c>
      <c r="C7513" s="3">
        <v>44538.817893518521</v>
      </c>
      <c r="D7513" s="1" t="s">
        <v>14959</v>
      </c>
      <c r="E7513" s="1" t="str">
        <f ca="1">IFERROR(__xludf.DUMMYFUNCTION("GOOGLETRANSLATE(A4312 , ""tr"" , ""en"")"),"@drfahrettinkoca 8 weeks will be the vaccine that will lose the influence of the MILLET, let's learn how to get this Nasil Business")</f>
        <v>@drfahrettinkoca 8 weeks will be the vaccine that will lose the influence of the MILLET, let's learn how to get this Nasil Business</v>
      </c>
    </row>
    <row r="7514" spans="1:5" ht="15" customHeight="1" x14ac:dyDescent="0.2">
      <c r="A7514" s="1" t="s">
        <v>14960</v>
      </c>
      <c r="B7514" s="1">
        <v>0</v>
      </c>
      <c r="C7514" s="3">
        <v>44538.817094907405</v>
      </c>
      <c r="D7514" s="1" t="s">
        <v>14961</v>
      </c>
      <c r="E7514" s="1" t="str">
        <f ca="1">IFERROR(__xludf.DUMMYFUNCTION("GOOGLETRANSLATE(A4313 , ""tr"" , ""en"")"),"@drfahrettinkoca Dear Minister If you already go to death, let the hunger leave the rich people live in the hits # https://t.co/w31xfxy08q")</f>
        <v>@drfahrettinkoca Dear Minister If you already go to death, let the hunger leave the rich people live in the hits # https://t.co/w31xfxy08q</v>
      </c>
    </row>
    <row r="7515" spans="1:5" ht="15" customHeight="1" x14ac:dyDescent="0.2">
      <c r="A7515" s="1" t="s">
        <v>14962</v>
      </c>
      <c r="B7515" s="1">
        <v>1</v>
      </c>
      <c r="C7515" s="3">
        <v>44538.816759259258</v>
      </c>
      <c r="D7515" s="1" t="s">
        <v>14963</v>
      </c>
      <c r="E7515" s="1" t="str">
        <f ca="1">IFERROR(__xludf.DUMMYFUNCTION("GOOGLETRANSLATE(A4314 , ""tr"" , ""en"")"),"@drfahrettinkoca vaccine What is the Minister of Outbreaks? Germene to their proportion.")</f>
        <v>@drfahrettinkoca vaccine What is the Minister of Outbreaks? Germene to their proportion.</v>
      </c>
    </row>
    <row r="7516" spans="1:5" ht="15" customHeight="1" x14ac:dyDescent="0.2">
      <c r="A7516" s="1" t="s">
        <v>14964</v>
      </c>
      <c r="B7516" s="1">
        <v>0</v>
      </c>
      <c r="C7516" s="3">
        <v>44538.816655092596</v>
      </c>
      <c r="D7516" s="1" t="s">
        <v>14965</v>
      </c>
      <c r="E7516" s="1" t="str">
        <f ca="1">IFERROR(__xludf.DUMMYFUNCTION("GOOGLETRANSLATE(A4315 , ""tr"" , ""en"")"),"@drfahrettinka what measures were taken all this time. Now only Twit is thrown. No measures, no mask, no distance, ko ... https://t.co/htbt34bowk")</f>
        <v>@drfahrettinka what measures were taken all this time. Now only Twit is thrown. No measures, no mask, no distance, ko ... https://t.co/htbt34bowk</v>
      </c>
    </row>
    <row r="7517" spans="1:5" ht="15" customHeight="1" x14ac:dyDescent="0.2">
      <c r="A7517" s="1" t="s">
        <v>14966</v>
      </c>
      <c r="B7517" s="1">
        <v>0</v>
      </c>
      <c r="C7517" s="3">
        <v>44538.81658564815</v>
      </c>
      <c r="D7517" s="1" t="s">
        <v>14967</v>
      </c>
      <c r="E7517" s="1" t="str">
        <f ca="1">IFERROR(__xludf.DUMMYFUNCTION("GOOGLETRANSLATE(A4316 , ""tr"" , ""en"")"),"@drfahrettinkoca Daddy Mr. Minister Mr. Minister.It was a biontec of two Sinovac with 3 days after heart attack ... https://t.co/haoejfp40o")</f>
        <v>@drfahrettinkoca Daddy Mr. Minister Mr. Minister.It was a biontec of two Sinovac with 3 days after heart attack ... https://t.co/haoejfp40o</v>
      </c>
    </row>
    <row r="7518" spans="1:5" ht="15" customHeight="1" x14ac:dyDescent="0.2">
      <c r="A7518" s="1" t="s">
        <v>14968</v>
      </c>
      <c r="B7518" s="1">
        <v>6</v>
      </c>
      <c r="C7518" s="3">
        <v>44538.815740740742</v>
      </c>
      <c r="D7518" s="1" t="s">
        <v>14969</v>
      </c>
      <c r="E7518" s="1" t="str">
        <f ca="1">IFERROR(__xludf.DUMMYFUNCTION("GOOGLETRANSLATE(A4317 , ""tr"" , ""en"")"),"@drfahrettinkoca you still don't turn off schools in the crowds you are in the crowd then do you say vaccine then vaccine ... https://t.co/lhfmyiyf60")</f>
        <v>@drfahrettinkoca you still don't turn off schools in the crowds you are in the crowd then do you say vaccine then vaccine ... https://t.co/lhfmyiyf60</v>
      </c>
    </row>
    <row r="7519" spans="1:5" ht="15" customHeight="1" x14ac:dyDescent="0.2">
      <c r="A7519" s="1" t="s">
        <v>14970</v>
      </c>
      <c r="B7519" s="1">
        <v>0</v>
      </c>
      <c r="C7519" s="3">
        <v>44538.815717592595</v>
      </c>
      <c r="D7519" s="1" t="s">
        <v>14971</v>
      </c>
      <c r="E7519" s="1" t="str">
        <f ca="1">IFERROR(__xludf.DUMMYFUNCTION("GOOGLETRANSLATE(A4318 , ""tr"" , ""en"")"),"@drfahrettinkoca frighten the asidan with on again? Don't be vaccinated when don't be the calm ... https://t.co/1l0wkweqgk")</f>
        <v>@drfahrettinkoca frighten the asidan with on again? Don't be vaccinated when don't be the calm ... https://t.co/1l0wkweqgk</v>
      </c>
    </row>
    <row r="7520" spans="1:5" ht="15" customHeight="1" x14ac:dyDescent="0.2">
      <c r="A7520" s="1" t="s">
        <v>14972</v>
      </c>
      <c r="B7520" s="1">
        <v>0</v>
      </c>
      <c r="C7520" s="3">
        <v>44538.814293981479</v>
      </c>
      <c r="D7520" s="1" t="s">
        <v>14973</v>
      </c>
      <c r="E7520" s="1" t="str">
        <f ca="1">IFERROR(__xludf.DUMMYFUNCTION("GOOGLETRANSLATE(A4319 , ""tr"" , ""en"")"),"@drfahrettinkoca vaccine I've lost what you have said 3 I lost from the heart crisis I lost it to the land with my hands, so you ... https://t.co/ktqombhaz3")</f>
        <v>@drfahrettinkoca vaccine I've lost what you have said 3 I lost from the heart crisis I lost it to the land with my hands, so you ... https://t.co/ktqombhaz3</v>
      </c>
    </row>
    <row r="7521" spans="1:5" ht="15" customHeight="1" x14ac:dyDescent="0.2">
      <c r="A7521" s="1" t="s">
        <v>14974</v>
      </c>
      <c r="B7521" s="1">
        <v>5</v>
      </c>
      <c r="C7521" s="3">
        <v>44538.814074074071</v>
      </c>
      <c r="D7521" s="1" t="s">
        <v>14975</v>
      </c>
      <c r="E7521" s="1" t="str">
        <f ca="1">IFERROR(__xludf.DUMMYFUNCTION("GOOGLETRANSLATE(A4320 , ""tr"" , ""en"")"),"@drfahrettinkoca 💥NeNe Research: ""A $ A ... HTTPS://T.CO/KSZJ42LKND in Europe and America")</f>
        <v>@drfahrettinkoca 💥NeNe Research: "A $ A ... HTTPS://T.CO/KSZJ42LKND in Europe and America</v>
      </c>
    </row>
    <row r="7522" spans="1:5" ht="15" customHeight="1" x14ac:dyDescent="0.2">
      <c r="A7522" s="1" t="s">
        <v>14976</v>
      </c>
      <c r="B7522" s="1">
        <v>0</v>
      </c>
      <c r="C7522" s="3">
        <v>44538.813888888886</v>
      </c>
      <c r="D7522" s="1" t="s">
        <v>14977</v>
      </c>
      <c r="E7522" s="1" t="str">
        <f ca="1">IFERROR(__xludf.DUMMYFUNCTION("GOOGLETRANSLATE(A4321 , ""tr"" , ""en"")"),"@drfahrettinkoca seriously wonderfully wondering as a doctor, are you comfortable? The words you gave to healthcare ... https://t.co/hqnarel2z5")</f>
        <v>@drfahrettinkoca seriously wonderfully wondering as a doctor, are you comfortable? The words you gave to healthcare ... https://t.co/hqnarel2z5</v>
      </c>
    </row>
    <row r="7523" spans="1:5" ht="15" customHeight="1" x14ac:dyDescent="0.2">
      <c r="A7523" s="1" t="s">
        <v>14978</v>
      </c>
      <c r="B7523" s="1">
        <v>0</v>
      </c>
      <c r="C7523" s="3">
        <v>44538.813275462962</v>
      </c>
      <c r="D7523" s="1" t="s">
        <v>14979</v>
      </c>
      <c r="E7523" s="1" t="str">
        <f ca="1">IFERROR(__xludf.DUMMYFUNCTION("GOOGLETRANSLATE(A4322 , ""tr"" , ""en"")"),"@drfahrettinkoca actress decreased cases Dustu Hani was the religion of the insuffers in Suan?")</f>
        <v>@drfahrettinkoca actress decreased cases Dustu Hani was the religion of the insuffers in Suan?</v>
      </c>
    </row>
    <row r="7524" spans="1:5" ht="15" customHeight="1" x14ac:dyDescent="0.2">
      <c r="A7524" s="1" t="s">
        <v>14980</v>
      </c>
      <c r="B7524" s="1">
        <v>0</v>
      </c>
      <c r="C7524" s="3">
        <v>44538.81322916667</v>
      </c>
      <c r="D7524" s="1" t="s">
        <v>14981</v>
      </c>
      <c r="E7524" s="1" t="str">
        <f ca="1">IFERROR(__xludf.DUMMYFUNCTION("GOOGLETRANSLATE(A4323 , ""tr"" , ""en"")"),"@drfahrettinka so how many dose of overdose is the vaccine when we say it's going on full? Is it 2 Mi 3 4?")</f>
        <v>@drfahrettinka so how many dose of overdose is the vaccine when we say it's going on full? Is it 2 Mi 3 4?</v>
      </c>
    </row>
    <row r="7525" spans="1:5" ht="15" customHeight="1" x14ac:dyDescent="0.2">
      <c r="A7525" s="1" t="s">
        <v>14982</v>
      </c>
      <c r="B7525" s="1">
        <v>0</v>
      </c>
      <c r="C7525" s="3">
        <v>44538.812986111108</v>
      </c>
      <c r="D7525" s="1" t="s">
        <v>14983</v>
      </c>
      <c r="E7525" s="1" t="str">
        <f ca="1">IFERROR(__xludf.DUMMYFUNCTION("GOOGLETRANSLATE(A4324 , ""tr"" , ""en"")"),"@drfahrettinkoca is the greatest regret you and your scenarios! I won't be vaccinations until the end. The ones are already always lost ... https://t.co/pgc4zptunk")</f>
        <v>@drfahrettinkoca is the greatest regret you and your scenarios! I won't be vaccinations until the end. The ones are already always lost ... https://t.co/pgc4zptunk</v>
      </c>
    </row>
    <row r="7526" spans="1:5" ht="15" customHeight="1" x14ac:dyDescent="0.2">
      <c r="A7526" s="1" t="s">
        <v>14984</v>
      </c>
      <c r="B7526" s="1">
        <v>0</v>
      </c>
      <c r="C7526" s="3">
        <v>44538.812280092592</v>
      </c>
      <c r="D7526" s="1" t="s">
        <v>14985</v>
      </c>
      <c r="E7526" s="1" t="str">
        <f ca="1">IFERROR(__xludf.DUMMYFUNCTION("GOOGLETRANSLATE(A4325 , ""tr"" , ""en"")"),"@drfahrettinkoca is resisting Urfa. the staticics are alower. Three down five-down ye ... t")</f>
        <v>@drfahrettinkoca is resisting Urfa. the staticics are alower. Three down five-down ye ... t</v>
      </c>
    </row>
    <row r="7527" spans="1:5" ht="15" customHeight="1" x14ac:dyDescent="0.2">
      <c r="A7527" s="1" t="s">
        <v>14986</v>
      </c>
      <c r="B7527" s="1">
        <v>0</v>
      </c>
      <c r="C7527" s="3">
        <v>44538.811562499999</v>
      </c>
      <c r="D7527" s="1" t="s">
        <v>14987</v>
      </c>
      <c r="E7527" s="1" t="str">
        <f ca="1">IFERROR(__xludf.DUMMYFUNCTION("GOOGLETRANSLATE(A4326 , ""tr"" , ""en"")"),"@drfahrettinkoca 2 Define Booster Dose to those who have past 5 months over 2 dose Mr. Minister")</f>
        <v>@drfahrettinkoca 2 Define Booster Dose to those who have past 5 months over 2 dose Mr. Minister</v>
      </c>
    </row>
    <row r="7528" spans="1:5" ht="15" customHeight="1" x14ac:dyDescent="0.2">
      <c r="A7528" s="1" t="s">
        <v>14988</v>
      </c>
      <c r="B7528" s="1">
        <v>0</v>
      </c>
      <c r="C7528" s="3">
        <v>44538.811377314814</v>
      </c>
      <c r="D7528" s="1" t="s">
        <v>14989</v>
      </c>
      <c r="E7528" s="1" t="str">
        <f ca="1">IFERROR(__xludf.DUMMYFUNCTION("GOOGLETRANSLATE(A4327 , ""tr"" , ""en"")"),"@drfahrettinkoca Fahrettin Yakına Give the correct data LAN ass fucker")</f>
        <v>@drfahrettinkoca Fahrettin Yakına Give the correct data LAN ass fucker</v>
      </c>
    </row>
    <row r="7529" spans="1:5" ht="15" customHeight="1" x14ac:dyDescent="0.2">
      <c r="A7529" s="1" t="s">
        <v>14990</v>
      </c>
      <c r="B7529" s="1">
        <v>0</v>
      </c>
      <c r="C7529" s="3">
        <v>44538.811192129629</v>
      </c>
      <c r="D7529" s="1" t="s">
        <v>14991</v>
      </c>
      <c r="E7529" s="1" t="str">
        <f ca="1">IFERROR(__xludf.DUMMYFUNCTION("GOOGLETRANSLATE(A4328 , ""tr"" , ""en"")"),"@drfahrettinkoca I asked you many times but I'll ask again: When a healthy-eating human vaccine is the most bi sa ... https://t.co/rlgzlbnfm6")</f>
        <v>@drfahrettinkoca I asked you many times but I'll ask again: When a healthy-eating human vaccine is the most bi sa ... https://t.co/rlgzlbnfm6</v>
      </c>
    </row>
    <row r="7530" spans="1:5" ht="15" customHeight="1" x14ac:dyDescent="0.2">
      <c r="A7530" s="1" t="s">
        <v>14992</v>
      </c>
      <c r="B7530" s="1">
        <v>0</v>
      </c>
      <c r="C7530" s="3">
        <v>44538.811030092591</v>
      </c>
      <c r="D7530" s="1" t="s">
        <v>14993</v>
      </c>
      <c r="E7530" s="1" t="str">
        <f ca="1">IFERROR(__xludf.DUMMYFUNCTION("GOOGLETRANSLATE(A4329 , ""tr"" , ""en"")"),"@drfahrettinkoca Each precaution that you can't mind today is the restraint of measure to you in the vote in the crate to the vote ... https://t.co/fe9one8fm5")</f>
        <v>@drfahrettinkoca Each precaution that you can't mind today is the restraint of measure to you in the vote in the crate to the vote ... https://t.co/fe9one8fm5</v>
      </c>
    </row>
    <row r="7531" spans="1:5" ht="15" customHeight="1" x14ac:dyDescent="0.2">
      <c r="A7531" s="1" t="s">
        <v>14994</v>
      </c>
      <c r="B7531" s="1">
        <v>0</v>
      </c>
      <c r="C7531" s="3">
        <v>44538.810717592591</v>
      </c>
      <c r="D7531" s="1" t="s">
        <v>14995</v>
      </c>
      <c r="E7531" s="1" t="str">
        <f ca="1">IFERROR(__xludf.DUMMYFUNCTION("GOOGLETRANSLATE(A4330 , ""tr"" , ""en"")"),"@drfahrettinkoca Covid &amp; LT; heart attack")</f>
        <v>@drfahrettinkoca Covid &amp; LT; heart attack</v>
      </c>
    </row>
    <row r="7532" spans="1:5" ht="15" customHeight="1" x14ac:dyDescent="0.2">
      <c r="A7532" s="1" t="s">
        <v>14996</v>
      </c>
      <c r="B7532" s="1">
        <v>0</v>
      </c>
      <c r="C7532" s="3">
        <v>44538.810439814813</v>
      </c>
      <c r="D7532" s="1" t="s">
        <v>14997</v>
      </c>
      <c r="E7532" s="1" t="str">
        <f ca="1">IFERROR(__xludf.DUMMYFUNCTION("GOOGLETRANSLATE(A4331 , ""tr"" , ""en"")"),"@drfahrettinkoca We are still not insisting.")</f>
        <v>@drfahrettinkoca We are still not insisting.</v>
      </c>
    </row>
    <row r="7533" spans="1:5" ht="15" customHeight="1" x14ac:dyDescent="0.2">
      <c r="A7533" s="1" t="s">
        <v>14998</v>
      </c>
      <c r="B7533" s="1">
        <v>0</v>
      </c>
      <c r="C7533" s="3">
        <v>44538.810358796298</v>
      </c>
      <c r="D7533" s="1" t="s">
        <v>14999</v>
      </c>
      <c r="E7533" s="1" t="str">
        <f ca="1">IFERROR(__xludf.DUMMYFUNCTION("GOOGLETRANSLATE(A4332 , ""tr"" , ""en"")"),"@drfahrettinkoca I'm working as a paramedic / driver in 4D continuous workers staff at 112 at 112. ... https://t.co/jhhp2fz5wj")</f>
        <v>@drfahrettinkoca I'm working as a paramedic / driver in 4D continuous workers staff at 112 at 112. ... https://t.co/jhhp2fz5wj</v>
      </c>
    </row>
    <row r="7534" spans="1:5" ht="15" customHeight="1" x14ac:dyDescent="0.2">
      <c r="A7534" s="1" t="s">
        <v>15000</v>
      </c>
      <c r="B7534" s="1">
        <v>0</v>
      </c>
      <c r="C7534" s="3">
        <v>44538.810254629629</v>
      </c>
      <c r="D7534" s="1" t="s">
        <v>15001</v>
      </c>
      <c r="E7534" s="1" t="str">
        <f ca="1">IFERROR(__xludf.DUMMYFUNCTION("GOOGLETRANSLATE(A4333 , ""tr"" , ""en"")"),"@drfahrettinkoca Mr. Minister Please take a look at your data. Case number and death rates as the vaccination rate falls ... https://t.co/n2qb8b1013")</f>
        <v>@drfahrettinkoca Mr. Minister Please take a look at your data. Case number and death rates as the vaccination rate falls ... https://t.co/n2qb8b1013</v>
      </c>
    </row>
    <row r="7535" spans="1:5" ht="15" customHeight="1" x14ac:dyDescent="0.2">
      <c r="A7535" s="1" t="s">
        <v>15002</v>
      </c>
      <c r="B7535" s="1">
        <v>0</v>
      </c>
      <c r="C7535" s="3">
        <v>44538.809965277775</v>
      </c>
      <c r="D7535" s="1" t="s">
        <v>15003</v>
      </c>
      <c r="E7535" s="1" t="str">
        <f ca="1">IFERROR(__xludf.DUMMYFUNCTION("GOOGLETRANSLATE(A4334 , ""tr"" , ""en"")"),"@drfahrettinkoca you will not give up on using people like trial and error board. We will take new pills ... https://t.co/4kskf7vkxd")</f>
        <v>@drfahrettinkoca you will not give up on using people like trial and error board. We will take new pills ... https://t.co/4kskf7vkxd</v>
      </c>
    </row>
    <row r="7536" spans="1:5" ht="15" customHeight="1" x14ac:dyDescent="0.2">
      <c r="A7536" s="1" t="s">
        <v>15004</v>
      </c>
      <c r="B7536" s="1">
        <v>2</v>
      </c>
      <c r="C7536" s="3">
        <v>44538.809849537036</v>
      </c>
      <c r="D7536" s="1" t="s">
        <v>15005</v>
      </c>
      <c r="E7536" s="1" t="str">
        <f ca="1">IFERROR(__xludf.DUMMYFUNCTION("GOOGLETRANSLATE(A4335 , ""tr"" , ""en"")"),"@drfahrettinkoca What did those who frighten our people with fake epidemic lies? Fortunately there is death and hell is not needed ... #testbahane")</f>
        <v>@drfahrettinkoca What did those who frighten our people with fake epidemic lies? Fortunately there is death and hell is not needed ... #testbahane</v>
      </c>
    </row>
    <row r="7537" spans="1:5" ht="15" customHeight="1" x14ac:dyDescent="0.2">
      <c r="A7537" s="1" t="s">
        <v>15006</v>
      </c>
      <c r="B7537" s="1">
        <v>47</v>
      </c>
      <c r="C7537" s="3">
        <v>44538.80982638889</v>
      </c>
      <c r="D7537" s="1" t="s">
        <v>15007</v>
      </c>
      <c r="E7537" s="1" t="str">
        <f ca="1">IFERROR(__xludf.DUMMYFUNCTION("GOOGLETRANSLATE(A4336 , ""tr"" , ""en"")"),"@drfahrettinkoca We lost lost Bey Paramayak neighbors, believers that it is immortal is to Psycho Turning Coc ... https://t.co/raodwsujde")</f>
        <v>@drfahrettinkoca We lost lost Bey Paramayak neighbors, believers that it is immortal is to Psycho Turning Coc ... https://t.co/raodwsujde</v>
      </c>
    </row>
    <row r="7538" spans="1:5" ht="15" customHeight="1" x14ac:dyDescent="0.2">
      <c r="A7538" s="1" t="s">
        <v>15008</v>
      </c>
      <c r="B7538" s="1">
        <v>2</v>
      </c>
      <c r="C7538" s="3">
        <v>44538.809814814813</v>
      </c>
      <c r="D7538" s="1" t="s">
        <v>15009</v>
      </c>
      <c r="E7538" s="1" t="str">
        <f ca="1">IFERROR(__xludf.DUMMYFUNCTION("GOOGLETRANSLATE(A4337 , ""tr"" , ""en"")"),"@drfahrettinka means the vaccine; Sleeve clogs, heart crisons, UF of reproductive cells, soft-tissue ka ... https://t.co/3xl9uwkcht")</f>
        <v>@drfahrettinka means the vaccine; Sleeve clogs, heart crisons, UF of reproductive cells, soft-tissue ka ... https://t.co/3xl9uwkcht</v>
      </c>
    </row>
    <row r="7539" spans="1:5" ht="15" customHeight="1" x14ac:dyDescent="0.2">
      <c r="A7539" s="1" t="s">
        <v>15010</v>
      </c>
      <c r="B7539" s="1">
        <v>0</v>
      </c>
      <c r="C7539" s="3">
        <v>44538.809803240743</v>
      </c>
      <c r="D7539" s="1" t="s">
        <v>15011</v>
      </c>
      <c r="E7539" s="1" t="str">
        <f ca="1">IFERROR(__xludf.DUMMYFUNCTION("GOOGLETRANSLATE(A4338 , ""tr"" , ""en"")"),"@drfahrettinka what will happen to those who lose their health because of the tiny tiny clots after the tiny tiny clots ... https://t.co/87oil07khz")</f>
        <v>@drfahrettinka what will happen to those who lose their health because of the tiny tiny clots after the tiny tiny clots ... https://t.co/87oil07khz</v>
      </c>
    </row>
    <row r="7540" spans="1:5" ht="15" customHeight="1" x14ac:dyDescent="0.2">
      <c r="A7540" s="1" t="s">
        <v>15012</v>
      </c>
      <c r="B7540" s="1">
        <v>0</v>
      </c>
      <c r="C7540" s="3">
        <v>44538.809374999997</v>
      </c>
      <c r="D7540" s="1" t="s">
        <v>15013</v>
      </c>
      <c r="E7540" s="1" t="str">
        <f ca="1">IFERROR(__xludf.DUMMYFUNCTION("GOOGLETRANSLATE(A4339 , ""tr"" , ""en"")"),"@drfahrettinkoca sec @drfahrettinka do you read these comments?")</f>
        <v>@drfahrettinkoca sec @drfahrettinka do you read these comments?</v>
      </c>
    </row>
    <row r="7541" spans="1:5" ht="15" customHeight="1" x14ac:dyDescent="0.2">
      <c r="A7541" s="1" t="s">
        <v>15014</v>
      </c>
      <c r="B7541" s="1">
        <v>0</v>
      </c>
      <c r="C7541" s="3">
        <v>44538.808113425926</v>
      </c>
      <c r="D7541" s="1" t="s">
        <v>15015</v>
      </c>
      <c r="E7541" s="1" t="str">
        <f ca="1">IFERROR(__xludf.DUMMYFUNCTION("GOOGLETRANSLATE(A4340 , ""tr"" , ""en"")"),"@drfahrettinkoca Iste You Covid19 Bungugu staticities.")</f>
        <v>@drfahrettinkoca Iste You Covid19 Bungugu staticities.</v>
      </c>
    </row>
    <row r="7542" spans="1:5" ht="15" customHeight="1" x14ac:dyDescent="0.2">
      <c r="A7542" s="1" t="s">
        <v>15016</v>
      </c>
      <c r="B7542" s="1">
        <v>1</v>
      </c>
      <c r="C7542" s="3">
        <v>44538.808009259257</v>
      </c>
      <c r="D7542" s="1" t="s">
        <v>15017</v>
      </c>
      <c r="E7542" s="1" t="str">
        <f ca="1">IFERROR(__xludf.DUMMYFUNCTION("GOOGLETRANSLATE(A4341 , ""tr"" , ""en"")"),"@drfahrettinkoca You will not be able to find healthier to look at those patients. When is the guide. Https://t.co/mpgetackay to our people.")</f>
        <v>@drfahrettinkoca You will not be able to find healthier to look at those patients. When is the guide. Https://t.co/mpgetackay to our people.</v>
      </c>
    </row>
    <row r="7543" spans="1:5" ht="15" customHeight="1" x14ac:dyDescent="0.2">
      <c r="A7543" s="1" t="s">
        <v>15018</v>
      </c>
      <c r="B7543" s="1">
        <v>0</v>
      </c>
      <c r="C7543" s="3">
        <v>44538.807962962965</v>
      </c>
      <c r="D7543" s="1" t="s">
        <v>15019</v>
      </c>
      <c r="E7543" s="1" t="str">
        <f ca="1">IFERROR(__xludf.DUMMYFUNCTION("GOOGLETRANSLATE(A4342 , ""tr"" , ""en"")"),"@drfahrettinkoca people didn't win anything; But as if you have won your quite?")</f>
        <v>@drfahrettinkoca people didn't win anything; But as if you have won your quite?</v>
      </c>
    </row>
    <row r="7544" spans="1:5" ht="15" customHeight="1" x14ac:dyDescent="0.2">
      <c r="A7544" s="1" t="s">
        <v>15020</v>
      </c>
      <c r="B7544" s="1">
        <v>4</v>
      </c>
      <c r="C7544" s="3">
        <v>44538.807685185187</v>
      </c>
      <c r="D7544" s="1" t="s">
        <v>15021</v>
      </c>
      <c r="E7544" s="1" t="str">
        <f ca="1">IFERROR(__xludf.DUMMYFUNCTION("GOOGLETRANSLATE(A4343 , ""tr"" , ""en"")"),"@drfahrettinkoca Social media don't have vaccines in my hand densing dense care? https://t.co/phumccrgxj")</f>
        <v>@drfahrettinkoca Social media don't have vaccines in my hand densing dense care? https://t.co/phumccrgxj</v>
      </c>
    </row>
    <row r="7545" spans="1:5" ht="15" customHeight="1" x14ac:dyDescent="0.2">
      <c r="A7545" s="1" t="s">
        <v>15022</v>
      </c>
      <c r="B7545" s="1">
        <v>0</v>
      </c>
      <c r="C7545" s="3">
        <v>44538.806886574072</v>
      </c>
      <c r="D7545" s="1" t="s">
        <v>15023</v>
      </c>
      <c r="E7545" s="1" t="str">
        <f ca="1">IFERROR(__xludf.DUMMYFUNCTION("GOOGLETRANSLATE(A4344 , ""tr"" , ""en"")"),"@drfahrettinkoca I lost my first patient on the day you say we have been reduced to the ages in the eyes ... Https://t.co/74qjg28ecI")</f>
        <v>@drfahrettinkoca I lost my first patient on the day you say we have been reduced to the ages in the eyes ... Https://t.co/74qjg28ecI</v>
      </c>
    </row>
    <row r="7546" spans="1:5" ht="15" customHeight="1" x14ac:dyDescent="0.2">
      <c r="A7546" s="1" t="s">
        <v>15024</v>
      </c>
      <c r="B7546" s="1">
        <v>0</v>
      </c>
      <c r="C7546" s="3">
        <v>44538.806493055556</v>
      </c>
      <c r="D7546" s="1" t="s">
        <v>15025</v>
      </c>
      <c r="E7546" s="1" t="str">
        <f ca="1">IFERROR(__xludf.DUMMYFUNCTION("GOOGLETRANSLATE(A4345 , ""tr"" , ""en"")"),"@drfahrettinka you are your spoke that pushes the physicians to make vaccination. Did you never be ashamed of cutting the physician's salary? https://t.co/7ceIpeqc3g")</f>
        <v>@drfahrettinka you are your spoke that pushes the physicians to make vaccination. Did you never be ashamed of cutting the physician's salary? https://t.co/7ceIpeqc3g</v>
      </c>
    </row>
    <row r="7547" spans="1:5" ht="15" customHeight="1" x14ac:dyDescent="0.2">
      <c r="A7547" s="1" t="s">
        <v>15026</v>
      </c>
      <c r="B7547" s="1">
        <v>0</v>
      </c>
      <c r="C7547" s="3">
        <v>44538.805312500001</v>
      </c>
      <c r="D7547" s="1" t="s">
        <v>15027</v>
      </c>
      <c r="E7547" s="1" t="str">
        <f ca="1">IFERROR(__xludf.DUMMYFUNCTION("GOOGLETRANSLATE(A4346 , ""tr"" , ""en"")"),"@drfahrettinkoca is the real one share")</f>
        <v>@drfahrettinkoca is the real one share</v>
      </c>
    </row>
    <row r="7548" spans="1:5" ht="15" customHeight="1" x14ac:dyDescent="0.2">
      <c r="A7548" s="1" t="s">
        <v>15028</v>
      </c>
      <c r="B7548" s="1">
        <v>0</v>
      </c>
      <c r="C7548" s="3">
        <v>44538.804270833331</v>
      </c>
      <c r="D7548" s="1" t="s">
        <v>15029</v>
      </c>
      <c r="E7548" s="1" t="str">
        <f ca="1">IFERROR(__xludf.DUMMYFUNCTION("GOOGLETRANSLATE(A4347 , ""tr"" , ""en"")"),"@drfahrettinkoca is either saying right! Grafen Oxit Specialist Dr Andreas Noack says this graphen hydroxide in your body ... https://t.co/qv86kxofty")</f>
        <v>@drfahrettinkoca is either saying right! Grafen Oxit Specialist Dr Andreas Noack says this graphen hydroxide in your body ... https://t.co/qv86kxofty</v>
      </c>
    </row>
    <row r="7549" spans="1:5" ht="15" customHeight="1" x14ac:dyDescent="0.2">
      <c r="A7549" s="1" t="s">
        <v>15030</v>
      </c>
      <c r="B7549" s="1">
        <v>12</v>
      </c>
      <c r="C7549" s="3">
        <v>44538.803888888891</v>
      </c>
      <c r="D7549" s="1" t="s">
        <v>15031</v>
      </c>
      <c r="E7549" s="1" t="str">
        <f ca="1">IFERROR(__xludf.DUMMYFUNCTION("GOOGLETRANSLATE(A4348 , ""tr"" , ""en"")"),"@drfahrettinkoca shamelessness, though, you need this, though the vaccine in intensive care is full of uninspiredness ... https://t.co/ny5xuyxu0w")</f>
        <v>@drfahrettinkoca shamelessness, though, you need this, though the vaccine in intensive care is full of uninspiredness ... https://t.co/ny5xuyxu0w</v>
      </c>
    </row>
    <row r="7550" spans="1:5" ht="15" customHeight="1" x14ac:dyDescent="0.2">
      <c r="A7550" s="1" t="s">
        <v>15032</v>
      </c>
      <c r="B7550" s="1">
        <v>0</v>
      </c>
      <c r="C7550" s="3">
        <v>44538.803807870368</v>
      </c>
      <c r="D7550" s="1" t="s">
        <v>15033</v>
      </c>
      <c r="E7550" s="1" t="str">
        <f ca="1">IFERROR(__xludf.DUMMYFUNCTION("GOOGLETRANSLATE(A4349 , ""tr"" , ""en"")"),"@drfahrettinkoca map Why didn't the blue be blue?")</f>
        <v>@drfahrettinkoca map Why didn't the blue be blue?</v>
      </c>
    </row>
    <row r="7551" spans="1:5" ht="15" customHeight="1" x14ac:dyDescent="0.2">
      <c r="A7551" s="1" t="s">
        <v>15034</v>
      </c>
      <c r="B7551" s="1">
        <v>2</v>
      </c>
      <c r="C7551" s="3">
        <v>44538.803043981483</v>
      </c>
      <c r="D7551" s="1" t="s">
        <v>15035</v>
      </c>
      <c r="E7551" s="1" t="str">
        <f ca="1">IFERROR(__xludf.DUMMYFUNCTION("GOOGLETRANSLATE(A4350 , ""tr"" , ""en"")"),"@drfahrettinkoca Kadro Duzenlama should be brought to the officer-shelf separation should be removed. Paramedic Ambulance Suitable ... HTTPS://T.CO/UJOY2TCITA")</f>
        <v>@drfahrettinkoca Kadro Duzenlama should be brought to the officer-shelf separation should be removed. Paramedic Ambulance Suitable ... HTTPS://T.CO/UJOY2TCITA</v>
      </c>
    </row>
    <row r="7552" spans="1:5" ht="15" customHeight="1" x14ac:dyDescent="0.2">
      <c r="A7552" s="1" t="s">
        <v>15036</v>
      </c>
      <c r="B7552" s="1">
        <v>0</v>
      </c>
      <c r="C7552" s="3">
        <v>44538.802893518521</v>
      </c>
      <c r="D7552" s="1" t="s">
        <v>15037</v>
      </c>
      <c r="E7552" s="1" t="str">
        <f ca="1">IFERROR(__xludf.DUMMYFUNCTION("GOOGLETRANSLATE(A4351 , ""tr"" , ""en"")"),"@drfahrettinkoca Rebel Scheduling and Subscribe to the Schedule and program, suc.")</f>
        <v>@drfahrettinkoca Rebel Scheduling and Subscribe to the Schedule and program, suc.</v>
      </c>
    </row>
    <row r="7553" spans="1:5" ht="15" customHeight="1" x14ac:dyDescent="0.2">
      <c r="A7553" s="1" t="s">
        <v>15038</v>
      </c>
      <c r="B7553" s="1">
        <v>0</v>
      </c>
      <c r="C7553" s="3">
        <v>44538.802824074075</v>
      </c>
      <c r="D7553" s="1" t="s">
        <v>15039</v>
      </c>
      <c r="E7553" s="1" t="str">
        <f ca="1">IFERROR(__xludf.DUMMYFUNCTION("GOOGLETRANSLATE(A4352 , ""tr"" , ""en"")"),"Explain data after @drfahrettinka vaccine ...")</f>
        <v>Explain data after @drfahrettinka vaccine ...</v>
      </c>
    </row>
    <row r="7554" spans="1:5" ht="15" customHeight="1" x14ac:dyDescent="0.2">
      <c r="A7554" s="1" t="s">
        <v>15040</v>
      </c>
      <c r="B7554" s="1">
        <v>3</v>
      </c>
      <c r="C7554" s="3">
        <v>44538.802731481483</v>
      </c>
      <c r="D7554" s="1" t="s">
        <v>15041</v>
      </c>
      <c r="E7554" s="1" t="str">
        <f ca="1">IFERROR(__xludf.DUMMYFUNCTION("GOOGLETRANSLATE(A4353 , ""tr"" , ""en"")"),"@drfahrettinka You have never thought of what you've lost this country is this Hristality and your land! Whats! Da ... https://t.co/gntjpsn2ca")</f>
        <v>@drfahrettinka You have never thought of what you've lost this country is this Hristality and your land! Whats! Da ... https://t.co/gntjpsn2ca</v>
      </c>
    </row>
    <row r="7555" spans="1:5" ht="15" customHeight="1" x14ac:dyDescent="0.2">
      <c r="A7555" s="1" t="s">
        <v>15042</v>
      </c>
      <c r="B7555" s="1">
        <v>1</v>
      </c>
      <c r="C7555" s="3">
        <v>44538.802430555559</v>
      </c>
      <c r="D7555" s="1" t="s">
        <v>15043</v>
      </c>
      <c r="E7555" s="1" t="str">
        <f ca="1">IFERROR(__xludf.DUMMYFUNCTION("GOOGLETRANSLATE(A4354 , ""tr"" , ""en"")"),"@drfahrettinka you are a liar. More than yesterday my friend had passed my friend. Death is related to ECEL ... https://t.co/obkrkuezQI")</f>
        <v>@drfahrettinka you are a liar. More than yesterday my friend had passed my friend. Death is related to ECEL ... https://t.co/obkrkuezQI</v>
      </c>
    </row>
    <row r="7556" spans="1:5" ht="15" customHeight="1" x14ac:dyDescent="0.2">
      <c r="A7556" s="1" t="s">
        <v>15044</v>
      </c>
      <c r="B7556" s="1">
        <v>0</v>
      </c>
      <c r="C7556" s="3">
        <v>44538.802175925928</v>
      </c>
      <c r="D7556" s="1" t="s">
        <v>15045</v>
      </c>
      <c r="E7556" s="1" t="str">
        <f ca="1">IFERROR(__xludf.DUMMYFUNCTION("GOOGLETRANSLATE(A4355 , ""tr"" , ""en"")"),"@drfahrettinkoca you are aware of the taste of pumpkin")</f>
        <v>@drfahrettinkoca you are aware of the taste of pumpkin</v>
      </c>
    </row>
    <row r="7557" spans="1:5" ht="15" customHeight="1" x14ac:dyDescent="0.2">
      <c r="A7557" s="1" t="s">
        <v>15046</v>
      </c>
      <c r="B7557" s="1">
        <v>0</v>
      </c>
      <c r="C7557" s="3">
        <v>44538.802164351851</v>
      </c>
      <c r="D7557" s="1" t="s">
        <v>15047</v>
      </c>
      <c r="E7557" s="1" t="str">
        <f ca="1">IFERROR(__xludf.DUMMYFUNCTION("GOOGLETRANSLATE(A4356 , ""tr"" , ""en"")"),"@drfahrettinkoca we became a mushroom vaccine, therefore, we are not afraid to approach any people who underwent measles. Because the vaccine is ... https://t.co/jzw2Iohq5x")</f>
        <v>@drfahrettinkoca we became a mushroom vaccine, therefore, we are not afraid to approach any people who underwent measles. Because the vaccine is ... https://t.co/jzw2Iohq5x</v>
      </c>
    </row>
    <row r="7558" spans="1:5" ht="15" customHeight="1" x14ac:dyDescent="0.2">
      <c r="A7558" s="1" t="s">
        <v>15048</v>
      </c>
      <c r="B7558" s="1">
        <v>0</v>
      </c>
      <c r="C7558" s="3">
        <v>44538.801759259259</v>
      </c>
      <c r="D7558" s="1" t="s">
        <v>15049</v>
      </c>
      <c r="E7558" s="1" t="str">
        <f ca="1">IFERROR(__xludf.DUMMYFUNCTION("GOOGLETRANSLATE(A4357 , ""tr"" , ""en"")"),"@drfahrettinkoca it is not also to get rid of the mask when it will be cancer if it goes like this ...")</f>
        <v>@drfahrettinkoca it is not also to get rid of the mask when it will be cancer if it goes like this ...</v>
      </c>
    </row>
    <row r="7559" spans="1:5" ht="15" customHeight="1" x14ac:dyDescent="0.2">
      <c r="A7559" s="1" t="s">
        <v>15050</v>
      </c>
      <c r="B7559" s="1">
        <v>0</v>
      </c>
      <c r="C7559" s="3">
        <v>44538.80128472222</v>
      </c>
      <c r="D7559" s="1" t="s">
        <v>15051</v>
      </c>
      <c r="E7559" s="1" t="str">
        <f ca="1">IFERROR(__xludf.DUMMYFUNCTION("GOOGLETRANSLATE(A4358 , ""tr"" , ""en"")"),"@drfahrettinkoca you treat you for free that head doesn't press the cut-off cut the vaccine? My taxes this þe ... https://t.co/hlnaz39vwu")</f>
        <v>@drfahrettinkoca you treat you for free that head doesn't press the cut-off cut the vaccine? My taxes this þe ... https://t.co/hlnaz39vwu</v>
      </c>
    </row>
    <row r="7560" spans="1:5" ht="15" customHeight="1" x14ac:dyDescent="0.2">
      <c r="A7560" s="1" t="s">
        <v>15052</v>
      </c>
      <c r="B7560" s="1">
        <v>0</v>
      </c>
      <c r="C7560" s="3">
        <v>44538.800763888888</v>
      </c>
      <c r="D7560" s="1" t="s">
        <v>15053</v>
      </c>
      <c r="E7560" s="1" t="str">
        <f ca="1">IFERROR(__xludf.DUMMYFUNCTION("GOOGLETRANSLATE(A4359 , ""tr"" , ""en"")"),"@drfahrettinkoca https://t.co/z1uykfy0sn If we are not going to be the 3rd dose 6 months wait dangerous 3 months at most surly")</f>
        <v>@drfahrettinkoca https://t.co/z1uykfy0sn If we are not going to be the 3rd dose 6 months wait dangerous 3 months at most surly</v>
      </c>
    </row>
    <row r="7561" spans="1:5" ht="15" customHeight="1" x14ac:dyDescent="0.2">
      <c r="A7561" s="1" t="s">
        <v>15054</v>
      </c>
      <c r="B7561" s="1">
        <v>4</v>
      </c>
      <c r="C7561" s="3">
        <v>44538.800555555557</v>
      </c>
      <c r="D7561" s="1" t="s">
        <v>15055</v>
      </c>
      <c r="E7561" s="1" t="str">
        <f ca="1">IFERROR(__xludf.DUMMYFUNCTION("GOOGLETRANSLATE(A4360 , ""tr"" , ""en"")"),"@drfahrettinkoca Responsibility Non-Non-Non-Non-Non-Non-Non-Non-Non-Reference Mentioned Survive His Effects ... Https://t.co/hzauo5zsv2")</f>
        <v>@drfahrettinkoca Responsibility Non-Non-Non-Non-Non-Non-Non-Non-Non-Reference Mentioned Survive His Effects ... Https://t.co/hzauo5zsv2</v>
      </c>
    </row>
    <row r="7562" spans="1:5" ht="15" customHeight="1" x14ac:dyDescent="0.2">
      <c r="A7562" s="1" t="s">
        <v>15056</v>
      </c>
      <c r="B7562" s="1">
        <v>1</v>
      </c>
      <c r="C7562" s="3">
        <v>44538.800092592595</v>
      </c>
      <c r="D7562" s="1" t="s">
        <v>15057</v>
      </c>
      <c r="E7562" s="1" t="str">
        <f ca="1">IFERROR(__xludf.DUMMYFUNCTION("GOOGLETRANSLATE(A4361 , ""tr"" , ""en"")"),"@drfahrettinkoca vaccine Completed Contacts You say that your own mouth works in the madem ORCULAR RESPONSE THEN WHY Y ... HTTPS://T.CO/ODWGQD4NFO")</f>
        <v>@drfahrettinkoca vaccine Completed Contacts You say that your own mouth works in the madem ORCULAR RESPONSE THEN WHY Y ... HTTPS://T.CO/ODWGQD4NFO</v>
      </c>
    </row>
    <row r="7563" spans="1:5" ht="15" customHeight="1" x14ac:dyDescent="0.2">
      <c r="A7563" s="1" t="s">
        <v>15058</v>
      </c>
      <c r="B7563" s="1">
        <v>0</v>
      </c>
      <c r="C7563" s="3">
        <v>44538.799930555557</v>
      </c>
      <c r="D7563" s="1" t="s">
        <v>15059</v>
      </c>
      <c r="E7563" s="1" t="str">
        <f ca="1">IFERROR(__xludf.DUMMYFUNCTION("GOOGLETRANSLATE(A4362 , ""tr"" , ""en"")"),"@drfahrettinkoca Most of the last times, high fever, sudden deaths, heart crunches, blood clotting etc ... and ... https://t.co/bxvqfsaub5")</f>
        <v>@drfahrettinkoca Most of the last times, high fever, sudden deaths, heart crunches, blood clotting etc ... and ... https://t.co/bxvqfsaub5</v>
      </c>
    </row>
    <row r="7564" spans="1:5" ht="15" customHeight="1" x14ac:dyDescent="0.2">
      <c r="A7564" s="1" t="s">
        <v>15060</v>
      </c>
      <c r="B7564" s="1">
        <v>0</v>
      </c>
      <c r="C7564" s="3">
        <v>44538.799270833333</v>
      </c>
      <c r="D7564" s="1" t="s">
        <v>15061</v>
      </c>
      <c r="E7564" s="1" t="str">
        <f ca="1">IFERROR(__xludf.DUMMYFUNCTION("GOOGLETRANSLATE(A4363 , ""tr"" , ""en"")"),"@drfahrettinkoca Ya hehe hee.")</f>
        <v>@drfahrettinkoca Ya hehe hee.</v>
      </c>
    </row>
    <row r="7565" spans="1:5" ht="15" customHeight="1" x14ac:dyDescent="0.2">
      <c r="A7565" s="1" t="s">
        <v>15062</v>
      </c>
      <c r="B7565" s="1">
        <v>0</v>
      </c>
      <c r="C7565" s="3">
        <v>44538.799120370371</v>
      </c>
      <c r="D7565" s="1" t="s">
        <v>15063</v>
      </c>
      <c r="E7565" s="1" t="str">
        <f ca="1">IFERROR(__xludf.DUMMYFUNCTION("GOOGLETRANSLATE(A4364 , ""tr"" , ""en"")"),"@drfahrettinkoca O Minister Twitter Account Executives - I haven't been understuded here (I had been slightly boring), look ... https://t.co/zduho4v1xj")</f>
        <v>@drfahrettinkoca O Minister Twitter Account Executives - I haven't been understuded here (I had been slightly boring), look ... https://t.co/zduho4v1xj</v>
      </c>
    </row>
    <row r="7566" spans="1:5" ht="15" customHeight="1" x14ac:dyDescent="0.2">
      <c r="A7566" s="1" t="s">
        <v>15064</v>
      </c>
      <c r="B7566" s="1">
        <v>0</v>
      </c>
      <c r="C7566" s="3">
        <v>44538.799062500002</v>
      </c>
      <c r="D7566" s="1" t="s">
        <v>15065</v>
      </c>
      <c r="E7566" s="1" t="str">
        <f ca="1">IFERROR(__xludf.DUMMYFUNCTION("GOOGLETRANSLATE(A4365 , ""tr"" , ""en"")"),"@drfahrettinkoca Favirpiravir did not well be ignored or minister")</f>
        <v>@drfahrettinkoca Favirpiravir did not well be ignored or minister</v>
      </c>
    </row>
    <row r="7567" spans="1:5" ht="15" customHeight="1" x14ac:dyDescent="0.2">
      <c r="A7567" s="1" t="s">
        <v>15066</v>
      </c>
      <c r="B7567" s="1">
        <v>6</v>
      </c>
      <c r="C7567" s="3">
        <v>44538.798993055556</v>
      </c>
      <c r="D7567" s="1" t="s">
        <v>15067</v>
      </c>
      <c r="E7567" s="1" t="str">
        <f ca="1">IFERROR(__xludf.DUMMYFUNCTION("GOOGLETRANSLATE(A4366 , ""tr"" , ""en"")"),"@drfahrettinkoca where are the Chinese videos fluttering like fish? In the first projection ""Blossomed Brackets of My Liver ... https://t.co/vkdd6lhlhh")</f>
        <v>@drfahrettinkoca where are the Chinese videos fluttering like fish? In the first projection "Blossomed Brackets of My Liver ... https://t.co/vkdd6lhlhh</v>
      </c>
    </row>
    <row r="7568" spans="1:5" ht="15" customHeight="1" x14ac:dyDescent="0.2">
      <c r="A7568" s="1" t="s">
        <v>15068</v>
      </c>
      <c r="B7568" s="1">
        <v>25</v>
      </c>
      <c r="C7568" s="3">
        <v>44538.797974537039</v>
      </c>
      <c r="D7568" s="1" t="s">
        <v>15069</v>
      </c>
      <c r="E7568" s="1" t="str">
        <f ca="1">IFERROR(__xludf.DUMMYFUNCTION("GOOGLETRANSLATE(A4367 , ""tr"" , ""en"")"),"@drfahrettinkoca Well after caught in the legislative effects of 99.98% after caught in the morning components in the morning ... https://t.co/tcbqb9kt5l")</f>
        <v>@drfahrettinkoca Well after caught in the legislative effects of 99.98% after caught in the morning components in the morning ... https://t.co/tcbqb9kt5l</v>
      </c>
    </row>
    <row r="7569" spans="1:5" ht="15" customHeight="1" x14ac:dyDescent="0.2">
      <c r="A7569" s="1" t="s">
        <v>15070</v>
      </c>
      <c r="B7569" s="1">
        <v>1</v>
      </c>
      <c r="C7569" s="3">
        <v>44538.797881944447</v>
      </c>
      <c r="D7569" s="1" t="s">
        <v>15071</v>
      </c>
      <c r="E7569" s="1" t="str">
        <f ca="1">IFERROR(__xludf.DUMMYFUNCTION("GOOGLETRANSLATE(A4368 , ""tr"" , ""en"")"),"@drfahrettinka You, not asking this question, you are at the fact that you are finding the solution against those who caused this problem. Minister. H ... https://t.co/stbm8uwley")</f>
        <v>@drfahrettinka You, not asking this question, you are at the fact that you are finding the solution against those who caused this problem. Minister. H ... https://t.co/stbm8uwley</v>
      </c>
    </row>
    <row r="7570" spans="1:5" ht="15" customHeight="1" x14ac:dyDescent="0.2">
      <c r="A7570" s="1" t="s">
        <v>15072</v>
      </c>
      <c r="B7570" s="1">
        <v>0</v>
      </c>
      <c r="C7570" s="3">
        <v>44538.79787037037</v>
      </c>
      <c r="D7570" s="1" t="s">
        <v>15073</v>
      </c>
      <c r="E7570" s="1" t="str">
        <f ca="1">IFERROR(__xludf.DUMMYFUNCTION("GOOGLETRANSLATE(A4369 , ""tr"" , ""en"")"),"@drfahrettinkoca Did you get to the claims and answered once you needed to prove it no. Why are you only ... https://t.co/hudtsgby3y")</f>
        <v>@drfahrettinkoca Did you get to the claims and answered once you needed to prove it no. Why are you only ... https://t.co/hudtsgby3y</v>
      </c>
    </row>
    <row r="7571" spans="1:5" ht="15" customHeight="1" x14ac:dyDescent="0.2">
      <c r="A7571" s="1" t="s">
        <v>15074</v>
      </c>
      <c r="B7571" s="1">
        <v>0</v>
      </c>
      <c r="C7571" s="3">
        <v>44538.797800925924</v>
      </c>
      <c r="D7571" s="1" t="s">
        <v>15075</v>
      </c>
      <c r="E7571" s="1" t="str">
        <f ca="1">IFERROR(__xludf.DUMMYFUNCTION("GOOGLETRANSLATE(A4370 , ""tr"" , ""en"")"),"@drfahrettinka doesn't believe and I don't trust you. Lies in this process Experimental chip applied to patients ... https://t.co/r1riptb4ks")</f>
        <v>@drfahrettinka doesn't believe and I don't trust you. Lies in this process Experimental chip applied to patients ... https://t.co/r1riptb4ks</v>
      </c>
    </row>
    <row r="7572" spans="1:5" ht="15" customHeight="1" x14ac:dyDescent="0.2">
      <c r="A7572" s="1" t="s">
        <v>15076</v>
      </c>
      <c r="B7572" s="1">
        <v>1</v>
      </c>
      <c r="C7572" s="3">
        <v>44538.797349537039</v>
      </c>
      <c r="D7572" s="1" t="s">
        <v>15077</v>
      </c>
      <c r="E7572" s="1" t="str">
        <f ca="1">IFERROR(__xludf.DUMMYFUNCTION("GOOGLETRANSLATE(A4371 , ""tr"" , ""en"")"),"@drfahrettinkoca has no provisions of your saying to me for me, the Minister for me, for two years he has been justifies those who are trying to frighten.")</f>
        <v>@drfahrettinkoca has no provisions of your saying to me for me, the Minister for me, for two years he has been justifies those who are trying to frighten.</v>
      </c>
    </row>
    <row r="7573" spans="1:5" ht="15" customHeight="1" x14ac:dyDescent="0.2">
      <c r="A7573" s="1" t="s">
        <v>15078</v>
      </c>
      <c r="B7573" s="1">
        <v>2</v>
      </c>
      <c r="C7573" s="3">
        <v>44538.796793981484</v>
      </c>
      <c r="D7573" s="1" t="s">
        <v>15079</v>
      </c>
      <c r="E7573" s="1" t="str">
        <f ca="1">IFERROR(__xludf.DUMMYFUNCTION("GOOGLETRANSLATE(A4372 , ""tr"" , ""en"")"),"@drfahrettinkoca You have been pumping us for 2 years Piscological Manya by death by pumping horror as crazy 7/24 tv")</f>
        <v>@drfahrettinkoca You have been pumping us for 2 years Piscological Manya by death by pumping horror as crazy 7/24 tv</v>
      </c>
    </row>
    <row r="7574" spans="1:5" ht="15" customHeight="1" x14ac:dyDescent="0.2">
      <c r="A7574" s="1" t="s">
        <v>15080</v>
      </c>
      <c r="B7574" s="1">
        <v>0</v>
      </c>
      <c r="C7574" s="3">
        <v>44538.796736111108</v>
      </c>
      <c r="D7574" s="1" t="s">
        <v>15081</v>
      </c>
      <c r="E7574" s="1" t="str">
        <f ca="1">IFERROR(__xludf.DUMMYFUNCTION("GOOGLETRANSLATE(A4373 , ""tr"" , ""en"")"),"@drfahrettinkoca so much after the vaccination of the new variant output")</f>
        <v>@drfahrettinkoca so much after the vaccination of the new variant output</v>
      </c>
    </row>
    <row r="7575" spans="1:5" ht="15" customHeight="1" x14ac:dyDescent="0.2">
      <c r="A7575" s="1" t="s">
        <v>15082</v>
      </c>
      <c r="B7575" s="1">
        <v>0</v>
      </c>
      <c r="C7575" s="3">
        <v>44538.7966087963</v>
      </c>
      <c r="D7575" s="1" t="s">
        <v>15083</v>
      </c>
      <c r="E7575" s="1" t="str">
        <f ca="1">IFERROR(__xludf.DUMMYFUNCTION("GOOGLETRANSLATE(A4374 , ""tr"" , ""en"")"),"@drfahrettinkoca no one is frightening anyone if your sarcasm fell if your rates have fallen in people inquiry poking from the needle ... https://t.co/quzsvp10hp")</f>
        <v>@drfahrettinkoca no one is frightening anyone if your sarcasm fell if your rates have fallen in people inquiry poking from the needle ... https://t.co/quzsvp10hp</v>
      </c>
    </row>
    <row r="7576" spans="1:5" ht="15" customHeight="1" x14ac:dyDescent="0.2">
      <c r="A7576" s="1" t="s">
        <v>15084</v>
      </c>
      <c r="B7576" s="1">
        <v>58</v>
      </c>
      <c r="C7576" s="3">
        <v>44538.796238425923</v>
      </c>
      <c r="D7576" s="1" t="s">
        <v>15085</v>
      </c>
      <c r="E7576" s="1" t="str">
        <f ca="1">IFERROR(__xludf.DUMMYFUNCTION("GOOGLETRANSLATE(A4375 , ""tr"" , ""en"")"),"@drfahrettinka so what did you make up all these money and hope? The cases increased, doses were counted zero ... https://t.co/lbf509tprq")</f>
        <v>@drfahrettinka so what did you make up all these money and hope? The cases increased, doses were counted zero ... https://t.co/lbf509tprq</v>
      </c>
    </row>
    <row r="7577" spans="1:5" ht="15" customHeight="1" x14ac:dyDescent="0.2">
      <c r="A7577" s="1" t="s">
        <v>15086</v>
      </c>
      <c r="B7577" s="1">
        <v>0</v>
      </c>
      <c r="C7577" s="3">
        <v>44538.796030092592</v>
      </c>
      <c r="D7577" s="1" t="s">
        <v>15087</v>
      </c>
      <c r="E7577" s="1" t="str">
        <f ca="1">IFERROR(__xludf.DUMMYFUNCTION("GOOGLETRANSLATE(A4376 , ""tr"" , ""en"")"),"@drfahrettinkoca Don't say that this liquid could take you to the Supreme Divan A.")</f>
        <v>@drfahrettinkoca Don't say that this liquid could take you to the Supreme Divan A.</v>
      </c>
    </row>
    <row r="7578" spans="1:5" ht="15" customHeight="1" x14ac:dyDescent="0.2">
      <c r="A7578" s="1" t="s">
        <v>15088</v>
      </c>
      <c r="B7578" s="1">
        <v>0</v>
      </c>
      <c r="C7578" s="3">
        <v>44538.795729166668</v>
      </c>
      <c r="D7578" s="1" t="s">
        <v>15089</v>
      </c>
      <c r="E7578" s="1" t="str">
        <f ca="1">IFERROR(__xludf.DUMMYFUNCTION("GOOGLETRANSLATE(A4377 , ""tr"" , ""en"")"),"@drfahrettinkoca believes who believes in these types do not believe 🤠🤠")</f>
        <v>@drfahrettinkoca believes who believes in these types do not believe 🤠🤠</v>
      </c>
    </row>
    <row r="7579" spans="1:5" ht="15" customHeight="1" x14ac:dyDescent="0.2">
      <c r="A7579" s="1" t="s">
        <v>15090</v>
      </c>
      <c r="B7579" s="1">
        <v>0</v>
      </c>
      <c r="C7579" s="3">
        <v>44538.795648148145</v>
      </c>
      <c r="D7579" s="1" t="s">
        <v>15091</v>
      </c>
      <c r="E7579" s="1" t="str">
        <f ca="1">IFERROR(__xludf.DUMMYFUNCTION("GOOGLETRANSLATE(A4378 , ""tr"" , ""en"")"),"@drfahrettinkoca world going to close we are giving advantage")</f>
        <v>@drfahrettinkoca world going to close we are giving advantage</v>
      </c>
    </row>
    <row r="7580" spans="1:5" ht="15" customHeight="1" x14ac:dyDescent="0.2">
      <c r="A7580" s="1" t="s">
        <v>15092</v>
      </c>
      <c r="B7580" s="1">
        <v>0</v>
      </c>
      <c r="C7580" s="3">
        <v>44538.795486111114</v>
      </c>
      <c r="D7580" s="1" t="s">
        <v>15093</v>
      </c>
      <c r="E7580" s="1" t="str">
        <f ca="1">IFERROR(__xludf.DUMMYFUNCTION("GOOGLETRANSLATE(A4379 , ""tr"" , ""en"")"),"@drfahrettinka I've been my vaccinations I was caught COVID: D")</f>
        <v>@drfahrettinka I've been my vaccinations I was caught COVID: D</v>
      </c>
    </row>
    <row r="7581" spans="1:5" ht="15" customHeight="1" x14ac:dyDescent="0.2">
      <c r="A7581" s="1" t="s">
        <v>15094</v>
      </c>
      <c r="B7581" s="1">
        <v>10</v>
      </c>
      <c r="C7581" s="3">
        <v>44538.795312499999</v>
      </c>
      <c r="D7581" s="1" t="s">
        <v>15095</v>
      </c>
      <c r="E7581" s="1" t="str">
        <f ca="1">IFERROR(__xludf.DUMMYFUNCTION("GOOGLETRANSLATE(A4380 , ""tr"" , ""en"")"),"@drfahrettinkoca yahu did he haven't been in a non-smoking? People personally bothered after fluid.What does it have to do with the opposites?")</f>
        <v>@drfahrettinkoca yahu did he haven't been in a non-smoking? People personally bothered after fluid.What does it have to do with the opposites?</v>
      </c>
    </row>
    <row r="7582" spans="1:5" ht="15" customHeight="1" x14ac:dyDescent="0.2">
      <c r="A7582" s="1" t="s">
        <v>15096</v>
      </c>
      <c r="B7582" s="1">
        <v>0</v>
      </c>
      <c r="C7582" s="3">
        <v>44538.79515046296</v>
      </c>
      <c r="D7582" s="1" t="s">
        <v>15097</v>
      </c>
      <c r="E7582" s="1" t="str">
        <f ca="1">IFERROR(__xludf.DUMMYFUNCTION("GOOGLETRANSLATE(A4381 , ""tr"" , ""en"")"),"@drfahrettinkoca vaccines such as https://t.co/euznfa3pcp minnacular pihtilarin when it pushes those who pushes the hearts ... https://t.co/nnyip09at8")</f>
        <v>@drfahrettinkoca vaccines such as https://t.co/euznfa3pcp minnacular pihtilarin when it pushes those who pushes the hearts ... https://t.co/nnyip09at8</v>
      </c>
    </row>
    <row r="7583" spans="1:5" ht="15" customHeight="1" x14ac:dyDescent="0.2">
      <c r="A7583" s="1" t="s">
        <v>15098</v>
      </c>
      <c r="B7583" s="1">
        <v>0</v>
      </c>
      <c r="C7583" s="3">
        <v>44538.795046296298</v>
      </c>
      <c r="D7583" s="1" t="s">
        <v>15099</v>
      </c>
      <c r="E7583" s="1" t="str">
        <f ca="1">IFERROR(__xludf.DUMMYFUNCTION("GOOGLETRANSLATE(A4382 , ""tr"" , ""en"")"),"@drfahrettinkoca Ministry of Universities Hybrid Online Courses According to Most of the Universities Increasing Measures ... Https://t.co/2ousvtotk6")</f>
        <v>@drfahrettinkoca Ministry of Universities Hybrid Online Courses According to Most of the Universities Increasing Measures ... Https://t.co/2ousvtotk6</v>
      </c>
    </row>
    <row r="7584" spans="1:5" ht="15" customHeight="1" x14ac:dyDescent="0.2">
      <c r="A7584" s="1" t="s">
        <v>15100</v>
      </c>
      <c r="B7584" s="1">
        <v>0</v>
      </c>
      <c r="C7584" s="3">
        <v>44538.794652777775</v>
      </c>
      <c r="D7584" s="1" t="s">
        <v>15101</v>
      </c>
      <c r="E7584" s="1" t="str">
        <f ca="1">IFERROR(__xludf.DUMMYFUNCTION("GOOGLETRANSLATE(A4383 , ""tr"" , ""en"")"),"@drfahrettinkoca Horror psychology with the DSO officer of your shooter who fires people's brain as a weapon of people.")</f>
        <v>@drfahrettinkoca Horror psychology with the DSO officer of your shooter who fires people's brain as a weapon of people.</v>
      </c>
    </row>
    <row r="7585" spans="1:5" ht="15" customHeight="1" x14ac:dyDescent="0.2">
      <c r="A7585" s="1" t="s">
        <v>15102</v>
      </c>
      <c r="B7585" s="1">
        <v>0</v>
      </c>
      <c r="C7585" s="3">
        <v>44538.794374999998</v>
      </c>
      <c r="D7585" s="1" t="s">
        <v>15103</v>
      </c>
      <c r="E7585" s="1" t="str">
        <f ca="1">IFERROR(__xludf.DUMMYFUNCTION("GOOGLETRANSLATE(A4384 , ""tr"" , ""en"")"),"@drfahrettinkoca we have become the videos we were also caught alhamdulillah")</f>
        <v>@drfahrettinkoca we have become the videos we were also caught alhamdulillah</v>
      </c>
    </row>
    <row r="7586" spans="1:5" ht="15" customHeight="1" x14ac:dyDescent="0.2">
      <c r="A7586" s="1" t="s">
        <v>15104</v>
      </c>
      <c r="B7586" s="1">
        <v>0</v>
      </c>
      <c r="C7586" s="3">
        <v>44538.793900462966</v>
      </c>
      <c r="D7586" s="1" t="s">
        <v>15105</v>
      </c>
      <c r="E7586" s="1" t="str">
        <f ca="1">IFERROR(__xludf.DUMMYFUNCTION("GOOGLETRANSLATE(A4385 , ""tr"" , ""en"")"),"@drfahrettinkoca We do not trust you more")</f>
        <v>@drfahrettinkoca We do not trust you more</v>
      </c>
    </row>
    <row r="7587" spans="1:5" ht="15" customHeight="1" x14ac:dyDescent="0.2">
      <c r="A7587" s="1" t="s">
        <v>15106</v>
      </c>
      <c r="B7587" s="1">
        <v>0</v>
      </c>
      <c r="C7587" s="3">
        <v>44538.793553240743</v>
      </c>
      <c r="D7587" s="1" t="s">
        <v>15107</v>
      </c>
      <c r="E7587" s="1" t="str">
        <f ca="1">IFERROR(__xludf.DUMMYFUNCTION("GOOGLETRANSLATE(A4386 , ""tr"" , ""en"")"),"@drfahrettinka https://t.co/pkj1xgsqee")</f>
        <v>@drfahrettinka https://t.co/pkj1xgsqee</v>
      </c>
    </row>
    <row r="7588" spans="1:5" ht="15" customHeight="1" x14ac:dyDescent="0.2">
      <c r="A7588" s="1" t="s">
        <v>15108</v>
      </c>
      <c r="B7588" s="1">
        <v>84</v>
      </c>
      <c r="C7588" s="3">
        <v>44538.793252314812</v>
      </c>
      <c r="D7588" s="1" t="s">
        <v>15109</v>
      </c>
      <c r="E7588" s="1" t="str">
        <f ca="1">IFERROR(__xludf.DUMMYFUNCTION("GOOGLETRANSLATE(A4387 , ""tr"" , ""en"")"),"@drfahrettinkoca you @saglikbakanliga without diverging the facts, without diversifying the facts, without diversification of panic and fear, https://t.co/aonwtrdkju")</f>
        <v>@drfahrettinkoca you @saglikbakanliga without diverging the facts, without diversifying the facts, without diversification of panic and fear, https://t.co/aonwtrdkju</v>
      </c>
    </row>
    <row r="7589" spans="1:5" ht="15" customHeight="1" x14ac:dyDescent="0.2">
      <c r="A7589" s="1" t="s">
        <v>15110</v>
      </c>
      <c r="B7589" s="1">
        <v>0</v>
      </c>
      <c r="C7589" s="3">
        <v>44538.793124999997</v>
      </c>
      <c r="D7589" s="1" t="s">
        <v>15111</v>
      </c>
      <c r="E7589" s="1" t="str">
        <f ca="1">IFERROR(__xludf.DUMMYFUNCTION("GOOGLETRANSLATE(A4388 , ""tr"" , ""en"")"),"@drfahrettinkoca You have an answer to everything You can also do not give a single answer on the assignment")</f>
        <v>@drfahrettinkoca You have an answer to everything You can also do not give a single answer on the assignment</v>
      </c>
    </row>
    <row r="7590" spans="1:5" ht="15" customHeight="1" x14ac:dyDescent="0.2">
      <c r="A7590" s="1" t="s">
        <v>15112</v>
      </c>
      <c r="B7590" s="1">
        <v>25</v>
      </c>
      <c r="C7590" s="3">
        <v>44538.793009259258</v>
      </c>
      <c r="D7590" s="1" t="s">
        <v>15113</v>
      </c>
      <c r="E7590" s="1" t="str">
        <f ca="1">IFERROR(__xludf.DUMMYFUNCTION("GOOGLETRANSLATE(A4389 , ""tr"" , ""en"")"),"@drfahrettinkoca b.koca myself and all my parents did not have the experiment fluids that we have complied with your primitive measures, this is very tapping ... https://t.co/hqch7mldpr")</f>
        <v>@drfahrettinkoca b.koca myself and all my parents did not have the experiment fluids that we have complied with your primitive measures, this is very tapping ... https://t.co/hqch7mldpr</v>
      </c>
    </row>
    <row r="7591" spans="1:5" ht="15" customHeight="1" x14ac:dyDescent="0.2">
      <c r="A7591" s="1" t="s">
        <v>15114</v>
      </c>
      <c r="B7591" s="1">
        <v>2</v>
      </c>
      <c r="C7591" s="3">
        <v>44538.792905092596</v>
      </c>
      <c r="D7591" s="1" t="s">
        <v>15115</v>
      </c>
      <c r="E7591" s="1" t="str">
        <f ca="1">IFERROR(__xludf.DUMMYFUNCTION("GOOGLETRANSLATE(A4390 , ""tr"" , ""en"")"),"@drfahrettinkoca We are the Komid after the vaccination of prejudices after the vaccination of the heart attacks after the vaccine ... https://t.co/hcxvhajpug")</f>
        <v>@drfahrettinkoca We are the Komid after the vaccination of prejudices after the vaccination of the heart attacks after the vaccine ... https://t.co/hcxvhajpug</v>
      </c>
    </row>
    <row r="7592" spans="1:5" ht="15" customHeight="1" x14ac:dyDescent="0.2">
      <c r="A7592" s="1" t="s">
        <v>15116</v>
      </c>
      <c r="B7592" s="1">
        <v>0</v>
      </c>
      <c r="C7592" s="3">
        <v>44538.792766203704</v>
      </c>
      <c r="D7592" s="1" t="s">
        <v>15117</v>
      </c>
      <c r="E7592" s="1" t="str">
        <f ca="1">IFERROR(__xludf.DUMMYFUNCTION("GOOGLETRANSLATE(A4391 , ""tr"" , ""en"")"),"@drfahrettinkoca you are unable to respond to a comment. Explain the grafted heart crisis promenade in the brain, the clotting to the brain ... https://t.co/qhrdfpj2rr")</f>
        <v>@drfahrettinkoca you are unable to respond to a comment. Explain the grafted heart crisis promenade in the brain, the clotting to the brain ... https://t.co/qhrdfpj2rr</v>
      </c>
    </row>
    <row r="7593" spans="1:5" ht="15" customHeight="1" x14ac:dyDescent="0.2">
      <c r="A7593" s="1" t="s">
        <v>15118</v>
      </c>
      <c r="B7593" s="1">
        <v>6</v>
      </c>
      <c r="C7593" s="3">
        <v>44538.792442129627</v>
      </c>
      <c r="D7593" s="1" t="s">
        <v>15119</v>
      </c>
      <c r="E7593" s="1" t="str">
        <f ca="1">IFERROR(__xludf.DUMMYFUNCTION("GOOGLETRANSLATE(A4392 , ""tr"" , ""en"")"),"@drfahrettinkoca Ah Ah Your fault of your crime is thousands of https://t.co/a8mnmpmj3M")</f>
        <v>@drfahrettinkoca Ah Ah Your fault of your crime is thousands of https://t.co/a8mnmpmj3M</v>
      </c>
    </row>
    <row r="7594" spans="1:5" ht="15" customHeight="1" x14ac:dyDescent="0.2">
      <c r="A7594" s="1" t="s">
        <v>15120</v>
      </c>
      <c r="B7594" s="1">
        <v>64</v>
      </c>
      <c r="C7594" s="3">
        <v>44538.79241898148</v>
      </c>
      <c r="D7594" s="1" t="s">
        <v>15121</v>
      </c>
      <c r="E7594" s="1" t="str">
        <f ca="1">IFERROR(__xludf.DUMMYFUNCTION("GOOGLETRANSLATE(A4393 , ""tr"" , ""en"")"),"@drfahrettinka we are never heard like that. 95% of intensive care is full of other diseases. Most of the Covid ones are ... https://t.co/rfsjajbsgd")</f>
        <v>@drfahrettinka we are never heard like that. 95% of intensive care is full of other diseases. Most of the Covid ones are ... https://t.co/rfsjajbsgd</v>
      </c>
    </row>
    <row r="7595" spans="1:5" ht="15" customHeight="1" x14ac:dyDescent="0.2">
      <c r="A7595" s="1" t="s">
        <v>15122</v>
      </c>
      <c r="B7595" s="1">
        <v>0</v>
      </c>
      <c r="C7595" s="3">
        <v>44538.792314814818</v>
      </c>
      <c r="D7595" s="1" t="s">
        <v>15123</v>
      </c>
      <c r="E7595" s="1" t="str">
        <f ca="1">IFERROR(__xludf.DUMMYFUNCTION("GOOGLETRANSLATE(A4394 , ""tr"" , ""en"")"),"@drfahrettinkoca Deaths of Deaths in 100 DE 70 Death Reasons Heart Crisis PIHT PIHTA Felch Night and death. Vaccine ... https://t.co/LPMLP8SIBL")</f>
        <v>@drfahrettinkoca Deaths of Deaths in 100 DE 70 Death Reasons Heart Crisis PIHT PIHTA Felch Night and death. Vaccine ... https://t.co/LPMLP8SIBL</v>
      </c>
    </row>
    <row r="7596" spans="1:5" ht="15" customHeight="1" x14ac:dyDescent="0.2">
      <c r="A7596" s="1" t="s">
        <v>15124</v>
      </c>
      <c r="B7596" s="1">
        <v>2</v>
      </c>
      <c r="C7596" s="3">
        <v>44538.792048611111</v>
      </c>
      <c r="D7596" s="1" t="s">
        <v>15125</v>
      </c>
      <c r="E7596" s="1" t="str">
        <f ca="1">IFERROR(__xludf.DUMMYFUNCTION("GOOGLETRANSLATE(A4395 , ""tr"" , ""en"")"),"@drfahrettinkoca We will be the Conspirator. https://t.co/zr2akzo2j4")</f>
        <v>@drfahrettinkoca We will be the Conspirator. https://t.co/zr2akzo2j4</v>
      </c>
    </row>
    <row r="7597" spans="1:5" ht="15" customHeight="1" x14ac:dyDescent="0.2">
      <c r="A7597" s="1" t="s">
        <v>15126</v>
      </c>
      <c r="B7597" s="1">
        <v>0</v>
      </c>
      <c r="C7597" s="3">
        <v>44538.79184027778</v>
      </c>
      <c r="D7597" s="1" t="s">
        <v>15127</v>
      </c>
      <c r="E7597" s="1" t="str">
        <f ca="1">IFERROR(__xludf.DUMMYFUNCTION("GOOGLETRANSLATE(A4396 , ""tr"" , ""en"")"),"@drfahrettinkoca vaccines have no other vaccines because they regret. This is still living in the dream world")</f>
        <v>@drfahrettinkoca vaccines have no other vaccines because they regret. This is still living in the dream world</v>
      </c>
    </row>
    <row r="7598" spans="1:5" ht="15" customHeight="1" x14ac:dyDescent="0.2">
      <c r="A7598" s="1" t="s">
        <v>15128</v>
      </c>
      <c r="B7598" s="1">
        <v>0</v>
      </c>
      <c r="C7598" s="3">
        <v>44538.791388888887</v>
      </c>
      <c r="D7598" s="1" t="s">
        <v>15129</v>
      </c>
      <c r="E7598" s="1" t="str">
        <f ca="1">IFERROR(__xludf.DUMMYFUNCTION("GOOGLETRANSLATE(A4397 , ""tr"" , ""en"")"),"@drfahrettinkoca does not kill Corona, kill drugs given by saying in the hospital.")</f>
        <v>@drfahrettinkoca does not kill Corona, kill drugs given by saying in the hospital.</v>
      </c>
    </row>
    <row r="7599" spans="1:5" ht="15" customHeight="1" x14ac:dyDescent="0.2">
      <c r="A7599" s="1" t="s">
        <v>15130</v>
      </c>
      <c r="B7599" s="1">
        <v>0</v>
      </c>
      <c r="C7599" s="3">
        <v>44538.79109953704</v>
      </c>
      <c r="D7599" s="1" t="s">
        <v>15131</v>
      </c>
      <c r="E7599" s="1" t="str">
        <f ca="1">IFERROR(__xludf.DUMMYFUNCTION("GOOGLETRANSLATE(A4398 , ""tr"" , ""en"")"),"@drfahrettinkoca Mr. Ministry We have a breast cancer has a sister have had surgery with our own facilities at all ... https://t.co/pnz2drhjtf")</f>
        <v>@drfahrettinkoca Mr. Ministry We have a breast cancer has a sister have had surgery with our own facilities at all ... https://t.co/pnz2drhjtf</v>
      </c>
    </row>
    <row r="7600" spans="1:5" ht="15" customHeight="1" x14ac:dyDescent="0.2">
      <c r="A7600" s="1" t="s">
        <v>15132</v>
      </c>
      <c r="B7600" s="1">
        <v>6</v>
      </c>
      <c r="C7600" s="3">
        <v>44538.790729166663</v>
      </c>
      <c r="D7600" s="1" t="s">
        <v>15133</v>
      </c>
      <c r="E7600" s="1" t="str">
        <f ca="1">IFERROR(__xludf.DUMMYFUNCTION("GOOGLETRANSLATE(A4399 , ""tr"" , ""en"")"),"@drfahrettinkoca percent of the percent you have survived you still say no interest")</f>
        <v>@drfahrettinkoca percent of the percent you have survived you still say no interest</v>
      </c>
    </row>
    <row r="7601" spans="1:5" ht="15" customHeight="1" x14ac:dyDescent="0.2">
      <c r="A7601" s="1" t="s">
        <v>15134</v>
      </c>
      <c r="B7601" s="1">
        <v>0</v>
      </c>
      <c r="C7601" s="3">
        <v>44538.790659722225</v>
      </c>
      <c r="D7601" s="1" t="s">
        <v>15135</v>
      </c>
      <c r="E7601" s="1" t="str">
        <f ca="1">IFERROR(__xludf.DUMMYFUNCTION("GOOGLETRANSLATE(A4400 , ""tr"" , ""en"")"),"@drfahrettinkoca Minister Please remove the obligation to continue at universities About Us Our Classes are very crowded")</f>
        <v>@drfahrettinkoca Minister Please remove the obligation to continue at universities About Us Our Classes are very crowded</v>
      </c>
    </row>
    <row r="7602" spans="1:5" ht="15" customHeight="1" x14ac:dyDescent="0.2">
      <c r="A7602" s="1" t="s">
        <v>15136</v>
      </c>
      <c r="B7602" s="1">
        <v>0</v>
      </c>
      <c r="C7602" s="3">
        <v>44538.790636574071</v>
      </c>
      <c r="D7602" s="1" t="s">
        <v>15137</v>
      </c>
      <c r="E7602" s="1" t="str">
        <f ca="1">IFERROR(__xludf.DUMMYFUNCTION("GOOGLETRANSLATE(A4401 , ""tr"" , ""en"")"),"@drfahrettinkoca Through the vaccines when everything is in the pocket? Free cheese happens in mouse trap")</f>
        <v>@drfahrettinkoca Through the vaccines when everything is in the pocket? Free cheese happens in mouse trap</v>
      </c>
    </row>
    <row r="7603" spans="1:5" ht="15" customHeight="1" x14ac:dyDescent="0.2">
      <c r="A7603" s="1" t="s">
        <v>15138</v>
      </c>
      <c r="B7603" s="1">
        <v>0</v>
      </c>
      <c r="C7603" s="3">
        <v>44538.790486111109</v>
      </c>
      <c r="D7603" s="1" t="s">
        <v>15139</v>
      </c>
      <c r="E7603" s="1" t="str">
        <f ca="1">IFERROR(__xludf.DUMMYFUNCTION("GOOGLETRANSLATE(A4402 , ""tr"" , ""en"")"),"@drfahrettinkoca no")</f>
        <v>@drfahrettinkoca no</v>
      </c>
    </row>
    <row r="7604" spans="1:5" ht="15" customHeight="1" x14ac:dyDescent="0.2">
      <c r="A7604" s="1" t="s">
        <v>15140</v>
      </c>
      <c r="B7604" s="1">
        <v>0</v>
      </c>
      <c r="C7604" s="3">
        <v>44538.790451388886</v>
      </c>
      <c r="D7604" s="1" t="s">
        <v>15141</v>
      </c>
      <c r="E7604" s="1" t="str">
        <f ca="1">IFERROR(__xludf.DUMMYFUNCTION("GOOGLETRANSLATE(A4403 , ""tr"" , ""en"")"),"@drfahrettinkoca Mr. Minister Really wonder how are you going to give?")</f>
        <v>@drfahrettinkoca Mr. Minister Really wonder how are you going to give?</v>
      </c>
    </row>
    <row r="7605" spans="1:5" ht="15" customHeight="1" x14ac:dyDescent="0.2">
      <c r="A7605" s="1" t="s">
        <v>15142</v>
      </c>
      <c r="B7605" s="1">
        <v>0</v>
      </c>
      <c r="C7605" s="3">
        <v>44538.790300925924</v>
      </c>
      <c r="D7605" s="1" t="s">
        <v>15143</v>
      </c>
      <c r="E7605" s="1" t="str">
        <f ca="1">IFERROR(__xludf.DUMMYFUNCTION("GOOGLETRANSLATE(A4404 , ""tr"" , ""en"")"),"@drfahrettinkoca figure Versen Your folks don't believe you NUMPLY NUMPLY NUMBLINE YOUR HEALTH YOUR HEALTH SECTOR")</f>
        <v>@drfahrettinkoca figure Versen Your folks don't believe you NUMPLY NUMPLY NUMBLINE YOUR HEALTH YOUR HEALTH SECTOR</v>
      </c>
    </row>
    <row r="7606" spans="1:5" ht="15" customHeight="1" x14ac:dyDescent="0.2">
      <c r="A7606" s="1" t="s">
        <v>15144</v>
      </c>
      <c r="B7606" s="1">
        <v>13</v>
      </c>
      <c r="C7606" s="3">
        <v>44538.789652777778</v>
      </c>
      <c r="D7606" s="1" t="s">
        <v>15145</v>
      </c>
      <c r="E7606" s="1" t="str">
        <f ca="1">IFERROR(__xludf.DUMMYFUNCTION("GOOGLETRANSLATE(A4405 , ""tr"" , ""en"")"),"@drfahrettinkoca I didn't go to the hospital I won the inspection fee, I didn't go to the pharmacy and didn't pay the drug money ... https://t.co/n27nvkylk3")</f>
        <v>@drfahrettinkoca I didn't go to the hospital I won the inspection fee, I didn't go to the pharmacy and didn't pay the drug money ... https://t.co/n27nvkylk3</v>
      </c>
    </row>
    <row r="7607" spans="1:5" ht="15" customHeight="1" x14ac:dyDescent="0.2">
      <c r="A7607" s="1" t="s">
        <v>15146</v>
      </c>
      <c r="B7607" s="1">
        <v>0</v>
      </c>
      <c r="C7607" s="3">
        <v>44538.789490740739</v>
      </c>
      <c r="D7607" s="1" t="s">
        <v>15147</v>
      </c>
      <c r="E7607" s="1" t="str">
        <f ca="1">IFERROR(__xludf.DUMMYFUNCTION("GOOGLETRANSLATE(A4406 , ""tr"" , ""en"")"),"@drfahrettinkoca continuous vaccine vaccination where the assignments remained in my minister.")</f>
        <v>@drfahrettinkoca continuous vaccine vaccination where the assignments remained in my minister.</v>
      </c>
    </row>
    <row r="7608" spans="1:5" ht="15" customHeight="1" x14ac:dyDescent="0.2">
      <c r="A7608" s="1" t="s">
        <v>15148</v>
      </c>
      <c r="B7608" s="1">
        <v>0</v>
      </c>
      <c r="C7608" s="3">
        <v>44538.789201388892</v>
      </c>
      <c r="D7608" s="1" t="s">
        <v>15149</v>
      </c>
      <c r="E7608" s="1" t="str">
        <f ca="1">IFERROR(__xludf.DUMMYFUNCTION("GOOGLETRANSLATE(A4407 , ""tr"" , ""en"")"),"@drfahrettinka we don't want to be in your vaccine")</f>
        <v>@drfahrettinka we don't want to be in your vaccine</v>
      </c>
    </row>
    <row r="7609" spans="1:5" ht="15" customHeight="1" x14ac:dyDescent="0.2">
      <c r="A7609" s="1" t="s">
        <v>15150</v>
      </c>
      <c r="B7609" s="1">
        <v>0</v>
      </c>
      <c r="C7609" s="3">
        <v>44538.789085648146</v>
      </c>
      <c r="D7609" s="1" t="s">
        <v>15151</v>
      </c>
      <c r="E7609" s="1" t="str">
        <f ca="1">IFERROR(__xludf.DUMMYFUNCTION("GOOGLETRANSLATE(A4408 , ""tr"" , ""en"")"),"@drfahrettinkoca How to get to the name of your silent stay although it's what happens to the name of the nasa and you are unable to believe in Tiwiti here")</f>
        <v>@drfahrettinkoca How to get to the name of your silent stay although it's what happens to the name of the nasa and you are unable to believe in Tiwiti here</v>
      </c>
    </row>
    <row r="7610" spans="1:5" ht="15" customHeight="1" x14ac:dyDescent="0.2">
      <c r="A7610" s="1" t="s">
        <v>15152</v>
      </c>
      <c r="B7610" s="1">
        <v>80</v>
      </c>
      <c r="C7610" s="3">
        <v>44538.789039351854</v>
      </c>
      <c r="D7610" s="1" t="s">
        <v>15153</v>
      </c>
      <c r="E7610" s="1" t="str">
        <f ca="1">IFERROR(__xludf.DUMMYFUNCTION("GOOGLETRANSLATE(A4409 , ""tr"" , ""en"")"),"@drfahrettinkoca are those you say that you say faulty decision? Muammer Kaddafi is the leader killed because he was right, Https://t.co/enxtcaator")</f>
        <v>@drfahrettinkoca are those you say that you say faulty decision? Muammer Kaddafi is the leader killed because he was right, Https://t.co/enxtcaator</v>
      </c>
    </row>
    <row r="7611" spans="1:5" ht="15" customHeight="1" x14ac:dyDescent="0.2">
      <c r="A7611" s="1" t="s">
        <v>15154</v>
      </c>
      <c r="B7611" s="1">
        <v>1</v>
      </c>
      <c r="C7611" s="3">
        <v>44538.788645833331</v>
      </c>
      <c r="D7611" s="1" t="s">
        <v>15155</v>
      </c>
      <c r="E7611" s="1" t="str">
        <f ca="1">IFERROR(__xludf.DUMMYFUNCTION("GOOGLETRANSLATE(A4410 , ""tr"" , ""en"")"),"@drfahrettinkoca is not my tank that doesn't turn the barrel to the Ministry of Health! This is the pushing tank! My tan ... https://t.co/kw6jflgdyt")</f>
        <v>@drfahrettinkoca is not my tank that doesn't turn the barrel to the Ministry of Health! This is the pushing tank! My tan ... https://t.co/kw6jflgdyt</v>
      </c>
    </row>
    <row r="7612" spans="1:5" ht="15" customHeight="1" x14ac:dyDescent="0.2">
      <c r="A7612" s="1" t="s">
        <v>15156</v>
      </c>
      <c r="B7612" s="1">
        <v>0</v>
      </c>
      <c r="C7612" s="3">
        <v>44538.788622685184</v>
      </c>
      <c r="D7612" s="1" t="s">
        <v>15157</v>
      </c>
      <c r="E7612" s="1" t="str">
        <f ca="1">IFERROR(__xludf.DUMMYFUNCTION("GOOGLETRANSLATE(A4411 , ""tr"" , ""en"")"),"@drfahrettinkoca but it is really enough anymore")</f>
        <v>@drfahrettinkoca but it is really enough anymore</v>
      </c>
    </row>
    <row r="7613" spans="1:5" ht="15" customHeight="1" x14ac:dyDescent="0.2">
      <c r="A7613" s="1" t="s">
        <v>15158</v>
      </c>
      <c r="B7613" s="1">
        <v>1</v>
      </c>
      <c r="C7613" s="3">
        <v>44538.788321759261</v>
      </c>
      <c r="D7613" s="1" t="s">
        <v>15159</v>
      </c>
      <c r="E7613" s="1" t="str">
        <f ca="1">IFERROR(__xludf.DUMMYFUNCTION("GOOGLETRANSLATE(A4412 , ""tr"" , ""en"")"),"@drfahrettinkoca Health Management is waiting for the future @drfahrettinkoca")</f>
        <v>@drfahrettinkoca Health Management is waiting for the future @drfahrettinkoca</v>
      </c>
    </row>
    <row r="7614" spans="1:5" ht="15" customHeight="1" x14ac:dyDescent="0.2">
      <c r="A7614" s="1" t="s">
        <v>15160</v>
      </c>
      <c r="B7614" s="1">
        <v>1</v>
      </c>
      <c r="C7614" s="3">
        <v>44538.787881944445</v>
      </c>
      <c r="D7614" s="1" t="s">
        <v>15161</v>
      </c>
      <c r="E7614" s="1" t="str">
        <f ca="1">IFERROR(__xludf.DUMMYFUNCTION("GOOGLETRANSLATE(A4413 , ""tr"" , ""en"")"),"@drfahrettinkoca We have 4 people kovit at home, we haven't even a night. Inspectors don't even test, what do you give the number of numbers?")</f>
        <v>@drfahrettinkoca We have 4 people kovit at home, we haven't even a night. Inspectors don't even test, what do you give the number of numbers?</v>
      </c>
    </row>
    <row r="7615" spans="1:5" ht="15" customHeight="1" x14ac:dyDescent="0.2">
      <c r="A7615" s="1" t="s">
        <v>15162</v>
      </c>
      <c r="B7615" s="1">
        <v>0</v>
      </c>
      <c r="C7615" s="3">
        <v>44538.787881944445</v>
      </c>
      <c r="D7615" s="1" t="s">
        <v>15163</v>
      </c>
      <c r="E7615" s="1" t="str">
        <f ca="1">IFERROR(__xludf.DUMMYFUNCTION("GOOGLETRANSLATE(A4414 , ""tr"" , ""en"")"),"@drfahrettinka schoollarvirusyuvasihalaisrared You areHepHOTHOKUKLPLISINYALLAHAVAL")</f>
        <v>@drfahrettinka schoollarvirusyuvasihalaisrared You areHepHOTHOKUKLPLISINYALLAHAVAL</v>
      </c>
    </row>
    <row r="7616" spans="1:5" ht="15" customHeight="1" x14ac:dyDescent="0.2">
      <c r="A7616" s="1" t="s">
        <v>15164</v>
      </c>
      <c r="B7616" s="1">
        <v>0</v>
      </c>
      <c r="C7616" s="3">
        <v>44538.787754629629</v>
      </c>
      <c r="D7616" s="1" t="s">
        <v>15165</v>
      </c>
      <c r="E7616" s="1" t="str">
        <f ca="1">IFERROR(__xludf.DUMMYFUNCTION("GOOGLETRANSLATE(A4415 , ""tr"" , ""en"")"),"@drfahrettinkoca I'm not afraid of God .. What is the virus. Responsibility to produce liquid ... HTTPS://T.CO/KGIBDDIMDX")</f>
        <v>@drfahrettinkoca I'm not afraid of God .. What is the virus. Responsibility to produce liquid ... HTTPS://T.CO/KGIBDDIMDX</v>
      </c>
    </row>
    <row r="7617" spans="1:5" ht="15" customHeight="1" x14ac:dyDescent="0.2">
      <c r="A7617" s="1" t="s">
        <v>15166</v>
      </c>
      <c r="B7617" s="1">
        <v>3</v>
      </c>
      <c r="C7617" s="3">
        <v>44538.787372685183</v>
      </c>
      <c r="D7617" s="1" t="s">
        <v>15167</v>
      </c>
      <c r="E7617" s="1" t="str">
        <f ca="1">IFERROR(__xludf.DUMMYFUNCTION("GOOGLETRANSLATE(A4416 , ""tr"" , ""en"")"),"@drfahrettinkoca history if you don't forget the dosage I'm the Talibim 😁 https://t.co/xpprzd9ajk")</f>
        <v>@drfahrettinkoca history if you don't forget the dosage I'm the Talibim 😁 https://t.co/xpprzd9ajk</v>
      </c>
    </row>
    <row r="7618" spans="1:5" ht="15" customHeight="1" x14ac:dyDescent="0.2">
      <c r="A7618" s="1" t="s">
        <v>15168</v>
      </c>
      <c r="B7618" s="1">
        <v>0</v>
      </c>
      <c r="C7618" s="3">
        <v>44538.787245370368</v>
      </c>
      <c r="D7618" s="1" t="s">
        <v>15169</v>
      </c>
      <c r="E7618" s="1" t="str">
        <f ca="1">IFERROR(__xludf.DUMMYFUNCTION("GOOGLETRANSLATE(A4417 , ""tr"" , ""en"")"),"@drfahrettinkoca Ditto")</f>
        <v>@drfahrettinkoca Ditto</v>
      </c>
    </row>
    <row r="7619" spans="1:5" ht="15" customHeight="1" x14ac:dyDescent="0.2">
      <c r="A7619" s="1" t="s">
        <v>15170</v>
      </c>
      <c r="B7619" s="1">
        <v>0</v>
      </c>
      <c r="C7619" s="3">
        <v>44538.787037037036</v>
      </c>
      <c r="D7619" s="1" t="s">
        <v>15171</v>
      </c>
      <c r="E7619" s="1" t="str">
        <f ca="1">IFERROR(__xludf.DUMMYFUNCTION("GOOGLETRANSLATE(A4418 , ""tr"" , ""en"")"),"@drfahrettinkoca 8 December 2020 No vaccine! Number of tests: 201.219 Cases: 33.198 Number of patients: 6,593 Death: 211 8 Range ... https://t.co/iaikj0d9ot")</f>
        <v>@drfahrettinkoca 8 December 2020 No vaccine! Number of tests: 201.219 Cases: 33.198 Number of patients: 6,593 Death: 211 8 Range ... https://t.co/iaikj0d9ot</v>
      </c>
    </row>
    <row r="7620" spans="1:5" ht="15" customHeight="1" x14ac:dyDescent="0.2">
      <c r="A7620" s="1" t="s">
        <v>15172</v>
      </c>
      <c r="B7620" s="1">
        <v>18</v>
      </c>
      <c r="C7620" s="3">
        <v>44538.786921296298</v>
      </c>
      <c r="D7620" s="1" t="s">
        <v>15173</v>
      </c>
      <c r="E7620" s="1" t="str">
        <f ca="1">IFERROR(__xludf.DUMMYFUNCTION("GOOGLETRANSLATE(A4419 , ""tr"" , ""en"")"),"@drfahrettinkoca I never listened to you. I haven't been grip or cold. Those who listen to you have regrets. 2. and 3. Dose of liquid ... https://t.co/qmk4uzlzaz")</f>
        <v>@drfahrettinkoca I never listened to you. I haven't been grip or cold. Those who listen to you have regrets. 2. and 3. Dose of liquid ... https://t.co/qmk4uzlzaz</v>
      </c>
    </row>
    <row r="7621" spans="1:5" ht="15" customHeight="1" x14ac:dyDescent="0.2">
      <c r="A7621" s="1" t="s">
        <v>15174</v>
      </c>
      <c r="B7621" s="1">
        <v>1</v>
      </c>
      <c r="C7621" s="3">
        <v>44538.786851851852</v>
      </c>
      <c r="D7621" s="1" t="s">
        <v>15175</v>
      </c>
      <c r="E7621" s="1" t="str">
        <f ca="1">IFERROR(__xludf.DUMMYFUNCTION("GOOGLETRANSLATE(A4420 , ""tr"" , ""en"")"),"@drfahrettinkoca asylilar for some reason no hospital lakin lakin not even hic-hitting those who don't get the test that didn't get the test, https://t.co/brutvb7vfk")</f>
        <v>@drfahrettinkoca asylilar for some reason no hospital lakin lakin not even hic-hitting those who don't get the test that didn't get the test, https://t.co/brutvb7vfk</v>
      </c>
    </row>
    <row r="7622" spans="1:5" ht="15" customHeight="1" x14ac:dyDescent="0.2">
      <c r="A7622" s="1" t="s">
        <v>15176</v>
      </c>
      <c r="B7622" s="1">
        <v>0</v>
      </c>
      <c r="C7622" s="3">
        <v>44538.786226851851</v>
      </c>
      <c r="D7622" s="1" t="s">
        <v>15177</v>
      </c>
      <c r="E7622" s="1" t="str">
        <f ca="1">IFERROR(__xludf.DUMMYFUNCTION("GOOGLETRANSLATE(A4421 , ""tr"" , ""en"")"),"@drfahrettinkoca is no longer to bleed my nose from wearing mask. Let the madem leave everything in the mask.")</f>
        <v>@drfahrettinkoca is no longer to bleed my nose from wearing mask. Let the madem leave everything in the mask.</v>
      </c>
    </row>
    <row r="7623" spans="1:5" ht="15" customHeight="1" x14ac:dyDescent="0.2">
      <c r="A7623" s="1" t="s">
        <v>15178</v>
      </c>
      <c r="B7623" s="1">
        <v>0</v>
      </c>
      <c r="C7623" s="3">
        <v>44538.785624999997</v>
      </c>
      <c r="D7623" s="1" t="s">
        <v>15179</v>
      </c>
      <c r="E7623" s="1" t="str">
        <f ca="1">IFERROR(__xludf.DUMMYFUNCTION("GOOGLETRANSLATE(A4422 , ""tr"" , ""en"")"),"@drfahrettinkoca Read Reviews See what people have experienced what you have experienced not regret don't regret don't regret ... https://t.co/5kbbkkkmdu8")</f>
        <v>@drfahrettinkoca Read Reviews See what people have experienced what you have experienced not regret don't regret don't regret ... https://t.co/5kbbkkkmdu8</v>
      </c>
    </row>
    <row r="7624" spans="1:5" ht="15" customHeight="1" x14ac:dyDescent="0.2">
      <c r="A7624" s="1" t="s">
        <v>15180</v>
      </c>
      <c r="B7624" s="1">
        <v>0</v>
      </c>
      <c r="C7624" s="3">
        <v>44538.78460648148</v>
      </c>
      <c r="D7624" s="1" t="s">
        <v>15181</v>
      </c>
      <c r="E7624" s="1" t="str">
        <f ca="1">IFERROR(__xludf.DUMMYFUNCTION("GOOGLETRANSLATE(A4423 , ""tr"" , ""en"")"),"@drfahrettinka Mr. Minister Vaccination Case in less in the easterly cases in less west, so you are not able to explain them in very vaccination ... https://t.co/eddomcxgII")</f>
        <v>@drfahrettinka Mr. Minister Vaccination Case in less in the easterly cases in less west, so you are not able to explain them in very vaccination ... https://t.co/eddomcxgII</v>
      </c>
    </row>
    <row r="7625" spans="1:5" ht="15" customHeight="1" x14ac:dyDescent="0.2">
      <c r="A7625" s="1" t="s">
        <v>15182</v>
      </c>
      <c r="B7625" s="1">
        <v>2</v>
      </c>
      <c r="C7625" s="3">
        <v>44538.784375000003</v>
      </c>
      <c r="D7625" s="1" t="s">
        <v>15183</v>
      </c>
      <c r="E7625" s="1" t="str">
        <f ca="1">IFERROR(__xludf.DUMMYFUNCTION("GOOGLETRANSLATE(A4424 , ""tr"" , ""en"")"),"@drfahrettinkoca 3. We want us to define the overdose.")</f>
        <v>@drfahrettinkoca 3. We want us to define the overdose.</v>
      </c>
    </row>
    <row r="7626" spans="1:5" ht="15" customHeight="1" x14ac:dyDescent="0.2">
      <c r="A7626" s="1" t="s">
        <v>15184</v>
      </c>
      <c r="B7626" s="1">
        <v>0</v>
      </c>
      <c r="C7626" s="3">
        <v>44538.78402777778</v>
      </c>
      <c r="D7626" s="1" t="s">
        <v>15185</v>
      </c>
      <c r="E7626" s="1" t="str">
        <f ca="1">IFERROR(__xludf.DUMMYFUNCTION("GOOGLETRANSLATE(A4425 , ""tr"" , ""en"")"),"@drfahrettinkoca KAC Yil Yil was Covidden Hic One Seyday I was the only dose vaccine because of your imposition but it is enough yakami ... https://t.co/sqrjmpnwb5")</f>
        <v>@drfahrettinkoca KAC Yil Yil was Covidden Hic One Seyday I was the only dose vaccine because of your imposition but it is enough yakami ... https://t.co/sqrjmpnwb5</v>
      </c>
    </row>
    <row r="7627" spans="1:5" ht="15" customHeight="1" x14ac:dyDescent="0.2">
      <c r="A7627" s="1" t="s">
        <v>15186</v>
      </c>
      <c r="B7627" s="1">
        <v>1</v>
      </c>
      <c r="C7627" s="3">
        <v>44538.783680555556</v>
      </c>
      <c r="D7627" s="1" t="s">
        <v>15187</v>
      </c>
      <c r="E7627" s="1" t="str">
        <f ca="1">IFERROR(__xludf.DUMMYFUNCTION("GOOGLETRANSLATE(A4426 , ""tr"" , ""en"")"),"@drfahrettinkoca I wonder how many dose are you ?? Don't mention the body from the intubated grafts? Vaccine ... https://t.co/egjk9pfarh")</f>
        <v>@drfahrettinkoca I wonder how many dose are you ?? Don't mention the body from the intubated grafts? Vaccine ... https://t.co/egjk9pfarh</v>
      </c>
    </row>
    <row r="7628" spans="1:5" ht="15" customHeight="1" x14ac:dyDescent="0.2">
      <c r="A7628" s="1" t="s">
        <v>15188</v>
      </c>
      <c r="B7628" s="1">
        <v>0</v>
      </c>
      <c r="C7628" s="3">
        <v>44538.783506944441</v>
      </c>
      <c r="D7628" s="1" t="s">
        <v>15189</v>
      </c>
      <c r="E7628" s="1" t="str">
        <f ca="1">IFERROR(__xludf.DUMMYFUNCTION("GOOGLETRANSLATE(A4427 , ""tr"" , ""en"")"),"@drfahrettinka is the contradictions of doctors who completely defend you and vaccine")</f>
        <v>@drfahrettinka is the contradictions of doctors who completely defend you and vaccine</v>
      </c>
    </row>
    <row r="7629" spans="1:5" ht="15" customHeight="1" x14ac:dyDescent="0.2">
      <c r="A7629" s="1" t="s">
        <v>15190</v>
      </c>
      <c r="B7629" s="1">
        <v>2</v>
      </c>
      <c r="C7629" s="3">
        <v>44538.783414351848</v>
      </c>
      <c r="D7629" s="1" t="s">
        <v>15191</v>
      </c>
      <c r="E7629" s="1" t="str">
        <f ca="1">IFERROR(__xludf.DUMMYFUNCTION("GOOGLETRANSLATE(A4428 , ""tr"" , ""en"")"),"@drfahrettinkoca 3. Give us the overdose right.")</f>
        <v>@drfahrettinkoca 3. Give us the overdose right.</v>
      </c>
    </row>
    <row r="7630" spans="1:5" ht="15" customHeight="1" x14ac:dyDescent="0.2">
      <c r="A7630" s="1" t="s">
        <v>15192</v>
      </c>
      <c r="B7630" s="1">
        <v>1</v>
      </c>
      <c r="C7630" s="3">
        <v>44538.783229166664</v>
      </c>
      <c r="D7630" s="1" t="s">
        <v>15193</v>
      </c>
      <c r="E7630" s="1" t="str">
        <f ca="1">IFERROR(__xludf.DUMMYFUNCTION("GOOGLETRANSLATE(A4429 , ""tr"" , ""en"")"),"@drfahrettinkoca 3. Give us the overdose")</f>
        <v>@drfahrettinkoca 3. Give us the overdose</v>
      </c>
    </row>
    <row r="7631" spans="1:5" ht="15" customHeight="1" x14ac:dyDescent="0.2">
      <c r="A7631" s="1" t="s">
        <v>15194</v>
      </c>
      <c r="B7631" s="1">
        <v>4</v>
      </c>
      <c r="C7631" s="3">
        <v>44538.783194444448</v>
      </c>
      <c r="D7631" s="1" t="s">
        <v>15195</v>
      </c>
      <c r="E7631" s="1" t="str">
        <f ca="1">IFERROR(__xludf.DUMMYFUNCTION("GOOGLETRANSLATE(A4430 , ""tr"" , ""en"")"),"@drfahrettinkoca Bengi Hoca scares me so much. After the vaccination, the mini mini clots can be. Mr. Minister, Vaccine ... https://t.co/hzaj5ac5oz")</f>
        <v>@drfahrettinkoca Bengi Hoca scares me so much. After the vaccination, the mini mini clots can be. Mr. Minister, Vaccine ... https://t.co/hzaj5ac5oz</v>
      </c>
    </row>
    <row r="7632" spans="1:5" ht="15" customHeight="1" x14ac:dyDescent="0.2">
      <c r="A7632" s="1" t="s">
        <v>15196</v>
      </c>
      <c r="B7632" s="1">
        <v>1</v>
      </c>
      <c r="C7632" s="3">
        <v>44538.783032407409</v>
      </c>
      <c r="D7632" s="1" t="s">
        <v>15197</v>
      </c>
      <c r="E7632" s="1" t="str">
        <f ca="1">IFERROR(__xludf.DUMMYFUNCTION("GOOGLETRANSLATE(A4431 , ""tr"" , ""en"")"),"@drfahrettinkoca 3. I want my overdose right.")</f>
        <v>@drfahrettinkoca 3. I want my overdose right.</v>
      </c>
    </row>
    <row r="7633" spans="1:5" ht="15" customHeight="1" x14ac:dyDescent="0.2">
      <c r="A7633" s="1" t="s">
        <v>15198</v>
      </c>
      <c r="B7633" s="1">
        <v>0</v>
      </c>
      <c r="C7633" s="3">
        <v>44538.782858796294</v>
      </c>
      <c r="D7633" s="1" t="s">
        <v>15199</v>
      </c>
      <c r="E7633" s="1" t="str">
        <f ca="1">IFERROR(__xludf.DUMMYFUNCTION("GOOGLETRANSLATE(A4432 , ""tr"" , ""en"")"),"@drfahrettinkoca # 1ay what happened? Is it a full graft, half grafted, guinea pig? Who is Hospitalier Sect? She log ... https://t.co/ohqsnjaqno")</f>
        <v>@drfahrettinkoca # 1ay what happened? Is it a full graft, half grafted, guinea pig? Who is Hospitalier Sect? She log ... https://t.co/ohqsnjaqno</v>
      </c>
    </row>
    <row r="7634" spans="1:5" ht="15" customHeight="1" x14ac:dyDescent="0.2">
      <c r="A7634" s="1" t="s">
        <v>15200</v>
      </c>
      <c r="B7634" s="1">
        <v>25</v>
      </c>
      <c r="C7634" s="3">
        <v>44538.782650462963</v>
      </c>
      <c r="D7634" s="1" t="s">
        <v>15201</v>
      </c>
      <c r="E7634" s="1" t="str">
        <f ca="1">IFERROR(__xludf.DUMMYFUNCTION("GOOGLETRANSLATE(A4433 , ""tr"" , ""en"")"),"@drfahrettinkoca Opened Tags are all in the first time of the agenda 95% of their interpretations Ka ... https://t.co/znrivtgwggI")</f>
        <v>@drfahrettinkoca Opened Tags are all in the first time of the agenda 95% of their interpretations Ka ... https://t.co/znrivtgwggI</v>
      </c>
    </row>
    <row r="7635" spans="1:5" ht="15" customHeight="1" x14ac:dyDescent="0.2">
      <c r="A7635" s="1" t="s">
        <v>15202</v>
      </c>
      <c r="B7635" s="1">
        <v>0</v>
      </c>
      <c r="C7635" s="3">
        <v>44538.782002314816</v>
      </c>
      <c r="D7635" s="1" t="s">
        <v>15203</v>
      </c>
      <c r="E7635" s="1" t="str">
        <f ca="1">IFERROR(__xludf.DUMMYFUNCTION("GOOGLETRANSLATE(A4434 , ""tr"" , ""en"")"),"@drfahrettinka you understand kit")</f>
        <v>@drfahrettinka you understand kit</v>
      </c>
    </row>
    <row r="7636" spans="1:5" ht="15" customHeight="1" x14ac:dyDescent="0.2">
      <c r="A7636" s="1" t="s">
        <v>15204</v>
      </c>
      <c r="B7636" s="1">
        <v>2</v>
      </c>
      <c r="C7636" s="3">
        <v>44538.781944444447</v>
      </c>
      <c r="D7636" s="1" t="s">
        <v>15205</v>
      </c>
      <c r="E7636" s="1" t="str">
        <f ca="1">IFERROR(__xludf.DUMMYFUNCTION("GOOGLETRANSLATE(A4435 , ""tr"" , ""en"")"),"@drfahrettinkoca guide nerdeee ???????")</f>
        <v>@drfahrettinkoca guide nerdeee ???????</v>
      </c>
    </row>
    <row r="7637" spans="1:5" ht="15" customHeight="1" x14ac:dyDescent="0.2">
      <c r="A7637" s="1" t="s">
        <v>15206</v>
      </c>
      <c r="B7637" s="1">
        <v>0</v>
      </c>
      <c r="C7637" s="3">
        <v>44538.78193287037</v>
      </c>
      <c r="D7637" s="1" t="s">
        <v>15207</v>
      </c>
      <c r="E7637" s="1" t="str">
        <f ca="1">IFERROR(__xludf.DUMMYFUNCTION("GOOGLETRANSLATE(A4436 , ""tr"" , ""en"")"),"@drfahrettinkoca Our vaccines are the reason for the pre-journal of our vaccinations You are the fahrettin Bey.Cern2kbmkp on https://t.co/cern 2")</f>
        <v>@drfahrettinkoca Our vaccines are the reason for the pre-journal of our vaccinations You are the fahrettin Bey.Cern2kbmkp on https://t.co/cern 2</v>
      </c>
    </row>
    <row r="7638" spans="1:5" ht="15" customHeight="1" x14ac:dyDescent="0.2">
      <c r="A7638" s="1" t="s">
        <v>15208</v>
      </c>
      <c r="B7638" s="1">
        <v>0</v>
      </c>
      <c r="C7638" s="3">
        <v>44538.781446759262</v>
      </c>
      <c r="D7638" s="1" t="s">
        <v>15209</v>
      </c>
      <c r="E7638" s="1" t="str">
        <f ca="1">IFERROR(__xludf.DUMMYFUNCTION("GOOGLETRANSLATE(A4437 , ""tr"" , ""en"")"),"@drfahrettinka You killed some of the people in hospitals with the wrong treatment protocols. Treatment of some ... https://t.co/462qjaic8j")</f>
        <v>@drfahrettinka You killed some of the people in hospitals with the wrong treatment protocols. Treatment of some ... https://t.co/462qjaic8j</v>
      </c>
    </row>
    <row r="7639" spans="1:5" ht="15" customHeight="1" x14ac:dyDescent="0.2">
      <c r="A7639" s="1" t="s">
        <v>15210</v>
      </c>
      <c r="B7639" s="1">
        <v>32</v>
      </c>
      <c r="C7639" s="3">
        <v>44538.781226851854</v>
      </c>
      <c r="D7639" s="1" t="s">
        <v>15211</v>
      </c>
      <c r="E7639" s="1" t="str">
        <f ca="1">IFERROR(__xludf.DUMMYFUNCTION("GOOGLETRANSLATE(A4438 , ""tr"" , ""en"")"),"@drfahrettinka is already 3rd dose approved now 2nd dose 2nd dose is no more than anyone in vaccine, and you always go to the dies ... https://t.co/kic2ayforc")</f>
        <v>@drfahrettinka is already 3rd dose approved now 2nd dose 2nd dose is no more than anyone in vaccine, and you always go to the dies ... https://t.co/kic2ayforc</v>
      </c>
    </row>
    <row r="7640" spans="1:5" ht="15" customHeight="1" x14ac:dyDescent="0.2">
      <c r="A7640" s="1" t="s">
        <v>15212</v>
      </c>
      <c r="B7640" s="1">
        <v>3</v>
      </c>
      <c r="C7640" s="3">
        <v>44538.7812037037</v>
      </c>
      <c r="D7640" s="1" t="s">
        <v>15213</v>
      </c>
      <c r="E7640" s="1" t="str">
        <f ca="1">IFERROR(__xludf.DUMMYFUNCTION("GOOGLETRANSLATE(A4439 , ""tr"" , ""en"")"),"@drfahrettinkoca We know the result of faulty lands, you didn't end bi! https://t.co/wk8cfvi2k4")</f>
        <v>@drfahrettinkoca We know the result of faulty lands, you didn't end bi! https://t.co/wk8cfvi2k4</v>
      </c>
    </row>
    <row r="7641" spans="1:5" ht="15" customHeight="1" x14ac:dyDescent="0.2">
      <c r="A7641" s="1" t="s">
        <v>15214</v>
      </c>
      <c r="B7641" s="1">
        <v>0</v>
      </c>
      <c r="C7641" s="3">
        <v>44538.781157407408</v>
      </c>
      <c r="D7641" s="1" t="s">
        <v>15215</v>
      </c>
      <c r="E7641" s="1" t="str">
        <f ca="1">IFERROR(__xludf.DUMMYFUNCTION("GOOGLETRANSLATE(A4440 , ""tr"" , ""en"")"),"@drfahrettinka https://t.co/TWWEHMIW2B")</f>
        <v>@drfahrettinka https://t.co/TWWEHMIW2B</v>
      </c>
    </row>
    <row r="7642" spans="1:5" ht="15" customHeight="1" x14ac:dyDescent="0.2">
      <c r="A7642" s="1" t="s">
        <v>15216</v>
      </c>
      <c r="B7642" s="1">
        <v>2</v>
      </c>
      <c r="C7642" s="3">
        <v>44538.780474537038</v>
      </c>
      <c r="D7642" s="1" t="s">
        <v>15217</v>
      </c>
      <c r="E7642" s="1" t="str">
        <f ca="1">IFERROR(__xludf.DUMMYFUNCTION("GOOGLETRANSLATE(A4441 , ""tr"" , ""en"")"),"@drfahrettinkoca people who killed with drugs and have slaughtered with drugs with the vaccines that frighten the perception of an epidemic ... https://t.co/7am17j1qgo")</f>
        <v>@drfahrettinkoca people who killed with drugs and have slaughtered with drugs with the vaccines that frighten the perception of an epidemic ... https://t.co/7am17j1qgo</v>
      </c>
    </row>
    <row r="7643" spans="1:5" ht="15" customHeight="1" x14ac:dyDescent="0.2">
      <c r="A7643" s="1" t="s">
        <v>15218</v>
      </c>
      <c r="B7643" s="1">
        <v>0</v>
      </c>
      <c r="C7643" s="3">
        <v>44538.779502314814</v>
      </c>
      <c r="D7643" s="1" t="s">
        <v>15219</v>
      </c>
      <c r="E7643" s="1" t="str">
        <f ca="1">IFERROR(__xludf.DUMMYFUNCTION("GOOGLETRANSLATE(A4442 , ""tr"" , ""en"")"),"@drfahrettinka vaccine has also been up to other problems as well as the operative materials alinamormus hospitals with the doctor ... https://t.co/x5bvky7sa2")</f>
        <v>@drfahrettinka vaccine has also been up to other problems as well as the operative materials alinamormus hospitals with the doctor ... https://t.co/x5bvky7sa2</v>
      </c>
    </row>
    <row r="7644" spans="1:5" ht="15" customHeight="1" x14ac:dyDescent="0.2">
      <c r="A7644" s="1" t="s">
        <v>15220</v>
      </c>
      <c r="B7644" s="1">
        <v>0</v>
      </c>
      <c r="C7644" s="3">
        <v>44538.778599537036</v>
      </c>
      <c r="D7644" s="1" t="s">
        <v>15221</v>
      </c>
      <c r="E7644" s="1" t="str">
        <f ca="1">IFERROR(__xludf.DUMMYFUNCTION("GOOGLETRANSLATE(A4443 , ""tr"" , ""en"")"),"@drfahrettinkoca We don't know which hospital you say but my work in 5 beds where I work in intensive care ... https://t.co/e5f48nwjcq")</f>
        <v>@drfahrettinkoca We don't know which hospital you say but my work in 5 beds where I work in intensive care ... https://t.co/e5f48nwjcq</v>
      </c>
    </row>
    <row r="7645" spans="1:5" ht="15" customHeight="1" x14ac:dyDescent="0.2">
      <c r="A7645" s="1" t="s">
        <v>15222</v>
      </c>
      <c r="B7645" s="1">
        <v>0</v>
      </c>
      <c r="C7645" s="3">
        <v>44538.778541666667</v>
      </c>
      <c r="D7645" s="1" t="s">
        <v>15223</v>
      </c>
      <c r="E7645" s="1" t="str">
        <f ca="1">IFERROR(__xludf.DUMMYFUNCTION("GOOGLETRANSLATE(A4444 , ""tr"" , ""en"")"),"@drfahrettinkoca you cannot pass the important part. An independent board supervise all hospitals Net Say ... https://t.co/8BOLEIVXV")</f>
        <v>@drfahrettinkoca you cannot pass the important part. An independent board supervise all hospitals Net Say ... https://t.co/8BOLEIVXV</v>
      </c>
    </row>
    <row r="7646" spans="1:5" ht="15" customHeight="1" x14ac:dyDescent="0.2">
      <c r="A7646" s="1" t="s">
        <v>15224</v>
      </c>
      <c r="B7646" s="1">
        <v>76</v>
      </c>
      <c r="C7646" s="3">
        <v>44538.778356481482</v>
      </c>
      <c r="D7646" s="1" t="s">
        <v>15225</v>
      </c>
      <c r="E7646" s="1" t="str">
        <f ca="1">IFERROR(__xludf.DUMMYFUNCTION("GOOGLETRANSLATE(A4445 , ""tr"" , ""en"")"),"@drfahrettinkoca China scenario images view from front to nation and have a fake outbreak and Mill with Covid excuses ... https://t.co/21yuiuwdgh")</f>
        <v>@drfahrettinkoca China scenario images view from front to nation and have a fake outbreak and Mill with Covid excuses ... https://t.co/21yuiuwdgh</v>
      </c>
    </row>
    <row r="7647" spans="1:5" ht="15" customHeight="1" x14ac:dyDescent="0.2">
      <c r="A7647" s="1" t="s">
        <v>15226</v>
      </c>
      <c r="B7647" s="1">
        <v>1</v>
      </c>
      <c r="C7647" s="3">
        <v>44538.778321759259</v>
      </c>
      <c r="D7647" s="1" t="s">
        <v>15227</v>
      </c>
      <c r="E7647" s="1" t="str">
        <f ca="1">IFERROR(__xludf.DUMMYFUNCTION("GOOGLETRANSLATE(A4446 , ""tr"" , ""en"")"),"?")</f>
        <v>?</v>
      </c>
    </row>
    <row r="7648" spans="1:5" ht="15" customHeight="1" x14ac:dyDescent="0.2">
      <c r="A7648" s="1" t="s">
        <v>15228</v>
      </c>
      <c r="B7648" s="1">
        <v>4</v>
      </c>
      <c r="C7648" s="3">
        <v>44538.77815972222</v>
      </c>
      <c r="D7648" s="1" t="s">
        <v>15229</v>
      </c>
      <c r="E7648" s="1" t="str">
        <f ca="1">IFERROR(__xludf.DUMMYFUNCTION("GOOGLETRANSLATE(A4447 , ""tr"" , ""en"")"),"@drfahrettinkoca past dated favipiravirin are still trying to treat new date on top of the past, mation ... https://t.co/5rkg46jukn")</f>
        <v>@drfahrettinkoca past dated favipiravirin are still trying to treat new date on top of the past, mation ... https://t.co/5rkg46jukn</v>
      </c>
    </row>
    <row r="7649" spans="1:5" ht="15" customHeight="1" x14ac:dyDescent="0.2">
      <c r="A7649" s="1" t="s">
        <v>15230</v>
      </c>
      <c r="B7649" s="1">
        <v>1</v>
      </c>
      <c r="C7649" s="3">
        <v>44538.777997685182</v>
      </c>
      <c r="D7649" s="1" t="s">
        <v>15231</v>
      </c>
      <c r="E7649" s="1" t="str">
        <f ca="1">IFERROR(__xludf.DUMMYFUNCTION("GOOGLETRANSLATE(A4448 , ""tr"" , ""en"")"),"@drfahrettinkoca exceeds if it is good we call your responsibility")</f>
        <v>@drfahrettinkoca exceeds if it is good we call your responsibility</v>
      </c>
    </row>
    <row r="7650" spans="1:5" ht="15" customHeight="1" x14ac:dyDescent="0.2">
      <c r="A7650" s="1" t="s">
        <v>15232</v>
      </c>
      <c r="B7650" s="1">
        <v>17</v>
      </c>
      <c r="C7650" s="3">
        <v>44538.777708333335</v>
      </c>
      <c r="D7650" s="1" t="s">
        <v>15233</v>
      </c>
      <c r="E7650" s="1" t="str">
        <f ca="1">IFERROR(__xludf.DUMMYFUNCTION("GOOGLETRANSLATE(A4449 , ""tr"" , ""en"")"),"@drfahrettinkoca Promise Flims Writing Keeps on the other side of our valuable physicians offering one of the users on the other side ... https://t.co/akvvvga3dye")</f>
        <v>@drfahrettinkoca Promise Flims Writing Keeps on the other side of our valuable physicians offering one of the users on the other side ... https://t.co/akvvvga3dye</v>
      </c>
    </row>
    <row r="7651" spans="1:5" ht="15" customHeight="1" x14ac:dyDescent="0.2">
      <c r="A7651" s="1" t="s">
        <v>15234</v>
      </c>
      <c r="B7651" s="1">
        <v>0</v>
      </c>
      <c r="C7651" s="3">
        <v>44538.777696759258</v>
      </c>
      <c r="D7651" s="1" t="s">
        <v>15235</v>
      </c>
      <c r="E7651" s="1" t="str">
        <f ca="1">IFERROR(__xludf.DUMMYFUNCTION("GOOGLETRANSLATE(A4450 , ""tr"" , ""en"")"),"@drfahrettinkoca Artic Asililar Bule Suze Guvenip is hospitalized in the hospitalizing the disorganization at home. How far are you in the ring")</f>
        <v>@drfahrettinkoca Artic Asililar Bule Suze Guvenip is hospitalized in the hospitalizing the disorganization at home. How far are you in the ring</v>
      </c>
    </row>
    <row r="7652" spans="1:5" ht="15" customHeight="1" x14ac:dyDescent="0.2">
      <c r="A7652" s="1" t="s">
        <v>15236</v>
      </c>
      <c r="B7652" s="1">
        <v>0</v>
      </c>
      <c r="C7652" s="3">
        <v>44538.777442129627</v>
      </c>
      <c r="D7652" s="1" t="s">
        <v>15237</v>
      </c>
      <c r="E7652" s="1" t="str">
        <f ca="1">IFERROR(__xludf.DUMMYFUNCTION("GOOGLETRANSLATE(A4451 , ""tr"" , ""en"")"),"@drfahrettinkoca Fahrettin What are you waiting for what you are looking to make the assignment, let's know what @drfahrettinkoca")</f>
        <v>@drfahrettinkoca Fahrettin What are you waiting for what you are looking to make the assignment, let's know what @drfahrettinkoca</v>
      </c>
    </row>
    <row r="7653" spans="1:5" ht="15" customHeight="1" x14ac:dyDescent="0.2">
      <c r="A7653" s="1" t="s">
        <v>15238</v>
      </c>
      <c r="B7653" s="1">
        <v>0</v>
      </c>
      <c r="C7653" s="3">
        <v>44538.777245370373</v>
      </c>
      <c r="D7653" s="1" t="s">
        <v>15239</v>
      </c>
      <c r="E7653" s="1" t="str">
        <f ca="1">IFERROR(__xludf.DUMMYFUNCTION("GOOGLETRANSLATE(A4452 , ""tr"" , ""en"")"),"@drfahrettinkoca Give us as those who do not want us, we also have a board and lies in intensive care ... https://t.co/zozdo94kyu")</f>
        <v>@drfahrettinkoca Give us as those who do not want us, we also have a board and lies in intensive care ... https://t.co/zozdo94kyu</v>
      </c>
    </row>
    <row r="7654" spans="1:5" ht="15" customHeight="1" x14ac:dyDescent="0.2">
      <c r="A7654" s="1" t="s">
        <v>15240</v>
      </c>
      <c r="B7654" s="1">
        <v>0</v>
      </c>
      <c r="C7654" s="3">
        <v>44538.777222222219</v>
      </c>
      <c r="D7654" s="1" t="s">
        <v>15241</v>
      </c>
      <c r="E7654" s="1" t="str">
        <f ca="1">IFERROR(__xludf.DUMMYFUNCTION("GOOGLETRANSLATE(A4453 , ""tr"" , ""en"")"),"@drfahrettinkoca Do not adhere to the zionites and what you have gained from the heart attack and the death of people to death.")</f>
        <v>@drfahrettinkoca Do not adhere to the zionites and what you have gained from the heart attack and the death of people to death.</v>
      </c>
    </row>
    <row r="7655" spans="1:5" ht="15" customHeight="1" x14ac:dyDescent="0.2">
      <c r="A7655" s="1" t="s">
        <v>15242</v>
      </c>
      <c r="B7655" s="1">
        <v>0</v>
      </c>
      <c r="C7655" s="3">
        <v>44538.776631944442</v>
      </c>
      <c r="D7655" s="1" t="s">
        <v>15243</v>
      </c>
      <c r="E7655" s="1" t="str">
        <f ca="1">IFERROR(__xludf.DUMMYFUNCTION("GOOGLETRANSLATE(A4454 , ""tr"" , ""en"")"),"@drfahrettinkoca prejudices to break and provide vaccine confidence in the side effects of vaccine and hospitalized in hospital ... https://t.co/hfvrqiydtl")</f>
        <v>@drfahrettinkoca prejudices to break and provide vaccine confidence in the side effects of vaccine and hospitalized in hospital ... https://t.co/hfvrqiydtl</v>
      </c>
    </row>
    <row r="7656" spans="1:5" ht="15" customHeight="1" x14ac:dyDescent="0.2">
      <c r="A7656" s="1" t="s">
        <v>15244</v>
      </c>
      <c r="B7656" s="1">
        <v>0</v>
      </c>
      <c r="C7656" s="3">
        <v>44538.776493055557</v>
      </c>
      <c r="D7656" s="1" t="s">
        <v>15245</v>
      </c>
      <c r="E7656" s="1" t="str">
        <f ca="1">IFERROR(__xludf.DUMMYFUNCTION("GOOGLETRANSLATE(A4455 , ""tr"" , ""en"")"),"Look @drfahrettinka look that person is to cor-what have it happened? https://t.co/oyxcywccrd")</f>
        <v>Look @drfahrettinka look that person is to cor-what have it happened? https://t.co/oyxcywccrd</v>
      </c>
    </row>
    <row r="7657" spans="1:5" ht="15" customHeight="1" x14ac:dyDescent="0.2">
      <c r="A7657" s="1" t="s">
        <v>15246</v>
      </c>
      <c r="B7657" s="1">
        <v>0</v>
      </c>
      <c r="C7657" s="3">
        <v>44538.776400462964</v>
      </c>
      <c r="D7657" s="1" t="s">
        <v>15247</v>
      </c>
      <c r="E7657" s="1" t="str">
        <f ca="1">IFERROR(__xludf.DUMMYFUNCTION("GOOGLETRANSLATE(A4456 , ""tr"" , ""en"")"),"@drfahrettinkoca guiluuuuzzz")</f>
        <v>@drfahrettinkoca guiluuuuzzz</v>
      </c>
    </row>
    <row r="7658" spans="1:5" ht="15" customHeight="1" x14ac:dyDescent="0.2">
      <c r="A7658" s="1" t="s">
        <v>15248</v>
      </c>
      <c r="B7658" s="1">
        <v>5</v>
      </c>
      <c r="C7658" s="3">
        <v>44538.776388888888</v>
      </c>
      <c r="D7658" s="1" t="s">
        <v>15249</v>
      </c>
      <c r="E7658" s="1" t="str">
        <f ca="1">IFERROR(__xludf.DUMMYFUNCTION("GOOGLETRANSLATE(A4457 , ""tr"" , ""en"")"),"@drfahrettinkoca schools everyday in schools, teachers are going on Corona, the families are infected by the viruses, Omicron us ... https://t.co/inrowvmeob")</f>
        <v>@drfahrettinkoca schools everyday in schools, teachers are going on Corona, the families are infected by the viruses, Omicron us ... https://t.co/inrowvmeob</v>
      </c>
    </row>
    <row r="7659" spans="1:5" ht="15" customHeight="1" x14ac:dyDescent="0.2">
      <c r="A7659" s="1" t="s">
        <v>15250</v>
      </c>
      <c r="B7659" s="1">
        <v>6</v>
      </c>
      <c r="C7659" s="3">
        <v>44538.776377314818</v>
      </c>
      <c r="D7659" s="1" t="s">
        <v>15251</v>
      </c>
      <c r="E7659" s="1" t="str">
        <f ca="1">IFERROR(__xludf.DUMMYFUNCTION("GOOGLETRANSLATE(A4458 , ""tr"" , ""en"")"),"@drfahrettinkoca no one has frightened us. We didn't frighten anyone either. Everyone has the mind, everyone is your own free will ... https://t.co/welqzyxirk")</f>
        <v>@drfahrettinkoca no one has frightened us. We didn't frighten anyone either. Everyone has the mind, everyone is your own free will ... https://t.co/welqzyxirk</v>
      </c>
    </row>
    <row r="7660" spans="1:5" ht="15" customHeight="1" x14ac:dyDescent="0.2">
      <c r="A7660" s="1" t="s">
        <v>15252</v>
      </c>
      <c r="B7660" s="1">
        <v>0</v>
      </c>
      <c r="C7660" s="3">
        <v>44538.775613425925</v>
      </c>
      <c r="D7660" s="1" t="s">
        <v>15253</v>
      </c>
      <c r="E7660" s="1" t="str">
        <f ca="1">IFERROR(__xludf.DUMMYFUNCTION("GOOGLETRANSLATE(A4459 , ""tr"" , ""en"")"),"@drfahrettinkoca has got an outbreak of fahrett in this country. Https://t.co/0wwc2senhg")</f>
        <v>@drfahrettinkoca has got an outbreak of fahrett in this country. Https://t.co/0wwc2senhg</v>
      </c>
    </row>
    <row r="7661" spans="1:5" ht="15" customHeight="1" x14ac:dyDescent="0.2">
      <c r="A7661" s="1" t="s">
        <v>15254</v>
      </c>
      <c r="B7661" s="1">
        <v>0</v>
      </c>
      <c r="C7661" s="3">
        <v>44538.775439814817</v>
      </c>
      <c r="D7661" s="1" t="s">
        <v>15255</v>
      </c>
      <c r="E7661" s="1" t="str">
        <f ca="1">IFERROR(__xludf.DUMMYFUNCTION("GOOGLETRANSLATE(A4460 , ""tr"" , ""en"")"),"@drfahrettinkoca @saglikbakanligi 1-Time Covid Passovers not to come to Covid Filiation team, not to be given, rap ... HTTPS://T.CO/SPKIYVowei")</f>
        <v>@drfahrettinkoca @saglikbakanligi 1-Time Covid Passovers not to come to Covid Filiation team, not to be given, rap ... HTTPS://T.CO/SPKIYVowei</v>
      </c>
    </row>
    <row r="7662" spans="1:5" ht="15" customHeight="1" x14ac:dyDescent="0.2">
      <c r="A7662" s="1" t="s">
        <v>15256</v>
      </c>
      <c r="B7662" s="1">
        <v>0</v>
      </c>
      <c r="C7662" s="3">
        <v>44538.77542824074</v>
      </c>
      <c r="D7662" s="1" t="s">
        <v>15257</v>
      </c>
      <c r="E7662" s="1" t="str">
        <f ca="1">IFERROR(__xludf.DUMMYFUNCTION("GOOGLETRANSLATE(A4461 , ""tr"" , ""en"")"),"@drfahrettinkoca 3. What do we expect for dose Mr. @drfahrettinkoca? Why are we looking forward to? Omicron truth in the middle, 3rd month ... https://t.co/kbzvsgvcox")</f>
        <v>@drfahrettinkoca 3. What do we expect for dose Mr. @drfahrettinkoca? Why are we looking forward to? Omicron truth in the middle, 3rd month ... https://t.co/kbzvsgvcox</v>
      </c>
    </row>
    <row r="7663" spans="1:5" ht="15" customHeight="1" x14ac:dyDescent="0.2">
      <c r="A7663" s="1" t="s">
        <v>15258</v>
      </c>
      <c r="B7663" s="1">
        <v>2</v>
      </c>
      <c r="C7663" s="3">
        <v>44538.774930555555</v>
      </c>
      <c r="D7663" s="1" t="s">
        <v>15259</v>
      </c>
      <c r="E7663" s="1" t="str">
        <f ca="1">IFERROR(__xludf.DUMMYFUNCTION("GOOGLETRANSLATE(A4462 , ""tr"" , ""en"")"),"@drfahrettinkoca at the end of the drug cartels to gain humanity")</f>
        <v>@drfahrettinkoca at the end of the drug cartels to gain humanity</v>
      </c>
    </row>
    <row r="7664" spans="1:5" ht="15" customHeight="1" x14ac:dyDescent="0.2">
      <c r="A7664" s="1" t="s">
        <v>15260</v>
      </c>
      <c r="B7664" s="1">
        <v>0</v>
      </c>
      <c r="C7664" s="3">
        <v>44538.774641203701</v>
      </c>
      <c r="D7664" s="1" t="s">
        <v>15261</v>
      </c>
      <c r="E7664" s="1" t="str">
        <f ca="1">IFERROR(__xludf.DUMMYFUNCTION("GOOGLETRANSLATE(A4463 , ""tr"" , ""en"")"),"@drfahrettinkoca ku We Bi Curdî Behsa in Bhsa Bikira, Wê Mirovan Fêm Bikira. Mirov Fêm Nakin û Bo Wê Jî Derziyê Li XWe Nadin.")</f>
        <v>@drfahrettinkoca ku We Bi Curdî Behsa in Bhsa Bikira, Wê Mirovan Fêm Bikira. Mirov Fêm Nakin û Bo Wê Jî Derziyê Li XWe Nadin.</v>
      </c>
    </row>
    <row r="7665" spans="1:5" ht="15" customHeight="1" x14ac:dyDescent="0.2">
      <c r="A7665" s="1" t="s">
        <v>15262</v>
      </c>
      <c r="B7665" s="1">
        <v>1</v>
      </c>
      <c r="C7665" s="3">
        <v>44538.774560185186</v>
      </c>
      <c r="D7665" s="1" t="s">
        <v>15263</v>
      </c>
      <c r="E7665" s="1" t="str">
        <f ca="1">IFERROR(__xludf.DUMMYFUNCTION("GOOGLETRANSLATE(A4464 , ""tr"" , ""en"")"),"@drfahrettinkoca Minister I'm not good at all Covid I've been to University")</f>
        <v>@drfahrettinkoca Minister I'm not good at all Covid I've been to University</v>
      </c>
    </row>
    <row r="7666" spans="1:5" ht="15" customHeight="1" x14ac:dyDescent="0.2">
      <c r="A7666" s="1" t="s">
        <v>15264</v>
      </c>
      <c r="B7666" s="1">
        <v>0</v>
      </c>
      <c r="C7666" s="3">
        <v>44538.774189814816</v>
      </c>
      <c r="D7666" s="1" t="s">
        <v>15265</v>
      </c>
      <c r="E7666" s="1" t="str">
        <f ca="1">IFERROR(__xludf.DUMMYFUNCTION("GOOGLETRANSLATE(A4465 , ""tr"" , ""en"")"),"@drfahrettinkoca What is the night of? The NATURAL DISTURED GUNT IMM HEALTHINESS GUYACK GUICK TO POHTICS IN THE GRAIN")</f>
        <v>@drfahrettinkoca What is the night of? The NATURAL DISTURED GUNT IMM HEALTHINESS GUYACK GUICK TO POHTICS IN THE GRAIN</v>
      </c>
    </row>
    <row r="7667" spans="1:5" ht="15" customHeight="1" x14ac:dyDescent="0.2">
      <c r="A7667" s="1" t="s">
        <v>15266</v>
      </c>
      <c r="B7667" s="1">
        <v>0</v>
      </c>
      <c r="C7667" s="3">
        <v>44538.77416666667</v>
      </c>
      <c r="D7667" s="1" t="s">
        <v>15267</v>
      </c>
      <c r="E7667" s="1" t="str">
        <f ca="1">IFERROR(__xludf.DUMMYFUNCTION("GOOGLETRANSLATE(A4466 , ""tr"" , ""en"")"),"@drfahrettinka school no electricity built heater panel damaged children are sick from cold Meanwhile there is no water ... https://t.co/s4oncırp6o")</f>
        <v>@drfahrettinka school no electricity built heater panel damaged children are sick from cold Meanwhile there is no water ... https://t.co/s4oncırp6o</v>
      </c>
    </row>
    <row r="7668" spans="1:5" ht="15" customHeight="1" x14ac:dyDescent="0.2">
      <c r="A7668" s="1" t="s">
        <v>15268</v>
      </c>
      <c r="B7668" s="1">
        <v>0</v>
      </c>
      <c r="C7668" s="3">
        <v>44538.774131944447</v>
      </c>
      <c r="D7668" s="1" t="s">
        <v>15269</v>
      </c>
      <c r="E7668" s="1" t="str">
        <f ca="1">IFERROR(__xludf.DUMMYFUNCTION("GOOGLETRANSLATE(A4467 , ""tr"" , ""en"")"),"@drfahrettinkoca I hope you will be judged.")</f>
        <v>@drfahrettinkoca I hope you will be judged.</v>
      </c>
    </row>
    <row r="7669" spans="1:5" ht="15" customHeight="1" x14ac:dyDescent="0.2">
      <c r="A7669" s="1" t="s">
        <v>15270</v>
      </c>
      <c r="B7669" s="1">
        <v>0</v>
      </c>
      <c r="C7669" s="3">
        <v>44538.774004629631</v>
      </c>
      <c r="D7669" s="1" t="s">
        <v>15271</v>
      </c>
      <c r="E7669" s="1" t="str">
        <f ca="1">IFERROR(__xludf.DUMMYFUNCTION("GOOGLETRANSLATE(A4468 , ""tr"" , ""en"")"),"@drfahrettinkoca overlooking Bey You fail enough no longer due to your country bankrupt .... drop death rates bi a ... https://t.co/5rcjljvcxb")</f>
        <v>@drfahrettinkoca overlooking Bey You fail enough no longer due to your country bankrupt .... drop death rates bi a ... https://t.co/5rcjljvcxb</v>
      </c>
    </row>
    <row r="7670" spans="1:5" ht="15" customHeight="1" x14ac:dyDescent="0.2">
      <c r="A7670" s="1" t="s">
        <v>15272</v>
      </c>
      <c r="B7670" s="1">
        <v>33</v>
      </c>
      <c r="C7670" s="3">
        <v>44538.77375</v>
      </c>
      <c r="D7670" s="1" t="s">
        <v>15273</v>
      </c>
      <c r="E7670" s="1" t="str">
        <f ca="1">IFERROR(__xludf.DUMMYFUNCTION("GOOGLETRANSLATE(A4469 , ""tr"" , ""en"")"),"@drfahrettinkoca is good with your German. Omicron about God's love now read the article. Omicron's Cid ... https://t.co/fuv1yy0tao")</f>
        <v>@drfahrettinkoca is good with your German. Omicron about God's love now read the article. Omicron's Cid ... https://t.co/fuv1yy0tao</v>
      </c>
    </row>
    <row r="7671" spans="1:5" ht="15" customHeight="1" x14ac:dyDescent="0.2">
      <c r="A7671" s="1" t="s">
        <v>15274</v>
      </c>
      <c r="B7671" s="1">
        <v>7</v>
      </c>
      <c r="C7671" s="3">
        <v>44538.773738425924</v>
      </c>
      <c r="D7671" s="1" t="s">
        <v>15275</v>
      </c>
      <c r="E7671" s="1" t="str">
        <f ca="1">IFERROR(__xludf.DUMMYFUNCTION("GOOGLETRANSLATE(A4470 , ""tr"" , ""en"")"),"@drfahrettinkoca double dose grafted bride is the flu hardly omitted, no traveler sister more easily skipped, wake up people ... https://t.co/d5b5bd93a4")</f>
        <v>@drfahrettinkoca double dose grafted bride is the flu hardly omitted, no traveler sister more easily skipped, wake up people ... https://t.co/d5b5bd93a4</v>
      </c>
    </row>
    <row r="7672" spans="1:5" ht="15" customHeight="1" x14ac:dyDescent="0.2">
      <c r="A7672" s="1" t="s">
        <v>15276</v>
      </c>
      <c r="B7672" s="1">
        <v>0</v>
      </c>
      <c r="C7672" s="3">
        <v>44538.773715277777</v>
      </c>
      <c r="D7672" s="1" t="s">
        <v>15277</v>
      </c>
      <c r="E7672" s="1" t="str">
        <f ca="1">IFERROR(__xludf.DUMMYFUNCTION("GOOGLETRANSLATE(A4471 , ""tr"" , ""en"")"),"@drfahrettinkoca pandemi has no plan. The vaccines do not work at all, the new variant new vaccine boyle continue a few years.")</f>
        <v>@drfahrettinkoca pandemi has no plan. The vaccines do not work at all, the new variant new vaccine boyle continue a few years.</v>
      </c>
    </row>
    <row r="7673" spans="1:5" ht="15" customHeight="1" x14ac:dyDescent="0.2">
      <c r="A7673" s="1" t="s">
        <v>15278</v>
      </c>
      <c r="B7673" s="1">
        <v>0</v>
      </c>
      <c r="C7673" s="3">
        <v>44538.773217592592</v>
      </c>
      <c r="D7673" s="1" t="s">
        <v>15279</v>
      </c>
      <c r="E7673" s="1" t="str">
        <f ca="1">IFERROR(__xludf.DUMMYFUNCTION("GOOGLETRANSLATE(A4472 , ""tr"" , ""en"")"),"@drfahrettinkoca Every twitini gordugumde is a song of a song, for every reason! Say it says ... https://t.co/0w4noaeywd")</f>
        <v>@drfahrettinkoca Every twitini gordugumde is a song of a song, for every reason! Say it says ... https://t.co/0w4noaeywd</v>
      </c>
    </row>
    <row r="7674" spans="1:5" ht="15" customHeight="1" x14ac:dyDescent="0.2">
      <c r="A7674" s="1" t="s">
        <v>15280</v>
      </c>
      <c r="B7674" s="1">
        <v>1</v>
      </c>
      <c r="C7674" s="3">
        <v>44538.772418981483</v>
      </c>
      <c r="D7674" s="1" t="s">
        <v>15281</v>
      </c>
      <c r="E7674" s="1" t="str">
        <f ca="1">IFERROR(__xludf.DUMMYFUNCTION("GOOGLETRANSLATE(A4473 , ""tr"" , ""en"")"),"@drfahrettinkoca drugs and called Covid, they spread the virus with vaccines. https://t.co/t6fobpvkhr")</f>
        <v>@drfahrettinkoca drugs and called Covid, they spread the virus with vaccines. https://t.co/t6fobpvkhr</v>
      </c>
    </row>
    <row r="7675" spans="1:5" ht="15" customHeight="1" x14ac:dyDescent="0.2">
      <c r="A7675" s="1" t="s">
        <v>15282</v>
      </c>
      <c r="B7675" s="1">
        <v>1</v>
      </c>
      <c r="C7675" s="3">
        <v>44538.771956018521</v>
      </c>
      <c r="D7675" s="1" t="s">
        <v>15283</v>
      </c>
      <c r="E7675" s="1" t="str">
        <f ca="1">IFERROR(__xludf.DUMMYFUNCTION("GOOGLETRANSLATE(A4474 , ""tr"" , ""en"")"),"@drfahrettinka you will regret the restrictions you can't do right now don't excuse the vaccine # We are dying ... https://t.co/w1kx7kjl6k")</f>
        <v>@drfahrettinka you will regret the restrictions you can't do right now don't excuse the vaccine # We are dying ... https://t.co/w1kx7kjl6k</v>
      </c>
    </row>
    <row r="7676" spans="1:5" ht="15" customHeight="1" x14ac:dyDescent="0.2">
      <c r="A7676" s="1" t="s">
        <v>15284</v>
      </c>
      <c r="B7676" s="1">
        <v>1</v>
      </c>
      <c r="C7676" s="3">
        <v>44538.770925925928</v>
      </c>
      <c r="D7676" s="1" t="s">
        <v>15285</v>
      </c>
      <c r="E7676" s="1" t="str">
        <f ca="1">IFERROR(__xludf.DUMMYFUNCTION("GOOGLETRANSLATE(A4475 , ""tr"" , ""en"")"),"@drfahrettinkoca Minici PIHTI What is the underside Bottom side of the lower side paralysis Geciriciez nobst beeps.")</f>
        <v>@drfahrettinkoca Minici PIHTI What is the underside Bottom side of the lower side paralysis Geciriciez nobst beeps.</v>
      </c>
    </row>
    <row r="7677" spans="1:5" ht="15" customHeight="1" x14ac:dyDescent="0.2">
      <c r="A7677" s="1" t="s">
        <v>15286</v>
      </c>
      <c r="B7677" s="1">
        <v>0</v>
      </c>
      <c r="C7677" s="3">
        <v>44538.770925925928</v>
      </c>
      <c r="D7677" s="1" t="s">
        <v>15287</v>
      </c>
      <c r="E7677" s="1" t="str">
        <f ca="1">IFERROR(__xludf.DUMMYFUNCTION("GOOGLETRANSLATE(A4476 , ""tr"" , ""en"")"),"@drfahrettinkoca onam Form for dummys that are not recommended for the fact that you are on the basis of the scientific data, on the basis of the scientific data ... https://t.co/sfpano0xtb")</f>
        <v>@drfahrettinkoca onam Form for dummys that are not recommended for the fact that you are on the basis of the scientific data, on the basis of the scientific data ... https://t.co/sfpano0xtb</v>
      </c>
    </row>
    <row r="7678" spans="1:5" ht="15" customHeight="1" x14ac:dyDescent="0.2">
      <c r="A7678" s="1" t="s">
        <v>15288</v>
      </c>
      <c r="B7678" s="1">
        <v>0</v>
      </c>
      <c r="C7678" s="3">
        <v>44538.770497685182</v>
      </c>
      <c r="D7678" s="1" t="s">
        <v>15289</v>
      </c>
      <c r="E7678" s="1" t="str">
        <f ca="1">IFERROR(__xludf.DUMMYFUNCTION("GOOGLETRANSLATE(A4477 , ""tr"" , ""en"")"),"@drfahrettinkoca I clapping you with the reasons you constantly find in failures 👏 M U H T e ... https://t.co/GIMQWXGVKS")</f>
        <v>@drfahrettinkoca I clapping you with the reasons you constantly find in failures 👏 M U H T e ... https://t.co/GIMQWXGVKS</v>
      </c>
    </row>
    <row r="7679" spans="1:5" ht="15" customHeight="1" x14ac:dyDescent="0.2">
      <c r="A7679" s="1" t="s">
        <v>15290</v>
      </c>
      <c r="B7679" s="1">
        <v>0</v>
      </c>
      <c r="C7679" s="3">
        <v>44538.770208333335</v>
      </c>
      <c r="D7679" s="1" t="s">
        <v>15291</v>
      </c>
      <c r="E7679" s="1" t="str">
        <f ca="1">IFERROR(__xludf.DUMMYFUNCTION("GOOGLETRANSLATE(A4478 , ""tr"" , ""en"")"),"@drfahrettinka vaccine effectiveness Pfizer even gushes your science Board started to curl one by one of the percent ... https://t.co/ewxfffjvawg")</f>
        <v>@drfahrettinka vaccine effectiveness Pfizer even gushes your science Board started to curl one by one of the percent ... https://t.co/ewxfffjvawg</v>
      </c>
    </row>
    <row r="7680" spans="1:5" ht="15" customHeight="1" x14ac:dyDescent="0.2">
      <c r="A7680" s="1" t="s">
        <v>15292</v>
      </c>
      <c r="B7680" s="1">
        <v>1</v>
      </c>
      <c r="C7680" s="3">
        <v>44538.77003472222</v>
      </c>
      <c r="D7680" s="1" t="s">
        <v>15293</v>
      </c>
      <c r="E7680" s="1" t="str">
        <f ca="1">IFERROR(__xludf.DUMMYFUNCTION("GOOGLETRANSLATE(A4479 , ""tr"" , ""en"")"),"@drfahrettinkoca my child I'm not born in four eyes I'm carrying out the gene of the assignment and I cannot change his gene ... https://t.co/obmxhxnyvo")</f>
        <v>@drfahrettinkoca my child I'm not born in four eyes I'm carrying out the gene of the assignment and I cannot change his gene ... https://t.co/obmxhxnyvo</v>
      </c>
    </row>
    <row r="7681" spans="1:5" ht="15" customHeight="1" x14ac:dyDescent="0.2">
      <c r="A7681" s="1" t="s">
        <v>15294</v>
      </c>
      <c r="B7681" s="1">
        <v>0</v>
      </c>
      <c r="C7681" s="3">
        <v>44538.769976851851</v>
      </c>
      <c r="D7681" s="1" t="s">
        <v>15295</v>
      </c>
      <c r="E7681" s="1" t="str">
        <f ca="1">IFERROR(__xludf.DUMMYFUNCTION("GOOGLETRANSLATE(A4480 , ""tr"" , ""en"")"),"@drfahrettinkoca Mahvettin Hoca 3 Dose vaccines Why are you caught in indigo 19 and die")</f>
        <v>@drfahrettinkoca Mahvettin Hoca 3 Dose vaccines Why are you caught in indigo 19 and die</v>
      </c>
    </row>
    <row r="7682" spans="1:5" ht="15" customHeight="1" x14ac:dyDescent="0.2">
      <c r="A7682" s="1" t="s">
        <v>15296</v>
      </c>
      <c r="B7682" s="1">
        <v>0</v>
      </c>
      <c r="C7682" s="3">
        <v>44538.769687499997</v>
      </c>
      <c r="D7682" s="1" t="s">
        <v>15297</v>
      </c>
      <c r="E7682" s="1" t="str">
        <f ca="1">IFERROR(__xludf.DUMMYFUNCTION("GOOGLETRANSLATE(A4481 , ""tr"" , ""en"")"),"@drfahrettinkoca I think you can no longer believe that you are serious. I've seen you on the screen that you are a command of order. And I said ... https://t.co/bpdt7dk6to")</f>
        <v>@drfahrettinkoca I think you can no longer believe that you are serious. I've seen you on the screen that you are a command of order. And I said ... https://t.co/bpdt7dk6to</v>
      </c>
    </row>
    <row r="7683" spans="1:5" ht="15" customHeight="1" x14ac:dyDescent="0.2">
      <c r="A7683" s="1" t="s">
        <v>15298</v>
      </c>
      <c r="B7683" s="1">
        <v>0</v>
      </c>
      <c r="C7683" s="3">
        <v>44538.769629629627</v>
      </c>
      <c r="D7683" s="1" t="s">
        <v>15299</v>
      </c>
      <c r="E7683" s="1" t="str">
        <f ca="1">IFERROR(__xludf.DUMMYFUNCTION("GOOGLETRANSLATE(A4482 , ""tr"" , ""en"")"),"@drfahrettinkoca goes on 70% OK if you said it's okay or Mr. Farrettin Minister ... What happened ...")</f>
        <v>@drfahrettinkoca goes on 70% OK if you said it's okay or Mr. Farrettin Minister ... What happened ...</v>
      </c>
    </row>
    <row r="7684" spans="1:5" ht="15" customHeight="1" x14ac:dyDescent="0.2">
      <c r="A7684" s="1" t="s">
        <v>15300</v>
      </c>
      <c r="B7684" s="1">
        <v>0</v>
      </c>
      <c r="C7684" s="3">
        <v>44538.769548611112</v>
      </c>
      <c r="D7684" s="1" t="s">
        <v>15301</v>
      </c>
      <c r="E7684" s="1" t="str">
        <f ca="1">IFERROR(__xludf.DUMMYFUNCTION("GOOGLETRANSLATE(A4483 , ""tr"" , ""en"")"),"@drfahrettinkoca doesn't get to them that we don't rely on you allah is fooling in the passing of the housing ... https://t.co/8ubvhsy2g8")</f>
        <v>@drfahrettinkoca doesn't get to them that we don't rely on you allah is fooling in the passing of the housing ... https://t.co/8ubvhsy2g8</v>
      </c>
    </row>
    <row r="7685" spans="1:5" ht="15" customHeight="1" x14ac:dyDescent="0.2">
      <c r="A7685" s="1" t="s">
        <v>15302</v>
      </c>
      <c r="B7685" s="1">
        <v>1</v>
      </c>
      <c r="C7685" s="3">
        <v>44538.76935185185</v>
      </c>
      <c r="D7685" s="1" t="s">
        <v>15303</v>
      </c>
      <c r="E7685" s="1" t="str">
        <f ca="1">IFERROR(__xludf.DUMMYFUNCTION("GOOGLETRANSLATE(A4484 , ""tr"" , ""en"")"),"@drfahrettinkoca Minnak Poncik Cylin 'You won't be asked the account you think are you honored?")</f>
        <v>@drfahrettinkoca Minnak Poncik Cylin 'You won't be asked the account you think are you honored?</v>
      </c>
    </row>
    <row r="7686" spans="1:5" ht="15" customHeight="1" x14ac:dyDescent="0.2">
      <c r="A7686" s="1" t="s">
        <v>15304</v>
      </c>
      <c r="B7686" s="1">
        <v>1</v>
      </c>
      <c r="C7686" s="3">
        <v>44538.76934027778</v>
      </c>
      <c r="D7686" s="1" t="s">
        <v>15305</v>
      </c>
      <c r="E7686" s="1" t="str">
        <f ca="1">IFERROR(__xludf.DUMMYFUNCTION("GOOGLETRANSLATE(A4485 , ""tr"" , ""en"")"),"@drfahrettinkoca Valla Minister You are writing these articles but as of the moment Fatih Erbakan news Turkette ALI contrast ... https://t.co/s0mntfjfq4")</f>
        <v>@drfahrettinkoca Valla Minister You are writing these articles but as of the moment Fatih Erbakan news Turkette ALI contrast ... https://t.co/s0mntfjfq4</v>
      </c>
    </row>
    <row r="7687" spans="1:5" ht="15" customHeight="1" x14ac:dyDescent="0.2">
      <c r="A7687" s="1" t="s">
        <v>15306</v>
      </c>
      <c r="B7687" s="1">
        <v>1</v>
      </c>
      <c r="C7687" s="3">
        <v>44538.769120370373</v>
      </c>
      <c r="D7687" s="1" t="s">
        <v>15307</v>
      </c>
      <c r="E7687" s="1" t="str">
        <f ca="1">IFERROR(__xludf.DUMMYFUNCTION("GOOGLETRANSLATE(A4486 , ""tr"" , ""en"")"),"@drfahrettinka sometimes regret is the good dirs minister")</f>
        <v>@drfahrettinka sometimes regret is the good dirs minister</v>
      </c>
    </row>
    <row r="7688" spans="1:5" ht="15" customHeight="1" x14ac:dyDescent="0.2">
      <c r="A7688" s="1" t="s">
        <v>15308</v>
      </c>
      <c r="B7688" s="1">
        <v>2</v>
      </c>
      <c r="C7688" s="3">
        <v>44538.768530092595</v>
      </c>
      <c r="D7688" s="1" t="s">
        <v>15309</v>
      </c>
      <c r="E7688" s="1" t="str">
        <f ca="1">IFERROR(__xludf.DUMMYFUNCTION("GOOGLETRANSLATE(A4487 , ""tr"" , ""en"")"),"@drfahrettinka vaccine exactly what exactly does it say 2 mi 3 or 4 ???")</f>
        <v>@drfahrettinka vaccine exactly what exactly does it say 2 mi 3 or 4 ???</v>
      </c>
    </row>
    <row r="7689" spans="1:5" ht="15" customHeight="1" x14ac:dyDescent="0.2">
      <c r="A7689" s="1" t="s">
        <v>15310</v>
      </c>
      <c r="B7689" s="1">
        <v>0</v>
      </c>
      <c r="C7689" s="3">
        <v>44538.768321759257</v>
      </c>
      <c r="D7689" s="1" t="s">
        <v>15311</v>
      </c>
      <c r="E7689" s="1" t="str">
        <f ca="1">IFERROR(__xludf.DUMMYFUNCTION("GOOGLETRANSLATE(A4488 , ""tr"" , ""en"")"),"@drfahrettinkoca Enough Walla Hear Our Voice Or Don't Online Online But We Bed OI For Loving Dormitory Everyone Patient")</f>
        <v>@drfahrettinkoca Enough Walla Hear Our Voice Or Don't Online Online But We Bed OI For Loving Dormitory Everyone Patient</v>
      </c>
    </row>
    <row r="7690" spans="1:5" ht="15" customHeight="1" x14ac:dyDescent="0.2">
      <c r="A7690" s="1" t="s">
        <v>15312</v>
      </c>
      <c r="B7690" s="1">
        <v>0</v>
      </c>
      <c r="C7690" s="3">
        <v>44538.76766203704</v>
      </c>
      <c r="D7690" s="1" t="s">
        <v>15313</v>
      </c>
      <c r="E7690" s="1" t="str">
        <f ca="1">IFERROR(__xludf.DUMMYFUNCTION("GOOGLETRANSLATE(A4489 , ""tr"" , ""en"")"),"@drfahrettinkoca When to Get Completed Well Vaccination Process")</f>
        <v>@drfahrettinkoca When to Get Completed Well Vaccination Process</v>
      </c>
    </row>
    <row r="7691" spans="1:5" ht="15" customHeight="1" x14ac:dyDescent="0.2">
      <c r="A7691" s="1" t="s">
        <v>15314</v>
      </c>
      <c r="B7691" s="1">
        <v>0</v>
      </c>
      <c r="C7691" s="3">
        <v>44538.767638888887</v>
      </c>
      <c r="D7691" s="1" t="s">
        <v>15315</v>
      </c>
      <c r="E7691" s="1" t="str">
        <f ca="1">IFERROR(__xludf.DUMMYFUNCTION("GOOGLETRANSLATE(A4490 , ""tr"" , ""en"")"),"@drfahrettinka Mr. Minister Minister should take state deterrent measures against those who do not want to make")</f>
        <v>@drfahrettinka Mr. Minister Minister should take state deterrent measures against those who do not want to make</v>
      </c>
    </row>
    <row r="7692" spans="1:5" ht="15" customHeight="1" x14ac:dyDescent="0.2">
      <c r="A7692" s="1" t="s">
        <v>15316</v>
      </c>
      <c r="B7692" s="1">
        <v>11</v>
      </c>
      <c r="C7692" s="3">
        <v>44538.76703703704</v>
      </c>
      <c r="D7692" s="1" t="s">
        <v>15317</v>
      </c>
      <c r="E7692" s="1" t="str">
        <f ca="1">IFERROR(__xludf.DUMMYFUNCTION("GOOGLETRANSLATE(A4491 , ""tr"" , ""en"")"),"@drfahrettinkoca you are also a part of those who frighten from the vaccine. But your hand is connected to your arm ...")</f>
        <v>@drfahrettinkoca you are also a part of those who frighten from the vaccine. But your hand is connected to your arm ...</v>
      </c>
    </row>
    <row r="7693" spans="1:5" ht="15" customHeight="1" x14ac:dyDescent="0.2">
      <c r="A7693" s="1" t="s">
        <v>15318</v>
      </c>
      <c r="B7693" s="1">
        <v>0</v>
      </c>
      <c r="C7693" s="3">
        <v>44538.766400462962</v>
      </c>
      <c r="D7693" s="1" t="s">
        <v>15319</v>
      </c>
      <c r="E7693" s="1" t="str">
        <f ca="1">IFERROR(__xludf.DUMMYFUNCTION("GOOGLETRANSLATE(A4492 , ""tr"" , ""en"")"),"@drfahrettinka ended thanks https://t.co/9re1eive30")</f>
        <v>@drfahrettinka ended thanks https://t.co/9re1eive30</v>
      </c>
    </row>
    <row r="7694" spans="1:5" ht="15" customHeight="1" x14ac:dyDescent="0.2">
      <c r="A7694" s="1" t="s">
        <v>15320</v>
      </c>
      <c r="B7694" s="1">
        <v>0</v>
      </c>
      <c r="C7694" s="3">
        <v>44538.766168981485</v>
      </c>
      <c r="D7694" s="1" t="s">
        <v>15321</v>
      </c>
      <c r="E7694" s="1" t="str">
        <f ca="1">IFERROR(__xludf.DUMMYFUNCTION("GOOGLETRANSLATE(A4493 , ""tr"" , ""en"")"),"@drfahrettinkoca get the assignment no longer")</f>
        <v>@drfahrettinkoca get the assignment no longer</v>
      </c>
    </row>
    <row r="7695" spans="1:5" ht="15" customHeight="1" x14ac:dyDescent="0.2">
      <c r="A7695" s="1" t="s">
        <v>15322</v>
      </c>
      <c r="B7695" s="1">
        <v>0</v>
      </c>
      <c r="C7695" s="3">
        <v>44538.765520833331</v>
      </c>
      <c r="D7695" s="1" t="s">
        <v>15323</v>
      </c>
      <c r="E7695" s="1" t="str">
        <f ca="1">IFERROR(__xludf.DUMMYFUNCTION("GOOGLETRANSLATE(A4494 , ""tr"" , ""en"")"),"@drfahrettinkoca Covid Vaccine Anti Son of our HISM, has not been vaccinated in his mother's sugar high in her mother's vaccine ... HTTPS://T.CO/GNMOIZQ2NM")</f>
        <v>@drfahrettinkoca Covid Vaccine Anti Son of our HISM, has not been vaccinated in his mother's sugar high in her mother's vaccine ... HTTPS://T.CO/GNMOIZQ2NM</v>
      </c>
    </row>
    <row r="7696" spans="1:5" ht="15" customHeight="1" x14ac:dyDescent="0.2">
      <c r="A7696" s="1" t="s">
        <v>15324</v>
      </c>
      <c r="B7696" s="1">
        <v>0</v>
      </c>
      <c r="C7696" s="3">
        <v>44538.765231481484</v>
      </c>
      <c r="D7696" s="1" t="s">
        <v>15325</v>
      </c>
      <c r="E7696" s="1" t="str">
        <f ca="1">IFERROR(__xludf.DUMMYFUNCTION("GOOGLETRANSLATE(A4495 , ""tr"" , ""en"")"),"It says that the first caramar interpretation of @drfahrettinkoca 🤣🤣biontech is the minister who gave the right to the actions of the vaccine to the opposite opposites")</f>
        <v>It says that the first caramar interpretation of @drfahrettinkoca 🤣🤣biontech is the minister who gave the right to the actions of the vaccine to the opposite opposites</v>
      </c>
    </row>
    <row r="7697" spans="1:5" ht="15" customHeight="1" x14ac:dyDescent="0.2">
      <c r="A7697" s="1" t="s">
        <v>15326</v>
      </c>
      <c r="B7697" s="1">
        <v>0</v>
      </c>
      <c r="C7697" s="3">
        <v>44538.765196759261</v>
      </c>
      <c r="D7697" s="1" t="s">
        <v>15327</v>
      </c>
      <c r="E7697" s="1" t="str">
        <f ca="1">IFERROR(__xludf.DUMMYFUNCTION("GOOGLETRANSLATE(A4496 , ""tr"" , ""en"")"),"@drfahrettinkoca night is the difference between the number of cases and the difference between the number of cases is the work of the sacred fluid ...")</f>
        <v>@drfahrettinkoca night is the difference between the number of cases and the difference between the number of cases is the work of the sacred fluid ...</v>
      </c>
    </row>
    <row r="7698" spans="1:5" ht="15" customHeight="1" x14ac:dyDescent="0.2">
      <c r="A7698" s="1" t="s">
        <v>15328</v>
      </c>
      <c r="B7698" s="1">
        <v>1</v>
      </c>
      <c r="C7698" s="3">
        <v>44538.763969907406</v>
      </c>
      <c r="D7698" s="1" t="s">
        <v>15329</v>
      </c>
      <c r="E7698" s="1" t="str">
        <f ca="1">IFERROR(__xludf.DUMMYFUNCTION("GOOGLETRANSLATE(A4497 , ""tr"" , ""en"")"),"@drfahrettinkoca hocam is the months of massed to 20 thousand in our cases. So we were successful in the world so ??")</f>
        <v>@drfahrettinkoca hocam is the months of massed to 20 thousand in our cases. So we were successful in the world so ??</v>
      </c>
    </row>
    <row r="7699" spans="1:5" ht="15" customHeight="1" x14ac:dyDescent="0.2">
      <c r="A7699" s="1" t="s">
        <v>15330</v>
      </c>
      <c r="B7699" s="1">
        <v>0</v>
      </c>
      <c r="C7699" s="3">
        <v>44538.76363425926</v>
      </c>
      <c r="D7699" s="1" t="s">
        <v>15331</v>
      </c>
      <c r="E7699" s="1" t="str">
        <f ca="1">IFERROR(__xludf.DUMMYFUNCTION("GOOGLETRANSLATE(A4498 , ""tr"" , ""en"")"),"@drfahrettinkoca very thankful, the vaccine ones began to regret.")</f>
        <v>@drfahrettinkoca very thankful, the vaccine ones began to regret.</v>
      </c>
    </row>
    <row r="7700" spans="1:5" ht="15" customHeight="1" x14ac:dyDescent="0.2">
      <c r="A7700" s="1" t="s">
        <v>15332</v>
      </c>
      <c r="B7700" s="1">
        <v>2</v>
      </c>
      <c r="C7700" s="3">
        <v>44538.763368055559</v>
      </c>
      <c r="D7700" s="1" t="s">
        <v>15333</v>
      </c>
      <c r="E7700" s="1" t="str">
        <f ca="1">IFERROR(__xludf.DUMMYFUNCTION("GOOGLETRANSLATE(A4499 , ""tr"" , ""en"")"),"@drfahrettinkoca Ekomoni Bottom vapaMus We get the head from the paracacet Maasla Eve Suan I'm not enough you ... https://t.co/fm1zwocsrt")</f>
        <v>@drfahrettinkoca Ekomoni Bottom vapaMus We get the head from the paracacet Maasla Eve Suan I'm not enough you ... https://t.co/fm1zwocsrt</v>
      </c>
    </row>
    <row r="7701" spans="1:5" ht="15" customHeight="1" x14ac:dyDescent="0.2">
      <c r="A7701" s="1" t="s">
        <v>15334</v>
      </c>
      <c r="B7701" s="1">
        <v>0</v>
      </c>
      <c r="C7701" s="3">
        <v>44538.763344907406</v>
      </c>
      <c r="D7701" s="1" t="s">
        <v>15335</v>
      </c>
      <c r="E7701" s="1" t="str">
        <f ca="1">IFERROR(__xludf.DUMMYFUNCTION("GOOGLETRANSLATE(A4500 , ""tr"" , ""en"")"),"@drfahrettinkoca yalaaaaaannn")</f>
        <v>@drfahrettinkoca yalaaaaaannn</v>
      </c>
    </row>
    <row r="7702" spans="1:5" ht="15" customHeight="1" x14ac:dyDescent="0.2">
      <c r="A7702" s="1" t="s">
        <v>15336</v>
      </c>
      <c r="B7702" s="1">
        <v>0</v>
      </c>
      <c r="C7702" s="3">
        <v>44538.763148148151</v>
      </c>
      <c r="D7702" s="1" t="s">
        <v>15337</v>
      </c>
      <c r="E7702" s="1" t="str">
        <f ca="1">IFERROR(__xludf.DUMMYFUNCTION("GOOGLETRANSLATE(A4501 , ""tr"" , ""en"")"),"@drfahrettinkoca A little too you take the decisions to be taken? Like the guide?")</f>
        <v>@drfahrettinkoca A little too you take the decisions to be taken? Like the guide?</v>
      </c>
    </row>
    <row r="7703" spans="1:5" ht="15" customHeight="1" x14ac:dyDescent="0.2">
      <c r="A7703" s="1" t="s">
        <v>15338</v>
      </c>
      <c r="B7703" s="1">
        <v>0</v>
      </c>
      <c r="C7703" s="3">
        <v>44538.763067129628</v>
      </c>
      <c r="D7703" s="1" t="s">
        <v>15339</v>
      </c>
      <c r="E7703" s="1" t="str">
        <f ca="1">IFERROR(__xludf.DUMMYFUNCTION("GOOGLETRANSLATE(A4502 , ""tr"" , ""en"")"),"@drfahrettinka has no relevance to them that the media against doctors are already blind. People see around by living ... https://t.co/qxubzj9fhn")</f>
        <v>@drfahrettinka has no relevance to them that the media against doctors are already blind. People see around by living ... https://t.co/qxubzj9fhn</v>
      </c>
    </row>
    <row r="7704" spans="1:5" ht="15" customHeight="1" x14ac:dyDescent="0.2">
      <c r="A7704" s="1" t="s">
        <v>15340</v>
      </c>
      <c r="B7704" s="1">
        <v>1</v>
      </c>
      <c r="C7704" s="3">
        <v>44538.763043981482</v>
      </c>
      <c r="D7704" s="1" t="s">
        <v>15341</v>
      </c>
      <c r="E7704" s="1" t="str">
        <f ca="1">IFERROR(__xludf.DUMMYFUNCTION("GOOGLETRANSLATE(A4503 , ""tr"" , ""en"")"),"Why @drfahrettinkoca asm is also measured vitamin D measure? No need to answer!")</f>
        <v>Why @drfahrettinkoca asm is also measured vitamin D measure? No need to answer!</v>
      </c>
    </row>
    <row r="7705" spans="1:5" ht="15" customHeight="1" x14ac:dyDescent="0.2">
      <c r="A7705" s="1" t="s">
        <v>15342</v>
      </c>
      <c r="B7705" s="1">
        <v>0</v>
      </c>
      <c r="C7705" s="3">
        <v>44538.762870370374</v>
      </c>
      <c r="D7705" s="1" t="s">
        <v>15343</v>
      </c>
      <c r="E7705" s="1" t="str">
        <f ca="1">IFERROR(__xludf.DUMMYFUNCTION("GOOGLETRANSLATE(A4504 , ""tr"" , ""en"")"),"@drfahrettinkoca very thankful, have gained a lot of not being vaccinated. Go to other place to go ...")</f>
        <v>@drfahrettinkoca very thankful, have gained a lot of not being vaccinated. Go to other place to go ...</v>
      </c>
    </row>
    <row r="7706" spans="1:5" ht="15" customHeight="1" x14ac:dyDescent="0.2">
      <c r="A7706" s="1" t="s">
        <v>15344</v>
      </c>
      <c r="B7706" s="1">
        <v>0</v>
      </c>
      <c r="C7706" s="3">
        <v>44538.762592592589</v>
      </c>
      <c r="D7706" s="1" t="s">
        <v>15345</v>
      </c>
      <c r="E7706" s="1" t="str">
        <f ca="1">IFERROR(__xludf.DUMMYFUNCTION("GOOGLETRANSLATE(A4505 , ""tr"" , ""en"")"),"@drfahrettinkoca yaa leave the story of the story !!!")</f>
        <v>@drfahrettinkoca yaa leave the story of the story !!!</v>
      </c>
    </row>
    <row r="7707" spans="1:5" ht="15" customHeight="1" x14ac:dyDescent="0.2">
      <c r="A7707" s="1" t="s">
        <v>15346</v>
      </c>
      <c r="B7707" s="1">
        <v>9</v>
      </c>
      <c r="C7707" s="3">
        <v>44538.762280092589</v>
      </c>
      <c r="D7707" s="1" t="s">
        <v>15347</v>
      </c>
      <c r="E7707" s="1" t="str">
        <f ca="1">IFERROR(__xludf.DUMMYFUNCTION("GOOGLETRANSLATE(A4506 , ""tr"" , ""en"")"),"@drfahrettinkoca We have sold out anymore # CabineUZAKTANDITIZSART")</f>
        <v>@drfahrettinkoca We have sold out anymore # CabineUZAKTANDITIZSART</v>
      </c>
    </row>
    <row r="7708" spans="1:5" ht="15" customHeight="1" x14ac:dyDescent="0.2">
      <c r="A7708" s="1" t="s">
        <v>15348</v>
      </c>
      <c r="B7708" s="1">
        <v>0</v>
      </c>
      <c r="C7708" s="3">
        <v>44538.761921296296</v>
      </c>
      <c r="D7708" s="1" t="s">
        <v>15349</v>
      </c>
      <c r="E7708" s="1" t="str">
        <f ca="1">IFERROR(__xludf.DUMMYFUNCTION("GOOGLETRANSLATE(A4507 , ""tr"" , ""en"")"),"@drfahrettinkoca Covid is not an unknown wait If you are not known to die from stress annoyance anymore. Please guide u broadcast ... https://t.co/j8nlıb8cmx")</f>
        <v>@drfahrettinkoca Covid is not an unknown wait If you are not known to die from stress annoyance anymore. Please guide u broadcast ... https://t.co/j8nlıb8cmx</v>
      </c>
    </row>
    <row r="7709" spans="1:5" ht="15" customHeight="1" x14ac:dyDescent="0.2">
      <c r="A7709" s="1" t="s">
        <v>15350</v>
      </c>
      <c r="B7709" s="1">
        <v>0</v>
      </c>
      <c r="C7709" s="3">
        <v>44538.761157407411</v>
      </c>
      <c r="D7709" s="1" t="s">
        <v>15351</v>
      </c>
      <c r="E7709" s="1" t="str">
        <f ca="1">IFERROR(__xludf.DUMMYFUNCTION("GOOGLETRANSLATE(A4508 , ""tr"" , ""en"")"),"@drfahrettinkoca Death Right ... Lochable to kill neigh!")</f>
        <v>@drfahrettinkoca Death Right ... Lochable to kill neigh!</v>
      </c>
    </row>
    <row r="7710" spans="1:5" ht="15" customHeight="1" x14ac:dyDescent="0.2">
      <c r="A7710" s="1" t="s">
        <v>15352</v>
      </c>
      <c r="B7710" s="1">
        <v>0</v>
      </c>
      <c r="C7710" s="3">
        <v>44538.760300925926</v>
      </c>
      <c r="D7710" s="1" t="s">
        <v>15353</v>
      </c>
      <c r="E7710" s="1" t="str">
        <f ca="1">IFERROR(__xludf.DUMMYFUNCTION("GOOGLETRANSLATE(A4509 , ""tr"" , ""en"")"),"@drfahrettinkoca prejudice to bring the data that is not shared with what you say? Needed, vaccine ... https://t.co/9vpaidscz5")</f>
        <v>@drfahrettinkoca prejudice to bring the data that is not shared with what you say? Needed, vaccine ... https://t.co/9vpaidscz5</v>
      </c>
    </row>
    <row r="7711" spans="1:5" ht="15" customHeight="1" x14ac:dyDescent="0.2">
      <c r="A7711" s="1" t="s">
        <v>15354</v>
      </c>
      <c r="B7711" s="1">
        <v>0</v>
      </c>
      <c r="C7711" s="3">
        <v>44538.760104166664</v>
      </c>
      <c r="D7711" s="1" t="s">
        <v>15355</v>
      </c>
      <c r="E7711" s="1" t="str">
        <f ca="1">IFERROR(__xludf.DUMMYFUNCTION("GOOGLETRANSLATE(A4510 , ""tr"" , ""en"")"),"@drfahrettinkoca sec. Minister, you! Non-vaccinated people do not fall in my hand !! Doctor's apron dressed in Cani Spirits ... https://t.co/xm0gqevoiv")</f>
        <v>@drfahrettinkoca sec. Minister, you! Non-vaccinated people do not fall in my hand !! Doctor's apron dressed in Cani Spirits ... https://t.co/xm0gqevoiv</v>
      </c>
    </row>
    <row r="7712" spans="1:5" ht="15" customHeight="1" x14ac:dyDescent="0.2">
      <c r="A7712" s="1" t="s">
        <v>15356</v>
      </c>
      <c r="B7712" s="1">
        <v>0</v>
      </c>
      <c r="C7712" s="3">
        <v>44538.759965277779</v>
      </c>
      <c r="D7712" s="1" t="s">
        <v>15357</v>
      </c>
      <c r="E7712" s="1" t="str">
        <f ca="1">IFERROR(__xludf.DUMMYFUNCTION("GOOGLETRANSLATE(A4511 , ""tr"" , ""en"")"),"@drfahrettinkoca lying on the table lying")</f>
        <v>@drfahrettinkoca lying on the table lying</v>
      </c>
    </row>
    <row r="7713" spans="1:5" ht="15" customHeight="1" x14ac:dyDescent="0.2">
      <c r="A7713" s="1" t="s">
        <v>15358</v>
      </c>
      <c r="B7713" s="1">
        <v>4</v>
      </c>
      <c r="C7713" s="3">
        <v>44538.759953703702</v>
      </c>
      <c r="D7713" s="1" t="s">
        <v>15359</v>
      </c>
      <c r="E7713" s="1" t="str">
        <f ca="1">IFERROR(__xludf.DUMMYFUNCTION("GOOGLETRANSLATE(A4512 , ""tr"" , ""en"")"),"@drfahrettinkoca These Gencler Married of this Ulkeni Marradi Minister ... Attracting .... Universite Finished Service ... Https://t.co/w6no6kcpwq")</f>
        <v>@drfahrettinkoca These Gencler Married of this Ulkeni Marradi Minister ... Attracting .... Universite Finished Service ... Https://t.co/w6no6kcpwq</v>
      </c>
    </row>
    <row r="7714" spans="1:5" ht="15" customHeight="1" x14ac:dyDescent="0.2">
      <c r="A7714" s="1" t="s">
        <v>15360</v>
      </c>
      <c r="B7714" s="1">
        <v>0</v>
      </c>
      <c r="C7714" s="3">
        <v>44538.759780092594</v>
      </c>
      <c r="D7714" s="1" t="s">
        <v>15361</v>
      </c>
      <c r="E7714" s="1" t="str">
        <f ca="1">IFERROR(__xludf.DUMMYFUNCTION("GOOGLETRANSLATE(A4513 , ""tr"" , ""en"")"),"@drfahrettinkoca gt")</f>
        <v>@drfahrettinkoca gt</v>
      </c>
    </row>
    <row r="7715" spans="1:5" ht="15" customHeight="1" x14ac:dyDescent="0.2">
      <c r="A7715" s="1" t="s">
        <v>15362</v>
      </c>
      <c r="B7715" s="1">
        <v>0</v>
      </c>
      <c r="C7715" s="3">
        <v>44538.759664351855</v>
      </c>
      <c r="D7715" s="1" t="s">
        <v>15363</v>
      </c>
      <c r="E7715" s="1" t="str">
        <f ca="1">IFERROR(__xludf.DUMMYFUNCTION("GOOGLETRANSLATE(A4514 , ""tr"" , ""en"")"),"Why @drfahrettinkoca data are not explained? this stubborn cause")</f>
        <v>Why @drfahrettinkoca data are not explained? this stubborn cause</v>
      </c>
    </row>
    <row r="7716" spans="1:5" ht="15" customHeight="1" x14ac:dyDescent="0.2">
      <c r="A7716" s="1" t="s">
        <v>15364</v>
      </c>
      <c r="B7716" s="1">
        <v>2</v>
      </c>
      <c r="C7716" s="3">
        <v>44538.759583333333</v>
      </c>
      <c r="D7716" s="1" t="s">
        <v>15365</v>
      </c>
      <c r="E7716" s="1" t="str">
        <f ca="1">IFERROR(__xludf.DUMMYFUNCTION("GOOGLETRANSLATE(A4515 , ""tr"" , ""en"")"),"@drfahrettinkoca water altina altina olen people kaci nozzle, kaci single dose scarlet, kaci 2 dose scarlet, kaci 3 dose as ... https://t.co/btmnjscfpu")</f>
        <v>@drfahrettinkoca water altina altina olen people kaci nozzle, kaci single dose scarlet, kaci 2 dose scarlet, kaci 3 dose as ... https://t.co/btmnjscfpu</v>
      </c>
    </row>
    <row r="7717" spans="1:5" ht="15" customHeight="1" x14ac:dyDescent="0.2">
      <c r="A7717" s="1" t="s">
        <v>15366</v>
      </c>
      <c r="B7717" s="1">
        <v>22</v>
      </c>
      <c r="C7717" s="3">
        <v>44538.759502314817</v>
      </c>
      <c r="D7717" s="1" t="s">
        <v>15367</v>
      </c>
      <c r="E7717" s="1" t="str">
        <f ca="1">IFERROR(__xludf.DUMMYFUNCTION("GOOGLETRANSLATE(A4516 , ""tr"" , ""en"")"),"Go @drfahrettinka go vaccine, don't hold you. We are also far from your grafted society. In the people who go to hospitals ... https://t.co/2mr2hymlof")</f>
        <v>Go @drfahrettinka go vaccine, don't hold you. We are also far from your grafted society. In the people who go to hospitals ... https://t.co/2mr2hymlof</v>
      </c>
    </row>
    <row r="7718" spans="1:5" ht="15" customHeight="1" x14ac:dyDescent="0.2">
      <c r="A7718" s="1" t="s">
        <v>15368</v>
      </c>
      <c r="B7718" s="1">
        <v>1</v>
      </c>
      <c r="C7718" s="3">
        <v>44538.75949074074</v>
      </c>
      <c r="D7718" s="1" t="s">
        <v>15369</v>
      </c>
      <c r="E7718" s="1" t="str">
        <f ca="1">IFERROR(__xludf.DUMMYFUNCTION("GOOGLETRANSLATE(A4517 , ""tr"" , ""en"")"),"@drfahrettinkoca Minister Your AÖF Exams Insaries Online Online Online We Believe In Ordah Pandemin Presence ... https://t.co/mh7k8bqld7")</f>
        <v>@drfahrettinkoca Minister Your AÖF Exams Insaries Online Online Online We Believe In Ordah Pandemin Presence ... https://t.co/mh7k8bqld7</v>
      </c>
    </row>
    <row r="7719" spans="1:5" ht="15" customHeight="1" x14ac:dyDescent="0.2">
      <c r="A7719" s="1" t="s">
        <v>15370</v>
      </c>
      <c r="B7719" s="1">
        <v>1</v>
      </c>
      <c r="C7719" s="3">
        <v>44538.759016203701</v>
      </c>
      <c r="D7719" s="1" t="s">
        <v>15371</v>
      </c>
      <c r="E7719" s="1" t="str">
        <f ca="1">IFERROR(__xludf.DUMMYFUNCTION("GOOGLETRANSLATE(A4518 , ""tr"" , ""en"")"),"@drfahrettinkoca o Uninstall the table you publish Mr. Minister Year is over still no assignment")</f>
        <v>@drfahrettinkoca o Uninstall the table you publish Mr. Minister Year is over still no assignment</v>
      </c>
    </row>
    <row r="7720" spans="1:5" ht="15" customHeight="1" x14ac:dyDescent="0.2">
      <c r="A7720" s="1" t="s">
        <v>15372</v>
      </c>
      <c r="B7720" s="1">
        <v>16</v>
      </c>
      <c r="C7720" s="3">
        <v>44538.758796296293</v>
      </c>
      <c r="D7720" s="1" t="s">
        <v>15373</v>
      </c>
      <c r="E7720" s="1" t="str">
        <f ca="1">IFERROR(__xludf.DUMMYFUNCTION("GOOGLETRANSLATE(A4519 , ""tr"" , ""en"")"),"@drfahrettinkoca is two dose biontech vaccines! In the past three months, define the 3rd overdose right.")</f>
        <v>@drfahrettinkoca is two dose biontech vaccines! In the past three months, define the 3rd overdose right.</v>
      </c>
    </row>
    <row r="7721" spans="1:5" ht="15" customHeight="1" x14ac:dyDescent="0.2">
      <c r="A7721" s="1" t="s">
        <v>15374</v>
      </c>
      <c r="B7721" s="1">
        <v>0</v>
      </c>
      <c r="C7721" s="3">
        <v>44538.758425925924</v>
      </c>
      <c r="D7721" s="1" t="s">
        <v>15375</v>
      </c>
      <c r="E7721" s="1" t="str">
        <f ca="1">IFERROR(__xludf.DUMMYFUNCTION("GOOGLETRANSLATE(A4520 , ""tr"" , ""en"")"),"@drfahrettinkoca we want to ... We want to do fair dagilim in the guide .... Dieticians are still agencies with 90 ustu points")</f>
        <v>@drfahrettinkoca we want to ... We want to do fair dagilim in the guide .... Dieticians are still agencies with 90 ustu points</v>
      </c>
    </row>
    <row r="7722" spans="1:5" ht="15" customHeight="1" x14ac:dyDescent="0.2">
      <c r="A7722" s="1" t="s">
        <v>15376</v>
      </c>
      <c r="B7722" s="1">
        <v>83</v>
      </c>
      <c r="C7722" s="3">
        <v>44538.758379629631</v>
      </c>
      <c r="D7722" s="1" t="s">
        <v>15377</v>
      </c>
      <c r="E7722" s="1" t="str">
        <f ca="1">IFERROR(__xludf.DUMMYFUNCTION("GOOGLETRANSLATE(A4521 , ""tr"" , ""en"")"),"@drfahrettinkoca 🟢 Biçiş Vaccine Number of YB Number of Sick Number of Sick Number of Sick Number of Sick Number of YB This ... HTTPS://t.co/nrnsy1yech")</f>
        <v>@drfahrettinkoca 🟢 Biçiş Vaccine Number of YB Number of Sick Number of Sick Number of Sick Number of Sick Number of YB This ... HTTPS://t.co/nrnsy1yech</v>
      </c>
    </row>
    <row r="7723" spans="1:5" ht="15" customHeight="1" x14ac:dyDescent="0.2">
      <c r="A7723" s="1" t="s">
        <v>15378</v>
      </c>
      <c r="B7723" s="1">
        <v>0</v>
      </c>
      <c r="C7723" s="3">
        <v>44538.757881944446</v>
      </c>
      <c r="D7723" s="1" t="s">
        <v>15379</v>
      </c>
      <c r="E7723" s="1" t="str">
        <f ca="1">IFERROR(__xludf.DUMMYFUNCTION("GOOGLETRANSLATE(A4522 , ""tr"" , ""en"")"),"@drfahrettinkoca is full of 13 months with 91 points waiting for cumbership assignment ... Dieticians are looking forward to Dietitians")</f>
        <v>@drfahrettinkoca is full of 13 months with 91 points waiting for cumbership assignment ... Dieticians are looking forward to Dietitians</v>
      </c>
    </row>
    <row r="7724" spans="1:5" ht="15" customHeight="1" x14ac:dyDescent="0.2">
      <c r="A7724" s="1" t="s">
        <v>15380</v>
      </c>
      <c r="B7724" s="1">
        <v>0</v>
      </c>
      <c r="C7724" s="3">
        <v>44538.757731481484</v>
      </c>
      <c r="D7724" s="1" t="s">
        <v>15381</v>
      </c>
      <c r="E7724" s="1" t="str">
        <f ca="1">IFERROR(__xludf.DUMMYFUNCTION("GOOGLETRANSLATE(A4523 , ""tr"" , ""en"")"),"@drfahrettinkoca 3.Develops for early ... !!")</f>
        <v>@drfahrettinkoca 3.Develops for early ... !!</v>
      </c>
    </row>
    <row r="7725" spans="1:5" ht="15" customHeight="1" x14ac:dyDescent="0.2">
      <c r="A7725" s="1" t="s">
        <v>15382</v>
      </c>
      <c r="B7725" s="1">
        <v>0</v>
      </c>
      <c r="C7725" s="3">
        <v>44538.757280092592</v>
      </c>
      <c r="D7725" s="1" t="s">
        <v>15383</v>
      </c>
      <c r="E7725" s="1" t="str">
        <f ca="1">IFERROR(__xludf.DUMMYFUNCTION("GOOGLETRANSLATE(A4524 , ""tr"" , ""en"")"),"@drfahrettinkoca 13 months is only 60 dietitians appointed ... 13 months are these gencles 90 ustu ranking with rating ... di ... https://t.co/adkss2xo6h")</f>
        <v>@drfahrettinkoca 13 months is only 60 dietitians appointed ... 13 months are these gencles 90 ustu ranking with rating ... di ... https://t.co/adkss2xo6h</v>
      </c>
    </row>
    <row r="7726" spans="1:5" ht="15" customHeight="1" x14ac:dyDescent="0.2">
      <c r="A7726" s="1" t="s">
        <v>15384</v>
      </c>
      <c r="B7726" s="1">
        <v>0</v>
      </c>
      <c r="C7726" s="3">
        <v>44538.75675925926</v>
      </c>
      <c r="D7726" s="1" t="s">
        <v>15385</v>
      </c>
      <c r="E7726" s="1" t="str">
        <f ca="1">IFERROR(__xludf.DUMMYFUNCTION("GOOGLETRANSLATE(A4525 , ""tr"" , ""en"")"),"@drfahrettinkoca dietitians are looking forward to assigning a large number of counts")</f>
        <v>@drfahrettinkoca dietitians are looking forward to assigning a large number of counts</v>
      </c>
    </row>
    <row r="7727" spans="1:5" ht="15" customHeight="1" x14ac:dyDescent="0.2">
      <c r="A7727" s="1" t="s">
        <v>15386</v>
      </c>
      <c r="B7727" s="1">
        <v>3</v>
      </c>
      <c r="C7727" s="3">
        <v>44538.756724537037</v>
      </c>
      <c r="D7727" s="1" t="s">
        <v>15387</v>
      </c>
      <c r="E7727" s="1" t="str">
        <f ca="1">IFERROR(__xludf.DUMMYFUNCTION("GOOGLETRANSLATE(A4526 , ""tr"" , ""en"")"),"@drfahrettinkoca that is my body. Happens to be vaccine. Would not be unwilling to be. Gave its own decision in vaccinated ... https://t.co/D9DECMUIMA")</f>
        <v>@drfahrettinkoca that is my body. Happens to be vaccine. Would not be unwilling to be. Gave its own decision in vaccinated ... https://t.co/D9DECMUIMA</v>
      </c>
    </row>
    <row r="7728" spans="1:5" ht="15" customHeight="1" x14ac:dyDescent="0.2">
      <c r="A7728" s="1" t="s">
        <v>8466</v>
      </c>
      <c r="B7728" s="1">
        <v>0</v>
      </c>
      <c r="C7728" s="3">
        <v>44538.756608796299</v>
      </c>
      <c r="D7728" s="1" t="s">
        <v>15388</v>
      </c>
      <c r="E7728" s="1" t="str">
        <f ca="1">IFERROR(__xludf.DUMMYFUNCTION("GOOGLETRANSLATE(A4527 , ""tr"" , ""en"")"),"@drfahrettinkoca dietitians are looking forward to the assignment to the dietitians")</f>
        <v>@drfahrettinkoca dietitians are looking forward to the assignment to the dietitians</v>
      </c>
    </row>
    <row r="7729" spans="1:5" ht="15" customHeight="1" x14ac:dyDescent="0.2">
      <c r="A7729" s="1" t="s">
        <v>15389</v>
      </c>
      <c r="B7729" s="1">
        <v>0</v>
      </c>
      <c r="C7729" s="3">
        <v>44538.756481481483</v>
      </c>
      <c r="D7729" s="1" t="s">
        <v>15390</v>
      </c>
      <c r="E7729" s="1" t="str">
        <f ca="1">IFERROR(__xludf.DUMMYFUNCTION("GOOGLETRANSLATE(A4528 , ""tr"" , ""en"")"),"@drfahrettinkoca dieticians are welcome to assign the assignment to the dietitians Sayin Minister 91 Score of Cardysy is still clear")</f>
        <v>@drfahrettinkoca dieticians are welcome to assign the assignment to the dietitians Sayin Minister 91 Score of Cardysy is still clear</v>
      </c>
    </row>
    <row r="7730" spans="1:5" ht="15" customHeight="1" x14ac:dyDescent="0.2">
      <c r="A7730" s="1" t="s">
        <v>15391</v>
      </c>
      <c r="B7730" s="1">
        <v>0</v>
      </c>
      <c r="C7730" s="3">
        <v>44538.756423611114</v>
      </c>
      <c r="D7730" s="1" t="s">
        <v>15392</v>
      </c>
      <c r="E7730" s="1" t="str">
        <f ca="1">IFERROR(__xludf.DUMMYFUNCTION("GOOGLETRANSLATE(A4529 , ""tr"" , ""en"")"),"@drfahrettinkoca You haven't got any mistakes? Why do you wash the whole load to the public?")</f>
        <v>@drfahrettinkoca You haven't got any mistakes? Why do you wash the whole load to the public?</v>
      </c>
    </row>
    <row r="7731" spans="1:5" ht="15" customHeight="1" x14ac:dyDescent="0.2">
      <c r="A7731" s="1" t="s">
        <v>15393</v>
      </c>
      <c r="B7731" s="1">
        <v>0</v>
      </c>
      <c r="C7731" s="3">
        <v>44538.755960648145</v>
      </c>
      <c r="D7731" s="1" t="s">
        <v>15394</v>
      </c>
      <c r="E7731" s="1" t="str">
        <f ca="1">IFERROR(__xludf.DUMMYFUNCTION("GOOGLETRANSLATE(A4530 , ""tr"" , ""en"")"),"@drfahrettinkoca guide guide guide guide guide guide guide guide guide guide guide guide kina ... https://t.co/vazi2dqnr")</f>
        <v>@drfahrettinkoca guide guide guide guide guide guide guide guide guide guide guide guide kina ... https://t.co/vazi2dqnr</v>
      </c>
    </row>
    <row r="7732" spans="1:5" ht="15" customHeight="1" x14ac:dyDescent="0.2">
      <c r="A7732" s="1" t="s">
        <v>15395</v>
      </c>
      <c r="B7732" s="1">
        <v>0</v>
      </c>
      <c r="C7732" s="3">
        <v>44538.755879629629</v>
      </c>
      <c r="D7732" s="1" t="s">
        <v>15396</v>
      </c>
      <c r="E7732" s="1" t="str">
        <f ca="1">IFERROR(__xludf.DUMMYFUNCTION("GOOGLETRANSLATE(A4531 , ""tr"" , ""en"")"),"@drfahrettinkoca h allah allah an an an an nasıl an neden neden neden an an an an neden neden neden an an an an an an an an an an an an an an an an an an an ané")</f>
        <v>@drfahrettinkoca h allah allah an an an an nasıl an neden neden neden an an an an neden neden neden an an an an an an an an an an an an an an an an an an an ané</v>
      </c>
    </row>
    <row r="7733" spans="1:5" ht="15" customHeight="1" x14ac:dyDescent="0.2">
      <c r="A7733" s="1" t="s">
        <v>15397</v>
      </c>
      <c r="B7733" s="1">
        <v>0</v>
      </c>
      <c r="C7733" s="3">
        <v>44538.755844907406</v>
      </c>
      <c r="D7733" s="1" t="s">
        <v>15398</v>
      </c>
      <c r="E7733" s="1" t="str">
        <f ca="1">IFERROR(__xludf.DUMMYFUNCTION("GOOGLETRANSLATE(A4532 , ""tr"" , ""en"")"),"@drfahrettinkoca Show Intensive Maintenance Reports Fahrettin Bey. No data is available. Then I'm going out, busy ... https://t.co/qwak0xz7rh")</f>
        <v>@drfahrettinkoca Show Intensive Maintenance Reports Fahrettin Bey. No data is available. Then I'm going out, busy ... https://t.co/qwak0xz7rh</v>
      </c>
    </row>
    <row r="7734" spans="1:5" ht="15" customHeight="1" x14ac:dyDescent="0.2">
      <c r="A7734" s="1" t="s">
        <v>15399</v>
      </c>
      <c r="B7734" s="1">
        <v>0</v>
      </c>
      <c r="C7734" s="3">
        <v>44538.755381944444</v>
      </c>
      <c r="D7734" s="1" t="s">
        <v>15400</v>
      </c>
      <c r="E7734" s="1" t="str">
        <f ca="1">IFERROR(__xludf.DUMMYFUNCTION("GOOGLETRANSLATE(A4533 , ""tr"" , ""en"")"),"@drfahrettinkoca guide guide")</f>
        <v>@drfahrettinkoca guide guide</v>
      </c>
    </row>
    <row r="7735" spans="1:5" ht="15" customHeight="1" x14ac:dyDescent="0.2">
      <c r="A7735" s="1" t="s">
        <v>15401</v>
      </c>
      <c r="B7735" s="1">
        <v>0</v>
      </c>
      <c r="C7735" s="3">
        <v>44538.75503472222</v>
      </c>
      <c r="D7735" s="1" t="s">
        <v>15402</v>
      </c>
      <c r="E7735" s="1" t="str">
        <f ca="1">IFERROR(__xludf.DUMMYFUNCTION("GOOGLETRANSLATE(A4534 , ""tr"" , ""en"")"),"@drfahrettinkoca guide z")</f>
        <v>@drfahrettinkoca guide z</v>
      </c>
    </row>
    <row r="7736" spans="1:5" ht="15" customHeight="1" x14ac:dyDescent="0.2">
      <c r="A7736" s="1" t="s">
        <v>15403</v>
      </c>
      <c r="B7736" s="1">
        <v>1</v>
      </c>
      <c r="C7736" s="3">
        <v>44538.754525462966</v>
      </c>
      <c r="D7736" s="1" t="s">
        <v>15404</v>
      </c>
      <c r="E7736" s="1" t="str">
        <f ca="1">IFERROR(__xludf.DUMMYFUNCTION("GOOGLETRANSLATE(A4535 , ""tr"" , ""en"")"),"@drfahrettinka vaccine post-effect-living side effects, dying of tiny clots What will be what will be the minister")</f>
        <v>@drfahrettinka vaccine post-effect-living side effects, dying of tiny clots What will be what will be the minister</v>
      </c>
    </row>
    <row r="7737" spans="1:5" ht="15" customHeight="1" x14ac:dyDescent="0.2">
      <c r="A7737" s="1" t="s">
        <v>15405</v>
      </c>
      <c r="B7737" s="1">
        <v>1</v>
      </c>
      <c r="C7737" s="3">
        <v>44538.754259259258</v>
      </c>
      <c r="D7737" s="1" t="s">
        <v>15406</v>
      </c>
      <c r="E7737" s="1" t="str">
        <f ca="1">IFERROR(__xludf.DUMMYFUNCTION("GOOGLETRANSLATE(A4536 , ""tr"" , ""en"")"),"@drfahrettinkoca sec. Vaccine and Minister of Twit. Our year, we're fed up ....")</f>
        <v>@drfahrettinkoca sec. Vaccine and Minister of Twit. Our year, we're fed up ....</v>
      </c>
    </row>
    <row r="7738" spans="1:5" ht="15" customHeight="1" x14ac:dyDescent="0.2">
      <c r="A7738" s="1" t="s">
        <v>15407</v>
      </c>
      <c r="B7738" s="1">
        <v>1</v>
      </c>
      <c r="C7738" s="3">
        <v>44538.754131944443</v>
      </c>
      <c r="D7738" s="1" t="s">
        <v>15408</v>
      </c>
      <c r="E7738" s="1" t="str">
        <f ca="1">IFERROR(__xludf.DUMMYFUNCTION("GOOGLETRANSLATE(A4537 , ""tr"" , ""en"")"),"@drfahrettinkoca veritals did not come to give the correct figures, no longer the heart attack deaths, cancer-like ha ... https://t.co/cuocjgptot")</f>
        <v>@drfahrettinkoca veritals did not come to give the correct figures, no longer the heart attack deaths, cancer-like ha ... https://t.co/cuocjgptot</v>
      </c>
    </row>
    <row r="7739" spans="1:5" ht="15" customHeight="1" x14ac:dyDescent="0.2">
      <c r="A7739" s="1" t="s">
        <v>15409</v>
      </c>
      <c r="B7739" s="1">
        <v>0</v>
      </c>
      <c r="C7739" s="3">
        <v>44538.753912037035</v>
      </c>
      <c r="D7739" s="1" t="s">
        <v>15410</v>
      </c>
      <c r="E7739" s="1" t="str">
        <f ca="1">IFERROR(__xludf.DUMMYFUNCTION("GOOGLETRANSLATE(A4538 , ""tr"" , ""en"")"),"@drfahrettinkoca in Dunya, or (of your assistant) is a minister who has tweeted each gun in this way. What be ... https://t.co/pfcldujq7q")</f>
        <v>@drfahrettinkoca in Dunya, or (of your assistant) is a minister who has tweeted each gun in this way. What be ... https://t.co/pfcldujq7q</v>
      </c>
    </row>
    <row r="7740" spans="1:5" ht="15" customHeight="1" x14ac:dyDescent="0.2">
      <c r="A7740" s="1" t="s">
        <v>15411</v>
      </c>
      <c r="B7740" s="1">
        <v>1</v>
      </c>
      <c r="C7740" s="3">
        <v>44538.753831018519</v>
      </c>
      <c r="D7740" s="1" t="s">
        <v>15412</v>
      </c>
      <c r="E7740" s="1" t="str">
        <f ca="1">IFERROR(__xludf.DUMMYFUNCTION("GOOGLETRANSLATE(A4539 , ""tr"" , ""en"")"),"@drfahrettinkoca wasted people who are hit by the vaccine you're dying of the way you are dying, you say three dose vaccines to work ... https://t.co/p1synhfu28")</f>
        <v>@drfahrettinkoca wasted people who are hit by the vaccine you're dying of the way you are dying, you say three dose vaccines to work ... https://t.co/p1synhfu28</v>
      </c>
    </row>
    <row r="7741" spans="1:5" ht="15" customHeight="1" x14ac:dyDescent="0.2">
      <c r="A7741" s="1" t="s">
        <v>15413</v>
      </c>
      <c r="B7741" s="1">
        <v>1</v>
      </c>
      <c r="C7741" s="3">
        <v>44538.753692129627</v>
      </c>
      <c r="D7741" s="1" t="s">
        <v>15414</v>
      </c>
      <c r="E7741" s="1" t="str">
        <f ca="1">IFERROR(__xludf.DUMMYFUNCTION("GOOGLETRANSLATE(A4540 , ""tr"" , ""en"")"),"@drfahrettinkoca History of historical drugs Verify people and then make vaccination in Nekadar manidar")</f>
        <v>@drfahrettinkoca History of historical drugs Verify people and then make vaccination in Nekadar manidar</v>
      </c>
    </row>
    <row r="7742" spans="1:5" ht="15" customHeight="1" x14ac:dyDescent="0.2">
      <c r="A7742" s="1" t="s">
        <v>15415</v>
      </c>
      <c r="B7742" s="1">
        <v>0</v>
      </c>
      <c r="C7742" s="3">
        <v>44538.753611111111</v>
      </c>
      <c r="D7742" s="1" t="s">
        <v>15416</v>
      </c>
      <c r="E7742" s="1" t="str">
        <f ca="1">IFERROR(__xludf.DUMMYFUNCTION("GOOGLETRANSLATE(A4541 , ""tr"" , ""en"")"),"@drfahrettinka vaccinated the procession of the opponents retarded")</f>
        <v>@drfahrettinka vaccinated the procession of the opponents retarded</v>
      </c>
    </row>
    <row r="7743" spans="1:5" ht="15" customHeight="1" x14ac:dyDescent="0.2">
      <c r="A7743" s="1" t="s">
        <v>15417</v>
      </c>
      <c r="B7743" s="1">
        <v>0</v>
      </c>
      <c r="C7743" s="3">
        <v>44538.753564814811</v>
      </c>
      <c r="D7743" s="1" t="s">
        <v>15418</v>
      </c>
      <c r="E7743" s="1" t="str">
        <f ca="1">IFERROR(__xludf.DUMMYFUNCTION("GOOGLETRANSLATE(A4542 , ""tr"" , ""en"")"),"@drfahrettinkoca Yasadigim Tiny County There are more than 1000 cases of water moment. Ulke is 20,000 Nassels Acep?")</f>
        <v>@drfahrettinkoca Yasadigim Tiny County There are more than 1000 cases of water moment. Ulke is 20,000 Nassels Acep?</v>
      </c>
    </row>
    <row r="7744" spans="1:5" ht="15" customHeight="1" x14ac:dyDescent="0.2">
      <c r="A7744" s="1" t="s">
        <v>15419</v>
      </c>
      <c r="B7744" s="1">
        <v>0</v>
      </c>
      <c r="C7744" s="3">
        <v>44538.753553240742</v>
      </c>
      <c r="D7744" s="1" t="s">
        <v>15420</v>
      </c>
      <c r="E7744" s="1" t="str">
        <f ca="1">IFERROR(__xludf.DUMMYFUNCTION("GOOGLETRANSLATE(A4543 , ""tr"" , ""en"")"),"@drfahrettinkoca you lie to me are you hiding the facts")</f>
        <v>@drfahrettinkoca you lie to me are you hiding the facts</v>
      </c>
    </row>
    <row r="7745" spans="1:5" ht="15" customHeight="1" x14ac:dyDescent="0.2">
      <c r="A7745" s="1" t="s">
        <v>15421</v>
      </c>
      <c r="B7745" s="1">
        <v>0</v>
      </c>
      <c r="C7745" s="3">
        <v>44538.753171296295</v>
      </c>
      <c r="D7745" s="1" t="s">
        <v>15422</v>
      </c>
      <c r="E7745" s="1" t="str">
        <f ca="1">IFERROR(__xludf.DUMMYFUNCTION("GOOGLETRANSLATE(A4544 , ""tr"" , ""en"")"),"@drfahrettinkoca What the nation started to be angry with the people meet? It won't be Cacacet from you. Go to the garden in the garden to work additional bi.")</f>
        <v>@drfahrettinkoca What the nation started to be angry with the people meet? It won't be Cacacet from you. Go to the garden in the garden to work additional bi.</v>
      </c>
    </row>
    <row r="7746" spans="1:5" ht="15" customHeight="1" x14ac:dyDescent="0.2">
      <c r="A7746" s="1" t="s">
        <v>15423</v>
      </c>
      <c r="B7746" s="1">
        <v>54</v>
      </c>
      <c r="C7746" s="3">
        <v>44538.752696759257</v>
      </c>
      <c r="D7746" s="1" t="s">
        <v>15424</v>
      </c>
      <c r="E7746" s="1" t="str">
        <f ca="1">IFERROR(__xludf.DUMMYFUNCTION("GOOGLETRANSLATE(A4545 , ""tr"" , ""en"")"),"@drfahrettinkoca is that the 1000 things that protect human spirit and body are not even in the list of the vaccine perhaps the list. So why 1000 ... https://t.co/ckpuuqabdq")</f>
        <v>@drfahrettinkoca is that the 1000 things that protect human spirit and body are not even in the list of the vaccine perhaps the list. So why 1000 ... https://t.co/ckpuuqabdq</v>
      </c>
    </row>
    <row r="7747" spans="1:5" ht="15" customHeight="1" x14ac:dyDescent="0.2">
      <c r="A7747" s="1" t="s">
        <v>15425</v>
      </c>
      <c r="B7747" s="1">
        <v>0</v>
      </c>
      <c r="C7747" s="3">
        <v>44538.752500000002</v>
      </c>
      <c r="D7747" s="1" t="s">
        <v>15426</v>
      </c>
      <c r="E7747" s="1" t="str">
        <f ca="1">IFERROR(__xludf.DUMMYFUNCTION("GOOGLETRANSLATE(A4546 , ""tr"" , ""en"")"),"@drfahrettinka Where is the guide we expected with a fair purchase veneal?")</f>
        <v>@drfahrettinka Where is the guide we expected with a fair purchase veneal?</v>
      </c>
    </row>
    <row r="7748" spans="1:5" ht="15" customHeight="1" x14ac:dyDescent="0.2">
      <c r="A7748" s="1" t="s">
        <v>15427</v>
      </c>
      <c r="B7748" s="1">
        <v>1</v>
      </c>
      <c r="C7748" s="3">
        <v>44538.751851851855</v>
      </c>
      <c r="D7748" s="1" t="s">
        <v>15428</v>
      </c>
      <c r="E7748" s="1" t="str">
        <f ca="1">IFERROR(__xludf.DUMMYFUNCTION("GOOGLETRANSLATE(A4547 , ""tr"" , ""en"")"),"@drfahrettinkoca As the Minister of Health, your comments do not suit a scientist. The flu vaccine is not correct properly ... https://t.co/60aocbao3z")</f>
        <v>@drfahrettinkoca As the Minister of Health, your comments do not suit a scientist. The flu vaccine is not correct properly ... https://t.co/60aocbao3z</v>
      </c>
    </row>
    <row r="7749" spans="1:5" ht="15" customHeight="1" x14ac:dyDescent="0.2">
      <c r="A7749" s="1" t="s">
        <v>15429</v>
      </c>
      <c r="B7749" s="1">
        <v>7</v>
      </c>
      <c r="C7749" s="3">
        <v>44538.751817129632</v>
      </c>
      <c r="D7749" s="1" t="s">
        <v>15430</v>
      </c>
      <c r="E7749" s="1" t="str">
        <f ca="1">IFERROR(__xludf.DUMMYFUNCTION("GOOGLETRANSLATE(A4548 , ""tr"" , ""en"")"),"@drfahrettinkoca is increasing cases as the experimental liquid I know is increasing. I don't say the side effects")</f>
        <v>@drfahrettinkoca is increasing cases as the experimental liquid I know is increasing. I don't say the side effects</v>
      </c>
    </row>
    <row r="7750" spans="1:5" ht="15" customHeight="1" x14ac:dyDescent="0.2">
      <c r="A7750" s="1" t="s">
        <v>15431</v>
      </c>
      <c r="B7750" s="1">
        <v>0</v>
      </c>
      <c r="C7750" s="3">
        <v>44538.751539351855</v>
      </c>
      <c r="D7750" s="1" t="s">
        <v>15432</v>
      </c>
      <c r="E7750" s="1" t="str">
        <f ca="1">IFERROR(__xludf.DUMMYFUNCTION("GOOGLETRANSLATE(A4549 , ""tr"" , ""en"")"),"@drfahrettinkoca que deus os abençoe no enfrantado as ethapas fundamentais e necessárias qual união é a determinacão ... https://t.co/iipwy0pgly")</f>
        <v>@drfahrettinkoca que deus os abençoe no enfrantado as ethapas fundamentais e necessárias qual união é a determinacão ... https://t.co/iipwy0pgly</v>
      </c>
    </row>
    <row r="7751" spans="1:5" ht="15" customHeight="1" x14ac:dyDescent="0.2">
      <c r="A7751" s="1" t="s">
        <v>15433</v>
      </c>
      <c r="B7751" s="1">
        <v>0</v>
      </c>
      <c r="C7751" s="3">
        <v>44538.750405092593</v>
      </c>
      <c r="D7751" s="1" t="s">
        <v>15434</v>
      </c>
      <c r="E7751" s="1" t="str">
        <f ca="1">IFERROR(__xludf.DUMMYFUNCTION("GOOGLETRANSLATE(A4550 , ""tr"" , ""en"")"),"@drfahrettinkoca https://t.co/ijj7mumx8d")</f>
        <v>@drfahrettinkoca https://t.co/ijj7mumx8d</v>
      </c>
    </row>
    <row r="7752" spans="1:5" ht="15" customHeight="1" x14ac:dyDescent="0.2">
      <c r="A7752" s="1" t="s">
        <v>15435</v>
      </c>
      <c r="B7752" s="1">
        <v>25</v>
      </c>
      <c r="C7752" s="3">
        <v>44538.750092592592</v>
      </c>
      <c r="D7752" s="1" t="s">
        <v>15436</v>
      </c>
      <c r="E7752" s="1" t="str">
        <f ca="1">IFERROR(__xludf.DUMMYFUNCTION("GOOGLETRANSLATE(A4551 , ""tr"" , ""en"")"),"@drfahrettinkoca my health is my decision. Even comment on my health is not anyone's haddine. Everyone h ... https://t.co/cvhx0lf7bd")</f>
        <v>@drfahrettinkoca my health is my decision. Even comment on my health is not anyone's haddine. Everyone h ... https://t.co/cvhx0lf7bd</v>
      </c>
    </row>
    <row r="7753" spans="1:5" ht="15" customHeight="1" x14ac:dyDescent="0.2">
      <c r="A7753" s="1" t="s">
        <v>15437</v>
      </c>
      <c r="B7753" s="1">
        <v>85</v>
      </c>
      <c r="C7753" s="3">
        <v>44538.750023148146</v>
      </c>
      <c r="D7753" s="1" t="s">
        <v>15438</v>
      </c>
      <c r="E7753" s="1" t="str">
        <f ca="1">IFERROR(__xludf.DUMMYFUNCTION("GOOGLETRANSLATE(A4552 , ""tr"" , ""en"")"),"@drfahrettinka Mr. Minister. You continue to sanctions, threats, imposing and also the facts, ... https://t.co/wxwfqrszzr")</f>
        <v>@drfahrettinka Mr. Minister. You continue to sanctions, threats, imposing and also the facts, ... https://t.co/wxwfqrszzr</v>
      </c>
    </row>
    <row r="7754" spans="1:5" ht="15" customHeight="1" x14ac:dyDescent="0.2">
      <c r="A7754" s="1" t="s">
        <v>15439</v>
      </c>
      <c r="B7754" s="1">
        <v>0</v>
      </c>
      <c r="C7754" s="3">
        <v>44538.750023148146</v>
      </c>
      <c r="D7754" s="1" t="s">
        <v>15440</v>
      </c>
      <c r="E7754" s="1" t="str">
        <f ca="1">IFERROR(__xludf.DUMMYFUNCTION("GOOGLETRANSLATE(A4553 , ""tr"" , ""en"")"),"@drfahrettinkoca how many shots in this vaccine is full of fucking master you are not able to respond to our question in this vaccine neid ... https://t.co/w7idi6lx7b")</f>
        <v>@drfahrettinkoca how many shots in this vaccine is full of fucking master you are not able to respond to our question in this vaccine neid ... https://t.co/w7idi6lx7b</v>
      </c>
    </row>
    <row r="7755" spans="1:5" ht="15" customHeight="1" x14ac:dyDescent="0.2">
      <c r="A7755" s="1" t="s">
        <v>15441</v>
      </c>
      <c r="B7755" s="1">
        <v>0</v>
      </c>
      <c r="C7755" s="3">
        <v>44538.749849537038</v>
      </c>
      <c r="D7755" s="1" t="s">
        <v>15442</v>
      </c>
      <c r="E7755" s="1" t="str">
        <f ca="1">IFERROR(__xludf.DUMMYFUNCTION("GOOGLETRANSLATE(A4554 , ""tr"" , ""en"")"),"@drfahrettinkoca guide are welcome. # SbmerkezaatamaoeClavuz")</f>
        <v>@drfahrettinkoca guide are welcome. # SbmerkezaatamaoeClavuz</v>
      </c>
    </row>
    <row r="7756" spans="1:5" ht="15" customHeight="1" x14ac:dyDescent="0.2">
      <c r="A7756" s="1" t="s">
        <v>15443</v>
      </c>
      <c r="B7756" s="1">
        <v>0</v>
      </c>
      <c r="C7756" s="3">
        <v>44538.749444444446</v>
      </c>
      <c r="D7756" s="1" t="s">
        <v>15444</v>
      </c>
      <c r="E7756" s="1" t="str">
        <f ca="1">IFERROR(__xludf.DUMMYFUNCTION("GOOGLETRANSLATE(A4555 , ""tr"" , ""en"")"),"@drfahrettinkoca h")</f>
        <v>@drfahrettinkoca h</v>
      </c>
    </row>
    <row r="7757" spans="1:5" ht="15" customHeight="1" x14ac:dyDescent="0.2">
      <c r="A7757" s="1" t="s">
        <v>15445</v>
      </c>
      <c r="B7757" s="1">
        <v>0</v>
      </c>
      <c r="C7757" s="3">
        <v>44538.749247685184</v>
      </c>
      <c r="D7757" s="1" t="s">
        <v>15446</v>
      </c>
      <c r="E7757" s="1" t="str">
        <f ca="1">IFERROR(__xludf.DUMMYFUNCTION("GOOGLETRANSLATE(A4556 , ""tr"" , ""en"")"),"@drfahrettinkoca is such a beautiful LAF Epeligi Congratulations. If you have the courage is exactly in intensive care ... https://t.co/721ot1b8oC")</f>
        <v>@drfahrettinkoca is such a beautiful LAF Epeligi Congratulations. If you have the courage is exactly in intensive care ... https://t.co/721ot1b8oC</v>
      </c>
    </row>
    <row r="7758" spans="1:5" ht="15" customHeight="1" x14ac:dyDescent="0.2">
      <c r="A7758" s="1" t="s">
        <v>15447</v>
      </c>
      <c r="B7758" s="1">
        <v>0</v>
      </c>
      <c r="C7758" s="3">
        <v>44538.749224537038</v>
      </c>
      <c r="D7758" s="1" t="s">
        <v>15448</v>
      </c>
      <c r="E7758" s="1" t="str">
        <f ca="1">IFERROR(__xludf.DUMMYFUNCTION("GOOGLETRANSLATE(A4557 , ""tr"" , ""en"")"),"@drfahrettinkoca is a very short question; Case and deaths continue after the vaccination movers of the society continue ... https://t.co/msfwyocdwd")</f>
        <v>@drfahrettinkoca is a very short question; Case and deaths continue after the vaccination movers of the society continue ... https://t.co/msfwyocdwd</v>
      </c>
    </row>
    <row r="7759" spans="1:5" ht="15" customHeight="1" x14ac:dyDescent="0.2">
      <c r="A7759" s="1" t="s">
        <v>15449</v>
      </c>
      <c r="B7759" s="1">
        <v>2</v>
      </c>
      <c r="C7759" s="3">
        <v>44538.749212962961</v>
      </c>
      <c r="D7759" s="1" t="s">
        <v>15450</v>
      </c>
      <c r="E7759" s="1" t="str">
        <f ca="1">IFERROR(__xludf.DUMMYFUNCTION("GOOGLETRANSLATE(A4558 , ""tr"" , ""en"")"),"@drfahrettinkoca aspirin mi make vaccine in this 3 months whatever health is in health explain 🤔")</f>
        <v>@drfahrettinkoca aspirin mi make vaccine in this 3 months whatever health is in health explain 🤔</v>
      </c>
    </row>
    <row r="7760" spans="1:5" ht="15" customHeight="1" x14ac:dyDescent="0.2">
      <c r="A7760" s="1" t="s">
        <v>15451</v>
      </c>
      <c r="B7760" s="1">
        <v>0</v>
      </c>
      <c r="C7760" s="3">
        <v>44538.748807870368</v>
      </c>
      <c r="D7760" s="1" t="s">
        <v>15452</v>
      </c>
      <c r="E7760" s="1" t="str">
        <f ca="1">IFERROR(__xludf.DUMMYFUNCTION("GOOGLETRANSLATE(A4559 , ""tr"" , ""en"")"),"@drfahrettinkoca #omikron 👇 https://t.co/balndztfpa")</f>
        <v>@drfahrettinkoca #omikron 👇 https://t.co/balndztfpa</v>
      </c>
    </row>
    <row r="7761" spans="1:5" ht="15" customHeight="1" x14ac:dyDescent="0.2">
      <c r="A7761" s="1" t="s">
        <v>15453</v>
      </c>
      <c r="B7761" s="1">
        <v>1</v>
      </c>
      <c r="C7761" s="3">
        <v>44538.748240740744</v>
      </c>
      <c r="D7761" s="1" t="s">
        <v>15454</v>
      </c>
      <c r="E7761" s="1" t="str">
        <f ca="1">IFERROR(__xludf.DUMMYFUNCTION("GOOGLETRANSLATE(A4560 , ""tr"" , ""en"")"),"@drfahrettinkoca Fahrettin You Damn Us")</f>
        <v>@drfahrettinkoca Fahrettin You Damn Us</v>
      </c>
    </row>
    <row r="7762" spans="1:5" ht="15" customHeight="1" x14ac:dyDescent="0.2">
      <c r="A7762" s="1" t="s">
        <v>15455</v>
      </c>
      <c r="B7762" s="1">
        <v>0</v>
      </c>
      <c r="C7762" s="3">
        <v>44538.748159722221</v>
      </c>
      <c r="D7762" s="1" t="s">
        <v>15456</v>
      </c>
      <c r="E7762" s="1" t="str">
        <f ca="1">IFERROR(__xludf.DUMMYFUNCTION("GOOGLETRANSLATE(A4561 , ""tr"" , ""en"")"),"@drfahrettinkoca Add vinegar to your water Add micropies, including grapal infection Do not consume fluids you do not know what it is")</f>
        <v>@drfahrettinkoca Add vinegar to your water Add micropies, including grapal infection Do not consume fluids you do not know what it is</v>
      </c>
    </row>
    <row r="7763" spans="1:5" ht="15" customHeight="1" x14ac:dyDescent="0.2">
      <c r="A7763" s="1" t="s">
        <v>15457</v>
      </c>
      <c r="B7763" s="1">
        <v>0</v>
      </c>
      <c r="C7763" s="3">
        <v>44538.74790509259</v>
      </c>
      <c r="D7763" s="1" t="s">
        <v>15458</v>
      </c>
      <c r="E7763" s="1" t="str">
        <f ca="1">IFERROR(__xludf.DUMMYFUNCTION("GOOGLETRANSLATE(A4562 , ""tr"" , ""en"")"),"@drfahrettinkoca @saglikbakanligi Mom 87 to have the 2.BIONTEK to have the vaccine defined in your name ... https://t.co/utaxpcvzi5")</f>
        <v>@drfahrettinkoca @saglikbakanligi Mom 87 to have the 2.BIONTEK to have the vaccine defined in your name ... https://t.co/utaxpcvzi5</v>
      </c>
    </row>
    <row r="7764" spans="1:5" ht="15" customHeight="1" x14ac:dyDescent="0.2">
      <c r="A7764" s="1" t="s">
        <v>15459</v>
      </c>
      <c r="B7764" s="1">
        <v>1</v>
      </c>
      <c r="C7764" s="3">
        <v>44538.74763888889</v>
      </c>
      <c r="D7764" s="1" t="s">
        <v>15460</v>
      </c>
      <c r="E7764" s="1" t="str">
        <f ca="1">IFERROR(__xludf.DUMMYFUNCTION("GOOGLETRANSLATE(A4563 , ""tr"" , ""en"")"),"@drfahrettinkoca hospitals who believe you in the hospitals and have been vaccinated in the test queue and the 3 dose vaccines in the test queue said it was the corona ... https://t.co/scodxngkod")</f>
        <v>@drfahrettinkoca hospitals who believe you in the hospitals and have been vaccinated in the test queue and the 3 dose vaccines in the test queue said it was the corona ... https://t.co/scodxngkod</v>
      </c>
    </row>
    <row r="7765" spans="1:5" ht="15" customHeight="1" x14ac:dyDescent="0.2">
      <c r="A7765" s="1" t="s">
        <v>15461</v>
      </c>
      <c r="B7765" s="1">
        <v>65</v>
      </c>
      <c r="C7765" s="3">
        <v>44538.747453703705</v>
      </c>
      <c r="D7765" s="1" t="s">
        <v>15462</v>
      </c>
      <c r="E7765" s="1" t="str">
        <f ca="1">IFERROR(__xludf.DUMMYFUNCTION("GOOGLETRANSLATE(A4564 , ""tr"" , ""en"")"),"@drfahrettinkoca did not frighten us lakin ourselves two dose is grafted and pithta after seeing agitary corona ... https://t.co/xmk0rldaht")</f>
        <v>@drfahrettinkoca did not frighten us lakin ourselves two dose is grafted and pithta after seeing agitary corona ... https://t.co/xmk0rldaht</v>
      </c>
    </row>
    <row r="7766" spans="1:5" ht="15" customHeight="1" x14ac:dyDescent="0.2">
      <c r="A7766" s="1" t="s">
        <v>15463</v>
      </c>
      <c r="B7766" s="1">
        <v>0</v>
      </c>
      <c r="C7766" s="3">
        <v>44538.74728009259</v>
      </c>
      <c r="D7766" s="1" t="s">
        <v>15464</v>
      </c>
      <c r="E7766" s="1" t="str">
        <f ca="1">IFERROR(__xludf.DUMMYFUNCTION("GOOGLETRANSLATE(A4565 , ""tr"" , ""en"")"),"@drfahrettinkoca guide guide guide guide guide guide guide guide guide guide guide guide")</f>
        <v>@drfahrettinkoca guide guide guide guide guide guide guide guide guide guide guide guide</v>
      </c>
    </row>
    <row r="7767" spans="1:5" ht="15" customHeight="1" x14ac:dyDescent="0.2">
      <c r="A7767" s="1" t="s">
        <v>15465</v>
      </c>
      <c r="B7767" s="1">
        <v>0</v>
      </c>
      <c r="C7767" s="3">
        <v>44538.746932870374</v>
      </c>
      <c r="D7767" s="1" t="s">
        <v>15466</v>
      </c>
      <c r="E7767" s="1" t="str">
        <f ca="1">IFERROR(__xludf.DUMMYFUNCTION("GOOGLETRANSLATE(A4566 , ""tr"" , ""en"")"),"@drfahrettinkoca Biontech Günüka Günüka Günli Vaccine Sales slowed, not in the patient when it is not the vaccination ... https://t.co/dbeyz32hz6")</f>
        <v>@drfahrettinkoca Biontech Günüka Günüka Günli Vaccine Sales slowed, not in the patient when it is not the vaccination ... https://t.co/dbeyz32hz6</v>
      </c>
    </row>
    <row r="7768" spans="1:5" ht="15" customHeight="1" x14ac:dyDescent="0.2">
      <c r="A7768" s="1" t="s">
        <v>15467</v>
      </c>
      <c r="B7768" s="1">
        <v>1</v>
      </c>
      <c r="C7768" s="3">
        <v>44538.746736111112</v>
      </c>
      <c r="D7768" s="1" t="s">
        <v>15468</v>
      </c>
      <c r="E7768" s="1" t="str">
        <f ca="1">IFERROR(__xludf.DUMMYFUNCTION("GOOGLETRANSLATE(A4567 , ""tr"" , ""en"")"),"@drfahrettinkoca What did you earn our people with 2 weeks and scared for 2 years? Get rid of production and employment ... https://t.co.cohibtobscp")</f>
        <v>@drfahrettinkoca What did you earn our people with 2 weeks and scared for 2 years? Get rid of production and employment ... https://t.co.cohibtobscp</v>
      </c>
    </row>
    <row r="7769" spans="1:5" ht="15" customHeight="1" x14ac:dyDescent="0.2">
      <c r="A7769" s="1" t="s">
        <v>15469</v>
      </c>
      <c r="B7769" s="1">
        <v>2</v>
      </c>
      <c r="C7769" s="3">
        <v>44538.746655092589</v>
      </c>
      <c r="D7769" s="1" t="s">
        <v>15470</v>
      </c>
      <c r="E7769" s="1" t="str">
        <f ca="1">IFERROR(__xludf.DUMMYFUNCTION("GOOGLETRANSLATE(A4568 , ""tr"" , ""en"")"),"@drfahrettinkoca is very thanku 666. I found out that the CI of CIs has learned that the vaccines didn't work Bi ... My company and my family ... https://t.co/zm0egdmckj")</f>
        <v>@drfahrettinkoca is very thanku 666. I found out that the CI of CIs has learned that the vaccines didn't work Bi ... My company and my family ... https://t.co/zm0egdmckj</v>
      </c>
    </row>
    <row r="7770" spans="1:5" ht="15" customHeight="1" x14ac:dyDescent="0.2">
      <c r="A7770" s="1" t="s">
        <v>15471</v>
      </c>
      <c r="B7770" s="1">
        <v>45</v>
      </c>
      <c r="C7770" s="3">
        <v>44538.74658564815</v>
      </c>
      <c r="D7770" s="1" t="s">
        <v>15472</v>
      </c>
      <c r="E7770" s="1" t="str">
        <f ca="1">IFERROR(__xludf.DUMMYFUNCTION("GOOGLETRANSLATE(A4569 , ""tr"" , ""en"")"),"@drfahrettinkoca case of cases or my vaccines. Because you are comfortable with 30,000 years. When vaccination thought Panic ... https://t.co/wgyhflgit6")</f>
        <v>@drfahrettinkoca case of cases or my vaccines. Because you are comfortable with 30,000 years. When vaccination thought Panic ... https://t.co/wgyhflgit6</v>
      </c>
    </row>
    <row r="7771" spans="1:5" ht="15" customHeight="1" x14ac:dyDescent="0.2">
      <c r="A7771" s="1" t="s">
        <v>15473</v>
      </c>
      <c r="B7771" s="1">
        <v>0</v>
      </c>
      <c r="C7771" s="3">
        <v>44538.746539351851</v>
      </c>
      <c r="D7771" s="1" t="s">
        <v>15474</v>
      </c>
      <c r="E7771" s="1" t="str">
        <f ca="1">IFERROR(__xludf.DUMMYFUNCTION("GOOGLETRANSLATE(A4570 , ""tr"" , ""en"")"),"@drfahrettinka wish to wish up with our other deficiencies, for example, for example 14 pharmacy wandering, I don't find it ... https://t.co/tvoaydjrur")</f>
        <v>@drfahrettinka wish to wish up with our other deficiencies, for example, for example 14 pharmacy wandering, I don't find it ... https://t.co/tvoaydjrur</v>
      </c>
    </row>
    <row r="7772" spans="1:5" ht="15" customHeight="1" x14ac:dyDescent="0.2">
      <c r="A7772" s="1" t="s">
        <v>15475</v>
      </c>
      <c r="B7772" s="1">
        <v>4</v>
      </c>
      <c r="C7772" s="3">
        <v>44538.746331018519</v>
      </c>
      <c r="D7772" s="1" t="s">
        <v>15476</v>
      </c>
      <c r="E7772" s="1" t="str">
        <f ca="1">IFERROR(__xludf.DUMMYFUNCTION("GOOGLETRANSLATE(A4571 , ""tr"" , ""en"")"),"@drfahrettinkoca ie more than half of the intensive care, at least one dose of vaccines! Then be the vaccination ... https://t.co/mcjtbuf4mm")</f>
        <v>@drfahrettinkoca ie more than half of the intensive care, at least one dose of vaccines! Then be the vaccination ... https://t.co/mcjtbuf4mm</v>
      </c>
    </row>
    <row r="7773" spans="1:5" ht="15" customHeight="1" x14ac:dyDescent="0.2">
      <c r="A7773" s="1" t="s">
        <v>15477</v>
      </c>
      <c r="B7773" s="1">
        <v>0</v>
      </c>
      <c r="C7773" s="3">
        <v>44538.746331018519</v>
      </c>
      <c r="D7773" s="1" t="s">
        <v>15478</v>
      </c>
      <c r="E7773" s="1" t="str">
        <f ca="1">IFERROR(__xludf.DUMMYFUNCTION("GOOGLETRANSLATE(A4572 , ""tr"" , ""en"")"),"@drfahrettinkoca KESKE BAKAKA diseases in the corresponding concerns")</f>
        <v>@drfahrettinkoca KESKE BAKAKA diseases in the corresponding concerns</v>
      </c>
    </row>
    <row r="7774" spans="1:5" ht="15" customHeight="1" x14ac:dyDescent="0.2">
      <c r="A7774" s="1" t="s">
        <v>15479</v>
      </c>
      <c r="B7774" s="1">
        <v>0</v>
      </c>
      <c r="C7774" s="3">
        <v>44538.746041666665</v>
      </c>
      <c r="D7774" s="1" t="s">
        <v>15480</v>
      </c>
      <c r="E7774" s="1" t="str">
        <f ca="1">IFERROR(__xludf.DUMMYFUNCTION("GOOGLETRANSLATE(A4573 , ""tr"" , ""en"")"),"@drfahrettinkoca Minister Bey In schools that you have taken precautions in schools You have taken the Hanger Here is the measure you received ... https://t.co/GMGVRPQI4O")</f>
        <v>@drfahrettinkoca Minister Bey In schools that you have taken precautions in schools You have taken the Hanger Here is the measure you received ... https://t.co/GMGVRPQI4O</v>
      </c>
    </row>
    <row r="7775" spans="1:5" ht="15" customHeight="1" x14ac:dyDescent="0.2">
      <c r="A7775" s="1" t="s">
        <v>15481</v>
      </c>
      <c r="B7775" s="1">
        <v>0</v>
      </c>
      <c r="C7775" s="3">
        <v>44538.745937500003</v>
      </c>
      <c r="D7775" s="1" t="s">
        <v>15482</v>
      </c>
      <c r="E7775" s="1" t="str">
        <f ca="1">IFERROR(__xludf.DUMMYFUNCTION("GOOGLETRANSLATE(A4574 , ""tr"" , ""en"")"),"@drfahrettinka is necessary to get rid of debt burden and dollar addiction before the economic salvation. Dr. Fatih e ... https://t.co/fmcgopw6b3")</f>
        <v>@drfahrettinka is necessary to get rid of debt burden and dollar addiction before the economic salvation. Dr. Fatih e ... https://t.co/fmcgopw6b3</v>
      </c>
    </row>
    <row r="7776" spans="1:5" ht="15" customHeight="1" x14ac:dyDescent="0.2">
      <c r="A7776" s="1" t="s">
        <v>15483</v>
      </c>
      <c r="B7776" s="1">
        <v>0</v>
      </c>
      <c r="C7776" s="3">
        <v>44538.745752314811</v>
      </c>
      <c r="D7776" s="1" t="s">
        <v>15484</v>
      </c>
      <c r="E7776" s="1" t="str">
        <f ca="1">IFERROR(__xludf.DUMMYFUNCTION("GOOGLETRANSLATE(A4575 , ""tr"" , ""en"")"),"@drfahrettinkoca you came too long you said husband has passed over a month how long we will wait")</f>
        <v>@drfahrettinkoca you came too long you said husband has passed over a month how long we will wait</v>
      </c>
    </row>
    <row r="7777" spans="1:5" ht="15" customHeight="1" x14ac:dyDescent="0.2">
      <c r="A7777" s="1" t="s">
        <v>15485</v>
      </c>
      <c r="B7777" s="1">
        <v>0</v>
      </c>
      <c r="C7777" s="3">
        <v>44538.745613425926</v>
      </c>
      <c r="D7777" s="1" t="s">
        <v>15486</v>
      </c>
      <c r="E7777" s="1" t="str">
        <f ca="1">IFERROR(__xludf.DUMMYFUNCTION("GOOGLETRANSLATE(A4576 , ""tr"" , ""en"")"),"@drfahrettinkoca klavuzzz")</f>
        <v>@drfahrettinkoca klavuzzz</v>
      </c>
    </row>
    <row r="7778" spans="1:5" ht="15" customHeight="1" x14ac:dyDescent="0.2">
      <c r="A7778" s="1" t="s">
        <v>15487</v>
      </c>
      <c r="B7778" s="1">
        <v>0</v>
      </c>
      <c r="C7778" s="3">
        <v>44538.74560185185</v>
      </c>
      <c r="D7778" s="1" t="s">
        <v>15488</v>
      </c>
      <c r="E7778" s="1" t="str">
        <f ca="1">IFERROR(__xludf.DUMMYFUNCTION("GOOGLETRANSLATE(A4577 , ""tr"" , ""en"")"),"The important part of the lying on @drfahrettinkoca has no vaccinated or not full grafted, but also the other important part of the other ... https://t.co/f0glsuhyxv")</f>
        <v>The important part of the lying on @drfahrettinkoca has no vaccinated or not full grafted, but also the other important part of the other ... https://t.co/f0glsuhyxv</v>
      </c>
    </row>
    <row r="7779" spans="1:5" ht="15" customHeight="1" x14ac:dyDescent="0.2">
      <c r="A7779" s="1" t="s">
        <v>15489</v>
      </c>
      <c r="B7779" s="1">
        <v>0</v>
      </c>
      <c r="C7779" s="3">
        <v>44538.745567129627</v>
      </c>
      <c r="D7779" s="1" t="s">
        <v>15490</v>
      </c>
      <c r="E7779" s="1" t="str">
        <f ca="1">IFERROR(__xludf.DUMMYFUNCTION("GOOGLETRANSLATE(A4578 , ""tr"" , ""en"")"),"@drfahrettinkoca vaccine is so effective why can't make sense")</f>
        <v>@drfahrettinkoca vaccine is so effective why can't make sense</v>
      </c>
    </row>
    <row r="7780" spans="1:5" ht="15" customHeight="1" x14ac:dyDescent="0.2">
      <c r="A7780" s="1" t="s">
        <v>15491</v>
      </c>
      <c r="B7780" s="1">
        <v>7</v>
      </c>
      <c r="C7780" s="3">
        <v>44538.745034722226</v>
      </c>
      <c r="D7780" s="1" t="s">
        <v>15492</v>
      </c>
      <c r="E7780" s="1" t="str">
        <f ca="1">IFERROR(__xludf.DUMMYFUNCTION("GOOGLETRANSLATE(A4579 , ""tr"" , ""en"")"),"@drfahrettinkoca we are in school we are in the crowd we are in our office we don't have our mask and breathing also we are full ... https://t.co/o3lxohwqwc")</f>
        <v>@drfahrettinkoca we are in school we are in the crowd we are in our office we don't have our mask and breathing also we are full ... https://t.co/o3lxohwqwc</v>
      </c>
    </row>
    <row r="7781" spans="1:5" ht="15" customHeight="1" x14ac:dyDescent="0.2">
      <c r="A7781" s="1" t="s">
        <v>15493</v>
      </c>
      <c r="B7781" s="1">
        <v>2</v>
      </c>
      <c r="C7781" s="3">
        <v>44538.745023148149</v>
      </c>
      <c r="D7781" s="1" t="s">
        <v>15494</v>
      </c>
      <c r="E7781" s="1" t="str">
        <f ca="1">IFERROR(__xludf.DUMMYFUNCTION("GOOGLETRANSLATE(A4580 , ""tr"" , ""en"")"),"@drfahrettinkocaR Minister Your Minister has previously prevents the vaccine hospitalization 100% in your previous remarks, but this is open ... https://t.co/lnocbqdsqx")</f>
        <v>@drfahrettinkocaR Minister Your Minister has previously prevents the vaccine hospitalization 100% in your previous remarks, but this is open ... https://t.co/lnocbqdsqx</v>
      </c>
    </row>
    <row r="7782" spans="1:5" ht="15" customHeight="1" x14ac:dyDescent="0.2">
      <c r="A7782" s="1" t="s">
        <v>15495</v>
      </c>
      <c r="B7782" s="1">
        <v>20</v>
      </c>
      <c r="C7782" s="3">
        <v>44538.74491898148</v>
      </c>
      <c r="D7782" s="1" t="s">
        <v>15496</v>
      </c>
      <c r="E7782" s="1" t="str">
        <f ca="1">IFERROR(__xludf.DUMMYFUNCTION("GOOGLETRANSLATE(A4581 , ""tr"" , ""en"")"),"@drfahrettinkoca you hit 100 dose of wanting. What is us from someone else's fluid? We are against medical bullying. Bullying ... https://t.co/g2dxfe7sux")</f>
        <v>@drfahrettinkoca you hit 100 dose of wanting. What is us from someone else's fluid? We are against medical bullying. Bullying ... https://t.co/g2dxfe7sux</v>
      </c>
    </row>
    <row r="7783" spans="1:5" ht="15" customHeight="1" x14ac:dyDescent="0.2">
      <c r="A7783" s="1" t="s">
        <v>15497</v>
      </c>
      <c r="B7783" s="1">
        <v>0</v>
      </c>
      <c r="C7783" s="3">
        <v>44538.744444444441</v>
      </c>
      <c r="D7783" s="1" t="s">
        <v>15498</v>
      </c>
      <c r="E7783" s="1" t="str">
        <f ca="1">IFERROR(__xludf.DUMMYFUNCTION("GOOGLETRANSLATE(A4582 , ""tr"" , ""en"")"),"@drfahrettinkoca you're lying")</f>
        <v>@drfahrettinkoca you're lying</v>
      </c>
    </row>
    <row r="7784" spans="1:5" ht="15" customHeight="1" x14ac:dyDescent="0.2">
      <c r="A7784" s="1" t="s">
        <v>15499</v>
      </c>
      <c r="B7784" s="1">
        <v>0</v>
      </c>
      <c r="C7784" s="3">
        <v>44538.743807870371</v>
      </c>
      <c r="D7784" s="1" t="s">
        <v>15500</v>
      </c>
      <c r="E7784" s="1" t="str">
        <f ca="1">IFERROR(__xludf.DUMMYFUNCTION("GOOGLETRANSLATE(A4583 , ""tr"" , ""en"")"),"@drfahrettinka people are in intense care for not able to treat. Just because you don't get to treat ... https://t.co/FH8WGUUXIY")</f>
        <v>@drfahrettinka people are in intense care for not able to treat. Just because you don't get to treat ... https://t.co/FH8WGUUXIY</v>
      </c>
    </row>
    <row r="7785" spans="1:5" ht="15" customHeight="1" x14ac:dyDescent="0.2">
      <c r="A7785" s="1" t="s">
        <v>15501</v>
      </c>
      <c r="B7785" s="1">
        <v>13</v>
      </c>
      <c r="C7785" s="3">
        <v>44538.743703703702</v>
      </c>
      <c r="D7785" s="1" t="s">
        <v>15502</v>
      </c>
      <c r="E7785" s="1" t="str">
        <f ca="1">IFERROR(__xludf.DUMMYFUNCTION("GOOGLETRANSLATE(A4584 , ""tr"" , ""en"")"),"@drfahrettinka finally solved the formula of the full vaccine. N + 1 = Full graft (N number of vaccines you are shot.) Instead of formula ... https://t.co/DJCBLIJIPF")</f>
        <v>@drfahrettinka finally solved the formula of the full vaccine. N + 1 = Full graft (N number of vaccines you are shot.) Instead of formula ... https://t.co/DJCBLIJIPF</v>
      </c>
    </row>
    <row r="7786" spans="1:5" ht="15" customHeight="1" x14ac:dyDescent="0.2">
      <c r="A7786" s="1" t="s">
        <v>15503</v>
      </c>
      <c r="B7786" s="1">
        <v>1</v>
      </c>
      <c r="C7786" s="3">
        <v>44538.743692129632</v>
      </c>
      <c r="D7786" s="1" t="s">
        <v>15504</v>
      </c>
      <c r="E7786" s="1" t="str">
        <f ca="1">IFERROR(__xludf.DUMMYFUNCTION("GOOGLETRANSLATE(A4585 , ""tr"" , ""en"")"),"@drfahrettinkoca I don't want to minister who doesn't earn your citizen's voice")</f>
        <v>@drfahrettinkoca I don't want to minister who doesn't earn your citizen's voice</v>
      </c>
    </row>
    <row r="7787" spans="1:5" ht="15" customHeight="1" x14ac:dyDescent="0.2">
      <c r="A7787" s="1" t="s">
        <v>15505</v>
      </c>
      <c r="B7787" s="1">
        <v>1</v>
      </c>
      <c r="C7787" s="3">
        <v>44538.743564814817</v>
      </c>
      <c r="D7787" s="1" t="s">
        <v>15506</v>
      </c>
      <c r="E7787" s="1" t="str">
        <f ca="1">IFERROR(__xludf.DUMMYFUNCTION("GOOGLETRANSLATE(A4586 , ""tr"" , ""en"")"),"@drfahrettinkoca Now Why is the Guide More Than 1 Month ComeMiyo Dear Minister DiSem Teens Rushing Dicekler Neys ... https://t.co/ktveqweqrv")</f>
        <v>@drfahrettinkoca Now Why is the Guide More Than 1 Month ComeMiyo Dear Minister DiSem Teens Rushing Dicekler Neys ... https://t.co/ktveqweqrv</v>
      </c>
    </row>
    <row r="7788" spans="1:5" ht="15" customHeight="1" x14ac:dyDescent="0.2">
      <c r="A7788" s="1" t="s">
        <v>15507</v>
      </c>
      <c r="B7788" s="1">
        <v>0</v>
      </c>
      <c r="C7788" s="3">
        <v>44538.743530092594</v>
      </c>
      <c r="D7788" s="1" t="s">
        <v>15508</v>
      </c>
      <c r="E7788" s="1" t="str">
        <f ca="1">IFERROR(__xludf.DUMMYFUNCTION("GOOGLETRANSLATE(A4587 , ""tr"" , ""en"")"),"@drfahrettinkoca what has been in the liquids of the demon buy other https://t.co/r2g7srd5qc")</f>
        <v>@drfahrettinkoca what has been in the liquids of the demon buy other https://t.co/r2g7srd5qc</v>
      </c>
    </row>
    <row r="7789" spans="1:5" ht="15" customHeight="1" x14ac:dyDescent="0.2">
      <c r="A7789" s="1" t="s">
        <v>15509</v>
      </c>
      <c r="B7789" s="1">
        <v>0</v>
      </c>
      <c r="C7789" s="3">
        <v>44538.743263888886</v>
      </c>
      <c r="D7789" s="1" t="s">
        <v>15510</v>
      </c>
      <c r="E7789" s="1" t="str">
        <f ca="1">IFERROR(__xludf.DUMMYFUNCTION("GOOGLETRANSLATE(A4588 , ""tr"" , ""en"")"),"@drfahrettinkoca will be useful to share images showing the regrets of non-vaccines, subject to personal and ... https://t.co/rbbgghfbd1")</f>
        <v>@drfahrettinkoca will be useful to share images showing the regrets of non-vaccines, subject to personal and ... https://t.co/rbbgghfbd1</v>
      </c>
    </row>
    <row r="7790" spans="1:5" ht="15" customHeight="1" x14ac:dyDescent="0.2">
      <c r="A7790" s="1" t="s">
        <v>15511</v>
      </c>
      <c r="B7790" s="1">
        <v>0</v>
      </c>
      <c r="C7790" s="3">
        <v>44538.74322916667</v>
      </c>
      <c r="D7790" s="1" t="s">
        <v>15512</v>
      </c>
      <c r="E7790" s="1" t="str">
        <f ca="1">IFERROR(__xludf.DUMMYFUNCTION("GOOGLETRANSLATE(A4589 , ""tr"" , ""en"")"),"@drfahrettinkoca Wave with our mind Do you joke or joke? Don't assign in this month if you don't be ashamed ... pityes ... HTTPS://T.CO/P8ITNV2IO6")</f>
        <v>@drfahrettinkoca Wave with our mind Do you joke or joke? Don't assign in this month if you don't be ashamed ... pityes ... HTTPS://T.CO/P8ITNV2IO6</v>
      </c>
    </row>
    <row r="7791" spans="1:5" ht="15" customHeight="1" x14ac:dyDescent="0.2">
      <c r="A7791" s="1" t="s">
        <v>15513</v>
      </c>
      <c r="B7791" s="1">
        <v>0</v>
      </c>
      <c r="C7791" s="3">
        <v>44538.742777777778</v>
      </c>
      <c r="D7791" s="1" t="s">
        <v>15514</v>
      </c>
      <c r="E7791" s="1" t="str">
        <f ca="1">IFERROR(__xludf.DUMMYFUNCTION("GOOGLETRANSLATE(A4590 , ""tr"" , ""en"")"),"@drfahrettinkoca 1.Doz 91%, the second dose 81% more than how much of these experimental fluids are considering the people.")</f>
        <v>@drfahrettinkoca 1.Doz 91%, the second dose 81% more than how much of these experimental fluids are considering the people.</v>
      </c>
    </row>
    <row r="7792" spans="1:5" ht="15" customHeight="1" x14ac:dyDescent="0.2">
      <c r="A7792" s="1" t="s">
        <v>15515</v>
      </c>
      <c r="B7792" s="1">
        <v>142</v>
      </c>
      <c r="C7792" s="3">
        <v>44538.742696759262</v>
      </c>
      <c r="D7792" s="1" t="s">
        <v>15516</v>
      </c>
      <c r="E7792" s="1" t="str">
        <f ca="1">IFERROR(__xludf.DUMMYFUNCTION("GOOGLETRANSLATE(A4591 , ""tr"" , ""en"")"),"@drfahrettinkoca masallah elhamdulillah or the shafte or the shaft of the shanki are non-rebeled in the needle?")</f>
        <v>@drfahrettinkoca masallah elhamdulillah or the shafte or the shaft of the shanki are non-rebeled in the needle?</v>
      </c>
    </row>
    <row r="7793" spans="1:5" ht="15" customHeight="1" x14ac:dyDescent="0.2">
      <c r="A7793" s="1" t="s">
        <v>15517</v>
      </c>
      <c r="B7793" s="1">
        <v>0</v>
      </c>
      <c r="C7793" s="3">
        <v>44538.742685185185</v>
      </c>
      <c r="D7793" s="1" t="s">
        <v>15518</v>
      </c>
      <c r="E7793" s="1" t="str">
        <f ca="1">IFERROR(__xludf.DUMMYFUNCTION("GOOGLETRANSLATE(A4592 , ""tr"" , ""en"")"),"@drfahrettinkoca hear us anymore waiting for the news of hundreds of youthful future here is no longer")</f>
        <v>@drfahrettinkoca hear us anymore waiting for the news of hundreds of youthful future here is no longer</v>
      </c>
    </row>
    <row r="7794" spans="1:5" ht="15" customHeight="1" x14ac:dyDescent="0.2">
      <c r="A7794" s="1" t="s">
        <v>15519</v>
      </c>
      <c r="B7794" s="1">
        <v>1</v>
      </c>
      <c r="C7794" s="3">
        <v>44538.742534722223</v>
      </c>
      <c r="D7794" s="1" t="s">
        <v>15520</v>
      </c>
      <c r="E7794" s="1" t="str">
        <f ca="1">IFERROR(__xludf.DUMMYFUNCTION("GOOGLETRANSLATE(A4593 , ""tr"" , ""en"")"),"@drfahrettinkoca You are a doctor if you are a doctor if you are a doctor.")</f>
        <v>@drfahrettinkoca You are a doctor if you are a doctor if you are a doctor.</v>
      </c>
    </row>
    <row r="7795" spans="1:5" ht="15" customHeight="1" x14ac:dyDescent="0.2">
      <c r="A7795" s="1" t="s">
        <v>15521</v>
      </c>
      <c r="B7795" s="1">
        <v>2</v>
      </c>
      <c r="C7795" s="3">
        <v>44538.742326388892</v>
      </c>
      <c r="D7795" s="1" t="s">
        <v>15522</v>
      </c>
      <c r="E7795" s="1" t="str">
        <f ca="1">IFERROR(__xludf.DUMMYFUNCTION("GOOGLETRANSLATE(A4594 , ""tr"" , ""en"")"),"@drfahrettinka i haven't been vaccine i'm on the feet don't believe honorredit")</f>
        <v>@drfahrettinka i haven't been vaccine i'm on the feet don't believe honorredit</v>
      </c>
    </row>
    <row r="7796" spans="1:5" ht="15" customHeight="1" x14ac:dyDescent="0.2">
      <c r="A7796" s="1" t="s">
        <v>15523</v>
      </c>
      <c r="B7796" s="1">
        <v>11</v>
      </c>
      <c r="C7796" s="3">
        <v>44538.742326388892</v>
      </c>
      <c r="D7796" s="1" t="s">
        <v>15524</v>
      </c>
      <c r="E7796" s="1" t="str">
        <f ca="1">IFERROR(__xludf.DUMMYFUNCTION("GOOGLETRANSLATE(A4595 , ""tr"" , ""en"")"),"@drfahrettinka you really know the result of faulty decisions? You're sure ... https://t.co/6f1kdq90IJ")</f>
        <v>@drfahrettinka you really know the result of faulty decisions? You're sure ... https://t.co/6f1kdq90IJ</v>
      </c>
    </row>
    <row r="7797" spans="1:5" ht="15" customHeight="1" x14ac:dyDescent="0.2">
      <c r="A7797" s="1" t="s">
        <v>15525</v>
      </c>
      <c r="B7797" s="1">
        <v>0</v>
      </c>
      <c r="C7797" s="3">
        <v>44538.7422337963</v>
      </c>
      <c r="D7797" s="1" t="s">
        <v>15526</v>
      </c>
      <c r="E7797" s="1" t="str">
        <f ca="1">IFERROR(__xludf.DUMMYFUNCTION("GOOGLETRANSLATE(A4596 , ""tr"" , ""en"")"),"@drfahrettinkoca #the governmentistifa # Earlier # BirbiontechAlıyaz https://t.co/2tz88lxr9a")</f>
        <v>@drfahrettinkoca #the governmentistifa # Earlier # BirbiontechAlıyaz https://t.co/2tz88lxr9a</v>
      </c>
    </row>
    <row r="7798" spans="1:5" ht="15" customHeight="1" x14ac:dyDescent="0.2">
      <c r="A7798" s="1" t="s">
        <v>15527</v>
      </c>
      <c r="B7798" s="1">
        <v>0</v>
      </c>
      <c r="C7798" s="3">
        <v>44538.7421875</v>
      </c>
      <c r="D7798" s="1" t="s">
        <v>15528</v>
      </c>
      <c r="E7798" s="1" t="str">
        <f ca="1">IFERROR(__xludf.DUMMYFUNCTION("GOOGLETRANSLATE(A4597 , ""tr"" , ""en"")"),"@drfahrettinkoca '' Vaccination People who are not full of '' ??? 2 dose synovac +6 months = no -eseze..2 dose biontech + 6 months = vaccination ... https://t.co/vkqr8dhi48")</f>
        <v>@drfahrettinkoca '' Vaccination People who are not full of '' ??? 2 dose synovac +6 months = no -eseze..2 dose biontech + 6 months = vaccination ... https://t.co/vkqr8dhi48</v>
      </c>
    </row>
    <row r="7799" spans="1:5" ht="15" customHeight="1" x14ac:dyDescent="0.2">
      <c r="A7799" s="1" t="s">
        <v>15529</v>
      </c>
      <c r="B7799" s="1">
        <v>92</v>
      </c>
      <c r="C7799" s="3">
        <v>44538.741712962961</v>
      </c>
      <c r="D7799" s="1" t="s">
        <v>15530</v>
      </c>
      <c r="E7799" s="1" t="str">
        <f ca="1">IFERROR(__xludf.DUMMYFUNCTION("GOOGLETRANSLATE(A4598 , ""tr"" , ""en"")"),"@drfahrettinka faulty decision to decide and the chaffet of those ridiculous fluid. Kapl crisis, brain hemorrhage, death. A ... https://t.co/vc2yiIlgge")</f>
        <v>@drfahrettinka faulty decision to decide and the chaffet of those ridiculous fluid. Kapl crisis, brain hemorrhage, death. A ... https://t.co/vc2yiIlgge</v>
      </c>
    </row>
    <row r="7800" spans="1:5" ht="15" customHeight="1" x14ac:dyDescent="0.2">
      <c r="A7800" s="1" t="s">
        <v>15531</v>
      </c>
      <c r="B7800" s="1">
        <v>1</v>
      </c>
      <c r="C7800" s="3">
        <v>44538.741701388892</v>
      </c>
      <c r="D7800" s="1" t="s">
        <v>15532</v>
      </c>
      <c r="E7800" s="1" t="str">
        <f ca="1">IFERROR(__xludf.DUMMYFUNCTION("GOOGLETRANSLATE(A4599 , ""tr"" , ""en"")"),"@drfahrettinkoca is not to be the PCR pressure to be the reason, which can give the wrong result with the test kit, and there are more like to manage the pandem.")</f>
        <v>@drfahrettinkoca is not to be the PCR pressure to be the reason, which can give the wrong result with the test kit, and there are more like to manage the pandem.</v>
      </c>
    </row>
    <row r="7801" spans="1:5" ht="15" customHeight="1" x14ac:dyDescent="0.2">
      <c r="A7801" s="1" t="s">
        <v>15533</v>
      </c>
      <c r="B7801" s="1">
        <v>0</v>
      </c>
      <c r="C7801" s="3">
        <v>44538.741226851853</v>
      </c>
      <c r="D7801" s="1" t="s">
        <v>15534</v>
      </c>
      <c r="E7801" s="1" t="str">
        <f ca="1">IFERROR(__xludf.DUMMYFUNCTION("GOOGLETRANSLATE(A4600 , ""tr"" , ""en"")"),"@drfahrettinkoca We have learned some things if you know everything.")</f>
        <v>@drfahrettinkoca We have learned some things if you know everything.</v>
      </c>
    </row>
    <row r="7802" spans="1:5" ht="15" customHeight="1" x14ac:dyDescent="0.2">
      <c r="A7802" s="1" t="s">
        <v>15535</v>
      </c>
      <c r="B7802" s="1">
        <v>13</v>
      </c>
      <c r="C7802" s="3">
        <v>44538.740787037037</v>
      </c>
      <c r="D7802" s="1" t="s">
        <v>15536</v>
      </c>
      <c r="E7802" s="1" t="str">
        <f ca="1">IFERROR(__xludf.DUMMYFUNCTION("GOOGLETRANSLATE(A4601 , ""tr"" , ""en"")"),"@drfahrettinkoca don't have to bed")</f>
        <v>@drfahrettinkoca don't have to bed</v>
      </c>
    </row>
    <row r="7803" spans="1:5" ht="15" customHeight="1" x14ac:dyDescent="0.2">
      <c r="A7803" s="1" t="s">
        <v>15537</v>
      </c>
      <c r="B7803" s="1">
        <v>1</v>
      </c>
      <c r="C7803" s="3">
        <v>44538.740671296298</v>
      </c>
      <c r="D7803" s="1" t="s">
        <v>15538</v>
      </c>
      <c r="E7803" s="1" t="str">
        <f ca="1">IFERROR(__xludf.DUMMYFUNCTION("GOOGLETRANSLATE(A4602 , ""tr"" , ""en"")"),"@drfahrettinkoca erdogan What did he say, this is asking. What do I do?")</f>
        <v>@drfahrettinkoca erdogan What did he say, this is asking. What do I do?</v>
      </c>
    </row>
    <row r="7804" spans="1:5" ht="15" customHeight="1" x14ac:dyDescent="0.2">
      <c r="A7804" s="1" t="s">
        <v>15539</v>
      </c>
      <c r="B7804" s="1">
        <v>0</v>
      </c>
      <c r="C7804" s="3">
        <v>44538.740659722222</v>
      </c>
      <c r="D7804" s="1" t="s">
        <v>15540</v>
      </c>
      <c r="E7804" s="1" t="str">
        <f ca="1">IFERROR(__xludf.DUMMYFUNCTION("GOOGLETRANSLATE(A4603 , ""tr"" , ""en"")"),"@drfahrettinkoca @saglikbakanligi https://t.co/n2r9pq0za8")</f>
        <v>@drfahrettinkoca @saglikbakanligi https://t.co/n2r9pq0za8</v>
      </c>
    </row>
    <row r="7805" spans="1:5" ht="15" customHeight="1" x14ac:dyDescent="0.2">
      <c r="A7805" s="1" t="s">
        <v>15541</v>
      </c>
      <c r="B7805" s="1">
        <v>0</v>
      </c>
      <c r="C7805" s="3">
        <v>44538.740624999999</v>
      </c>
      <c r="D7805" s="1" t="s">
        <v>15542</v>
      </c>
      <c r="E7805" s="1" t="str">
        <f ca="1">IFERROR(__xludf.DUMMYFUNCTION("GOOGLETRANSLATE(A4604 , ""tr"" , ""en"")"),"@drfahrettinkoca allah is great. Everyone will account for what they do in the world in the great court. We will see who is right.")</f>
        <v>@drfahrettinkoca allah is great. Everyone will account for what they do in the world in the great court. We will see who is right.</v>
      </c>
    </row>
    <row r="7806" spans="1:5" ht="15" customHeight="1" x14ac:dyDescent="0.2">
      <c r="A7806" s="1" t="s">
        <v>15543</v>
      </c>
      <c r="B7806" s="1">
        <v>0</v>
      </c>
      <c r="C7806" s="3">
        <v>44538.740474537037</v>
      </c>
      <c r="D7806" s="1" t="s">
        <v>15544</v>
      </c>
      <c r="E7806" s="1" t="str">
        <f ca="1">IFERROR(__xludf.DUMMYFUNCTION("GOOGLETRANSLATE(A4605 , ""tr"" , ""en"")"),"@drfahrettinkoca 3.Do you extracted slowly you go up to 29293doz vaccine")</f>
        <v>@drfahrettinkoca 3.Do you extracted slowly you go up to 29293doz vaccine</v>
      </c>
    </row>
    <row r="7807" spans="1:5" ht="15" customHeight="1" x14ac:dyDescent="0.2">
      <c r="A7807" s="1" t="s">
        <v>15545</v>
      </c>
      <c r="B7807" s="1">
        <v>2</v>
      </c>
      <c r="C7807" s="3">
        <v>44538.740254629629</v>
      </c>
      <c r="D7807" s="1" t="s">
        <v>15546</v>
      </c>
      <c r="E7807" s="1" t="str">
        <f ca="1">IFERROR(__xludf.DUMMYFUNCTION("GOOGLETRANSLATE(A4606 , ""tr"" , ""en"")"),"@drfahrettinkoca Do not connect your awkwardness to the vaccine everyday 200 E close to 200 people is the reality of these numbers ... https://t.co/xcuide2bxd")</f>
        <v>@drfahrettinkoca Do not connect your awkwardness to the vaccine everyday 200 E close to 200 people is the reality of these numbers ... https://t.co/xcuide2bxd</v>
      </c>
    </row>
    <row r="7808" spans="1:5" ht="15" customHeight="1" x14ac:dyDescent="0.2">
      <c r="A7808" s="1" t="s">
        <v>15547</v>
      </c>
      <c r="B7808" s="1">
        <v>0</v>
      </c>
      <c r="C7808" s="3">
        <v>44538.740254629629</v>
      </c>
      <c r="D7808" s="1" t="s">
        <v>15548</v>
      </c>
      <c r="E7808" s="1" t="str">
        <f ca="1">IFERROR(__xludf.DUMMYFUNCTION("GOOGLETRANSLATE(A4607 , ""tr"" , ""en"")"),"@drfahrettinkoca '' A decision to be taken. '' Resolve this sentence, let's see what is going out.")</f>
        <v>@drfahrettinkoca '' A decision to be taken. '' Resolve this sentence, let's see what is going out.</v>
      </c>
    </row>
    <row r="7809" spans="1:5" ht="15" customHeight="1" x14ac:dyDescent="0.2">
      <c r="A7809" s="1" t="s">
        <v>15549</v>
      </c>
      <c r="B7809" s="1">
        <v>0</v>
      </c>
      <c r="C7809" s="3">
        <v>44538.740057870367</v>
      </c>
      <c r="D7809" s="1" t="s">
        <v>15550</v>
      </c>
      <c r="E7809" s="1" t="str">
        <f ca="1">IFERROR(__xludf.DUMMYFUNCTION("GOOGLETRANSLATE(A4608 , ""tr"" , ""en"")"),"@drfahrettinkoca Dream from our ...")</f>
        <v>@drfahrettinkoca Dream from our ...</v>
      </c>
    </row>
    <row r="7810" spans="1:5" ht="15" customHeight="1" x14ac:dyDescent="0.2">
      <c r="A7810" s="1" t="s">
        <v>15551</v>
      </c>
      <c r="B7810" s="1">
        <v>0</v>
      </c>
      <c r="C7810" s="3">
        <v>44538.739965277775</v>
      </c>
      <c r="D7810" s="1" t="s">
        <v>15552</v>
      </c>
      <c r="E7810" s="1" t="str">
        <f ca="1">IFERROR(__xludf.DUMMYFUNCTION("GOOGLETRANSLATE(A4609 , ""tr"" , ""en"")"),"@drfahrettinkoca Uğur Sahin says, it will be necessary to have new vaccines for Covid. Then wait for the new vaccine and I will be a top version.")</f>
        <v>@drfahrettinkoca Uğur Sahin says, it will be necessary to have new vaccines for Covid. Then wait for the new vaccine and I will be a top version.</v>
      </c>
    </row>
    <row r="7811" spans="1:5" ht="15" customHeight="1" x14ac:dyDescent="0.2">
      <c r="A7811" s="1" t="s">
        <v>15553</v>
      </c>
      <c r="B7811" s="1">
        <v>0</v>
      </c>
      <c r="C7811" s="3">
        <v>44538.739606481482</v>
      </c>
      <c r="D7811" s="1" t="s">
        <v>15554</v>
      </c>
      <c r="E7811" s="1" t="str">
        <f ca="1">IFERROR(__xludf.DUMMYFUNCTION("GOOGLETRANSLATE(A4610 , ""tr"" , ""en"")"),"@drfahrettinkoca no one can win anyone in your vanetime my minister so much economic buhder you don't know us as well. HTTPS://t.coy7dqu5xwy")</f>
        <v>@drfahrettinkoca no one can win anyone in your vanetime my minister so much economic buhder you don't know us as well. HTTPS://t.coy7dqu5xwy</v>
      </c>
    </row>
    <row r="7812" spans="1:5" ht="15" customHeight="1" x14ac:dyDescent="0.2">
      <c r="A7812" s="1" t="s">
        <v>15555</v>
      </c>
      <c r="B7812" s="1">
        <v>0</v>
      </c>
      <c r="C7812" s="3">
        <v>44538.739444444444</v>
      </c>
      <c r="D7812" s="1" t="s">
        <v>15556</v>
      </c>
      <c r="E7812" s="1" t="str">
        <f ca="1">IFERROR(__xludf.DUMMYFUNCTION("GOOGLETRANSLATE(A4611 , ""tr"" , ""en"")"),"@drfahrettinkoca are the blues good")</f>
        <v>@drfahrettinkoca are the blues good</v>
      </c>
    </row>
    <row r="7813" spans="1:5" ht="15" customHeight="1" x14ac:dyDescent="0.2">
      <c r="A7813" s="1" t="s">
        <v>15557</v>
      </c>
      <c r="B7813" s="1">
        <v>0</v>
      </c>
      <c r="C7813" s="3">
        <v>44538.739363425928</v>
      </c>
      <c r="D7813" s="1" t="s">
        <v>15558</v>
      </c>
      <c r="E7813" s="1" t="str">
        <f ca="1">IFERROR(__xludf.DUMMYFUNCTION("GOOGLETRANSLATE(A4612 , ""tr"" , ""en"")"),"@drfahrettinka vaccine that seemed heavy side effects and do not tell the dies.")</f>
        <v>@drfahrettinka vaccine that seemed heavy side effects and do not tell the dies.</v>
      </c>
    </row>
    <row r="7814" spans="1:5" ht="15" customHeight="1" x14ac:dyDescent="0.2">
      <c r="A7814" s="1" t="s">
        <v>15559</v>
      </c>
      <c r="B7814" s="1">
        <v>0</v>
      </c>
      <c r="C7814" s="3">
        <v>44538.739259259259</v>
      </c>
      <c r="D7814" s="1" t="s">
        <v>15560</v>
      </c>
      <c r="E7814" s="1" t="str">
        <f ca="1">IFERROR(__xludf.DUMMYFUNCTION("GOOGLETRANSLATE(A4613 , ""tr"" , ""en"")"),"@drfahrettinkoca guide won 🤔")</f>
        <v>@drfahrettinkoca guide won 🤔</v>
      </c>
    </row>
    <row r="7815" spans="1:5" ht="15" customHeight="1" x14ac:dyDescent="0.2">
      <c r="A7815" s="1" t="s">
        <v>15561</v>
      </c>
      <c r="B7815" s="1">
        <v>0</v>
      </c>
      <c r="C7815" s="3">
        <v>44538.739247685182</v>
      </c>
      <c r="D7815" s="1" t="s">
        <v>15562</v>
      </c>
      <c r="E7815" s="1" t="str">
        <f ca="1">IFERROR(__xludf.DUMMYFUNCTION("GOOGLETRANSLATE(A4614 , ""tr"" , ""en"")"),"@drfahrettinkoca Tweet throwing out of epidemic")</f>
        <v>@drfahrettinkoca Tweet throwing out of epidemic</v>
      </c>
    </row>
    <row r="7816" spans="1:5" ht="15" customHeight="1" x14ac:dyDescent="0.2">
      <c r="A7816" s="1" t="s">
        <v>15563</v>
      </c>
      <c r="B7816" s="1">
        <v>0</v>
      </c>
      <c r="C7816" s="3">
        <v>44538.739212962966</v>
      </c>
      <c r="D7816" s="1" t="s">
        <v>15564</v>
      </c>
      <c r="E7816" s="1" t="str">
        <f ca="1">IFERROR(__xludf.DUMMYFUNCTION("GOOGLETRANSLATE(A4615 , ""tr"" , ""en"")"),"@drfahrettinka vaccine vaccine, so you have eaten the nation in the vaccine 121million dose of the results of the result cases are increasing the death number ... https://t.co/I6dntfcqli")</f>
        <v>@drfahrettinka vaccine vaccine, so you have eaten the nation in the vaccine 121million dose of the results of the result cases are increasing the death number ... https://t.co/I6dntfcqli</v>
      </c>
    </row>
    <row r="7817" spans="1:5" ht="15" customHeight="1" x14ac:dyDescent="0.2">
      <c r="A7817" s="1" t="s">
        <v>15565</v>
      </c>
      <c r="B7817" s="1">
        <v>0</v>
      </c>
      <c r="C7817" s="3">
        <v>44538.738518518519</v>
      </c>
      <c r="D7817" s="1" t="s">
        <v>15566</v>
      </c>
      <c r="E7817" s="1" t="str">
        <f ca="1">IFERROR(__xludf.DUMMYFUNCTION("GOOGLETRANSLATE(A4616 , ""tr"" , ""en"")"),"@drfahrettinkoca I have managed to stay healthy so far I didn't have COVID so far, family individuals in my family ... https://t.co/4edsva55lf")</f>
        <v>@drfahrettinkoca I have managed to stay healthy so far I didn't have COVID so far, family individuals in my family ... https://t.co/4edsva55lf</v>
      </c>
    </row>
    <row r="7818" spans="1:5" ht="15" customHeight="1" x14ac:dyDescent="0.2">
      <c r="A7818" s="1" t="s">
        <v>15567</v>
      </c>
      <c r="B7818" s="1">
        <v>2</v>
      </c>
      <c r="C7818" s="3">
        <v>44538.738356481481</v>
      </c>
      <c r="D7818" s="1" t="s">
        <v>15568</v>
      </c>
      <c r="E7818" s="1" t="str">
        <f ca="1">IFERROR(__xludf.DUMMYFUNCTION("GOOGLETRANSLATE(A4617 , ""tr"" , ""en"")"),"@drfahrettinkoca people are not afraid of vaccination, this experimental liquid and along with your inconsistent discourse, nation ... https://t.co/zgy1panjet")</f>
        <v>@drfahrettinkoca people are not afraid of vaccination, this experimental liquid and along with your inconsistent discourse, nation ... https://t.co/zgy1panjet</v>
      </c>
    </row>
    <row r="7819" spans="1:5" ht="15" customHeight="1" x14ac:dyDescent="0.2">
      <c r="A7819" s="1" t="s">
        <v>15569</v>
      </c>
      <c r="B7819" s="1">
        <v>0</v>
      </c>
      <c r="C7819" s="3">
        <v>44538.738240740742</v>
      </c>
      <c r="D7819" s="1" t="s">
        <v>15570</v>
      </c>
      <c r="E7819" s="1" t="str">
        <f ca="1">IFERROR(__xludf.DUMMYFUNCTION("GOOGLETRANSLATE(A4618 , ""tr"" , ""en"")"),"@drfahrettinkoca you are lying in accordance with the eye. Most of the hospitalized people are grafted. As you say MADEM v ... https://t.co/tkrmssyguqi")</f>
        <v>@drfahrettinkoca you are lying in accordance with the eye. Most of the hospitalized people are grafted. As you say MADEM v ... https://t.co/tkrmssyguqi</v>
      </c>
    </row>
    <row r="7820" spans="1:5" ht="15" customHeight="1" x14ac:dyDescent="0.2">
      <c r="A7820" s="1" t="s">
        <v>15571</v>
      </c>
      <c r="B7820" s="1">
        <v>0</v>
      </c>
      <c r="C7820" s="3">
        <v>44538.737800925926</v>
      </c>
      <c r="D7820" s="1" t="s">
        <v>15572</v>
      </c>
      <c r="E7820" s="1" t="str">
        <f ca="1">IFERROR(__xludf.DUMMYFUNCTION("GOOGLETRANSLATE(A4619 , ""tr"" , ""en"")"),"@drfahrettinka was 20 people a day while there were 20 people a day is inoculated 200 people! Wave are your night !!!")</f>
        <v>@drfahrettinka was 20 people a day while there were 20 people a day is inoculated 200 people! Wave are your night !!!</v>
      </c>
    </row>
    <row r="7821" spans="1:5" ht="15" customHeight="1" x14ac:dyDescent="0.2">
      <c r="A7821" s="1" t="s">
        <v>15573</v>
      </c>
      <c r="B7821" s="1">
        <v>6</v>
      </c>
      <c r="C7821" s="3">
        <v>44538.73773148148</v>
      </c>
      <c r="D7821" s="1" t="s">
        <v>15574</v>
      </c>
      <c r="E7821" s="1" t="str">
        <f ca="1">IFERROR(__xludf.DUMMYFUNCTION("GOOGLETRANSLATE(A4620 , ""tr"" , ""en"")"),"@drfahrettinkoca get on your responsibility if it is very safe. Don't sign paper to people. @drfahrettinkoca")</f>
        <v>@drfahrettinkoca get on your responsibility if it is very safe. Don't sign paper to people. @drfahrettinkoca</v>
      </c>
    </row>
    <row r="7822" spans="1:5" ht="15" customHeight="1" x14ac:dyDescent="0.2">
      <c r="A7822" s="1" t="s">
        <v>15575</v>
      </c>
      <c r="B7822" s="1">
        <v>0</v>
      </c>
      <c r="C7822" s="3">
        <v>44538.737650462965</v>
      </c>
      <c r="D7822" s="1" t="s">
        <v>15576</v>
      </c>
      <c r="E7822" s="1" t="str">
        <f ca="1">IFERROR(__xludf.DUMMYFUNCTION("GOOGLETRANSLATE(A4621 , ""tr"" , ""en"")"),"@drfahrettinkoca - Noldu was running out of pandem with 60% inoculation? - Sinovac was 100% prevented? - biontech intensive care ... https://t.co/5zvwlb3a3w")</f>
        <v>@drfahrettinkoca - Noldu was running out of pandem with 60% inoculation? - Sinovac was 100% prevented? - biontech intensive care ... https://t.co/5zvwlb3a3w</v>
      </c>
    </row>
    <row r="7823" spans="1:5" ht="15" customHeight="1" x14ac:dyDescent="0.2">
      <c r="A7823" s="1" t="s">
        <v>15577</v>
      </c>
      <c r="B7823" s="1">
        <v>2</v>
      </c>
      <c r="C7823" s="3">
        <v>44538.737430555557</v>
      </c>
      <c r="D7823" s="1" t="s">
        <v>15578</v>
      </c>
      <c r="E7823" s="1" t="str">
        <f ca="1">IFERROR(__xludf.DUMMYFUNCTION("GOOGLETRANSLATE(A4622 , ""tr"" , ""en"")"),"@drfahrettinka Minister Don't kill us please go to school everyone sitting on the hands of the buckle SINI ... https://t.co/1htcwid3mj")</f>
        <v>@drfahrettinka Minister Don't kill us please go to school everyone sitting on the hands of the buckle SINI ... https://t.co/1htcwid3mj</v>
      </c>
    </row>
    <row r="7824" spans="1:5" ht="15" customHeight="1" x14ac:dyDescent="0.2">
      <c r="A7824" s="1" t="s">
        <v>15579</v>
      </c>
      <c r="B7824" s="1">
        <v>0</v>
      </c>
      <c r="C7824" s="3">
        <v>44538.736898148149</v>
      </c>
      <c r="D7824" s="1" t="s">
        <v>15580</v>
      </c>
      <c r="E7824" s="1" t="str">
        <f ca="1">IFERROR(__xludf.DUMMYFUNCTION("GOOGLETRANSLATE(A4623 , ""tr"" , ""en"")"),"@drfahrettinkca is the person who lost the religious of you so much that you aren't even a single aspirin.")</f>
        <v>@drfahrettinkca is the person who lost the religious of you so much that you aren't even a single aspirin.</v>
      </c>
    </row>
    <row r="7825" spans="1:5" ht="15" customHeight="1" x14ac:dyDescent="0.2">
      <c r="A7825" s="1" t="s">
        <v>14531</v>
      </c>
      <c r="B7825" s="1">
        <v>0</v>
      </c>
      <c r="C7825" s="3">
        <v>44538.736840277779</v>
      </c>
      <c r="D7825" s="1" t="s">
        <v>15581</v>
      </c>
      <c r="E7825" s="1" t="str">
        <f ca="1">IFERROR(__xludf.DUMMYFUNCTION("GOOGLETRANSLATE(A4624 , ""tr"" , ""en"")"),"@drfahrettinkoca tmm")</f>
        <v>@drfahrettinkoca tmm</v>
      </c>
    </row>
    <row r="7826" spans="1:5" ht="15" customHeight="1" x14ac:dyDescent="0.2">
      <c r="A7826" s="1" t="s">
        <v>15582</v>
      </c>
      <c r="B7826" s="1">
        <v>0</v>
      </c>
      <c r="C7826" s="3">
        <v>44538.736574074072</v>
      </c>
      <c r="D7826" s="1" t="s">
        <v>15583</v>
      </c>
      <c r="E7826" s="1" t="str">
        <f ca="1">IFERROR(__xludf.DUMMYFUNCTION("GOOGLETRANSLATE(A4625 , ""tr"" , ""en"")"),"@drfahrettinkoca Dear husband Ned if the vaccination of these people will be full after how many vaccines will never be fully ... https://t.co/ellqqmvg4j")</f>
        <v>@drfahrettinkoca Dear husband Ned if the vaccination of these people will be full after how many vaccines will never be fully ... https://t.co/ellqqmvg4j</v>
      </c>
    </row>
    <row r="7827" spans="1:5" ht="15" customHeight="1" x14ac:dyDescent="0.2">
      <c r="A7827" s="1" t="s">
        <v>15584</v>
      </c>
      <c r="B7827" s="1">
        <v>0</v>
      </c>
      <c r="C7827" s="3">
        <v>44538.736562500002</v>
      </c>
      <c r="D7827" s="1" t="s">
        <v>15585</v>
      </c>
      <c r="E7827" s="1" t="str">
        <f ca="1">IFERROR(__xludf.DUMMYFUNCTION("GOOGLETRANSLATE(A4626 , ""tr"" , ""en"")"),"@drfahrettinkoca Valla Don't force the oddness. Valla Hicde is not perplexing. 3 to 5 years in the dates ... https://t.co/tgıdocc7dc")</f>
        <v>@drfahrettinkoca Valla Don't force the oddness. Valla Hicde is not perplexing. 3 to 5 years in the dates ... https://t.co/tgıdocc7dc</v>
      </c>
    </row>
    <row r="7828" spans="1:5" ht="15" customHeight="1" x14ac:dyDescent="0.2">
      <c r="A7828" s="1" t="s">
        <v>15586</v>
      </c>
      <c r="B7828" s="1">
        <v>0</v>
      </c>
      <c r="C7828" s="3">
        <v>44538.736504629633</v>
      </c>
      <c r="D7828" s="1" t="s">
        <v>15587</v>
      </c>
      <c r="E7828" s="1" t="str">
        <f ca="1">IFERROR(__xludf.DUMMYFUNCTION("GOOGLETRANSLATE(A4627 , ""tr"" , ""en"")"),"@drfahrettinkoca Guide where is my minister?")</f>
        <v>@drfahrettinkoca Guide where is my minister?</v>
      </c>
    </row>
    <row r="7829" spans="1:5" ht="15" customHeight="1" x14ac:dyDescent="0.2">
      <c r="A7829" s="1" t="s">
        <v>15588</v>
      </c>
      <c r="B7829" s="1">
        <v>0</v>
      </c>
      <c r="C7829" s="3">
        <v>44538.735868055555</v>
      </c>
      <c r="D7829" s="1" t="s">
        <v>15589</v>
      </c>
      <c r="E7829" s="1" t="str">
        <f ca="1">IFERROR(__xludf.DUMMYFUNCTION("GOOGLETRANSLATE(A4628 , ""tr"" , ""en"")"),"@drfahrettinkoca I say for you to understood from the statistics that I lie to the lie")</f>
        <v>@drfahrettinkoca I say for you to understood from the statistics that I lie to the lie</v>
      </c>
    </row>
    <row r="7830" spans="1:5" ht="15" customHeight="1" x14ac:dyDescent="0.2">
      <c r="A7830" s="1" t="s">
        <v>15590</v>
      </c>
      <c r="B7830" s="1">
        <v>0</v>
      </c>
      <c r="C7830" s="3">
        <v>44538.735648148147</v>
      </c>
      <c r="D7830" s="1" t="s">
        <v>15591</v>
      </c>
      <c r="E7830" s="1" t="str">
        <f ca="1">IFERROR(__xludf.DUMMYFUNCTION("GOOGLETRANSLATE(A4629 , ""tr"" , ""en"")"),"@drfahrettinkoca Halal get Urfaya men's brain works better than Ministry")</f>
        <v>@drfahrettinkoca Halal get Urfaya men's brain works better than Ministry</v>
      </c>
    </row>
    <row r="7831" spans="1:5" ht="15" customHeight="1" x14ac:dyDescent="0.2">
      <c r="A7831" s="1" t="s">
        <v>15592</v>
      </c>
      <c r="B7831" s="1">
        <v>0</v>
      </c>
      <c r="C7831" s="3">
        <v>44538.735219907408</v>
      </c>
      <c r="D7831" s="1" t="s">
        <v>15593</v>
      </c>
      <c r="E7831" s="1" t="str">
        <f ca="1">IFERROR(__xludf.DUMMYFUNCTION("GOOGLETRANSLATE(A4630 , ""tr"" , ""en"")"),"@drfahrettinkoca 1 month has passed the appointment news. Where is the guide?")</f>
        <v>@drfahrettinkoca 1 month has passed the appointment news. Where is the guide?</v>
      </c>
    </row>
    <row r="7832" spans="1:5" ht="15" customHeight="1" x14ac:dyDescent="0.2">
      <c r="A7832" s="1" t="s">
        <v>15594</v>
      </c>
      <c r="B7832" s="1">
        <v>6</v>
      </c>
      <c r="C7832" s="3">
        <v>44538.735150462962</v>
      </c>
      <c r="D7832" s="1" t="s">
        <v>15595</v>
      </c>
      <c r="E7832" s="1" t="str">
        <f ca="1">IFERROR(__xludf.DUMMYFUNCTION("GOOGLETRANSLATE(A4631 , ""tr"" , ""en"")"),"@drfahrettinkoca ""We don't know the MRNA vaccines that we don't know the medium and long maturity effects to our people Https://t.co/azue440tzu")</f>
        <v>@drfahrettinkoca "We don't know the MRNA vaccines that we don't know the medium and long maturity effects to our people Https://t.co/azue440tzu</v>
      </c>
    </row>
    <row r="7833" spans="1:5" ht="15" customHeight="1" x14ac:dyDescent="0.2">
      <c r="A7833" s="1" t="s">
        <v>15596</v>
      </c>
      <c r="B7833" s="1">
        <v>83</v>
      </c>
      <c r="C7833" s="3">
        <v>44538.73510416667</v>
      </c>
      <c r="D7833" s="1" t="s">
        <v>15597</v>
      </c>
      <c r="E7833" s="1" t="str">
        <f ca="1">IFERROR(__xludf.DUMMYFUNCTION("GOOGLETRANSLATE(A4632 , ""tr"" , ""en"")"),"@drfahrettinkoca We're tired of your only business counting the vaccine every evening! Madem is all right, how many children and young people going to school ... https://t.co/wjepervkvv")</f>
        <v>@drfahrettinkoca We're tired of your only business counting the vaccine every evening! Madem is all right, how many children and young people going to school ... https://t.co/wjepervkvv</v>
      </c>
    </row>
    <row r="7834" spans="1:5" ht="15" customHeight="1" x14ac:dyDescent="0.2">
      <c r="A7834" s="1" t="s">
        <v>15598</v>
      </c>
      <c r="B7834" s="1">
        <v>1</v>
      </c>
      <c r="C7834" s="3">
        <v>44538.735000000001</v>
      </c>
      <c r="D7834" s="1" t="s">
        <v>15599</v>
      </c>
      <c r="E7834" s="1" t="str">
        <f ca="1">IFERROR(__xludf.DUMMYFUNCTION("GOOGLETRANSLATE(A4633 , ""tr"" , ""en"")"),"@drfahrettinka vaccine is also rather than all the hic, ie we are all in no more")</f>
        <v>@drfahrettinka vaccine is also rather than all the hic, ie we are all in no more</v>
      </c>
    </row>
    <row r="7835" spans="1:5" ht="15" customHeight="1" x14ac:dyDescent="0.2">
      <c r="A7835" s="1" t="s">
        <v>15600</v>
      </c>
      <c r="B7835" s="1">
        <v>0</v>
      </c>
      <c r="C7835" s="3">
        <v>44538.734930555554</v>
      </c>
      <c r="D7835" s="1" t="s">
        <v>15601</v>
      </c>
      <c r="E7835" s="1" t="str">
        <f ca="1">IFERROR(__xludf.DUMMYFUNCTION("GOOGLETRANSLATE(A4634 , ""tr"" , ""en"")"),"@drfahrettinkoca bion in Germany in Germany, about 450 people in Germany every day most graftediyah, 50.000+ cases number.Comonomy")</f>
        <v>@drfahrettinkoca bion in Germany in Germany, about 450 people in Germany every day most graftediyah, 50.000+ cases number.Comonomy</v>
      </c>
    </row>
    <row r="7836" spans="1:5" ht="15" customHeight="1" x14ac:dyDescent="0.2">
      <c r="A7836" s="1" t="s">
        <v>15602</v>
      </c>
      <c r="B7836" s="1">
        <v>0</v>
      </c>
      <c r="C7836" s="3">
        <v>44538.734872685185</v>
      </c>
      <c r="D7836" s="1" t="s">
        <v>15603</v>
      </c>
      <c r="E7836" s="1" t="str">
        <f ca="1">IFERROR(__xludf.DUMMYFUNCTION("GOOGLETRANSLATE(A4635 , ""tr"" , ""en"")"),"@drfahrettinkoca Mr. Minister, Omicron for Omicron is said to vaccinate in Biontech. Other countries are after 3 months to citizens ... https://t.co/i6zwmduure")</f>
        <v>@drfahrettinkoca Mr. Minister, Omicron for Omicron is said to vaccinate in Biontech. Other countries are after 3 months to citizens ... https://t.co/i6zwmduure</v>
      </c>
    </row>
    <row r="7837" spans="1:5" ht="15" customHeight="1" x14ac:dyDescent="0.2">
      <c r="A7837" s="1" t="s">
        <v>15604</v>
      </c>
      <c r="B7837" s="1">
        <v>0</v>
      </c>
      <c r="C7837" s="3">
        <v>44538.734652777777</v>
      </c>
      <c r="D7837" s="1" t="s">
        <v>15605</v>
      </c>
      <c r="E7837" s="1" t="str">
        <f ca="1">IFERROR(__xludf.DUMMYFUNCTION("GOOGLETRANSLATE(A4636 , ""tr"" , ""en"")"),"@drfahrettinkoca Ministry of Intensive Care How many percentage of lies are full grown Why do you not know about this topic B ... https://t.co/jvgyv2tjr2")</f>
        <v>@drfahrettinkoca Ministry of Intensive Care How many percentage of lies are full grown Why do you not know about this topic B ... https://t.co/jvgyv2tjr2</v>
      </c>
    </row>
    <row r="7838" spans="1:5" ht="15" customHeight="1" x14ac:dyDescent="0.2">
      <c r="A7838" s="1" t="s">
        <v>15606</v>
      </c>
      <c r="B7838" s="1">
        <v>1</v>
      </c>
      <c r="C7838" s="3">
        <v>44538.734583333331</v>
      </c>
      <c r="D7838" s="1" t="s">
        <v>15607</v>
      </c>
      <c r="E7838" s="1" t="str">
        <f ca="1">IFERROR(__xludf.DUMMYFUNCTION("GOOGLETRANSLATE(A4637 , ""tr"" , ""en"")"),"@drfahrettinkoca If you have no response to anything You can turn off your Twitter account like Mahmut Ozer.")</f>
        <v>@drfahrettinkoca If you have no response to anything You can turn off your Twitter account like Mahmut Ozer.</v>
      </c>
    </row>
    <row r="7839" spans="1:5" ht="15" customHeight="1" x14ac:dyDescent="0.2">
      <c r="A7839" s="1" t="s">
        <v>15608</v>
      </c>
      <c r="B7839" s="1">
        <v>0</v>
      </c>
      <c r="C7839" s="3">
        <v>44538.734467592592</v>
      </c>
      <c r="D7839" s="1" t="s">
        <v>15609</v>
      </c>
      <c r="E7839" s="1" t="str">
        <f ca="1">IFERROR(__xludf.DUMMYFUNCTION("GOOGLETRANSLATE(A4638 , ""tr"" , ""en"")"),"@drfahrettinkoca you must remove HEPP completely. Life does not fit home, we won't fit in fit people, robot ... https://t.co/Ioh9wv1a6z")</f>
        <v>@drfahrettinkoca you must remove HEPP completely. Life does not fit home, we won't fit in fit people, robot ... https://t.co/Ioh9wv1a6z</v>
      </c>
    </row>
    <row r="7840" spans="1:5" ht="15" customHeight="1" x14ac:dyDescent="0.2">
      <c r="A7840" s="1" t="s">
        <v>15610</v>
      </c>
      <c r="B7840" s="1">
        <v>0</v>
      </c>
      <c r="C7840" s="3">
        <v>44538.734375</v>
      </c>
      <c r="D7840" s="1" t="s">
        <v>15611</v>
      </c>
      <c r="E7840" s="1" t="str">
        <f ca="1">IFERROR(__xludf.DUMMYFUNCTION("GOOGLETRANSLATE(A4639 , ""tr"" , ""en"")"),"@drfahrettinkoca is uncomfortable mask that causes discussions among people as no work ... https://t.co/mbaogtbfky")</f>
        <v>@drfahrettinkoca is uncomfortable mask that causes discussions among people as no work ... https://t.co/mbaogtbfky</v>
      </c>
    </row>
    <row r="7841" spans="1:5" ht="15" customHeight="1" x14ac:dyDescent="0.2">
      <c r="A7841" s="1" t="s">
        <v>15612</v>
      </c>
      <c r="B7841" s="1">
        <v>0</v>
      </c>
      <c r="C7841" s="3">
        <v>44538.734270833331</v>
      </c>
      <c r="D7841" s="1" t="s">
        <v>15613</v>
      </c>
      <c r="E7841" s="1" t="str">
        <f ca="1">IFERROR(__xludf.DUMMYFUNCTION("GOOGLETRANSLATE(A4640 , ""tr"" , ""en"")"),"@drfahrettinkoca We were caught in ours, like it is such a nightmare Madi very thankful I have never felt my Allah ... HTTPS://T.CO/XV25A2IFLN")</f>
        <v>@drfahrettinkoca We were caught in ours, like it is such a nightmare Madi very thankful I have never felt my Allah ... HTTPS://T.CO/XV25A2IFLN</v>
      </c>
    </row>
    <row r="7842" spans="1:5" ht="15" customHeight="1" x14ac:dyDescent="0.2">
      <c r="A7842" s="1" t="s">
        <v>15614</v>
      </c>
      <c r="B7842" s="1">
        <v>0</v>
      </c>
      <c r="C7842" s="3">
        <v>44538.734259259261</v>
      </c>
      <c r="D7842" s="1" t="s">
        <v>15615</v>
      </c>
      <c r="E7842" s="1" t="str">
        <f ca="1">IFERROR(__xludf.DUMMYFUNCTION("GOOGLETRANSLATE(A4641 , ""tr"" , ""en"")"),"@drfahrettinkoca is no longer what we need to do for guide, I can't sleep last time I can't work, economy ... https://t.co/f7rxc8qynk")</f>
        <v>@drfahrettinkoca is no longer what we need to do for guide, I can't sleep last time I can't work, economy ... https://t.co/f7rxc8qynk</v>
      </c>
    </row>
    <row r="7843" spans="1:5" ht="15" customHeight="1" x14ac:dyDescent="0.2">
      <c r="A7843" s="1" t="s">
        <v>15616</v>
      </c>
      <c r="B7843" s="1">
        <v>0</v>
      </c>
      <c r="C7843" s="3">
        <v>44538.734178240738</v>
      </c>
      <c r="D7843" s="1" t="s">
        <v>15617</v>
      </c>
      <c r="E7843" s="1" t="str">
        <f ca="1">IFERROR(__xludf.DUMMYFUNCTION("GOOGLETRANSLATE(A4642 , ""tr"" , ""en"")"),"@drfahrettinkoca ey khrettin You are the most so-called in this country")</f>
        <v>@drfahrettinkoca ey khrettin You are the most so-called in this country</v>
      </c>
    </row>
    <row r="7844" spans="1:5" ht="15" customHeight="1" x14ac:dyDescent="0.2">
      <c r="A7844" s="1" t="s">
        <v>15618</v>
      </c>
      <c r="B7844" s="1">
        <v>0</v>
      </c>
      <c r="C7844" s="3">
        <v>44538.734143518515</v>
      </c>
      <c r="D7844" s="1" t="s">
        <v>15619</v>
      </c>
      <c r="E7844" s="1" t="str">
        <f ca="1">IFERROR(__xludf.DUMMYFUNCTION("GOOGLETRANSLATE(A4643 , ""tr"" , ""en"")"),"@drfahrettinkoca is no longer what we need to do for guide, I can't sleep last time I can't work, economy ... https://t.co/kmhhgazmjk")</f>
        <v>@drfahrettinkoca is no longer what we need to do for guide, I can't sleep last time I can't work, economy ... https://t.co/kmhhgazmjk</v>
      </c>
    </row>
    <row r="7845" spans="1:5" ht="15" customHeight="1" x14ac:dyDescent="0.2">
      <c r="A7845" s="1" t="s">
        <v>15620</v>
      </c>
      <c r="B7845" s="1">
        <v>1</v>
      </c>
      <c r="C7845" s="3">
        <v>44538.7341087963</v>
      </c>
      <c r="D7845" s="1" t="s">
        <v>15621</v>
      </c>
      <c r="E7845" s="1" t="str">
        <f ca="1">IFERROR(__xludf.DUMMYFUNCTION("GOOGLETRANSLATE(A4644 , ""tr"" , ""en"")"),"@drfahrettinka https://t.co/E7BP4V7IRV")</f>
        <v>@drfahrettinka https://t.co/E7BP4V7IRV</v>
      </c>
    </row>
    <row r="7846" spans="1:5" ht="15" customHeight="1" x14ac:dyDescent="0.2">
      <c r="A7846" s="1" t="s">
        <v>15622</v>
      </c>
      <c r="B7846" s="1">
        <v>1</v>
      </c>
      <c r="C7846" s="3">
        <v>44538.7340625</v>
      </c>
      <c r="D7846" s="1" t="s">
        <v>15623</v>
      </c>
      <c r="E7846" s="1" t="str">
        <f ca="1">IFERROR(__xludf.DUMMYFUNCTION("GOOGLETRANSLATE(A4645 , ""tr"" , ""en"")"),"@drfahrettinkoca #kabineomicrongelmedonLine i think your no longer inconsistent explanations don't believe anyone")</f>
        <v>@drfahrettinkoca #kabineomicrongelmedonLine i think your no longer inconsistent explanations don't believe anyone</v>
      </c>
    </row>
    <row r="7847" spans="1:5" ht="15" customHeight="1" x14ac:dyDescent="0.2">
      <c r="A7847" s="1" t="s">
        <v>15624</v>
      </c>
      <c r="B7847" s="1">
        <v>0</v>
      </c>
      <c r="C7847" s="3">
        <v>44538.733993055554</v>
      </c>
      <c r="D7847" s="1" t="s">
        <v>15625</v>
      </c>
      <c r="E7847" s="1" t="str">
        <f ca="1">IFERROR(__xludf.DUMMYFUNCTION("GOOGLETRANSLATE(A4646 , ""tr"" , ""en"")"),"@drfahrettinkoca is no longer to do for the guide, I can't sleep, I can't sleep last day I can't work, economy ... https://t.co/1yexefaimy")</f>
        <v>@drfahrettinkoca is no longer to do for the guide, I can't sleep, I can't sleep last day I can't work, economy ... https://t.co/1yexefaimy</v>
      </c>
    </row>
    <row r="7848" spans="1:5" ht="15" customHeight="1" x14ac:dyDescent="0.2">
      <c r="A7848" s="1" t="s">
        <v>15626</v>
      </c>
      <c r="B7848" s="1">
        <v>2</v>
      </c>
      <c r="C7848" s="3">
        <v>44538.733831018515</v>
      </c>
      <c r="D7848" s="1" t="s">
        <v>15627</v>
      </c>
      <c r="E7848" s="1" t="str">
        <f ca="1">IFERROR(__xludf.DUMMYFUNCTION("GOOGLETRANSLATE(A4647 , ""tr"" , ""en"")"),"@drfahrettinkoca guide when to be published by Mr.")</f>
        <v>@drfahrettinkoca guide when to be published by Mr.</v>
      </c>
    </row>
    <row r="7849" spans="1:5" ht="15" customHeight="1" x14ac:dyDescent="0.2">
      <c r="A7849" s="1" t="s">
        <v>15628</v>
      </c>
      <c r="B7849" s="1">
        <v>1</v>
      </c>
      <c r="C7849" s="3">
        <v>44538.733807870369</v>
      </c>
      <c r="D7849" s="1" t="s">
        <v>15629</v>
      </c>
      <c r="E7849" s="1" t="str">
        <f ca="1">IFERROR(__xludf.DUMMYFUNCTION("GOOGLETRANSLATE(A4648 , ""tr"" , ""en"")"),"@drfahrettinkoca vaccine to say preliminary jurisdiction, say insecurity.")</f>
        <v>@drfahrettinkoca vaccine to say preliminary jurisdiction, say insecurity.</v>
      </c>
    </row>
    <row r="7850" spans="1:5" ht="15" customHeight="1" x14ac:dyDescent="0.2">
      <c r="A7850" s="1" t="s">
        <v>15630</v>
      </c>
      <c r="B7850" s="1">
        <v>1</v>
      </c>
      <c r="C7850" s="3">
        <v>44538.733541666668</v>
      </c>
      <c r="D7850" s="1" t="s">
        <v>15631</v>
      </c>
      <c r="E7850" s="1" t="str">
        <f ca="1">IFERROR(__xludf.DUMMYFUNCTION("GOOGLETRANSLATE(A4649 , ""tr"" , ""en"")"),"@drfahrettinkoca Mr. Minister to make you very great respect to you age 58 Full 40 days will be channel treatment di ... https://t.co/0tl3gg0xci")</f>
        <v>@drfahrettinkoca Mr. Minister to make you very great respect to you age 58 Full 40 days will be channel treatment di ... https://t.co/0tl3gg0xci</v>
      </c>
    </row>
    <row r="7851" spans="1:5" ht="15" customHeight="1" x14ac:dyDescent="0.2">
      <c r="A7851" s="1" t="s">
        <v>15632</v>
      </c>
      <c r="B7851" s="1">
        <v>0</v>
      </c>
      <c r="C7851" s="3">
        <v>44538.733472222222</v>
      </c>
      <c r="D7851" s="1" t="s">
        <v>15633</v>
      </c>
      <c r="E7851" s="1" t="str">
        <f ca="1">IFERROR(__xludf.DUMMYFUNCTION("GOOGLETRANSLATE(A4650 , ""tr"" , ""en"")"),"@drfahrettinkoca Sinovac did not say that the patient prevents the death. 2 dose you didn't say biontech 3 ... https://t.co/x27lutatbx")</f>
        <v>@drfahrettinkoca Sinovac did not say that the patient prevents the death. 2 dose you didn't say biontech 3 ... https://t.co/x27lutatbx</v>
      </c>
    </row>
    <row r="7852" spans="1:5" ht="15" customHeight="1" x14ac:dyDescent="0.2">
      <c r="A7852" s="1" t="s">
        <v>15634</v>
      </c>
      <c r="B7852" s="1">
        <v>0</v>
      </c>
      <c r="C7852" s="3">
        <v>44538.733391203707</v>
      </c>
      <c r="D7852" s="1" t="s">
        <v>15635</v>
      </c>
      <c r="E7852" s="1" t="str">
        <f ca="1">IFERROR(__xludf.DUMMYFUNCTION("GOOGLETRANSLATE(A4651 , ""tr"" , ""en"")"),"@drfahrettinkoca 2 dose vaccinated but the vaccination is soon to say how many dose of these vaccines in 3 doses soon say.")</f>
        <v>@drfahrettinkoca 2 dose vaccinated but the vaccination is soon to say how many dose of these vaccines in 3 doses soon say.</v>
      </c>
    </row>
    <row r="7853" spans="1:5" ht="15" customHeight="1" x14ac:dyDescent="0.2">
      <c r="A7853" s="1" t="s">
        <v>15636</v>
      </c>
      <c r="B7853" s="1">
        <v>1</v>
      </c>
      <c r="C7853" s="3">
        <v>44538.733356481483</v>
      </c>
      <c r="D7853" s="1" t="s">
        <v>15637</v>
      </c>
      <c r="E7853" s="1" t="str">
        <f ca="1">IFERROR(__xludf.DUMMYFUNCTION("GOOGLETRANSLATE(A4652 , ""tr"" , ""en"")"),"@drfahrettinkoca you think the flu is good to jump at home ?? Or the vaccine is the breath darigi piht and die in intensive care?")</f>
        <v>@drfahrettinkoca you think the flu is good to jump at home ?? Or the vaccine is the breath darigi piht and die in intensive care?</v>
      </c>
    </row>
    <row r="7854" spans="1:5" ht="15" customHeight="1" x14ac:dyDescent="0.2">
      <c r="A7854" s="1" t="s">
        <v>15638</v>
      </c>
      <c r="B7854" s="1">
        <v>15</v>
      </c>
      <c r="C7854" s="3">
        <v>44538.733275462961</v>
      </c>
      <c r="D7854" s="1" t="s">
        <v>15639</v>
      </c>
      <c r="E7854" s="1" t="str">
        <f ca="1">IFERROR(__xludf.DUMMYFUNCTION("GOOGLETRANSLATE(A4653 , ""tr"" , ""en"")"),"@drfahrettinkoca Intensive care lies were first inude, after the vaccine was not in full 🤣 Sinovac 95% hospital ... https://t.co/dgmn7csfqc")</f>
        <v>@drfahrettinkoca Intensive care lies were first inude, after the vaccine was not in full 🤣 Sinovac 95% hospital ... https://t.co/dgmn7csfqc</v>
      </c>
    </row>
    <row r="7855" spans="1:5" ht="15" customHeight="1" x14ac:dyDescent="0.2">
      <c r="A7855" s="1" t="s">
        <v>15640</v>
      </c>
      <c r="B7855" s="1">
        <v>1</v>
      </c>
      <c r="C7855" s="3">
        <v>44538.733206018522</v>
      </c>
      <c r="D7855" s="1" t="s">
        <v>15641</v>
      </c>
      <c r="E7855" s="1" t="str">
        <f ca="1">IFERROR(__xludf.DUMMYFUNCTION("GOOGLETRANSLATE(A4654 , ""tr"" , ""en"")"),"@drfahrettinkoca religion is lied to the faith! May Allah Breed!")</f>
        <v>@drfahrettinkoca religion is lied to the faith! May Allah Breed!</v>
      </c>
    </row>
    <row r="7856" spans="1:5" ht="15" customHeight="1" x14ac:dyDescent="0.2">
      <c r="A7856" s="1" t="s">
        <v>15642</v>
      </c>
      <c r="B7856" s="1">
        <v>29</v>
      </c>
      <c r="C7856" s="3">
        <v>44538.733043981483</v>
      </c>
      <c r="D7856" s="1" t="s">
        <v>15643</v>
      </c>
      <c r="E7856" s="1" t="str">
        <f ca="1">IFERROR(__xludf.DUMMYFUNCTION("GOOGLETRANSLATE(A4655 , ""tr"" , ""en"")"),"@drfahrettinkoca. 2. The opponents of the opponents why ... https://t.co/plpordn0f5")</f>
        <v>@drfahrettinkoca. 2. The opponents of the opponents why ... https://t.co/plpordn0f5</v>
      </c>
    </row>
    <row r="7857" spans="1:5" ht="15" customHeight="1" x14ac:dyDescent="0.2">
      <c r="A7857" s="1" t="s">
        <v>15644</v>
      </c>
      <c r="B7857" s="1">
        <v>0</v>
      </c>
      <c r="C7857" s="3">
        <v>44538.732951388891</v>
      </c>
      <c r="D7857" s="1" t="s">
        <v>15645</v>
      </c>
      <c r="E7857" s="1" t="str">
        <f ca="1">IFERROR(__xludf.DUMMYFUNCTION("GOOGLETRANSLATE(A4656 , ""tr"" , ""en"")"),"@drfahrettinkoca Healthparts have left work. Assignment waiting are the agenda. Doctors dodged not to get. No B ... HTTPS://T.CO/CVIS2I6EVC")</f>
        <v>@drfahrettinkoca Healthparts have left work. Assignment waiting are the agenda. Doctors dodged not to get. No B ... HTTPS://T.CO/CVIS2I6EVC</v>
      </c>
    </row>
    <row r="7858" spans="1:5" ht="15" customHeight="1" x14ac:dyDescent="0.2">
      <c r="A7858" s="1" t="s">
        <v>15646</v>
      </c>
      <c r="B7858" s="1">
        <v>3</v>
      </c>
      <c r="C7858" s="3">
        <v>44538.732766203706</v>
      </c>
      <c r="D7858" s="1" t="s">
        <v>15647</v>
      </c>
      <c r="E7858" s="1" t="str">
        <f ca="1">IFERROR(__xludf.DUMMYFUNCTION("GOOGLETRANSLATE(A4657 , ""tr"" , ""en"")"),"@drfahrettinkoca frighten? I think no one else is in your outside of you.")</f>
        <v>@drfahrettinkoca frighten? I think no one else is in your outside of you.</v>
      </c>
    </row>
    <row r="7859" spans="1:5" ht="15" customHeight="1" x14ac:dyDescent="0.2">
      <c r="A7859" s="1" t="s">
        <v>15648</v>
      </c>
      <c r="B7859" s="1">
        <v>0</v>
      </c>
      <c r="C7859" s="3">
        <v>44538.732743055552</v>
      </c>
      <c r="D7859" s="1" t="s">
        <v>15649</v>
      </c>
      <c r="E7859" s="1" t="str">
        <f ca="1">IFERROR(__xludf.DUMMYFUNCTION("GOOGLETRANSLATE(A4658 , ""tr"" , ""en"")"),"@drfahrettinkoca PleaseNNN Please do not have the cruising each day Please 1 dose = 2 dose of no-toseless 2 doses = missed 2 dose of dose.")</f>
        <v>@drfahrettinkoca PleaseNNN Please do not have the cruising each day Please 1 dose = 2 dose of no-toseless 2 doses = missed 2 dose of dose.</v>
      </c>
    </row>
    <row r="7860" spans="1:5" ht="15" customHeight="1" x14ac:dyDescent="0.2">
      <c r="A7860" s="1" t="s">
        <v>15650</v>
      </c>
      <c r="B7860" s="1">
        <v>0</v>
      </c>
      <c r="C7860" s="3">
        <v>44538.73233796296</v>
      </c>
      <c r="D7860" s="1" t="s">
        <v>15651</v>
      </c>
      <c r="E7860" s="1" t="str">
        <f ca="1">IFERROR(__xludf.DUMMYFUNCTION("GOOGLETRANSLATE(A4659 , ""tr"" , ""en"")"),"@drfahrettinkoca neyyyyyy 😂😂😂 ASASIA Ragmen saw the non-knowing game MILLET AMERICA What class is he")</f>
        <v>@drfahrettinkoca neyyyyyy 😂😂😂 ASASIA Ragmen saw the non-knowing game MILLET AMERICA What class is he</v>
      </c>
    </row>
    <row r="7861" spans="1:5" ht="15" customHeight="1" x14ac:dyDescent="0.2">
      <c r="A7861" s="1" t="s">
        <v>15652</v>
      </c>
      <c r="B7861" s="1">
        <v>0</v>
      </c>
      <c r="C7861" s="3">
        <v>44538.732129629629</v>
      </c>
      <c r="D7861" s="1" t="s">
        <v>15653</v>
      </c>
      <c r="E7861" s="1" t="str">
        <f ca="1">IFERROR(__xludf.DUMMYFUNCTION("GOOGLETRANSLATE(A4660 , ""tr"" , ""en"")"),"@drfahrettinkoca water table is also impossible to")</f>
        <v>@drfahrettinkoca water table is also impossible to</v>
      </c>
    </row>
    <row r="7862" spans="1:5" ht="15" customHeight="1" x14ac:dyDescent="0.2">
      <c r="A7862" s="1" t="s">
        <v>15654</v>
      </c>
      <c r="B7862" s="1">
        <v>1</v>
      </c>
      <c r="C7862" s="3">
        <v>44538.732083333336</v>
      </c>
      <c r="D7862" s="1" t="s">
        <v>15655</v>
      </c>
      <c r="E7862" s="1" t="str">
        <f ca="1">IFERROR(__xludf.DUMMYFUNCTION("GOOGLETRANSLATE(A4661 , ""tr"" , ""en"")"),"@drfahrettinkoca Mr. Ministry We are bored You are not bored of getting us waiting?")</f>
        <v>@drfahrettinkoca Mr. Ministry We are bored You are not bored of getting us waiting?</v>
      </c>
    </row>
    <row r="7863" spans="1:5" ht="15" customHeight="1" x14ac:dyDescent="0.2">
      <c r="A7863" s="1" t="s">
        <v>15656</v>
      </c>
      <c r="B7863" s="1">
        <v>10</v>
      </c>
      <c r="C7863" s="3">
        <v>44538.731898148151</v>
      </c>
      <c r="D7863" s="1" t="s">
        <v>15657</v>
      </c>
      <c r="E7863" s="1" t="str">
        <f ca="1">IFERROR(__xludf.DUMMYFUNCTION("GOOGLETRANSLATE(A4662 , ""tr"" , ""en"")"),"@drfahrettinkoca Would you describe the following ""prejudices""? A vaccine candidate who has already been involved in the phase study, on the world, on the world ... https://t.co/asgzglymrz")</f>
        <v>@drfahrettinkoca Would you describe the following "prejudices"? A vaccine candidate who has already been involved in the phase study, on the world, on the world ... https://t.co/asgzglymrz</v>
      </c>
    </row>
    <row r="7864" spans="1:5" ht="15" customHeight="1" x14ac:dyDescent="0.2">
      <c r="A7864" s="1" t="s">
        <v>15658</v>
      </c>
      <c r="B7864" s="1">
        <v>264</v>
      </c>
      <c r="C7864" s="3">
        <v>44538.731805555559</v>
      </c>
      <c r="D7864" s="1" t="s">
        <v>15659</v>
      </c>
      <c r="E7864" s="1" t="str">
        <f ca="1">IFERROR(__xludf.DUMMYFUNCTION("GOOGLETRANSLATE(A4663 , ""tr"" , ""en"")"),"@drfahrettinkoca Manisa City Hospital 2nd Step Kodid Intensive Care Unit Father in Intensive Care Since Nov 17 ... https://t.co/gc2pto6syo")</f>
        <v>@drfahrettinkoca Manisa City Hospital 2nd Step Kodid Intensive Care Unit Father in Intensive Care Since Nov 17 ... https://t.co/gc2pto6syo</v>
      </c>
    </row>
    <row r="7865" spans="1:5" ht="15" customHeight="1" x14ac:dyDescent="0.2">
      <c r="A7865" s="1" t="s">
        <v>15660</v>
      </c>
      <c r="B7865" s="1">
        <v>0</v>
      </c>
      <c r="C7865" s="3">
        <v>44538.73165509259</v>
      </c>
      <c r="D7865" s="1" t="s">
        <v>15661</v>
      </c>
      <c r="E7865" s="1" t="str">
        <f ca="1">IFERROR(__xludf.DUMMYFUNCTION("GOOGLETRANSLATE(A4664 , ""tr"" , ""en"")"),"@drfahrettinkoca you vaccinated the nation, and if we trap people home by closing people's workplaces ... https://t.co/pa2r5seqny")</f>
        <v>@drfahrettinkoca you vaccinated the nation, and if we trap people home by closing people's workplaces ... https://t.co/pa2r5seqny</v>
      </c>
    </row>
    <row r="7866" spans="1:5" ht="15" customHeight="1" x14ac:dyDescent="0.2">
      <c r="A7866" s="1" t="s">
        <v>15662</v>
      </c>
      <c r="B7866" s="1">
        <v>0</v>
      </c>
      <c r="C7866" s="3">
        <v>44538.731585648151</v>
      </c>
      <c r="D7866" s="1" t="s">
        <v>15663</v>
      </c>
      <c r="E7866" s="1" t="str">
        <f ca="1">IFERROR(__xludf.DUMMYFUNCTION("GOOGLETRANSLATE(A4665 , ""tr"" , ""en"")"),"@drfahrettinkoca is sufficient anymore ASI mandatory not saying PRC test for mandatory case factories A circulation Allah ... https://t.co/mikjhwlobs")</f>
        <v>@drfahrettinkoca is sufficient anymore ASI mandatory not saying PRC test for mandatory case factories A circulation Allah ... https://t.co/mikjhwlobs</v>
      </c>
    </row>
    <row r="7867" spans="1:5" ht="15" customHeight="1" x14ac:dyDescent="0.2">
      <c r="A7867" s="1" t="s">
        <v>15664</v>
      </c>
      <c r="B7867" s="1">
        <v>0</v>
      </c>
      <c r="C7867" s="3">
        <v>44538.731550925928</v>
      </c>
      <c r="D7867" s="1" t="s">
        <v>15665</v>
      </c>
      <c r="E7867" s="1" t="str">
        <f ca="1">IFERROR(__xludf.DUMMYFUNCTION("GOOGLETRANSLATE(A4666 , ""tr"" , ""en"")"),"@drfahrettinka we want vaccination under 12")</f>
        <v>@drfahrettinka we want vaccination under 12</v>
      </c>
    </row>
    <row r="7868" spans="1:5" ht="15" customHeight="1" x14ac:dyDescent="0.2">
      <c r="A7868" s="1" t="s">
        <v>15666</v>
      </c>
      <c r="B7868" s="1">
        <v>0</v>
      </c>
      <c r="C7868" s="3">
        <v>44538.731261574074</v>
      </c>
      <c r="D7868" s="1" t="s">
        <v>15667</v>
      </c>
      <c r="E7868" s="1" t="str">
        <f ca="1">IFERROR(__xludf.DUMMYFUNCTION("GOOGLETRANSLATE(A4667 , ""tr"" , ""en"")"),"@drfahrettinkoca regret we are not")</f>
        <v>@drfahrettinkoca regret we are not</v>
      </c>
    </row>
    <row r="7869" spans="1:5" ht="15" customHeight="1" x14ac:dyDescent="0.2">
      <c r="A7869" s="1" t="s">
        <v>15668</v>
      </c>
      <c r="B7869" s="1">
        <v>0</v>
      </c>
      <c r="C7869" s="3">
        <v>44538.731226851851</v>
      </c>
      <c r="D7869" s="1" t="s">
        <v>15669</v>
      </c>
      <c r="E7869" s="1" t="str">
        <f ca="1">IFERROR(__xludf.DUMMYFUNCTION("GOOGLETRANSLATE(A4668 , ""tr"" , ""en"")"),"@drfahrettinkoca Abi Hic Infigorial Notigo Figures Acikla Vallaha Gina came")</f>
        <v>@drfahrettinkoca Abi Hic Infigorial Notigo Figures Acikla Vallaha Gina came</v>
      </c>
    </row>
    <row r="7870" spans="1:5" ht="15" customHeight="1" x14ac:dyDescent="0.2">
      <c r="A7870" s="1" t="s">
        <v>15670</v>
      </c>
      <c r="B7870" s="1">
        <v>0</v>
      </c>
      <c r="C7870" s="3">
        <v>44538.731145833335</v>
      </c>
      <c r="D7870" s="1" t="s">
        <v>15671</v>
      </c>
      <c r="E7870" s="1" t="str">
        <f ca="1">IFERROR(__xludf.DUMMYFUNCTION("GOOGLETRANSLATE(A4669 , ""tr"" , ""en"")"),"@drfahrettinkoca hoca; We can't look like you to the event, we don't fund, we don't have a financial earnings, be different for you ... https://t.co/c10bpnuu3p")</f>
        <v>@drfahrettinkoca hoca; We can't look like you to the event, we don't fund, we don't have a financial earnings, be different for you ... https://t.co/c10bpnuu3p</v>
      </c>
    </row>
    <row r="7871" spans="1:5" ht="15" customHeight="1" x14ac:dyDescent="0.2">
      <c r="A7871" s="1" t="s">
        <v>15672</v>
      </c>
      <c r="B7871" s="1">
        <v>0</v>
      </c>
      <c r="C7871" s="3">
        <v>44538.731111111112</v>
      </c>
      <c r="D7871" s="1" t="s">
        <v>15673</v>
      </c>
      <c r="E7871" s="1" t="str">
        <f ca="1">IFERROR(__xludf.DUMMYFUNCTION("GOOGLETRANSLATE(A4670 , ""tr"" , ""en"")"),"@drfahrettinkoca Do you assign us? Tkk.")</f>
        <v>@drfahrettinkoca Do you assign us? Tkk.</v>
      </c>
    </row>
    <row r="7872" spans="1:5" ht="15" customHeight="1" x14ac:dyDescent="0.2">
      <c r="A7872" s="1" t="s">
        <v>15674</v>
      </c>
      <c r="B7872" s="1">
        <v>1</v>
      </c>
      <c r="C7872" s="3">
        <v>44538.73060185185</v>
      </c>
      <c r="D7872" s="1" t="s">
        <v>15675</v>
      </c>
      <c r="E7872" s="1" t="str">
        <f ca="1">IFERROR(__xludf.DUMMYFUNCTION("GOOGLETRANSLATE(A4671 , ""tr"" , ""en"")"),"@drfahrettinkoca where is the guide mr. HUSBAND? Wo ist die anleitung mr.coca? Donde Estela Guia Mr.Koca?")</f>
        <v>@drfahrettinkoca where is the guide mr. HUSBAND? Wo ist die anleitung mr.coca? Donde Estela Guia Mr.Koca?</v>
      </c>
    </row>
    <row r="7873" spans="1:5" ht="15" customHeight="1" x14ac:dyDescent="0.2">
      <c r="A7873" s="1" t="s">
        <v>15676</v>
      </c>
      <c r="B7873" s="1">
        <v>17</v>
      </c>
      <c r="C7873" s="3">
        <v>44538.730590277781</v>
      </c>
      <c r="D7873" s="1" t="s">
        <v>15677</v>
      </c>
      <c r="E7873" s="1" t="str">
        <f ca="1">IFERROR(__xludf.DUMMYFUNCTION("GOOGLETRANSLATE(A4672 , ""tr"" , ""en"")"),"@drfahrettinkoca is not the preliminary judgment. The presence of the virus is not the point vaccination is for me. Wishing to get the vaccination ... https://t.co/ey1jq7wuqq")</f>
        <v>@drfahrettinkoca is not the preliminary judgment. The presence of the virus is not the point vaccination is for me. Wishing to get the vaccination ... https://t.co/ey1jq7wuqq</v>
      </c>
    </row>
    <row r="7874" spans="1:5" ht="15" customHeight="1" x14ac:dyDescent="0.2">
      <c r="A7874" s="1" t="s">
        <v>15678</v>
      </c>
      <c r="B7874" s="1">
        <v>69</v>
      </c>
      <c r="C7874" s="3">
        <v>44538.730509259258</v>
      </c>
      <c r="D7874" s="1" t="s">
        <v>15679</v>
      </c>
      <c r="E7874" s="1" t="str">
        <f ca="1">IFERROR(__xludf.DUMMYFUNCTION("GOOGLETRANSLATE(A4673 , ""tr"" , ""en"")"),"@drfahrettinka is no it is a bit of printing and orders we are not like we are seeing these liquid they will see what happens ... https://t.co/3h14gvlyl2")</f>
        <v>@drfahrettinka is no it is a bit of printing and orders we are not like we are seeing these liquid they will see what happens ... https://t.co/3h14gvlyl2</v>
      </c>
    </row>
    <row r="7875" spans="1:5" ht="15" customHeight="1" x14ac:dyDescent="0.2">
      <c r="A7875" s="1" t="s">
        <v>15680</v>
      </c>
      <c r="B7875" s="1">
        <v>0</v>
      </c>
      <c r="C7875" s="3">
        <v>44538.730509259258</v>
      </c>
      <c r="D7875" s="1" t="s">
        <v>15681</v>
      </c>
      <c r="E7875" s="1" t="str">
        <f ca="1">IFERROR(__xludf.DUMMYFUNCTION("GOOGLETRANSLATE(A4674 , ""tr"" , ""en"")"),"@drfahrettinkoca guide guide ignoring no longer")</f>
        <v>@drfahrettinkoca guide guide ignoring no longer</v>
      </c>
    </row>
    <row r="7876" spans="1:5" ht="15" customHeight="1" x14ac:dyDescent="0.2">
      <c r="A7876" s="1" t="s">
        <v>15682</v>
      </c>
      <c r="B7876" s="1">
        <v>0</v>
      </c>
      <c r="C7876" s="3">
        <v>44538.730439814812</v>
      </c>
      <c r="D7876" s="1" t="s">
        <v>15683</v>
      </c>
      <c r="E7876" s="1" t="str">
        <f ca="1">IFERROR(__xludf.DUMMYFUNCTION("GOOGLETRANSLATE(A4675 , ""tr"" , ""en"")"),"@drfahrettinkoca pity you will find you in the Vebali, you will find you in the Vebali")</f>
        <v>@drfahrettinkoca pity you will find you in the Vebali, you will find you in the Vebali</v>
      </c>
    </row>
    <row r="7877" spans="1:5" ht="15" customHeight="1" x14ac:dyDescent="0.2">
      <c r="A7877" s="1" t="s">
        <v>15684</v>
      </c>
      <c r="B7877" s="1">
        <v>2</v>
      </c>
      <c r="C7877" s="3">
        <v>44538.73028935185</v>
      </c>
      <c r="D7877" s="1" t="s">
        <v>15685</v>
      </c>
      <c r="E7877" s="1" t="str">
        <f ca="1">IFERROR(__xludf.DUMMYFUNCTION("GOOGLETRANSLATE(A4676 , ""tr"" , ""en"")"),"@drfahrettinkoca Mr. Minister When vaccination increases, the cases exploding so you know it very well, but from your historic error ... https://t.co/ls2okyrcnu")</f>
        <v>@drfahrettinkoca Mr. Minister When vaccination increases, the cases exploding so you know it very well, but from your historic error ... https://t.co/ls2okyrcnu</v>
      </c>
    </row>
    <row r="7878" spans="1:5" ht="15" customHeight="1" x14ac:dyDescent="0.2">
      <c r="A7878" s="1" t="s">
        <v>15686</v>
      </c>
      <c r="B7878" s="1">
        <v>0</v>
      </c>
      <c r="C7878" s="3">
        <v>44538.729849537034</v>
      </c>
      <c r="D7878" s="1" t="s">
        <v>15687</v>
      </c>
      <c r="E7878" s="1" t="str">
        <f ca="1">IFERROR(__xludf.DUMMYFUNCTION("GOOGLETRANSLATE(A4677 , ""tr"" , ""en"")"),"@drfahrettinkoca Attention ❗❗❗Bubir Crime Announcement: @fettahtamince belongs to @embolinsaat Https://t.co/hbppusk5dq")</f>
        <v>@drfahrettinkoca Attention ❗❗❗Bubir Crime Announcement: @fettahtamince belongs to @embolinsaat Https://t.co/hbppusk5dq</v>
      </c>
    </row>
    <row r="7879" spans="1:5" ht="15" customHeight="1" x14ac:dyDescent="0.2">
      <c r="A7879" s="1" t="s">
        <v>15688</v>
      </c>
      <c r="B7879" s="1">
        <v>0</v>
      </c>
      <c r="C7879" s="3">
        <v>44538.729710648149</v>
      </c>
      <c r="D7879" s="1" t="s">
        <v>15689</v>
      </c>
      <c r="E7879" s="1" t="str">
        <f ca="1">IFERROR(__xludf.DUMMYFUNCTION("GOOGLETRANSLATE(A4678 , ""tr"" , ""en"")"),"@drfahrettinkoca guide except for everything 🤷♂️🤷♂️")</f>
        <v>@drfahrettinkoca guide except for everything 🤷♂️🤷♂️</v>
      </c>
    </row>
    <row r="7880" spans="1:5" ht="15" customHeight="1" x14ac:dyDescent="0.2">
      <c r="A7880" s="1" t="s">
        <v>15690</v>
      </c>
      <c r="B7880" s="1">
        <v>0</v>
      </c>
      <c r="C7880" s="3">
        <v>44538.729409722226</v>
      </c>
      <c r="D7880" s="1" t="s">
        <v>15691</v>
      </c>
      <c r="E7880" s="1" t="str">
        <f ca="1">IFERROR(__xludf.DUMMYFUNCTION("GOOGLETRANSLATE(A4679 , ""tr"" , ""en"")"),"@drfahrettinka are these figures correct?")</f>
        <v>@drfahrettinka are these figures correct?</v>
      </c>
    </row>
    <row r="7881" spans="1:5" ht="15" customHeight="1" x14ac:dyDescent="0.2">
      <c r="A7881" s="1" t="s">
        <v>15692</v>
      </c>
      <c r="B7881" s="1">
        <v>0</v>
      </c>
      <c r="C7881" s="3">
        <v>44538.729259259257</v>
      </c>
      <c r="D7881" s="1" t="s">
        <v>15693</v>
      </c>
      <c r="E7881" s="1" t="str">
        <f ca="1">IFERROR(__xludf.DUMMYFUNCTION("GOOGLETRANSLATE(A4680 , ""tr"" , ""en"")"),"@drfahrettinkoca is either a little embarrassed man or you go to the bottom of the place, doesn't believe you don't believe in your word journalist ... https://t.co/rgkzon8hif")</f>
        <v>@drfahrettinkoca is either a little embarrassed man or you go to the bottom of the place, doesn't believe you don't believe in your word journalist ... https://t.co/rgkzon8hif</v>
      </c>
    </row>
    <row r="7882" spans="1:5" ht="15" customHeight="1" x14ac:dyDescent="0.2">
      <c r="A7882" s="1" t="s">
        <v>15694</v>
      </c>
      <c r="B7882" s="1">
        <v>0</v>
      </c>
      <c r="C7882" s="3">
        <v>44538.729201388887</v>
      </c>
      <c r="D7882" s="1" t="s">
        <v>15695</v>
      </c>
      <c r="E7882" s="1" t="str">
        <f ca="1">IFERROR(__xludf.DUMMYFUNCTION("GOOGLETRANSLATE(A4681 , ""tr"" , ""en"")"),"@drfahrettinkoca Minister So this is the same population Germany in Germany 70 thousand cases we produce 20 thousand Diyer Europe Country ... https://t.co/xcd5lcfgwd")</f>
        <v>@drfahrettinkoca Minister So this is the same population Germany in Germany 70 thousand cases we produce 20 thousand Diyer Europe Country ... https://t.co/xcd5lcfgwd</v>
      </c>
    </row>
    <row r="7883" spans="1:5" ht="15" customHeight="1" x14ac:dyDescent="0.2">
      <c r="A7883" s="1" t="s">
        <v>15696</v>
      </c>
      <c r="B7883" s="1">
        <v>0</v>
      </c>
      <c r="C7883" s="3">
        <v>44538.729166666664</v>
      </c>
      <c r="D7883" s="1" t="s">
        <v>15697</v>
      </c>
      <c r="E7883" s="1" t="str">
        <f ca="1">IFERROR(__xludf.DUMMYFUNCTION("GOOGLETRANSLATE(A4682 , ""tr"" , ""en"")"),"@drfahrettinkoca assigning assigning those who are waiting so are those people don't have the vaccine to get along and eat the food.")</f>
        <v>@drfahrettinkoca assigning assigning those who are waiting so are those people don't have the vaccine to get along and eat the food.</v>
      </c>
    </row>
    <row r="7884" spans="1:5" ht="15" customHeight="1" x14ac:dyDescent="0.2">
      <c r="A7884" s="1" t="s">
        <v>15698</v>
      </c>
      <c r="B7884" s="1">
        <v>0</v>
      </c>
      <c r="C7884" s="3">
        <v>44538.729143518518</v>
      </c>
      <c r="D7884" s="1" t="s">
        <v>15699</v>
      </c>
      <c r="E7884" s="1" t="str">
        <f ca="1">IFERROR(__xludf.DUMMYFUNCTION("GOOGLETRANSLATE(A4683 , ""tr"" , ""en"")"),"@drfahrettinkoca We won't believe us as we don't believe us but Târihe note falls maybe say by saying, ... https://t.co/jl1ckccwd4")</f>
        <v>@drfahrettinkoca We won't believe us as we don't believe us but Târihe note falls maybe say by saying, ... https://t.co/jl1ckccwd4</v>
      </c>
    </row>
    <row r="7885" spans="1:5" ht="15" customHeight="1" x14ac:dyDescent="0.2">
      <c r="A7885" s="1" t="s">
        <v>15700</v>
      </c>
      <c r="B7885" s="1">
        <v>0</v>
      </c>
      <c r="C7885" s="3">
        <v>44538.729027777779</v>
      </c>
      <c r="D7885" s="1" t="s">
        <v>15701</v>
      </c>
      <c r="E7885" s="1" t="str">
        <f ca="1">IFERROR(__xludf.DUMMYFUNCTION("GOOGLETRANSLATE(A4684 , ""tr"" , ""en"")"),"@drfahrettinkoca I won't be an assigned Health Minister, I will not be unclear that liquid")</f>
        <v>@drfahrettinkoca I won't be an assigned Health Minister, I will not be unclear that liquid</v>
      </c>
    </row>
    <row r="7886" spans="1:5" ht="15" customHeight="1" x14ac:dyDescent="0.2">
      <c r="A7886" s="1" t="s">
        <v>15702</v>
      </c>
      <c r="B7886" s="1">
        <v>5</v>
      </c>
      <c r="C7886" s="3">
        <v>44538.729016203702</v>
      </c>
      <c r="D7886" s="1" t="s">
        <v>15703</v>
      </c>
      <c r="E7886" s="1" t="str">
        <f ca="1">IFERROR(__xludf.DUMMYFUNCTION("GOOGLETRANSLATE(A4685 , ""tr"" , ""en"")"),"@drfahrettinkoca Yahu bias no or something. Koskoca has been two years, patience is depleted. Still the same terane, new variant ... https://t.co/g5a6gbcyvo")</f>
        <v>@drfahrettinkoca Yahu bias no or something. Koskoca has been two years, patience is depleted. Still the same terane, new variant ... https://t.co/g5a6gbcyvo</v>
      </c>
    </row>
    <row r="7887" spans="1:5" ht="15" customHeight="1" x14ac:dyDescent="0.2">
      <c r="A7887" s="1" t="s">
        <v>15704</v>
      </c>
      <c r="B7887" s="1">
        <v>10</v>
      </c>
      <c r="C7887" s="3">
        <v>44538.728831018518</v>
      </c>
      <c r="D7887" s="1" t="s">
        <v>15705</v>
      </c>
      <c r="E7887" s="1" t="str">
        <f ca="1">IFERROR(__xludf.DUMMYFUNCTION("GOOGLETRANSLATE(A4686 , ""tr"" , ""en"")"),"@drfahrettinkoca This is only within 1 week of our neighborhood of 5 deaths in our neighborhood of Coronadan, which 192 death is ... https://t.co/e5s11amo8f")</f>
        <v>@drfahrettinkoca This is only within 1 week of our neighborhood of 5 deaths in our neighborhood of Coronadan, which 192 death is ... https://t.co/e5s11amo8f</v>
      </c>
    </row>
    <row r="7888" spans="1:5" ht="15" customHeight="1" x14ac:dyDescent="0.2">
      <c r="A7888" s="1" t="s">
        <v>15706</v>
      </c>
      <c r="B7888" s="1">
        <v>12</v>
      </c>
      <c r="C7888" s="3">
        <v>44538.728715277779</v>
      </c>
      <c r="D7888" s="1" t="s">
        <v>15707</v>
      </c>
      <c r="E7888" s="1" t="str">
        <f ca="1">IFERROR(__xludf.DUMMYFUNCTION("GOOGLETRANSLATE(A4687 , ""tr"" , ""en"")"),"@drfahrettinka you are what you're earning from disclosing the table of lying everyday. @drfahrettinkoca Minister.")</f>
        <v>@drfahrettinka you are what you're earning from disclosing the table of lying everyday. @drfahrettinkoca Minister.</v>
      </c>
    </row>
    <row r="7889" spans="1:5" ht="15" customHeight="1" x14ac:dyDescent="0.2">
      <c r="A7889" s="1" t="s">
        <v>15708</v>
      </c>
      <c r="B7889" s="1">
        <v>0</v>
      </c>
      <c r="C7889" s="3">
        <v>44538.728344907409</v>
      </c>
      <c r="D7889" s="1" t="s">
        <v>15709</v>
      </c>
      <c r="E7889" s="1" t="str">
        <f ca="1">IFERROR(__xludf.DUMMYFUNCTION("GOOGLETRANSLATE(A4688 , ""tr"" , ""en"")"),"@drfahrettinkoca # Bathroom !!!")</f>
        <v>@drfahrettinkoca # Bathroom !!!</v>
      </c>
    </row>
    <row r="7890" spans="1:5" ht="15" customHeight="1" x14ac:dyDescent="0.2">
      <c r="A7890" s="1" t="s">
        <v>15710</v>
      </c>
      <c r="B7890" s="1">
        <v>0</v>
      </c>
      <c r="C7890" s="3">
        <v>44538.727858796294</v>
      </c>
      <c r="D7890" s="1" t="s">
        <v>15711</v>
      </c>
      <c r="E7890" s="1" t="str">
        <f ca="1">IFERROR(__xludf.DUMMYFUNCTION("GOOGLETRANSLATE(A4689 , ""tr"" , ""en"")"),"Don't make @drfahrettinkoca turi no more come with appreciable concrete things. #aMorrectileHakanural In severity of health ... https://t.co/Iaq7gfobuc")</f>
        <v>Don't make @drfahrettinkoca turi no more come with appreciable concrete things. #aMorrectileHakanural In severity of health ... https://t.co/Iaq7gfobuc</v>
      </c>
    </row>
    <row r="7891" spans="1:5" ht="15" customHeight="1" x14ac:dyDescent="0.2">
      <c r="A7891" s="1" t="s">
        <v>15712</v>
      </c>
      <c r="B7891" s="1">
        <v>1</v>
      </c>
      <c r="C7891" s="3">
        <v>44538.727233796293</v>
      </c>
      <c r="D7891" s="1" t="s">
        <v>15713</v>
      </c>
      <c r="E7891" s="1" t="str">
        <f ca="1">IFERROR(__xludf.DUMMYFUNCTION("GOOGLETRANSLATE(A4690 , ""tr"" , ""en"")"),"@drfahrettinkoca We are not visible")</f>
        <v>@drfahrettinkoca We are not visible</v>
      </c>
    </row>
    <row r="7892" spans="1:5" ht="15" customHeight="1" x14ac:dyDescent="0.2">
      <c r="A7892" s="1" t="s">
        <v>15714</v>
      </c>
      <c r="B7892" s="1">
        <v>0</v>
      </c>
      <c r="C7892" s="3">
        <v>44538.726956018516</v>
      </c>
      <c r="D7892" s="1" t="s">
        <v>15715</v>
      </c>
      <c r="E7892" s="1" t="str">
        <f ca="1">IFERROR(__xludf.DUMMYFUNCTION("GOOGLETRANSLATE(A4691 , ""tr"" , ""en"")"),"@drfahrettinkoca Mr. Ministry, you do what you can don't see us.")</f>
        <v>@drfahrettinkoca Mr. Ministry, you do what you can don't see us.</v>
      </c>
    </row>
    <row r="7893" spans="1:5" ht="15" customHeight="1" x14ac:dyDescent="0.2">
      <c r="A7893" s="1" t="s">
        <v>15716</v>
      </c>
      <c r="B7893" s="1">
        <v>0</v>
      </c>
      <c r="C7893" s="3">
        <v>44538.726782407408</v>
      </c>
      <c r="D7893" s="1" t="s">
        <v>15717</v>
      </c>
      <c r="E7893" s="1" t="str">
        <f ca="1">IFERROR(__xludf.DUMMYFUNCTION("GOOGLETRANSLATE(A4692 , ""tr"" , ""en"")"),"@drfahrettinkoca advertisement crashed")</f>
        <v>@drfahrettinkoca advertisement crashed</v>
      </c>
    </row>
    <row r="7894" spans="1:5" ht="15" customHeight="1" x14ac:dyDescent="0.2">
      <c r="A7894" s="1" t="s">
        <v>15718</v>
      </c>
      <c r="B7894" s="1">
        <v>0</v>
      </c>
      <c r="C7894" s="3">
        <v>44538.726782407408</v>
      </c>
      <c r="D7894" s="1" t="s">
        <v>15719</v>
      </c>
      <c r="E7894" s="1" t="str">
        <f ca="1">IFERROR(__xludf.DUMMYFUNCTION("GOOGLETRANSLATE(A4693 , ""tr"" , ""en"")"),"@drfahrettinkoca Fahrettin I only believe that you say Allah 1 says that not for saying that I know myself I know ... https://t.co/ji8qjagnfj")</f>
        <v>@drfahrettinkoca Fahrettin I only believe that you say Allah 1 says that not for saying that I know myself I know ... https://t.co/ji8qjagnfj</v>
      </c>
    </row>
    <row r="7895" spans="1:5" ht="15" customHeight="1" x14ac:dyDescent="0.2">
      <c r="A7895" s="1" t="s">
        <v>15720</v>
      </c>
      <c r="B7895" s="1">
        <v>25</v>
      </c>
      <c r="C7895" s="3">
        <v>44538.726759259262</v>
      </c>
      <c r="D7895" s="1" t="s">
        <v>15721</v>
      </c>
      <c r="E7895" s="1" t="str">
        <f ca="1">IFERROR(__xludf.DUMMYFUNCTION("GOOGLETRANSLATE(A4694 , ""tr"" , ""en"")"),"@drfahrettinkoca 40 minutes with mask x 8 lessons! We can't stand !! #kabineomicrongelism")</f>
        <v>@drfahrettinkoca 40 minutes with mask x 8 lessons! We can't stand !! #kabineomicrongelism</v>
      </c>
    </row>
    <row r="7896" spans="1:5" ht="15" customHeight="1" x14ac:dyDescent="0.2">
      <c r="A7896" s="1" t="s">
        <v>15722</v>
      </c>
      <c r="B7896" s="1">
        <v>0</v>
      </c>
      <c r="C7896" s="3">
        <v>44538.726527777777</v>
      </c>
      <c r="D7896" s="1" t="s">
        <v>15723</v>
      </c>
      <c r="E7896" s="1" t="str">
        <f ca="1">IFERROR(__xludf.DUMMYFUNCTION("GOOGLETRANSLATE(A4695 , ""tr"" , ""en"")"),"@drfahrettinkoca Koskoca Turkey Republic of the Republic of Health Care of the Minister You are lying in the Beauty of the b ... https://t.co/lh9ysslcfn")</f>
        <v>@drfahrettinkoca Koskoca Turkey Republic of the Republic of Health Care of the Minister You are lying in the Beauty of the b ... https://t.co/lh9ysslcfn</v>
      </c>
    </row>
    <row r="7897" spans="1:5" ht="15" customHeight="1" x14ac:dyDescent="0.2">
      <c r="A7897" s="1" t="s">
        <v>12074</v>
      </c>
      <c r="B7897" s="1">
        <v>0</v>
      </c>
      <c r="C7897" s="3">
        <v>44538.726307870369</v>
      </c>
      <c r="D7897" s="1" t="s">
        <v>15724</v>
      </c>
      <c r="E7897" s="1" t="str">
        <f ca="1">IFERROR(__xludf.DUMMYFUNCTION("GOOGLETRANSLATE(A4696 , ""tr"" , ""en"")"),"@drfahrettinkoca we want to assign")</f>
        <v>@drfahrettinkoca we want to assign</v>
      </c>
    </row>
    <row r="7898" spans="1:5" ht="15" customHeight="1" x14ac:dyDescent="0.2">
      <c r="A7898" s="1" t="s">
        <v>15725</v>
      </c>
      <c r="B7898" s="1">
        <v>0</v>
      </c>
      <c r="C7898" s="3">
        <v>44538.7262962963</v>
      </c>
      <c r="D7898" s="1" t="s">
        <v>15726</v>
      </c>
      <c r="E7898" s="1" t="str">
        <f ca="1">IFERROR(__xludf.DUMMYFUNCTION("GOOGLETRANSLATE(A4697 , ""tr"" , ""en"")"),"@drfahrettinkoca Mr. Minister only and only the Haka that makes the colleagues in the Haka ... https://t.co/9xb0lf8mlb")</f>
        <v>@drfahrettinkoca Mr. Minister only and only the Haka that makes the colleagues in the Haka ... https://t.co/9xb0lf8mlb</v>
      </c>
    </row>
    <row r="7899" spans="1:5" ht="15" customHeight="1" x14ac:dyDescent="0.2">
      <c r="A7899" s="1" t="s">
        <v>15727</v>
      </c>
      <c r="B7899" s="1">
        <v>0</v>
      </c>
      <c r="C7899" s="3">
        <v>44538.72619212963</v>
      </c>
      <c r="D7899" s="1" t="s">
        <v>15728</v>
      </c>
      <c r="E7899" s="1" t="str">
        <f ca="1">IFERROR(__xludf.DUMMYFUNCTION("GOOGLETRANSLATE(A4698 , ""tr"" , ""en"")"),"@drfahrettinkoca patterlik vaccine")</f>
        <v>@drfahrettinkoca patterlik vaccine</v>
      </c>
    </row>
    <row r="7900" spans="1:5" ht="15" customHeight="1" x14ac:dyDescent="0.2">
      <c r="A7900" s="1" t="s">
        <v>10058</v>
      </c>
      <c r="B7900" s="1">
        <v>2</v>
      </c>
      <c r="C7900" s="3">
        <v>44538.725821759261</v>
      </c>
      <c r="D7900" s="1" t="s">
        <v>15729</v>
      </c>
      <c r="E7900" s="1" t="str">
        <f ca="1">IFERROR(__xludf.DUMMYFUNCTION("GOOGLETRANSLATE(A4699 , ""tr"" , ""en"")"),"@drfahrettinkoca Guide")</f>
        <v>@drfahrettinkoca Guide</v>
      </c>
    </row>
    <row r="7901" spans="1:5" ht="15" customHeight="1" x14ac:dyDescent="0.2">
      <c r="A7901" s="1" t="s">
        <v>15730</v>
      </c>
      <c r="B7901" s="1">
        <v>9</v>
      </c>
      <c r="C7901" s="3">
        <v>44538.725775462961</v>
      </c>
      <c r="D7901" s="1" t="s">
        <v>15731</v>
      </c>
      <c r="E7901" s="1" t="str">
        <f ca="1">IFERROR(__xludf.DUMMYFUNCTION("GOOGLETRANSLATE(A4700 , ""tr"" , ""en"")"),"@drfahrettinkoca staring Bey I will write you the last time. My son showed an allergic reaction after the second vaccine and the doctor d ... https://t.co/7rxzwmeygv")</f>
        <v>@drfahrettinkoca staring Bey I will write you the last time. My son showed an allergic reaction after the second vaccine and the doctor d ... https://t.co/7rxzwmeygv</v>
      </c>
    </row>
    <row r="7902" spans="1:5" ht="15" customHeight="1" x14ac:dyDescent="0.2">
      <c r="A7902" s="1" t="s">
        <v>15732</v>
      </c>
      <c r="B7902" s="1">
        <v>0</v>
      </c>
      <c r="C7902" s="3">
        <v>44538.725624999999</v>
      </c>
      <c r="D7902" s="1" t="s">
        <v>15733</v>
      </c>
      <c r="E7902" s="1" t="str">
        <f ca="1">IFERROR(__xludf.DUMMYFUNCTION("GOOGLETRANSLATE(A4701 , ""tr"" , ""en"")"),"@drfahrettinkoca No side impact Description No autopsy records NO Faulty and side effective drugs No report responsibility ... https://t.co/nytld4rxoh")</f>
        <v>@drfahrettinkoca No side impact Description No autopsy records NO Faulty and side effective drugs No report responsibility ... https://t.co/nytld4rxoh</v>
      </c>
    </row>
    <row r="7903" spans="1:5" ht="15" customHeight="1" x14ac:dyDescent="0.2">
      <c r="A7903" s="1" t="s">
        <v>15734</v>
      </c>
      <c r="B7903" s="1">
        <v>0</v>
      </c>
      <c r="C7903" s="3">
        <v>44538.725474537037</v>
      </c>
      <c r="D7903" s="1" t="s">
        <v>15735</v>
      </c>
      <c r="E7903" s="1" t="str">
        <f ca="1">IFERROR(__xludf.DUMMYFUNCTION("GOOGLETRANSLATE(A4702 , ""tr"" , ""en"")"),"@drfahrettinka Mr. Minister, I don't guess you're lying. I guess you are given incorrect information. H ... https://t.co/jvtplhmwyb")</f>
        <v>@drfahrettinka Mr. Minister, I don't guess you're lying. I guess you are given incorrect information. H ... https://t.co/jvtplhmwyb</v>
      </c>
    </row>
    <row r="7904" spans="1:5" ht="15" customHeight="1" x14ac:dyDescent="0.2">
      <c r="A7904" s="1" t="s">
        <v>15736</v>
      </c>
      <c r="B7904" s="1">
        <v>0</v>
      </c>
      <c r="C7904" s="3">
        <v>44538.725428240738</v>
      </c>
      <c r="D7904" s="1" t="s">
        <v>15737</v>
      </c>
      <c r="E7904" s="1" t="str">
        <f ca="1">IFERROR(__xludf.DUMMYFUNCTION("GOOGLETRANSLATE(A4703 , ""tr"" , ""en"")"),"@drfahrettinkoca Don't be so stashed in this pity We are the days we were shabby for a year of teenagers a description ... https://t.co/wgukhlkwn0")</f>
        <v>@drfahrettinkoca Don't be so stashed in this pity We are the days we were shabby for a year of teenagers a description ... https://t.co/wgukhlkwn0</v>
      </c>
    </row>
    <row r="7905" spans="1:5" ht="15" customHeight="1" x14ac:dyDescent="0.2">
      <c r="A7905" s="1" t="s">
        <v>15738</v>
      </c>
      <c r="B7905" s="1">
        <v>0</v>
      </c>
      <c r="C7905" s="3">
        <v>44538.725381944445</v>
      </c>
      <c r="D7905" s="1" t="s">
        <v>15739</v>
      </c>
      <c r="E7905" s="1" t="str">
        <f ca="1">IFERROR(__xludf.DUMMYFUNCTION("GOOGLETRANSLATE(A4704 , ""tr"" , ""en"")"),"@drfahrettinkoca Let's see who regrets? AAA Vaccine Rate Rewards Regret 😎 What doesn't have the vaccines? Your Lives! M ... https://t.co/tzppftmprd")</f>
        <v>@drfahrettinkoca Let's see who regrets? AAA Vaccine Rate Rewards Regret 😎 What doesn't have the vaccines? Your Lives! M ... https://t.co/tzppftmprd</v>
      </c>
    </row>
    <row r="7906" spans="1:5" ht="15" customHeight="1" x14ac:dyDescent="0.2">
      <c r="A7906" s="1" t="s">
        <v>15740</v>
      </c>
      <c r="B7906" s="1">
        <v>0</v>
      </c>
      <c r="C7906" s="3">
        <v>44538.725231481483</v>
      </c>
      <c r="D7906" s="1" t="s">
        <v>15741</v>
      </c>
      <c r="E7906" s="1" t="str">
        <f ca="1">IFERROR(__xludf.DUMMYFUNCTION("GOOGLETRANSLATE(A4705 , ""tr"" , ""en"")"),"@drfahrettinka Mr. Minister Screens all day on the target shown on the target showing the target of the target ... https://t.co/rjzwjfjsod")</f>
        <v>@drfahrettinka Mr. Minister Screens all day on the target shown on the target showing the target of the target ... https://t.co/rjzwjfjsod</v>
      </c>
    </row>
    <row r="7907" spans="1:5" ht="15" customHeight="1" x14ac:dyDescent="0.2">
      <c r="A7907" s="1" t="s">
        <v>15742</v>
      </c>
      <c r="B7907" s="1">
        <v>14</v>
      </c>
      <c r="C7907" s="3">
        <v>44538.725231481483</v>
      </c>
      <c r="D7907" s="1" t="s">
        <v>15743</v>
      </c>
      <c r="E7907" s="1" t="str">
        <f ca="1">IFERROR(__xludf.DUMMYFUNCTION("GOOGLETRANSLATE(A4706 , ""tr"" , ""en"")"),"@drfahrettinkoca teacher Why are you not used in vaccinating our children in keeping our children in the imprudent schools? Child ... https://t.co/qnl5nace9x")</f>
        <v>@drfahrettinkoca teacher Why are you not used in vaccinating our children in keeping our children in the imprudent schools? Child ... https://t.co/qnl5nace9x</v>
      </c>
    </row>
    <row r="7908" spans="1:5" ht="15" customHeight="1" x14ac:dyDescent="0.2">
      <c r="A7908" s="1" t="s">
        <v>15744</v>
      </c>
      <c r="B7908" s="1">
        <v>0</v>
      </c>
      <c r="C7908" s="3">
        <v>44538.725011574075</v>
      </c>
      <c r="D7908" s="1" t="s">
        <v>15745</v>
      </c>
      <c r="E7908" s="1" t="str">
        <f ca="1">IFERROR(__xludf.DUMMYFUNCTION("GOOGLETRANSLATE(A4707 , ""tr"" , ""en"")"),"@drfahrettinkoca @saglikbakanligi Mr. The Ministry of Ministry to be used in the fight against the Kovid, the principal ... https://t.co/lnvzk3l6mw")</f>
        <v>@drfahrettinkoca @saglikbakanligi Mr. The Ministry of Ministry to be used in the fight against the Kovid, the principal ... https://t.co/lnvzk3l6mw</v>
      </c>
    </row>
    <row r="7909" spans="1:5" ht="15" customHeight="1" x14ac:dyDescent="0.2">
      <c r="A7909" s="1" t="s">
        <v>15746</v>
      </c>
      <c r="B7909" s="1">
        <v>29</v>
      </c>
      <c r="C7909" s="3">
        <v>44538.725011574075</v>
      </c>
      <c r="D7909" s="1" t="s">
        <v>15747</v>
      </c>
      <c r="E7909" s="1" t="str">
        <f ca="1">IFERROR(__xludf.DUMMYFUNCTION("GOOGLETRANSLATE(A4708 , ""tr"" , ""en"")"),"@drfahrettinka says prejudice as well. Minimizing the experimental fluid that you do not know the middle and long-term side effects ... https://t.co/unyztgsdvl")</f>
        <v>@drfahrettinka says prejudice as well. Minimizing the experimental fluid that you do not know the middle and long-term side effects ... https://t.co/unyztgsdvl</v>
      </c>
    </row>
    <row r="7910" spans="1:5" ht="15" customHeight="1" x14ac:dyDescent="0.2">
      <c r="A7910" s="1" t="s">
        <v>15748</v>
      </c>
      <c r="B7910" s="1">
        <v>0</v>
      </c>
      <c r="C7910" s="3">
        <v>44538.724953703706</v>
      </c>
      <c r="D7910" s="1" t="s">
        <v>15749</v>
      </c>
      <c r="E7910" s="1" t="str">
        <f ca="1">IFERROR(__xludf.DUMMYFUNCTION("GOOGLETRANSLATE(A4709 , ""tr"" , ""en"")"),"@drfahrettinkoca How is this incomplete vaccine. Non 3.dosis are also accepted, this also don't say ... https://t.co/ipbm1nmrzb")</f>
        <v>@drfahrettinkoca How is this incomplete vaccine. Non 3.dosis are also accepted, this also don't say ... https://t.co/ipbm1nmrzb</v>
      </c>
    </row>
    <row r="7911" spans="1:5" ht="15" customHeight="1" x14ac:dyDescent="0.2">
      <c r="A7911" s="1" t="s">
        <v>15750</v>
      </c>
      <c r="B7911" s="1">
        <v>0</v>
      </c>
      <c r="C7911" s="3">
        <v>44538.724687499998</v>
      </c>
      <c r="D7911" s="1" t="s">
        <v>15751</v>
      </c>
      <c r="E7911" s="1" t="str">
        <f ca="1">IFERROR(__xludf.DUMMYFUNCTION("GOOGLETRANSLATE(A4710 , ""tr"" , ""en"")"),"@drfahrettinkoca what we've lost our losing")</f>
        <v>@drfahrettinkoca what we've lost our losing</v>
      </c>
    </row>
    <row r="7912" spans="1:5" ht="15" customHeight="1" x14ac:dyDescent="0.2">
      <c r="A7912" s="1" t="s">
        <v>15752</v>
      </c>
      <c r="B7912" s="1">
        <v>0</v>
      </c>
      <c r="C7912" s="3">
        <v>44538.72451388889</v>
      </c>
      <c r="D7912" s="1" t="s">
        <v>15753</v>
      </c>
      <c r="E7912" s="1" t="str">
        <f ca="1">IFERROR(__xludf.DUMMYFUNCTION("GOOGLETRANSLATE(A4711 , ""tr"" , ""en"")"),"@drfahrettinka Mr. Ministry of Mr. Minister Screens About your jobs that appear only on the beaten ... https://t.co/potecizydq")</f>
        <v>@drfahrettinka Mr. Ministry of Mr. Minister Screens About your jobs that appear only on the beaten ... https://t.co/potecizydq</v>
      </c>
    </row>
    <row r="7913" spans="1:5" ht="15" customHeight="1" x14ac:dyDescent="0.2">
      <c r="A7913" s="1" t="s">
        <v>15754</v>
      </c>
      <c r="B7913" s="1">
        <v>0</v>
      </c>
      <c r="C7913" s="3">
        <v>44538.724421296298</v>
      </c>
      <c r="D7913" s="1" t="s">
        <v>15755</v>
      </c>
      <c r="E7913" s="1" t="str">
        <f ca="1">IFERROR(__xludf.DUMMYFUNCTION("GOOGLETRANSLATE(A4712 , ""tr"" , ""en"")"),"@drfahrettinkoca We lost one year but #SbmerkezaatamaoeCasikavuz")</f>
        <v>@drfahrettinkoca We lost one year but #SbmerkezaatamaoeCasikavuz</v>
      </c>
    </row>
    <row r="7914" spans="1:5" ht="15" customHeight="1" x14ac:dyDescent="0.2">
      <c r="A7914" s="1" t="s">
        <v>15756</v>
      </c>
      <c r="B7914" s="1">
        <v>0</v>
      </c>
      <c r="C7914" s="3">
        <v>44538.724398148152</v>
      </c>
      <c r="D7914" s="1" t="s">
        <v>15757</v>
      </c>
      <c r="E7914" s="1" t="str">
        <f ca="1">IFERROR(__xludf.DUMMYFUNCTION("GOOGLETRANSLATE(A4713 , ""tr"" , ""en"")"),"Is it coincidence that the number of @drfahrettinkoca passesfat is a continuous 192?")</f>
        <v>Is it coincidence that the number of @drfahrettinkoca passesfat is a continuous 192?</v>
      </c>
    </row>
    <row r="7915" spans="1:5" ht="15" customHeight="1" x14ac:dyDescent="0.2">
      <c r="A7915" s="1" t="s">
        <v>15758</v>
      </c>
      <c r="B7915" s="1">
        <v>0</v>
      </c>
      <c r="C7915" s="3">
        <v>44538.72420138889</v>
      </c>
      <c r="D7915" s="1" t="s">
        <v>15759</v>
      </c>
      <c r="E7915" s="1" t="str">
        <f ca="1">IFERROR(__xludf.DUMMYFUNCTION("GOOGLETRANSLATE(A4714 , ""tr"" , ""en"")"),"@drfahrettinkoca Fahrettin Bey Full Vaccine How To Be Oil Oyuo")</f>
        <v>@drfahrettinkoca Fahrettin Bey Full Vaccine How To Be Oil Oyuo</v>
      </c>
    </row>
    <row r="7916" spans="1:5" ht="15" customHeight="1" x14ac:dyDescent="0.2">
      <c r="A7916" s="1" t="s">
        <v>15760</v>
      </c>
      <c r="B7916" s="1">
        <v>0</v>
      </c>
      <c r="C7916" s="3">
        <v>44538.724166666667</v>
      </c>
      <c r="D7916" s="1" t="s">
        <v>15761</v>
      </c>
      <c r="E7916" s="1" t="str">
        <f ca="1">IFERROR(__xludf.DUMMYFUNCTION("GOOGLETRANSLATE(A4715 , ""tr"" , ""en"")"),"@drfahrettinkoca bugunn kilavuuuzz")</f>
        <v>@drfahrettinkoca bugunn kilavuuuzz</v>
      </c>
    </row>
    <row r="7917" spans="1:5" ht="15" customHeight="1" x14ac:dyDescent="0.2">
      <c r="A7917" s="1" t="s">
        <v>15762</v>
      </c>
      <c r="B7917" s="1">
        <v>29</v>
      </c>
      <c r="C7917" s="3">
        <v>44538.724143518521</v>
      </c>
      <c r="D7917" s="1" t="s">
        <v>15763</v>
      </c>
      <c r="E7917" s="1" t="str">
        <f ca="1">IFERROR(__xludf.DUMMYFUNCTION("GOOGLETRANSLATE(A4716 , ""tr"" , ""en"")"),"@drfahrettinkoca ASI you say 12 you do not describe the mourning less, mask, distance, hygiene you call the control even ... https://t.co/nltikyodbt")</f>
        <v>@drfahrettinkoca ASI you say 12 you do not describe the mourning less, mask, distance, hygiene you call the control even ... https://t.co/nltikyodbt</v>
      </c>
    </row>
    <row r="7918" spans="1:5" ht="15" customHeight="1" x14ac:dyDescent="0.2">
      <c r="A7918" s="1" t="s">
        <v>15764</v>
      </c>
      <c r="B7918" s="1">
        <v>0</v>
      </c>
      <c r="C7918" s="3">
        <v>44538.724097222221</v>
      </c>
      <c r="D7918" s="1" t="s">
        <v>15765</v>
      </c>
      <c r="E7918" s="1" t="str">
        <f ca="1">IFERROR(__xludf.DUMMYFUNCTION("GOOGLETRANSLATE(A4717 , ""tr"" , ""en"")"),"@drfahrettinkoca You are the PFizer vaccine in the Ministry of Health? In the case of the vaccination, the virus is not spreading.")</f>
        <v>@drfahrettinkoca You are the PFizer vaccine in the Ministry of Health? In the case of the vaccination, the virus is not spreading.</v>
      </c>
    </row>
    <row r="7919" spans="1:5" ht="15" customHeight="1" x14ac:dyDescent="0.2">
      <c r="A7919" s="1" t="s">
        <v>15766</v>
      </c>
      <c r="B7919" s="1">
        <v>0</v>
      </c>
      <c r="C7919" s="3">
        <v>44538.724097222221</v>
      </c>
      <c r="D7919" s="1" t="s">
        <v>15767</v>
      </c>
      <c r="E7919" s="1" t="str">
        <f ca="1">IFERROR(__xludf.DUMMYFUNCTION("GOOGLETRANSLATE(A4718 , ""tr"" , ""en"")"),"@drfahrettinkoca guide bugunnn")</f>
        <v>@drfahrettinkoca guide bugunnn</v>
      </c>
    </row>
    <row r="7920" spans="1:5" ht="15" customHeight="1" x14ac:dyDescent="0.2">
      <c r="A7920" s="1" t="s">
        <v>15768</v>
      </c>
      <c r="B7920" s="1">
        <v>2</v>
      </c>
      <c r="C7920" s="3">
        <v>44538.723969907405</v>
      </c>
      <c r="D7920" s="1" t="s">
        <v>15769</v>
      </c>
      <c r="E7920" s="1" t="str">
        <f ca="1">IFERROR(__xludf.DUMMYFUNCTION("GOOGLETRANSLATE(A4719 , ""tr"" , ""en"")"),"@drfahrettinka yav what you have done with your sick fear? That pills even suddenly 16 than ever investigate ... https://t.co/gvvd2skfts")</f>
        <v>@drfahrettinka yav what you have done with your sick fear? That pills even suddenly 16 than ever investigate ... https://t.co/gvvd2skfts</v>
      </c>
    </row>
    <row r="7921" spans="1:5" ht="15" customHeight="1" x14ac:dyDescent="0.2">
      <c r="A7921" s="1" t="s">
        <v>15770</v>
      </c>
      <c r="B7921" s="1">
        <v>0</v>
      </c>
      <c r="C7921" s="3">
        <v>44538.723946759259</v>
      </c>
      <c r="D7921" s="1" t="s">
        <v>15771</v>
      </c>
      <c r="E7921" s="1" t="str">
        <f ca="1">IFERROR(__xludf.DUMMYFUNCTION("GOOGLETRANSLATE(A4720 , ""tr"" , ""en"")"),"@drfahrettinkoca Guide Bugunn")</f>
        <v>@drfahrettinkoca Guide Bugunn</v>
      </c>
    </row>
    <row r="7922" spans="1:5" ht="15" customHeight="1" x14ac:dyDescent="0.2">
      <c r="A7922" s="1" t="s">
        <v>15772</v>
      </c>
      <c r="B7922" s="1">
        <v>0</v>
      </c>
      <c r="C7922" s="3">
        <v>44538.723946759259</v>
      </c>
      <c r="D7922" s="1" t="s">
        <v>15773</v>
      </c>
      <c r="E7922" s="1" t="str">
        <f ca="1">IFERROR(__xludf.DUMMYFUNCTION("GOOGLETRANSLATE(A4721 , ""tr"" , ""en"")"),"@drfahrettinkoca Mr. Ministry of Hintless Explanations About Your Office Taken Everyday ... https://t.co/4ai1j5ihla")</f>
        <v>@drfahrettinkoca Mr. Ministry of Hintless Explanations About Your Office Taken Everyday ... https://t.co/4ai1j5ihla</v>
      </c>
    </row>
    <row r="7923" spans="1:5" ht="15" customHeight="1" x14ac:dyDescent="0.2">
      <c r="A7923" s="1" t="s">
        <v>15774</v>
      </c>
      <c r="B7923" s="1">
        <v>0</v>
      </c>
      <c r="C7923" s="3">
        <v>44538.723912037036</v>
      </c>
      <c r="D7923" s="1" t="s">
        <v>15775</v>
      </c>
      <c r="E7923" s="1" t="str">
        <f ca="1">IFERROR(__xludf.DUMMYFUNCTION("GOOGLETRANSLATE(A4722 , ""tr"" , ""en"")"),"@drfahrettinkoca for 2.5 years of lies and the case and deaths you specify according to your head, what won with false treatments ... https://t.co/ar4ruIzhb5")</f>
        <v>@drfahrettinkoca for 2.5 years of lies and the case and deaths you specify according to your head, what won with false treatments ... https://t.co/ar4ruIzhb5</v>
      </c>
    </row>
    <row r="7924" spans="1:5" ht="15" customHeight="1" x14ac:dyDescent="0.2">
      <c r="A7924" s="1" t="s">
        <v>15776</v>
      </c>
      <c r="B7924" s="1">
        <v>0</v>
      </c>
      <c r="C7924" s="3">
        <v>44538.723900462966</v>
      </c>
      <c r="D7924" s="1" t="s">
        <v>15777</v>
      </c>
      <c r="E7924" s="1" t="str">
        <f ca="1">IFERROR(__xludf.DUMMYFUNCTION("GOOGLETRANSLATE(A4723 , ""tr"" , ""en"")"),"@drfahrettinkoca guide today")</f>
        <v>@drfahrettinkoca guide today</v>
      </c>
    </row>
    <row r="7925" spans="1:5" ht="15" customHeight="1" x14ac:dyDescent="0.2">
      <c r="A7925" s="1" t="s">
        <v>15778</v>
      </c>
      <c r="B7925" s="1">
        <v>0</v>
      </c>
      <c r="C7925" s="3">
        <v>44538.723854166667</v>
      </c>
      <c r="D7925" s="1" t="s">
        <v>15779</v>
      </c>
      <c r="E7925" s="1" t="str">
        <f ca="1">IFERROR(__xludf.DUMMYFUNCTION("GOOGLETRANSLATE(A4724 , ""tr"" , ""en"")"),"@drfahrettinkoca Halki Listen you and your Ceyhani Kaale No more")</f>
        <v>@drfahrettinkoca Halki Listen you and your Ceyhani Kaale No more</v>
      </c>
    </row>
    <row r="7926" spans="1:5" ht="15" customHeight="1" x14ac:dyDescent="0.2">
      <c r="A7926" s="1" t="s">
        <v>15780</v>
      </c>
      <c r="B7926" s="1">
        <v>0</v>
      </c>
      <c r="C7926" s="3">
        <v>44538.72378472222</v>
      </c>
      <c r="D7926" s="1" t="s">
        <v>15781</v>
      </c>
      <c r="E7926" s="1" t="str">
        <f ca="1">IFERROR(__xludf.DUMMYFUNCTION("GOOGLETRANSLATE(A4725 , ""tr"" , ""en"")"),"@drfahrettinkoca kilavuzzz")</f>
        <v>@drfahrettinkoca kilavuzzz</v>
      </c>
    </row>
    <row r="7927" spans="1:5" ht="15" customHeight="1" x14ac:dyDescent="0.2">
      <c r="A7927" s="1" t="s">
        <v>15782</v>
      </c>
      <c r="B7927" s="1">
        <v>0</v>
      </c>
      <c r="C7927" s="3">
        <v>44538.723749999997</v>
      </c>
      <c r="D7927" s="1" t="s">
        <v>15783</v>
      </c>
      <c r="E7927" s="1" t="str">
        <f ca="1">IFERROR(__xludf.DUMMYFUNCTION("GOOGLETRANSLATE(A4726 , ""tr"" , ""en"")"),"@drfahrettinkoca regret selecting you the Minister of Saglia.")</f>
        <v>@drfahrettinkoca regret selecting you the Minister of Saglia.</v>
      </c>
    </row>
    <row r="7928" spans="1:5" ht="15" customHeight="1" x14ac:dyDescent="0.2">
      <c r="A7928" s="1" t="s">
        <v>15784</v>
      </c>
      <c r="B7928" s="1">
        <v>0</v>
      </c>
      <c r="C7928" s="3">
        <v>44538.723726851851</v>
      </c>
      <c r="D7928" s="1" t="s">
        <v>15785</v>
      </c>
      <c r="E7928" s="1" t="str">
        <f ca="1">IFERROR(__xludf.DUMMYFUNCTION("GOOGLETRANSLATE(A4727 , ""tr"" , ""en"")"),"@drfahrettinkoca Pilivu")</f>
        <v>@drfahrettinkoca Pilivu</v>
      </c>
    </row>
    <row r="7929" spans="1:5" ht="15" customHeight="1" x14ac:dyDescent="0.2">
      <c r="A7929" s="1" t="s">
        <v>15786</v>
      </c>
      <c r="B7929" s="1">
        <v>0</v>
      </c>
      <c r="C7929" s="3">
        <v>44538.723634259259</v>
      </c>
      <c r="D7929" s="1" t="s">
        <v>15787</v>
      </c>
      <c r="E7929" s="1" t="str">
        <f ca="1">IFERROR(__xludf.DUMMYFUNCTION("GOOGLETRANSLATE(A4728 , ""tr"" , ""en"")"),"@drfahrettinka are you people or human ????? We invite you to Natural")</f>
        <v>@drfahrettinka are you people or human ????? We invite you to Natural</v>
      </c>
    </row>
    <row r="7930" spans="1:5" ht="15" customHeight="1" x14ac:dyDescent="0.2">
      <c r="A7930" s="1" t="s">
        <v>15788</v>
      </c>
      <c r="B7930" s="1">
        <v>0</v>
      </c>
      <c r="C7930" s="3">
        <v>44538.723634259259</v>
      </c>
      <c r="D7930" s="1" t="s">
        <v>15789</v>
      </c>
      <c r="E7930" s="1" t="str">
        <f ca="1">IFERROR(__xludf.DUMMYFUNCTION("GOOGLETRANSLATE(A4729 , ""tr"" , ""en"")"),"@drfahrettinkoca has to come to the guide")</f>
        <v>@drfahrettinkoca has to come to the guide</v>
      </c>
    </row>
    <row r="7931" spans="1:5" ht="15" customHeight="1" x14ac:dyDescent="0.2">
      <c r="A7931" s="1" t="s">
        <v>15790</v>
      </c>
      <c r="B7931" s="1">
        <v>0</v>
      </c>
      <c r="C7931" s="3">
        <v>44538.723576388889</v>
      </c>
      <c r="D7931" s="1" t="s">
        <v>15791</v>
      </c>
      <c r="E7931" s="1" t="str">
        <f ca="1">IFERROR(__xludf.DUMMYFUNCTION("GOOGLETRANSLATE(A4730 , ""tr"" , ""en"")"),"@drfahrettinkoca guide should come")</f>
        <v>@drfahrettinkoca guide should come</v>
      </c>
    </row>
    <row r="7932" spans="1:5" ht="15" customHeight="1" x14ac:dyDescent="0.2">
      <c r="A7932" s="1" t="s">
        <v>15792</v>
      </c>
      <c r="B7932" s="1">
        <v>0</v>
      </c>
      <c r="C7932" s="3">
        <v>44538.723553240743</v>
      </c>
      <c r="D7932" s="1" t="s">
        <v>15793</v>
      </c>
      <c r="E7932" s="1" t="str">
        <f ca="1">IFERROR(__xludf.DUMMYFUNCTION("GOOGLETRANSLATE(A4731 , ""tr"" , ""en"")"),"@drfahrettinkoca conscience was immaculate because he had never used it")</f>
        <v>@drfahrettinkoca conscience was immaculate because he had never used it</v>
      </c>
    </row>
    <row r="7933" spans="1:5" ht="15" customHeight="1" x14ac:dyDescent="0.2">
      <c r="A7933" s="1" t="s">
        <v>15794</v>
      </c>
      <c r="B7933" s="1">
        <v>0</v>
      </c>
      <c r="C7933" s="3">
        <v>44538.723541666666</v>
      </c>
      <c r="D7933" s="1" t="s">
        <v>15795</v>
      </c>
      <c r="E7933" s="1" t="str">
        <f ca="1">IFERROR(__xludf.DUMMYFUNCTION("GOOGLETRANSLATE(A4732 , ""tr"" , ""en"")"),"@drfahrettinkoca Mr. Ministry An explanate the way to carve the eye of the nation, in the way of an explanation of your collectors ... https://t.co/dx2ku2jfxp")</f>
        <v>@drfahrettinkoca Mr. Ministry An explanate the way to carve the eye of the nation, in the way of an explanation of your collectors ... https://t.co/dx2ku2jfxp</v>
      </c>
    </row>
    <row r="7934" spans="1:5" ht="15" customHeight="1" x14ac:dyDescent="0.2">
      <c r="A7934" s="1" t="s">
        <v>15796</v>
      </c>
      <c r="B7934" s="1">
        <v>0</v>
      </c>
      <c r="C7934" s="3">
        <v>44538.72351851852</v>
      </c>
      <c r="D7934" s="1" t="s">
        <v>15797</v>
      </c>
      <c r="E7934" s="1" t="str">
        <f ca="1">IFERROR(__xludf.DUMMYFUNCTION("GOOGLETRANSLATE(A4733 , ""tr"" , ""en"")"),"@drfahrettinkoca that cares so much of the prejudice then the vaccines when there is forbidden due to the pandemy ... https://t.co/k9o4nbtnlq")</f>
        <v>@drfahrettinkoca that cares so much of the prejudice then the vaccines when there is forbidden due to the pandemy ... https://t.co/k9o4nbtnlq</v>
      </c>
    </row>
    <row r="7935" spans="1:5" ht="15" customHeight="1" x14ac:dyDescent="0.2">
      <c r="A7935" s="1" t="s">
        <v>15798</v>
      </c>
      <c r="B7935" s="1">
        <v>0</v>
      </c>
      <c r="C7935" s="3">
        <v>44538.723495370374</v>
      </c>
      <c r="D7935" s="1" t="s">
        <v>15799</v>
      </c>
      <c r="E7935" s="1" t="str">
        <f ca="1">IFERROR(__xludf.DUMMYFUNCTION("GOOGLETRANSLATE(A4734 , ""tr"" , ""en"")"),"@drfahrettinkoca kilavuzz")</f>
        <v>@drfahrettinkoca kilavuzz</v>
      </c>
    </row>
    <row r="7936" spans="1:5" ht="15" customHeight="1" x14ac:dyDescent="0.2">
      <c r="A7936" s="1" t="s">
        <v>15800</v>
      </c>
      <c r="B7936" s="1">
        <v>0</v>
      </c>
      <c r="C7936" s="3">
        <v>44538.723425925928</v>
      </c>
      <c r="D7936" s="1" t="s">
        <v>15801</v>
      </c>
      <c r="E7936" s="1" t="str">
        <f ca="1">IFERROR(__xludf.DUMMYFUNCTION("GOOGLETRANSLATE(A4735 , ""tr"" , ""en"")"),"@drfahrettinkoca guide gestures")</f>
        <v>@drfahrettinkoca guide gestures</v>
      </c>
    </row>
    <row r="7937" spans="1:5" ht="15" customHeight="1" x14ac:dyDescent="0.2">
      <c r="A7937" s="1" t="s">
        <v>15802</v>
      </c>
      <c r="B7937" s="1">
        <v>0</v>
      </c>
      <c r="C7937" s="3">
        <v>44538.723425925928</v>
      </c>
      <c r="D7937" s="1" t="s">
        <v>15803</v>
      </c>
      <c r="E7937" s="1" t="str">
        <f ca="1">IFERROR(__xludf.DUMMYFUNCTION("GOOGLETRANSLATE(A4736 , ""tr"" , ""en"")"),"@drfahrettinkoca We have become our vaccines, so what about our children? We send with fear everyday to school. 5-12 Y ... https://t.co/voxltlar8z")</f>
        <v>@drfahrettinkoca We have become our vaccines, so what about our children? We send with fear everyday to school. 5-12 Y ... https://t.co/voxltlar8z</v>
      </c>
    </row>
    <row r="7938" spans="1:5" ht="15" customHeight="1" x14ac:dyDescent="0.2">
      <c r="A7938" s="1" t="s">
        <v>15804</v>
      </c>
      <c r="B7938" s="1">
        <v>0</v>
      </c>
      <c r="C7938" s="3">
        <v>44538.723356481481</v>
      </c>
      <c r="D7938" s="1" t="s">
        <v>15805</v>
      </c>
      <c r="E7938" s="1" t="str">
        <f ca="1">IFERROR(__xludf.DUMMYFUNCTION("GOOGLETRANSLATE(A4737 , ""tr"" , ""en"")"),"@drfahrettinkoca Kilavuz")</f>
        <v>@drfahrettinkoca Kilavuz</v>
      </c>
    </row>
    <row r="7939" spans="1:5" ht="15" customHeight="1" x14ac:dyDescent="0.2">
      <c r="A7939" s="1" t="s">
        <v>15806</v>
      </c>
      <c r="B7939" s="1">
        <v>0</v>
      </c>
      <c r="C7939" s="3">
        <v>44538.723287037035</v>
      </c>
      <c r="D7939" s="1" t="s">
        <v>15807</v>
      </c>
      <c r="E7939" s="1" t="str">
        <f ca="1">IFERROR(__xludf.DUMMYFUNCTION("GOOGLETRANSLATE(A4738 , ""tr"" , ""en"")"),"@drfahrettinkoca kilavuzz")</f>
        <v>@drfahrettinkoca kilavuzz</v>
      </c>
    </row>
    <row r="7940" spans="1:5" ht="15" customHeight="1" x14ac:dyDescent="0.2">
      <c r="A7940" s="1" t="s">
        <v>15808</v>
      </c>
      <c r="B7940" s="1">
        <v>0</v>
      </c>
      <c r="C7940" s="3">
        <v>44538.72320601852</v>
      </c>
      <c r="D7940" s="1" t="s">
        <v>15809</v>
      </c>
      <c r="E7940" s="1" t="str">
        <f ca="1">IFERROR(__xludf.DUMMYFUNCTION("GOOGLETRANSLATE(A4739 , ""tr"" , ""en"")"),"@drfahrettinkoca Kids Why Vaccination is not made in an explanation of this issue caused no vaccination decision ... https://t.co/jfoj5oxk8d")</f>
        <v>@drfahrettinkoca Kids Why Vaccination is not made in an explanation of this issue caused no vaccination decision ... https://t.co/jfoj5oxk8d</v>
      </c>
    </row>
    <row r="7941" spans="1:5" ht="15" customHeight="1" x14ac:dyDescent="0.2">
      <c r="A7941" s="1" t="s">
        <v>15810</v>
      </c>
      <c r="B7941" s="1">
        <v>0</v>
      </c>
      <c r="C7941" s="3">
        <v>44538.723055555558</v>
      </c>
      <c r="D7941" s="1" t="s">
        <v>15811</v>
      </c>
      <c r="E7941" s="1" t="str">
        <f ca="1">IFERROR(__xludf.DUMMYFUNCTION("GOOGLETRANSLATE(A4740 , ""tr"" , ""en"")"),"@drfahrettinka Mr. Ministry of Ministry Screens are thoroughly destined to the target board in the audibility of each of the screens ... https://t.co/j8swbm0nso")</f>
        <v>@drfahrettinka Mr. Ministry of Ministry Screens are thoroughly destined to the target board in the audibility of each of the screens ... https://t.co/j8swbm0nso</v>
      </c>
    </row>
    <row r="7942" spans="1:5" ht="15" customHeight="1" x14ac:dyDescent="0.2">
      <c r="A7942" s="1" t="s">
        <v>15812</v>
      </c>
      <c r="B7942" s="1">
        <v>0</v>
      </c>
      <c r="C7942" s="3">
        <v>44538.723009259258</v>
      </c>
      <c r="D7942" s="1" t="s">
        <v>15813</v>
      </c>
      <c r="E7942" s="1" t="str">
        <f ca="1">IFERROR(__xludf.DUMMYFUNCTION("GOOGLETRANSLATE(A4741 , ""tr"" , ""en"")"),"@drfahrettinkoca hocam you are still avoiding sharing net statistics.")</f>
        <v>@drfahrettinkoca hocam you are still avoiding sharing net statistics.</v>
      </c>
    </row>
    <row r="7943" spans="1:5" ht="15" customHeight="1" x14ac:dyDescent="0.2">
      <c r="A7943" s="1" t="s">
        <v>15814</v>
      </c>
      <c r="B7943" s="1">
        <v>0</v>
      </c>
      <c r="C7943" s="3">
        <v>44538.722824074073</v>
      </c>
      <c r="D7943" s="1" t="s">
        <v>15815</v>
      </c>
      <c r="E7943" s="1" t="str">
        <f ca="1">IFERROR(__xludf.DUMMYFUNCTION("GOOGLETRANSLATE(A4742 , ""tr"" , ""en"")"),"@drfahrettinka We are atanamamis Saglikcilar Guide waiting for")</f>
        <v>@drfahrettinka We are atanamamis Saglikcilar Guide waiting for</v>
      </c>
    </row>
    <row r="7944" spans="1:5" ht="15" customHeight="1" x14ac:dyDescent="0.2">
      <c r="A7944" s="1" t="s">
        <v>15816</v>
      </c>
      <c r="B7944" s="1">
        <v>1</v>
      </c>
      <c r="C7944" s="3">
        <v>44538.722638888888</v>
      </c>
      <c r="D7944" s="1" t="s">
        <v>15817</v>
      </c>
      <c r="E7944" s="1" t="str">
        <f ca="1">IFERROR(__xludf.DUMMYFUNCTION("GOOGLETRANSLATE(A4743 , ""tr"" , ""en"")"),"@drfahrettinkoca vaccine more outdoor when they say. The only dose inactive hospitalization of you 100% ... https://t.co/XS3MWIXiaj")</f>
        <v>@drfahrettinkoca vaccine more outdoor when they say. The only dose inactive hospitalization of you 100% ... https://t.co/XS3MWIXiaj</v>
      </c>
    </row>
    <row r="7945" spans="1:5" ht="15" customHeight="1" x14ac:dyDescent="0.2">
      <c r="A7945" s="1" t="s">
        <v>15818</v>
      </c>
      <c r="B7945" s="1">
        <v>2</v>
      </c>
      <c r="C7945" s="3">
        <v>44538.722534722219</v>
      </c>
      <c r="D7945" s="1" t="s">
        <v>15819</v>
      </c>
      <c r="E7945" s="1" t="str">
        <f ca="1">IFERROR(__xludf.DUMMYFUNCTION("GOOGLETRANSLATE(A4744 , ""tr"" , ""en"")"),"@drfahrettinkoca no residual minister is not ignoring so that we have not been the guide for 1 year ... https://t.co/4jhhl84lyb")</f>
        <v>@drfahrettinkoca no residual minister is not ignoring so that we have not been the guide for 1 year ... https://t.co/4jhhl84lyb</v>
      </c>
    </row>
    <row r="7946" spans="1:5" ht="15" customHeight="1" x14ac:dyDescent="0.2">
      <c r="A7946" s="1" t="s">
        <v>15820</v>
      </c>
      <c r="B7946" s="1">
        <v>0</v>
      </c>
      <c r="C7946" s="3">
        <v>44538.722418981481</v>
      </c>
      <c r="D7946" s="1" t="s">
        <v>15821</v>
      </c>
      <c r="E7946" s="1" t="str">
        <f ca="1">IFERROR(__xludf.DUMMYFUNCTION("GOOGLETRANSLATE(A4745 , ""tr"" , ""en"")"),"@drfahrettinkoca Mr. Ministry At least this is about your counterparts that have a normal citizen of this homeland HA ... https://t.co/qc4zm7bpwt")</f>
        <v>@drfahrettinkoca Mr. Ministry At least this is about your counterparts that have a normal citizen of this homeland HA ... https://t.co/qc4zm7bpwt</v>
      </c>
    </row>
    <row r="7947" spans="1:5" ht="15" customHeight="1" x14ac:dyDescent="0.2">
      <c r="A7947" s="1" t="s">
        <v>15822</v>
      </c>
      <c r="B7947" s="1">
        <v>0</v>
      </c>
      <c r="C7947" s="3">
        <v>44538.722395833334</v>
      </c>
      <c r="D7947" s="1" t="s">
        <v>15823</v>
      </c>
      <c r="E7947" s="1" t="str">
        <f ca="1">IFERROR(__xludf.DUMMYFUNCTION("GOOGLETRANSLATE(A4746 , ""tr"" , ""en"")"),"@drfahrettinkoca Sabirla and still waiting for the guide I'm staring from you")</f>
        <v>@drfahrettinkoca Sabirla and still waiting for the guide I'm staring from you</v>
      </c>
    </row>
    <row r="7948" spans="1:5" ht="15" customHeight="1" x14ac:dyDescent="0.2">
      <c r="A7948" s="1" t="s">
        <v>15824</v>
      </c>
      <c r="B7948" s="1">
        <v>67</v>
      </c>
      <c r="C7948" s="3">
        <v>44538.722384259258</v>
      </c>
      <c r="D7948" s="1" t="s">
        <v>15825</v>
      </c>
      <c r="E7948" s="1" t="str">
        <f ca="1">IFERROR(__xludf.DUMMYFUNCTION("GOOGLETRANSLATE(A4747 , ""tr"" , ""en"")"),"@drfahrettinkoca Did you recommend to the Board of Subjects to the Board of Omicron on Omicron? ... https://t.co/foapk3mIRO")</f>
        <v>@drfahrettinkoca Did you recommend to the Board of Subjects to the Board of Omicron on Omicron? ... https://t.co/foapk3mIRO</v>
      </c>
    </row>
    <row r="7949" spans="1:5" ht="15" customHeight="1" x14ac:dyDescent="0.2">
      <c r="A7949" s="1" t="s">
        <v>15826</v>
      </c>
      <c r="B7949" s="1">
        <v>0</v>
      </c>
      <c r="C7949" s="3">
        <v>44538.722199074073</v>
      </c>
      <c r="D7949" s="1" t="s">
        <v>15827</v>
      </c>
      <c r="E7949" s="1" t="str">
        <f ca="1">IFERROR(__xludf.DUMMYFUNCTION("GOOGLETRANSLATE(A4748 , ""tr"" , ""en"")"),"@drfahrettinkoca people didn't frighten some of the vaccines. Memorizing your inconsistent discourse with yourself a ... https://t.co/s0nnytdg6k")</f>
        <v>@drfahrettinkoca people didn't frighten some of the vaccines. Memorizing your inconsistent discourse with yourself a ... https://t.co/s0nnytdg6k</v>
      </c>
    </row>
    <row r="7950" spans="1:5" ht="15" customHeight="1" x14ac:dyDescent="0.2">
      <c r="A7950" s="1" t="s">
        <v>15828</v>
      </c>
      <c r="B7950" s="1">
        <v>20</v>
      </c>
      <c r="C7950" s="3">
        <v>44538.722083333334</v>
      </c>
      <c r="D7950" s="1" t="s">
        <v>15829</v>
      </c>
      <c r="E7950" s="1" t="str">
        <f ca="1">IFERROR(__xludf.DUMMYFUNCTION("GOOGLETRANSLATE(A4749 , ""tr"" , ""en"")"),"@drfahrettinkoca has become his reasic with these restrictions. The artic has no more effect. Stay Clear Saca Sling ... https://t.co/tbtjf9dmf8")</f>
        <v>@drfahrettinkoca has become his reasic with these restrictions. The artic has no more effect. Stay Clear Saca Sling ... https://t.co/tbtjf9dmf8</v>
      </c>
    </row>
    <row r="7951" spans="1:5" ht="15" customHeight="1" x14ac:dyDescent="0.2">
      <c r="A7951" s="1" t="s">
        <v>15830</v>
      </c>
      <c r="B7951" s="1">
        <v>0</v>
      </c>
      <c r="C7951" s="3">
        <v>44538.721828703703</v>
      </c>
      <c r="D7951" s="1" t="s">
        <v>15831</v>
      </c>
      <c r="E7951" s="1" t="str">
        <f ca="1">IFERROR(__xludf.DUMMYFUNCTION("GOOGLETRANSLATE(A4750 , ""tr"" , ""en"")"),"@drfahrettinkoca Mr. Minister Now that you are brought to the point of release to leave the point of release ... https://t.co/wkl74wyırp")</f>
        <v>@drfahrettinkoca Mr. Minister Now that you are brought to the point of release to leave the point of release ... https://t.co/wkl74wyırp</v>
      </c>
    </row>
    <row r="7952" spans="1:5" ht="15" customHeight="1" x14ac:dyDescent="0.2">
      <c r="A7952" s="1" t="s">
        <v>15832</v>
      </c>
      <c r="B7952" s="1">
        <v>1</v>
      </c>
      <c r="C7952" s="3">
        <v>44538.721759259257</v>
      </c>
      <c r="D7952" s="1" t="s">
        <v>15833</v>
      </c>
      <c r="E7952" s="1" t="str">
        <f ca="1">IFERROR(__xludf.DUMMYFUNCTION("GOOGLETRANSLATE(A4751 , ""tr"" , ""en"")"),"@drfahrettinkoca What did you don't do the assignment?")</f>
        <v>@drfahrettinkoca What did you don't do the assignment?</v>
      </c>
    </row>
    <row r="7953" spans="1:5" ht="15" customHeight="1" x14ac:dyDescent="0.2">
      <c r="A7953" s="1" t="s">
        <v>15834</v>
      </c>
      <c r="B7953" s="1">
        <v>16</v>
      </c>
      <c r="C7953" s="3">
        <v>44538.72146990741</v>
      </c>
      <c r="D7953" s="1" t="s">
        <v>15835</v>
      </c>
      <c r="E7953" s="1" t="str">
        <f ca="1">IFERROR(__xludf.DUMMYFUNCTION("GOOGLETRANSLATE(A4752 , ""tr"" , ""en"")"),"@drfahrettinkoca vaccine When you say not complete, we have stayed at the last time.")</f>
        <v>@drfahrettinkoca vaccine When you say not complete, we have stayed at the last time.</v>
      </c>
    </row>
    <row r="7954" spans="1:5" ht="15" customHeight="1" x14ac:dyDescent="0.2">
      <c r="A7954" s="1" t="s">
        <v>15836</v>
      </c>
      <c r="B7954" s="1">
        <v>47</v>
      </c>
      <c r="C7954" s="3">
        <v>44538.721458333333</v>
      </c>
      <c r="D7954" s="1" t="s">
        <v>15837</v>
      </c>
      <c r="E7954" s="1" t="str">
        <f ca="1">IFERROR(__xludf.DUMMYFUNCTION("GOOGLETRANSLATE(A4753 , ""tr"" , ""en"")"),"@drfahrettinkoca Luxurious pimper says what brain paralysis causes death https://t.co/UIVUHGDCTD")</f>
        <v>@drfahrettinkoca Luxurious pimper says what brain paralysis causes death https://t.co/UIVUHGDCTD</v>
      </c>
    </row>
    <row r="7955" spans="1:5" ht="15" customHeight="1" x14ac:dyDescent="0.2">
      <c r="A7955" s="1" t="s">
        <v>15838</v>
      </c>
      <c r="B7955" s="1">
        <v>0</v>
      </c>
      <c r="C7955" s="3">
        <v>44538.721435185187</v>
      </c>
      <c r="D7955" s="1" t="s">
        <v>15839</v>
      </c>
      <c r="E7955" s="1" t="str">
        <f ca="1">IFERROR(__xludf.DUMMYFUNCTION("GOOGLETRANSLATE(A4754 , ""tr"" , ""en"")"),"@drfahrettinka https://t.co/i4e5xojajd")</f>
        <v>@drfahrettinka https://t.co/i4e5xojajd</v>
      </c>
    </row>
    <row r="7956" spans="1:5" ht="15" customHeight="1" x14ac:dyDescent="0.2">
      <c r="A7956" s="1" t="s">
        <v>15840</v>
      </c>
      <c r="B7956" s="1">
        <v>0</v>
      </c>
      <c r="C7956" s="3">
        <v>44538.721400462964</v>
      </c>
      <c r="D7956" s="1" t="s">
        <v>15841</v>
      </c>
      <c r="E7956" s="1" t="str">
        <f ca="1">IFERROR(__xludf.DUMMYFUNCTION("GOOGLETRANSLATE(A4755 , ""tr"" , ""en"")"),"@drfahrettinkoca Precious Ministry of Ministry of Hakan Ural for Hakan Ural, who has made an explanations about your communications ... https://t.co/z1t6fyloz8")</f>
        <v>@drfahrettinkoca Precious Ministry of Ministry of Hakan Ural for Hakan Ural, who has made an explanations about your communications ... https://t.co/z1t6fyloz8</v>
      </c>
    </row>
    <row r="7957" spans="1:5" ht="15" customHeight="1" x14ac:dyDescent="0.2">
      <c r="A7957" s="1" t="s">
        <v>15842</v>
      </c>
      <c r="B7957" s="1">
        <v>0</v>
      </c>
      <c r="C7957" s="3">
        <v>44538.721365740741</v>
      </c>
      <c r="D7957" s="1" t="s">
        <v>15843</v>
      </c>
      <c r="E7957" s="1" t="str">
        <f ca="1">IFERROR(__xludf.DUMMYFUNCTION("GOOGLETRANSLATE(A4756 , ""tr"" , ""en"")"),"@drfahrettinka https://t.co/ez81gl5kuc")</f>
        <v>@drfahrettinka https://t.co/ez81gl5kuc</v>
      </c>
    </row>
    <row r="7958" spans="1:5" ht="15" customHeight="1" x14ac:dyDescent="0.2">
      <c r="A7958" s="1" t="s">
        <v>15844</v>
      </c>
      <c r="B7958" s="1">
        <v>1</v>
      </c>
      <c r="C7958" s="3">
        <v>44538.721354166664</v>
      </c>
      <c r="D7958" s="1" t="s">
        <v>15845</v>
      </c>
      <c r="E7958" s="1" t="str">
        <f ca="1">IFERROR(__xludf.DUMMYFUNCTION("GOOGLETRANSLATE(A4757 , ""tr"" , ""en"")"),"@drfahrettinkoca SYN Minister Clavy is a moment as an agency please")</f>
        <v>@drfahrettinkoca SYN Minister Clavy is a moment as an agency please</v>
      </c>
    </row>
    <row r="7959" spans="1:5" ht="15" customHeight="1" x14ac:dyDescent="0.2">
      <c r="A7959" s="1" t="s">
        <v>15846</v>
      </c>
      <c r="B7959" s="1">
        <v>0</v>
      </c>
      <c r="C7959" s="3">
        <v>44538.721307870372</v>
      </c>
      <c r="D7959" s="1" t="s">
        <v>15847</v>
      </c>
      <c r="E7959" s="1" t="str">
        <f ca="1">IFERROR(__xludf.DUMMYFUNCTION("GOOGLETRANSLATE(A4758 , ""tr"" , ""en"")"),"@drfahrettinkoca is now enough good or make a bad statement Mr. Minister")</f>
        <v>@drfahrettinkoca is now enough good or make a bad statement Mr. Minister</v>
      </c>
    </row>
    <row r="7960" spans="1:5" ht="15" customHeight="1" x14ac:dyDescent="0.2">
      <c r="A7960" s="1" t="s">
        <v>15848</v>
      </c>
      <c r="B7960" s="1">
        <v>0</v>
      </c>
      <c r="C7960" s="3">
        <v>44538.721192129633</v>
      </c>
      <c r="D7960" s="1" t="s">
        <v>15849</v>
      </c>
      <c r="E7960" s="1" t="str">
        <f ca="1">IFERROR(__xludf.DUMMYFUNCTION("GOOGLETRANSLATE(A4759 , ""tr"" , ""en"")"),"@drfahrettinka https://t.co/l6aa2vdoss")</f>
        <v>@drfahrettinka https://t.co/l6aa2vdoss</v>
      </c>
    </row>
    <row r="7961" spans="1:5" ht="15" customHeight="1" x14ac:dyDescent="0.2">
      <c r="A7961" s="1" t="s">
        <v>15850</v>
      </c>
      <c r="B7961" s="1">
        <v>0</v>
      </c>
      <c r="C7961" s="3">
        <v>44538.721180555556</v>
      </c>
      <c r="D7961" s="1" t="s">
        <v>15851</v>
      </c>
      <c r="E7961" s="1" t="str">
        <f ca="1">IFERROR(__xludf.DUMMYFUNCTION("GOOGLETRANSLATE(A4760 , ""tr"" , ""en"")"),"@drfahrettinkoca Respectful Ministry of Hakan Ural for Hakan Ural about your Consultants in your ... https://t.co/grsykcjdbc")</f>
        <v>@drfahrettinkoca Respectful Ministry of Hakan Ural for Hakan Ural about your Consultants in your ... https://t.co/grsykcjdbc</v>
      </c>
    </row>
    <row r="7962" spans="1:5" ht="15" customHeight="1" x14ac:dyDescent="0.2">
      <c r="A7962" s="1" t="s">
        <v>15852</v>
      </c>
      <c r="B7962" s="1">
        <v>0</v>
      </c>
      <c r="C7962" s="3">
        <v>44538.721180555556</v>
      </c>
      <c r="D7962" s="1" t="s">
        <v>15853</v>
      </c>
      <c r="E7962" s="1" t="str">
        <f ca="1">IFERROR(__xludf.DUMMYFUNCTION("GOOGLETRANSLATE(A4761 , ""tr"" , ""en"")"),"@drfahrettinkoca corona finished we don't have our news overlook really quit you are never fucking out that task is not tired of fooling people")</f>
        <v>@drfahrettinkoca corona finished we don't have our news overlook really quit you are never fucking out that task is not tired of fooling people</v>
      </c>
    </row>
    <row r="7963" spans="1:5" ht="15" customHeight="1" x14ac:dyDescent="0.2">
      <c r="A7963" s="1" t="s">
        <v>15854</v>
      </c>
      <c r="B7963" s="1">
        <v>0</v>
      </c>
      <c r="C7963" s="3">
        <v>44538.721087962964</v>
      </c>
      <c r="D7963" s="1" t="s">
        <v>15855</v>
      </c>
      <c r="E7963" s="1" t="str">
        <f ca="1">IFERROR(__xludf.DUMMYFUNCTION("GOOGLETRANSLATE(A4762 , ""tr"" , ""en"")"),"@drfahrettinka https://t.co/r7fea7w1pd")</f>
        <v>@drfahrettinka https://t.co/r7fea7w1pd</v>
      </c>
    </row>
    <row r="7964" spans="1:5" ht="15" customHeight="1" x14ac:dyDescent="0.2">
      <c r="A7964" s="1" t="s">
        <v>10058</v>
      </c>
      <c r="B7964" s="1">
        <v>0</v>
      </c>
      <c r="C7964" s="3">
        <v>44538.720925925925</v>
      </c>
      <c r="D7964" s="1" t="s">
        <v>15856</v>
      </c>
      <c r="E7964" s="1" t="str">
        <f ca="1">IFERROR(__xludf.DUMMYFUNCTION("GOOGLETRANSLATE(A4763 , ""tr"" , ""en"")"),"@drfahrettinkoca Guide")</f>
        <v>@drfahrettinkoca Guide</v>
      </c>
    </row>
    <row r="7965" spans="1:5" ht="15" customHeight="1" x14ac:dyDescent="0.2">
      <c r="A7965" s="1" t="s">
        <v>15857</v>
      </c>
      <c r="B7965" s="1">
        <v>9</v>
      </c>
      <c r="C7965" s="3">
        <v>44538.720914351848</v>
      </c>
      <c r="D7965" s="1" t="s">
        <v>15858</v>
      </c>
      <c r="E7965" s="1" t="str">
        <f ca="1">IFERROR(__xludf.DUMMYFUNCTION("GOOGLETRANSLATE(A4764 , ""tr"" , ""en"")"),"@drfahrettinkoca We never have these billlin vaccines this satanist https://t.co/ezee8tvfy")</f>
        <v>@drfahrettinkoca We never have these billlin vaccines this satanist https://t.co/ezee8tvfy</v>
      </c>
    </row>
    <row r="7966" spans="1:5" ht="15" customHeight="1" x14ac:dyDescent="0.2">
      <c r="A7966" s="1" t="s">
        <v>15859</v>
      </c>
      <c r="B7966" s="1">
        <v>1</v>
      </c>
      <c r="C7966" s="3">
        <v>44538.720879629633</v>
      </c>
      <c r="D7966" s="1" t="s">
        <v>15860</v>
      </c>
      <c r="E7966" s="1" t="str">
        <f ca="1">IFERROR(__xludf.DUMMYFUNCTION("GOOGLETRANSLATE(A4765 , ""tr"" , ""en"")"),"Go to @drfahrettinkoca walk be. There is no vaccinations in the middle, you have fodder people to genetic experiments, you are writing without shameless.")</f>
        <v>Go to @drfahrettinkoca walk be. There is no vaccinations in the middle, you have fodder people to genetic experiments, you are writing without shameless.</v>
      </c>
    </row>
    <row r="7967" spans="1:5" ht="15" customHeight="1" x14ac:dyDescent="0.2">
      <c r="A7967" s="1" t="s">
        <v>15861</v>
      </c>
      <c r="B7967" s="1">
        <v>0</v>
      </c>
      <c r="C7967" s="3">
        <v>44538.720856481479</v>
      </c>
      <c r="D7967" s="1" t="s">
        <v>15862</v>
      </c>
      <c r="E7967" s="1" t="str">
        <f ca="1">IFERROR(__xludf.DUMMYFUNCTION("GOOGLETRANSLATE(A4766 , ""tr"" , ""en"")"),"@drfahrettinkoca Mr. Minister Ministry of Hakan Ural, who has had a Hakan Ural about your prospects ... https://t.co/ymtnxadlxf")</f>
        <v>@drfahrettinkoca Mr. Minister Ministry of Hakan Ural, who has had a Hakan Ural about your prospects ... https://t.co/ymtnxadlxf</v>
      </c>
    </row>
    <row r="7968" spans="1:5" ht="15" customHeight="1" x14ac:dyDescent="0.2">
      <c r="A7968" s="1" t="s">
        <v>15863</v>
      </c>
      <c r="B7968" s="1">
        <v>0</v>
      </c>
      <c r="C7968" s="3">
        <v>44538.72084490741</v>
      </c>
      <c r="D7968" s="1" t="s">
        <v>15864</v>
      </c>
      <c r="E7968" s="1" t="str">
        <f ca="1">IFERROR(__xludf.DUMMYFUNCTION("GOOGLETRANSLATE(A4767 , ""tr"" , ""en"")"),"@drfahrettinkoca # sbmerkeziatamaOneClavuz")</f>
        <v>@drfahrettinkoca # sbmerkeziatamaOneClavuz</v>
      </c>
    </row>
    <row r="7969" spans="1:5" ht="15" customHeight="1" x14ac:dyDescent="0.2">
      <c r="A7969" s="1" t="s">
        <v>15865</v>
      </c>
      <c r="B7969" s="1">
        <v>1</v>
      </c>
      <c r="C7969" s="3">
        <v>44538.720833333333</v>
      </c>
      <c r="D7969" s="1" t="s">
        <v>15866</v>
      </c>
      <c r="E7969" s="1" t="str">
        <f ca="1">IFERROR(__xludf.DUMMYFUNCTION("GOOGLETRANSLATE(A4768 , ""tr"" , ""en"")"),"@drfahrettinkoca sn overlooking @drfahrettinkoca What is going on why there are still assignment guidne ????? Why don't you description ??????")</f>
        <v>@drfahrettinkoca sn overlooking @drfahrettinkoca What is going on why there are still assignment guidne ????? Why don't you description ??????</v>
      </c>
    </row>
    <row r="7970" spans="1:5" ht="15" customHeight="1" x14ac:dyDescent="0.2">
      <c r="A7970" s="1" t="s">
        <v>15867</v>
      </c>
      <c r="B7970" s="1">
        <v>1</v>
      </c>
      <c r="C7970" s="3">
        <v>44538.72079861111</v>
      </c>
      <c r="D7970" s="1" t="s">
        <v>15868</v>
      </c>
      <c r="E7970" s="1" t="str">
        <f ca="1">IFERROR(__xludf.DUMMYFUNCTION("GOOGLETRANSLATE(A4769 , ""tr"" , ""en"")"),"@drfahrettinkoca what happens online get to die with no stuffyness #kabineomicrongelmeless")</f>
        <v>@drfahrettinkoca what happens online get to die with no stuffyness #kabineomicrongelmeless</v>
      </c>
    </row>
    <row r="7971" spans="1:5" ht="15" customHeight="1" x14ac:dyDescent="0.2">
      <c r="A7971" s="1" t="s">
        <v>15869</v>
      </c>
      <c r="B7971" s="1">
        <v>0</v>
      </c>
      <c r="C7971" s="3">
        <v>44538.72078703704</v>
      </c>
      <c r="D7971" s="1" t="s">
        <v>15870</v>
      </c>
      <c r="E7971" s="1" t="str">
        <f ca="1">IFERROR(__xludf.DUMMYFUNCTION("GOOGLETRANSLATE(A4770 , ""tr"" , ""en"")"),"@drfahrettinka do you need to get an appointment?")</f>
        <v>@drfahrettinka do you need to get an appointment?</v>
      </c>
    </row>
    <row r="7972" spans="1:5" ht="15" customHeight="1" x14ac:dyDescent="0.2">
      <c r="A7972" s="1" t="s">
        <v>15871</v>
      </c>
      <c r="B7972" s="1">
        <v>9</v>
      </c>
      <c r="C7972" s="3">
        <v>44538.72074074074</v>
      </c>
      <c r="D7972" s="1" t="s">
        <v>15872</v>
      </c>
      <c r="E7972" s="1" t="str">
        <f ca="1">IFERROR(__xludf.DUMMYFUNCTION("GOOGLETRANSLATE(A4771 , ""tr"" , ""en"")"),"@drfahrettinkoca is no longer what we need to do for guide, I can't sleep last time I can't work, economy ... https://t.co/jk6ynge9cn")</f>
        <v>@drfahrettinkoca is no longer what we need to do for guide, I can't sleep last time I can't work, economy ... https://t.co/jk6ynge9cn</v>
      </c>
    </row>
    <row r="7973" spans="1:5" ht="15" customHeight="1" x14ac:dyDescent="0.2">
      <c r="A7973" s="1" t="s">
        <v>15873</v>
      </c>
      <c r="B7973" s="1">
        <v>0</v>
      </c>
      <c r="C7973" s="3">
        <v>44538.720682870371</v>
      </c>
      <c r="D7973" s="1" t="s">
        <v>15874</v>
      </c>
      <c r="E7973" s="1" t="str">
        <f ca="1">IFERROR(__xludf.DUMMYFUNCTION("GOOGLETRANSLATE(A4772 , ""tr"" , ""en"")"),"@drfahrettinkoca Mr. Ministry of Ministry of Hakan Ural, who has made an explanations about your colleagues, explain Bi ... https://t.co/0wiq74wodb")</f>
        <v>@drfahrettinkoca Mr. Ministry of Ministry of Hakan Ural, who has made an explanations about your colleagues, explain Bi ... https://t.co/0wiq74wodb</v>
      </c>
    </row>
    <row r="7974" spans="1:5" ht="15" customHeight="1" x14ac:dyDescent="0.2">
      <c r="A7974" s="1" t="s">
        <v>15875</v>
      </c>
      <c r="B7974" s="1">
        <v>2</v>
      </c>
      <c r="C7974" s="3">
        <v>44538.720682870371</v>
      </c>
      <c r="D7974" s="1" t="s">
        <v>15876</v>
      </c>
      <c r="E7974" s="1" t="str">
        <f ca="1">IFERROR(__xludf.DUMMYFUNCTION("GOOGLETRANSLATE(A4773 , ""tr"" , ""en"")"),"@drfahrettinkoca is no longer what we need to do for guide, I can't sleep last day I can't work, economy ... https://t.co/qpugmzivyd")</f>
        <v>@drfahrettinkoca is no longer what we need to do for guide, I can't sleep last day I can't work, economy ... https://t.co/qpugmzivyd</v>
      </c>
    </row>
    <row r="7975" spans="1:5" ht="15" customHeight="1" x14ac:dyDescent="0.2">
      <c r="A7975" s="1" t="s">
        <v>15877</v>
      </c>
      <c r="B7975" s="1">
        <v>6</v>
      </c>
      <c r="C7975" s="3">
        <v>44538.720671296294</v>
      </c>
      <c r="D7975" s="1" t="s">
        <v>15878</v>
      </c>
      <c r="E7975" s="1" t="str">
        <f ca="1">IFERROR(__xludf.DUMMYFUNCTION("GOOGLETRANSLATE(A4774 , ""tr"" , ""en"")"),"@drfahrettinkoca people terrorizing millions of dose experimental fluiders close up chain markets virtual pa ... https://t.co/jma2qvrisd")</f>
        <v>@drfahrettinkoca people terrorizing millions of dose experimental fluiders close up chain markets virtual pa ... https://t.co/jma2qvrisd</v>
      </c>
    </row>
    <row r="7976" spans="1:5" ht="15" customHeight="1" x14ac:dyDescent="0.2">
      <c r="A7976" s="1" t="s">
        <v>15879</v>
      </c>
      <c r="B7976" s="1">
        <v>1</v>
      </c>
      <c r="C7976" s="3">
        <v>44538.720613425925</v>
      </c>
      <c r="D7976" s="1" t="s">
        <v>15880</v>
      </c>
      <c r="E7976" s="1" t="str">
        <f ca="1">IFERROR(__xludf.DUMMYFUNCTION("GOOGLETRANSLATE(A4775 , ""tr"" , ""en"")"),"@drfahrettinkoca is no longer what we need to do for guide, I can't sleep last time I can't work, economy ... https://t.co/glaymv7uvi")</f>
        <v>@drfahrettinkoca is no longer what we need to do for guide, I can't sleep last time I can't work, economy ... https://t.co/glaymv7uvi</v>
      </c>
    </row>
    <row r="7977" spans="1:5" ht="15" customHeight="1" x14ac:dyDescent="0.2">
      <c r="A7977" s="1" t="s">
        <v>15881</v>
      </c>
      <c r="B7977" s="1">
        <v>0</v>
      </c>
      <c r="C7977" s="3">
        <v>44538.720381944448</v>
      </c>
      <c r="D7977" s="1" t="s">
        <v>15882</v>
      </c>
      <c r="E7977" s="1" t="str">
        <f ca="1">IFERROR(__xludf.DUMMYFUNCTION("GOOGLETRANSLATE(A4776 , ""tr"" , ""en"")"),"@drfahrettinkoca What's the dose of compliance with the environment?")</f>
        <v>@drfahrettinkoca What's the dose of compliance with the environment?</v>
      </c>
    </row>
    <row r="7978" spans="1:5" ht="15" customHeight="1" x14ac:dyDescent="0.2">
      <c r="A7978" s="1" t="s">
        <v>15883</v>
      </c>
      <c r="B7978" s="1">
        <v>0</v>
      </c>
      <c r="C7978" s="3">
        <v>44538.720358796294</v>
      </c>
      <c r="D7978" s="1" t="s">
        <v>15884</v>
      </c>
      <c r="E7978" s="1" t="str">
        <f ca="1">IFERROR(__xludf.DUMMYFUNCTION("GOOGLETRANSLATE(A4777 , ""tr"" , ""en"")"),"@drfahrettinkoca Turkey's percent ninety doesn't believe you anymore")</f>
        <v>@drfahrettinkoca Turkey's percent ninety doesn't believe you anymore</v>
      </c>
    </row>
    <row r="7979" spans="1:5" ht="15" customHeight="1" x14ac:dyDescent="0.2">
      <c r="A7979" s="1" t="s">
        <v>15885</v>
      </c>
      <c r="B7979" s="1">
        <v>6</v>
      </c>
      <c r="C7979" s="3">
        <v>44538.720324074071</v>
      </c>
      <c r="D7979" s="1" t="s">
        <v>15886</v>
      </c>
      <c r="E7979" s="1" t="str">
        <f ca="1">IFERROR(__xludf.DUMMYFUNCTION("GOOGLETRANSLATE(A4778 , ""tr"" , ""en"")"),"@drfahrettinkoca is no longer what we need to do for the guide, I can't sleep last time I can't work, economy ... https://t.co/ktesnmlqcx")</f>
        <v>@drfahrettinkoca is no longer what we need to do for the guide, I can't sleep last time I can't work, economy ... https://t.co/ktesnmlqcx</v>
      </c>
    </row>
    <row r="7980" spans="1:5" ht="15" customHeight="1" x14ac:dyDescent="0.2">
      <c r="A7980" s="1" t="s">
        <v>15887</v>
      </c>
      <c r="B7980" s="1">
        <v>0</v>
      </c>
      <c r="C7980" s="3">
        <v>44538.720243055555</v>
      </c>
      <c r="D7980" s="1" t="s">
        <v>15888</v>
      </c>
      <c r="E7980" s="1" t="str">
        <f ca="1">IFERROR(__xludf.DUMMYFUNCTION("GOOGLETRANSLATE(A4779 , ""tr"" , ""en"")"),"@drfahrettinkoca Mr. Ministry of Mr. Explain the Hakan Ural, who has had a comic explanations about your collocations ... https://t.co/4jsyxvu61o")</f>
        <v>@drfahrettinkoca Mr. Ministry of Mr. Explain the Hakan Ural, who has had a comic explanations about your collocations ... https://t.co/4jsyxvu61o</v>
      </c>
    </row>
    <row r="7981" spans="1:5" ht="15" customHeight="1" x14ac:dyDescent="0.2">
      <c r="A7981" s="1" t="s">
        <v>15889</v>
      </c>
      <c r="B7981" s="1">
        <v>0</v>
      </c>
      <c r="C7981" s="3">
        <v>44538.720057870371</v>
      </c>
      <c r="D7981" s="1" t="s">
        <v>15890</v>
      </c>
      <c r="E7981" s="1" t="str">
        <f ca="1">IFERROR(__xludf.DUMMYFUNCTION("GOOGLETRANSLATE(A4780 , ""tr"" , ""en"")"),"@drfahrettinkoca isn't everyone ""full graft"", everyone is considered equal. Do not make available marketing.")</f>
        <v>@drfahrettinkoca isn't everyone "full graft", everyone is considered equal. Do not make available marketing.</v>
      </c>
    </row>
    <row r="7982" spans="1:5" ht="15" customHeight="1" x14ac:dyDescent="0.2">
      <c r="A7982" s="1" t="s">
        <v>15891</v>
      </c>
      <c r="B7982" s="1">
        <v>2</v>
      </c>
      <c r="C7982" s="3">
        <v>44538.719988425924</v>
      </c>
      <c r="D7982" s="1" t="s">
        <v>15892</v>
      </c>
      <c r="E7982" s="1" t="str">
        <f ca="1">IFERROR(__xludf.DUMMYFUNCTION("GOOGLETRANSLATE(A4781 , ""tr"" , ""en"")"),"@drfahrettinka while waiting for you to say ""have been fooled."" Tender ""not to vaccine, not yet proved, launch, launch, launch ... https://t.co/e4jknqmn4q")</f>
        <v>@drfahrettinka while waiting for you to say "have been fooled." Tender "not to vaccine, not yet proved, launch, launch, launch ... https://t.co/e4jknqmn4q</v>
      </c>
    </row>
    <row r="7983" spans="1:5" ht="15" customHeight="1" x14ac:dyDescent="0.2">
      <c r="A7983" s="1" t="s">
        <v>15893</v>
      </c>
      <c r="B7983" s="1">
        <v>2</v>
      </c>
      <c r="C7983" s="3">
        <v>44538.719884259262</v>
      </c>
      <c r="D7983" s="1" t="s">
        <v>15894</v>
      </c>
      <c r="E7983" s="1" t="str">
        <f ca="1">IFERROR(__xludf.DUMMYFUNCTION("GOOGLETRANSLATE(A4782 , ""tr"" , ""en"")"),"@drfahrettinka https://t.co/pggraya4na")</f>
        <v>@drfahrettinka https://t.co/pggraya4na</v>
      </c>
    </row>
    <row r="7984" spans="1:5" ht="15" customHeight="1" x14ac:dyDescent="0.2">
      <c r="A7984" s="1" t="s">
        <v>15895</v>
      </c>
      <c r="B7984" s="1">
        <v>0</v>
      </c>
      <c r="C7984" s="3">
        <v>44538.719872685186</v>
      </c>
      <c r="D7984" s="1" t="s">
        <v>15896</v>
      </c>
      <c r="E7984" s="1" t="str">
        <f ca="1">IFERROR(__xludf.DUMMYFUNCTION("GOOGLETRANSLATE(A4783 , ""tr"" , ""en"")"),"@drfahrettinkoca You can't keep the Turkish nation in charge for the liquid you do not take responsibility 😡")</f>
        <v>@drfahrettinkoca You can't keep the Turkish nation in charge for the liquid you do not take responsibility 😡</v>
      </c>
    </row>
    <row r="7985" spans="1:5" ht="15" customHeight="1" x14ac:dyDescent="0.2">
      <c r="A7985" s="1" t="s">
        <v>15897</v>
      </c>
      <c r="B7985" s="1">
        <v>0</v>
      </c>
      <c r="C7985" s="3">
        <v>44538.71979166667</v>
      </c>
      <c r="D7985" s="1" t="s">
        <v>15898</v>
      </c>
      <c r="E7985" s="1" t="str">
        <f ca="1">IFERROR(__xludf.DUMMYFUNCTION("GOOGLETRANSLATE(A4784 , ""tr"" , ""en"")"),"@drfahrettinkoca what diode is the Minister of Mr. Vaccination. Side effects of pfizer vaccine. Be my guest? https://t.co/vps6ybapbd")</f>
        <v>@drfahrettinkoca what diode is the Minister of Mr. Vaccination. Side effects of pfizer vaccine. Be my guest? https://t.co/vps6ybapbd</v>
      </c>
    </row>
    <row r="7986" spans="1:5" ht="15" customHeight="1" x14ac:dyDescent="0.2">
      <c r="A7986" s="1" t="s">
        <v>15899</v>
      </c>
      <c r="B7986" s="1">
        <v>0</v>
      </c>
      <c r="C7986" s="3">
        <v>44538.719756944447</v>
      </c>
      <c r="D7986" s="1" t="s">
        <v>15900</v>
      </c>
      <c r="E7986" s="1" t="str">
        <f ca="1">IFERROR(__xludf.DUMMYFUNCTION("GOOGLETRANSLATE(A4785 , ""tr"" , ""en"")"),"@drfahrettinka vaccine we see in full ones 🤣")</f>
        <v>@drfahrettinka vaccine we see in full ones 🤣</v>
      </c>
    </row>
    <row r="7987" spans="1:5" ht="15" customHeight="1" x14ac:dyDescent="0.2">
      <c r="A7987" s="1" t="s">
        <v>15901</v>
      </c>
      <c r="B7987" s="1">
        <v>0</v>
      </c>
      <c r="C7987" s="3">
        <v>44538.719560185185</v>
      </c>
      <c r="D7987" s="1" t="s">
        <v>15902</v>
      </c>
      <c r="E7987" s="1" t="str">
        <f ca="1">IFERROR(__xludf.DUMMYFUNCTION("GOOGLETRANSLATE(A4786 , ""tr"" , ""en"")"),"@drfahrettinkoca Exit Bi Do You Dead Be Did You Kill Us Have a Sen")</f>
        <v>@drfahrettinkoca Exit Bi Do You Dead Be Did You Kill Us Have a Sen</v>
      </c>
    </row>
    <row r="7988" spans="1:5" ht="15" customHeight="1" x14ac:dyDescent="0.2">
      <c r="A7988" s="1" t="s">
        <v>15903</v>
      </c>
      <c r="B7988" s="1">
        <v>0</v>
      </c>
      <c r="C7988" s="3">
        <v>44538.719317129631</v>
      </c>
      <c r="D7988" s="1" t="s">
        <v>15904</v>
      </c>
      <c r="E7988" s="1" t="str">
        <f ca="1">IFERROR(__xludf.DUMMYFUNCTION("GOOGLETRANSLATE(A4787 , ""tr"" , ""en"")"),"While @drfahrettinkoca stores data, whether it is non-transparent when you are non-transparent, did not become a crime? !!! A little ... https://t.co/nxa2dos0ke")</f>
        <v>While @drfahrettinkoca stores data, whether it is non-transparent when you are non-transparent, did not become a crime? !!! A little ... https://t.co/nxa2dos0ke</v>
      </c>
    </row>
    <row r="7989" spans="1:5" ht="15" customHeight="1" x14ac:dyDescent="0.2">
      <c r="A7989" s="1" t="s">
        <v>15905</v>
      </c>
      <c r="B7989" s="1">
        <v>38</v>
      </c>
      <c r="C7989" s="3">
        <v>44538.719236111108</v>
      </c>
      <c r="D7989" s="1" t="s">
        <v>15906</v>
      </c>
      <c r="E7989" s="1" t="str">
        <f ca="1">IFERROR(__xludf.DUMMYFUNCTION("GOOGLETRANSLATE(A4788 , ""tr"" , ""en"")"),"@drfahrettinka so what do you do for you to convince? Become the vaccination is the vaccination to be the vaccination ... Why don't do data? What ... https://t.co/selpcgnfjl")</f>
        <v>@drfahrettinka so what do you do for you to convince? Become the vaccination is the vaccination to be the vaccination ... Why don't do data? What ... https://t.co/selpcgnfjl</v>
      </c>
    </row>
    <row r="7990" spans="1:5" ht="15" customHeight="1" x14ac:dyDescent="0.2">
      <c r="A7990" s="1" t="s">
        <v>15907</v>
      </c>
      <c r="B7990" s="1">
        <v>0</v>
      </c>
      <c r="C7990" s="3">
        <v>44538.719201388885</v>
      </c>
      <c r="D7990" s="1" t="s">
        <v>15908</v>
      </c>
      <c r="E7990" s="1" t="str">
        <f ca="1">IFERROR(__xludf.DUMMYFUNCTION("GOOGLETRANSLATE(A4789 , ""tr"" , ""en"")"),"@drfahrettinkoca let it go online now")</f>
        <v>@drfahrettinkoca let it go online now</v>
      </c>
    </row>
    <row r="7991" spans="1:5" ht="15" customHeight="1" x14ac:dyDescent="0.2">
      <c r="A7991" s="1" t="s">
        <v>15909</v>
      </c>
      <c r="B7991" s="1">
        <v>0</v>
      </c>
      <c r="C7991" s="3">
        <v>44538.719155092593</v>
      </c>
      <c r="D7991" s="1" t="s">
        <v>15910</v>
      </c>
      <c r="E7991" s="1" t="str">
        <f ca="1">IFERROR(__xludf.DUMMYFUNCTION("GOOGLETRANSLATE(A4790 , ""tr"" , ""en"")"),"@drfahrettinkoca trouble with each other problem with each other, if you try to make a forced mask forced vaccine ... https://t.co/ld7xkzs4t5")</f>
        <v>@drfahrettinkoca trouble with each other problem with each other, if you try to make a forced mask forced vaccine ... https://t.co/ld7xkzs4t5</v>
      </c>
    </row>
    <row r="7992" spans="1:5" ht="15" customHeight="1" x14ac:dyDescent="0.2">
      <c r="A7992" s="1" t="s">
        <v>15911</v>
      </c>
      <c r="B7992" s="1">
        <v>0</v>
      </c>
      <c r="C7992" s="3">
        <v>44538.719097222223</v>
      </c>
      <c r="D7992" s="1" t="s">
        <v>15912</v>
      </c>
      <c r="E7992" s="1" t="str">
        <f ca="1">IFERROR(__xludf.DUMMYFUNCTION("GOOGLETRANSLATE(A4791 , ""tr"" , ""en"")"),"@drfahrettinkoca make a statement Mr. Minister!")</f>
        <v>@drfahrettinkoca make a statement Mr. Minister!</v>
      </c>
    </row>
    <row r="7993" spans="1:5" ht="15" customHeight="1" x14ac:dyDescent="0.2">
      <c r="A7993" s="1" t="s">
        <v>15913</v>
      </c>
      <c r="B7993" s="1">
        <v>1</v>
      </c>
      <c r="C7993" s="3">
        <v>44538.7190625</v>
      </c>
      <c r="D7993" s="1" t="s">
        <v>15914</v>
      </c>
      <c r="E7993" s="1" t="str">
        <f ca="1">IFERROR(__xludf.DUMMYFUNCTION("GOOGLETRANSLATE(A4792 , ""tr"" , ""en"")"),"@drfahrettinkoca is not so lying and walk around a comfortable conscience, not every person's profit. You get to you.")</f>
        <v>@drfahrettinkoca is not so lying and walk around a comfortable conscience, not every person's profit. You get to you.</v>
      </c>
    </row>
    <row r="7994" spans="1:5" ht="15" customHeight="1" x14ac:dyDescent="0.2">
      <c r="A7994" s="1" t="s">
        <v>15915</v>
      </c>
      <c r="B7994" s="1">
        <v>0</v>
      </c>
      <c r="C7994" s="3">
        <v>44538.719027777777</v>
      </c>
      <c r="D7994" s="1" t="s">
        <v>15916</v>
      </c>
      <c r="E7994" s="1" t="str">
        <f ca="1">IFERROR(__xludf.DUMMYFUNCTION("GOOGLETRANSLATE(A4793 , ""tr"" , ""en"")"),"@drfahrettinkoca Promise that the owner of this vaccine will be the husband of husbands that we will have to forget our book our book Derk ... https://t.co/jjhhsobg0o")</f>
        <v>@drfahrettinkoca Promise that the owner of this vaccine will be the husband of husbands that we will have to forget our book our book Derk ... https://t.co/jjhhsobg0o</v>
      </c>
    </row>
    <row r="7995" spans="1:5" ht="15" customHeight="1" x14ac:dyDescent="0.2">
      <c r="A7995" s="1" t="s">
        <v>15917</v>
      </c>
      <c r="B7995" s="1">
        <v>1</v>
      </c>
      <c r="C7995" s="3">
        <v>44538.718935185185</v>
      </c>
      <c r="D7995" s="1" t="s">
        <v>15918</v>
      </c>
      <c r="E7995" s="1" t="str">
        <f ca="1">IFERROR(__xludf.DUMMYFUNCTION("GOOGLETRANSLATE(A4794 , ""tr"" , ""en"")"),"@drfahrettinkoca Madem Vaccine Protector Why are familiar with all measures? If the Hani country is exceeded 80% of the country ... https://t.co/LCCYQHHGIE")</f>
        <v>@drfahrettinkoca Madem Vaccine Protector Why are familiar with all measures? If the Hani country is exceeded 80% of the country ... https://t.co/LCCYQHHGIE</v>
      </c>
    </row>
    <row r="7996" spans="1:5" ht="15" customHeight="1" x14ac:dyDescent="0.2">
      <c r="A7996" s="1" t="s">
        <v>15919</v>
      </c>
      <c r="B7996" s="1">
        <v>2</v>
      </c>
      <c r="C7996" s="3">
        <v>44538.718912037039</v>
      </c>
      <c r="D7996" s="1" t="s">
        <v>15920</v>
      </c>
      <c r="E7996" s="1" t="str">
        <f ca="1">IFERROR(__xludf.DUMMYFUNCTION("GOOGLETRANSLATE(A4795 , ""tr"" , ""en"")"),"@drfahrettinkoca guide Why not published 40 Thousand Assignment Full on top of the word on top of the 1 month has not given meaning to really ... https://t.co/3yaryj4n8y")</f>
        <v>@drfahrettinkoca guide Why not published 40 Thousand Assignment Full on top of the word on top of the 1 month has not given meaning to really ... https://t.co/3yaryj4n8y</v>
      </c>
    </row>
    <row r="7997" spans="1:5" ht="15" customHeight="1" x14ac:dyDescent="0.2">
      <c r="A7997" s="1" t="s">
        <v>15921</v>
      </c>
      <c r="B7997" s="1">
        <v>0</v>
      </c>
      <c r="C7997" s="3">
        <v>44538.718900462962</v>
      </c>
      <c r="D7997" s="1" t="s">
        <v>15922</v>
      </c>
      <c r="E7997" s="1" t="str">
        <f ca="1">IFERROR(__xludf.DUMMYFUNCTION("GOOGLETRANSLATE(A4796 , ""tr"" , ""en"")"),"@drfahrettinkoca Ministry How much will we wait?")</f>
        <v>@drfahrettinkoca Ministry How much will we wait?</v>
      </c>
    </row>
    <row r="7998" spans="1:5" ht="15" customHeight="1" x14ac:dyDescent="0.2">
      <c r="A7998" s="1" t="s">
        <v>15923</v>
      </c>
      <c r="B7998" s="1">
        <v>0</v>
      </c>
      <c r="C7998" s="3">
        <v>44538.718842592592</v>
      </c>
      <c r="D7998" s="1" t="s">
        <v>15924</v>
      </c>
      <c r="E7998" s="1" t="str">
        <f ca="1">IFERROR(__xludf.DUMMYFUNCTION("GOOGLETRANSLATE(A4797 , ""tr"" , ""en"")"),"@drfahrettinkoca When Atanaciz Mr. Very Precious Minister")</f>
        <v>@drfahrettinkoca When Atanaciz Mr. Very Precious Minister</v>
      </c>
    </row>
    <row r="7999" spans="1:5" ht="15" customHeight="1" x14ac:dyDescent="0.2">
      <c r="A7999" s="1" t="s">
        <v>15925</v>
      </c>
      <c r="B7999" s="1">
        <v>0</v>
      </c>
      <c r="C7999" s="3">
        <v>44538.718622685185</v>
      </c>
      <c r="D7999" s="1" t="s">
        <v>15926</v>
      </c>
      <c r="E7999" s="1" t="str">
        <f ca="1">IFERROR(__xludf.DUMMYFUNCTION("GOOGLETRANSLATE(A4798 , ""tr"" , ""en"")"),"@drfahrettinkoca We don't believe in Mr. Minister")</f>
        <v>@drfahrettinkoca We don't believe in Mr. Minister</v>
      </c>
    </row>
    <row r="8000" spans="1:5" ht="15" customHeight="1" x14ac:dyDescent="0.2">
      <c r="A8000" s="1" t="s">
        <v>15927</v>
      </c>
      <c r="B8000" s="1">
        <v>0</v>
      </c>
      <c r="C8000" s="3">
        <v>44538.718622685185</v>
      </c>
      <c r="D8000" s="1" t="s">
        <v>15928</v>
      </c>
      <c r="E8000" s="1" t="str">
        <f ca="1">IFERROR(__xludf.DUMMYFUNCTION("GOOGLETRANSLATE(A4799 , ""tr"" , ""en"")"),"@drfahrettinkoca Mr. Minister Look only reviews Allah in the language of everyone who will attract something in your attention ... https://t.co/l8ssfsfwno")</f>
        <v>@drfahrettinkoca Mr. Minister Look only reviews Allah in the language of everyone who will attract something in your attention ... https://t.co/l8ssfsfwno</v>
      </c>
    </row>
    <row r="8001" spans="1:5" ht="15" customHeight="1" x14ac:dyDescent="0.2">
      <c r="A8001" s="1" t="s">
        <v>15929</v>
      </c>
      <c r="B8001" s="1">
        <v>2</v>
      </c>
      <c r="C8001" s="3">
        <v>44538.718576388892</v>
      </c>
      <c r="D8001" s="1" t="s">
        <v>15930</v>
      </c>
      <c r="E8001" s="1" t="str">
        <f ca="1">IFERROR(__xludf.DUMMYFUNCTION("GOOGLETRANSLATE(A4800 , ""tr"" , ""en"")"),"@drfahrettinkoca When will the guide to the guide to the guide to the agenda every day? We want us only, wait ... https://t.co/z5xbu0i97n")</f>
        <v>@drfahrettinkoca When will the guide to the guide to the guide to the agenda every day? We want us only, wait ... https://t.co/z5xbu0i97n</v>
      </c>
    </row>
    <row r="8002" spans="1:5" ht="15" customHeight="1" x14ac:dyDescent="0.2">
      <c r="A8002" s="1" t="s">
        <v>15931</v>
      </c>
      <c r="B8002" s="1">
        <v>2</v>
      </c>
      <c r="C8002" s="3">
        <v>44538.718506944446</v>
      </c>
      <c r="D8002" s="1" t="s">
        <v>15932</v>
      </c>
      <c r="E8002" s="1" t="str">
        <f ca="1">IFERROR(__xludf.DUMMYFUNCTION("GOOGLETRANSLATE(A4801 , ""tr"" , ""en"")"),"@drfahrettinka came as we threatened with the part of those who are trying to intimidate our people with prejudices from the vaccination "". Bi ... https://t.co/nesv2qfadk")</f>
        <v>@drfahrettinka came as we threatened with the part of those who are trying to intimidate our people with prejudices from the vaccination ". Bi ... https://t.co/nesv2qfadk</v>
      </c>
    </row>
    <row r="8003" spans="1:5" ht="15" customHeight="1" x14ac:dyDescent="0.2">
      <c r="A8003" s="1" t="s">
        <v>15933</v>
      </c>
      <c r="B8003" s="1">
        <v>0</v>
      </c>
      <c r="C8003" s="3">
        <v>44538.718472222223</v>
      </c>
      <c r="D8003" s="1" t="s">
        <v>15934</v>
      </c>
      <c r="E8003" s="1" t="str">
        <f ca="1">IFERROR(__xludf.DUMMYFUNCTION("GOOGLETRANSLATE(A4802 , ""tr"" , ""en"")"),"@drfahrettinkoca What did those who try to intimidate our people Covidle? There is an 80% vaccine rate that has 120million vaccine but s ... https://t.co/04qvcbd4np")</f>
        <v>@drfahrettinkoca What did those who try to intimidate our people Covidle? There is an 80% vaccine rate that has 120million vaccine but s ... https://t.co/04qvcbd4np</v>
      </c>
    </row>
    <row r="8004" spans="1:5" ht="15" customHeight="1" x14ac:dyDescent="0.2">
      <c r="A8004" s="1" t="s">
        <v>15935</v>
      </c>
      <c r="B8004" s="1">
        <v>0</v>
      </c>
      <c r="C8004" s="3">
        <v>44538.718368055554</v>
      </c>
      <c r="D8004" s="1" t="s">
        <v>15936</v>
      </c>
      <c r="E8004" s="1" t="str">
        <f ca="1">IFERROR(__xludf.DUMMYFUNCTION("GOOGLETRANSLATE(A4803 , ""tr"" , ""en"")"),"@drfahrettinkoca 13 months We haven't been a thing that we've gained in our hopes we had sold out on them #SbmernekiataMaoCesycound")</f>
        <v>@drfahrettinkoca 13 months We haven't been a thing that we've gained in our hopes we had sold out on them #SbmernekiataMaoCesycound</v>
      </c>
    </row>
    <row r="8005" spans="1:5" ht="15" customHeight="1" x14ac:dyDescent="0.2">
      <c r="A8005" s="1" t="s">
        <v>15937</v>
      </c>
      <c r="B8005" s="1">
        <v>0</v>
      </c>
      <c r="C8005" s="3">
        <v>44538.718356481484</v>
      </c>
      <c r="D8005" s="1" t="s">
        <v>15938</v>
      </c>
      <c r="E8005" s="1" t="str">
        <f ca="1">IFERROR(__xludf.DUMMYFUNCTION("GOOGLETRANSLATE(A4804 , ""tr"" , ""en"")"),"@drfahrettinka We have all the right to all your conscience is comfortable")</f>
        <v>@drfahrettinka We have all the right to all your conscience is comfortable</v>
      </c>
    </row>
    <row r="8006" spans="1:5" ht="15" customHeight="1" x14ac:dyDescent="0.2">
      <c r="A8006" s="1" t="s">
        <v>15939</v>
      </c>
      <c r="B8006" s="1">
        <v>6</v>
      </c>
      <c r="C8006" s="3">
        <v>44538.718310185184</v>
      </c>
      <c r="D8006" s="1" t="s">
        <v>15940</v>
      </c>
      <c r="E8006" s="1" t="str">
        <f ca="1">IFERROR(__xludf.DUMMYFUNCTION("GOOGLETRANSLATE(A4805 , ""tr"" , ""en"")"),"@drfahrettinkoca we will not forget. #kabineomicrongelism")</f>
        <v>@drfahrettinkoca we will not forget. #kabineomicrongelism</v>
      </c>
    </row>
    <row r="8007" spans="1:5" ht="15" customHeight="1" x14ac:dyDescent="0.2">
      <c r="A8007" s="1" t="s">
        <v>15941</v>
      </c>
      <c r="B8007" s="1">
        <v>1</v>
      </c>
      <c r="C8007" s="3">
        <v>44538.718194444446</v>
      </c>
      <c r="D8007" s="1" t="s">
        <v>15942</v>
      </c>
      <c r="E8007" s="1" t="str">
        <f ca="1">IFERROR(__xludf.DUMMYFUNCTION("GOOGLETRANSLATE(A4806 , ""tr"" , ""en"")"),"@drfahrettinkoca atamaaaaa")</f>
        <v>@drfahrettinkoca atamaaaaa</v>
      </c>
    </row>
    <row r="8008" spans="1:5" ht="15" customHeight="1" x14ac:dyDescent="0.2">
      <c r="A8008" s="1" t="s">
        <v>15943</v>
      </c>
      <c r="B8008" s="1">
        <v>51</v>
      </c>
      <c r="C8008" s="3">
        <v>44538.718171296299</v>
      </c>
      <c r="D8008" s="1" t="s">
        <v>15944</v>
      </c>
      <c r="E8008" s="1" t="str">
        <f ca="1">IFERROR(__xludf.DUMMYFUNCTION("GOOGLETRANSLATE(A4807 , ""tr"" , ""en"")"),"@drfahrettinkoca you have again connected to the vaccine! That's what you say, because you couldn't tell it correctly. This platform is to be concerned ... https://t.co/yv7dctkjmq")</f>
        <v>@drfahrettinkoca you have again connected to the vaccine! That's what you say, because you couldn't tell it correctly. This platform is to be concerned ... https://t.co/yv7dctkjmq</v>
      </c>
    </row>
    <row r="8009" spans="1:5" ht="15" customHeight="1" x14ac:dyDescent="0.2">
      <c r="A8009" s="1" t="s">
        <v>15945</v>
      </c>
      <c r="B8009" s="1">
        <v>0</v>
      </c>
      <c r="C8009" s="3">
        <v>44538.718159722222</v>
      </c>
      <c r="D8009" s="1" t="s">
        <v>15946</v>
      </c>
      <c r="E8009" s="1" t="str">
        <f ca="1">IFERROR(__xludf.DUMMYFUNCTION("GOOGLETRANSLATE(A4808 , ""tr"" , ""en"")"),"@drfahrettinkoca BIHTICI BIHTICAL")</f>
        <v>@drfahrettinkoca BIHTICI BIHTICAL</v>
      </c>
    </row>
    <row r="8010" spans="1:5" ht="15" customHeight="1" x14ac:dyDescent="0.2">
      <c r="A8010" s="1" t="s">
        <v>15947</v>
      </c>
      <c r="B8010" s="1">
        <v>74</v>
      </c>
      <c r="C8010" s="3">
        <v>44538.718136574076</v>
      </c>
      <c r="D8010" s="1" t="s">
        <v>15948</v>
      </c>
      <c r="E8010" s="1" t="str">
        <f ca="1">IFERROR(__xludf.DUMMYFUNCTION("GOOGLETRANSLATE(A4809 , ""tr"" , ""en"")"),"@drfahrettinka people you needed eighty percent people. You are still dealing with non-needle. Solido Yahu! Ka ... https://t.co/z22uytsper")</f>
        <v>@drfahrettinka people you needed eighty percent people. You are still dealing with non-needle. Solido Yahu! Ka ... https://t.co/z22uytsper</v>
      </c>
    </row>
    <row r="8011" spans="1:5" ht="15" customHeight="1" x14ac:dyDescent="0.2">
      <c r="A8011" s="1" t="s">
        <v>15949</v>
      </c>
      <c r="B8011" s="1">
        <v>0</v>
      </c>
      <c r="C8011" s="3">
        <v>44538.718101851853</v>
      </c>
      <c r="D8011" s="1" t="s">
        <v>15950</v>
      </c>
      <c r="E8011" s="1" t="str">
        <f ca="1">IFERROR(__xludf.DUMMYFUNCTION("GOOGLETRANSLATE(A4810 , ""tr"" , ""en"")"),"@drfahrettinkoca Ministry of Allah is what you have been to the consent of the Twit you can now get the guide twiti. Stone of patience were to wait so much!")</f>
        <v>@drfahrettinkoca Ministry of Allah is what you have been to the consent of the Twit you can now get the guide twiti. Stone of patience were to wait so much!</v>
      </c>
    </row>
    <row r="8012" spans="1:5" ht="15" customHeight="1" x14ac:dyDescent="0.2">
      <c r="A8012" s="1" t="s">
        <v>15951</v>
      </c>
      <c r="B8012" s="1">
        <v>0</v>
      </c>
      <c r="C8012" s="3">
        <v>44538.71806712963</v>
      </c>
      <c r="D8012" s="1" t="s">
        <v>15952</v>
      </c>
      <c r="E8012" s="1" t="str">
        <f ca="1">IFERROR(__xludf.DUMMYFUNCTION("GOOGLETRANSLATE(A4811 , ""tr"" , ""en"")"),"@drfahrettinkoca you lie not vaccine (liquid) not to talk about medications that are not faviramin hydroxyl how many i ... https://t.co/alpwv9j55b")</f>
        <v>@drfahrettinkoca you lie not vaccine (liquid) not to talk about medications that are not faviramin hydroxyl how many i ... https://t.co/alpwv9j55b</v>
      </c>
    </row>
    <row r="8013" spans="1:5" ht="15" customHeight="1" x14ac:dyDescent="0.2">
      <c r="A8013" s="1" t="s">
        <v>15953</v>
      </c>
      <c r="B8013" s="1">
        <v>0</v>
      </c>
      <c r="C8013" s="3">
        <v>44538.71802083333</v>
      </c>
      <c r="D8013" s="1" t="s">
        <v>15954</v>
      </c>
      <c r="E8013" s="1" t="str">
        <f ca="1">IFERROR(__xludf.DUMMYFUNCTION("GOOGLETRANSLATE(A4812 , ""tr"" , ""en"")"),"@drfahrettinkoca horse now usiii")</f>
        <v>@drfahrettinkoca horse now usiii</v>
      </c>
    </row>
    <row r="8014" spans="1:5" ht="15" customHeight="1" x14ac:dyDescent="0.2">
      <c r="A8014" s="1" t="s">
        <v>15955</v>
      </c>
      <c r="B8014" s="1">
        <v>0</v>
      </c>
      <c r="C8014" s="3">
        <v>44538.717928240738</v>
      </c>
      <c r="D8014" s="1" t="s">
        <v>15956</v>
      </c>
      <c r="E8014" s="1" t="str">
        <f ca="1">IFERROR(__xludf.DUMMYFUNCTION("GOOGLETRANSLATE(A4813 , ""tr"" , ""en"")"),"@drfahrettinkoca Mr. Minister New Variant 2 Dose of Biontech Even in the ones who have very low protection ... https://t.co/r2nvwvthzr")</f>
        <v>@drfahrettinkoca Mr. Minister New Variant 2 Dose of Biontech Even in the ones who have very low protection ... https://t.co/r2nvwvthzr</v>
      </c>
    </row>
    <row r="8015" spans="1:5" ht="15" customHeight="1" x14ac:dyDescent="0.2">
      <c r="A8015" s="1" t="s">
        <v>15957</v>
      </c>
      <c r="B8015" s="1">
        <v>1</v>
      </c>
      <c r="C8015" s="3">
        <v>44538.717916666668</v>
      </c>
      <c r="D8015" s="1" t="s">
        <v>15958</v>
      </c>
      <c r="E8015" s="1" t="str">
        <f ca="1">IFERROR(__xludf.DUMMYFUNCTION("GOOGLETRANSLATE(A4814 , ""tr"" , ""en"")"),"@drfahrettinkoca atamaaaa")</f>
        <v>@drfahrettinkoca atamaaaa</v>
      </c>
    </row>
    <row r="8016" spans="1:5" ht="15" customHeight="1" x14ac:dyDescent="0.2">
      <c r="A8016" s="1" t="s">
        <v>15959</v>
      </c>
      <c r="B8016" s="1">
        <v>0</v>
      </c>
      <c r="C8016" s="3">
        <v>44538.717847222222</v>
      </c>
      <c r="D8016" s="1" t="s">
        <v>15960</v>
      </c>
      <c r="E8016" s="1" t="str">
        <f ca="1">IFERROR(__xludf.DUMMYFUNCTION("GOOGLETRANSLATE(A4815 , ""tr"" , ""en"")"),"@drfahrettinka we want to be appointedzzz")</f>
        <v>@drfahrettinka we want to be appointedzzz</v>
      </c>
    </row>
    <row r="8017" spans="1:5" ht="15" customHeight="1" x14ac:dyDescent="0.2">
      <c r="A8017" s="1" t="s">
        <v>15961</v>
      </c>
      <c r="B8017" s="1">
        <v>0</v>
      </c>
      <c r="C8017" s="3">
        <v>44538.717835648145</v>
      </c>
      <c r="D8017" s="1" t="s">
        <v>15962</v>
      </c>
      <c r="E8017" s="1" t="str">
        <f ca="1">IFERROR(__xludf.DUMMYFUNCTION("GOOGLETRANSLATE(A4816 , ""tr"" , ""en"")"),"@drfahrettinka for us two words to write an answer is it hard")</f>
        <v>@drfahrettinka for us two words to write an answer is it hard</v>
      </c>
    </row>
    <row r="8018" spans="1:5" ht="15" customHeight="1" x14ac:dyDescent="0.2">
      <c r="A8018" s="1" t="s">
        <v>15963</v>
      </c>
      <c r="B8018" s="1">
        <v>0</v>
      </c>
      <c r="C8018" s="3">
        <v>44538.717766203707</v>
      </c>
      <c r="D8018" s="1" t="s">
        <v>15964</v>
      </c>
      <c r="E8018" s="1" t="str">
        <f ca="1">IFERROR(__xludf.DUMMYFUNCTION("GOOGLETRANSLATE(A4817 , ""tr"" , ""en"")"),"@drfahrettinka Mr. Mr. If you recommend the Minister Vaccine so it is so safe and seamless if it is vaccinated ... https://t.co/8hgdven72g")</f>
        <v>@drfahrettinka Mr. Mr. If you recommend the Minister Vaccine so it is so safe and seamless if it is vaccinated ... https://t.co/8hgdven72g</v>
      </c>
    </row>
    <row r="8019" spans="1:5" ht="15" customHeight="1" x14ac:dyDescent="0.2">
      <c r="A8019" s="1" t="s">
        <v>15965</v>
      </c>
      <c r="B8019" s="1">
        <v>0</v>
      </c>
      <c r="C8019" s="3">
        <v>44538.717604166668</v>
      </c>
      <c r="D8019" s="1" t="s">
        <v>15966</v>
      </c>
      <c r="E8019" s="1" t="str">
        <f ca="1">IFERROR(__xludf.DUMMYFUNCTION("GOOGLETRANSLATE(A4818 , ""tr"" , ""en"")"),"@drfahrettinkoca Mr. Hocam you are writing sentences every day, but 20-25,000 people positively adequate every day ... https://t.co/qdszqbppduh")</f>
        <v>@drfahrettinkoca Mr. Hocam you are writing sentences every day, but 20-25,000 people positively adequate every day ... https://t.co/qdszqbppduh</v>
      </c>
    </row>
    <row r="8020" spans="1:5" ht="15" customHeight="1" x14ac:dyDescent="0.2">
      <c r="A8020" s="1" t="s">
        <v>15967</v>
      </c>
      <c r="B8020" s="1">
        <v>6</v>
      </c>
      <c r="C8020" s="3">
        <v>44538.717592592591</v>
      </c>
      <c r="D8020" s="1" t="s">
        <v>15968</v>
      </c>
      <c r="E8020" s="1" t="str">
        <f ca="1">IFERROR(__xludf.DUMMYFUNCTION("GOOGLETRANSLATE(A4819 , ""tr"" , ""en"")"),"@drfahrettinkoca When do you think to declare the guide? We work in health reading, to KPSS, and ... https://t.co/acvn3kuewb")</f>
        <v>@drfahrettinkoca When do you think to declare the guide? We work in health reading, to KPSS, and ... https://t.co/acvn3kuewb</v>
      </c>
    </row>
    <row r="8021" spans="1:5" ht="15" customHeight="1" x14ac:dyDescent="0.2">
      <c r="A8021" s="1" t="s">
        <v>15969</v>
      </c>
      <c r="B8021" s="1">
        <v>0</v>
      </c>
      <c r="C8021" s="3">
        <v>44538.717499999999</v>
      </c>
      <c r="D8021" s="1" t="s">
        <v>15970</v>
      </c>
      <c r="E8021" s="1" t="str">
        <f ca="1">IFERROR(__xludf.DUMMYFUNCTION("GOOGLETRANSLATE(A4820 , ""tr"" , ""en"")"),"@drfahrettinkoca Official Gazette")</f>
        <v>@drfahrettinkoca Official Gazette</v>
      </c>
    </row>
    <row r="8022" spans="1:5" ht="15" customHeight="1" x14ac:dyDescent="0.2">
      <c r="A8022" s="1" t="s">
        <v>15971</v>
      </c>
      <c r="B8022" s="1">
        <v>0</v>
      </c>
      <c r="C8022" s="3">
        <v>44538.717476851853</v>
      </c>
      <c r="D8022" s="1" t="s">
        <v>15972</v>
      </c>
      <c r="E8022" s="1" t="str">
        <f ca="1">IFERROR(__xludf.DUMMYFUNCTION("GOOGLETRANSLATE(A4821 , ""tr"" , ""en"")"),"@drfahrettinkoca is still wondering if you believe in your intimacy")</f>
        <v>@drfahrettinkoca is still wondering if you believe in your intimacy</v>
      </c>
    </row>
    <row r="8023" spans="1:5" ht="15" customHeight="1" x14ac:dyDescent="0.2">
      <c r="A8023" s="1" t="s">
        <v>15973</v>
      </c>
      <c r="B8023" s="1">
        <v>0</v>
      </c>
      <c r="C8023" s="3">
        <v>44538.717442129629</v>
      </c>
      <c r="D8023" s="1" t="s">
        <v>15974</v>
      </c>
      <c r="E8023" s="1" t="str">
        <f ca="1">IFERROR(__xludf.DUMMYFUNCTION("GOOGLETRANSLATE(A4822 , ""tr"" , ""en"")"),"@drfahrettinkoca Allah Can you swear on the Prophet Kerim, Mr. Minister Minister are inexpensive care.")</f>
        <v>@drfahrettinkoca Allah Can you swear on the Prophet Kerim, Mr. Minister Minister are inexpensive care.</v>
      </c>
    </row>
    <row r="8024" spans="1:5" ht="15" customHeight="1" x14ac:dyDescent="0.2">
      <c r="A8024" s="1" t="s">
        <v>15975</v>
      </c>
      <c r="B8024" s="1">
        <v>0</v>
      </c>
      <c r="C8024" s="3">
        <v>44538.717314814814</v>
      </c>
      <c r="D8024" s="1" t="s">
        <v>15976</v>
      </c>
      <c r="E8024" s="1" t="str">
        <f ca="1">IFERROR(__xludf.DUMMYFUNCTION("GOOGLETRANSLATE(A4823 , ""tr"" , ""en"")"),"@drfahrettinkoca this day guide postsnnnn")</f>
        <v>@drfahrettinkoca this day guide postsnnnn</v>
      </c>
    </row>
    <row r="8025" spans="1:5" ht="15" customHeight="1" x14ac:dyDescent="0.2">
      <c r="A8025" s="1" t="s">
        <v>15977</v>
      </c>
      <c r="B8025" s="1">
        <v>0</v>
      </c>
      <c r="C8025" s="3">
        <v>44538.717141203706</v>
      </c>
      <c r="D8025" s="1" t="s">
        <v>15978</v>
      </c>
      <c r="E8025" s="1" t="str">
        <f ca="1">IFERROR(__xludf.DUMMYFUNCTION("GOOGLETRANSLATE(A4824 , ""tr"" , ""en"")"),"@drfahrettinkoca you don't go to the hospital that I didn't go to doctors when you have not been pushed to doctors when you get the patient like Nazi camp ... https://t.co/zajcbcb3gh")</f>
        <v>@drfahrettinkoca you don't go to the hospital that I didn't go to doctors when you have not been pushed to doctors when you get the patient like Nazi camp ... https://t.co/zajcbcb3gh</v>
      </c>
    </row>
    <row r="8026" spans="1:5" ht="15" customHeight="1" x14ac:dyDescent="0.2">
      <c r="A8026" s="1" t="s">
        <v>15979</v>
      </c>
      <c r="B8026" s="1">
        <v>0</v>
      </c>
      <c r="C8026" s="3">
        <v>44538.717118055552</v>
      </c>
      <c r="D8026" s="1" t="s">
        <v>15980</v>
      </c>
      <c r="E8026" s="1" t="str">
        <f ca="1">IFERROR(__xludf.DUMMYFUNCTION("GOOGLETRANSLATE(A4825 , ""tr"" , ""en"")"),"@drfahrettinkoca guanuzzz")</f>
        <v>@drfahrettinkoca guanuzzz</v>
      </c>
    </row>
    <row r="8027" spans="1:5" ht="15" customHeight="1" x14ac:dyDescent="0.2">
      <c r="A8027" s="1" t="s">
        <v>15981</v>
      </c>
      <c r="B8027" s="1">
        <v>0</v>
      </c>
      <c r="C8027" s="3">
        <v>44538.71702546296</v>
      </c>
      <c r="D8027" s="1" t="s">
        <v>15982</v>
      </c>
      <c r="E8027" s="1" t="str">
        <f ca="1">IFERROR(__xludf.DUMMYFUNCTION("GOOGLETRANSLATE(A4826 , ""tr"" , ""en"")"),"@drfahrettinkoca guanuzzzz")</f>
        <v>@drfahrettinkoca guanuzzzz</v>
      </c>
    </row>
    <row r="8028" spans="1:5" ht="15" customHeight="1" x14ac:dyDescent="0.2">
      <c r="A8028" s="1" t="s">
        <v>15983</v>
      </c>
      <c r="B8028" s="1">
        <v>26</v>
      </c>
      <c r="C8028" s="3">
        <v>44538.717013888891</v>
      </c>
      <c r="D8028" s="1" t="s">
        <v>15984</v>
      </c>
      <c r="E8028" s="1" t="str">
        <f ca="1">IFERROR(__xludf.DUMMYFUNCTION("GOOGLETRANSLATE(A4827 , ""tr"" , ""en"")"),"@drfahrettinkoca We'll see who regrets. Gogecik people die from the heart crisis. 165 After athlete vaccine ... https://t.co/eve00rmddf")</f>
        <v>@drfahrettinkoca We'll see who regrets. Gogecik people die from the heart crisis. 165 After athlete vaccine ... https://t.co/eve00rmddf</v>
      </c>
    </row>
    <row r="8029" spans="1:5" ht="15" customHeight="1" x14ac:dyDescent="0.2">
      <c r="A8029" s="1" t="s">
        <v>15985</v>
      </c>
      <c r="B8029" s="1">
        <v>0</v>
      </c>
      <c r="C8029" s="3">
        <v>44538.716898148145</v>
      </c>
      <c r="D8029" s="1" t="s">
        <v>15986</v>
      </c>
      <c r="E8029" s="1" t="str">
        <f ca="1">IFERROR(__xludf.DUMMYFUNCTION("GOOGLETRANSLATE(A4828 , ""tr"" , ""en"")"),"@drfahrettinkoca guide nerdee")</f>
        <v>@drfahrettinkoca guide nerdee</v>
      </c>
    </row>
    <row r="8030" spans="1:5" ht="15" customHeight="1" x14ac:dyDescent="0.2">
      <c r="A8030" s="1" t="s">
        <v>15987</v>
      </c>
      <c r="B8030" s="1">
        <v>0</v>
      </c>
      <c r="C8030" s="3">
        <v>44538.716898148145</v>
      </c>
      <c r="D8030" s="1" t="s">
        <v>15988</v>
      </c>
      <c r="E8030" s="1" t="str">
        <f ca="1">IFERROR(__xludf.DUMMYFUNCTION("GOOGLETRANSLATE(A4829 , ""tr"" , ""en"")"),"@drfahrettinkoca Knake when you give the following rates like a man. The vaccine includes the concept of non-complete. 2 dose bion ... https://t.co/aqiddw0ti2")</f>
        <v>@drfahrettinkoca Knake when you give the following rates like a man. The vaccine includes the concept of non-complete. 2 dose bion ... https://t.co/aqiddw0ti2</v>
      </c>
    </row>
    <row r="8031" spans="1:5" ht="15" customHeight="1" x14ac:dyDescent="0.2">
      <c r="A8031" s="1" t="s">
        <v>15989</v>
      </c>
      <c r="B8031" s="1">
        <v>2</v>
      </c>
      <c r="C8031" s="3">
        <v>44538.716770833336</v>
      </c>
      <c r="D8031" s="1" t="s">
        <v>15990</v>
      </c>
      <c r="E8031" s="1" t="str">
        <f ca="1">IFERROR(__xludf.DUMMYFUNCTION("GOOGLETRANSLATE(A4830 , ""tr"" , ""en"")"),"@drfahrettinkoca folks woke up. Who are you telling?")</f>
        <v>@drfahrettinkoca folks woke up. Who are you telling?</v>
      </c>
    </row>
    <row r="8032" spans="1:5" ht="15" customHeight="1" x14ac:dyDescent="0.2">
      <c r="A8032" s="1" t="s">
        <v>15991</v>
      </c>
      <c r="B8032" s="1">
        <v>0</v>
      </c>
      <c r="C8032" s="3">
        <v>44538.716724537036</v>
      </c>
      <c r="D8032" s="1" t="s">
        <v>15992</v>
      </c>
      <c r="E8032" s="1" t="str">
        <f ca="1">IFERROR(__xludf.DUMMYFUNCTION("GOOGLETRANSLATE(A4831 , ""tr"" , ""en"")"),"@drfahrettinka vaccine ones don't win a lot? The disease of heart muscle inflammation. Were felancies. Minnacik Blood PIH ... https://t.co/bs17IMMN0u")</f>
        <v>@drfahrettinka vaccine ones don't win a lot? The disease of heart muscle inflammation. Were felancies. Minnacik Blood PIH ... https://t.co/bs17IMMN0u</v>
      </c>
    </row>
    <row r="8033" spans="1:5" ht="15" customHeight="1" x14ac:dyDescent="0.2">
      <c r="A8033" s="1" t="s">
        <v>15993</v>
      </c>
      <c r="B8033" s="1">
        <v>1</v>
      </c>
      <c r="C8033" s="3">
        <v>44538.716562499998</v>
      </c>
      <c r="D8033" s="1" t="s">
        <v>15994</v>
      </c>
      <c r="E8033" s="1" t="str">
        <f ca="1">IFERROR(__xludf.DUMMYFUNCTION("GOOGLETRANSLATE(A4832 , ""tr"" , ""en"")"),"@drfahrettinkoca Mini Mini Climbing Destem Answers I wonder if you think we will not be from the nation's collar you will not be able to do 😡😡😡😡")</f>
        <v>@drfahrettinkoca Mini Mini Climbing Destem Answers I wonder if you think we will not be from the nation's collar you will not be able to do 😡😡😡😡</v>
      </c>
    </row>
    <row r="8034" spans="1:5" ht="15" customHeight="1" x14ac:dyDescent="0.2">
      <c r="A8034" s="1" t="s">
        <v>15995</v>
      </c>
      <c r="B8034" s="1">
        <v>0</v>
      </c>
      <c r="C8034" s="3">
        <v>44538.716550925928</v>
      </c>
      <c r="D8034" s="1" t="s">
        <v>15996</v>
      </c>
      <c r="E8034" s="1" t="str">
        <f ca="1">IFERROR(__xludf.DUMMYFUNCTION("GOOGLETRANSLATE(A4833 , ""tr"" , ""en"")"),"@drfahrettinkoca since 2018 disabled healthcare not assignment of disabled health care not to be assigned, no single step has been taken at ... https://t.co/gltuvse0nv")</f>
        <v>@drfahrettinkoca since 2018 disabled healthcare not assignment of disabled health care not to be assigned, no single step has been taken at ... https://t.co/gltuvse0nv</v>
      </c>
    </row>
    <row r="8035" spans="1:5" ht="15" customHeight="1" x14ac:dyDescent="0.2">
      <c r="A8035" s="1" t="s">
        <v>15997</v>
      </c>
      <c r="B8035" s="1">
        <v>3</v>
      </c>
      <c r="C8035" s="3">
        <v>44538.716481481482</v>
      </c>
      <c r="D8035" s="1" t="s">
        <v>15998</v>
      </c>
      <c r="E8035" s="1" t="str">
        <f ca="1">IFERROR(__xludf.DUMMYFUNCTION("GOOGLETRANSLATE(A4834 , ""tr"" , ""en"")"),"@drfahrettinkoca Sanane Be Sanane is enough. I have my sailor ... https://t.co/8momlaoypy")</f>
        <v>@drfahrettinkoca Sanane Be Sanane is enough. I have my sailor ... https://t.co/8momlaoypy</v>
      </c>
    </row>
    <row r="8036" spans="1:5" ht="15" customHeight="1" x14ac:dyDescent="0.2">
      <c r="A8036" s="1" t="s">
        <v>15999</v>
      </c>
      <c r="B8036" s="1">
        <v>0</v>
      </c>
      <c r="C8036" s="3">
        <v>44538.716365740744</v>
      </c>
      <c r="D8036" s="1" t="s">
        <v>16000</v>
      </c>
      <c r="E8036" s="1" t="str">
        <f ca="1">IFERROR(__xludf.DUMMYFUNCTION("GOOGLETRANSLATE(A4835 , ""tr"" , ""en"")"),"@drfahrettinkoca What time will be finished, I'm curious. Not in the middle enough they don't work or even hurt?")</f>
        <v>@drfahrettinkoca What time will be finished, I'm curious. Not in the middle enough they don't work or even hurt?</v>
      </c>
    </row>
    <row r="8037" spans="1:5" ht="15" customHeight="1" x14ac:dyDescent="0.2">
      <c r="A8037" s="1" t="s">
        <v>16001</v>
      </c>
      <c r="B8037" s="1">
        <v>1</v>
      </c>
      <c r="C8037" s="3">
        <v>44538.716319444444</v>
      </c>
      <c r="D8037" s="1" t="s">
        <v>16002</v>
      </c>
      <c r="E8037" s="1" t="str">
        <f ca="1">IFERROR(__xludf.DUMMYFUNCTION("GOOGLETRANSLATE(A4836 , ""tr"" , ""en"")"),"@drfahrettinkoca We will have total vaccines how many vaccines do you say to @drfahrettinkoca ...")</f>
        <v>@drfahrettinkoca We will have total vaccines how many vaccines do you say to @drfahrettinkoca ...</v>
      </c>
    </row>
    <row r="8038" spans="1:5" ht="15" customHeight="1" x14ac:dyDescent="0.2">
      <c r="A8038" s="1" t="s">
        <v>16003</v>
      </c>
      <c r="B8038" s="1">
        <v>1</v>
      </c>
      <c r="C8038" s="3">
        <v>44538.716273148151</v>
      </c>
      <c r="D8038" s="1" t="s">
        <v>16004</v>
      </c>
      <c r="E8038" s="1" t="str">
        <f ca="1">IFERROR(__xludf.DUMMYFUNCTION("GOOGLETRANSLATE(A4837 , ""tr"" , ""en"")"),"@drfahrettinkoca is your conscience while yelling so human guide ???")</f>
        <v>@drfahrettinkoca is your conscience while yelling so human guide ???</v>
      </c>
    </row>
    <row r="8039" spans="1:5" ht="15" customHeight="1" x14ac:dyDescent="0.2">
      <c r="A8039" s="1" t="s">
        <v>16005</v>
      </c>
      <c r="B8039" s="1">
        <v>3</v>
      </c>
      <c r="C8039" s="3">
        <v>44538.716203703705</v>
      </c>
      <c r="D8039" s="1" t="s">
        <v>16006</v>
      </c>
      <c r="E8039" s="1" t="str">
        <f ca="1">IFERROR(__xludf.DUMMYFUNCTION("GOOGLETRANSLATE(A4838 , ""tr"" , ""en"")"),"@drfahrettinkoca guide where is the minister ??? # Sbmerkezaatmaüçüceçavuz")</f>
        <v>@drfahrettinkoca guide where is the minister ??? # Sbmerkezaatmaüçüceçavuz</v>
      </c>
    </row>
    <row r="8040" spans="1:5" ht="15" customHeight="1" x14ac:dyDescent="0.2">
      <c r="A8040" s="1" t="s">
        <v>16007</v>
      </c>
      <c r="B8040" s="1">
        <v>6</v>
      </c>
      <c r="C8040" s="3">
        <v>44538.716122685182</v>
      </c>
      <c r="D8040" s="1" t="s">
        <v>16008</v>
      </c>
      <c r="E8040" s="1" t="str">
        <f ca="1">IFERROR(__xludf.DUMMYFUNCTION("GOOGLETRANSLATE(A4839 , ""tr"" , ""en"")"),"@drfahrettinkoca atamaaaaaa when")</f>
        <v>@drfahrettinkoca atamaaaaaa when</v>
      </c>
    </row>
    <row r="8041" spans="1:5" ht="15" customHeight="1" x14ac:dyDescent="0.2">
      <c r="A8041" s="1" t="s">
        <v>16009</v>
      </c>
      <c r="B8041" s="1">
        <v>0</v>
      </c>
      <c r="C8041" s="3">
        <v>44538.716122685182</v>
      </c>
      <c r="D8041" s="1" t="s">
        <v>16010</v>
      </c>
      <c r="E8041" s="1" t="str">
        <f ca="1">IFERROR(__xludf.DUMMYFUNCTION("GOOGLETRANSLATE(A4840 , ""tr"" , ""en"")"),"@drfahrettinkoca since 2018 is not assigned disabled healthpieces, although there is no single step, given a single step in ... https://t.co/42ynhnwtmj")</f>
        <v>@drfahrettinkoca since 2018 is not assigned disabled healthpieces, although there is no single step, given a single step in ... https://t.co/42ynhnwtmj</v>
      </c>
    </row>
    <row r="8042" spans="1:5" ht="15" customHeight="1" x14ac:dyDescent="0.2">
      <c r="A8042" s="1" t="s">
        <v>16011</v>
      </c>
      <c r="B8042" s="1">
        <v>23</v>
      </c>
      <c r="C8042" s="3">
        <v>44538.71601851852</v>
      </c>
      <c r="D8042" s="1" t="s">
        <v>16012</v>
      </c>
      <c r="E8042" s="1" t="str">
        <f ca="1">IFERROR(__xludf.DUMMYFUNCTION("GOOGLETRANSLATE(A4841 , ""tr"" , ""en"")"),"@drfahrettinkoca Germany LA We have the same population why there is Already Hergun Case 70 thousand reasons in Turkey 20 21 thousand ... https://t.co/9lugbddirpj")</f>
        <v>@drfahrettinkoca Germany LA We have the same population why there is Already Hergun Case 70 thousand reasons in Turkey 20 21 thousand ... https://t.co/9lugbddirpj</v>
      </c>
    </row>
    <row r="8043" spans="1:5" ht="15" customHeight="1" x14ac:dyDescent="0.2">
      <c r="A8043" s="1" t="s">
        <v>16013</v>
      </c>
      <c r="B8043" s="1">
        <v>0</v>
      </c>
      <c r="C8043" s="3">
        <v>44538.715925925928</v>
      </c>
      <c r="D8043" s="1" t="s">
        <v>16014</v>
      </c>
      <c r="E8043" s="1" t="str">
        <f ca="1">IFERROR(__xludf.DUMMYFUNCTION("GOOGLETRANSLATE(A4842 , ""tr"" , ""en"")"),"@drfahrettinkoca since 2018 does not assign disabled healthpieces, although there is not a single step, given a single step, https://t.co/8hvkvgbm4v")</f>
        <v>@drfahrettinkoca since 2018 does not assign disabled healthpieces, although there is not a single step, given a single step, https://t.co/8hvkvgbm4v</v>
      </c>
    </row>
    <row r="8044" spans="1:5" ht="15" customHeight="1" x14ac:dyDescent="0.2">
      <c r="A8044" s="1" t="s">
        <v>16015</v>
      </c>
      <c r="B8044" s="1">
        <v>0</v>
      </c>
      <c r="C8044" s="3">
        <v>44538.715914351851</v>
      </c>
      <c r="D8044" s="1" t="s">
        <v>16016</v>
      </c>
      <c r="E8044" s="1" t="str">
        <f ca="1">IFERROR(__xludf.DUMMYFUNCTION("GOOGLETRANSLATE(A4843 , ""tr"" , ""en"")"),"@drfahrettinkoca Schools Kapping Virus Virus So No Nobody Wearing Distance 0 Air Colders Hybrid Training Or Https://t.co.coobh0wnke")</f>
        <v>@drfahrettinkoca Schools Kapping Virus Virus So No Nobody Wearing Distance 0 Air Colders Hybrid Training Or Https://t.co.coobh0wnke</v>
      </c>
    </row>
    <row r="8045" spans="1:5" ht="15" customHeight="1" x14ac:dyDescent="0.2">
      <c r="A8045" s="1" t="s">
        <v>16017</v>
      </c>
      <c r="B8045" s="1">
        <v>0</v>
      </c>
      <c r="C8045" s="3">
        <v>44538.715763888889</v>
      </c>
      <c r="D8045" s="1" t="s">
        <v>16018</v>
      </c>
      <c r="E8045" s="1" t="str">
        <f ca="1">IFERROR(__xludf.DUMMYFUNCTION("GOOGLETRANSLATE(A4844 , ""tr"" , ""en"")"),"@drfahrettinkoca hepte 20 of those of around 20 how is it going on")</f>
        <v>@drfahrettinkoca hepte 20 of those of around 20 how is it going on</v>
      </c>
    </row>
    <row r="8046" spans="1:5" ht="15" customHeight="1" x14ac:dyDescent="0.2">
      <c r="A8046" s="1" t="s">
        <v>16019</v>
      </c>
      <c r="B8046" s="1">
        <v>0</v>
      </c>
      <c r="C8046" s="3">
        <v>44538.715567129628</v>
      </c>
      <c r="D8046" s="1" t="s">
        <v>16020</v>
      </c>
      <c r="E8046" s="1" t="str">
        <f ca="1">IFERROR(__xludf.DUMMYFUNCTION("GOOGLETRANSLATE(A4845 , ""tr"" , ""en"")"),"@drfahrettinkoca Allah LoveNa Guide Z Z")</f>
        <v>@drfahrettinkoca Allah LoveNa Guide Z Z</v>
      </c>
    </row>
    <row r="8047" spans="1:5" ht="15" customHeight="1" x14ac:dyDescent="0.2">
      <c r="A8047" s="1" t="s">
        <v>16021</v>
      </c>
      <c r="B8047" s="1">
        <v>1</v>
      </c>
      <c r="C8047" s="3">
        <v>44538.715486111112</v>
      </c>
      <c r="D8047" s="1" t="s">
        <v>16022</v>
      </c>
      <c r="E8047" s="1" t="str">
        <f ca="1">IFERROR(__xludf.DUMMYFUNCTION("GOOGLETRANSLATE(A4846 , ""tr"" , ""en"")"),"@drfahrettinkoca Sayin Miniminacik's Miniminacik Zamn of the Miniminacic Zamn What will be the Yilbasinda Inflant ... https://t.co/erebsvujrp")</f>
        <v>@drfahrettinkoca Sayin Miniminacik's Miniminacik Zamn of the Miniminacic Zamn What will be the Yilbasinda Inflant ... https://t.co/erebsvujrp</v>
      </c>
    </row>
    <row r="8048" spans="1:5" ht="15" customHeight="1" x14ac:dyDescent="0.2">
      <c r="A8048" s="1" t="s">
        <v>16023</v>
      </c>
      <c r="B8048" s="1">
        <v>2</v>
      </c>
      <c r="C8048" s="3">
        <v>44538.71534722222</v>
      </c>
      <c r="D8048" s="1" t="s">
        <v>16024</v>
      </c>
      <c r="E8048" s="1" t="str">
        <f ca="1">IFERROR(__xludf.DUMMYFUNCTION("GOOGLETRANSLATE(A4847 , ""tr"" , ""en"")"),"@drfahrettinkoca If the assignment is not going to choose the bari 5 min, you shouldn't stay more than the Ministry! See Health ... https://t.co/9an8wa411h")</f>
        <v>@drfahrettinkoca If the assignment is not going to choose the bari 5 min, you shouldn't stay more than the Ministry! See Health ... https://t.co/9an8wa411h</v>
      </c>
    </row>
    <row r="8049" spans="1:5" ht="15" customHeight="1" x14ac:dyDescent="0.2">
      <c r="A8049" s="1" t="s">
        <v>16025</v>
      </c>
      <c r="B8049" s="1">
        <v>0</v>
      </c>
      <c r="C8049" s="3">
        <v>44538.715300925927</v>
      </c>
      <c r="D8049" s="1" t="s">
        <v>16026</v>
      </c>
      <c r="E8049" s="1" t="str">
        <f ca="1">IFERROR(__xludf.DUMMYFUNCTION("GOOGLETRANSLATE(A4848 , ""tr"" , ""en"")"),"@drfahrettinkoca vaccine right of unrecognized children have suffered in intensive care or severe illness, spend, how many passes?")</f>
        <v>@drfahrettinkoca vaccine right of unrecognized children have suffered in intensive care or severe illness, spend, how many passes?</v>
      </c>
    </row>
    <row r="8050" spans="1:5" ht="15" customHeight="1" x14ac:dyDescent="0.2">
      <c r="A8050" s="1" t="s">
        <v>16027</v>
      </c>
      <c r="B8050" s="1">
        <v>0</v>
      </c>
      <c r="C8050" s="3">
        <v>44538.715266203704</v>
      </c>
      <c r="D8050" s="1" t="s">
        <v>16028</v>
      </c>
      <c r="E8050" s="1" t="str">
        <f ca="1">IFERROR(__xludf.DUMMYFUNCTION("GOOGLETRANSLATE(A4849 , ""tr"" , ""en"")"),"@drfahrettinkoca quit meat enough of our sagligh what is the toy here? I'm now the flu Covid Dicekler Heme ... https://t.co/o1bwhvpuyy")</f>
        <v>@drfahrettinkoca quit meat enough of our sagligh what is the toy here? I'm now the flu Covid Dicekler Heme ... https://t.co/o1bwhvpuyy</v>
      </c>
    </row>
    <row r="8051" spans="1:5" ht="15" customHeight="1" x14ac:dyDescent="0.2">
      <c r="A8051" s="1" t="s">
        <v>16029</v>
      </c>
      <c r="B8051" s="1">
        <v>0</v>
      </c>
      <c r="C8051" s="3">
        <v>44538.715127314812</v>
      </c>
      <c r="D8051" s="1" t="s">
        <v>16030</v>
      </c>
      <c r="E8051" s="1" t="str">
        <f ca="1">IFERROR(__xludf.DUMMYFUNCTION("GOOGLETRANSLATE(A4850 , ""tr"" , ""en"")"),"@drfahrettinkoca vaccine whichever the 3.4 vaccines when uninfull")</f>
        <v>@drfahrettinkoca vaccine whichever the 3.4 vaccines when uninfull</v>
      </c>
    </row>
    <row r="8052" spans="1:5" ht="15" customHeight="1" x14ac:dyDescent="0.2">
      <c r="A8052" s="1" t="s">
        <v>16031</v>
      </c>
      <c r="B8052" s="1">
        <v>0</v>
      </c>
      <c r="C8052" s="3">
        <v>44538.715069444443</v>
      </c>
      <c r="D8052" s="1" t="s">
        <v>16032</v>
      </c>
      <c r="E8052" s="1" t="str">
        <f ca="1">IFERROR(__xludf.DUMMYFUNCTION("GOOGLETRANSLATE(A4851 , ""tr"" , ""en"")"),"@drfahrettinkoca This silence is why !!")</f>
        <v>@drfahrettinkoca This silence is why !!</v>
      </c>
    </row>
    <row r="8053" spans="1:5" ht="15" customHeight="1" x14ac:dyDescent="0.2">
      <c r="A8053" s="1" t="s">
        <v>16033</v>
      </c>
      <c r="B8053" s="1">
        <v>1</v>
      </c>
      <c r="C8053" s="3">
        <v>44538.715069444443</v>
      </c>
      <c r="D8053" s="1" t="s">
        <v>16034</v>
      </c>
      <c r="E8053" s="1" t="str">
        <f ca="1">IFERROR(__xludf.DUMMYFUNCTION("GOOGLETRANSLATE(A4852 , ""tr"" , ""en"")"),"@drfahrettinka when you say the complete completion. The 1 dose has said 2 was 2 to 3 4E. 5. Dose is shot in my circle ... https://t.co/dqsynfutue")</f>
        <v>@drfahrettinka when you say the complete completion. The 1 dose has said 2 was 2 to 3 4E. 5. Dose is shot in my circle ... https://t.co/dqsynfutue</v>
      </c>
    </row>
    <row r="8054" spans="1:5" ht="15" customHeight="1" x14ac:dyDescent="0.2">
      <c r="A8054" s="1" t="s">
        <v>16035</v>
      </c>
      <c r="B8054" s="1">
        <v>0</v>
      </c>
      <c r="C8054" s="3">
        <v>44538.71503472222</v>
      </c>
      <c r="D8054" s="1" t="s">
        <v>16036</v>
      </c>
      <c r="E8054" s="1" t="str">
        <f ca="1">IFERROR(__xludf.DUMMYFUNCTION("GOOGLETRANSLATE(A4853 , ""tr"" , ""en"")"),"@drfahrettinkoca geese ate their new feed with appetite. https://t.co/3aiihmqbzgr")</f>
        <v>@drfahrettinkoca geese ate their new feed with appetite. https://t.co/3aiihmqbzgr</v>
      </c>
    </row>
    <row r="8055" spans="1:5" ht="15" customHeight="1" x14ac:dyDescent="0.2">
      <c r="A8055" s="1" t="s">
        <v>16037</v>
      </c>
      <c r="B8055" s="1">
        <v>0</v>
      </c>
      <c r="C8055" s="3">
        <v>44538.714965277781</v>
      </c>
      <c r="D8055" s="1" t="s">
        <v>16038</v>
      </c>
      <c r="E8055" s="1" t="str">
        <f ca="1">IFERROR(__xludf.DUMMYFUNCTION("GOOGLETRANSLATE(A4854 , ""tr"" , ""en"")"),"@drfahrettinkoca country has already been a place to live. Although I die, I say I'm now rid of ..Yeters now ..!")</f>
        <v>@drfahrettinkoca country has already been a place to live. Although I die, I say I'm now rid of ..Yeters now ..!</v>
      </c>
    </row>
    <row r="8056" spans="1:5" ht="15" customHeight="1" x14ac:dyDescent="0.2">
      <c r="A8056" s="1" t="s">
        <v>16039</v>
      </c>
      <c r="B8056" s="1">
        <v>16</v>
      </c>
      <c r="C8056" s="3">
        <v>44538.714907407404</v>
      </c>
      <c r="D8056" s="1" t="s">
        <v>16040</v>
      </c>
      <c r="E8056" s="1" t="str">
        <f ca="1">IFERROR(__xludf.DUMMYFUNCTION("GOOGLETRANSLATE(A4855 , ""tr"" , ""en"")"),"@drfahrettinkoca can you describe the number of dying liquid")</f>
        <v>@drfahrettinkoca can you describe the number of dying liquid</v>
      </c>
    </row>
    <row r="8057" spans="1:5" ht="15" customHeight="1" x14ac:dyDescent="0.2">
      <c r="A8057" s="1" t="s">
        <v>16041</v>
      </c>
      <c r="B8057" s="1">
        <v>0</v>
      </c>
      <c r="C8057" s="3">
        <v>44538.714756944442</v>
      </c>
      <c r="D8057" s="1" t="s">
        <v>16042</v>
      </c>
      <c r="E8057" s="1" t="str">
        <f ca="1">IFERROR(__xludf.DUMMYFUNCTION("GOOGLETRANSLATE(A4856 , ""tr"" , ""en"")"),"@drfahrettinka vaccine protects from the hikes HoCa, the tin of the oil is 160")</f>
        <v>@drfahrettinka vaccine protects from the hikes HoCa, the tin of the oil is 160</v>
      </c>
    </row>
    <row r="8058" spans="1:5" ht="15" customHeight="1" x14ac:dyDescent="0.2">
      <c r="A8058" s="1" t="s">
        <v>16043</v>
      </c>
      <c r="B8058" s="1">
        <v>1</v>
      </c>
      <c r="C8058" s="3">
        <v>44538.714733796296</v>
      </c>
      <c r="D8058" s="1" t="s">
        <v>16044</v>
      </c>
      <c r="E8058" s="1" t="str">
        <f ca="1">IFERROR(__xludf.DUMMYFUNCTION("GOOGLETRANSLATE(A4857 , ""tr"" , ""en"")"),"@drfahrettinkoca my confidence in my vaccine because I was tired of trust you. Don't mention that schools are safe ... https://t.co/ymyvIuz763")</f>
        <v>@drfahrettinkoca my confidence in my vaccine because I was tired of trust you. Don't mention that schools are safe ... https://t.co/ymyvIuz763</v>
      </c>
    </row>
    <row r="8059" spans="1:5" ht="15" customHeight="1" x14ac:dyDescent="0.2">
      <c r="A8059" s="1" t="s">
        <v>16045</v>
      </c>
      <c r="B8059" s="1">
        <v>1</v>
      </c>
      <c r="C8059" s="3">
        <v>44538.714583333334</v>
      </c>
      <c r="D8059" s="1" t="s">
        <v>16046</v>
      </c>
      <c r="E8059" s="1" t="str">
        <f ca="1">IFERROR(__xludf.DUMMYFUNCTION("GOOGLETRANSLATE(A4858 , ""tr"" , ""en"")"),"@drfahrettinkoca nation You make a non-licquent extrats What is the man of this be guy .. Nation is this extrat Lari ... https://t.co/fub6rz6lgl")</f>
        <v>@drfahrettinkoca nation You make a non-licquent extrats What is the man of this be guy .. Nation is this extrat Lari ... https://t.co/fub6rz6lgl</v>
      </c>
    </row>
    <row r="8060" spans="1:5" ht="15" customHeight="1" x14ac:dyDescent="0.2">
      <c r="A8060" s="1" t="s">
        <v>16047</v>
      </c>
      <c r="B8060" s="1">
        <v>21</v>
      </c>
      <c r="C8060" s="3">
        <v>44538.714467592596</v>
      </c>
      <c r="D8060" s="1" t="s">
        <v>16048</v>
      </c>
      <c r="E8060" s="1" t="str">
        <f ca="1">IFERROR(__xludf.DUMMYFUNCTION("GOOGLETRANSLATE(A4859 , ""tr"" , ""en"")"),"@drfahrettinkoca Seasonal Gribe Deadly Virus Saying His Fear Pumpers What Win?")</f>
        <v>@drfahrettinkoca Seasonal Gribe Deadly Virus Saying His Fear Pumpers What Win?</v>
      </c>
    </row>
    <row r="8061" spans="1:5" ht="15" customHeight="1" x14ac:dyDescent="0.2">
      <c r="A8061" s="1" t="s">
        <v>16049</v>
      </c>
      <c r="B8061" s="1">
        <v>1</v>
      </c>
      <c r="C8061" s="3">
        <v>44538.714432870373</v>
      </c>
      <c r="D8061" s="1" t="s">
        <v>16050</v>
      </c>
      <c r="E8061" s="1" t="str">
        <f ca="1">IFERROR(__xludf.DUMMYFUNCTION("GOOGLETRANSLATE(A4860 , ""tr"" , ""en"")"),"@drfahrettinka Mr. Minister 5 Why do you not know vaccination rights between 11 years?")</f>
        <v>@drfahrettinka Mr. Minister 5 Why do you not know vaccination rights between 11 years?</v>
      </c>
    </row>
    <row r="8062" spans="1:5" ht="15" customHeight="1" x14ac:dyDescent="0.2">
      <c r="A8062" s="1" t="s">
        <v>16051</v>
      </c>
      <c r="B8062" s="1">
        <v>4</v>
      </c>
      <c r="C8062" s="3">
        <v>44538.714363425926</v>
      </c>
      <c r="D8062" s="1" t="s">
        <v>16052</v>
      </c>
      <c r="E8062" s="1" t="str">
        <f ca="1">IFERROR(__xludf.DUMMYFUNCTION("GOOGLETRANSLATE(A4861 , ""tr"" , ""en"")"),"@drfahrettinkoca Bulk with zero victimization, so that these expectations can be seen with hand-held eye. Https://t.co/anqlhafapf")</f>
        <v>@drfahrettinkoca Bulk with zero victimization, so that these expectations can be seen with hand-held eye. Https://t.co/anqlhafapf</v>
      </c>
    </row>
    <row r="8063" spans="1:5" ht="15" customHeight="1" x14ac:dyDescent="0.2">
      <c r="A8063" s="1" t="s">
        <v>16053</v>
      </c>
      <c r="B8063" s="1">
        <v>10</v>
      </c>
      <c r="C8063" s="3">
        <v>44538.714189814818</v>
      </c>
      <c r="D8063" s="1" t="s">
        <v>16054</v>
      </c>
      <c r="E8063" s="1" t="str">
        <f ca="1">IFERROR(__xludf.DUMMYFUNCTION("GOOGLETRANSLATE(A4862 , ""tr"" , ""en"")"),"@drfahrettinkoca sec. Minister; I was + in October because of imprudently opened schools. Although the double dose is grafted A ... https://t.co/kcwi37qhop")</f>
        <v>@drfahrettinkoca sec. Minister; I was + in October because of imprudently opened schools. Although the double dose is grafted A ... https://t.co/kcwi37qhop</v>
      </c>
    </row>
    <row r="8064" spans="1:5" ht="15" customHeight="1" x14ac:dyDescent="0.2">
      <c r="A8064" s="1" t="s">
        <v>8685</v>
      </c>
      <c r="B8064" s="1">
        <v>0</v>
      </c>
      <c r="C8064" s="3">
        <v>44538.714120370372</v>
      </c>
      <c r="D8064" s="1" t="s">
        <v>16055</v>
      </c>
      <c r="E8064" s="1" t="str">
        <f ca="1">IFERROR(__xludf.DUMMYFUNCTION("GOOGLETRANSLATE(A4863 , ""tr"" , ""en"")"),"@drfahrettinkoca lying table")</f>
        <v>@drfahrettinkoca lying table</v>
      </c>
    </row>
    <row r="8065" spans="1:5" ht="15" customHeight="1" x14ac:dyDescent="0.2">
      <c r="A8065" s="1" t="s">
        <v>16056</v>
      </c>
      <c r="B8065" s="1">
        <v>0</v>
      </c>
      <c r="C8065" s="3">
        <v>44538.714097222219</v>
      </c>
      <c r="D8065" s="1" t="s">
        <v>16057</v>
      </c>
      <c r="E8065" s="1" t="str">
        <f ca="1">IFERROR(__xludf.DUMMYFUNCTION("GOOGLETRANSLATE(A4864 , ""tr"" , ""en"")"),"@drfahrettinkoca cltu guess you are immediately solved by you.")</f>
        <v>@drfahrettinkoca cltu guess you are immediately solved by you.</v>
      </c>
    </row>
    <row r="8066" spans="1:5" ht="15" customHeight="1" x14ac:dyDescent="0.2">
      <c r="A8066" s="1" t="s">
        <v>16058</v>
      </c>
      <c r="B8066" s="1">
        <v>19</v>
      </c>
      <c r="C8066" s="3">
        <v>44538.714074074072</v>
      </c>
      <c r="D8066" s="1" t="s">
        <v>16059</v>
      </c>
      <c r="E8066" s="1" t="str">
        <f ca="1">IFERROR(__xludf.DUMMYFUNCTION("GOOGLETRANSLATE(A4865 , ""tr"" , ""en"")"),"If @drfahrettinkoca guide is also signed with your hand at ÖSYM")</f>
        <v>If @drfahrettinkoca guide is also signed with your hand at ÖSYM</v>
      </c>
    </row>
    <row r="8067" spans="1:5" ht="15" customHeight="1" x14ac:dyDescent="0.2">
      <c r="A8067" s="1" t="s">
        <v>16060</v>
      </c>
      <c r="B8067" s="1">
        <v>8</v>
      </c>
      <c r="C8067" s="3">
        <v>44538.714074074072</v>
      </c>
      <c r="D8067" s="1" t="s">
        <v>16061</v>
      </c>
      <c r="E8067" s="1" t="str">
        <f ca="1">IFERROR(__xludf.DUMMYFUNCTION("GOOGLETRANSLATE(A4866 , ""tr"" , ""en"")"),"@drfahrettinkoca let's believe you? husband prof. Is it? https://t.co/adıibbq2dw")</f>
        <v>@drfahrettinkoca let's believe you? husband prof. Is it? https://t.co/adıibbq2dw</v>
      </c>
    </row>
    <row r="8068" spans="1:5" ht="15" customHeight="1" x14ac:dyDescent="0.2">
      <c r="A8068" s="1" t="s">
        <v>16062</v>
      </c>
      <c r="B8068" s="1">
        <v>1</v>
      </c>
      <c r="C8068" s="3">
        <v>44538.714016203703</v>
      </c>
      <c r="D8068" s="1" t="s">
        <v>16063</v>
      </c>
      <c r="E8068" s="1" t="str">
        <f ca="1">IFERROR(__xludf.DUMMYFUNCTION("GOOGLETRANSLATE(A4867 , ""tr"" , ""en"")"),"@drfahrettinkoca my understanding is that I have a sense of Suanda Covidli Genc in my house Suanda Covidli GENC has a girl my wife 2 nummy 2 scared Kay ... https://t.co/svımr7gnto")</f>
        <v>@drfahrettinkoca my understanding is that I have a sense of Suanda Covidli Genc in my house Suanda Covidli GENC has a girl my wife 2 nummy 2 scared Kay ... https://t.co/svımr7gnto</v>
      </c>
    </row>
    <row r="8069" spans="1:5" ht="15" customHeight="1" x14ac:dyDescent="0.2">
      <c r="A8069" s="1" t="s">
        <v>16064</v>
      </c>
      <c r="B8069" s="1">
        <v>0</v>
      </c>
      <c r="C8069" s="3">
        <v>44538.714016203703</v>
      </c>
      <c r="D8069" s="1" t="s">
        <v>16065</v>
      </c>
      <c r="E8069" s="1" t="str">
        <f ca="1">IFERROR(__xludf.DUMMYFUNCTION("GOOGLETRANSLATE(A4868 , ""tr"" , ""en"")"),"@drfahrettinkoca assignment assignment")</f>
        <v>@drfahrettinkoca assignment assignment</v>
      </c>
    </row>
    <row r="8070" spans="1:5" ht="15" customHeight="1" x14ac:dyDescent="0.2">
      <c r="A8070" s="1" t="s">
        <v>16066</v>
      </c>
      <c r="B8070" s="1">
        <v>1</v>
      </c>
      <c r="C8070" s="3">
        <v>44538.713969907411</v>
      </c>
      <c r="D8070" s="1" t="s">
        <v>16067</v>
      </c>
      <c r="E8070" s="1" t="str">
        <f ca="1">IFERROR(__xludf.DUMMYFUNCTION("GOOGLETRANSLATE(A4869 , ""tr"" , ""en"")"),"@drfahrettinkoca e Minister, the madem explains the vaccination situations of the daily daily and lies daily, then :(")</f>
        <v>@drfahrettinkoca e Minister, the madem explains the vaccination situations of the daily daily and lies daily, then :(</v>
      </c>
    </row>
    <row r="8071" spans="1:5" ht="15" customHeight="1" x14ac:dyDescent="0.2">
      <c r="A8071" s="1" t="s">
        <v>12993</v>
      </c>
      <c r="B8071" s="1">
        <v>0</v>
      </c>
      <c r="C8071" s="3">
        <v>44538.713773148149</v>
      </c>
      <c r="D8071" s="1" t="s">
        <v>16068</v>
      </c>
      <c r="E8071" s="1" t="str">
        <f ca="1">IFERROR(__xludf.DUMMYFUNCTION("GOOGLETRANSLATE(A4870 , ""tr"" , ""en"")"),"@drfahrettinkoca come on there")</f>
        <v>@drfahrettinkoca come on there</v>
      </c>
    </row>
    <row r="8072" spans="1:5" ht="15" customHeight="1" x14ac:dyDescent="0.2">
      <c r="A8072" s="1" t="s">
        <v>16069</v>
      </c>
      <c r="B8072" s="1">
        <v>2</v>
      </c>
      <c r="C8072" s="3">
        <v>44538.713634259257</v>
      </c>
      <c r="D8072" s="1" t="s">
        <v>16070</v>
      </c>
      <c r="E8072" s="1" t="str">
        <f ca="1">IFERROR(__xludf.DUMMYFUNCTION("GOOGLETRANSLATE(A4871 , ""tr"" , ""en"")"),"@drfahrettinkoca Mr. Minister Hani Sinovak Percentage Percent Me Protecting His Vaccine Now If you are not Intals Full Inspection ... https://t.co/jl8um2gusz")</f>
        <v>@drfahrettinkoca Mr. Minister Hani Sinovak Percentage Percent Me Protecting His Vaccine Now If you are not Intals Full Inspection ... https://t.co/jl8um2gusz</v>
      </c>
    </row>
    <row r="8073" spans="1:5" ht="15" customHeight="1" x14ac:dyDescent="0.2">
      <c r="A8073" s="1" t="s">
        <v>16071</v>
      </c>
      <c r="B8073" s="1">
        <v>0</v>
      </c>
      <c r="C8073" s="3">
        <v>44538.713622685187</v>
      </c>
      <c r="D8073" s="1" t="s">
        <v>16072</v>
      </c>
      <c r="E8073" s="1" t="str">
        <f ca="1">IFERROR(__xludf.DUMMYFUNCTION("GOOGLETRANSLATE(A4872 , ""tr"" , ""en"")"),"@drfahrettinka https://t.co/uo9ekxeapl")</f>
        <v>@drfahrettinka https://t.co/uo9ekxeapl</v>
      </c>
    </row>
    <row r="8074" spans="1:5" ht="15" customHeight="1" x14ac:dyDescent="0.2">
      <c r="A8074" s="1" t="s">
        <v>16073</v>
      </c>
      <c r="B8074" s="1">
        <v>0</v>
      </c>
      <c r="C8074" s="3">
        <v>44538.713518518518</v>
      </c>
      <c r="D8074" s="1" t="s">
        <v>16074</v>
      </c>
      <c r="E8074" s="1" t="str">
        <f ca="1">IFERROR(__xludf.DUMMYFUNCTION("GOOGLETRANSLATE(A4873 , ""tr"" , ""en"")"),"@drfahrettinkoca ISTIFA")</f>
        <v>@drfahrettinkoca ISTIFA</v>
      </c>
    </row>
    <row r="8075" spans="1:5" ht="15" customHeight="1" x14ac:dyDescent="0.2">
      <c r="A8075" s="1" t="s">
        <v>16075</v>
      </c>
      <c r="B8075" s="1">
        <v>3</v>
      </c>
      <c r="C8075" s="3">
        <v>44538.713356481479</v>
      </c>
      <c r="D8075" s="1" t="s">
        <v>16076</v>
      </c>
      <c r="E8075" s="1" t="str">
        <f ca="1">IFERROR(__xludf.DUMMYFUNCTION("GOOGLETRANSLATE(A4874 , ""tr"" , ""en"")"),"@drfahrettinkoca LAN We can't get an appointment What is 20 thousand cases")</f>
        <v>@drfahrettinkoca LAN We can't get an appointment What is 20 thousand cases</v>
      </c>
    </row>
    <row r="8076" spans="1:5" ht="15" customHeight="1" x14ac:dyDescent="0.2">
      <c r="A8076" s="1" t="s">
        <v>16077</v>
      </c>
      <c r="B8076" s="1">
        <v>0</v>
      </c>
      <c r="C8076" s="3">
        <v>44538.71329861111</v>
      </c>
      <c r="D8076" s="1" t="s">
        <v>16078</v>
      </c>
      <c r="E8076" s="1" t="str">
        <f ca="1">IFERROR(__xludf.DUMMYFUNCTION("GOOGLETRANSLATE(A4875 , ""tr"" , ""en"")"),"@drfahrettinkoca where this guide")</f>
        <v>@drfahrettinkoca where this guide</v>
      </c>
    </row>
    <row r="8077" spans="1:5" ht="15" customHeight="1" x14ac:dyDescent="0.2">
      <c r="A8077" s="1" t="s">
        <v>16079</v>
      </c>
      <c r="B8077" s="1">
        <v>3</v>
      </c>
      <c r="C8077" s="3">
        <v>44538.713206018518</v>
      </c>
      <c r="D8077" s="1" t="s">
        <v>16080</v>
      </c>
      <c r="E8077" s="1" t="str">
        <f ca="1">IFERROR(__xludf.DUMMYFUNCTION("GOOGLETRANSLATE(A4876 , ""tr"" , ""en"")"),"@drfahrettinkoca Guide where Mr. Minister ????????")</f>
        <v>@drfahrettinkoca Guide where Mr. Minister ????????</v>
      </c>
    </row>
    <row r="8078" spans="1:5" ht="15" customHeight="1" x14ac:dyDescent="0.2">
      <c r="A8078" s="1" t="s">
        <v>16081</v>
      </c>
      <c r="B8078" s="1">
        <v>7</v>
      </c>
      <c r="C8078" s="3">
        <v>44538.713182870371</v>
      </c>
      <c r="D8078" s="1" t="s">
        <v>16082</v>
      </c>
      <c r="E8078" s="1" t="str">
        <f ca="1">IFERROR(__xludf.DUMMYFUNCTION("GOOGLETRANSLATE(A4877 , ""tr"" , ""en"")"),"@drfahrettinkoca Health fucking for the day I read. Thanks Mr. @drfahrettinkoca # sbmerkeziaTiaTheChealthwood")</f>
        <v>@drfahrettinkoca Health fucking for the day I read. Thanks Mr. @drfahrettinkoca # sbmerkeziaTiaTheChealthwood</v>
      </c>
    </row>
    <row r="8079" spans="1:5" ht="15" customHeight="1" x14ac:dyDescent="0.2">
      <c r="A8079" s="1" t="s">
        <v>16083</v>
      </c>
      <c r="B8079" s="1">
        <v>0</v>
      </c>
      <c r="C8079" s="3">
        <v>44538.713067129633</v>
      </c>
      <c r="D8079" s="1" t="s">
        <v>16084</v>
      </c>
      <c r="E8079" s="1" t="str">
        <f ca="1">IFERROR(__xludf.DUMMYFUNCTION("GOOGLETRANSLATE(A4878 , ""tr"" , ""en"")"),"@drfahrettinkoca guide guide guide guide guide guide guide guide guide guide guide guide kina ... https://t.co/dnrkq0etlw")</f>
        <v>@drfahrettinkoca guide guide guide guide guide guide guide guide guide guide guide guide kina ... https://t.co/dnrkq0etlw</v>
      </c>
    </row>
    <row r="8080" spans="1:5" ht="15" customHeight="1" x14ac:dyDescent="0.2">
      <c r="A8080" s="1" t="s">
        <v>16085</v>
      </c>
      <c r="B8080" s="1">
        <v>0</v>
      </c>
      <c r="C8080" s="3">
        <v>44538.712997685187</v>
      </c>
      <c r="D8080" s="1" t="s">
        <v>16086</v>
      </c>
      <c r="E8080" s="1" t="str">
        <f ca="1">IFERROR(__xludf.DUMMYFUNCTION("GOOGLETRANSLATE(A4879 , ""tr"" , ""en"")"),"@drfahrettinkoca Vietnamese has 3 children after Covid vaccine. The situation in Turkey is the Minister of Dear. How many people pass away ... https://t.co/zoq7rqsl7d")</f>
        <v>@drfahrettinkoca Vietnamese has 3 children after Covid vaccine. The situation in Turkey is the Minister of Dear. How many people pass away ... https://t.co/zoq7rqsl7d</v>
      </c>
    </row>
    <row r="8081" spans="1:5" ht="15" customHeight="1" x14ac:dyDescent="0.2">
      <c r="A8081" s="1" t="s">
        <v>16087</v>
      </c>
      <c r="B8081" s="1">
        <v>0</v>
      </c>
      <c r="C8081" s="3">
        <v>44538.71298611111</v>
      </c>
      <c r="D8081" s="1" t="s">
        <v>16088</v>
      </c>
      <c r="E8081" s="1" t="str">
        <f ca="1">IFERROR(__xludf.DUMMYFUNCTION("GOOGLETRANSLATE(A4880 , ""tr"" , ""en"")"),"@drfahrettinkoca guide guide guide guide guide guide guide guide guide guide guide guide kina ... https://t.co/vvvtaludıec")</f>
        <v>@drfahrettinkoca guide guide guide guide guide guide guide guide guide guide guide guide kina ... https://t.co/vvvtaludıec</v>
      </c>
    </row>
    <row r="8082" spans="1:5" ht="15" customHeight="1" x14ac:dyDescent="0.2">
      <c r="A8082" s="1" t="s">
        <v>16089</v>
      </c>
      <c r="B8082" s="1">
        <v>0</v>
      </c>
      <c r="C8082" s="3">
        <v>44538.712870370371</v>
      </c>
      <c r="D8082" s="1" t="s">
        <v>16090</v>
      </c>
      <c r="E8082" s="1" t="str">
        <f ca="1">IFERROR(__xludf.DUMMYFUNCTION("GOOGLETRANSLATE(A4881 , ""tr"" , ""en"")"),"@drfahrettinkoca makes a statement so hard")</f>
        <v>@drfahrettinkoca makes a statement so hard</v>
      </c>
    </row>
    <row r="8083" spans="1:5" ht="15" customHeight="1" x14ac:dyDescent="0.2">
      <c r="A8083" s="1" t="s">
        <v>16091</v>
      </c>
      <c r="B8083" s="1">
        <v>7</v>
      </c>
      <c r="C8083" s="3">
        <v>44538.712754629632</v>
      </c>
      <c r="D8083" s="1" t="s">
        <v>16092</v>
      </c>
      <c r="E8083" s="1" t="str">
        <f ca="1">IFERROR(__xludf.DUMMYFUNCTION("GOOGLETRANSLATE(A4882 , ""tr"" , ""en"")"),"@drfahrettinkoca folks went to space too we also arrived we are still waiting for the assignment to assign our right to get what we are ... https://t.co/75gx6zl4ys")</f>
        <v>@drfahrettinkoca folks went to space too we also arrived we are still waiting for the assignment to assign our right to get what we are ... https://t.co/75gx6zl4ys</v>
      </c>
    </row>
    <row r="8084" spans="1:5" ht="15" customHeight="1" x14ac:dyDescent="0.2">
      <c r="A8084" s="1" t="s">
        <v>16093</v>
      </c>
      <c r="B8084" s="1">
        <v>0</v>
      </c>
      <c r="C8084" s="3">
        <v>44538.712708333333</v>
      </c>
      <c r="D8084" s="1" t="s">
        <v>16094</v>
      </c>
      <c r="E8084" s="1" t="str">
        <f ca="1">IFERROR(__xludf.DUMMYFUNCTION("GOOGLETRANSLATE(A4883 , ""tr"" , ""en"")"),"@drfahrettinkoca what is this either the ordee that we pulled in 13 months nedne don't end the reason")</f>
        <v>@drfahrettinkoca what is this either the ordee that we pulled in 13 months nedne don't end the reason</v>
      </c>
    </row>
    <row r="8085" spans="1:5" ht="15" customHeight="1" x14ac:dyDescent="0.2">
      <c r="A8085" s="1" t="s">
        <v>12887</v>
      </c>
      <c r="B8085" s="1">
        <v>1</v>
      </c>
      <c r="C8085" s="3">
        <v>44538.712407407409</v>
      </c>
      <c r="D8085" s="1" t="s">
        <v>16095</v>
      </c>
      <c r="E8085" s="1" t="str">
        <f ca="1">IFERROR(__xludf.DUMMYFUNCTION("GOOGLETRANSLATE(A4884 , ""tr"" , ""en"")"),"@drfahrettinkoca #kabineomicrongelmedonline")</f>
        <v>@drfahrettinkoca #kabineomicrongelmedonline</v>
      </c>
    </row>
    <row r="8086" spans="1:5" ht="15" customHeight="1" x14ac:dyDescent="0.2">
      <c r="A8086" s="1" t="s">
        <v>16096</v>
      </c>
      <c r="B8086" s="1">
        <v>1</v>
      </c>
      <c r="C8086" s="3">
        <v>44538.712384259263</v>
      </c>
      <c r="D8086" s="1" t="s">
        <v>16097</v>
      </c>
      <c r="E8086" s="1" t="str">
        <f ca="1">IFERROR(__xludf.DUMMYFUNCTION("GOOGLETRANSLATE(A4885 , ""tr"" , ""en"")"),"@drfahrettinkoca for example, there is a news that you have a message; https://t.co/dgttz5gosd")</f>
        <v>@drfahrettinkoca for example, there is a news that you have a message; https://t.co/dgttz5gosd</v>
      </c>
    </row>
    <row r="8087" spans="1:5" ht="15" customHeight="1" x14ac:dyDescent="0.2">
      <c r="A8087" s="1" t="s">
        <v>16098</v>
      </c>
      <c r="B8087" s="1">
        <v>4</v>
      </c>
      <c r="C8087" s="3">
        <v>44538.712372685186</v>
      </c>
      <c r="D8087" s="1" t="s">
        <v>16099</v>
      </c>
      <c r="E8087" s="1" t="str">
        <f ca="1">IFERROR(__xludf.DUMMYFUNCTION("GOOGLETRANSLATE(A4886 , ""tr"" , ""en"")"),"@drfahrettinkoca No assignment! We have no rights! Our safety is not already available! It's so overlooking so much negativity ... https://t.co/th9oqhovun")</f>
        <v>@drfahrettinkoca No assignment! We have no rights! Our safety is not already available! It's so overlooking so much negativity ... https://t.co/th9oqhovun</v>
      </c>
    </row>
    <row r="8088" spans="1:5" ht="15" customHeight="1" x14ac:dyDescent="0.2">
      <c r="A8088" s="1" t="s">
        <v>16100</v>
      </c>
      <c r="B8088" s="1">
        <v>2</v>
      </c>
      <c r="C8088" s="3">
        <v>44538.712314814817</v>
      </c>
      <c r="D8088" s="1" t="s">
        <v>16101</v>
      </c>
      <c r="E8088" s="1" t="str">
        <f ca="1">IFERROR(__xludf.DUMMYFUNCTION("GOOGLETRANSLATE(A4887 , ""tr"" , ""en"")"),"@drfahrettinkoca Mulky Lie-lying Cause Causes Why Dying Then Sayin Minister")</f>
        <v>@drfahrettinkoca Mulky Lie-lying Cause Causes Why Dying Then Sayin Minister</v>
      </c>
    </row>
    <row r="8089" spans="1:5" ht="15" customHeight="1" x14ac:dyDescent="0.2">
      <c r="A8089" s="1" t="s">
        <v>16102</v>
      </c>
      <c r="B8089" s="1">
        <v>1</v>
      </c>
      <c r="C8089" s="3">
        <v>44538.712175925924</v>
      </c>
      <c r="D8089" s="1" t="s">
        <v>16103</v>
      </c>
      <c r="E8089" s="1" t="str">
        <f ca="1">IFERROR(__xludf.DUMMYFUNCTION("GOOGLETRANSLATE(A4888 , ""tr"" , ""en"")"),"@drfahrettinka where is the guide? Mr.Koca.😂😂😂")</f>
        <v>@drfahrettinka where is the guide? Mr.Koca.😂😂😂</v>
      </c>
    </row>
    <row r="8090" spans="1:5" ht="15" customHeight="1" x14ac:dyDescent="0.2">
      <c r="A8090" s="1" t="s">
        <v>16104</v>
      </c>
      <c r="B8090" s="1">
        <v>0</v>
      </c>
      <c r="C8090" s="3">
        <v>44538.712152777778</v>
      </c>
      <c r="D8090" s="1" t="s">
        <v>16105</v>
      </c>
      <c r="E8090" s="1" t="str">
        <f ca="1">IFERROR(__xludf.DUMMYFUNCTION("GOOGLETRANSLATE(A4889 , ""tr"" , ""en"")"),"@drfahrettinkoca guide destroyed bkanim")</f>
        <v>@drfahrettinkoca guide destroyed bkanim</v>
      </c>
    </row>
    <row r="8091" spans="1:5" ht="15" customHeight="1" x14ac:dyDescent="0.2">
      <c r="A8091" s="1" t="s">
        <v>16106</v>
      </c>
      <c r="B8091" s="1">
        <v>0</v>
      </c>
      <c r="C8091" s="3">
        <v>44538.712083333332</v>
      </c>
      <c r="D8091" s="1" t="s">
        <v>16107</v>
      </c>
      <c r="E8091" s="1" t="str">
        <f ca="1">IFERROR(__xludf.DUMMYFUNCTION("GOOGLETRANSLATE(A4890 , ""tr"" , ""en"")"),"@drfahrettinkoca 13 months You have left enough no longer")</f>
        <v>@drfahrettinkoca 13 months You have left enough no longer</v>
      </c>
    </row>
    <row r="8092" spans="1:5" ht="15" customHeight="1" x14ac:dyDescent="0.2">
      <c r="A8092" s="1" t="s">
        <v>16108</v>
      </c>
      <c r="B8092" s="1">
        <v>0</v>
      </c>
      <c r="C8092" s="3">
        <v>44538.712071759262</v>
      </c>
      <c r="D8092" s="1" t="s">
        <v>16109</v>
      </c>
      <c r="E8092" s="1" t="str">
        <f ca="1">IFERROR(__xludf.DUMMYFUNCTION("GOOGLETRANSLATE(A4891 , ""tr"" , ""en"")"),"@drfahrettinkoca is online for our health !! # kabineomicrongeling")</f>
        <v>@drfahrettinkoca is online for our health !! # kabineomicrongeling</v>
      </c>
    </row>
    <row r="8093" spans="1:5" ht="15" customHeight="1" x14ac:dyDescent="0.2">
      <c r="A8093" s="1" t="s">
        <v>16110</v>
      </c>
      <c r="B8093" s="1">
        <v>0</v>
      </c>
      <c r="C8093" s="3">
        <v>44538.712060185186</v>
      </c>
      <c r="D8093" s="1" t="s">
        <v>16111</v>
      </c>
      <c r="E8093" s="1" t="str">
        <f ca="1">IFERROR(__xludf.DUMMYFUNCTION("GOOGLETRANSLATE(A4892 , ""tr"" , ""en"")"),"@drfahrettinkoca We caught up waiting for the appointment news that will come from you for the appointment syndrome All atanamay ... https://t.co/6nva04qdva")</f>
        <v>@drfahrettinkoca We caught up waiting for the appointment news that will come from you for the appointment syndrome All atanamay ... https://t.co/6nva04qdva</v>
      </c>
    </row>
    <row r="8094" spans="1:5" ht="15" customHeight="1" x14ac:dyDescent="0.2">
      <c r="A8094" s="1" t="s">
        <v>16112</v>
      </c>
      <c r="B8094" s="1">
        <v>1</v>
      </c>
      <c r="C8094" s="3">
        <v>44538.712025462963</v>
      </c>
      <c r="D8094" s="1" t="s">
        <v>16113</v>
      </c>
      <c r="E8094" s="1" t="str">
        <f ca="1">IFERROR(__xludf.DUMMYFUNCTION("GOOGLETRANSLATE(A4893 , ""tr"" , ""en"")"),"@drfahrettinkoca @saglikbakanligi you patients will have won useless favicovir that will be 8 evening 8 in the morning?")</f>
        <v>@drfahrettinkoca @saglikbakanligi you patients will have won useless favicovir that will be 8 evening 8 in the morning?</v>
      </c>
    </row>
    <row r="8095" spans="1:5" ht="15" customHeight="1" x14ac:dyDescent="0.2">
      <c r="A8095" s="1" t="s">
        <v>16114</v>
      </c>
      <c r="B8095" s="1">
        <v>1</v>
      </c>
      <c r="C8095" s="3">
        <v>44538.712002314816</v>
      </c>
      <c r="D8095" s="1" t="s">
        <v>16115</v>
      </c>
      <c r="E8095" s="1" t="str">
        <f ca="1">IFERROR(__xludf.DUMMYFUNCTION("GOOGLETRANSLATE(A4894 , ""tr"" , ""en"")"),"@drfahrettinka says that we were exempt from PCR to exempt from PCR and waving your head here while you are noding here, virus; ... https://t.co/wjlbnhyfbu")</f>
        <v>@drfahrettinka says that we were exempt from PCR to exempt from PCR and waving your head here while you are noding here, virus; ... https://t.co/wjlbnhyfbu</v>
      </c>
    </row>
    <row r="8096" spans="1:5" ht="15" customHeight="1" x14ac:dyDescent="0.2">
      <c r="A8096" s="1" t="s">
        <v>16116</v>
      </c>
      <c r="B8096" s="1">
        <v>0</v>
      </c>
      <c r="C8096" s="3">
        <v>44538.711967592593</v>
      </c>
      <c r="D8096" s="1" t="s">
        <v>16117</v>
      </c>
      <c r="E8096" s="1" t="str">
        <f ca="1">IFERROR(__xludf.DUMMYFUNCTION("GOOGLETRANSLATE(A4895 , ""tr"" , ""en"")"),"@drfahrettinkoca vaccine has no end.! https://t.co/srcqızbzj")</f>
        <v>@drfahrettinkoca vaccine has no end.! https://t.co/srcqızbzj</v>
      </c>
    </row>
    <row r="8097" spans="1:5" ht="15" customHeight="1" x14ac:dyDescent="0.2">
      <c r="A8097" s="1" t="s">
        <v>16118</v>
      </c>
      <c r="B8097" s="1">
        <v>0</v>
      </c>
      <c r="C8097" s="3">
        <v>44538.711898148147</v>
      </c>
      <c r="D8097" s="1" t="s">
        <v>16119</v>
      </c>
      <c r="E8097" s="1" t="str">
        <f ca="1">IFERROR(__xludf.DUMMYFUNCTION("GOOGLETRANSLATE(A4896 , ""tr"" , ""en"")"),"@drfahrettinkoca Guide Publish immediately Mr. Minister !!!!!")</f>
        <v>@drfahrettinkoca Guide Publish immediately Mr. Minister !!!!!</v>
      </c>
    </row>
    <row r="8098" spans="1:5" ht="15" customHeight="1" x14ac:dyDescent="0.2">
      <c r="A8098" s="1" t="s">
        <v>16120</v>
      </c>
      <c r="B8098" s="1">
        <v>1</v>
      </c>
      <c r="C8098" s="3">
        <v>44538.711851851855</v>
      </c>
      <c r="D8098" s="1" t="s">
        <v>16121</v>
      </c>
      <c r="E8098" s="1" t="str">
        <f ca="1">IFERROR(__xludf.DUMMYFUNCTION("GOOGLETRANSLATE(A4897 , ""tr"" , ""en"")"),"@drfahrettinkoca Don't have other tasks than to promote people to the liquid?")</f>
        <v>@drfahrettinkoca Don't have other tasks than to promote people to the liquid?</v>
      </c>
    </row>
    <row r="8099" spans="1:5" ht="15" customHeight="1" x14ac:dyDescent="0.2">
      <c r="A8099" s="1" t="s">
        <v>16122</v>
      </c>
      <c r="B8099" s="1">
        <v>1</v>
      </c>
      <c r="C8099" s="3">
        <v>44538.711516203701</v>
      </c>
      <c r="D8099" s="1" t="s">
        <v>16123</v>
      </c>
      <c r="E8099" s="1" t="str">
        <f ca="1">IFERROR(__xludf.DUMMYFUNCTION("GOOGLETRANSLATE(A4898 , ""tr"" , ""en"")"),"@drfahrettinka where is the minister guide? We are now tired of waiting for Allah consent the following guide.")</f>
        <v>@drfahrettinka where is the minister guide? We are now tired of waiting for Allah consent the following guide.</v>
      </c>
    </row>
    <row r="8100" spans="1:5" ht="15" customHeight="1" x14ac:dyDescent="0.2">
      <c r="A8100" s="1" t="s">
        <v>16124</v>
      </c>
      <c r="B8100" s="1">
        <v>112</v>
      </c>
      <c r="C8100" s="3">
        <v>44538.711377314816</v>
      </c>
      <c r="D8100" s="1" t="s">
        <v>16125</v>
      </c>
      <c r="E8100" s="1" t="str">
        <f ca="1">IFERROR(__xludf.DUMMYFUNCTION("GOOGLETRANSLATE(A4899 , ""tr"" , ""en"")"),"@drfahrettinkoca doesn't have it so tired of the people who are tired of the shooting so I'm getting offense of getting offense slowed ... https://t.co/u4modkwe4t")</f>
        <v>@drfahrettinkoca doesn't have it so tired of the people who are tired of the shooting so I'm getting offense of getting offense slowed ... https://t.co/u4modkwe4t</v>
      </c>
    </row>
    <row r="8101" spans="1:5" ht="15" customHeight="1" x14ac:dyDescent="0.2">
      <c r="A8101" s="1" t="s">
        <v>16126</v>
      </c>
      <c r="B8101" s="1">
        <v>0</v>
      </c>
      <c r="C8101" s="3">
        <v>44538.711319444446</v>
      </c>
      <c r="D8101" s="1" t="s">
        <v>16127</v>
      </c>
      <c r="E8101" s="1" t="str">
        <f ca="1">IFERROR(__xludf.DUMMYFUNCTION("GOOGLETRANSLATE(A4900 , ""tr"" , ""en"")"),"@drfahrettinkoca I know I'm writing in vain but still write the guide to hear the guide for Allah ... https://t.co/2tgpdzr6wd")</f>
        <v>@drfahrettinkoca I know I'm writing in vain but still write the guide to hear the guide for Allah ... https://t.co/2tgpdzr6wd</v>
      </c>
    </row>
    <row r="8102" spans="1:5" ht="15" customHeight="1" x14ac:dyDescent="0.2">
      <c r="A8102" s="1" t="s">
        <v>16128</v>
      </c>
      <c r="B8102" s="1">
        <v>6</v>
      </c>
      <c r="C8102" s="3">
        <v>44538.711284722223</v>
      </c>
      <c r="D8102" s="1" t="s">
        <v>16129</v>
      </c>
      <c r="E8102" s="1" t="str">
        <f ca="1">IFERROR(__xludf.DUMMYFUNCTION("GOOGLETRANSLATE(A4901 , ""tr"" , ""en"")"),"@drfahrettinka https://t.co/gctlwcvxq4")</f>
        <v>@drfahrettinka https://t.co/gctlwcvxq4</v>
      </c>
    </row>
    <row r="8103" spans="1:5" ht="15" customHeight="1" x14ac:dyDescent="0.2">
      <c r="A8103" s="1" t="s">
        <v>16130</v>
      </c>
      <c r="B8103" s="1">
        <v>58</v>
      </c>
      <c r="C8103" s="3">
        <v>44538.71125</v>
      </c>
      <c r="D8103" s="1" t="s">
        <v>16131</v>
      </c>
      <c r="E8103" s="1" t="str">
        <f ca="1">IFERROR(__xludf.DUMMYFUNCTION("GOOGLETRANSLATE(A4902 , ""tr"" , ""en"")"),"@drfahrettinkoca I bought from my brother Killim 50 Inspiration in the quarantine process in the process of cigarettes and I never cut alcohol Hi ... https://t.co/uozj75tzoe")</f>
        <v>@drfahrettinkoca I bought from my brother Killim 50 Inspiration in the quarantine process in the process of cigarettes and I never cut alcohol Hi ... https://t.co/uozj75tzoe</v>
      </c>
    </row>
    <row r="8104" spans="1:5" ht="15" customHeight="1" x14ac:dyDescent="0.2">
      <c r="A8104" s="1" t="s">
        <v>16132</v>
      </c>
      <c r="B8104" s="1">
        <v>4</v>
      </c>
      <c r="C8104" s="3">
        <v>44538.7112037037</v>
      </c>
      <c r="D8104" s="1" t="s">
        <v>16133</v>
      </c>
      <c r="E8104" s="1" t="str">
        <f ca="1">IFERROR(__xludf.DUMMYFUNCTION("GOOGLETRANSLATE(A4903 , ""tr"" , ""en"")"),"@drfahrettinkoca Dead Do not make the rhinestone, publish the guide. # Sbmerkezaatmaüçüceçavuz")</f>
        <v>@drfahrettinkoca Dead Do not make the rhinestone, publish the guide. # Sbmerkezaatmaüçüceçavuz</v>
      </c>
    </row>
    <row r="8105" spans="1:5" ht="15" customHeight="1" x14ac:dyDescent="0.2">
      <c r="A8105" s="1" t="s">
        <v>16134</v>
      </c>
      <c r="B8105" s="1">
        <v>0</v>
      </c>
      <c r="C8105" s="3">
        <v>44538.711192129631</v>
      </c>
      <c r="D8105" s="1" t="s">
        <v>16135</v>
      </c>
      <c r="E8105" s="1" t="str">
        <f ca="1">IFERROR(__xludf.DUMMYFUNCTION("GOOGLETRANSLATE(A4904 , ""tr"" , ""en"")"),"@drfahrettinkoca our own body and our decisions regarding our life time as human beings and only our own will ... https://t.co/nmzw7jpkzp")</f>
        <v>@drfahrettinkoca our own body and our decisions regarding our life time as human beings and only our own will ... https://t.co/nmzw7jpkzp</v>
      </c>
    </row>
    <row r="8106" spans="1:5" ht="15" customHeight="1" x14ac:dyDescent="0.2">
      <c r="A8106" s="1" t="s">
        <v>16136</v>
      </c>
      <c r="B8106" s="1">
        <v>0</v>
      </c>
      <c r="C8106" s="3">
        <v>44538.711180555554</v>
      </c>
      <c r="D8106" s="1" t="s">
        <v>16137</v>
      </c>
      <c r="E8106" s="1" t="str">
        <f ca="1">IFERROR(__xludf.DUMMYFUNCTION("GOOGLETRANSLATE(A4905 , ""tr"" , ""en"")"),"@drfahrettinkoca Rebelled you can die you can die")</f>
        <v>@drfahrettinkoca Rebelled you can die you can die</v>
      </c>
    </row>
    <row r="8107" spans="1:5" ht="15" customHeight="1" x14ac:dyDescent="0.2">
      <c r="A8107" s="1" t="s">
        <v>16138</v>
      </c>
      <c r="B8107" s="1">
        <v>7</v>
      </c>
      <c r="C8107" s="3">
        <v>44538.711145833331</v>
      </c>
      <c r="D8107" s="1" t="s">
        <v>16139</v>
      </c>
      <c r="E8107" s="1" t="str">
        <f ca="1">IFERROR(__xludf.DUMMYFUNCTION("GOOGLETRANSLATE(A4906 , ""tr"" , ""en"")"),"@drfahrettinkoca faulty decision to mind that you are to mind that you come in @drfahrettinkoca to manage this disease with lies ... https://t.co/l4pazuxijb")</f>
        <v>@drfahrettinkoca faulty decision to mind that you are to mind that you come in @drfahrettinkoca to manage this disease with lies ... https://t.co/l4pazuxijb</v>
      </c>
    </row>
    <row r="8108" spans="1:5" ht="15" customHeight="1" x14ac:dyDescent="0.2">
      <c r="A8108" s="1" t="s">
        <v>16140</v>
      </c>
      <c r="B8108" s="1">
        <v>0</v>
      </c>
      <c r="C8108" s="3">
        <v>44538.711111111108</v>
      </c>
      <c r="D8108" s="1" t="s">
        <v>16141</v>
      </c>
      <c r="E8108" s="1" t="str">
        <f ca="1">IFERROR(__xludf.DUMMYFUNCTION("GOOGLETRANSLATE(A4907 , ""tr"" , ""en"")"),"@drfahrettinka https://t.co/nm0ui89rhf")</f>
        <v>@drfahrettinka https://t.co/nm0ui89rhf</v>
      </c>
    </row>
    <row r="8109" spans="1:5" ht="15" customHeight="1" x14ac:dyDescent="0.2">
      <c r="A8109" s="1" t="s">
        <v>16142</v>
      </c>
      <c r="B8109" s="1">
        <v>85</v>
      </c>
      <c r="C8109" s="3">
        <v>44538.710972222223</v>
      </c>
      <c r="D8109" s="1" t="s">
        <v>16143</v>
      </c>
      <c r="E8109" s="1" t="str">
        <f ca="1">IFERROR(__xludf.DUMMYFUNCTION("GOOGLETRANSLATE(A4908 , ""tr"" , ""en"")"),"@drfahrettinkoca you are lying.! And when you are lying, you are not afraid of Allah. No vaccinations ... https://t.co/2zo9m1cg5w")</f>
        <v>@drfahrettinkoca you are lying.! And when you are lying, you are not afraid of Allah. No vaccinations ... https://t.co/2zo9m1cg5w</v>
      </c>
    </row>
    <row r="8110" spans="1:5" ht="15" customHeight="1" x14ac:dyDescent="0.2">
      <c r="A8110" s="1" t="s">
        <v>16144</v>
      </c>
      <c r="B8110" s="1">
        <v>46</v>
      </c>
      <c r="C8110" s="3">
        <v>44538.7109375</v>
      </c>
      <c r="D8110" s="1" t="s">
        <v>16145</v>
      </c>
      <c r="E8110" s="1" t="str">
        <f ca="1">IFERROR(__xludf.DUMMYFUNCTION("GOOGLETRANSLATE(A4909 , ""tr"" , ""en"")"),"@drfahrettinkoca is now something to protect our undersceptions. Taken various precautions in schools last year, is ... https://t.co/brw6sxaa80")</f>
        <v>@drfahrettinkoca is now something to protect our undersceptions. Taken various precautions in schools last year, is ... https://t.co/brw6sxaa80</v>
      </c>
    </row>
    <row r="8111" spans="1:5" ht="15" customHeight="1" x14ac:dyDescent="0.2">
      <c r="A8111" s="1" t="s">
        <v>16146</v>
      </c>
      <c r="B8111" s="1">
        <v>1</v>
      </c>
      <c r="C8111" s="3">
        <v>44538.710925925923</v>
      </c>
      <c r="D8111" s="1" t="s">
        <v>16147</v>
      </c>
      <c r="E8111" s="1" t="str">
        <f ca="1">IFERROR(__xludf.DUMMYFUNCTION("GOOGLETRANSLATE(A4910 , ""tr"" , ""en"")"),"@drfahrettinkoca since you are overlooking we are losing healthiers !!! Quit anymore! I'm so jeans ... https://t.co/9fwqrszf6v")</f>
        <v>@drfahrettinkoca since you are overlooking we are losing healthiers !!! Quit anymore! I'm so jeans ... https://t.co/9fwqrszf6v</v>
      </c>
    </row>
    <row r="8112" spans="1:5" ht="15" customHeight="1" x14ac:dyDescent="0.2">
      <c r="A8112" s="1" t="s">
        <v>16148</v>
      </c>
      <c r="B8112" s="1">
        <v>0</v>
      </c>
      <c r="C8112" s="3">
        <v>44538.7108912037</v>
      </c>
      <c r="D8112" s="1" t="s">
        <v>16149</v>
      </c>
      <c r="E8112" s="1" t="str">
        <f ca="1">IFERROR(__xludf.DUMMYFUNCTION("GOOGLETRANSLATE(A4911 , ""tr"" , ""en"")"),"@drfahrettinkoca We will meet the Muslim Turkish nation with the mobings in the election. Whom we have been vaccinated for: https://t.co/u84hv7ibbe")</f>
        <v>@drfahrettinkoca We will meet the Muslim Turkish nation with the mobings in the election. Whom we have been vaccinated for: https://t.co/u84hv7ibbe</v>
      </c>
    </row>
    <row r="8113" spans="1:5" ht="15" customHeight="1" x14ac:dyDescent="0.2">
      <c r="A8113" s="1" t="s">
        <v>16150</v>
      </c>
      <c r="B8113" s="1">
        <v>1</v>
      </c>
      <c r="C8113" s="3">
        <v>44538.710868055554</v>
      </c>
      <c r="D8113" s="1" t="s">
        <v>16151</v>
      </c>
      <c r="E8113" s="1" t="str">
        <f ca="1">IFERROR(__xludf.DUMMYFUNCTION("GOOGLETRANSLATE(A4912 , ""tr"" , ""en"")"),"@drfahrettinkoca eugenic motherfucker of an eugenic motherfucker fonning a proprietary terrorist at the beginning of pastics ... https://t.co/qds5hslqae")</f>
        <v>@drfahrettinkoca eugenic motherfucker of an eugenic motherfucker fonning a proprietary terrorist at the beginning of pastics ... https://t.co/qds5hslqae</v>
      </c>
    </row>
    <row r="8114" spans="1:5" ht="15" customHeight="1" x14ac:dyDescent="0.2">
      <c r="A8114" s="1" t="s">
        <v>16152</v>
      </c>
      <c r="B8114" s="1">
        <v>2</v>
      </c>
      <c r="C8114" s="3">
        <v>44538.710868055554</v>
      </c>
      <c r="D8114" s="1" t="s">
        <v>16153</v>
      </c>
      <c r="E8114" s="1" t="str">
        <f ca="1">IFERROR(__xludf.DUMMYFUNCTION("GOOGLETRANSLATE(A4913 , ""tr"" , ""en"")"),"@drfahrettinkoca Sahi TURKS CANNOT GIVE THE DEATH NUMBERS OF 2020 OPEN 6 MONTHS? What do you hide. May your hell be plentiful")</f>
        <v>@drfahrettinkoca Sahi TURKS CANNOT GIVE THE DEATH NUMBERS OF 2020 OPEN 6 MONTHS? What do you hide. May your hell be plentiful</v>
      </c>
    </row>
    <row r="8115" spans="1:5" ht="15" customHeight="1" x14ac:dyDescent="0.2">
      <c r="A8115" s="1" t="s">
        <v>16154</v>
      </c>
      <c r="B8115" s="1">
        <v>30</v>
      </c>
      <c r="C8115" s="3">
        <v>44538.710833333331</v>
      </c>
      <c r="D8115" s="1" t="s">
        <v>16155</v>
      </c>
      <c r="E8115" s="1" t="str">
        <f ca="1">IFERROR(__xludf.DUMMYFUNCTION("GOOGLETRANSLATE(A4914 , ""tr"" , ""en"")"),"@drfahrettinkoca online education We want to understand the minister dorms virus nest Why do you not understand yahuu😷")</f>
        <v>@drfahrettinkoca online education We want to understand the minister dorms virus nest Why do you not understand yahuu😷</v>
      </c>
    </row>
    <row r="8116" spans="1:5" ht="15" customHeight="1" x14ac:dyDescent="0.2">
      <c r="A8116" s="1" t="s">
        <v>16156</v>
      </c>
      <c r="B8116" s="1">
        <v>0</v>
      </c>
      <c r="C8116" s="3">
        <v>44538.710613425923</v>
      </c>
      <c r="D8116" s="1" t="s">
        <v>16157</v>
      </c>
      <c r="E8116" s="1" t="str">
        <f ca="1">IFERROR(__xludf.DUMMYFUNCTION("GOOGLETRANSLATE(A4915 , ""tr"" , ""en"")"),"@drfahrettinkoca guide guide What did the waiting win? After the score you received after the examination is in a 12-month wait ... https://t.co/afcpi36lzz")</f>
        <v>@drfahrettinkoca guide guide What did the waiting win? After the score you received after the examination is in a 12-month wait ... https://t.co/afcpi36lzz</v>
      </c>
    </row>
    <row r="8117" spans="1:5" ht="15" customHeight="1" x14ac:dyDescent="0.2">
      <c r="A8117" s="1" t="s">
        <v>16158</v>
      </c>
      <c r="B8117" s="1">
        <v>1</v>
      </c>
      <c r="C8117" s="3">
        <v>44538.710601851853</v>
      </c>
      <c r="D8117" s="1" t="s">
        <v>16159</v>
      </c>
      <c r="E8117" s="1" t="str">
        <f ca="1">IFERROR(__xludf.DUMMYFUNCTION("GOOGLETRANSLATE(A4916 , ""tr"" , ""en"")"),"@drfahrettinkoca We have to honor what we have done to work and read and read our crime for 1 year for 1 year ... https://t.co/jvm8b664r7")</f>
        <v>@drfahrettinkoca We have to honor what we have done to work and read and read our crime for 1 year for 1 year ... https://t.co/jvm8b664r7</v>
      </c>
    </row>
    <row r="8118" spans="1:5" ht="15" customHeight="1" x14ac:dyDescent="0.2">
      <c r="A8118" s="1" t="s">
        <v>16160</v>
      </c>
      <c r="B8118" s="1">
        <v>83</v>
      </c>
      <c r="C8118" s="3">
        <v>44538.710590277777</v>
      </c>
      <c r="D8118" s="1" t="s">
        <v>16161</v>
      </c>
      <c r="E8118" s="1" t="str">
        <f ca="1">IFERROR(__xludf.DUMMYFUNCTION("GOOGLETRANSLATE(A4917 , ""tr"" , ""en"")"),"@drfahrettinkoca You are not entitled to deliver this nation in the virus !! Bat in the bottom of the place Your politics !! 3. Dose Cases ... https://t.co/lk3tc3bvgx")</f>
        <v>@drfahrettinkoca You are not entitled to deliver this nation in the virus !! Bat in the bottom of the place Your politics !! 3. Dose Cases ... https://t.co/lk3tc3bvgx</v>
      </c>
    </row>
    <row r="8119" spans="1:5" ht="15" customHeight="1" x14ac:dyDescent="0.2">
      <c r="A8119" s="1" t="s">
        <v>16162</v>
      </c>
      <c r="B8119" s="1">
        <v>0</v>
      </c>
      <c r="C8119" s="3">
        <v>44538.710532407407</v>
      </c>
      <c r="D8119" s="1" t="s">
        <v>16163</v>
      </c>
      <c r="E8119" s="1" t="str">
        <f ca="1">IFERROR(__xludf.DUMMYFUNCTION("GOOGLETRANSLATE(A4918 , ""tr"" , ""en"")"),"@drfahrettinkoca you are to regret you are unfortunately. You have made the country into a global capital market. What a pity!")</f>
        <v>@drfahrettinkoca you are to regret you are unfortunately. You have made the country into a global capital market. What a pity!</v>
      </c>
    </row>
    <row r="8120" spans="1:5" ht="15" customHeight="1" x14ac:dyDescent="0.2">
      <c r="A8120" s="1" t="s">
        <v>16164</v>
      </c>
      <c r="B8120" s="1">
        <v>0</v>
      </c>
      <c r="C8120" s="3">
        <v>44538.710532407407</v>
      </c>
      <c r="D8120" s="1" t="s">
        <v>16165</v>
      </c>
      <c r="E8120" s="1" t="str">
        <f ca="1">IFERROR(__xludf.DUMMYFUNCTION("GOOGLETRANSLATE(A4919 , ""tr"" , ""en"")"),"@drfahrettinkoca @saglikbakanligi A description to be held is not so hard for you. Be the right ... https://t.co/1rapzden1f")</f>
        <v>@drfahrettinkoca @saglikbakanligi A description to be held is not so hard for you. Be the right ... https://t.co/1rapzden1f</v>
      </c>
    </row>
    <row r="8121" spans="1:5" ht="15" customHeight="1" x14ac:dyDescent="0.2">
      <c r="A8121" s="1" t="s">
        <v>16166</v>
      </c>
      <c r="B8121" s="1">
        <v>10</v>
      </c>
      <c r="C8121" s="3">
        <v>44538.710520833331</v>
      </c>
      <c r="D8121" s="1" t="s">
        <v>16167</v>
      </c>
      <c r="E8121" s="1" t="str">
        <f ca="1">IFERROR(__xludf.DUMMYFUNCTION("GOOGLETRANSLATE(A4920 , ""tr"" , ""en"")"),"@drfahrettinkoca however in spite of the measures in spite of the cases in no way in a country where there is no precaution ... https://t.co/lk9rbwwsq7")</f>
        <v>@drfahrettinkoca however in spite of the measures in spite of the cases in no way in a country where there is no precaution ... https://t.co/lk9rbwwsq7</v>
      </c>
    </row>
    <row r="8122" spans="1:5" ht="15" customHeight="1" x14ac:dyDescent="0.2">
      <c r="A8122" s="1" t="s">
        <v>16168</v>
      </c>
      <c r="B8122" s="1">
        <v>0</v>
      </c>
      <c r="C8122" s="3">
        <v>44538.710509259261</v>
      </c>
      <c r="D8122" s="1" t="s">
        <v>16169</v>
      </c>
      <c r="E8122" s="1" t="str">
        <f ca="1">IFERROR(__xludf.DUMMYFUNCTION("GOOGLETRANSLATE(A4921 , ""tr"" , ""en"")"),"@drfahrettinkoca you end up in the healthcare structure in the health system, the fucked up nepotist system you installed ... https://t.co/peoomd5h2z")</f>
        <v>@drfahrettinkoca you end up in the healthcare structure in the health system, the fucked up nepotist system you installed ... https://t.co/peoomd5h2z</v>
      </c>
    </row>
    <row r="8123" spans="1:5" ht="15" customHeight="1" x14ac:dyDescent="0.2">
      <c r="A8123" s="1" t="s">
        <v>16170</v>
      </c>
      <c r="B8123" s="1">
        <v>0</v>
      </c>
      <c r="C8123" s="3">
        <v>44538.710381944446</v>
      </c>
      <c r="D8123" s="1" t="s">
        <v>16171</v>
      </c>
      <c r="E8123" s="1" t="str">
        <f ca="1">IFERROR(__xludf.DUMMYFUNCTION("GOOGLETRANSLATE(A4922 , ""tr"" , ""en"")"),"@drfahrettinkoca is enough resign anymore if you get rid of you enough geruin DIYER Ulker CAUDAR CAUDAR Rise in the rise ... https://t.co/1wgm8huotc")</f>
        <v>@drfahrettinkoca is enough resign anymore if you get rid of you enough geruin DIYER Ulker CAUDAR CAUDAR Rise in the rise ... https://t.co/1wgm8huotc</v>
      </c>
    </row>
    <row r="8124" spans="1:5" ht="15" customHeight="1" x14ac:dyDescent="0.2">
      <c r="A8124" s="1" t="s">
        <v>16172</v>
      </c>
      <c r="B8124" s="1">
        <v>0</v>
      </c>
      <c r="C8124" s="3">
        <v>44538.71025462963</v>
      </c>
      <c r="D8124" s="1" t="s">
        <v>16173</v>
      </c>
      <c r="E8124" s="1" t="str">
        <f ca="1">IFERROR(__xludf.DUMMYFUNCTION("GOOGLETRANSLATE(A4923 , ""tr"" , ""en"")"),"@drfahrettinkoca In the operatinghouses, the material shortage started to be experienced. Two dose vaccines ... https://t.co/uj0p7otvum")</f>
        <v>@drfahrettinkoca In the operatinghouses, the material shortage started to be experienced. Two dose vaccines ... https://t.co/uj0p7otvum</v>
      </c>
    </row>
    <row r="8125" spans="1:5" ht="15" customHeight="1" x14ac:dyDescent="0.2">
      <c r="A8125" s="1" t="s">
        <v>16174</v>
      </c>
      <c r="B8125" s="1">
        <v>0</v>
      </c>
      <c r="C8125" s="3">
        <v>44538.710115740738</v>
      </c>
      <c r="D8125" s="1" t="s">
        <v>16175</v>
      </c>
      <c r="E8125" s="1" t="str">
        <f ca="1">IFERROR(__xludf.DUMMYFUNCTION("GOOGLETRANSLATE(A4924 , ""tr"" , ""en"")"),"@drfahrettinka What malum they are not killed in the hospital you can prove it.")</f>
        <v>@drfahrettinka What malum they are not killed in the hospital you can prove it.</v>
      </c>
    </row>
    <row r="8126" spans="1:5" ht="15" customHeight="1" x14ac:dyDescent="0.2">
      <c r="A8126" s="1" t="s">
        <v>16176</v>
      </c>
      <c r="B8126" s="1">
        <v>5</v>
      </c>
      <c r="C8126" s="3">
        <v>44538.710023148145</v>
      </c>
      <c r="D8126" s="1" t="s">
        <v>16177</v>
      </c>
      <c r="E8126" s="1" t="str">
        <f ca="1">IFERROR(__xludf.DUMMYFUNCTION("GOOGLETRANSLATE(A4925 , ""tr"" , ""en"")"),"@drfahrettinkoca I swear to write to write you are saying that you are saying that you are saying that you are saying you are saying SUS plus ... https://t.co/gl9ydvhgth")</f>
        <v>@drfahrettinkoca I swear to write to write you are saying that you are saying that you are saying that you are saying you are saying SUS plus ... https://t.co/gl9ydvhgth</v>
      </c>
    </row>
    <row r="8127" spans="1:5" ht="15" customHeight="1" x14ac:dyDescent="0.2">
      <c r="A8127" s="1" t="s">
        <v>16178</v>
      </c>
      <c r="B8127" s="1">
        <v>1</v>
      </c>
      <c r="C8127" s="3">
        <v>44538.710011574076</v>
      </c>
      <c r="D8127" s="1" t="s">
        <v>16179</v>
      </c>
      <c r="E8127" s="1" t="str">
        <f ca="1">IFERROR(__xludf.DUMMYFUNCTION("GOOGLETRANSLATE(A4926 , ""tr"" , ""en"")"),"@drfahrettinkoca Are you kidding us? We don't want to die. #mebyökistifa")</f>
        <v>@drfahrettinkoca Are you kidding us? We don't want to die. #mebyökistifa</v>
      </c>
    </row>
    <row r="8128" spans="1:5" ht="15" customHeight="1" x14ac:dyDescent="0.2">
      <c r="A8128" s="1" t="s">
        <v>16180</v>
      </c>
      <c r="B8128" s="1">
        <v>13</v>
      </c>
      <c r="C8128" s="3">
        <v>44538.709988425922</v>
      </c>
      <c r="D8128" s="1" t="s">
        <v>16181</v>
      </c>
      <c r="E8128" s="1" t="str">
        <f ca="1">IFERROR(__xludf.DUMMYFUNCTION("GOOGLETRANSLATE(A4927 , ""tr"" , ""en"")"),"@drfahrettinkoca vaccine is the carpet of Germany not in the middle?")</f>
        <v>@drfahrettinkoca vaccine is the carpet of Germany not in the middle?</v>
      </c>
    </row>
    <row r="8129" spans="1:5" ht="15" customHeight="1" x14ac:dyDescent="0.2">
      <c r="A8129" s="1" t="s">
        <v>16182</v>
      </c>
      <c r="B8129" s="1">
        <v>2</v>
      </c>
      <c r="C8129" s="3">
        <v>44538.70994212963</v>
      </c>
      <c r="D8129" s="1" t="s">
        <v>16183</v>
      </c>
      <c r="E8129" s="1" t="str">
        <f ca="1">IFERROR(__xludf.DUMMYFUNCTION("GOOGLETRANSLATE(A4928 , ""tr"" , ""en"")"),"@drfahrettinkoca Allahû Tealâ to see the sentence of my wish sentence while in this world ...")</f>
        <v>@drfahrettinkoca Allahû Tealâ to see the sentence of my wish sentence while in this world ...</v>
      </c>
    </row>
    <row r="8130" spans="1:5" ht="15" customHeight="1" x14ac:dyDescent="0.2">
      <c r="A8130" s="1" t="s">
        <v>16184</v>
      </c>
      <c r="B8130" s="1">
        <v>5</v>
      </c>
      <c r="C8130" s="3">
        <v>44538.70989583333</v>
      </c>
      <c r="D8130" s="1" t="s">
        <v>16185</v>
      </c>
      <c r="E8130" s="1" t="str">
        <f ca="1">IFERROR(__xludf.DUMMYFUNCTION("GOOGLETRANSLATE(A4929 , ""tr"" , ""en"")"),"@drfahrettinkoca folks gone to space too we arrived at the haphabets to the ruling assignment @drfahrettinkoca # sbmerkeziatiaTamaüncailavuz")</f>
        <v>@drfahrettinkoca folks gone to space too we arrived at the haphabets to the ruling assignment @drfahrettinkoca # sbmerkeziatiaTamaüncailavuz</v>
      </c>
    </row>
    <row r="8131" spans="1:5" ht="15" customHeight="1" x14ac:dyDescent="0.2">
      <c r="A8131" s="1" t="s">
        <v>16186</v>
      </c>
      <c r="B8131" s="1">
        <v>0</v>
      </c>
      <c r="C8131" s="3">
        <v>44538.709861111114</v>
      </c>
      <c r="D8131" s="1" t="s">
        <v>16187</v>
      </c>
      <c r="E8131" s="1" t="str">
        <f ca="1">IFERROR(__xludf.DUMMYFUNCTION("GOOGLETRANSLATE(A4930 , ""tr"" , ""en"")"),"@drfahrettinka Minister If you share our guide in Bi instead of the map you share as Duzenli ... https://t.co/wbhoejlqm8")</f>
        <v>@drfahrettinka Minister If you share our guide in Bi instead of the map you share as Duzenli ... https://t.co/wbhoejlqm8</v>
      </c>
    </row>
    <row r="8132" spans="1:5" ht="15" customHeight="1" x14ac:dyDescent="0.2">
      <c r="A8132" s="1" t="s">
        <v>16188</v>
      </c>
      <c r="B8132" s="1">
        <v>46</v>
      </c>
      <c r="C8132" s="3">
        <v>44538.709664351853</v>
      </c>
      <c r="D8132" s="1" t="s">
        <v>16189</v>
      </c>
      <c r="E8132" s="1" t="str">
        <f ca="1">IFERROR(__xludf.DUMMYFUNCTION("GOOGLETRANSLATE(A4931 , ""tr"" , ""en"")"),"@drfahrettinkoca See the masks that are not inaccurate teachers and students are in the open environment in schools. Please please hear ... https://t.co/yjclajvpl")</f>
        <v>@drfahrettinkoca See the masks that are not inaccurate teachers and students are in the open environment in schools. Please please hear ... https://t.co/yjclajvpl</v>
      </c>
    </row>
    <row r="8133" spans="1:5" ht="15" customHeight="1" x14ac:dyDescent="0.2">
      <c r="A8133" s="1" t="s">
        <v>16190</v>
      </c>
      <c r="B8133" s="1">
        <v>0</v>
      </c>
      <c r="C8133" s="3">
        <v>44538.70957175926</v>
      </c>
      <c r="D8133" s="1" t="s">
        <v>16191</v>
      </c>
      <c r="E8133" s="1" t="str">
        <f ca="1">IFERROR(__xludf.DUMMYFUNCTION("GOOGLETRANSLATE(A4932 , ""tr"" , ""en"")"),"@drfahrettinkoca defolup goes the country if you get rid of you vaccine merchant resign")</f>
        <v>@drfahrettinkoca defolup goes the country if you get rid of you vaccine merchant resign</v>
      </c>
    </row>
    <row r="8134" spans="1:5" ht="15" customHeight="1" x14ac:dyDescent="0.2">
      <c r="A8134" s="1" t="s">
        <v>16192</v>
      </c>
      <c r="B8134" s="1">
        <v>0</v>
      </c>
      <c r="C8134" s="3">
        <v>44538.709548611114</v>
      </c>
      <c r="D8134" s="1" t="s">
        <v>16193</v>
      </c>
      <c r="E8134" s="1" t="str">
        <f ca="1">IFERROR(__xludf.DUMMYFUNCTION("GOOGLETRANSLATE(A4933 , ""tr"" , ""en"")"),"@drfahrettinkoca People who have already died after the hikes in overwhelmed Covit in overwhelm")</f>
        <v>@drfahrettinkoca People who have already died after the hikes in overwhelmed Covit in overwhelm</v>
      </c>
    </row>
    <row r="8135" spans="1:5" ht="15" customHeight="1" x14ac:dyDescent="0.2">
      <c r="A8135" s="1" t="s">
        <v>16194</v>
      </c>
      <c r="B8135" s="1">
        <v>0</v>
      </c>
      <c r="C8135" s="3">
        <v>44538.709513888891</v>
      </c>
      <c r="D8135" s="1" t="s">
        <v>16195</v>
      </c>
      <c r="E8135" s="1" t="str">
        <f ca="1">IFERROR(__xludf.DUMMYFUNCTION("GOOGLETRANSLATE(A4934 , ""tr"" , ""en"")"),"@drfahrettinkoca Why do you guide to the love of the love of Allah God, why do you publish.")</f>
        <v>@drfahrettinkoca Why do you guide to the love of the love of Allah God, why do you publish.</v>
      </c>
    </row>
    <row r="8136" spans="1:5" ht="15" customHeight="1" x14ac:dyDescent="0.2">
      <c r="A8136" s="1" t="s">
        <v>16196</v>
      </c>
      <c r="B8136" s="1">
        <v>0</v>
      </c>
      <c r="C8136" s="3">
        <v>44538.709479166668</v>
      </c>
      <c r="D8136" s="1" t="s">
        <v>16197</v>
      </c>
      <c r="E8136" s="1" t="str">
        <f ca="1">IFERROR(__xludf.DUMMYFUNCTION("GOOGLETRANSLATE(A4935 , ""tr"" , ""en"")"),"@drfahrettinkoca Well SN.Başım @drfahrettinka What do you gain by stumping your students?")</f>
        <v>@drfahrettinkoca Well SN.Başım @drfahrettinka What do you gain by stumping your students?</v>
      </c>
    </row>
    <row r="8137" spans="1:5" ht="15" customHeight="1" x14ac:dyDescent="0.2">
      <c r="A8137" s="1" t="s">
        <v>16198</v>
      </c>
      <c r="B8137" s="1">
        <v>33</v>
      </c>
      <c r="C8137" s="3">
        <v>44538.709479166668</v>
      </c>
      <c r="D8137" s="1" t="s">
        <v>16199</v>
      </c>
      <c r="E8137" s="1" t="str">
        <f ca="1">IFERROR(__xludf.DUMMYFUNCTION("GOOGLETRANSLATE(A4936 , ""tr"" , ""en"")"),"When @drfahrettinkoca here is ear voice of mothers and students trying to announce your voice for weeks ... Https://t.co /")</f>
        <v>When @drfahrettinkoca here is ear voice of mothers and students trying to announce your voice for weeks ... Https://t.co /</v>
      </c>
    </row>
    <row r="8138" spans="1:5" ht="15" customHeight="1" x14ac:dyDescent="0.2">
      <c r="A8138" s="1" t="s">
        <v>16200</v>
      </c>
      <c r="B8138" s="1">
        <v>2</v>
      </c>
      <c r="C8138" s="3">
        <v>44538.709479166668</v>
      </c>
      <c r="D8138" s="1" t="s">
        <v>16201</v>
      </c>
      <c r="E8138" s="1" t="str">
        <f ca="1">IFERROR(__xludf.DUMMYFUNCTION("GOOGLETRANSLATE(A4937 , ""tr"" , ""en"")"),"@drfahrettinkoca understood You will not make the assignment or something in the Bari brings the chest in front of the new government ... https://t.co/lmpuzwdqtu")</f>
        <v>@drfahrettinkoca understood You will not make the assignment or something in the Bari brings the chest in front of the new government ... https://t.co/lmpuzwdqtu</v>
      </c>
    </row>
    <row r="8139" spans="1:5" ht="15" customHeight="1" x14ac:dyDescent="0.2">
      <c r="A8139" s="1" t="s">
        <v>16202</v>
      </c>
      <c r="B8139" s="1">
        <v>0</v>
      </c>
      <c r="C8139" s="3">
        <v>44538.709398148145</v>
      </c>
      <c r="D8139" s="1" t="s">
        <v>16203</v>
      </c>
      <c r="E8139" s="1" t="str">
        <f ca="1">IFERROR(__xludf.DUMMYFUNCTION("GOOGLETRANSLATE(A4938 , ""tr"" , ""en"")"),"@drfahrettinkoca you have finished us. What excitement you have left the assess of living. 23 years old to life. Inti ... https://t.co/s909mgpq7w")</f>
        <v>@drfahrettinkoca you have finished us. What excitement you have left the assess of living. 23 years old to life. Inti ... https://t.co/s909mgpq7w</v>
      </c>
    </row>
    <row r="8140" spans="1:5" ht="15" customHeight="1" x14ac:dyDescent="0.2">
      <c r="A8140" s="1" t="s">
        <v>16204</v>
      </c>
      <c r="B8140" s="1">
        <v>39</v>
      </c>
      <c r="C8140" s="3">
        <v>44538.709386574075</v>
      </c>
      <c r="D8140" s="1" t="s">
        <v>16205</v>
      </c>
      <c r="E8140" s="1" t="str">
        <f ca="1">IFERROR(__xludf.DUMMYFUNCTION("GOOGLETRANSLATE(A4939 , ""tr"" , ""en"")"),"@drfahrettinkoca Whose vaccine will be exactly what time is the last decision?")</f>
        <v>@drfahrettinkoca Whose vaccine will be exactly what time is the last decision?</v>
      </c>
    </row>
    <row r="8141" spans="1:5" ht="15" customHeight="1" x14ac:dyDescent="0.2">
      <c r="A8141" s="1" t="s">
        <v>16206</v>
      </c>
      <c r="B8141" s="1">
        <v>12</v>
      </c>
      <c r="C8141" s="3">
        <v>44538.709351851852</v>
      </c>
      <c r="D8141" s="1" t="s">
        <v>16207</v>
      </c>
      <c r="E8141" s="1" t="str">
        <f ca="1">IFERROR(__xludf.DUMMYFUNCTION("GOOGLETRANSLATE(A4940 , ""tr"" , ""en"")"),"@drfahrettinkoca Asililar Hergun Dies More We're Dying We're Still We're Still Live and Covid ...... No one for this woman ... https://t.co/armmmr1cwv3")</f>
        <v>@drfahrettinkoca Asililar Hergun Dies More We're Dying We're Still We're Still Live and Covid ...... No one for this woman ... https://t.co/armmmr1cwv3</v>
      </c>
    </row>
    <row r="8142" spans="1:5" ht="15" customHeight="1" x14ac:dyDescent="0.2">
      <c r="A8142" s="1" t="s">
        <v>16208</v>
      </c>
      <c r="B8142" s="1">
        <v>2</v>
      </c>
      <c r="C8142" s="3">
        <v>44538.709328703706</v>
      </c>
      <c r="D8142" s="1" t="s">
        <v>16209</v>
      </c>
      <c r="E8142" s="1" t="str">
        <f ca="1">IFERROR(__xludf.DUMMYFUNCTION("GOOGLETRANSLATE(A4941 , ""tr"" , ""en"")"),"@drfahrettinkoca is not as soon as anything to be done in the assignment is not as soon as you will not benefit the last remark")</f>
        <v>@drfahrettinkoca is not as soon as anything to be done in the assignment is not as soon as you will not benefit the last remark</v>
      </c>
    </row>
    <row r="8143" spans="1:5" ht="15" customHeight="1" x14ac:dyDescent="0.2">
      <c r="A8143" s="1" t="s">
        <v>16210</v>
      </c>
      <c r="B8143" s="1">
        <v>0</v>
      </c>
      <c r="C8143" s="3">
        <v>44538.709317129629</v>
      </c>
      <c r="D8143" s="1" t="s">
        <v>16211</v>
      </c>
      <c r="E8143" s="1" t="str">
        <f ca="1">IFERROR(__xludf.DUMMYFUNCTION("GOOGLETRANSLATE(A4942 , ""tr"" , ""en"")"),"@drfahrettinkoca Minister You must implement hard sanctions in vaccines as a government who has exceeded these vaccines")</f>
        <v>@drfahrettinkoca Minister You must implement hard sanctions in vaccines as a government who has exceeded these vaccines</v>
      </c>
    </row>
    <row r="8144" spans="1:5" ht="15" customHeight="1" x14ac:dyDescent="0.2">
      <c r="A8144" s="1" t="s">
        <v>16212</v>
      </c>
      <c r="B8144" s="1">
        <v>14</v>
      </c>
      <c r="C8144" s="3">
        <v>44538.709282407406</v>
      </c>
      <c r="D8144" s="1" t="s">
        <v>16213</v>
      </c>
      <c r="E8144" s="1" t="str">
        <f ca="1">IFERROR(__xludf.DUMMYFUNCTION("GOOGLETRANSLATE(A4943 , ""tr"" , ""en"")"),"@drfahrettinka We want health. Hospitals are full, always numbers. The health system has crashed. #kabineomicrongelism")</f>
        <v>@drfahrettinka We want health. Hospitals are full, always numbers. The health system has crashed. #kabineomicrongelism</v>
      </c>
    </row>
    <row r="8145" spans="1:5" ht="15" customHeight="1" x14ac:dyDescent="0.2">
      <c r="A8145" s="1" t="s">
        <v>16214</v>
      </c>
      <c r="B8145" s="1">
        <v>0</v>
      </c>
      <c r="C8145" s="3">
        <v>44538.709224537037</v>
      </c>
      <c r="D8145" s="1" t="s">
        <v>16215</v>
      </c>
      <c r="E8145" s="1" t="str">
        <f ca="1">IFERROR(__xludf.DUMMYFUNCTION("GOOGLETRANSLATE(A4944 , ""tr"" , ""en"")"),"@drfahrettinkoca is happening to the children who is justice ... Https://t.co/xluhslyqh8")</f>
        <v>@drfahrettinkoca is happening to the children who is justice ... Https://t.co/xluhslyqh8</v>
      </c>
    </row>
    <row r="8146" spans="1:5" ht="15" customHeight="1" x14ac:dyDescent="0.2">
      <c r="A8146" s="1" t="s">
        <v>16216</v>
      </c>
      <c r="B8146" s="1">
        <v>142</v>
      </c>
      <c r="C8146" s="3">
        <v>44538.709224537037</v>
      </c>
      <c r="D8146" s="1" t="s">
        <v>16217</v>
      </c>
      <c r="E8146" s="1" t="str">
        <f ca="1">IFERROR(__xludf.DUMMYFUNCTION("GOOGLETRANSLATE(A4945 , ""tr"" , ""en"")"),"@drfahrettinkoca When they invited everyday, they liked the residents of the paralysis after they are the residents of paralysis ... https://t.co/mxfugdeg5i")</f>
        <v>@drfahrettinkoca When they invited everyday, they liked the residents of the paralysis after they are the residents of paralysis ... https://t.co/mxfugdeg5i</v>
      </c>
    </row>
    <row r="8147" spans="1:5" ht="15" customHeight="1" x14ac:dyDescent="0.2">
      <c r="A8147" s="1" t="s">
        <v>16218</v>
      </c>
      <c r="B8147" s="1">
        <v>5</v>
      </c>
      <c r="C8147" s="3">
        <v>44538.709201388891</v>
      </c>
      <c r="D8147" s="1" t="s">
        <v>16219</v>
      </c>
      <c r="E8147" s="1" t="str">
        <f ca="1">IFERROR(__xludf.DUMMYFUNCTION("GOOGLETRANSLATE(A4946 , ""tr"" , ""en"")"),"@drfahrettinkoca Wanted to win the consent of Allah by saying truth. Where the liars will arrive")</f>
        <v>@drfahrettinkoca Wanted to win the consent of Allah by saying truth. Where the liars will arrive</v>
      </c>
    </row>
    <row r="8148" spans="1:5" ht="15" customHeight="1" x14ac:dyDescent="0.2">
      <c r="A8148" s="1" t="s">
        <v>16220</v>
      </c>
      <c r="B8148" s="1">
        <v>0</v>
      </c>
      <c r="C8148" s="3">
        <v>44538.709155092591</v>
      </c>
      <c r="D8148" s="1" t="s">
        <v>16221</v>
      </c>
      <c r="E8148" s="1" t="str">
        <f ca="1">IFERROR(__xludf.DUMMYFUNCTION("GOOGLETRANSLATE(A4947 , ""tr"" , ""en"")"),"@drfahrettinkoca #oezuerdilehakanural")</f>
        <v>@drfahrettinkoca #oezuerdilehakanural</v>
      </c>
    </row>
    <row r="8149" spans="1:5" ht="15" customHeight="1" x14ac:dyDescent="0.2">
      <c r="A8149" s="1" t="s">
        <v>16222</v>
      </c>
      <c r="B8149" s="1">
        <v>0</v>
      </c>
      <c r="C8149" s="3">
        <v>44538.709120370368</v>
      </c>
      <c r="D8149" s="1" t="s">
        <v>16223</v>
      </c>
      <c r="E8149" s="1" t="str">
        <f ca="1">IFERROR(__xludf.DUMMYFUNCTION("GOOGLETRANSLATE(A4948 , ""tr"" , ""en"")"),"@drfahrettinkoca guide guide guide # sbmerkeziatamaOneCycles")</f>
        <v>@drfahrettinkoca guide guide guide # sbmerkeziatamaOneCycles</v>
      </c>
    </row>
    <row r="8150" spans="1:5" ht="15" customHeight="1" x14ac:dyDescent="0.2">
      <c r="A8150" s="1" t="s">
        <v>16224</v>
      </c>
      <c r="B8150" s="1">
        <v>0</v>
      </c>
      <c r="C8150" s="3">
        <v>44538.709097222221</v>
      </c>
      <c r="D8150" s="1" t="s">
        <v>16225</v>
      </c>
      <c r="E8150" s="1" t="str">
        <f ca="1">IFERROR(__xludf.DUMMYFUNCTION("GOOGLETRANSLATE(A4949 , ""tr"" , ""en"")"),"@drfahrettinkoca will write to you ÇOOOK thing I have tired of summer summer husband !!!")</f>
        <v>@drfahrettinkoca will write to you ÇOOOK thing I have tired of summer summer husband !!!</v>
      </c>
    </row>
    <row r="8151" spans="1:5" ht="15" customHeight="1" x14ac:dyDescent="0.2">
      <c r="A8151" s="1" t="s">
        <v>16226</v>
      </c>
      <c r="B8151" s="1">
        <v>1</v>
      </c>
      <c r="C8151" s="3">
        <v>44538.709062499998</v>
      </c>
      <c r="D8151" s="1" t="s">
        <v>16227</v>
      </c>
      <c r="E8151" s="1" t="str">
        <f ca="1">IFERROR(__xludf.DUMMYFUNCTION("GOOGLETRANSLATE(A4950 , ""tr"" , ""en"")"),"@drfahrettinkoca are already in the first place if you have been in the first place if you didn't have it if you haven't been given enough oxygen and yogu ... https://t.co/kthftzfehm")</f>
        <v>@drfahrettinkoca are already in the first place if you have been in the first place if you didn't have it if you haven't been given enough oxygen and yogu ... https://t.co/kthftzfehm</v>
      </c>
    </row>
    <row r="8152" spans="1:5" ht="15" customHeight="1" x14ac:dyDescent="0.2">
      <c r="A8152" s="1" t="s">
        <v>16228</v>
      </c>
      <c r="B8152" s="1">
        <v>0</v>
      </c>
      <c r="C8152" s="3">
        <v>44538.709027777775</v>
      </c>
      <c r="D8152" s="1" t="s">
        <v>16229</v>
      </c>
      <c r="E8152" s="1" t="str">
        <f ca="1">IFERROR(__xludf.DUMMYFUNCTION("GOOGLETRANSLATE(A4951 , ""tr"" , ""en"")"),"@drfahrettinkoca let's believe that they have never been vaccinated in intensive care with documents with document but share data in each province")</f>
        <v>@drfahrettinkoca let's believe that they have never been vaccinated in intensive care with documents with document but share data in each province</v>
      </c>
    </row>
    <row r="8153" spans="1:5" ht="15" customHeight="1" x14ac:dyDescent="0.2">
      <c r="A8153" s="1" t="s">
        <v>16230</v>
      </c>
      <c r="B8153" s="1">
        <v>0</v>
      </c>
      <c r="C8153" s="3">
        <v>44538.708877314813</v>
      </c>
      <c r="D8153" s="1" t="s">
        <v>16231</v>
      </c>
      <c r="E8153" s="1" t="str">
        <f ca="1">IFERROR(__xludf.DUMMYFUNCTION("GOOGLETRANSLATE(A4952 , ""tr"" , ""en"")"),"@drfahrettinkoca @saglikbakanligi wait wait Tikendik County Husband assignment and manual Time to explain and even passed")</f>
        <v>@drfahrettinkoca @saglikbakanligi wait wait Tikendik County Husband assignment and manual Time to explain and even passed</v>
      </c>
    </row>
    <row r="8154" spans="1:5" ht="15" customHeight="1" x14ac:dyDescent="0.2">
      <c r="A8154" s="1" t="s">
        <v>16232</v>
      </c>
      <c r="B8154" s="1">
        <v>0</v>
      </c>
      <c r="C8154" s="3">
        <v>44541.990358796298</v>
      </c>
      <c r="D8154" s="1" t="s">
        <v>16233</v>
      </c>
      <c r="E8154" s="1" t="str">
        <f ca="1">IFERROR(__xludf.DUMMYFUNCTION("GOOGLETRANSLATE(A4953 , ""tr"" , ""en"")"),"@drfahrettinkoca Why are the children who go to school for three months sabizing.")</f>
        <v>@drfahrettinkoca Why are the children who go to school for three months sabizing.</v>
      </c>
    </row>
    <row r="8155" spans="1:5" ht="15" customHeight="1" x14ac:dyDescent="0.2">
      <c r="A8155" s="1" t="s">
        <v>16234</v>
      </c>
      <c r="B8155" s="1">
        <v>0</v>
      </c>
      <c r="C8155" s="3">
        <v>44541.908865740741</v>
      </c>
      <c r="D8155" s="1" t="s">
        <v>16235</v>
      </c>
      <c r="E8155" s="1" t="str">
        <f ca="1">IFERROR(__xludf.DUMMYFUNCTION("GOOGLETRANSLATE(A4954 , ""tr"" , ""en"")"),"@drfahrettinkoca)) subject to subject.")</f>
        <v>@drfahrettinkoca)) subject to subject.</v>
      </c>
    </row>
    <row r="8156" spans="1:5" ht="15" customHeight="1" x14ac:dyDescent="0.2">
      <c r="A8156" s="1" t="s">
        <v>16236</v>
      </c>
      <c r="B8156" s="1">
        <v>0</v>
      </c>
      <c r="C8156" s="3">
        <v>44541.880104166667</v>
      </c>
      <c r="D8156" s="1" t="s">
        <v>16237</v>
      </c>
      <c r="E8156" s="1" t="str">
        <f ca="1">IFERROR(__xludf.DUMMYFUNCTION("GOOGLETRANSLATE(A4955 , ""tr"" , ""en"")"),"@drfahrettinkoca what won what the benefit has seen from the vaccine Mr. Minister? Do you look at it to the following cases? Wake up to Hab-I Gaflet ... https://t.co/z2w3c211xm")</f>
        <v>@drfahrettinkoca what won what the benefit has seen from the vaccine Mr. Minister? Do you look at it to the following cases? Wake up to Hab-I Gaflet ... https://t.co/z2w3c211xm</v>
      </c>
    </row>
    <row r="8157" spans="1:5" ht="15" customHeight="1" x14ac:dyDescent="0.2">
      <c r="A8157" s="1" t="s">
        <v>16238</v>
      </c>
      <c r="B8157" s="1">
        <v>1</v>
      </c>
      <c r="C8157" s="3">
        <v>44541.872974537036</v>
      </c>
      <c r="D8157" s="1" t="s">
        <v>16239</v>
      </c>
      <c r="E8157" s="1" t="str">
        <f ca="1">IFERROR(__xludf.DUMMYFUNCTION("GOOGLETRANSLATE(A4956 , ""tr"" , ""en"")"),"@drfahrettinka non-vaccines are not going to perform tests. Where do you find the facing husband no-old positives ...")</f>
        <v>@drfahrettinka non-vaccines are not going to perform tests. Where do you find the facing husband no-old positives ...</v>
      </c>
    </row>
    <row r="8158" spans="1:5" ht="15" customHeight="1" x14ac:dyDescent="0.2">
      <c r="A8158" s="1" t="s">
        <v>16240</v>
      </c>
      <c r="B8158" s="1">
        <v>0</v>
      </c>
      <c r="C8158" s="3">
        <v>44541.869467592594</v>
      </c>
      <c r="D8158" s="1" t="s">
        <v>16241</v>
      </c>
      <c r="E8158" s="1" t="str">
        <f ca="1">IFERROR(__xludf.DUMMYFUNCTION("GOOGLETRANSLATE(A4957 , ""tr"" , ""en"")"),"@drfahrettinkoca @drfahrettinkoca @drfahrettinkoca @rterdogan how are you people blacking our youth our joy ... https://t.co/ıkbub3yxoz")</f>
        <v>@drfahrettinkoca @drfahrettinkoca @drfahrettinkoca @rterdogan how are you people blacking our youth our joy ... https://t.co/ıkbub3yxoz</v>
      </c>
    </row>
    <row r="8159" spans="1:5" ht="15" customHeight="1" x14ac:dyDescent="0.2">
      <c r="A8159" s="1" t="s">
        <v>16242</v>
      </c>
      <c r="B8159" s="1">
        <v>0</v>
      </c>
      <c r="C8159" s="3">
        <v>44541.860833333332</v>
      </c>
      <c r="D8159" s="1" t="s">
        <v>16243</v>
      </c>
      <c r="E8159" s="1" t="str">
        <f ca="1">IFERROR(__xludf.DUMMYFUNCTION("GOOGLETRANSLATE(A4958 , ""tr"" , ""en"")"),"@drfahrettinkoca you mask money, how many eurolese vaccine did you get free by shooting? If something is free Product s ... https://t.co/hnoszp4qka")</f>
        <v>@drfahrettinkoca you mask money, how many eurolese vaccine did you get free by shooting? If something is free Product s ... https://t.co/hnoszp4qka</v>
      </c>
    </row>
    <row r="8160" spans="1:5" ht="15" customHeight="1" x14ac:dyDescent="0.2">
      <c r="A8160" s="1" t="s">
        <v>16244</v>
      </c>
      <c r="B8160" s="1">
        <v>0</v>
      </c>
      <c r="C8160" s="3">
        <v>44541.843738425923</v>
      </c>
      <c r="D8160" s="1" t="s">
        <v>16245</v>
      </c>
      <c r="E8160" s="1" t="str">
        <f ca="1">IFERROR(__xludf.DUMMYFUNCTION("GOOGLETRANSLATE(A4959 , ""tr"" , ""en"")"),"@drfahrettinkoca Dear OK OK This responsibility you take all of us, let's be the vaccination, long-term side effects unknown ... https://t.co/zy8geqndgh")</f>
        <v>@drfahrettinkoca Dear OK OK This responsibility you take all of us, let's be the vaccination, long-term side effects unknown ... https://t.co/zy8geqndgh</v>
      </c>
    </row>
    <row r="8161" spans="1:5" ht="15" customHeight="1" x14ac:dyDescent="0.2">
      <c r="A8161" s="1" t="s">
        <v>16246</v>
      </c>
      <c r="B8161" s="1">
        <v>0</v>
      </c>
      <c r="C8161" s="3">
        <v>44540.93</v>
      </c>
      <c r="D8161" s="1" t="s">
        <v>16247</v>
      </c>
      <c r="E8161" s="1" t="str">
        <f ca="1">IFERROR(__xludf.DUMMYFUNCTION("GOOGLETRANSLATE(A4960 , ""tr"" , ""en"")"),"@drfahrettinkoca vaccine can you explain the deceased")</f>
        <v>@drfahrettinkoca vaccine can you explain the deceased</v>
      </c>
    </row>
    <row r="8162" spans="1:5" ht="15" customHeight="1" x14ac:dyDescent="0.2">
      <c r="A8162" s="1" t="s">
        <v>16248</v>
      </c>
      <c r="B8162" s="1">
        <v>1</v>
      </c>
      <c r="C8162" s="3">
        <v>44540.652361111112</v>
      </c>
      <c r="D8162" s="1" t="s">
        <v>16249</v>
      </c>
      <c r="E8162" s="1" t="str">
        <f ca="1">IFERROR(__xludf.DUMMYFUNCTION("GOOGLETRANSLATE(A4961 , ""tr"" , ""en"")"),"@drfahrettinkoca which preliminary judicial wonder? The blue graft cities are the highest cities of cases.")</f>
        <v>@drfahrettinkoca which preliminary judicial wonder? The blue graft cities are the highest cities of cases.</v>
      </c>
    </row>
    <row r="8163" spans="1:5" ht="15" customHeight="1" x14ac:dyDescent="0.2">
      <c r="A8163" s="1" t="s">
        <v>16250</v>
      </c>
      <c r="B8163" s="1">
        <v>0</v>
      </c>
      <c r="C8163" s="3">
        <v>44540.409270833334</v>
      </c>
      <c r="D8163" s="1" t="s">
        <v>16251</v>
      </c>
      <c r="E8163" s="1" t="str">
        <f ca="1">IFERROR(__xludf.DUMMYFUNCTION("GOOGLETRANSLATE(A4962 , ""tr"" , ""en"")"),"@drfahrettinkoca Mr. Ministry of Kovid Due to the intensive care of private hospitals in the intensive care of the state, https://t.co/1yqdbxyr2d")</f>
        <v>@drfahrettinkoca Mr. Ministry of Kovid Due to the intensive care of private hospitals in the intensive care of the state, https://t.co/1yqdbxyr2d</v>
      </c>
    </row>
    <row r="8164" spans="1:5" ht="15" customHeight="1" x14ac:dyDescent="0.2">
      <c r="A8164" s="1" t="s">
        <v>16252</v>
      </c>
      <c r="B8164" s="1">
        <v>0</v>
      </c>
      <c r="C8164" s="3">
        <v>44540.406666666669</v>
      </c>
      <c r="D8164" s="1" t="s">
        <v>16253</v>
      </c>
      <c r="E8164" s="1" t="str">
        <f ca="1">IFERROR(__xludf.DUMMYFUNCTION("GOOGLETRANSLATE(A4963 , ""tr"" , ""en"")"),"@drfahrettinkoca https://t.co/qomswing ://t.co/qomswINYYJ Tayion's lady This information is what explain")</f>
        <v>@drfahrettinkoca https://t.co/qomswing ://t.co/qomswINYYJ Tayion's lady This information is what explain</v>
      </c>
    </row>
    <row r="8165" spans="1:5" ht="15" customHeight="1" x14ac:dyDescent="0.2">
      <c r="A8165" s="1" t="s">
        <v>16254</v>
      </c>
      <c r="B8165" s="1">
        <v>0</v>
      </c>
      <c r="C8165" s="3">
        <v>44540.394594907404</v>
      </c>
      <c r="D8165" s="1" t="s">
        <v>16255</v>
      </c>
      <c r="E8165" s="1" t="str">
        <f ca="1">IFERROR(__xludf.DUMMYFUNCTION("GOOGLETRANSLATE(A4964 , ""tr"" , ""en"")"),"@drfahrettinkoca NK's Faculty of theology in the Faculty of theology Our student has passed away from corona !!! Korona Olam Classroom ... https://t.co/nzdlgwr28b")</f>
        <v>@drfahrettinkoca NK's Faculty of theology in the Faculty of theology Our student has passed away from corona !!! Korona Olam Classroom ... https://t.co/nzdlgwr28b</v>
      </c>
    </row>
    <row r="8166" spans="1:5" ht="15" customHeight="1" x14ac:dyDescent="0.2">
      <c r="A8166" s="1" t="s">
        <v>16256</v>
      </c>
      <c r="B8166" s="1">
        <v>0</v>
      </c>
      <c r="C8166" s="3">
        <v>44540.346620370372</v>
      </c>
      <c r="D8166" s="1" t="s">
        <v>16257</v>
      </c>
      <c r="E8166" s="1" t="str">
        <f ca="1">IFERROR(__xludf.DUMMYFUNCTION("GOOGLETRANSLATE(A4965 , ""tr"" , ""en"")"),"@drfahrettinkoca is all you will do now; Hawk, who speaks Der Spiegel magazine, ""If the omicron variant is to spread ... https://t.co/2ns7yctxjq")</f>
        <v>@drfahrettinkoca is all you will do now; Hawk, who speaks Der Spiegel magazine, "If the omicron variant is to spread ... https://t.co/2ns7yctxjq</v>
      </c>
    </row>
    <row r="8167" spans="1:5" ht="15" customHeight="1" x14ac:dyDescent="0.2">
      <c r="A8167" s="1" t="s">
        <v>16258</v>
      </c>
      <c r="B8167" s="1">
        <v>0</v>
      </c>
      <c r="C8167" s="3">
        <v>44540.294131944444</v>
      </c>
      <c r="D8167" s="1" t="s">
        <v>16259</v>
      </c>
      <c r="E8167" s="1" t="str">
        <f ca="1">IFERROR(__xludf.DUMMYFUNCTION("GOOGLETRANSLATE(A4966 , ""tr"" , ""en"")"),"@drfahrettinkoca Dicle University Hospital Ultrasya 2ay after giving days after day after 160 TL on the lower floor ... https://t.co/n2d5eeqn7z")</f>
        <v>@drfahrettinkoca Dicle University Hospital Ultrasya 2ay after giving days after day after 160 TL on the lower floor ... https://t.co/n2d5eeqn7z</v>
      </c>
    </row>
    <row r="8168" spans="1:5" ht="15" customHeight="1" x14ac:dyDescent="0.2">
      <c r="A8168" s="1" t="s">
        <v>16260</v>
      </c>
      <c r="B8168" s="1">
        <v>0</v>
      </c>
      <c r="C8168" s="3">
        <v>44540.273275462961</v>
      </c>
      <c r="D8168" s="1" t="s">
        <v>16261</v>
      </c>
      <c r="E8168" s="1" t="str">
        <f ca="1">IFERROR(__xludf.DUMMYFUNCTION("GOOGLETRANSLATE(A4967 , ""tr"" , ""en"")"),"@drfahrettinkoca vaccine If those in need of always be in need of vaccine, people who have reduced their immune to the vaccine ... https://t.co/lem9c0xqur")</f>
        <v>@drfahrettinkoca vaccine If those in need of always be in need of vaccine, people who have reduced their immune to the vaccine ... https://t.co/lem9c0xqur</v>
      </c>
    </row>
    <row r="8169" spans="1:5" ht="15" customHeight="1" x14ac:dyDescent="0.2">
      <c r="A8169" s="1" t="s">
        <v>16262</v>
      </c>
      <c r="B8169" s="1">
        <v>0</v>
      </c>
      <c r="C8169" s="3">
        <v>44543.862569444442</v>
      </c>
      <c r="D8169" s="1" t="s">
        <v>16263</v>
      </c>
      <c r="E8169" s="1" t="str">
        <f ca="1">IFERROR(__xludf.DUMMYFUNCTION("GOOGLETRANSLATE(A4968 , ""tr"" , ""en"")"),"@drfahrettinkoca.")</f>
        <v>@drfahrettinkoca.</v>
      </c>
    </row>
    <row r="8170" spans="1:5" ht="15" customHeight="1" x14ac:dyDescent="0.2">
      <c r="A8170" s="1" t="s">
        <v>16264</v>
      </c>
      <c r="B8170" s="1">
        <v>0</v>
      </c>
      <c r="C8170" s="3">
        <v>44537.998194444444</v>
      </c>
      <c r="D8170" s="1" t="s">
        <v>16265</v>
      </c>
      <c r="E8170" s="1" t="str">
        <f ca="1">IFERROR(__xludf.DUMMYFUNCTION("GOOGLETRANSLATE(A4969 , ""tr"" , ""en"")"),"@drfahrettinkoca okay slightly lapse of lapse you spend heavy spending the meaning of how to stand on it is already taken.")</f>
        <v>@drfahrettinkoca okay slightly lapse of lapse you spend heavy spending the meaning of how to stand on it is already taken.</v>
      </c>
    </row>
    <row r="8171" spans="1:5" ht="15" customHeight="1" x14ac:dyDescent="0.2">
      <c r="A8171" s="1" t="s">
        <v>16266</v>
      </c>
      <c r="B8171" s="1">
        <v>1</v>
      </c>
      <c r="C8171" s="3">
        <v>44537.992349537039</v>
      </c>
      <c r="D8171" s="1" t="s">
        <v>16267</v>
      </c>
      <c r="E8171" s="1" t="str">
        <f ca="1">IFERROR(__xludf.DUMMYFUNCTION("GOOGLETRANSLATE(A4970 , ""tr"" , ""en"")"),"@drfahrettinkoca Dear Husband You don't trust and you are not trusted.")</f>
        <v>@drfahrettinkoca Dear Husband You don't trust and you are not trusted.</v>
      </c>
    </row>
    <row r="8172" spans="1:5" ht="15" customHeight="1" x14ac:dyDescent="0.2">
      <c r="A8172" s="1" t="s">
        <v>16268</v>
      </c>
      <c r="B8172" s="1">
        <v>0</v>
      </c>
      <c r="C8172" s="3">
        <v>44537.990694444445</v>
      </c>
      <c r="D8172" s="1" t="s">
        <v>16269</v>
      </c>
      <c r="E8172" s="1" t="str">
        <f ca="1">IFERROR(__xludf.DUMMYFUNCTION("GOOGLETRANSLATE(A4971 , ""tr"" , ""en"")"),"@drfahrettinkoca Tekirdağ I also live at the rate of vaccination, 81.6% actually is actually good in the population 1.107.491. Very ... https://t.co/hinunhl3a5")</f>
        <v>@drfahrettinkoca Tekirdağ I also live at the rate of vaccination, 81.6% actually is actually good in the population 1.107.491. Very ... https://t.co/hinunhl3a5</v>
      </c>
    </row>
    <row r="8173" spans="1:5" ht="15" customHeight="1" x14ac:dyDescent="0.2">
      <c r="A8173" s="1" t="s">
        <v>16270</v>
      </c>
      <c r="B8173" s="1">
        <v>0</v>
      </c>
      <c r="C8173" s="3">
        <v>44537.985555555555</v>
      </c>
      <c r="D8173" s="1" t="s">
        <v>16271</v>
      </c>
      <c r="E8173" s="1" t="str">
        <f ca="1">IFERROR(__xludf.DUMMYFUNCTION("GOOGLETRANSLATE(A4972 , ""tr"" , ""en"")"),"@drfahrettinkoca where do they spend lightly inhabited nozzles patient is also not blasting what you shook is enough ..")</f>
        <v>@drfahrettinkoca where do they spend lightly inhabited nozzles patient is also not blasting what you shook is enough ..</v>
      </c>
    </row>
    <row r="8174" spans="1:5" ht="15" customHeight="1" x14ac:dyDescent="0.2">
      <c r="A8174" s="1" t="s">
        <v>16272</v>
      </c>
      <c r="B8174" s="1">
        <v>0</v>
      </c>
      <c r="C8174" s="3">
        <v>44537.971041666664</v>
      </c>
      <c r="D8174" s="1" t="s">
        <v>16273</v>
      </c>
      <c r="E8174" s="1" t="str">
        <f ca="1">IFERROR(__xludf.DUMMYFUNCTION("GOOGLETRANSLATE(A4973 , ""tr"" , ""en"")"),"@drfahrettinkoca is a bit of researching about hospitals an emergency service is a sudden intervention place ... https://t.co/lbedaemhqx")</f>
        <v>@drfahrettinkoca is a bit of researching about hospitals an emergency service is a sudden intervention place ... https://t.co/lbedaemhqx</v>
      </c>
    </row>
    <row r="8175" spans="1:5" ht="15" customHeight="1" x14ac:dyDescent="0.2">
      <c r="A8175" s="1" t="s">
        <v>16274</v>
      </c>
      <c r="B8175" s="1">
        <v>1</v>
      </c>
      <c r="C8175" s="3">
        <v>44537.969166666669</v>
      </c>
      <c r="D8175" s="1" t="s">
        <v>16275</v>
      </c>
      <c r="E8175" s="1" t="str">
        <f ca="1">IFERROR(__xludf.DUMMYFUNCTION("GOOGLETRANSLATE(A4974 , ""tr"" , ""en"")"),"@drfahrettinkoca used to go to the patient in the morning 5 6 Da patient goes to the hospital yes but it would be the nii ni now rated ... https://t.co/zp1uloor2m")</f>
        <v>@drfahrettinkoca used to go to the patient in the morning 5 6 Da patient goes to the hospital yes but it would be the nii ni now rated ... https://t.co/zp1uloor2m</v>
      </c>
    </row>
    <row r="8176" spans="1:5" ht="15" customHeight="1" x14ac:dyDescent="0.2">
      <c r="A8176" s="1" t="s">
        <v>16276</v>
      </c>
      <c r="B8176" s="1">
        <v>0</v>
      </c>
      <c r="C8176" s="3">
        <v>44537.966979166667</v>
      </c>
      <c r="D8176" s="1" t="s">
        <v>16277</v>
      </c>
      <c r="E8176" s="1" t="str">
        <f ca="1">IFERROR(__xludf.DUMMYFUNCTION("GOOGLETRANSLATE(A4975 , ""tr"" , ""en"")"),"@drfahrettinkoca Mr. Minister 2 3 Thousand cases when there were every measure when you were covered Now that you were taken now Case 22 22 Thousand ... https://t.co/a6tbzzk9fr")</f>
        <v>@drfahrettinkoca Mr. Minister 2 3 Thousand cases when there were every measure when you were covered Now that you were taken now Case 22 22 Thousand ... https://t.co/a6tbzzk9fr</v>
      </c>
    </row>
    <row r="8177" spans="1:5" ht="15" customHeight="1" x14ac:dyDescent="0.2">
      <c r="A8177" s="1" t="s">
        <v>16278</v>
      </c>
      <c r="B8177" s="1">
        <v>0</v>
      </c>
      <c r="C8177" s="3">
        <v>44537.965763888889</v>
      </c>
      <c r="D8177" s="1" t="s">
        <v>16279</v>
      </c>
      <c r="E8177" s="1" t="str">
        <f ca="1">IFERROR(__xludf.DUMMYFUNCTION("GOOGLETRANSLATE(A4976 , ""tr"" , ""en"")"),"@drfahrettinka https://t.co/yljgejrn0w")</f>
        <v>@drfahrettinka https://t.co/yljgejrn0w</v>
      </c>
    </row>
    <row r="8178" spans="1:5" ht="15" customHeight="1" x14ac:dyDescent="0.2">
      <c r="A8178" s="1" t="s">
        <v>16280</v>
      </c>
      <c r="B8178" s="1">
        <v>0</v>
      </c>
      <c r="C8178" s="3">
        <v>44537.964016203703</v>
      </c>
      <c r="D8178" s="1" t="s">
        <v>16281</v>
      </c>
      <c r="E8178" s="1" t="str">
        <f ca="1">IFERROR(__xludf.DUMMYFUNCTION("GOOGLETRANSLATE(A4977 , ""tr"" , ""en"")"),"@drfahrettinka not vaccine, community immunity")</f>
        <v>@drfahrettinka not vaccine, community immunity</v>
      </c>
    </row>
    <row r="8179" spans="1:5" ht="15" customHeight="1" x14ac:dyDescent="0.2">
      <c r="A8179" s="1" t="s">
        <v>16282</v>
      </c>
      <c r="B8179" s="1">
        <v>0</v>
      </c>
      <c r="C8179" s="3">
        <v>44537.958923611113</v>
      </c>
      <c r="D8179" s="1" t="s">
        <v>16283</v>
      </c>
      <c r="E8179" s="1" t="str">
        <f ca="1">IFERROR(__xludf.DUMMYFUNCTION("GOOGLETRANSLATE(A4978 , ""tr"" , ""en"")"),"@drfahrettinkoca PCR test compulsion is cruelty and you are partnered in this persecution")</f>
        <v>@drfahrettinkoca PCR test compulsion is cruelty and you are partnered in this persecution</v>
      </c>
    </row>
    <row r="8180" spans="1:5" ht="15" customHeight="1" x14ac:dyDescent="0.2">
      <c r="A8180" s="1" t="s">
        <v>16284</v>
      </c>
      <c r="B8180" s="1">
        <v>0</v>
      </c>
      <c r="C8180" s="3">
        <v>44537.958148148151</v>
      </c>
      <c r="D8180" s="1" t="s">
        <v>16285</v>
      </c>
      <c r="E8180" s="1" t="str">
        <f ca="1">IFERROR(__xludf.DUMMYFUNCTION("GOOGLETRANSLATE(A4979 , ""tr"" , ""en"")"),"@drfahrettinkoca Hospital lies in the race of our uncountable Mr. Minister. The news says so. Occasionally your view is interesting. ... https://t.co/ngxuxaxp5w")</f>
        <v>@drfahrettinkoca Hospital lies in the race of our uncountable Mr. Minister. The news says so. Occasionally your view is interesting. ... https://t.co/ngxuxaxp5w</v>
      </c>
    </row>
    <row r="8181" spans="1:5" ht="15" customHeight="1" x14ac:dyDescent="0.2">
      <c r="A8181" s="1" t="s">
        <v>16286</v>
      </c>
      <c r="B8181" s="1">
        <v>3</v>
      </c>
      <c r="C8181" s="3">
        <v>44537.95553240741</v>
      </c>
      <c r="D8181" s="1" t="s">
        <v>16287</v>
      </c>
      <c r="E8181" s="1" t="str">
        <f ca="1">IFERROR(__xludf.DUMMYFUNCTION("GOOGLETRANSLATE(A4980 , ""tr"" , ""en"")"),"@drfahrettinkoca Mr. Ministry I have been two vaccines and are currently Covidli, and never spent it easy ... Mom and Bab ... Https://t.co/hbdb09hoxu")</f>
        <v>@drfahrettinkoca Mr. Ministry I have been two vaccines and are currently Covidli, and never spent it easy ... Mom and Bab ... Https://t.co/hbdb09hoxu</v>
      </c>
    </row>
    <row r="8182" spans="1:5" ht="15" customHeight="1" x14ac:dyDescent="0.2">
      <c r="A8182" s="1" t="s">
        <v>16288</v>
      </c>
      <c r="B8182" s="1">
        <v>2</v>
      </c>
      <c r="C8182" s="3">
        <v>44537.955324074072</v>
      </c>
      <c r="D8182" s="1" t="s">
        <v>16289</v>
      </c>
      <c r="E8182" s="1" t="str">
        <f ca="1">IFERROR(__xludf.DUMMYFUNCTION("GOOGLETRANSLATE(A4981 , ""tr"" , ""en"")"),"@drfahrettinkoca is the ignorant of it if you have become the instrument or the traitity is the gentleman who is very curious about it!")</f>
        <v>@drfahrettinkoca is the ignorant of it if you have become the instrument or the traitity is the gentleman who is very curious about it!</v>
      </c>
    </row>
    <row r="8183" spans="1:5" ht="15" customHeight="1" x14ac:dyDescent="0.2">
      <c r="A8183" s="1" t="s">
        <v>16290</v>
      </c>
      <c r="B8183" s="1">
        <v>3</v>
      </c>
      <c r="C8183" s="3">
        <v>44537.950462962966</v>
      </c>
      <c r="D8183" s="1" t="s">
        <v>16291</v>
      </c>
      <c r="E8183" s="1" t="str">
        <f ca="1">IFERROR(__xludf.DUMMYFUNCTION("GOOGLETRANSLATE(A4982 , ""tr"" , ""en"")"),"@drfahrettinkoca is a chance in Islam would never be tovafuk, you have to have died to your view, but very thankful ... https://t.co/yjvnjqauks")</f>
        <v>@drfahrettinkoca is a chance in Islam would never be tovafuk, you have to have died to your view, but very thankful ... https://t.co/yjvnjqauks</v>
      </c>
    </row>
    <row r="8184" spans="1:5" ht="15" customHeight="1" x14ac:dyDescent="0.2">
      <c r="A8184" s="1" t="s">
        <v>16292</v>
      </c>
      <c r="B8184" s="1">
        <v>0</v>
      </c>
      <c r="C8184" s="3">
        <v>44537.947951388887</v>
      </c>
      <c r="D8184" s="1" t="s">
        <v>16293</v>
      </c>
      <c r="E8184" s="1" t="str">
        <f ca="1">IFERROR(__xludf.DUMMYFUNCTION("GOOGLETRANSLATE(A4983 , ""tr"" , ""en"")"),"@drfahrettinkoca is still those who believe in these empty mallows are not coincidiously people you frighten ... https://T.CO/TZNTIAIPFU")</f>
        <v>@drfahrettinkoca is still those who believe in these empty mallows are not coincidiously people you frighten ... https://T.CO/TZNTIAIPFU</v>
      </c>
    </row>
    <row r="8185" spans="1:5" ht="15" customHeight="1" x14ac:dyDescent="0.2">
      <c r="A8185" s="1" t="s">
        <v>16294</v>
      </c>
      <c r="B8185" s="1">
        <v>10</v>
      </c>
      <c r="C8185" s="3">
        <v>44537.943854166668</v>
      </c>
      <c r="D8185" s="1" t="s">
        <v>16295</v>
      </c>
      <c r="E8185" s="1" t="str">
        <f ca="1">IFERROR(__xludf.DUMMYFUNCTION("GOOGLETRANSLATE(A4984 , ""tr"" , ""en"")"),"@drfahrettinka my page is full of document! How this game is based on how it is installed! ... examining, did not understand ... https://t.co/4hzohud2kg")</f>
        <v>@drfahrettinka my page is full of document! How this game is based on how it is installed! ... examining, did not understand ... https://t.co/4hzohud2kg</v>
      </c>
    </row>
    <row r="8186" spans="1:5" ht="15" customHeight="1" x14ac:dyDescent="0.2">
      <c r="A8186" s="1" t="s">
        <v>16296</v>
      </c>
      <c r="B8186" s="1">
        <v>0</v>
      </c>
      <c r="C8186" s="3">
        <v>44537.943240740744</v>
      </c>
      <c r="D8186" s="1" t="s">
        <v>16297</v>
      </c>
      <c r="E8186" s="1" t="str">
        <f ca="1">IFERROR(__xludf.DUMMYFUNCTION("GOOGLETRANSLATE(A4985 , ""tr"" , ""en"")"),"@drfahrettinkoca after noxious vaccine #biontechyanetki, #biontechyanetki, who died in the horsema are always grafted, 2 dose, 3 dose biontech vs, h ... https://t.co/dtexytvbml")</f>
        <v>@drfahrettinkoca after noxious vaccine #biontechyanetki, #biontechyanetki, who died in the horsema are always grafted, 2 dose, 3 dose biontech vs, h ... https://t.co/dtexytvbml</v>
      </c>
    </row>
    <row r="8187" spans="1:5" ht="15" customHeight="1" x14ac:dyDescent="0.2">
      <c r="A8187" s="1" t="s">
        <v>16298</v>
      </c>
      <c r="B8187" s="1">
        <v>0</v>
      </c>
      <c r="C8187" s="3">
        <v>44537.943055555559</v>
      </c>
      <c r="D8187" s="1" t="s">
        <v>16299</v>
      </c>
      <c r="E8187" s="1" t="str">
        <f ca="1">IFERROR(__xludf.DUMMYFUNCTION("GOOGLETRANSLATE(A4986 , ""tr"" , ""en"")"),"@drfahrettinka https://t.co/psspenknrf")</f>
        <v>@drfahrettinka https://t.co/psspenknrf</v>
      </c>
    </row>
    <row r="8188" spans="1:5" ht="15" customHeight="1" x14ac:dyDescent="0.2">
      <c r="A8188" s="1" t="s">
        <v>16300</v>
      </c>
      <c r="B8188" s="1">
        <v>0</v>
      </c>
      <c r="C8188" s="3">
        <v>44537.936724537038</v>
      </c>
      <c r="D8188" s="1" t="s">
        <v>16301</v>
      </c>
      <c r="E8188" s="1" t="str">
        <f ca="1">IFERROR(__xludf.DUMMYFUNCTION("GOOGLETRANSLATE(A4987 , ""tr"" , ""en"")"),"@drfahrettinka https://t.co/sl7slnyyu.")</f>
        <v>@drfahrettinka https://t.co/sl7slnyyu.</v>
      </c>
    </row>
    <row r="8189" spans="1:5" ht="15" customHeight="1" x14ac:dyDescent="0.2">
      <c r="A8189" s="1" t="s">
        <v>16302</v>
      </c>
      <c r="B8189" s="1">
        <v>4</v>
      </c>
      <c r="C8189" s="3">
        <v>44537.936631944445</v>
      </c>
      <c r="D8189" s="1" t="s">
        <v>16303</v>
      </c>
      <c r="E8189" s="1" t="str">
        <f ca="1">IFERROR(__xludf.DUMMYFUNCTION("GOOGLETRANSLATE(A4988 , ""tr"" , ""en"")"),"@drfahrettinkoca You have published a properly orphythpoca what they say in my beautiful country that is non-urti-wise death ... https://t.co/edzamiawov")</f>
        <v>@drfahrettinkoca You have published a properly orphythpoca what they say in my beautiful country that is non-urti-wise death ... https://t.co/edzamiawov</v>
      </c>
    </row>
    <row r="8190" spans="1:5" ht="15" customHeight="1" x14ac:dyDescent="0.2">
      <c r="A8190" s="1" t="s">
        <v>16304</v>
      </c>
      <c r="B8190" s="1">
        <v>0</v>
      </c>
      <c r="C8190" s="3">
        <v>44537.936620370368</v>
      </c>
      <c r="D8190" s="1" t="s">
        <v>16305</v>
      </c>
      <c r="E8190" s="1" t="str">
        <f ca="1">IFERROR(__xludf.DUMMYFUNCTION("GOOGLETRANSLATE(A4989 , ""tr"" , ""en"")"),"@drfahrettinka https://t.co/sl7slnyyyu")</f>
        <v>@drfahrettinka https://t.co/sl7slnyyyu</v>
      </c>
    </row>
    <row r="8191" spans="1:5" ht="15" customHeight="1" x14ac:dyDescent="0.2">
      <c r="A8191" s="1" t="s">
        <v>16306</v>
      </c>
      <c r="B8191" s="1">
        <v>0</v>
      </c>
      <c r="C8191" s="3">
        <v>44537.932395833333</v>
      </c>
      <c r="D8191" s="1" t="s">
        <v>16307</v>
      </c>
      <c r="E8191" s="1" t="str">
        <f ca="1">IFERROR(__xludf.DUMMYFUNCTION("GOOGLETRANSLATE(A4990 , ""tr"" , ""en"")"),"@drfahrettinkoca Health Minister Ahkam Cutting People Dying From The Means Everyday Everyday Losing Our 200 People ... https://t.co/z3siodq7ud")</f>
        <v>@drfahrettinkoca Health Minister Ahkam Cutting People Dying From The Means Everyday Everyday Losing Our 200 People ... https://t.co/z3siodq7ud</v>
      </c>
    </row>
    <row r="8192" spans="1:5" ht="15" customHeight="1" x14ac:dyDescent="0.2">
      <c r="A8192" s="1" t="s">
        <v>16308</v>
      </c>
      <c r="B8192" s="1">
        <v>0</v>
      </c>
      <c r="C8192" s="3">
        <v>44537.929699074077</v>
      </c>
      <c r="D8192" s="1" t="s">
        <v>16309</v>
      </c>
      <c r="E8192" s="1" t="str">
        <f ca="1">IFERROR(__xludf.DUMMYFUNCTION("GOOGLETRANSLATE(A4991 , ""tr"" , ""en"")"),"@drfahrettinkoca I even write in here ... Allah give you your 1,000 kinds of punishment in the insect..1000 Fight 10,000, 10.00 ... https://t.co/sw7mxhktev")</f>
        <v>@drfahrettinkoca I even write in here ... Allah give you your 1,000 kinds of punishment in the insect..1000 Fight 10,000, 10.00 ... https://t.co/sw7mxhktev</v>
      </c>
    </row>
    <row r="8193" spans="1:5" ht="15" customHeight="1" x14ac:dyDescent="0.2">
      <c r="A8193" s="1" t="s">
        <v>16310</v>
      </c>
      <c r="B8193" s="1">
        <v>2</v>
      </c>
      <c r="C8193" s="3">
        <v>44537.929479166669</v>
      </c>
      <c r="D8193" s="1" t="s">
        <v>16311</v>
      </c>
      <c r="E8193" s="1" t="str">
        <f ca="1">IFERROR(__xludf.DUMMYFUNCTION("GOOGLETRANSLATE(A4992 , ""tr"" , ""en"")"),"@drfahrettinkoca Two dose of dose of doses appeared on top of 80% are currently being thrown on the map twites. Hani would end. If I were this woman ... https://t.co/rbnl9srqcl")</f>
        <v>@drfahrettinkoca Two dose of dose of doses appeared on top of 80% are currently being thrown on the map twites. Hani would end. If I were this woman ... https://t.co/rbnl9srqcl</v>
      </c>
    </row>
    <row r="8194" spans="1:5" ht="15" customHeight="1" x14ac:dyDescent="0.2">
      <c r="A8194" s="1" t="s">
        <v>16312</v>
      </c>
      <c r="B8194" s="1">
        <v>0</v>
      </c>
      <c r="C8194" s="3">
        <v>44537.92900462963</v>
      </c>
      <c r="D8194" s="1" t="s">
        <v>16313</v>
      </c>
      <c r="E8194" s="1" t="str">
        <f ca="1">IFERROR(__xludf.DUMMYFUNCTION("GOOGLETRANSLATE(A4993 , ""tr"" , ""en"")"),"@drfahrettinkoca trust ?????? 😂")</f>
        <v>@drfahrettinkoca trust ?????? 😂</v>
      </c>
    </row>
    <row r="8195" spans="1:5" ht="15" customHeight="1" x14ac:dyDescent="0.2">
      <c r="A8195" s="1" t="s">
        <v>16314</v>
      </c>
      <c r="B8195" s="1">
        <v>0</v>
      </c>
      <c r="C8195" s="3">
        <v>44537.928888888891</v>
      </c>
      <c r="D8195" s="1" t="s">
        <v>16315</v>
      </c>
      <c r="E8195" s="1" t="str">
        <f ca="1">IFERROR(__xludf.DUMMYFUNCTION("GOOGLETRANSLATE(A4994 , ""tr"" , ""en"")"),"@drfahrettinkoca is the infamous bi sus no longer left the zerre dignity in the eyes of the people in the eyes, he says oleknak minnak clots ... https://t.co/b4gs5sq4ox")</f>
        <v>@drfahrettinkoca is the infamous bi sus no longer left the zerre dignity in the eyes of the people in the eyes, he says oleknak minnak clots ... https://t.co/b4gs5sq4ox</v>
      </c>
    </row>
    <row r="8196" spans="1:5" ht="15" customHeight="1" x14ac:dyDescent="0.2">
      <c r="A8196" s="1" t="s">
        <v>16316</v>
      </c>
      <c r="B8196" s="1">
        <v>1</v>
      </c>
      <c r="C8196" s="3">
        <v>44537.927442129629</v>
      </c>
      <c r="D8196" s="1" t="s">
        <v>16317</v>
      </c>
      <c r="E8196" s="1" t="str">
        <f ca="1">IFERROR(__xludf.DUMMYFUNCTION("GOOGLETRANSLATE(A4995 , ""tr"" , ""en"")"),"@drfahrettinka you are not in a health minister of health.")</f>
        <v>@drfahrettinka you are not in a health minister of health.</v>
      </c>
    </row>
    <row r="8197" spans="1:5" ht="15" customHeight="1" x14ac:dyDescent="0.2">
      <c r="A8197" s="1" t="s">
        <v>16318</v>
      </c>
      <c r="B8197" s="1">
        <v>0</v>
      </c>
      <c r="C8197" s="3">
        <v>44537.926400462966</v>
      </c>
      <c r="D8197" s="1" t="s">
        <v>16319</v>
      </c>
      <c r="E8197" s="1" t="str">
        <f ca="1">IFERROR(__xludf.DUMMYFUNCTION("GOOGLETRANSLATE(A4996 , ""tr"" , ""en"")"),"@drfahrettinkoca hay let allah do as she knows you ... I'm in your bed everyday ...")</f>
        <v>@drfahrettinkoca hay let allah do as she knows you ... I'm in your bed everyday ...</v>
      </c>
    </row>
    <row r="8198" spans="1:5" ht="15" customHeight="1" x14ac:dyDescent="0.2">
      <c r="A8198" s="1" t="s">
        <v>16320</v>
      </c>
      <c r="B8198" s="1">
        <v>0</v>
      </c>
      <c r="C8198" s="3">
        <v>44537.923807870371</v>
      </c>
      <c r="D8198" s="1" t="s">
        <v>16321</v>
      </c>
      <c r="E8198" s="1" t="str">
        <f ca="1">IFERROR(__xludf.DUMMYFUNCTION("GOOGLETRANSLATE(A4997 , ""tr"" , ""en"")"),"@drfahrettinkoca I don't trust!")</f>
        <v>@drfahrettinkoca I don't trust!</v>
      </c>
    </row>
    <row r="8199" spans="1:5" ht="15" customHeight="1" x14ac:dyDescent="0.2">
      <c r="A8199" s="1" t="s">
        <v>16322</v>
      </c>
      <c r="B8199" s="1">
        <v>0</v>
      </c>
      <c r="C8199" s="3">
        <v>44537.923750000002</v>
      </c>
      <c r="D8199" s="1" t="s">
        <v>16323</v>
      </c>
      <c r="E8199" s="1" t="str">
        <f ca="1">IFERROR(__xludf.DUMMYFUNCTION("GOOGLETRANSLATE(A4998 , ""tr"" , ""en"")"),"@drfahrettinkoca Valla We can't even consider the corona from economic difficulty. If you die, thank goodness there are people to say.")</f>
        <v>@drfahrettinkoca Valla We can't even consider the corona from economic difficulty. If you die, thank goodness there are people to say.</v>
      </c>
    </row>
    <row r="8200" spans="1:5" ht="15" customHeight="1" x14ac:dyDescent="0.2">
      <c r="A8200" s="1" t="s">
        <v>16324</v>
      </c>
      <c r="B8200" s="1">
        <v>0</v>
      </c>
      <c r="C8200" s="3">
        <v>44537.922511574077</v>
      </c>
      <c r="D8200" s="1" t="s">
        <v>16325</v>
      </c>
      <c r="E8200" s="1" t="str">
        <f ca="1">IFERROR(__xludf.DUMMYFUNCTION("GOOGLETRANSLATE(A4999 , ""tr"" , ""en"")"),"@drfahrettinkoca We have 16 Li medicine and are you the subject you have removed today? To another door")</f>
        <v>@drfahrettinkoca We have 16 Li medicine and are you the subject you have removed today? To another door</v>
      </c>
    </row>
    <row r="8201" spans="1:5" ht="15" customHeight="1" x14ac:dyDescent="0.2">
      <c r="A8201" s="1" t="s">
        <v>16326</v>
      </c>
      <c r="B8201" s="1">
        <v>0</v>
      </c>
      <c r="C8201" s="3">
        <v>44537.919398148151</v>
      </c>
      <c r="D8201" s="1" t="s">
        <v>16327</v>
      </c>
      <c r="E8201" s="1" t="str">
        <f ca="1">IFERROR(__xludf.DUMMYFUNCTION("GOOGLETRANSLATE(A5000 , ""tr"" , ""en"")"),"@drfahrettinkoca lie news ....")</f>
        <v>@drfahrettinkoca lie news ....</v>
      </c>
    </row>
    <row r="8202" spans="1:5" ht="15" customHeight="1" x14ac:dyDescent="0.2">
      <c r="A8202" s="1" t="s">
        <v>16328</v>
      </c>
      <c r="B8202" s="1">
        <v>0</v>
      </c>
      <c r="C8202" s="3">
        <v>44537.918078703704</v>
      </c>
      <c r="D8202" s="1" t="s">
        <v>16329</v>
      </c>
      <c r="E8202" s="1" t="str">
        <f ca="1">IFERROR(__xludf.DUMMYFUNCTION("GOOGLETRANSLATE(A5001 , ""tr"" , ""en"")"),"@drfahrettinkoca schools universities Virus nest Know the desired")</f>
        <v>@drfahrettinkoca schools universities Virus nest Know the desired</v>
      </c>
    </row>
    <row r="8203" spans="1:5" ht="15" customHeight="1" x14ac:dyDescent="0.2">
      <c r="A8203" s="1" t="s">
        <v>16330</v>
      </c>
      <c r="B8203" s="1">
        <v>0</v>
      </c>
      <c r="C8203" s="3">
        <v>44537.917731481481</v>
      </c>
      <c r="D8203" s="1" t="s">
        <v>16331</v>
      </c>
      <c r="E8203" s="1" t="str">
        <f ca="1">IFERROR(__xludf.DUMMYFUNCTION("GOOGLETRANSLATE(A5002 , ""tr"" , ""en"")"),"@drfahrettinkoca what vaccine we trust you")</f>
        <v>@drfahrettinkoca what vaccine we trust you</v>
      </c>
    </row>
    <row r="8204" spans="1:5" ht="15" customHeight="1" x14ac:dyDescent="0.2">
      <c r="A8204" s="1" t="s">
        <v>16332</v>
      </c>
      <c r="B8204" s="1">
        <v>36</v>
      </c>
      <c r="C8204" s="3">
        <v>44537.917731481481</v>
      </c>
      <c r="D8204" s="1" t="s">
        <v>16333</v>
      </c>
      <c r="E8204" s="1" t="str">
        <f ca="1">IFERROR(__xludf.DUMMYFUNCTION("GOOGLETRANSLATE(A5003 , ""tr"" , ""en"")"),"@drfahrettinkoca Leave no longer counting vaccines What is this Omicron what is the article read a little! Right to the public health of this country ... https://t.co/TDIPi2ATSR")</f>
        <v>@drfahrettinkoca Leave no longer counting vaccines What is this Omicron what is the article read a little! Right to the public health of this country ... https://t.co/TDIPi2ATSR</v>
      </c>
    </row>
    <row r="8205" spans="1:5" ht="15" customHeight="1" x14ac:dyDescent="0.2">
      <c r="A8205" s="1" t="s">
        <v>16334</v>
      </c>
      <c r="B8205" s="1">
        <v>0</v>
      </c>
      <c r="C8205" s="3">
        <v>44537.916701388887</v>
      </c>
      <c r="D8205" s="1" t="s">
        <v>16335</v>
      </c>
      <c r="E8205" s="1" t="str">
        <f ca="1">IFERROR(__xludf.DUMMYFUNCTION("GOOGLETRANSLATE(A5004 , ""tr"" , ""en"")"),"@drfahrettinkoca Has the knowledge of people who have vaccines in these hospitals were subject to knowledge? If not given, people are on ... https://t.co/nonvxp2ncj")</f>
        <v>@drfahrettinkoca Has the knowledge of people who have vaccines in these hospitals were subject to knowledge? If not given, people are on ... https://t.co/nonvxp2ncj</v>
      </c>
    </row>
    <row r="8206" spans="1:5" ht="15" customHeight="1" x14ac:dyDescent="0.2">
      <c r="A8206" s="1" t="s">
        <v>16336</v>
      </c>
      <c r="B8206" s="1">
        <v>0</v>
      </c>
      <c r="C8206" s="3">
        <v>44537.916296296295</v>
      </c>
      <c r="D8206" s="1" t="s">
        <v>16337</v>
      </c>
      <c r="E8206" s="1" t="str">
        <f ca="1">IFERROR(__xludf.DUMMYFUNCTION("GOOGLETRANSLATE(A5005 , ""tr"" , ""en"")"),"@drfahrettinkoca Yes People die because of the wrong treatment is not coincidence, taking ill medications because of the wrong drugs ... https://t.co/PCCLEIAETN")</f>
        <v>@drfahrettinkoca Yes People die because of the wrong treatment is not coincidence, taking ill medications because of the wrong drugs ... https://t.co/PCCLEIAETN</v>
      </c>
    </row>
    <row r="8207" spans="1:5" ht="15" customHeight="1" x14ac:dyDescent="0.2">
      <c r="A8207" s="1" t="s">
        <v>16338</v>
      </c>
      <c r="B8207" s="1">
        <v>0</v>
      </c>
      <c r="C8207" s="3">
        <v>44537.915671296294</v>
      </c>
      <c r="D8207" s="1" t="s">
        <v>16339</v>
      </c>
      <c r="E8207" s="1" t="str">
        <f ca="1">IFERROR(__xludf.DUMMYFUNCTION("GOOGLETRANSLATE(A5006 , ""tr"" , ""en"")"),"@drfahrettinkoca @saglikbakanligi Do you think the people's people's health, Ceb of the Pharmaceutical Cartels held the head of WHO ... https://t.co/yjtqzyvs12")</f>
        <v>@drfahrettinkoca @saglikbakanligi Do you think the people's people's health, Ceb of the Pharmaceutical Cartels held the head of WHO ... https://t.co/yjtqzyvs12</v>
      </c>
    </row>
    <row r="8208" spans="1:5" ht="15" customHeight="1" x14ac:dyDescent="0.2">
      <c r="A8208" s="1" t="s">
        <v>16340</v>
      </c>
      <c r="B8208" s="1">
        <v>0</v>
      </c>
      <c r="C8208" s="3">
        <v>44537.914398148147</v>
      </c>
      <c r="D8208" s="1" t="s">
        <v>16341</v>
      </c>
      <c r="E8208" s="1" t="str">
        <f ca="1">IFERROR(__xludf.DUMMYFUNCTION("GOOGLETRANSLATE(A5007 , ""tr"" , ""en"")"),"@drfahrettinkoca #fahrettinkocatutlin you liar! So what are these? 👇👇 https://t.co/pbdor2jaoo")</f>
        <v>@drfahrettinkoca #fahrettinkocatutlin you liar! So what are these? 👇👇 https://t.co/pbdor2jaoo</v>
      </c>
    </row>
    <row r="8209" spans="1:5" ht="15" customHeight="1" x14ac:dyDescent="0.2">
      <c r="A8209" s="1" t="s">
        <v>16342</v>
      </c>
      <c r="B8209" s="1">
        <v>2</v>
      </c>
      <c r="C8209" s="3">
        <v>44537.914004629631</v>
      </c>
      <c r="D8209" s="1" t="s">
        <v>16343</v>
      </c>
      <c r="E8209" s="1" t="str">
        <f ca="1">IFERROR(__xludf.DUMMYFUNCTION("GOOGLETRANSLATE(A5008 , ""tr"" , ""en"")"),"@drfahrettinkoca what do we trust what you fitted to you. Explain facts with your honor now and quit #isticBalicinisticsLaldeol")</f>
        <v>@drfahrettinkoca what do we trust what you fitted to you. Explain facts with your honor now and quit #isticBalicinisticsLaldeol</v>
      </c>
    </row>
    <row r="8210" spans="1:5" ht="15" customHeight="1" x14ac:dyDescent="0.2">
      <c r="A8210" s="1" t="s">
        <v>16344</v>
      </c>
      <c r="B8210" s="1">
        <v>0</v>
      </c>
      <c r="C8210" s="3">
        <v>44537.912326388891</v>
      </c>
      <c r="D8210" s="1" t="s">
        <v>16345</v>
      </c>
      <c r="E8210" s="1" t="str">
        <f ca="1">IFERROR(__xludf.DUMMYFUNCTION("GOOGLETRANSLATE(A5009 , ""tr"" , ""en"")"),"@drfahrettinkoca I am the residual hospitals that the Ministry of Believe Hospitals doesn't work at all Doctors Canceling no appointments Canceling ... https://t.co/cf4ti9zye2")</f>
        <v>@drfahrettinkoca I am the residual hospitals that the Ministry of Believe Hospitals doesn't work at all Doctors Canceling no appointments Canceling ... https://t.co/cf4ti9zye2</v>
      </c>
    </row>
    <row r="8211" spans="1:5" ht="15" customHeight="1" x14ac:dyDescent="0.2">
      <c r="A8211" s="1" t="s">
        <v>16346</v>
      </c>
      <c r="B8211" s="1">
        <v>4</v>
      </c>
      <c r="C8211" s="3">
        <v>44537.910497685189</v>
      </c>
      <c r="D8211" s="1" t="s">
        <v>16347</v>
      </c>
      <c r="E8211" s="1" t="str">
        <f ca="1">IFERROR(__xludf.DUMMYFUNCTION("GOOGLETRANSLATE(A5010 , ""tr"" , ""en"")"),"If @drfahrettinkoca intensive care is full of inaccuracials why vaccine rates are the lowest in the provinces in the provinces of death and case ... https://t.co/y1phv3gujx")</f>
        <v>If @drfahrettinkoca intensive care is full of inaccuracials why vaccine rates are the lowest in the provinces in the provinces of death and case ... https://t.co/y1phv3gujx</v>
      </c>
    </row>
    <row r="8212" spans="1:5" ht="15" customHeight="1" x14ac:dyDescent="0.2">
      <c r="A8212" s="1" t="s">
        <v>16348</v>
      </c>
      <c r="B8212" s="1">
        <v>0</v>
      </c>
      <c r="C8212" s="3">
        <v>44537.906956018516</v>
      </c>
      <c r="D8212" s="1" t="s">
        <v>16349</v>
      </c>
      <c r="E8212" s="1" t="str">
        <f ca="1">IFERROR(__xludf.DUMMYFUNCTION("GOOGLETRANSLATE(A5011 , ""tr"" , ""en"")"),"@drfahrettinka vaccine Story You are your scholarly fool, we ate this nation not vaccinated all of them 🤫🤫🤫")</f>
        <v>@drfahrettinka vaccine Story You are your scholarly fool, we ate this nation not vaccinated all of them 🤫🤫🤫</v>
      </c>
    </row>
    <row r="8213" spans="1:5" ht="15" customHeight="1" x14ac:dyDescent="0.2">
      <c r="A8213" s="1" t="s">
        <v>16350</v>
      </c>
      <c r="B8213" s="1">
        <v>0</v>
      </c>
      <c r="C8213" s="3">
        <v>44537.906898148147</v>
      </c>
      <c r="D8213" s="1" t="s">
        <v>16351</v>
      </c>
      <c r="E8213" s="1" t="str">
        <f ca="1">IFERROR(__xludf.DUMMYFUNCTION("GOOGLETRANSLATE(A5012 , ""tr"" , ""en"")"),"@drfahrettinkoca Please note you are in a breath ""Miracle"" Baby Eflensu. Your doctors will die ... https://t.co/q5nnsydexh")</f>
        <v>@drfahrettinkoca Please note you are in a breath "Miracle" Baby Eflensu. Your doctors will die ... https://t.co/q5nnsydexh</v>
      </c>
    </row>
    <row r="8214" spans="1:5" ht="15" customHeight="1" x14ac:dyDescent="0.2">
      <c r="A8214" s="1" t="s">
        <v>16352</v>
      </c>
      <c r="B8214" s="1">
        <v>0</v>
      </c>
      <c r="C8214" s="3">
        <v>44537.906238425923</v>
      </c>
      <c r="D8214" s="1" t="s">
        <v>16353</v>
      </c>
      <c r="E8214" s="1" t="str">
        <f ca="1">IFERROR(__xludf.DUMMYFUNCTION("GOOGLETRANSLATE(A5013 , ""tr"" , ""en"")"),"@drfahrettinkoca Allah Billah LoveNa Fearless Where is 30 Thousand")</f>
        <v>@drfahrettinkoca Allah Billah LoveNa Fearless Where is 30 Thousand</v>
      </c>
    </row>
    <row r="8215" spans="1:5" ht="15" customHeight="1" x14ac:dyDescent="0.2">
      <c r="A8215" s="1" t="s">
        <v>16354</v>
      </c>
      <c r="B8215" s="1">
        <v>0</v>
      </c>
      <c r="C8215" s="3">
        <v>44537.905844907407</v>
      </c>
      <c r="D8215" s="1" t="s">
        <v>16355</v>
      </c>
      <c r="E8215" s="1" t="str">
        <f ca="1">IFERROR(__xludf.DUMMYFUNCTION("GOOGLETRANSLATE(A5014 , ""tr"" , ""en"")"),"@drfahrettinkoca Health Worker Want Not Applause The Minister is a whole of health and this whole is a ... https://t.co/tb4i0mj5pu")</f>
        <v>@drfahrettinkoca Health Worker Want Not Applause The Minister is a whole of health and this whole is a ... https://t.co/tb4i0mj5pu</v>
      </c>
    </row>
    <row r="8216" spans="1:5" ht="15" customHeight="1" x14ac:dyDescent="0.2">
      <c r="A8216" s="1" t="s">
        <v>16356</v>
      </c>
      <c r="B8216" s="1">
        <v>2</v>
      </c>
      <c r="C8216" s="3">
        <v>44537.905416666668</v>
      </c>
      <c r="D8216" s="1" t="s">
        <v>16357</v>
      </c>
      <c r="E8216" s="1" t="str">
        <f ca="1">IFERROR(__xludf.DUMMYFUNCTION("GOOGLETRANSLATE(A5015 , ""tr"" , ""en"")"),"@drfahrettinkoca #mbonaylakocacıma I'm gospel Miii where")</f>
        <v>@drfahrettinkoca #mbonaylakocacıma I'm gospel Miii where</v>
      </c>
    </row>
    <row r="8217" spans="1:5" ht="15" customHeight="1" x14ac:dyDescent="0.2">
      <c r="A8217" s="1" t="s">
        <v>10058</v>
      </c>
      <c r="B8217" s="1">
        <v>0</v>
      </c>
      <c r="C8217" s="3">
        <v>44537.904652777775</v>
      </c>
      <c r="D8217" s="1" t="s">
        <v>16358</v>
      </c>
      <c r="E8217" s="1" t="str">
        <f ca="1">IFERROR(__xludf.DUMMYFUNCTION("GOOGLETRANSLATE(A5016 , ""tr"" , ""en"")"),"@drfahrettinkoca Guide")</f>
        <v>@drfahrettinkoca Guide</v>
      </c>
    </row>
    <row r="8218" spans="1:5" ht="15" customHeight="1" x14ac:dyDescent="0.2">
      <c r="A8218" s="1" t="s">
        <v>16359</v>
      </c>
      <c r="B8218" s="1">
        <v>3</v>
      </c>
      <c r="C8218" s="3">
        <v>44537.904502314814</v>
      </c>
      <c r="D8218" s="1" t="s">
        <v>16360</v>
      </c>
      <c r="E8218" s="1" t="str">
        <f ca="1">IFERROR(__xludf.DUMMYFUNCTION("GOOGLETRANSLATE(A5017 , ""tr"" , ""en"")"),"@drfahrettinka you don't have any vaccines why you don't get tests and does not trust your day half a mile ... https://t.co/d2lrumyx8g")</f>
        <v>@drfahrettinka you don't have any vaccines why you don't get tests and does not trust your day half a mile ... https://t.co/d2lrumyx8g</v>
      </c>
    </row>
    <row r="8219" spans="1:5" ht="15" customHeight="1" x14ac:dyDescent="0.2">
      <c r="A8219" s="1" t="s">
        <v>16361</v>
      </c>
      <c r="B8219" s="1">
        <v>2</v>
      </c>
      <c r="C8219" s="3">
        <v>44537.904340277775</v>
      </c>
      <c r="D8219" s="1" t="s">
        <v>16362</v>
      </c>
      <c r="E8219" s="1" t="str">
        <f ca="1">IFERROR(__xludf.DUMMYFUNCTION("GOOGLETRANSLATE(A5018 , ""tr"" , ""en"")"),"@drfahrettinkoca Ministry of Tweeter every evening as we are inaccurate.")</f>
        <v>@drfahrettinkoca Ministry of Tweeter every evening as we are inaccurate.</v>
      </c>
    </row>
    <row r="8220" spans="1:5" ht="15" customHeight="1" x14ac:dyDescent="0.2">
      <c r="A8220" s="1" t="s">
        <v>16363</v>
      </c>
      <c r="B8220" s="1">
        <v>0</v>
      </c>
      <c r="C8220" s="3">
        <v>44537.90384259259</v>
      </c>
      <c r="D8220" s="1" t="s">
        <v>16364</v>
      </c>
      <c r="E8220" s="1" t="str">
        <f ca="1">IFERROR(__xludf.DUMMYFUNCTION("GOOGLETRANSLATE(A5019 , ""tr"" , ""en"")"),"@drfahrettinkoca @saglikbakanligoca @ who / @ saglikbakanligi @ who / @ saglikbakanligi ""The error share of PCR tests is higher than determined"" * OT ... https://t.co/npbqcucbtz")</f>
        <v>@drfahrettinkoca @saglikbakanligoca @ who / @ saglikbakanligi @ who / @ saglikbakanligi "The error share of PCR tests is higher than determined" * OT ... https://t.co/npbqcucbtz</v>
      </c>
    </row>
    <row r="8221" spans="1:5" ht="15" customHeight="1" x14ac:dyDescent="0.2">
      <c r="A8221" s="1" t="s">
        <v>16365</v>
      </c>
      <c r="B8221" s="1">
        <v>0</v>
      </c>
      <c r="C8221" s="3">
        <v>44537.901516203703</v>
      </c>
      <c r="D8221" s="1" t="s">
        <v>16366</v>
      </c>
      <c r="E8221" s="1" t="str">
        <f ca="1">IFERROR(__xludf.DUMMYFUNCTION("GOOGLETRANSLATE(A5020 , ""tr"" , ""en"")"),"@drfahrettinkoca hehe has no intensive care with vaccine ..")</f>
        <v>@drfahrettinkoca hehe has no intensive care with vaccine ..</v>
      </c>
    </row>
    <row r="8222" spans="1:5" ht="15" customHeight="1" x14ac:dyDescent="0.2">
      <c r="A8222" s="1" t="s">
        <v>16367</v>
      </c>
      <c r="B8222" s="1">
        <v>0</v>
      </c>
      <c r="C8222" s="3">
        <v>44537.899097222224</v>
      </c>
      <c r="D8222" s="1" t="s">
        <v>16368</v>
      </c>
      <c r="E8222" s="1" t="str">
        <f ca="1">IFERROR(__xludf.DUMMYFUNCTION("GOOGLETRANSLATE(A5021 , ""tr"" , ""en"")"),"@drfahrettinkoca Allah Allah was very surprised.")</f>
        <v>@drfahrettinkoca Allah Allah was very surprised.</v>
      </c>
    </row>
    <row r="8223" spans="1:5" ht="15" customHeight="1" x14ac:dyDescent="0.2">
      <c r="A8223" s="1" t="s">
        <v>16369</v>
      </c>
      <c r="B8223" s="1">
        <v>0</v>
      </c>
      <c r="C8223" s="3">
        <v>44537.898622685185</v>
      </c>
      <c r="D8223" s="1" t="s">
        <v>16370</v>
      </c>
      <c r="E8223" s="1" t="str">
        <f ca="1">IFERROR(__xludf.DUMMYFUNCTION("GOOGLETRANSLATE(A5022 , ""tr"" , ""en"")"),"@drfahrettinka https://t.co/cfwygygyg3z")</f>
        <v>@drfahrettinka https://t.co/cfwygygyg3z</v>
      </c>
    </row>
    <row r="8224" spans="1:5" ht="15" customHeight="1" x14ac:dyDescent="0.2">
      <c r="A8224" s="1" t="s">
        <v>16371</v>
      </c>
      <c r="B8224" s="1">
        <v>0</v>
      </c>
      <c r="C8224" s="3">
        <v>44537.896643518521</v>
      </c>
      <c r="D8224" s="1" t="s">
        <v>16372</v>
      </c>
      <c r="E8224" s="1" t="str">
        <f ca="1">IFERROR(__xludf.DUMMYFUNCTION("GOOGLETRANSLATE(A5023 , ""tr"" , ""en"")"),"Prove @drfahrettinkoca then let no one sees that we have seen that you haven't left the gben.")</f>
        <v>Prove @drfahrettinkoca then let no one sees that we have seen that you haven't left the gben.</v>
      </c>
    </row>
    <row r="8225" spans="1:5" ht="15" customHeight="1" x14ac:dyDescent="0.2">
      <c r="A8225" s="1" t="s">
        <v>16373</v>
      </c>
      <c r="B8225" s="1">
        <v>0</v>
      </c>
      <c r="C8225" s="3">
        <v>44537.896319444444</v>
      </c>
      <c r="D8225" s="1" t="s">
        <v>16374</v>
      </c>
      <c r="E8225" s="1" t="str">
        <f ca="1">IFERROR(__xludf.DUMMYFUNCTION("GOOGLETRANSLATE(A5024 , ""tr"" , ""en"")"),"@drfahrettinkoca Allah of Allah of Allah GadaBe GadaBe Gıdaşmek All the cruelty devoted to the global gangs of the global gangs ... https://t.co/zyjpgqvm4o")</f>
        <v>@drfahrettinkoca Allah of Allah of Allah GadaBe GadaBe Gıdaşmek All the cruelty devoted to the global gangs of the global gangs ... https://t.co/zyjpgqvm4o</v>
      </c>
    </row>
    <row r="8226" spans="1:5" ht="15" customHeight="1" x14ac:dyDescent="0.2">
      <c r="A8226" s="1" t="s">
        <v>16375</v>
      </c>
      <c r="B8226" s="1">
        <v>0</v>
      </c>
      <c r="C8226" s="3">
        <v>44537.896249999998</v>
      </c>
      <c r="D8226" s="1" t="s">
        <v>16376</v>
      </c>
      <c r="E8226" s="1" t="str">
        <f ca="1">IFERROR(__xludf.DUMMYFUNCTION("GOOGLETRANSLATE(A5025 , ""tr"" , ""en"")"),"@drfahrettinkoca We want the guide to be published anymore")</f>
        <v>@drfahrettinkoca We want the guide to be published anymore</v>
      </c>
    </row>
    <row r="8227" spans="1:5" ht="15" customHeight="1" x14ac:dyDescent="0.2">
      <c r="A8227" s="1" t="s">
        <v>16377</v>
      </c>
      <c r="B8227" s="1">
        <v>0</v>
      </c>
      <c r="C8227" s="3">
        <v>44537.893217592595</v>
      </c>
      <c r="D8227" s="1" t="s">
        <v>16378</v>
      </c>
      <c r="E8227" s="1" t="str">
        <f ca="1">IFERROR(__xludf.DUMMYFUNCTION("GOOGLETRANSLATE(A5026 , ""tr"" , ""en"")"),"@drfahrettinkoca Called the Ministry of Internal Affairs Experimental Treatment ??? We agree that we are still 5 Pavations in Turkey ... https://t.co/stsqezujej")</f>
        <v>@drfahrettinkoca Called the Ministry of Internal Affairs Experimental Treatment ??? We agree that we are still 5 Pavations in Turkey ... https://t.co/stsqezujej</v>
      </c>
    </row>
    <row r="8228" spans="1:5" ht="15" customHeight="1" x14ac:dyDescent="0.2">
      <c r="A8228" s="1" t="s">
        <v>16379</v>
      </c>
      <c r="B8228" s="1">
        <v>1</v>
      </c>
      <c r="C8228" s="3">
        <v>44537.892824074072</v>
      </c>
      <c r="D8228" s="1" t="s">
        <v>16380</v>
      </c>
      <c r="E8228" s="1" t="str">
        <f ca="1">IFERROR(__xludf.DUMMYFUNCTION("GOOGLETRANSLATE(A5027 , ""tr"" , ""en"")"),"@drfahrettinkoca used to rely on this power is formerly ... https://t.co/2v7216vb6w")</f>
        <v>@drfahrettinkoca used to rely on this power is formerly ... https://t.co/2v7216vb6w</v>
      </c>
    </row>
    <row r="8229" spans="1:5" ht="15" customHeight="1" x14ac:dyDescent="0.2">
      <c r="A8229" s="1" t="s">
        <v>16381</v>
      </c>
      <c r="B8229" s="1">
        <v>18</v>
      </c>
      <c r="C8229" s="3">
        <v>44537.891828703701</v>
      </c>
      <c r="D8229" s="1" t="s">
        <v>16382</v>
      </c>
      <c r="E8229" s="1" t="str">
        <f ca="1">IFERROR(__xludf.DUMMYFUNCTION("GOOGLETRANSLATE(A5028 , ""tr"" , ""en"")"),"@drfahrettinkoca tiny kids wake up at 5 o'clock at 5, revitalizing the economy by reducing the roads at 6 ... https://t.co/hdtxo6np3d")</f>
        <v>@drfahrettinkoca tiny kids wake up at 5 o'clock at 5, revitalizing the economy by reducing the roads at 6 ... https://t.co/hdtxo6np3d</v>
      </c>
    </row>
    <row r="8230" spans="1:5" ht="15" customHeight="1" x14ac:dyDescent="0.2">
      <c r="A8230" s="1" t="s">
        <v>16383</v>
      </c>
      <c r="B8230" s="1">
        <v>0</v>
      </c>
      <c r="C8230" s="3">
        <v>44537.890509259261</v>
      </c>
      <c r="D8230" s="1" t="s">
        <v>16384</v>
      </c>
      <c r="E8230" s="1" t="str">
        <f ca="1">IFERROR(__xludf.DUMMYFUNCTION("GOOGLETRANSLATE(A5029 , ""tr"" , ""en"")"),"@drfahrettinka World Trade Organization members have finished. Undermines our ability to face this crisis ... https://t.co/s9hw4jgzl3")</f>
        <v>@drfahrettinka World Trade Organization members have finished. Undermines our ability to face this crisis ... https://t.co/s9hw4jgzl3</v>
      </c>
    </row>
    <row r="8231" spans="1:5" ht="15" customHeight="1" x14ac:dyDescent="0.2">
      <c r="A8231" s="1" t="s">
        <v>16385</v>
      </c>
      <c r="B8231" s="1">
        <v>0</v>
      </c>
      <c r="C8231" s="3">
        <v>44537.890208333331</v>
      </c>
      <c r="D8231" s="1" t="s">
        <v>16386</v>
      </c>
      <c r="E8231" s="1" t="str">
        <f ca="1">IFERROR(__xludf.DUMMYFUNCTION("GOOGLETRANSLATE(A5030 , ""tr"" , ""en"")"),"@drfahrettinkoca I think you can't do this job")</f>
        <v>@drfahrettinkoca I think you can't do this job</v>
      </c>
    </row>
    <row r="8232" spans="1:5" ht="15" customHeight="1" x14ac:dyDescent="0.2">
      <c r="A8232" s="1" t="s">
        <v>16387</v>
      </c>
      <c r="B8232" s="1">
        <v>0</v>
      </c>
      <c r="C8232" s="3">
        <v>44537.889768518522</v>
      </c>
      <c r="D8232" s="1" t="s">
        <v>16388</v>
      </c>
      <c r="E8232" s="1" t="str">
        <f ca="1">IFERROR(__xludf.DUMMYFUNCTION("GOOGLETRANSLATE(A5031 , ""tr"" , ""en"")"),"@drfahrettinkoca pendemine at the beginning of the pendemine and if you did not act like the number of death and the number of deaths, this job is this job ... https://t.co/c7chgyzslw")</f>
        <v>@drfahrettinkoca pendemine at the beginning of the pendemine and if you did not act like the number of death and the number of deaths, this job is this job ... https://t.co/c7chgyzslw</v>
      </c>
    </row>
    <row r="8233" spans="1:5" ht="15" customHeight="1" x14ac:dyDescent="0.2">
      <c r="A8233" s="1" t="s">
        <v>16389</v>
      </c>
      <c r="B8233" s="1">
        <v>0</v>
      </c>
      <c r="C8233" s="3">
        <v>44537.88894675926</v>
      </c>
      <c r="D8233" s="1" t="s">
        <v>16390</v>
      </c>
      <c r="E8233" s="1" t="str">
        <f ca="1">IFERROR(__xludf.DUMMYFUNCTION("GOOGLETRANSLATE(A5032 , ""tr"" , ""en"")"),"@drfahrettinka https://t.co/mhdgcobkjc")</f>
        <v>@drfahrettinka https://t.co/mhdgcobkjc</v>
      </c>
    </row>
    <row r="8234" spans="1:5" ht="15" customHeight="1" x14ac:dyDescent="0.2">
      <c r="A8234" s="1" t="s">
        <v>16391</v>
      </c>
      <c r="B8234" s="1">
        <v>0</v>
      </c>
      <c r="C8234" s="3">
        <v>44537.888749999998</v>
      </c>
      <c r="D8234" s="1" t="s">
        <v>16392</v>
      </c>
      <c r="E8234" s="1" t="str">
        <f ca="1">IFERROR(__xludf.DUMMYFUNCTION("GOOGLETRANSLATE(A5033 , ""tr"" , ""en"")"),"@drfahrettinkoca I don't trust because you are moving with instructions.")</f>
        <v>@drfahrettinkoca I don't trust because you are moving with instructions.</v>
      </c>
    </row>
    <row r="8235" spans="1:5" ht="15" customHeight="1" x14ac:dyDescent="0.2">
      <c r="A8235" s="1" t="s">
        <v>16393</v>
      </c>
      <c r="B8235" s="1">
        <v>25</v>
      </c>
      <c r="C8235" s="3">
        <v>44537.888240740744</v>
      </c>
      <c r="D8235" s="1" t="s">
        <v>16394</v>
      </c>
      <c r="E8235" s="1" t="str">
        <f ca="1">IFERROR(__xludf.DUMMYFUNCTION("GOOGLETRANSLATE(A5034 , ""tr"" , ""en"")"),"@drfahrettinkoca fix the economy with a face to face to face .. Vayy Be, Schools What is the economy improved with school ... https://t.co/no29I6s7ms")</f>
        <v>@drfahrettinkoca fix the economy with a face to face to face .. Vayy Be, Schools What is the economy improved with school ... https://t.co/no29I6s7ms</v>
      </c>
    </row>
    <row r="8236" spans="1:5" ht="15" customHeight="1" x14ac:dyDescent="0.2">
      <c r="A8236" s="1" t="s">
        <v>16395</v>
      </c>
      <c r="B8236" s="1">
        <v>12</v>
      </c>
      <c r="C8236" s="3">
        <v>44537.886840277781</v>
      </c>
      <c r="D8236" s="1" t="s">
        <v>16396</v>
      </c>
      <c r="E8236" s="1" t="str">
        <f ca="1">IFERROR(__xludf.DUMMYFUNCTION("GOOGLETRANSLATE(A5035 , ""tr"" , ""en"")"),"@drfahrettinkoca has fixed the economy, thanks to schools, the economy was super superior. OK ONLINE Move to Training # CabineUZAKTANDITITYArt")</f>
        <v>@drfahrettinkoca has fixed the economy, thanks to schools, the economy was super superior. OK ONLINE Move to Training # CabineUZAKTANDITITYArt</v>
      </c>
    </row>
    <row r="8237" spans="1:5" ht="15" customHeight="1" x14ac:dyDescent="0.2">
      <c r="A8237" s="1" t="s">
        <v>16397</v>
      </c>
      <c r="B8237" s="1">
        <v>10</v>
      </c>
      <c r="C8237" s="3">
        <v>44537.885787037034</v>
      </c>
      <c r="D8237" s="1" t="s">
        <v>16398</v>
      </c>
      <c r="E8237" s="1" t="str">
        <f ca="1">IFERROR(__xludf.DUMMYFUNCTION("GOOGLETRANSLATE(A5036 , ""tr"" , ""en"")"),"@drfahrettinkoca e If our economy has improved, let's now go to online education as schools for 2 months of country economy ... https://t.co/pvnt1qltt")</f>
        <v>@drfahrettinkoca e If our economy has improved, let's now go to online education as schools for 2 months of country economy ... https://t.co/pvnt1qltt</v>
      </c>
    </row>
    <row r="8238" spans="1:5" ht="15" customHeight="1" x14ac:dyDescent="0.2">
      <c r="A8238" s="1" t="s">
        <v>16399</v>
      </c>
      <c r="B8238" s="1">
        <v>2</v>
      </c>
      <c r="C8238" s="3">
        <v>44537.88548611111</v>
      </c>
      <c r="D8238" s="1" t="s">
        <v>16400</v>
      </c>
      <c r="E8238" s="1" t="str">
        <f ca="1">IFERROR(__xludf.DUMMYFUNCTION("GOOGLETRANSLATE(A5037 , ""tr"" , ""en"")"),"@drfahrettinka https://t.co/27z2ftsin")</f>
        <v>@drfahrettinka https://t.co/27z2ftsin</v>
      </c>
    </row>
    <row r="8239" spans="1:5" ht="15" customHeight="1" x14ac:dyDescent="0.2">
      <c r="A8239" s="1" t="s">
        <v>16401</v>
      </c>
      <c r="B8239" s="1">
        <v>0</v>
      </c>
      <c r="C8239" s="3">
        <v>44537.885451388887</v>
      </c>
      <c r="D8239" s="1" t="s">
        <v>16402</v>
      </c>
      <c r="E8239" s="1" t="str">
        <f ca="1">IFERROR(__xludf.DUMMYFUNCTION("GOOGLETRANSLATE(A5038 , ""tr"" , ""en"")"),"@drfahrettinkoca From this Government, because of the fear of losing vote Inspect the sanction restrictions such as prohibition ... https://t.co/rf4nwab6g3")</f>
        <v>@drfahrettinkoca From this Government, because of the fear of losing vote Inspect the sanction restrictions such as prohibition ... https://t.co/rf4nwab6g3</v>
      </c>
    </row>
    <row r="8240" spans="1:5" ht="15" customHeight="1" x14ac:dyDescent="0.2">
      <c r="A8240" s="1" t="s">
        <v>16403</v>
      </c>
      <c r="B8240" s="1">
        <v>1</v>
      </c>
      <c r="C8240" s="3">
        <v>44537.884618055556</v>
      </c>
      <c r="D8240" s="1" t="s">
        <v>16404</v>
      </c>
      <c r="E8240" s="1" t="str">
        <f ca="1">IFERROR(__xludf.DUMMYFUNCTION("GOOGLETRANSLATE(A5039 , ""tr"" , ""en"")"),"@drfahrettinkoca Kadro Duzenlama should be brought to the officer-shelf separation should be removed. 4D LiSi Paramedic Ambulance Buru ... https://t.co/tvucq81qdu")</f>
        <v>@drfahrettinkoca Kadro Duzenlama should be brought to the officer-shelf separation should be removed. 4D LiSi Paramedic Ambulance Buru ... https://t.co/tvucq81qdu</v>
      </c>
    </row>
    <row r="8241" spans="1:5" ht="15" customHeight="1" x14ac:dyDescent="0.2">
      <c r="A8241" s="1" t="s">
        <v>16405</v>
      </c>
      <c r="B8241" s="1">
        <v>0</v>
      </c>
      <c r="C8241" s="3">
        <v>44537.884548611109</v>
      </c>
      <c r="D8241" s="1" t="s">
        <v>16406</v>
      </c>
      <c r="E8241" s="1" t="str">
        <f ca="1">IFERROR(__xludf.DUMMYFUNCTION("GOOGLETRANSLATE(A5040 , ""tr"" , ""en"")"),"@drfahrettinkoca is still vaccine covalyo ..?")</f>
        <v>@drfahrettinkoca is still vaccine covalyo ..?</v>
      </c>
    </row>
    <row r="8242" spans="1:5" ht="15" customHeight="1" x14ac:dyDescent="0.2">
      <c r="A8242" s="1" t="s">
        <v>16407</v>
      </c>
      <c r="B8242" s="1">
        <v>0</v>
      </c>
      <c r="C8242" s="3">
        <v>44537.880486111113</v>
      </c>
      <c r="D8242" s="1" t="s">
        <v>16408</v>
      </c>
      <c r="E8242" s="1" t="str">
        <f ca="1">IFERROR(__xludf.DUMMYFUNCTION("GOOGLETRANSLATE(A5041 , ""tr"" , ""en"")"),"@drfahrettinkoca @saglikbakanligi This nation causes the evidence of someone who has been lied to this nation for 20 months ... https://t.co/aaorordv88w")</f>
        <v>@drfahrettinkoca @saglikbakanligi This nation causes the evidence of someone who has been lied to this nation for 20 months ... https://t.co/aaorordv88w</v>
      </c>
    </row>
    <row r="8243" spans="1:5" ht="15" customHeight="1" x14ac:dyDescent="0.2">
      <c r="A8243" s="1" t="s">
        <v>16409</v>
      </c>
      <c r="B8243" s="1">
        <v>3</v>
      </c>
      <c r="C8243" s="3">
        <v>44537.880474537036</v>
      </c>
      <c r="D8243" s="1" t="s">
        <v>16410</v>
      </c>
      <c r="E8243" s="1" t="str">
        <f ca="1">IFERROR(__xludf.DUMMYFUNCTION("GOOGLETRANSLATE(A5042 , ""tr"" , ""en"")"),"@drfahrettinkoca shame ya, that's what kind of lying")</f>
        <v>@drfahrettinkoca shame ya, that's what kind of lying</v>
      </c>
    </row>
    <row r="8244" spans="1:5" ht="15" customHeight="1" x14ac:dyDescent="0.2">
      <c r="A8244" s="1" t="s">
        <v>16411</v>
      </c>
      <c r="B8244" s="1">
        <v>0</v>
      </c>
      <c r="C8244" s="3">
        <v>44537.87939814815</v>
      </c>
      <c r="D8244" s="1" t="s">
        <v>16412</v>
      </c>
      <c r="E8244" s="1" t="str">
        <f ca="1">IFERROR(__xludf.DUMMYFUNCTION("GOOGLETRANSLATE(A5043 , ""tr"" , ""en"")"),"@drfahrettinka Mr. Ministry of Prisons Everyone is sick and the process of recovery takes a long time. No ventilation and ... https://t.co/n7ei2zpmnc")</f>
        <v>@drfahrettinka Mr. Ministry of Prisons Everyone is sick and the process of recovery takes a long time. No ventilation and ... https://t.co/n7ei2zpmnc</v>
      </c>
    </row>
    <row r="8245" spans="1:5" ht="15" customHeight="1" x14ac:dyDescent="0.2">
      <c r="A8245" s="1" t="s">
        <v>16413</v>
      </c>
      <c r="B8245" s="1">
        <v>0</v>
      </c>
      <c r="C8245" s="3">
        <v>44537.877314814818</v>
      </c>
      <c r="D8245" s="1" t="s">
        <v>16414</v>
      </c>
      <c r="E8245" s="1" t="str">
        <f ca="1">IFERROR(__xludf.DUMMYFUNCTION("GOOGLETRANSLATE(A5044 , ""tr"" , ""en"")"),"@drfahrettinkoca you allah is the name of the name are Muslims that you are Muslim, you are saying as we saw. Islamic faith ... https://t.co/86jlgpqete")</f>
        <v>@drfahrettinkoca you allah is the name of the name are Muslims that you are Muslim, you are saying as we saw. Islamic faith ... https://t.co/86jlgpqete</v>
      </c>
    </row>
    <row r="8246" spans="1:5" ht="15" customHeight="1" x14ac:dyDescent="0.2">
      <c r="A8246" s="1" t="s">
        <v>16415</v>
      </c>
      <c r="B8246" s="1">
        <v>0</v>
      </c>
      <c r="C8246" s="3">
        <v>44537.876400462963</v>
      </c>
      <c r="D8246" s="1" t="s">
        <v>16416</v>
      </c>
      <c r="E8246" s="1" t="str">
        <f ca="1">IFERROR(__xludf.DUMMYFUNCTION("GOOGLETRANSLATE(A5045 , ""tr"" , ""en"")"),"@drfahrettinkoca @drfahrettinkoca ziyaaaaaaaaaaaaaaaaaaaaaaaaaaa ..... take the measure of the prevention of Europe, look at the nose")</f>
        <v>@drfahrettinkoca @drfahrettinkoca ziyaaaaaaaaaaaaaaaaaaaaaaaaaaa ..... take the measure of the prevention of Europe, look at the nose</v>
      </c>
    </row>
    <row r="8247" spans="1:5" ht="15" customHeight="1" x14ac:dyDescent="0.2">
      <c r="A8247" s="1" t="s">
        <v>16417</v>
      </c>
      <c r="B8247" s="1">
        <v>6</v>
      </c>
      <c r="C8247" s="3">
        <v>44537.875625000001</v>
      </c>
      <c r="D8247" s="1" t="s">
        <v>16418</v>
      </c>
      <c r="E8247" s="1" t="str">
        <f ca="1">IFERROR(__xludf.DUMMYFUNCTION("GOOGLETRANSLATE(A5046 , ""tr"" , ""en"")"),"@drfahrettinkoca trust and you ?? Funny has come ..")</f>
        <v>@drfahrettinkoca trust and you ?? Funny has come ..</v>
      </c>
    </row>
    <row r="8248" spans="1:5" ht="15" customHeight="1" x14ac:dyDescent="0.2">
      <c r="A8248" s="1" t="s">
        <v>16419</v>
      </c>
      <c r="B8248" s="1">
        <v>0</v>
      </c>
      <c r="C8248" s="3">
        <v>44537.875115740739</v>
      </c>
      <c r="D8248" s="1" t="s">
        <v>16420</v>
      </c>
      <c r="E8248" s="1" t="str">
        <f ca="1">IFERROR(__xludf.DUMMYFUNCTION("GOOGLETRANSLATE(A5047 , ""tr"" , ""en"")"),"@drfahrettinkoca Giresun I came from Istanbul to Istanbul, 4 days was the mask installation rate 30% HEPP code You want without querying ... https://t.co/anrh2glgav")</f>
        <v>@drfahrettinkoca Giresun I came from Istanbul to Istanbul, 4 days was the mask installation rate 30% HEPP code You want without querying ... https://t.co/anrh2glgav</v>
      </c>
    </row>
    <row r="8249" spans="1:5" ht="15" customHeight="1" x14ac:dyDescent="0.2">
      <c r="A8249" s="1" t="s">
        <v>16421</v>
      </c>
      <c r="B8249" s="1">
        <v>0</v>
      </c>
      <c r="C8249" s="3">
        <v>44537.875057870369</v>
      </c>
      <c r="D8249" s="1" t="s">
        <v>16422</v>
      </c>
      <c r="E8249" s="1" t="str">
        <f ca="1">IFERROR(__xludf.DUMMYFUNCTION("GOOGLETRANSLATE(A5048 , ""tr"" , ""en"")"),"@drfahrettinka https://t.co/yneruybo5a")</f>
        <v>@drfahrettinka https://t.co/yneruybo5a</v>
      </c>
    </row>
    <row r="8250" spans="1:5" ht="15" customHeight="1" x14ac:dyDescent="0.2">
      <c r="A8250" s="1" t="s">
        <v>16423</v>
      </c>
      <c r="B8250" s="1">
        <v>0</v>
      </c>
      <c r="C8250" s="3">
        <v>44537.875057870369</v>
      </c>
      <c r="D8250" s="1" t="s">
        <v>16424</v>
      </c>
      <c r="E8250" s="1" t="str">
        <f ca="1">IFERROR(__xludf.DUMMYFUNCTION("GOOGLETRANSLATE(A5049 , ""tr"" , ""en"")"),"@drfahrettinka https://t.co/ews3rrI1fj")</f>
        <v>@drfahrettinka https://t.co/ews3rrI1fj</v>
      </c>
    </row>
    <row r="8251" spans="1:5" ht="15" customHeight="1" x14ac:dyDescent="0.2">
      <c r="A8251" s="1" t="s">
        <v>16425</v>
      </c>
      <c r="B8251" s="1">
        <v>1</v>
      </c>
      <c r="C8251" s="3">
        <v>44537.875011574077</v>
      </c>
      <c r="D8251" s="1" t="s">
        <v>16426</v>
      </c>
      <c r="E8251" s="1" t="str">
        <f ca="1">IFERROR(__xludf.DUMMYFUNCTION("GOOGLETRANSLATE(A5050 , ""tr"" , ""en"")"),"@drfahrettinka https://t.co/ji4ovfuey6")</f>
        <v>@drfahrettinka https://t.co/ji4ovfuey6</v>
      </c>
    </row>
    <row r="8252" spans="1:5" ht="15" customHeight="1" x14ac:dyDescent="0.2">
      <c r="A8252" s="1" t="s">
        <v>16427</v>
      </c>
      <c r="B8252" s="1">
        <v>0</v>
      </c>
      <c r="C8252" s="3">
        <v>44537.874803240738</v>
      </c>
      <c r="D8252" s="1" t="s">
        <v>16428</v>
      </c>
      <c r="E8252" s="1" t="str">
        <f ca="1">IFERROR(__xludf.DUMMYFUNCTION("GOOGLETRANSLATE(A5051 , ""tr"" , ""en"")"),"@drfahrettinka https://t.co/ak8qfbmffp")</f>
        <v>@drfahrettinka https://t.co/ak8qfbmffp</v>
      </c>
    </row>
    <row r="8253" spans="1:5" ht="15" customHeight="1" x14ac:dyDescent="0.2">
      <c r="A8253" s="1" t="s">
        <v>16429</v>
      </c>
      <c r="B8253" s="1">
        <v>0</v>
      </c>
      <c r="C8253" s="3">
        <v>44537.874803240738</v>
      </c>
      <c r="D8253" s="1" t="s">
        <v>16430</v>
      </c>
      <c r="E8253" s="1" t="str">
        <f ca="1">IFERROR(__xludf.DUMMYFUNCTION("GOOGLETRANSLATE(A5052 , ""tr"" , ""en"")"),"@drfahrettinka https://t.co/lhnef6rsy0")</f>
        <v>@drfahrettinka https://t.co/lhnef6rsy0</v>
      </c>
    </row>
    <row r="8254" spans="1:5" ht="15" customHeight="1" x14ac:dyDescent="0.2">
      <c r="A8254" s="1" t="s">
        <v>16431</v>
      </c>
      <c r="B8254" s="1">
        <v>0</v>
      </c>
      <c r="C8254" s="3">
        <v>44537.874432870369</v>
      </c>
      <c r="D8254" s="1" t="s">
        <v>16432</v>
      </c>
      <c r="E8254" s="1" t="str">
        <f ca="1">IFERROR(__xludf.DUMMYFUNCTION("GOOGLETRANSLATE(A5053 , ""tr"" , ""en"")"),"@drfahrettinkoca # ZolgesMArgKKAPSAMINGIRSUSSUSMAKKKAPSAMINGIRSE PERSONAL to medicine Synchronism Hear Dolls Now Hear the Volunteer Olara ... https://t.co/5poyiccpdn")</f>
        <v>@drfahrettinkoca # ZolgesMArgKKAPSAMINGIRSUSSUSMAKKKAPSAMINGIRSE PERSONAL to medicine Synchronism Hear Dolls Now Hear the Volunteer Olara ... https://t.co/5poyiccpdn</v>
      </c>
    </row>
    <row r="8255" spans="1:5" ht="15" customHeight="1" x14ac:dyDescent="0.2">
      <c r="A8255" s="1" t="s">
        <v>16433</v>
      </c>
      <c r="B8255" s="1">
        <v>0</v>
      </c>
      <c r="C8255" s="3">
        <v>44537.873541666668</v>
      </c>
      <c r="D8255" s="1" t="s">
        <v>16434</v>
      </c>
      <c r="E8255" s="1" t="str">
        <f ca="1">IFERROR(__xludf.DUMMYFUNCTION("GOOGLETRANSLATE(A5054 , ""tr"" , ""en"")"),"@drfahrettinkoca rebeled those so fahrettin bey, artic lutfen mandatory-making")</f>
        <v>@drfahrettinkoca rebeled those so fahrettin bey, artic lutfen mandatory-making</v>
      </c>
    </row>
    <row r="8256" spans="1:5" ht="15" customHeight="1" x14ac:dyDescent="0.2">
      <c r="A8256" s="1" t="s">
        <v>16435</v>
      </c>
      <c r="B8256" s="1">
        <v>1</v>
      </c>
      <c r="C8256" s="3">
        <v>44537.873078703706</v>
      </c>
      <c r="D8256" s="1" t="s">
        <v>16436</v>
      </c>
      <c r="E8256" s="1" t="str">
        <f ca="1">IFERROR(__xludf.DUMMYFUNCTION("GOOGLETRANSLATE(A5055 , ""tr"" , ""en"")"),"@drfahrettinkoca Ulan How much nozzling people in the hometown are always intensifying the odds Be ol Bitmiyo Mubarakler")</f>
        <v>@drfahrettinkoca Ulan How much nozzling people in the hometown are always intensifying the odds Be ol Bitmiyo Mubarakler</v>
      </c>
    </row>
    <row r="8257" spans="1:5" ht="15" customHeight="1" x14ac:dyDescent="0.2">
      <c r="A8257" s="1" t="s">
        <v>16437</v>
      </c>
      <c r="B8257" s="1">
        <v>0</v>
      </c>
      <c r="C8257" s="3">
        <v>44537.872569444444</v>
      </c>
      <c r="D8257" s="1" t="s">
        <v>16438</v>
      </c>
      <c r="E8257" s="1" t="str">
        <f ca="1">IFERROR(__xludf.DUMMYFUNCTION("GOOGLETRANSLATE(A5056 , ""tr"" , ""en"")"),"@drfahrettinkoca is not a full belasin.ama you are not a good party ... Reis is waiting for you when I'm holding you to the mangi ... https://t.co/kfpevosq9o")</f>
        <v>@drfahrettinkoca is not a full belasin.ama you are not a good party ... Reis is waiting for you when I'm holding you to the mangi ... https://t.co/kfpevosq9o</v>
      </c>
    </row>
    <row r="8258" spans="1:5" ht="15" customHeight="1" x14ac:dyDescent="0.2">
      <c r="A8258" s="1" t="s">
        <v>16439</v>
      </c>
      <c r="B8258" s="1">
        <v>0</v>
      </c>
      <c r="C8258" s="3">
        <v>44537.872164351851</v>
      </c>
      <c r="D8258" s="1" t="s">
        <v>16440</v>
      </c>
      <c r="E8258" s="1" t="str">
        <f ca="1">IFERROR(__xludf.DUMMYFUNCTION("GOOGLETRANSLATE(A5057 , ""tr"" , ""en"")"),"@drfahrettinkoca sma have no sentence about babies no longer reassuring login empty promises these babies ... https://t.co/60ILFBNUQV")</f>
        <v>@drfahrettinkoca sma have no sentence about babies no longer reassuring login empty promises these babies ... https://t.co/60ILFBNUQV</v>
      </c>
    </row>
    <row r="8259" spans="1:5" ht="15" customHeight="1" x14ac:dyDescent="0.2">
      <c r="A8259" s="1" t="s">
        <v>16441</v>
      </c>
      <c r="B8259" s="1">
        <v>0</v>
      </c>
      <c r="C8259" s="3">
        <v>44537.871122685188</v>
      </c>
      <c r="D8259" s="1" t="s">
        <v>16442</v>
      </c>
      <c r="E8259" s="1" t="str">
        <f ca="1">IFERROR(__xludf.DUMMYFUNCTION("GOOGLETRANSLATE(A5058 , ""tr"" , ""en"")"),"@drfahrettinkoca person is written to tell the lie to lie.")</f>
        <v>@drfahrettinkoca person is written to tell the lie to lie.</v>
      </c>
    </row>
    <row r="8260" spans="1:5" ht="15" customHeight="1" x14ac:dyDescent="0.2">
      <c r="A8260" s="1" t="s">
        <v>16443</v>
      </c>
      <c r="B8260" s="1">
        <v>0</v>
      </c>
      <c r="C8260" s="3">
        <v>44537.87090277778</v>
      </c>
      <c r="D8260" s="1" t="s">
        <v>16444</v>
      </c>
      <c r="E8260" s="1" t="str">
        <f ca="1">IFERROR(__xludf.DUMMYFUNCTION("GOOGLETRANSLATE(A5059 , ""tr"" , ""en"")"),"@drfahrettinkoca When you look at the remaining 6 months, you see what you play ... Not the disgusting slaughter games you play ... Boz ... https://t.co/atobıvjxgq")</f>
        <v>@drfahrettinkoca When you look at the remaining 6 months, you see what you play ... Not the disgusting slaughter games you play ... Boz ... https://t.co/atobıvjxgq</v>
      </c>
    </row>
    <row r="8261" spans="1:5" ht="15" customHeight="1" x14ac:dyDescent="0.2">
      <c r="A8261" s="1" t="s">
        <v>16445</v>
      </c>
      <c r="B8261" s="1">
        <v>0</v>
      </c>
      <c r="C8261" s="3">
        <v>44537.870416666665</v>
      </c>
      <c r="D8261" s="1" t="s">
        <v>16446</v>
      </c>
      <c r="E8261" s="1" t="str">
        <f ca="1">IFERROR(__xludf.DUMMYFUNCTION("GOOGLETRANSLATE(A5060 , ""tr"" , ""en"")"),"@drfahrettinkoca Did you get permission while throwing this twetti")</f>
        <v>@drfahrettinkoca Did you get permission while throwing this twetti</v>
      </c>
    </row>
    <row r="8262" spans="1:5" ht="15" customHeight="1" x14ac:dyDescent="0.2">
      <c r="A8262" s="1" t="s">
        <v>16447</v>
      </c>
      <c r="B8262" s="1">
        <v>0</v>
      </c>
      <c r="C8262" s="3">
        <v>44537.870393518519</v>
      </c>
      <c r="D8262" s="1" t="s">
        <v>16448</v>
      </c>
      <c r="E8262" s="1" t="str">
        <f ca="1">IFERROR(__xludf.DUMMYFUNCTION("GOOGLETRANSLATE(A5061 , ""tr"" , ""en"")"),"@drfahrettinkoca Horse Lie Kisswysia. Not much of the quarter's theater if you are adamsan, how many they have never been vaccinated ... https://t.co/hwouqtx8h7")</f>
        <v>@drfahrettinkoca Horse Lie Kisswysia. Not much of the quarter's theater if you are adamsan, how many they have never been vaccinated ... https://t.co/hwouqtx8h7</v>
      </c>
    </row>
    <row r="8263" spans="1:5" ht="15" customHeight="1" x14ac:dyDescent="0.2">
      <c r="A8263" s="1" t="s">
        <v>16449</v>
      </c>
      <c r="B8263" s="1">
        <v>0</v>
      </c>
      <c r="C8263" s="3">
        <v>44537.869733796295</v>
      </c>
      <c r="D8263" s="1" t="s">
        <v>16450</v>
      </c>
      <c r="E8263" s="1" t="str">
        <f ca="1">IFERROR(__xludf.DUMMYFUNCTION("GOOGLETRANSLATE(A5062 , ""tr"" , ""en"")"),"@drfahrettinka https://t.co/frv0qzokwb")</f>
        <v>@drfahrettinka https://t.co/frv0qzokwb</v>
      </c>
    </row>
    <row r="8264" spans="1:5" ht="15" customHeight="1" x14ac:dyDescent="0.2">
      <c r="A8264" s="1" t="s">
        <v>16451</v>
      </c>
      <c r="B8264" s="1">
        <v>0</v>
      </c>
      <c r="C8264" s="3">
        <v>44537.869247685187</v>
      </c>
      <c r="D8264" s="1" t="s">
        <v>16452</v>
      </c>
      <c r="E8264" s="1" t="str">
        <f ca="1">IFERROR(__xludf.DUMMYFUNCTION("GOOGLETRANSLATE(A5063 , ""tr"" , ""en"")"),"@drfahrettinkoca is the first one using the word ""trust"", confidence that trust is not gesturing. Honey de ... https://t.co/f7zzkjzdl6")</f>
        <v>@drfahrettinkoca is the first one using the word "trust", confidence that trust is not gesturing. Honey de ... https://t.co/f7zzkjzdl6</v>
      </c>
    </row>
    <row r="8265" spans="1:5" ht="15" customHeight="1" x14ac:dyDescent="0.2">
      <c r="A8265" s="1" t="s">
        <v>16453</v>
      </c>
      <c r="B8265" s="1">
        <v>0</v>
      </c>
      <c r="C8265" s="3">
        <v>44537.868761574071</v>
      </c>
      <c r="D8265" s="1" t="s">
        <v>16454</v>
      </c>
      <c r="E8265" s="1" t="str">
        <f ca="1">IFERROR(__xludf.DUMMYFUNCTION("GOOGLETRANSLATE(A5064 , ""tr"" , ""en"")"),"@drfahrettinkoca why to save these dolls hard # ZolgesMasgKKAPSAMINGIRSE drugs. Made empty ... https://t.co/eqtoyud2wh")</f>
        <v>@drfahrettinkoca why to save these dolls hard # ZolgesMasgKKAPSAMINGIRSE drugs. Made empty ... https://t.co/eqtoyud2wh</v>
      </c>
    </row>
    <row r="8266" spans="1:5" ht="15" customHeight="1" x14ac:dyDescent="0.2">
      <c r="A8266" s="1" t="s">
        <v>16455</v>
      </c>
      <c r="B8266" s="1">
        <v>0</v>
      </c>
      <c r="C8266" s="3">
        <v>44537.868611111109</v>
      </c>
      <c r="D8266" s="1" t="s">
        <v>16456</v>
      </c>
      <c r="E8266" s="1" t="str">
        <f ca="1">IFERROR(__xludf.DUMMYFUNCTION("GOOGLETRANSLATE(A5065 , ""tr"" , ""en"")"),"@drfahrettinkoca map also map of desserts. Lifestest &amp; amp; 84 le İzmir and Muğla Wells")</f>
        <v>@drfahrettinkoca map also map of desserts. Lifestest &amp; amp; 84 le İzmir and Muğla Wells</v>
      </c>
    </row>
    <row r="8267" spans="1:5" ht="15" customHeight="1" x14ac:dyDescent="0.2">
      <c r="A8267" s="1" t="s">
        <v>16457</v>
      </c>
      <c r="B8267" s="1">
        <v>0</v>
      </c>
      <c r="C8267" s="3">
        <v>44537.86818287037</v>
      </c>
      <c r="D8267" s="1" t="s">
        <v>16458</v>
      </c>
      <c r="E8267" s="1" t="str">
        <f ca="1">IFERROR(__xludf.DUMMYFUNCTION("GOOGLETRANSLATE(A5066 , ""tr"" , ""en"")"),"@drfahrettinkoca SUS for Allah's sake Sus ..")</f>
        <v>@drfahrettinkoca SUS for Allah's sake Sus ..</v>
      </c>
    </row>
    <row r="8268" spans="1:5" ht="15" customHeight="1" x14ac:dyDescent="0.2">
      <c r="A8268" s="1" t="s">
        <v>16459</v>
      </c>
      <c r="B8268" s="1">
        <v>0</v>
      </c>
      <c r="C8268" s="3">
        <v>44537.867951388886</v>
      </c>
      <c r="D8268" s="1" t="s">
        <v>16460</v>
      </c>
      <c r="E8268" s="1" t="str">
        <f ca="1">IFERROR(__xludf.DUMMYFUNCTION("GOOGLETRANSLATE(A5067 , ""tr"" , ""en"")"),"@drfahrettinkoca results are very confident ... https://t.co/vqwwxjj25g")</f>
        <v>@drfahrettinkoca results are very confident ... https://t.co/vqwwxjj25g</v>
      </c>
    </row>
    <row r="8269" spans="1:5" ht="15" customHeight="1" x14ac:dyDescent="0.2">
      <c r="A8269" s="1" t="s">
        <v>16461</v>
      </c>
      <c r="B8269" s="1">
        <v>0</v>
      </c>
      <c r="C8269" s="3">
        <v>44537.861342592594</v>
      </c>
      <c r="D8269" s="1" t="s">
        <v>16462</v>
      </c>
      <c r="E8269" s="1" t="str">
        <f ca="1">IFERROR(__xludf.DUMMYFUNCTION("GOOGLETRANSLATE(A5068 , ""tr"" , ""en"")"),"@drfahrettinka https://t.co/y7wbfiimmw")</f>
        <v>@drfahrettinka https://t.co/y7wbfiimmw</v>
      </c>
    </row>
    <row r="8270" spans="1:5" ht="15" customHeight="1" x14ac:dyDescent="0.2">
      <c r="A8270" s="1" t="s">
        <v>16463</v>
      </c>
      <c r="B8270" s="1">
        <v>0</v>
      </c>
      <c r="C8270" s="3">
        <v>44537.860300925924</v>
      </c>
      <c r="D8270" s="1" t="s">
        <v>16464</v>
      </c>
      <c r="E8270" s="1" t="str">
        <f ca="1">IFERROR(__xludf.DUMMYFUNCTION("GOOGLETRANSLATE(A5069 , ""tr"" , ""en"")"),"@drfahrettinka 3 days close to Turkey")</f>
        <v>@drfahrettinka 3 days close to Turkey</v>
      </c>
    </row>
    <row r="8271" spans="1:5" ht="15" customHeight="1" x14ac:dyDescent="0.2">
      <c r="A8271" s="1" t="s">
        <v>16465</v>
      </c>
      <c r="B8271" s="1">
        <v>0</v>
      </c>
      <c r="C8271" s="3">
        <v>44537.860266203701</v>
      </c>
      <c r="D8271" s="1" t="s">
        <v>16466</v>
      </c>
      <c r="E8271" s="1" t="str">
        <f ca="1">IFERROR(__xludf.DUMMYFUNCTION("GOOGLETRANSLATE(A5070 , ""tr"" , ""en"")"),"@drfahrettinkoca derewww, Derewww, Derewww ... Hasbunallah and Ni'mel Vekekii.")</f>
        <v>@drfahrettinkoca derewww, Derewww, Derewww ... Hasbunallah and Ni'mel Vekekii.</v>
      </c>
    </row>
    <row r="8272" spans="1:5" ht="15" customHeight="1" x14ac:dyDescent="0.2">
      <c r="A8272" s="1" t="s">
        <v>16467</v>
      </c>
      <c r="B8272" s="1">
        <v>1</v>
      </c>
      <c r="C8272" s="3">
        <v>44537.859085648146</v>
      </c>
      <c r="D8272" s="1" t="s">
        <v>16468</v>
      </c>
      <c r="E8272" s="1" t="str">
        <f ca="1">IFERROR(__xludf.DUMMYFUNCTION("GOOGLETRANSLATE(A5071 , ""tr"" , ""en"")"),"@drfahrettinka https://t.co/cplu9jdnth")</f>
        <v>@drfahrettinka https://t.co/cplu9jdnth</v>
      </c>
    </row>
    <row r="8273" spans="1:5" ht="15" customHeight="1" x14ac:dyDescent="0.2">
      <c r="A8273" s="1" t="s">
        <v>16469</v>
      </c>
      <c r="B8273" s="1">
        <v>0</v>
      </c>
      <c r="C8273" s="3">
        <v>44537.858425925922</v>
      </c>
      <c r="D8273" s="1" t="s">
        <v>16470</v>
      </c>
      <c r="E8273" s="1" t="str">
        <f ca="1">IFERROR(__xludf.DUMMYFUNCTION("GOOGLETRANSLATE(A5072 , ""tr"" , ""en"")"),"@drfahrettinka is sufficient anymore, leave the nation, are officially traumatic, you are experiencing!")</f>
        <v>@drfahrettinka is sufficient anymore, leave the nation, are officially traumatic, you are experiencing!</v>
      </c>
    </row>
    <row r="8274" spans="1:5" ht="15" customHeight="1" x14ac:dyDescent="0.2">
      <c r="A8274" s="1" t="s">
        <v>16471</v>
      </c>
      <c r="B8274" s="1">
        <v>0</v>
      </c>
      <c r="C8274" s="3">
        <v>44537.857986111114</v>
      </c>
      <c r="D8274" s="1" t="s">
        <v>16472</v>
      </c>
      <c r="E8274" s="1" t="str">
        <f ca="1">IFERROR(__xludf.DUMMYFUNCTION("GOOGLETRANSLATE(A5073 , ""tr"" , ""en"")"),"@drfahrettinkoca Hani 2. Costs of the dose Crooked ... Soon the same 3. Dose to say to hit the 4th dose ... https://t.co/jwvpfnxueg")</f>
        <v>@drfahrettinkoca Hani 2. Costs of the dose Crooked ... Soon the same 3. Dose to say to hit the 4th dose ... https://t.co/jwvpfnxueg</v>
      </c>
    </row>
    <row r="8275" spans="1:5" ht="15" customHeight="1" x14ac:dyDescent="0.2">
      <c r="A8275" s="1" t="s">
        <v>16473</v>
      </c>
      <c r="B8275" s="1">
        <v>2</v>
      </c>
      <c r="C8275" s="3">
        <v>44537.857719907406</v>
      </c>
      <c r="D8275" s="1" t="s">
        <v>16474</v>
      </c>
      <c r="E8275" s="1" t="str">
        <f ca="1">IFERROR(__xludf.DUMMYFUNCTION("GOOGLETRANSLATE(A5074 , ""tr"" , ""en"")"),"@drfahrettinkoca Heart attack cases increased coincidence manager?")</f>
        <v>@drfahrettinkoca Heart attack cases increased coincidence manager?</v>
      </c>
    </row>
    <row r="8276" spans="1:5" ht="15" customHeight="1" x14ac:dyDescent="0.2">
      <c r="A8276" s="1" t="s">
        <v>16475</v>
      </c>
      <c r="B8276" s="1">
        <v>0</v>
      </c>
      <c r="C8276" s="3">
        <v>44537.856539351851</v>
      </c>
      <c r="D8276" s="1" t="s">
        <v>16476</v>
      </c>
      <c r="E8276" s="1" t="str">
        <f ca="1">IFERROR(__xludf.DUMMYFUNCTION("GOOGLETRANSLATE(A5075 , ""tr"" , ""en"")"),"@drfahrettinka https://t.co/vb8mrjmkkw")</f>
        <v>@drfahrettinka https://t.co/vb8mrjmkkw</v>
      </c>
    </row>
    <row r="8277" spans="1:5" ht="15" customHeight="1" x14ac:dyDescent="0.2">
      <c r="A8277" s="1" t="s">
        <v>16477</v>
      </c>
      <c r="B8277" s="1">
        <v>0</v>
      </c>
      <c r="C8277" s="3">
        <v>44537.855416666665</v>
      </c>
      <c r="D8277" s="1" t="s">
        <v>16478</v>
      </c>
      <c r="E8277" s="1" t="str">
        <f ca="1">IFERROR(__xludf.DUMMYFUNCTION("GOOGLETRANSLATE(A5076 , ""tr"" , ""en"")"),"@drfahrettinkoca Multi-organ insufficiency We explain the reasons for death")</f>
        <v>@drfahrettinkoca Multi-organ insufficiency We explain the reasons for death</v>
      </c>
    </row>
    <row r="8278" spans="1:5" ht="15" customHeight="1" x14ac:dyDescent="0.2">
      <c r="A8278" s="1" t="s">
        <v>16479</v>
      </c>
      <c r="B8278" s="1">
        <v>0</v>
      </c>
      <c r="C8278" s="3">
        <v>44537.853807870371</v>
      </c>
      <c r="D8278" s="1" t="s">
        <v>16480</v>
      </c>
      <c r="E8278" s="1" t="str">
        <f ca="1">IFERROR(__xludf.DUMMYFUNCTION("GOOGLETRANSLATE(A5077 , ""tr"" , ""en"")"),"@drfahrettinkoca I haven't been vaccinated, I spent the disease as well as the drug, I haven't used the medicine, the vaccine is very c ... https://t.co/nyfdztt11i")</f>
        <v>@drfahrettinkoca I haven't been vaccinated, I spent the disease as well as the drug, I haven't used the medicine, the vaccine is very c ... https://t.co/nyfdztt11i</v>
      </c>
    </row>
    <row r="8279" spans="1:5" ht="15" customHeight="1" x14ac:dyDescent="0.2">
      <c r="A8279" s="1" t="s">
        <v>16481</v>
      </c>
      <c r="B8279" s="1">
        <v>0</v>
      </c>
      <c r="C8279" s="3">
        <v>44537.853078703702</v>
      </c>
      <c r="D8279" s="1" t="s">
        <v>16482</v>
      </c>
      <c r="E8279" s="1" t="str">
        <f ca="1">IFERROR(__xludf.DUMMYFUNCTION("GOOGLETRANSLATE(A5078 , ""tr"" , ""en"")"),"@drfahrettinkoca Continue to Brainwash")</f>
        <v>@drfahrettinkoca Continue to Brainwash</v>
      </c>
    </row>
    <row r="8280" spans="1:5" ht="15" customHeight="1" x14ac:dyDescent="0.2">
      <c r="A8280" s="1" t="s">
        <v>16483</v>
      </c>
      <c r="B8280" s="1">
        <v>0</v>
      </c>
      <c r="C8280" s="3">
        <v>44537.852546296293</v>
      </c>
      <c r="D8280" s="1" t="s">
        <v>16484</v>
      </c>
      <c r="E8280" s="1" t="str">
        <f ca="1">IFERROR(__xludf.DUMMYFUNCTION("GOOGLETRANSLATE(A5079 , ""tr"" , ""en"")"),"@drfahrettinkoca morgu also last extra 🤣🤣🤣 https://t.co/dhvbsjgzgb")</f>
        <v>@drfahrettinkoca morgu also last extra 🤣🤣🤣 https://t.co/dhvbsjgzgb</v>
      </c>
    </row>
    <row r="8281" spans="1:5" ht="15" customHeight="1" x14ac:dyDescent="0.2">
      <c r="A8281" s="1" t="s">
        <v>16485</v>
      </c>
      <c r="B8281" s="1">
        <v>0</v>
      </c>
      <c r="C8281" s="3">
        <v>44537.852534722224</v>
      </c>
      <c r="D8281" s="1" t="s">
        <v>16486</v>
      </c>
      <c r="E8281" s="1" t="str">
        <f ca="1">IFERROR(__xludf.DUMMYFUNCTION("GOOGLETRANSLATE(A5080 , ""tr"" , ""en"")"),"@drfahrettinkoca so I'm having trouble understanding, do you try so hard if someone wants to hurt it, you will be sick s ... https://t.co/ed1gtmzvtu")</f>
        <v>@drfahrettinkoca so I'm having trouble understanding, do you try so hard if someone wants to hurt it, you will be sick s ... https://t.co/ed1gtmzvtu</v>
      </c>
    </row>
    <row r="8282" spans="1:5" ht="15" customHeight="1" x14ac:dyDescent="0.2">
      <c r="A8282" s="1" t="s">
        <v>16487</v>
      </c>
      <c r="B8282" s="1">
        <v>0</v>
      </c>
      <c r="C8282" s="3">
        <v>44537.852511574078</v>
      </c>
      <c r="D8282" s="1" t="s">
        <v>16488</v>
      </c>
      <c r="E8282" s="1" t="str">
        <f ca="1">IFERROR(__xludf.DUMMYFUNCTION("GOOGLETRANSLATE(A5081 , ""tr"" , ""en"")"),"@drfahrettinkoca is now everyone's missing grafted husband on Omigron. What do I trust .. We're not going to be a good ...")</f>
        <v>@drfahrettinkoca is now everyone's missing grafted husband on Omigron. What do I trust .. We're not going to be a good ...</v>
      </c>
    </row>
    <row r="8283" spans="1:5" ht="15" customHeight="1" x14ac:dyDescent="0.2">
      <c r="A8283" s="1" t="s">
        <v>16489</v>
      </c>
      <c r="B8283" s="1">
        <v>0</v>
      </c>
      <c r="C8283" s="3">
        <v>44537.848749999997</v>
      </c>
      <c r="D8283" s="1" t="s">
        <v>16490</v>
      </c>
      <c r="E8283" s="1" t="str">
        <f ca="1">IFERROR(__xludf.DUMMYFUNCTION("GOOGLETRANSLATE(A5082 , ""tr"" , ""en"")"),"@drfahrettinkoca Ministry that consumes hopes. Where is the clasum?")</f>
        <v>@drfahrettinkoca Ministry that consumes hopes. Where is the clasum?</v>
      </c>
    </row>
    <row r="8284" spans="1:5" ht="15" customHeight="1" x14ac:dyDescent="0.2">
      <c r="A8284" s="1" t="s">
        <v>16491</v>
      </c>
      <c r="B8284" s="1">
        <v>0</v>
      </c>
      <c r="C8284" s="3">
        <v>44537.847754629627</v>
      </c>
      <c r="D8284" s="1" t="s">
        <v>16492</v>
      </c>
      <c r="E8284" s="1" t="str">
        <f ca="1">IFERROR(__xludf.DUMMYFUNCTION("GOOGLETRANSLATE(A5083 , ""tr"" , ""en"")"),"@drfahrettinka is grafted or non-exhausting all of us will meet this virus. If you are not getting the vaccinator, you will now be caught ... https://t.co/xwqqahgmyx")</f>
        <v>@drfahrettinka is grafted or non-exhausting all of us will meet this virus. If you are not getting the vaccinator, you will now be caught ... https://t.co/xwqqahgmyx</v>
      </c>
    </row>
    <row r="8285" spans="1:5" ht="15" customHeight="1" x14ac:dyDescent="0.2">
      <c r="A8285" s="1" t="s">
        <v>16493</v>
      </c>
      <c r="B8285" s="1">
        <v>0</v>
      </c>
      <c r="C8285" s="3">
        <v>44537.84642361111</v>
      </c>
      <c r="D8285" s="1" t="s">
        <v>16494</v>
      </c>
      <c r="E8285" s="1" t="str">
        <f ca="1">IFERROR(__xludf.DUMMYFUNCTION("GOOGLETRANSLATE(A5084 , ""tr"" , ""en"")"),"@drfahrettinkoca because of a bolum ??? Why don't you have Hic data..what feller statements? Why no data available ?????? ar ... https://t.co/acvdyoehxs")</f>
        <v>@drfahrettinkoca because of a bolum ??? Why don't you have Hic data..what feller statements? Why no data available ?????? ar ... https://t.co/acvdyoehxs</v>
      </c>
    </row>
    <row r="8286" spans="1:5" ht="15" customHeight="1" x14ac:dyDescent="0.2">
      <c r="A8286" s="1" t="s">
        <v>16495</v>
      </c>
      <c r="B8286" s="1">
        <v>1</v>
      </c>
      <c r="C8286" s="3">
        <v>44537.845775462964</v>
      </c>
      <c r="D8286" s="1" t="s">
        <v>16496</v>
      </c>
      <c r="E8286" s="1" t="str">
        <f ca="1">IFERROR(__xludf.DUMMYFUNCTION("GOOGLETRANSLATE(A5085 , ""tr"" , ""en"")"),"@drfahrettinkoca so far 78000 people have passed the people of 78000 people, leaving people to death for the vebali only economy ... https://t.co/dd64czjkvp")</f>
        <v>@drfahrettinkoca so far 78000 people have passed the people of 78000 people, leaving people to death for the vebali only economy ... https://t.co/dd64czjkvp</v>
      </c>
    </row>
    <row r="8287" spans="1:5" ht="15" customHeight="1" x14ac:dyDescent="0.2">
      <c r="A8287" s="1" t="s">
        <v>16497</v>
      </c>
      <c r="B8287" s="1">
        <v>0</v>
      </c>
      <c r="C8287" s="3">
        <v>44537.843888888892</v>
      </c>
      <c r="D8287" s="1" t="s">
        <v>16498</v>
      </c>
      <c r="E8287" s="1" t="str">
        <f ca="1">IFERROR(__xludf.DUMMYFUNCTION("GOOGLETRANSLATE(A5086 , ""tr"" , ""en"")"),"@drfahrettinkoca Kocaeli has been riding a contact folk bus in Kocaeli Sensitive driver is angry and pursuing his safety ... https://t.co/9czdo5lldav")</f>
        <v>@drfahrettinkoca Kocaeli has been riding a contact folk bus in Kocaeli Sensitive driver is angry and pursuing his safety ... https://t.co/9czdo5lldav</v>
      </c>
    </row>
    <row r="8288" spans="1:5" ht="15" customHeight="1" x14ac:dyDescent="0.2">
      <c r="A8288" s="1" t="s">
        <v>16499</v>
      </c>
      <c r="B8288" s="1">
        <v>8</v>
      </c>
      <c r="C8288" s="3">
        <v>44537.843356481484</v>
      </c>
      <c r="D8288" s="1" t="s">
        <v>16500</v>
      </c>
      <c r="E8288" s="1" t="str">
        <f ca="1">IFERROR(__xludf.DUMMYFUNCTION("GOOGLETRANSLATE(A5087 , ""tr"" , ""en"")"),"@drfahrettinkoca Everything you lie on your.")</f>
        <v>@drfahrettinkoca Everything you lie on your.</v>
      </c>
    </row>
    <row r="8289" spans="1:5" ht="15" customHeight="1" x14ac:dyDescent="0.2">
      <c r="A8289" s="1" t="s">
        <v>16501</v>
      </c>
      <c r="B8289" s="1">
        <v>0</v>
      </c>
      <c r="C8289" s="3">
        <v>44537.842939814815</v>
      </c>
      <c r="D8289" s="1" t="s">
        <v>16502</v>
      </c>
      <c r="E8289" s="1" t="str">
        <f ca="1">IFERROR(__xludf.DUMMYFUNCTION("GOOGLETRANSLATE(A5088 , ""tr"" , ""en"")"),"@drfahrettinkoca vaccine what is missing what do you mean, exactly dose up to how many dose. The Hani risk group was 60% grafted. My Ministry ... https://t.co/D5QLTLSI6T")</f>
        <v>@drfahrettinkoca vaccine what is missing what do you mean, exactly dose up to how many dose. The Hani risk group was 60% grafted. My Ministry ... https://t.co/D5QLTLSI6T</v>
      </c>
    </row>
    <row r="8290" spans="1:5" ht="15" customHeight="1" x14ac:dyDescent="0.2">
      <c r="A8290" s="1" t="s">
        <v>16503</v>
      </c>
      <c r="B8290" s="1">
        <v>0</v>
      </c>
      <c r="C8290" s="3">
        <v>44537.841400462959</v>
      </c>
      <c r="D8290" s="1" t="s">
        <v>16504</v>
      </c>
      <c r="E8290" s="1" t="str">
        <f ca="1">IFERROR(__xludf.DUMMYFUNCTION("GOOGLETRANSLATE(A5089 , ""tr"" , ""en"")"),"@drfahrettinkoca #sma li help our kids lutfen..bitsin this is the umbkin artic, which cocugo what drug is ula ... https://t.co/bberbldkyg")</f>
        <v>@drfahrettinkoca #sma li help our kids lutfen..bitsin this is the umbkin artic, which cocugo what drug is ula ... https://t.co/bberbldkyg</v>
      </c>
    </row>
    <row r="8291" spans="1:5" ht="15" customHeight="1" x14ac:dyDescent="0.2">
      <c r="A8291" s="1" t="s">
        <v>16505</v>
      </c>
      <c r="B8291" s="1">
        <v>1</v>
      </c>
      <c r="C8291" s="3">
        <v>44537.840416666666</v>
      </c>
      <c r="D8291" s="1" t="s">
        <v>16506</v>
      </c>
      <c r="E8291" s="1" t="str">
        <f ca="1">IFERROR(__xludf.DUMMYFUNCTION("GOOGLETRANSLATE(A5090 , ""tr"" , ""en"")"),"@drfahrettinkoca has become the country in your number, on the other hand in the other hand on the other hand on the other hand, on the other hand, on the other hand, on the other hand. Https://t.co/6p4bqejdjl")</f>
        <v>@drfahrettinkoca has become the country in your number, on the other hand in the other hand on the other hand on the other hand, on the other hand, on the other hand, on the other hand. Https://t.co/6p4bqejdjl</v>
      </c>
    </row>
    <row r="8292" spans="1:5" ht="15" customHeight="1" x14ac:dyDescent="0.2">
      <c r="A8292" s="1" t="s">
        <v>16507</v>
      </c>
      <c r="B8292" s="1">
        <v>1</v>
      </c>
      <c r="C8292" s="3">
        <v>44537.84</v>
      </c>
      <c r="D8292" s="1" t="s">
        <v>16508</v>
      </c>
      <c r="E8292" s="1" t="str">
        <f ca="1">IFERROR(__xludf.DUMMYFUNCTION("GOOGLETRANSLATE(A5091 , ""tr"" , ""en"")"),"@drfahrettinkoca who is missing the vaccines ... Do not replace the man to the stupid ... Will the flu's vaccine ...?")</f>
        <v>@drfahrettinkoca who is missing the vaccines ... Do not replace the man to the stupid ... Will the flu's vaccine ...?</v>
      </c>
    </row>
    <row r="8293" spans="1:5" ht="15" customHeight="1" x14ac:dyDescent="0.2">
      <c r="A8293" s="1" t="s">
        <v>16509</v>
      </c>
      <c r="B8293" s="1">
        <v>0</v>
      </c>
      <c r="C8293" s="3">
        <v>44537.839814814812</v>
      </c>
      <c r="D8293" s="1" t="s">
        <v>16510</v>
      </c>
      <c r="E8293" s="1" t="str">
        <f ca="1">IFERROR(__xludf.DUMMYFUNCTION("GOOGLETRANSLATE(A5092 , ""tr"" , ""en"")"),"@drfahrettinkoca We don't trust you too")</f>
        <v>@drfahrettinkoca We don't trust you too</v>
      </c>
    </row>
    <row r="8294" spans="1:5" ht="15" customHeight="1" x14ac:dyDescent="0.2">
      <c r="A8294" s="1" t="s">
        <v>16511</v>
      </c>
      <c r="B8294" s="1">
        <v>0</v>
      </c>
      <c r="C8294" s="3">
        <v>44537.83934027778</v>
      </c>
      <c r="D8294" s="1" t="s">
        <v>16512</v>
      </c>
      <c r="E8294" s="1" t="str">
        <f ca="1">IFERROR(__xludf.DUMMYFUNCTION("GOOGLETRANSLATE(A5093 , ""tr"" , ""en"")"),"@drfahrettinkoca Unfortunately we have our Bur trust problem")</f>
        <v>@drfahrettinkoca Unfortunately we have our Bur trust problem</v>
      </c>
    </row>
    <row r="8295" spans="1:5" ht="15" customHeight="1" x14ac:dyDescent="0.2">
      <c r="A8295" s="1" t="s">
        <v>16513</v>
      </c>
      <c r="B8295" s="1">
        <v>0</v>
      </c>
      <c r="C8295" s="3">
        <v>44537.839143518519</v>
      </c>
      <c r="D8295" s="1" t="s">
        <v>16514</v>
      </c>
      <c r="E8295" s="1" t="str">
        <f ca="1">IFERROR(__xludf.DUMMYFUNCTION("GOOGLETRANSLATE(A5094 , ""tr"" , ""en"")"),"Will @drfahrettinkoca daily test count and number of cases is believed to the number of healing counts? Vaccines Faz1faz2faz3 ... https://t.co/ihsn2j7fkr")</f>
        <v>Will @drfahrettinkoca daily test count and number of cases is believed to the number of healing counts? Vaccines Faz1faz2faz3 ... https://t.co/ihsn2j7fkr</v>
      </c>
    </row>
    <row r="8296" spans="1:5" ht="15" customHeight="1" x14ac:dyDescent="0.2">
      <c r="A8296" s="1" t="s">
        <v>16515</v>
      </c>
      <c r="B8296" s="1">
        <v>0</v>
      </c>
      <c r="C8296" s="3">
        <v>44537.83865740741</v>
      </c>
      <c r="D8296" s="1" t="s">
        <v>16516</v>
      </c>
      <c r="E8296" s="1" t="str">
        <f ca="1">IFERROR(__xludf.DUMMYFUNCTION("GOOGLETRANSLATE(A5095 , ""tr"" , ""en"")"),"@drfahrettinkoca 😅😂")</f>
        <v>@drfahrettinkoca 😅😂</v>
      </c>
    </row>
    <row r="8297" spans="1:5" ht="15" customHeight="1" x14ac:dyDescent="0.2">
      <c r="A8297" s="1" t="s">
        <v>16517</v>
      </c>
      <c r="B8297" s="1">
        <v>0</v>
      </c>
      <c r="C8297" s="3">
        <v>44537.836759259262</v>
      </c>
      <c r="D8297" s="1" t="s">
        <v>16518</v>
      </c>
      <c r="E8297" s="1" t="str">
        <f ca="1">IFERROR(__xludf.DUMMYFUNCTION("GOOGLETRANSLATE(A5096 , ""tr"" , ""en"")"),"@drfahrettinkoca I wish you weren't looking for")</f>
        <v>@drfahrettinkoca I wish you weren't looking for</v>
      </c>
    </row>
    <row r="8298" spans="1:5" ht="15" customHeight="1" x14ac:dyDescent="0.2">
      <c r="A8298" s="1" t="s">
        <v>16519</v>
      </c>
      <c r="B8298" s="1">
        <v>8</v>
      </c>
      <c r="C8298" s="3">
        <v>44537.83662037037</v>
      </c>
      <c r="D8298" s="1" t="s">
        <v>16520</v>
      </c>
      <c r="E8298" s="1" t="str">
        <f ca="1">IFERROR(__xludf.DUMMYFUNCTION("GOOGLETRANSLATE(A5097 , ""tr"" , ""en"")"),"If you have @drfahrettinkoca Describe the document lets believe you are no longer able to you and what they don't believe in Covid-19 disease ... https://t.co/n2ghqsqe7k")</f>
        <v>If you have @drfahrettinkoca Describe the document lets believe you are no longer able to you and what they don't believe in Covid-19 disease ... https://t.co/n2ghqsqe7k</v>
      </c>
    </row>
    <row r="8299" spans="1:5" ht="15" customHeight="1" x14ac:dyDescent="0.2">
      <c r="A8299" s="1" t="s">
        <v>16521</v>
      </c>
      <c r="B8299" s="1">
        <v>0</v>
      </c>
      <c r="C8299" s="3">
        <v>44537.836238425924</v>
      </c>
      <c r="D8299" s="1" t="s">
        <v>16522</v>
      </c>
      <c r="E8299" s="1" t="str">
        <f ca="1">IFERROR(__xludf.DUMMYFUNCTION("GOOGLETRANSLATE(A5098 , ""tr"" , ""en"")"),"@drfahrettinkoca 2 + 2 surplus I've been in Munich I did the two-week-week influenza over the month of the month of the month ... https://t.co/nlctv4f0cv")</f>
        <v>@drfahrettinkoca 2 + 2 surplus I've been in Munich I did the two-week-week influenza over the month of the month of the month ... https://t.co/nlctv4f0cv</v>
      </c>
    </row>
    <row r="8300" spans="1:5" ht="15" customHeight="1" x14ac:dyDescent="0.2">
      <c r="A8300" s="1" t="s">
        <v>16523</v>
      </c>
      <c r="B8300" s="1">
        <v>1</v>
      </c>
      <c r="C8300" s="3">
        <v>44537.836226851854</v>
      </c>
      <c r="D8300" s="1" t="s">
        <v>16524</v>
      </c>
      <c r="E8300" s="1" t="str">
        <f ca="1">IFERROR(__xludf.DUMMYFUNCTION("GOOGLETRANSLATE(A5099 , ""tr"" , ""en"")"),"@drfahrettinkoca kids have people who have been able to make vaccination are still in comments. Not as believed either")</f>
        <v>@drfahrettinkoca kids have people who have been able to make vaccination are still in comments. Not as believed either</v>
      </c>
    </row>
    <row r="8301" spans="1:5" ht="15" customHeight="1" x14ac:dyDescent="0.2">
      <c r="A8301" s="1" t="s">
        <v>16525</v>
      </c>
      <c r="B8301" s="1">
        <v>0</v>
      </c>
      <c r="C8301" s="3">
        <v>44537.835740740738</v>
      </c>
      <c r="D8301" s="1" t="s">
        <v>16526</v>
      </c>
      <c r="E8301" s="1" t="str">
        <f ca="1">IFERROR(__xludf.DUMMYFUNCTION("GOOGLETRANSLATE(A5100 , ""tr"" , ""en"")"),"@drfahrettinkoca :)) Like the broken plaque, amazed. ""Missing vaccines"" :))")</f>
        <v>@drfahrettinkoca :)) Like the broken plaque, amazed. "Missing vaccines" :))</v>
      </c>
    </row>
    <row r="8302" spans="1:5" ht="15" customHeight="1" x14ac:dyDescent="0.2">
      <c r="A8302" s="1" t="s">
        <v>16527</v>
      </c>
      <c r="B8302" s="1">
        <v>3</v>
      </c>
      <c r="C8302" s="3">
        <v>44537.834791666668</v>
      </c>
      <c r="D8302" s="1" t="s">
        <v>16528</v>
      </c>
      <c r="E8302" s="1" t="str">
        <f ca="1">IFERROR(__xludf.DUMMYFUNCTION("GOOGLETRANSLATE(A5101 , ""tr"" , ""en"")"),"@drfahrettinkoca I don't trust you zerre. I don't believe shared data in my country. Department of Health PlanTemi ... https://t.co/gr0sbzrqs4")</f>
        <v>@drfahrettinkoca I don't trust you zerre. I don't believe shared data in my country. Department of Health PlanTemi ... https://t.co/gr0sbzrqs4</v>
      </c>
    </row>
    <row r="8303" spans="1:5" ht="15" customHeight="1" x14ac:dyDescent="0.2">
      <c r="A8303" s="1" t="s">
        <v>16529</v>
      </c>
      <c r="B8303" s="1">
        <v>1</v>
      </c>
      <c r="C8303" s="3">
        <v>44537.833877314813</v>
      </c>
      <c r="D8303" s="1" t="s">
        <v>16530</v>
      </c>
      <c r="E8303" s="1" t="str">
        <f ca="1">IFERROR(__xludf.DUMMYFUNCTION("GOOGLETRANSLATE(A5102 , ""tr"" , ""en"")"),"@drfahrettinkoca tiny tiny clots?")</f>
        <v>@drfahrettinkoca tiny tiny clots?</v>
      </c>
    </row>
    <row r="8304" spans="1:5" ht="15" customHeight="1" x14ac:dyDescent="0.2">
      <c r="A8304" s="1" t="s">
        <v>16531</v>
      </c>
      <c r="B8304" s="1">
        <v>0</v>
      </c>
      <c r="C8304" s="3">
        <v>44537.832685185182</v>
      </c>
      <c r="D8304" s="1" t="s">
        <v>16532</v>
      </c>
      <c r="E8304" s="1" t="str">
        <f ca="1">IFERROR(__xludf.DUMMYFUNCTION("GOOGLETRANSLATE(A5103 , ""tr"" , ""en"")"),"@drfahrettinka children in school are closing the disease and contaminate them in the house. You are still not in your health that I still ignore the health.")</f>
        <v>@drfahrettinka children in school are closing the disease and contaminate them in the house. You are still not in your health that I still ignore the health.</v>
      </c>
    </row>
    <row r="8305" spans="1:5" ht="15" customHeight="1" x14ac:dyDescent="0.2">
      <c r="A8305" s="1" t="s">
        <v>16533</v>
      </c>
      <c r="B8305" s="1">
        <v>0</v>
      </c>
      <c r="C8305" s="3">
        <v>44537.83252314815</v>
      </c>
      <c r="D8305" s="1" t="s">
        <v>16534</v>
      </c>
      <c r="E8305" s="1" t="str">
        <f ca="1">IFERROR(__xludf.DUMMYFUNCTION("GOOGLETRANSLATE(A5104 , ""tr"" , ""en"")"),"@drfahrettinkoca guests !! Said to you!")</f>
        <v>@drfahrettinkoca guests !! Said to you!</v>
      </c>
    </row>
    <row r="8306" spans="1:5" ht="15" customHeight="1" x14ac:dyDescent="0.2">
      <c r="A8306" s="1" t="s">
        <v>16535</v>
      </c>
      <c r="B8306" s="1">
        <v>2</v>
      </c>
      <c r="C8306" s="3">
        <v>44537.831493055557</v>
      </c>
      <c r="D8306" s="1" t="s">
        <v>16536</v>
      </c>
      <c r="E8306" s="1" t="str">
        <f ca="1">IFERROR(__xludf.DUMMYFUNCTION("GOOGLETRANSLATE(A5105 , ""tr"" , ""en"")"),"@drfahrettinkoca If you have a little merigment you have quit you don't have confidence in your a word you are unfortunately occupying the seat of people's seat")</f>
        <v>@drfahrettinkoca If you have a little merigment you have quit you don't have confidence in your a word you are unfortunately occupying the seat of people's seat</v>
      </c>
    </row>
    <row r="8307" spans="1:5" ht="15" customHeight="1" x14ac:dyDescent="0.2">
      <c r="A8307" s="1" t="s">
        <v>16537</v>
      </c>
      <c r="B8307" s="1">
        <v>0</v>
      </c>
      <c r="C8307" s="3">
        <v>44537.831145833334</v>
      </c>
      <c r="D8307" s="1" t="s">
        <v>16538</v>
      </c>
      <c r="E8307" s="1" t="str">
        <f ca="1">IFERROR(__xludf.DUMMYFUNCTION("GOOGLETRANSLATE(A5106 , ""tr"" , ""en"")"),"@drfahrettinkoca ahahahha is to trust you? 🤣🤣🤣")</f>
        <v>@drfahrettinkoca ahahahha is to trust you? 🤣🤣🤣</v>
      </c>
    </row>
    <row r="8308" spans="1:5" ht="15" customHeight="1" x14ac:dyDescent="0.2">
      <c r="A8308" s="1" t="s">
        <v>16539</v>
      </c>
      <c r="B8308" s="1">
        <v>0</v>
      </c>
      <c r="C8308" s="3">
        <v>44537.83053240741</v>
      </c>
      <c r="D8308" s="1" t="s">
        <v>16540</v>
      </c>
      <c r="E8308" s="1" t="str">
        <f ca="1">IFERROR(__xludf.DUMMYFUNCTION("GOOGLETRANSLATE(A5107 , ""tr"" , ""en"")"),"@drfahrettinkoca is now online !!!")</f>
        <v>@drfahrettinkoca is now online !!!</v>
      </c>
    </row>
    <row r="8309" spans="1:5" ht="15" customHeight="1" x14ac:dyDescent="0.2">
      <c r="A8309" s="1" t="s">
        <v>16541</v>
      </c>
      <c r="B8309" s="1">
        <v>2</v>
      </c>
      <c r="C8309" s="3">
        <v>44537.830150462964</v>
      </c>
      <c r="D8309" s="1" t="s">
        <v>16542</v>
      </c>
      <c r="E8309" s="1" t="str">
        <f ca="1">IFERROR(__xludf.DUMMYFUNCTION("GOOGLETRANSLATE(A5108 , ""tr"" , ""en"")"),"@drfahrettinkoca Mr. Mr. The facing vaccine and treatment is that you can always say such things in peace of mind when there is so many shops")</f>
        <v>@drfahrettinkoca Mr. Mr. The facing vaccine and treatment is that you can always say such things in peace of mind when there is so many shops</v>
      </c>
    </row>
    <row r="8310" spans="1:5" ht="15" customHeight="1" x14ac:dyDescent="0.2">
      <c r="A8310" s="1" t="s">
        <v>16543</v>
      </c>
      <c r="B8310" s="1">
        <v>3</v>
      </c>
      <c r="C8310" s="3">
        <v>44537.829918981479</v>
      </c>
      <c r="D8310" s="1" t="s">
        <v>16544</v>
      </c>
      <c r="E8310" s="1" t="str">
        <f ca="1">IFERROR(__xludf.DUMMYFUNCTION("GOOGLETRANSLATE(A5109 , ""tr"" , ""en"")"),"@drfahrettinkoca quit your vaccine on your vaccine we don't want to https://t.co/uhtmjnhvdu")</f>
        <v>@drfahrettinkoca quit your vaccine on your vaccine we don't want to https://t.co/uhtmjnhvdu</v>
      </c>
    </row>
    <row r="8311" spans="1:5" ht="15" customHeight="1" x14ac:dyDescent="0.2">
      <c r="A8311" s="1" t="s">
        <v>16545</v>
      </c>
      <c r="B8311" s="1">
        <v>0</v>
      </c>
      <c r="C8311" s="3">
        <v>44537.828738425924</v>
      </c>
      <c r="D8311" s="1" t="s">
        <v>16546</v>
      </c>
      <c r="E8311" s="1" t="str">
        <f ca="1">IFERROR(__xludf.DUMMYFUNCTION("GOOGLETRANSLATE(A5110 , ""tr"" , ""en"")"),"@drfahrettinkoca still try to try to keep alive! The folks are not hungry, but the house is just worth the need ... https://t.co/5nyuk8ueov")</f>
        <v>@drfahrettinkoca still try to try to keep alive! The folks are not hungry, but the house is just worth the need ... https://t.co/5nyuk8ueov</v>
      </c>
    </row>
    <row r="8312" spans="1:5" ht="15" customHeight="1" x14ac:dyDescent="0.2">
      <c r="A8312" s="1" t="s">
        <v>16547</v>
      </c>
      <c r="B8312" s="1">
        <v>0</v>
      </c>
      <c r="C8312" s="3">
        <v>44537.828229166669</v>
      </c>
      <c r="D8312" s="1" t="s">
        <v>16548</v>
      </c>
      <c r="E8312" s="1" t="str">
        <f ca="1">IFERROR(__xludf.DUMMYFUNCTION("GOOGLETRANSLATE(A5111 , ""tr"" , ""en"")"),"@drfahrettinkoca This is also an assertion number no data no analysis no analysis no few missually what time is the missing dose slightly jumping ... https ://t.co/4akxbsf4ry")</f>
        <v>@drfahrettinkoca This is also an assertion number no data no analysis no analysis no few missually what time is the missing dose slightly jumping ... https ://t.co/4akxbsf4ry</v>
      </c>
    </row>
    <row r="8313" spans="1:5" ht="15" customHeight="1" x14ac:dyDescent="0.2">
      <c r="A8313" s="1" t="s">
        <v>16549</v>
      </c>
      <c r="B8313" s="1">
        <v>0</v>
      </c>
      <c r="C8313" s="3">
        <v>44537.827881944446</v>
      </c>
      <c r="D8313" s="1" t="s">
        <v>16550</v>
      </c>
      <c r="E8313" s="1" t="str">
        <f ca="1">IFERROR(__xludf.DUMMYFUNCTION("GOOGLETRANSLATE(A5112 , ""tr"" , ""en"")"),"@drfahrettinka didn't seem up to commas in the past 24 hours big camia Mr. Minister We've stayed at each other in one another")</f>
        <v>@drfahrettinka didn't seem up to commas in the past 24 hours big camia Mr. Minister We've stayed at each other in one another</v>
      </c>
    </row>
    <row r="8314" spans="1:5" ht="15" customHeight="1" x14ac:dyDescent="0.2">
      <c r="A8314" s="1" t="s">
        <v>16551</v>
      </c>
      <c r="B8314" s="1">
        <v>1</v>
      </c>
      <c r="C8314" s="3">
        <v>44537.827222222222</v>
      </c>
      <c r="D8314" s="1" t="s">
        <v>16552</v>
      </c>
      <c r="E8314" s="1" t="str">
        <f ca="1">IFERROR(__xludf.DUMMYFUNCTION("GOOGLETRANSLATE(A5113 , ""tr"" , ""en"")"),"@drfahrettinkoca We do not trust any guide or data on the Turkish nation !!!")</f>
        <v>@drfahrettinkoca We do not trust any guide or data on the Turkish nation !!!</v>
      </c>
    </row>
    <row r="8315" spans="1:5" ht="15" customHeight="1" x14ac:dyDescent="0.2">
      <c r="A8315" s="1" t="s">
        <v>16553</v>
      </c>
      <c r="B8315" s="1">
        <v>0</v>
      </c>
      <c r="C8315" s="3">
        <v>44537.827013888891</v>
      </c>
      <c r="D8315" s="1" t="s">
        <v>16554</v>
      </c>
      <c r="E8315" s="1" t="str">
        <f ca="1">IFERROR(__xludf.DUMMYFUNCTION("GOOGLETRANSLATE(A5114 , ""tr"" , ""en"")"),"@drfahrettinkoca whose idea is no matter who's thoughts. Year 2 is both oconomic and filthy ... https://t.co/t4cfjk6kxm")</f>
        <v>@drfahrettinkoca whose idea is no matter who's thoughts. Year 2 is both oconomic and filthy ... https://t.co/t4cfjk6kxm</v>
      </c>
    </row>
    <row r="8316" spans="1:5" ht="15" customHeight="1" x14ac:dyDescent="0.2">
      <c r="A8316" s="1" t="s">
        <v>16555</v>
      </c>
      <c r="B8316" s="1">
        <v>1</v>
      </c>
      <c r="C8316" s="3">
        <v>44537.826550925929</v>
      </c>
      <c r="D8316" s="1" t="s">
        <v>16556</v>
      </c>
      <c r="E8316" s="1" t="str">
        <f ca="1">IFERROR(__xludf.DUMMYFUNCTION("GOOGLETRANSLATE(A5115 , ""tr"" , ""en"")"),"@drfahrettinkoca in no period of history This saint folks are so stupid that is not so stupid I think of the nation ... https://t.co/ml9gkkfgmh")</f>
        <v>@drfahrettinkoca in no period of history This saint folks are so stupid that is not so stupid I think of the nation ... https://t.co/ml9gkkfgmh</v>
      </c>
    </row>
    <row r="8317" spans="1:5" ht="15" customHeight="1" x14ac:dyDescent="0.2">
      <c r="A8317" s="1" t="s">
        <v>16557</v>
      </c>
      <c r="B8317" s="1">
        <v>0</v>
      </c>
      <c r="C8317" s="3">
        <v>44537.824421296296</v>
      </c>
      <c r="D8317" s="1" t="s">
        <v>16558</v>
      </c>
      <c r="E8317" s="1" t="str">
        <f ca="1">IFERROR(__xludf.DUMMYFUNCTION("GOOGLETRANSLATE(A5116 , ""tr"" , ""en"")"),"@drfahrettinkoca minnacular clots are not also important")</f>
        <v>@drfahrettinkoca minnacular clots are not also important</v>
      </c>
    </row>
    <row r="8318" spans="1:5" ht="15" customHeight="1" x14ac:dyDescent="0.2">
      <c r="A8318" s="1" t="s">
        <v>16559</v>
      </c>
      <c r="B8318" s="1">
        <v>0</v>
      </c>
      <c r="C8318" s="3">
        <v>44537.823969907404</v>
      </c>
      <c r="D8318" s="1" t="s">
        <v>16560</v>
      </c>
      <c r="E8318" s="1" t="str">
        <f ca="1">IFERROR(__xludf.DUMMYFUNCTION("GOOGLETRANSLATE(A5117 , ""tr"" , ""en"")"),"@drfahrettinkoca What are the results of 10 months left behind. I don't ever see anything in the interior.")</f>
        <v>@drfahrettinkoca What are the results of 10 months left behind. I don't ever see anything in the interior.</v>
      </c>
    </row>
    <row r="8319" spans="1:5" ht="15" customHeight="1" x14ac:dyDescent="0.2">
      <c r="A8319" s="1" t="s">
        <v>16561</v>
      </c>
      <c r="B8319" s="1">
        <v>0</v>
      </c>
      <c r="C8319" s="3">
        <v>44537.822905092595</v>
      </c>
      <c r="D8319" s="1" t="s">
        <v>16562</v>
      </c>
      <c r="E8319" s="1" t="str">
        <f ca="1">IFERROR(__xludf.DUMMYFUNCTION("GOOGLETRANSLATE(A5118 , ""tr"" , ""en"")"),"@drfahrettinkoca Round Speaking Stop Leading Master. Give the numbers clearly. How many of hospitals and dies ... https://t.co/rteu4hcq7x")</f>
        <v>@drfahrettinkoca Round Speaking Stop Leading Master. Give the numbers clearly. How many of hospitals and dies ... https://t.co/rteu4hcq7x</v>
      </c>
    </row>
    <row r="8320" spans="1:5" ht="15" customHeight="1" x14ac:dyDescent="0.2">
      <c r="A8320" s="1" t="s">
        <v>16563</v>
      </c>
      <c r="B8320" s="1">
        <v>0</v>
      </c>
      <c r="C8320" s="3">
        <v>44537.822743055556</v>
      </c>
      <c r="D8320" s="1" t="s">
        <v>16564</v>
      </c>
      <c r="E8320" s="1" t="str">
        <f ca="1">IFERROR(__xludf.DUMMYFUNCTION("GOOGLETRANSLATE(A5119 , ""tr"" , ""en"")"),"@drfahrettinkoca lie.")</f>
        <v>@drfahrettinkoca lie.</v>
      </c>
    </row>
    <row r="8321" spans="1:5" ht="15" customHeight="1" x14ac:dyDescent="0.2">
      <c r="A8321" s="1" t="s">
        <v>16565</v>
      </c>
      <c r="B8321" s="1">
        <v>0</v>
      </c>
      <c r="C8321" s="3">
        <v>44537.822453703702</v>
      </c>
      <c r="D8321" s="1" t="s">
        <v>16566</v>
      </c>
      <c r="E8321" s="1" t="str">
        <f ca="1">IFERROR(__xludf.DUMMYFUNCTION("GOOGLETRANSLATE(A5120 , ""tr"" , ""en"")"),"@drfahrettinkoca If you don't publish one correct statistics correctly but you say that the neighboring uncle advice would be")</f>
        <v>@drfahrettinkoca If you don't publish one correct statistics correctly but you say that the neighboring uncle advice would be</v>
      </c>
    </row>
    <row r="8322" spans="1:5" ht="15" customHeight="1" x14ac:dyDescent="0.2">
      <c r="A8322" s="1" t="s">
        <v>16567</v>
      </c>
      <c r="B8322" s="1">
        <v>0</v>
      </c>
      <c r="C8322" s="3">
        <v>44537.820162037038</v>
      </c>
      <c r="D8322" s="1" t="s">
        <v>16568</v>
      </c>
      <c r="E8322" s="1" t="str">
        <f ca="1">IFERROR(__xludf.DUMMYFUNCTION("GOOGLETRANSLATE(A5121 , ""tr"" , ""en"")"),"@drfahrettinkoca our strength left. @Rterdogan @drfahrettinkoca @halis_aygun # cbonaylakocağıma")</f>
        <v>@drfahrettinkoca our strength left. @Rterdogan @drfahrettinkoca @halis_aygun # cbonaylakocağıma</v>
      </c>
    </row>
    <row r="8323" spans="1:5" ht="15" customHeight="1" x14ac:dyDescent="0.2">
      <c r="A8323" s="1" t="s">
        <v>16569</v>
      </c>
      <c r="B8323" s="1">
        <v>0</v>
      </c>
      <c r="C8323" s="3">
        <v>44537.820104166669</v>
      </c>
      <c r="D8323" s="1" t="s">
        <v>16570</v>
      </c>
      <c r="E8323" s="1" t="str">
        <f ca="1">IFERROR(__xludf.DUMMYFUNCTION("GOOGLETRANSLATE(A5122 , ""tr"" , ""en"")"),"@drfahrettinka # 7 December 2020 No vaccine! Number of tests: 196.902 Cases: 32.137 Number of patients: 6,420 Death: 203 7 Range ... https://t.co/tzv06ZIZHN")</f>
        <v>@drfahrettinka # 7 December 2020 No vaccine! Number of tests: 196.902 Cases: 32.137 Number of patients: 6,420 Death: 203 7 Range ... https://t.co/tzv06ZIZHN</v>
      </c>
    </row>
    <row r="8324" spans="1:5" ht="15" customHeight="1" x14ac:dyDescent="0.2">
      <c r="A8324" s="1" t="s">
        <v>16571</v>
      </c>
      <c r="B8324" s="1">
        <v>0</v>
      </c>
      <c r="C8324" s="3">
        <v>44537.819756944446</v>
      </c>
      <c r="D8324" s="1" t="s">
        <v>16572</v>
      </c>
      <c r="E8324" s="1" t="str">
        <f ca="1">IFERROR(__xludf.DUMMYFUNCTION("GOOGLETRANSLATE(A5123 , ""tr"" , ""en"")"),"@drfahrettinkoca @rterdogan @drfahrettinkoca @halis_aygun # cbonaylakochage")</f>
        <v>@drfahrettinkoca @rterdogan @drfahrettinkoca @halis_aygun # cbonaylakochage</v>
      </c>
    </row>
    <row r="8325" spans="1:5" ht="15" customHeight="1" x14ac:dyDescent="0.2">
      <c r="A8325" s="1" t="s">
        <v>16573</v>
      </c>
      <c r="B8325" s="1">
        <v>0</v>
      </c>
      <c r="C8325" s="3">
        <v>44537.818530092591</v>
      </c>
      <c r="D8325" s="1" t="s">
        <v>16574</v>
      </c>
      <c r="E8325" s="1" t="str">
        <f ca="1">IFERROR(__xludf.DUMMYFUNCTION("GOOGLETRANSLATE(A5124 , ""tr"" , ""en"")"),"@drfahrettinkoca How to get to know 3 needles")</f>
        <v>@drfahrettinkoca How to get to know 3 needles</v>
      </c>
    </row>
    <row r="8326" spans="1:5" ht="15" customHeight="1" x14ac:dyDescent="0.2">
      <c r="A8326" s="1" t="s">
        <v>16575</v>
      </c>
      <c r="B8326" s="1">
        <v>0</v>
      </c>
      <c r="C8326" s="3">
        <v>44537.818356481483</v>
      </c>
      <c r="D8326" s="1" t="s">
        <v>16576</v>
      </c>
      <c r="E8326" s="1" t="str">
        <f ca="1">IFERROR(__xludf.DUMMYFUNCTION("GOOGLETRANSLATE(A5125 , ""tr"" , ""en"")"),"@drfahrettinka is sufficient anymore most important thing time and you have stolen our life. Bi Guide is waiting for 1 year to be published. No vote Moys to you")</f>
        <v>@drfahrettinka is sufficient anymore most important thing time and you have stolen our life. Bi Guide is waiting for 1 year to be published. No vote Moys to you</v>
      </c>
    </row>
    <row r="8327" spans="1:5" ht="15" customHeight="1" x14ac:dyDescent="0.2">
      <c r="A8327" s="1" t="s">
        <v>16577</v>
      </c>
      <c r="B8327" s="1">
        <v>0</v>
      </c>
      <c r="C8327" s="3">
        <v>44537.816747685189</v>
      </c>
      <c r="D8327" s="1" t="s">
        <v>16578</v>
      </c>
      <c r="E8327" s="1" t="str">
        <f ca="1">IFERROR(__xludf.DUMMYFUNCTION("GOOGLETRANSLATE(A5126 , ""tr"" , ""en"")"),"@drfahrettinkoca we know they know they are lying they know they know they are lying are bi ... https://t.co/so0fzjw7fx")</f>
        <v>@drfahrettinkoca we know they know they are lying they know they know they are lying are bi ... https://t.co/so0fzjw7fx</v>
      </c>
    </row>
    <row r="8328" spans="1:5" ht="15" customHeight="1" x14ac:dyDescent="0.2">
      <c r="A8328" s="1" t="s">
        <v>16579</v>
      </c>
      <c r="B8328" s="1">
        <v>0</v>
      </c>
      <c r="C8328" s="3">
        <v>44537.816435185188</v>
      </c>
      <c r="D8328" s="1" t="s">
        <v>16580</v>
      </c>
      <c r="E8328" s="1" t="str">
        <f ca="1">IFERROR(__xludf.DUMMYFUNCTION("GOOGLETRANSLATE(A5127 , ""tr"" , ""en"")"),"@drfahrettinkoca is not vaccinated with the suggestion how will you solve the problem? Other i in indoor environments other i ... https://t.co/sv7f3xIwjb")</f>
        <v>@drfahrettinkoca is not vaccinated with the suggestion how will you solve the problem? Other i in indoor environments other i ... https://t.co/sv7f3xIwjb</v>
      </c>
    </row>
    <row r="8329" spans="1:5" ht="15" customHeight="1" x14ac:dyDescent="0.2">
      <c r="A8329" s="1" t="s">
        <v>16581</v>
      </c>
      <c r="B8329" s="1">
        <v>1</v>
      </c>
      <c r="C8329" s="3">
        <v>44537.816342592596</v>
      </c>
      <c r="D8329" s="1" t="s">
        <v>16582</v>
      </c>
      <c r="E8329" s="1" t="str">
        <f ca="1">IFERROR(__xludf.DUMMYFUNCTION("GOOGLETRANSLATE(A5128 , ""tr"" , ""en"")"),"@drfahrettinkoca allah you still vaccine in love is the vaccine that you say vaccines first five days contacted and you are released to the street ... https://t.co/g24odqb0h6")</f>
        <v>@drfahrettinkoca allah you still vaccine in love is the vaccine that you say vaccines first five days contacted and you are released to the street ... https://t.co/g24odqb0h6</v>
      </c>
    </row>
    <row r="8330" spans="1:5" ht="15" customHeight="1" x14ac:dyDescent="0.2">
      <c r="A8330" s="1" t="s">
        <v>16583</v>
      </c>
      <c r="B8330" s="1">
        <v>1</v>
      </c>
      <c r="C8330" s="3">
        <v>44537.814803240741</v>
      </c>
      <c r="D8330" s="1" t="s">
        <v>16584</v>
      </c>
      <c r="E8330" s="1" t="str">
        <f ca="1">IFERROR(__xludf.DUMMYFUNCTION("GOOGLETRANSLATE(A5129 , ""tr"" , ""en"")"),"@drfahrettinkoca are these data correct? If true, the vaccine does not work either. https://t.co/ckjrluk2m7")</f>
        <v>@drfahrettinkoca are these data correct? If true, the vaccine does not work either. https://t.co/ckjrluk2m7</v>
      </c>
    </row>
    <row r="8331" spans="1:5" ht="15" customHeight="1" x14ac:dyDescent="0.2">
      <c r="A8331" s="1" t="s">
        <v>16585</v>
      </c>
      <c r="B8331" s="1">
        <v>0</v>
      </c>
      <c r="C8331" s="3">
        <v>44537.812395833331</v>
      </c>
      <c r="D8331" s="1" t="s">
        <v>16586</v>
      </c>
      <c r="E8331" s="1" t="str">
        <f ca="1">IFERROR(__xludf.DUMMYFUNCTION("GOOGLETRANSLATE(A5130 , ""tr"" , ""en"")"),"@drfahrettinkoca grafts are spending the disease from becoming a thesis that is undergoing a thesis ... my asenan aorta anevrisiz ...")</f>
        <v>@drfahrettinkoca grafts are spending the disease from becoming a thesis that is undergoing a thesis ... my asenan aorta anevrisiz ...</v>
      </c>
    </row>
    <row r="8332" spans="1:5" ht="15" customHeight="1" x14ac:dyDescent="0.2">
      <c r="A8332" s="1" t="s">
        <v>16587</v>
      </c>
      <c r="B8332" s="1">
        <v>0</v>
      </c>
      <c r="C8332" s="3">
        <v>44537.811805555553</v>
      </c>
      <c r="D8332" s="1" t="s">
        <v>16588</v>
      </c>
      <c r="E8332" s="1" t="str">
        <f ca="1">IFERROR(__xludf.DUMMYFUNCTION("GOOGLETRANSLATE(A5131 , ""tr"" , ""en"")"),"@drfahrettinkoca what did you say")</f>
        <v>@drfahrettinkoca what did you say</v>
      </c>
    </row>
    <row r="8333" spans="1:5" ht="15" customHeight="1" x14ac:dyDescent="0.2">
      <c r="A8333" s="1" t="s">
        <v>16589</v>
      </c>
      <c r="B8333" s="1">
        <v>1</v>
      </c>
      <c r="C8333" s="3">
        <v>44537.811678240738</v>
      </c>
      <c r="D8333" s="1" t="s">
        <v>16590</v>
      </c>
      <c r="E8333" s="1" t="str">
        <f ca="1">IFERROR(__xludf.DUMMYFUNCTION("GOOGLETRANSLATE(A5132 , ""tr"" , ""en"")"),"@drfahrettinkoca You are sitting at all you are sitting lying If you are talking about your heart If your heart is opposite the vaccination ... https://t.co/my3zkahflu")</f>
        <v>@drfahrettinkoca You are sitting at all you are sitting lying If you are talking about your heart If your heart is opposite the vaccination ... https://t.co/my3zkahflu</v>
      </c>
    </row>
    <row r="8334" spans="1:5" ht="15" customHeight="1" x14ac:dyDescent="0.2">
      <c r="A8334" s="1" t="s">
        <v>16591</v>
      </c>
      <c r="B8334" s="1">
        <v>0</v>
      </c>
      <c r="C8334" s="3">
        <v>44537.811469907407</v>
      </c>
      <c r="D8334" s="1" t="s">
        <v>16592</v>
      </c>
      <c r="E8334" s="1" t="str">
        <f ca="1">IFERROR(__xludf.DUMMYFUNCTION("GOOGLETRANSLATE(A5133 , ""tr"" , ""en"")"),"@drfahrettinka Mr. Minister I'm staying in Yurtaa Everyone is sick but not testing and 90 percent kovid c ... https://t.co/pcrjwwnbc6")</f>
        <v>@drfahrettinka Mr. Minister I'm staying in Yurtaa Everyone is sick but not testing and 90 percent kovid c ... https://t.co/pcrjwwnbc6</v>
      </c>
    </row>
    <row r="8335" spans="1:5" ht="15" customHeight="1" x14ac:dyDescent="0.2">
      <c r="A8335" s="1" t="s">
        <v>16593</v>
      </c>
      <c r="B8335" s="1">
        <v>4</v>
      </c>
      <c r="C8335" s="3">
        <v>44537.810590277775</v>
      </c>
      <c r="D8335" s="1" t="s">
        <v>16594</v>
      </c>
      <c r="E8335" s="1" t="str">
        <f ca="1">IFERROR(__xludf.DUMMYFUNCTION("GOOGLETRANSLATE(A5134 , ""tr"" , ""en"")"),"@drfahrettinka you are right 3 dose of synovak + pneumatic vaccine Babam Coronan's 11th day in Adana City Hospital Zo ... https://t.co/uxpbiplsdo")</f>
        <v>@drfahrettinka you are right 3 dose of synovak + pneumatic vaccine Babam Coronan's 11th day in Adana City Hospital Zo ... https://t.co/uxpbiplsdo</v>
      </c>
    </row>
    <row r="8336" spans="1:5" ht="15" customHeight="1" x14ac:dyDescent="0.2">
      <c r="A8336" s="1" t="s">
        <v>16595</v>
      </c>
      <c r="B8336" s="1">
        <v>0</v>
      </c>
      <c r="C8336" s="3">
        <v>44537.808680555558</v>
      </c>
      <c r="D8336" s="1" t="s">
        <v>16596</v>
      </c>
      <c r="E8336" s="1" t="str">
        <f ca="1">IFERROR(__xludf.DUMMYFUNCTION("GOOGLETRANSLATE(A5135 , ""tr"" , ""en"")"),"@drfahrettinkocaR The Ministry of Ministry is not a buyer for other health department technicians waiting for the assignment. Te ... https://t.co/up2sezk2h9")</f>
        <v>@drfahrettinkocaR The Ministry of Ministry is not a buyer for other health department technicians waiting for the assignment. Te ... https://t.co/up2sezk2h9</v>
      </c>
    </row>
    <row r="8337" spans="1:5" ht="15" customHeight="1" x14ac:dyDescent="0.2">
      <c r="A8337" s="1" t="s">
        <v>16597</v>
      </c>
      <c r="B8337" s="1">
        <v>1</v>
      </c>
      <c r="C8337" s="3">
        <v>44537.808645833335</v>
      </c>
      <c r="D8337" s="1" t="s">
        <v>16598</v>
      </c>
      <c r="E8337" s="1" t="str">
        <f ca="1">IFERROR(__xludf.DUMMYFUNCTION("GOOGLETRANSLATE(A5136 , ""tr"" , ""en"")"),"@drfahrettinka Mr. Minister is a little conscience of human dignity to the people who are against the vaccine ... https://t.co/ohgytz0zt9")</f>
        <v>@drfahrettinka Mr. Minister is a little conscience of human dignity to the people who are against the vaccine ... https://t.co/ohgytz0zt9</v>
      </c>
    </row>
    <row r="8338" spans="1:5" ht="15" customHeight="1" x14ac:dyDescent="0.2">
      <c r="A8338" s="1" t="s">
        <v>16599</v>
      </c>
      <c r="B8338" s="1">
        <v>0</v>
      </c>
      <c r="C8338" s="3">
        <v>44537.807291666664</v>
      </c>
      <c r="D8338" s="1" t="s">
        <v>16600</v>
      </c>
      <c r="E8338" s="1" t="str">
        <f ca="1">IFERROR(__xludf.DUMMYFUNCTION("GOOGLETRANSLATE(A5137 , ""tr"" , ""en"")"),"@drfahrettinkoca husband is a lie ...")</f>
        <v>@drfahrettinkoca husband is a lie ...</v>
      </c>
    </row>
    <row r="8339" spans="1:5" ht="15" customHeight="1" x14ac:dyDescent="0.2">
      <c r="A8339" s="1" t="s">
        <v>16601</v>
      </c>
      <c r="B8339" s="1">
        <v>0</v>
      </c>
      <c r="C8339" s="3">
        <v>44537.806689814817</v>
      </c>
      <c r="D8339" s="1" t="s">
        <v>16602</v>
      </c>
      <c r="E8339" s="1" t="str">
        <f ca="1">IFERROR(__xludf.DUMMYFUNCTION("GOOGLETRANSLATE(A5138 , ""tr"" , ""en"")"),"@drfahrettinka Mr. Minister; Say clearly. Share the daily numbers of the provinces of the case numbers daily ... https://t.co/i9zvcg8vkg")</f>
        <v>@drfahrettinka Mr. Minister; Say clearly. Share the daily numbers of the provinces of the case numbers daily ... https://t.co/i9zvcg8vkg</v>
      </c>
    </row>
    <row r="8340" spans="1:5" ht="15" customHeight="1" x14ac:dyDescent="0.2">
      <c r="A8340" s="1" t="s">
        <v>16603</v>
      </c>
      <c r="B8340" s="1">
        <v>0</v>
      </c>
      <c r="C8340" s="3">
        <v>44537.805648148147</v>
      </c>
      <c r="D8340" s="1" t="s">
        <v>16604</v>
      </c>
      <c r="E8340" s="1" t="str">
        <f ca="1">IFERROR(__xludf.DUMMYFUNCTION("GOOGLETRANSLATE(A5139 , ""tr"" , ""en"")"),"@drfahrettinkoca where is this folks that do not believe you")</f>
        <v>@drfahrettinkoca where is this folks that do not believe you</v>
      </c>
    </row>
    <row r="8341" spans="1:5" ht="15" customHeight="1" x14ac:dyDescent="0.2">
      <c r="A8341" s="1" t="s">
        <v>16605</v>
      </c>
      <c r="B8341" s="1">
        <v>1</v>
      </c>
      <c r="C8341" s="3">
        <v>44537.805636574078</v>
      </c>
      <c r="D8341" s="1" t="s">
        <v>16606</v>
      </c>
      <c r="E8341" s="1" t="str">
        <f ca="1">IFERROR(__xludf.DUMMYFUNCTION("GOOGLETRANSLATE(A5140 , ""tr"" , ""en"")"),"@drfahrettinka https://t.co/Izv2zrea7i")</f>
        <v>@drfahrettinka https://t.co/Izv2zrea7i</v>
      </c>
    </row>
    <row r="8342" spans="1:5" ht="15" customHeight="1" x14ac:dyDescent="0.2">
      <c r="A8342" s="1" t="s">
        <v>16607</v>
      </c>
      <c r="B8342" s="1">
        <v>0</v>
      </c>
      <c r="C8342" s="3">
        <v>44537.804803240739</v>
      </c>
      <c r="D8342" s="1" t="s">
        <v>16608</v>
      </c>
      <c r="E8342" s="1" t="str">
        <f ca="1">IFERROR(__xludf.DUMMYFUNCTION("GOOGLETRANSLATE(A5141 , ""tr"" , ""en"")"),"@drfahrettinkoca you will not be reliable as long as you explain the individual data on the individual data instead of explaining")</f>
        <v>@drfahrettinkoca you will not be reliable as long as you explain the individual data on the individual data instead of explaining</v>
      </c>
    </row>
    <row r="8343" spans="1:5" ht="15" customHeight="1" x14ac:dyDescent="0.2">
      <c r="A8343" s="1" t="s">
        <v>16609</v>
      </c>
      <c r="B8343" s="1">
        <v>0</v>
      </c>
      <c r="C8343" s="3">
        <v>44537.804768518516</v>
      </c>
      <c r="D8343" s="1" t="s">
        <v>16610</v>
      </c>
      <c r="E8343" s="1" t="str">
        <f ca="1">IFERROR(__xludf.DUMMYFUNCTION("GOOGLETRANSLATE(A5142 , ""tr"" , ""en"")"),"@drfahrettinkoca we no longer believe in your word. Leave the lies. Stop doing tests also ends in the epidemic. ... https://t.co/ftbpvezdef")</f>
        <v>@drfahrettinkoca we no longer believe in your word. Leave the lies. Stop doing tests also ends in the epidemic. ... https://t.co/ftbpvezdef</v>
      </c>
    </row>
    <row r="8344" spans="1:5" ht="15" customHeight="1" x14ac:dyDescent="0.2">
      <c r="A8344" s="1" t="s">
        <v>16611</v>
      </c>
      <c r="B8344" s="1">
        <v>5</v>
      </c>
      <c r="C8344" s="3">
        <v>44537.804583333331</v>
      </c>
      <c r="D8344" s="1" t="s">
        <v>16612</v>
      </c>
      <c r="E8344" s="1" t="str">
        <f ca="1">IFERROR(__xludf.DUMMYFUNCTION("GOOGLETRANSLATE(A5143 , ""tr"" , ""en"")"),"@drfahrettinka We want online training # kabineuzaktanılitimsart")</f>
        <v>@drfahrettinka We want online training # kabineuzaktanılitimsart</v>
      </c>
    </row>
    <row r="8345" spans="1:5" ht="15" customHeight="1" x14ac:dyDescent="0.2">
      <c r="A8345" s="1" t="s">
        <v>16613</v>
      </c>
      <c r="B8345" s="1">
        <v>0</v>
      </c>
      <c r="C8345" s="3">
        <v>44537.804351851853</v>
      </c>
      <c r="D8345" s="1" t="s">
        <v>16614</v>
      </c>
      <c r="E8345" s="1" t="str">
        <f ca="1">IFERROR(__xludf.DUMMYFUNCTION("GOOGLETRANSLATE(A5144 , ""tr"" , ""en"")"),"@drfahrettinka vaccine post ""clot"", heart crises and heart muscle inflammations Minister of Napicaz Syn?")</f>
        <v>@drfahrettinka vaccine post "clot", heart crises and heart muscle inflammations Minister of Napicaz Syn?</v>
      </c>
    </row>
    <row r="8346" spans="1:5" ht="15" customHeight="1" x14ac:dyDescent="0.2">
      <c r="A8346" s="1" t="s">
        <v>16615</v>
      </c>
      <c r="B8346" s="1">
        <v>0</v>
      </c>
      <c r="C8346" s="3">
        <v>44537.80369212963</v>
      </c>
      <c r="D8346" s="1" t="s">
        <v>16616</v>
      </c>
      <c r="E8346" s="1" t="str">
        <f ca="1">IFERROR(__xludf.DUMMYFUNCTION("GOOGLETRANSLATE(A5145 , ""tr"" , ""en"")"),"@drfahrettinkoca What do you expect to switch to remote training # Kabineuzakaktanevitimşart")</f>
        <v>@drfahrettinkoca What do you expect to switch to remote training # Kabineuzakaktanevitimşart</v>
      </c>
    </row>
    <row r="8347" spans="1:5" ht="15" customHeight="1" x14ac:dyDescent="0.2">
      <c r="A8347" s="1" t="s">
        <v>16617</v>
      </c>
      <c r="B8347" s="1">
        <v>0</v>
      </c>
      <c r="C8347" s="3">
        <v>44537.803287037037</v>
      </c>
      <c r="D8347" s="1" t="s">
        <v>16618</v>
      </c>
      <c r="E8347" s="1" t="str">
        <f ca="1">IFERROR(__xludf.DUMMYFUNCTION("GOOGLETRANSLATE(A5146 , ""tr"" , ""en"")"),"@drfahrettinka online education we want to hear our voice")</f>
        <v>@drfahrettinka online education we want to hear our voice</v>
      </c>
    </row>
    <row r="8348" spans="1:5" ht="15" customHeight="1" x14ac:dyDescent="0.2">
      <c r="A8348" s="1" t="s">
        <v>16619</v>
      </c>
      <c r="B8348" s="1">
        <v>0</v>
      </c>
      <c r="C8348" s="3">
        <v>44537.803124999999</v>
      </c>
      <c r="D8348" s="1" t="s">
        <v>16620</v>
      </c>
      <c r="E8348" s="1" t="str">
        <f ca="1">IFERROR(__xludf.DUMMYFUNCTION("GOOGLETRANSLATE(A5147 , ""tr"" , ""en"")"),"@drfahrettinkoca we want online")</f>
        <v>@drfahrettinkoca we want online</v>
      </c>
    </row>
    <row r="8349" spans="1:5" ht="15" customHeight="1" x14ac:dyDescent="0.2">
      <c r="A8349" s="1" t="s">
        <v>16621</v>
      </c>
      <c r="B8349" s="1">
        <v>32</v>
      </c>
      <c r="C8349" s="3">
        <v>44537.802534722221</v>
      </c>
      <c r="D8349" s="1" t="s">
        <v>16622</v>
      </c>
      <c r="E8349" s="1" t="str">
        <f ca="1">IFERROR(__xludf.DUMMYFUNCTION("GOOGLETRANSLATE(A5148 , ""tr"" , ""en"")"),"@drfahrettinkoca What are you talking about the result of? Liquid ones live in shortness of breath, intubates, heart crisis ge ... https://t.co/bw1nghhtjn")</f>
        <v>@drfahrettinkoca What are you talking about the result of? Liquid ones live in shortness of breath, intubates, heart crisis ge ... https://t.co/bw1nghhtjn</v>
      </c>
    </row>
    <row r="8350" spans="1:5" ht="15" customHeight="1" x14ac:dyDescent="0.2">
      <c r="A8350" s="1" t="s">
        <v>14239</v>
      </c>
      <c r="B8350" s="1">
        <v>0</v>
      </c>
      <c r="C8350" s="3">
        <v>44537.802465277775</v>
      </c>
      <c r="D8350" s="1" t="s">
        <v>16623</v>
      </c>
      <c r="E8350" s="1" t="str">
        <f ca="1">IFERROR(__xludf.DUMMYFUNCTION("GOOGLETRANSLATE(A5149 , ""tr"" , ""en"")"),"@drfahrettinka https://t.co/l9FIJIJLFR")</f>
        <v>@drfahrettinka https://t.co/l9FIJIJLFR</v>
      </c>
    </row>
    <row r="8351" spans="1:5" ht="15" customHeight="1" x14ac:dyDescent="0.2">
      <c r="A8351" s="1" t="s">
        <v>16624</v>
      </c>
      <c r="B8351" s="1">
        <v>0</v>
      </c>
      <c r="C8351" s="3">
        <v>44537.801446759258</v>
      </c>
      <c r="D8351" s="1" t="s">
        <v>16625</v>
      </c>
      <c r="E8351" s="1" t="str">
        <f ca="1">IFERROR(__xludf.DUMMYFUNCTION("GOOGLETRANSLATE(A5150 , ""tr"" , ""en"")"),"@drfahrettinkoca @saglikbakanligi I'm on the 12th day of the quarantine I'm positive in my partner then repeatedly quarantine ... https://t.co/fp0hpqydqs")</f>
        <v>@drfahrettinkoca @saglikbakanligi I'm on the 12th day of the quarantine I'm positive in my partner then repeatedly quarantine ... https://t.co/fp0hpqydqs</v>
      </c>
    </row>
    <row r="8352" spans="1:5" ht="15" customHeight="1" x14ac:dyDescent="0.2">
      <c r="A8352" s="1" t="s">
        <v>16626</v>
      </c>
      <c r="B8352" s="1">
        <v>0</v>
      </c>
      <c r="C8352" s="3">
        <v>44537.80127314815</v>
      </c>
      <c r="D8352" s="1" t="s">
        <v>16627</v>
      </c>
      <c r="E8352" s="1" t="str">
        <f ca="1">IFERROR(__xludf.DUMMYFUNCTION("GOOGLETRANSLATE(A5151 , ""tr"" , ""en"")"),"@drfahrettinka minister guide where we were in the us here")</f>
        <v>@drfahrettinka minister guide where we were in the us here</v>
      </c>
    </row>
    <row r="8353" spans="1:5" ht="15" customHeight="1" x14ac:dyDescent="0.2">
      <c r="A8353" s="1" t="s">
        <v>16628</v>
      </c>
      <c r="B8353" s="1">
        <v>0</v>
      </c>
      <c r="C8353" s="3">
        <v>44537.801006944443</v>
      </c>
      <c r="D8353" s="1" t="s">
        <v>16629</v>
      </c>
      <c r="E8353" s="1" t="str">
        <f ca="1">IFERROR(__xludf.DUMMYFUNCTION("GOOGLETRANSLATE(A5152 , ""tr"" , ""en"")"),"@drfahrettinkoca is a situation I've learned today. Our Neighbor's Neighbor is in his own yog. And OLA along with him ... https://t.co/IIMJH9S3QZ")</f>
        <v>@drfahrettinkoca is a situation I've learned today. Our Neighbor's Neighbor is in his own yog. And OLA along with him ... https://t.co/IIMJH9S3QZ</v>
      </c>
    </row>
    <row r="8354" spans="1:5" ht="15" customHeight="1" x14ac:dyDescent="0.2">
      <c r="A8354" s="1" t="s">
        <v>16630</v>
      </c>
      <c r="B8354" s="1">
        <v>0</v>
      </c>
      <c r="C8354" s="3">
        <v>44537.800787037035</v>
      </c>
      <c r="D8354" s="1" t="s">
        <v>16631</v>
      </c>
      <c r="E8354" s="1" t="str">
        <f ca="1">IFERROR(__xludf.DUMMYFUNCTION("GOOGLETRANSLATE(A5153 , ""tr"" , ""en"")"),"@drfahrettinka vaccine vaccine vaccine. Is there no other disease in this hometown? 99 u vaccine from 100 tweets you throw. Once ... https://t.co/lh1hkfakn1")</f>
        <v>@drfahrettinka vaccine vaccine vaccine. Is there no other disease in this hometown? 99 u vaccine from 100 tweets you throw. Once ... https://t.co/lh1hkfakn1</v>
      </c>
    </row>
    <row r="8355" spans="1:5" ht="15" customHeight="1" x14ac:dyDescent="0.2">
      <c r="A8355" s="1" t="s">
        <v>16632</v>
      </c>
      <c r="B8355" s="1">
        <v>5</v>
      </c>
      <c r="C8355" s="3">
        <v>44537.799907407411</v>
      </c>
      <c r="D8355" s="1" t="s">
        <v>16633</v>
      </c>
      <c r="E8355" s="1" t="str">
        <f ca="1">IFERROR(__xludf.DUMMYFUNCTION("GOOGLETRANSLATE(A5154 , ""tr"" , ""en"")"),"@drfahrettinkoca Omikron Country Country Call says to wandering 😏, countries or even non-cities roaming vaccine ... https://t.co/x9rstr0l9y")</f>
        <v>@drfahrettinkoca Omikron Country Country Call says to wandering 😏, countries or even non-cities roaming vaccine ... https://t.co/x9rstr0l9y</v>
      </c>
    </row>
    <row r="8356" spans="1:5" ht="15" customHeight="1" x14ac:dyDescent="0.2">
      <c r="A8356" s="1" t="s">
        <v>16634</v>
      </c>
      <c r="B8356" s="1">
        <v>0</v>
      </c>
      <c r="C8356" s="3">
        <v>44537.799849537034</v>
      </c>
      <c r="D8356" s="1" t="s">
        <v>16635</v>
      </c>
      <c r="E8356" s="1" t="str">
        <f ca="1">IFERROR(__xludf.DUMMYFUNCTION("GOOGLETRANSLATE(A5155 , ""tr"" , ""en"")"),"@drfahrettinkoca Lutffen Artik Online Education Come when the time came")</f>
        <v>@drfahrettinkoca Lutffen Artik Online Education Come when the time came</v>
      </c>
    </row>
    <row r="8357" spans="1:5" ht="15" customHeight="1" x14ac:dyDescent="0.2">
      <c r="A8357" s="1" t="s">
        <v>16636</v>
      </c>
      <c r="B8357" s="1">
        <v>0</v>
      </c>
      <c r="C8357" s="3">
        <v>44537.799710648149</v>
      </c>
      <c r="D8357" s="1" t="s">
        <v>16637</v>
      </c>
      <c r="E8357" s="1" t="str">
        <f ca="1">IFERROR(__xludf.DUMMYFUNCTION("GOOGLETRANSLATE(A5156 , ""tr"" , ""en"")"),"@drfahrettinkoca schools close prohibitions should come back old ones are dying")</f>
        <v>@drfahrettinkoca schools close prohibitions should come back old ones are dying</v>
      </c>
    </row>
    <row r="8358" spans="1:5" ht="15" customHeight="1" x14ac:dyDescent="0.2">
      <c r="A8358" s="1" t="s">
        <v>16638</v>
      </c>
      <c r="B8358" s="1">
        <v>0</v>
      </c>
      <c r="C8358" s="3">
        <v>44537.799490740741</v>
      </c>
      <c r="D8358" s="1" t="s">
        <v>16639</v>
      </c>
      <c r="E8358" s="1" t="str">
        <f ca="1">IFERROR(__xludf.DUMMYFUNCTION("GOOGLETRANSLATE(A5157 , ""tr"" , ""en"")"),"@drfahrettinka you don't have a vaccine in the virus that mutated from the so-called mutation of how a gaff is bilmiyo ... https://t.co/jbu3mx3v9f")</f>
        <v>@drfahrettinka you don't have a vaccine in the virus that mutated from the so-called mutation of how a gaff is bilmiyo ... https://t.co/jbu3mx3v9f</v>
      </c>
    </row>
    <row r="8359" spans="1:5" ht="15" customHeight="1" x14ac:dyDescent="0.2">
      <c r="A8359" s="1" t="s">
        <v>16640</v>
      </c>
      <c r="B8359" s="1">
        <v>0</v>
      </c>
      <c r="C8359" s="3">
        <v>44537.798935185187</v>
      </c>
      <c r="D8359" s="1" t="s">
        <v>16641</v>
      </c>
      <c r="E8359" s="1" t="str">
        <f ca="1">IFERROR(__xludf.DUMMYFUNCTION("GOOGLETRANSLATE(A5158 , ""tr"" , ""en"")"),"@drfahrettinkoca vaccines are missing those who are missing two dosing")</f>
        <v>@drfahrettinkoca vaccines are missing those who are missing two dosing</v>
      </c>
    </row>
    <row r="8360" spans="1:5" ht="15" customHeight="1" x14ac:dyDescent="0.2">
      <c r="A8360" s="1" t="s">
        <v>16642</v>
      </c>
      <c r="B8360" s="1">
        <v>0</v>
      </c>
      <c r="C8360" s="3">
        <v>44537.798877314817</v>
      </c>
      <c r="D8360" s="1" t="s">
        <v>16643</v>
      </c>
      <c r="E8360" s="1" t="str">
        <f ca="1">IFERROR(__xludf.DUMMYFUNCTION("GOOGLETRANSLATE(A5159 , ""tr"" , ""en"")"),"@drfahrettinkoca Ministry Mu you forgot something I wonder if the guide still hasn't arrived 😐")</f>
        <v>@drfahrettinkoca Ministry Mu you forgot something I wonder if the guide still hasn't arrived 😐</v>
      </c>
    </row>
    <row r="8361" spans="1:5" ht="15" customHeight="1" x14ac:dyDescent="0.2">
      <c r="A8361" s="1" t="s">
        <v>16644</v>
      </c>
      <c r="B8361" s="1">
        <v>0</v>
      </c>
      <c r="C8361" s="3">
        <v>44537.798842592594</v>
      </c>
      <c r="D8361" s="1" t="s">
        <v>16645</v>
      </c>
      <c r="E8361" s="1" t="str">
        <f ca="1">IFERROR(__xludf.DUMMYFUNCTION("GOOGLETRANSLATE(A5160 , ""tr"" , ""en"")"),"@drfahrettinkoca Emergency Help Ben Selim Tahir Terzioğlu 05352315642")</f>
        <v>@drfahrettinkoca Emergency Help Ben Selim Tahir Terzioğlu 05352315642</v>
      </c>
    </row>
    <row r="8362" spans="1:5" ht="15" customHeight="1" x14ac:dyDescent="0.2">
      <c r="A8362" s="1" t="s">
        <v>16646</v>
      </c>
      <c r="B8362" s="1">
        <v>1</v>
      </c>
      <c r="C8362" s="3">
        <v>44537.798414351855</v>
      </c>
      <c r="D8362" s="1" t="s">
        <v>16647</v>
      </c>
      <c r="E8362" s="1" t="str">
        <f ca="1">IFERROR(__xludf.DUMMYFUNCTION("GOOGLETRANSLATE(A5161 , ""tr"" , ""en"")"),"@drfahrettinkoca Dear Ministry 101 Years of Ananem Patient Uncomfortable Patient Unable to Hospital ... https://t.co/1ktdvrsckn")</f>
        <v>@drfahrettinkoca Dear Ministry 101 Years of Ananem Patient Uncomfortable Patient Unable to Hospital ... https://t.co/1ktdvrsckn</v>
      </c>
    </row>
    <row r="8363" spans="1:5" ht="15" customHeight="1" x14ac:dyDescent="0.2">
      <c r="A8363" s="1" t="s">
        <v>16648</v>
      </c>
      <c r="B8363" s="1">
        <v>0</v>
      </c>
      <c r="C8363" s="3">
        <v>44537.797905092593</v>
      </c>
      <c r="D8363" s="1" t="s">
        <v>16649</v>
      </c>
      <c r="E8363" s="1" t="str">
        <f ca="1">IFERROR(__xludf.DUMMYFUNCTION("GOOGLETRANSLATE(A5162 , ""tr"" , ""en"")"),"@drfahrettinkoca @drtolgatolunay staff If there is no vaccination there is no hospital computing HBYS staff Subcontracting law victim")</f>
        <v>@drfahrettinkoca @drtolgatolunay staff If there is no vaccination there is no hospital computing HBYS staff Subcontracting law victim</v>
      </c>
    </row>
    <row r="8364" spans="1:5" ht="15" customHeight="1" x14ac:dyDescent="0.2">
      <c r="A8364" s="1" t="s">
        <v>16650</v>
      </c>
      <c r="B8364" s="1">
        <v>0</v>
      </c>
      <c r="C8364" s="3">
        <v>44537.797627314816</v>
      </c>
      <c r="D8364" s="1" t="s">
        <v>16651</v>
      </c>
      <c r="E8364" s="1" t="str">
        <f ca="1">IFERROR(__xludf.DUMMYFUNCTION("GOOGLETRANSLATE(A5163 , ""tr"" , ""en"")"),"@drfahrettinkoca vaccine was spent lightly spent in intensive care vaccination missing those missing what do you say more how many dose vaccines ... https://t.co/bokpbf6wsr")</f>
        <v>@drfahrettinkoca vaccine was spent lightly spent in intensive care vaccination missing those missing what do you say more how many dose vaccines ... https://t.co/bokpbf6wsr</v>
      </c>
    </row>
    <row r="8365" spans="1:5" ht="15" customHeight="1" x14ac:dyDescent="0.2">
      <c r="A8365" s="1" t="s">
        <v>16652</v>
      </c>
      <c r="B8365" s="1">
        <v>4</v>
      </c>
      <c r="C8365" s="3">
        <v>44537.797256944446</v>
      </c>
      <c r="D8365" s="1" t="s">
        <v>16653</v>
      </c>
      <c r="E8365" s="1" t="str">
        <f ca="1">IFERROR(__xludf.DUMMYFUNCTION("GOOGLETRANSLATE(A5164 , ""tr"" , ""en"")"),"@drfahrettinkoca lie table still explained")</f>
        <v>@drfahrettinkoca lie table still explained</v>
      </c>
    </row>
    <row r="8366" spans="1:5" ht="15" customHeight="1" x14ac:dyDescent="0.2">
      <c r="A8366" s="1" t="s">
        <v>16654</v>
      </c>
      <c r="B8366" s="1">
        <v>0</v>
      </c>
      <c r="C8366" s="3">
        <v>44537.796400462961</v>
      </c>
      <c r="D8366" s="1" t="s">
        <v>16655</v>
      </c>
      <c r="E8366" s="1" t="str">
        <f ca="1">IFERROR(__xludf.DUMMYFUNCTION("GOOGLETRANSLATE(A5165 , ""tr"" , ""en"")"),"@drfahrettinkoca pity you get it bi turn on your mouth and don't say that the guide you didn't say this day. Why B ... https://t.co/q6bd1u7uqe")</f>
        <v>@drfahrettinkoca pity you get it bi turn on your mouth and don't say that the guide you didn't say this day. Why B ... https://t.co/q6bd1u7uqe</v>
      </c>
    </row>
    <row r="8367" spans="1:5" ht="15" customHeight="1" x14ac:dyDescent="0.2">
      <c r="A8367" s="1" t="s">
        <v>16656</v>
      </c>
      <c r="B8367" s="1">
        <v>2</v>
      </c>
      <c r="C8367" s="3">
        <v>44537.796168981484</v>
      </c>
      <c r="D8367" s="1" t="s">
        <v>16657</v>
      </c>
      <c r="E8367" s="1" t="str">
        <f ca="1">IFERROR(__xludf.DUMMYFUNCTION("GOOGLETRANSLATE(A5166 , ""tr"" , ""en"")"),"@drfahrettinkoca sharing no data related to nation Directly sharing the trial fluids up to the zerre of the trial ... https://t.co/lzfqxyhctd")</f>
        <v>@drfahrettinkoca sharing no data related to nation Directly sharing the trial fluids up to the zerre of the trial ... https://t.co/lzfqxyhctd</v>
      </c>
    </row>
    <row r="8368" spans="1:5" ht="15" customHeight="1" x14ac:dyDescent="0.2">
      <c r="A8368" s="1" t="s">
        <v>16658</v>
      </c>
      <c r="B8368" s="1">
        <v>6</v>
      </c>
      <c r="C8368" s="3">
        <v>44537.796157407407</v>
      </c>
      <c r="D8368" s="1" t="s">
        <v>16659</v>
      </c>
      <c r="E8368" s="1" t="str">
        <f ca="1">IFERROR(__xludf.DUMMYFUNCTION("GOOGLETRANSLATE(A5167 , ""tr"" , ""en"")"),"@drfahrettinkoca Buddha attach to the situation more clearly how the DNA exchange is to connect to neurons, let's see the Mer ... https://t.co/bnn4pzf5fw")</f>
        <v>@drfahrettinkoca Buddha attach to the situation more clearly how the DNA exchange is to connect to neurons, let's see the Mer ... https://t.co/bnn4pzf5fw</v>
      </c>
    </row>
    <row r="8369" spans="1:5" ht="15" customHeight="1" x14ac:dyDescent="0.2">
      <c r="A8369" s="1" t="s">
        <v>16660</v>
      </c>
      <c r="B8369" s="1">
        <v>0</v>
      </c>
      <c r="C8369" s="3">
        <v>44537.795555555553</v>
      </c>
      <c r="D8369" s="1" t="s">
        <v>16661</v>
      </c>
      <c r="E8369" s="1" t="str">
        <f ca="1">IFERROR(__xludf.DUMMYFUNCTION("GOOGLETRANSLATE(A5168 , ""tr"" , ""en"")"),"@drfahrettinkoca is certain that we don't trust you ... I think you should quit asap ...")</f>
        <v>@drfahrettinkoca is certain that we don't trust you ... I think you should quit asap ...</v>
      </c>
    </row>
    <row r="8370" spans="1:5" ht="15" customHeight="1" x14ac:dyDescent="0.2">
      <c r="A8370" s="1" t="s">
        <v>16662</v>
      </c>
      <c r="B8370" s="1">
        <v>3</v>
      </c>
      <c r="C8370" s="3">
        <v>44537.795127314814</v>
      </c>
      <c r="D8370" s="1" t="s">
        <v>16663</v>
      </c>
      <c r="E8370" s="1" t="str">
        <f ca="1">IFERROR(__xludf.DUMMYFUNCTION("GOOGLETRANSLATE(A5169 , ""tr"" , ""en"")"),"@drfahrettinkoca is nobody left in the country because of the liquids. Only liquid ones in our environment were sick and sick ... https://t.co/wxahnoejk8")</f>
        <v>@drfahrettinkoca is nobody left in the country because of the liquids. Only liquid ones in our environment were sick and sick ... https://t.co/wxahnoejk8</v>
      </c>
    </row>
    <row r="8371" spans="1:5" ht="15" customHeight="1" x14ac:dyDescent="0.2">
      <c r="A8371" s="1" t="s">
        <v>16664</v>
      </c>
      <c r="B8371" s="1">
        <v>1</v>
      </c>
      <c r="C8371" s="3">
        <v>44537.794571759259</v>
      </c>
      <c r="D8371" s="1" t="s">
        <v>16665</v>
      </c>
      <c r="E8371" s="1" t="str">
        <f ca="1">IFERROR(__xludf.DUMMYFUNCTION("GOOGLETRANSLATE(A5170 , ""tr"" , ""en"")"),"@drfahrettinkoca you have passed through the country. Give our children a bari comfortable. Do you hear your ears deaf? ... https://t.co/oy8eunbwes")</f>
        <v>@drfahrettinkoca you have passed through the country. Give our children a bari comfortable. Do you hear your ears deaf? ... https://t.co/oy8eunbwes</v>
      </c>
    </row>
    <row r="8372" spans="1:5" ht="15" customHeight="1" x14ac:dyDescent="0.2">
      <c r="A8372" s="1" t="s">
        <v>16666</v>
      </c>
      <c r="B8372" s="1">
        <v>1</v>
      </c>
      <c r="C8372" s="3">
        <v>44537.794421296298</v>
      </c>
      <c r="D8372" s="1" t="s">
        <v>16667</v>
      </c>
      <c r="E8372" s="1" t="str">
        <f ca="1">IFERROR(__xludf.DUMMYFUNCTION("GOOGLETRANSLATE(A5171 , ""tr"" , ""en"")"),"@drfahrettinkoca you can't fool us 🤣")</f>
        <v>@drfahrettinkoca you can't fool us 🤣</v>
      </c>
    </row>
    <row r="8373" spans="1:5" ht="15" customHeight="1" x14ac:dyDescent="0.2">
      <c r="A8373" s="1" t="s">
        <v>16035</v>
      </c>
      <c r="B8373" s="1">
        <v>0</v>
      </c>
      <c r="C8373" s="3">
        <v>44537.794224537036</v>
      </c>
      <c r="D8373" s="1" t="s">
        <v>16668</v>
      </c>
      <c r="E8373" s="1" t="str">
        <f ca="1">IFERROR(__xludf.DUMMYFUNCTION("GOOGLETRANSLATE(A5172 , ""tr"" , ""en"")"),"@drfahrettinkoca geese ate their new feed with appetite. https://t.co/3aiihmqbzgr")</f>
        <v>@drfahrettinkoca geese ate their new feed with appetite. https://t.co/3aiihmqbzgr</v>
      </c>
    </row>
    <row r="8374" spans="1:5" ht="15" customHeight="1" x14ac:dyDescent="0.2">
      <c r="A8374" s="1" t="s">
        <v>16669</v>
      </c>
      <c r="B8374" s="1">
        <v>0</v>
      </c>
      <c r="C8374" s="3">
        <v>44537.794212962966</v>
      </c>
      <c r="D8374" s="1" t="s">
        <v>16670</v>
      </c>
      <c r="E8374" s="1" t="str">
        <f ca="1">IFERROR(__xludf.DUMMYFUNCTION("GOOGLETRANSLATE(A5173 , ""tr"" , ""en"")"),"@drfahrettinkoca 3 DOSE SNOVAK We lost our burn")</f>
        <v>@drfahrettinkoca 3 DOSE SNOVAK We lost our burn</v>
      </c>
    </row>
    <row r="8375" spans="1:5" ht="15" customHeight="1" x14ac:dyDescent="0.2">
      <c r="A8375" s="1" t="s">
        <v>16671</v>
      </c>
      <c r="B8375" s="1">
        <v>4</v>
      </c>
      <c r="C8375" s="3">
        <v>44537.793622685182</v>
      </c>
      <c r="D8375" s="1" t="s">
        <v>16672</v>
      </c>
      <c r="E8375" s="1" t="str">
        <f ca="1">IFERROR(__xludf.DUMMYFUNCTION("GOOGLETRANSLATE(A5174 , ""tr"" , ""en"")"),"@drfahrettinkoca I haven't following you for about 2 months, I said Bi Bakaym said today is still the same.7/24 vaccine, ... https://t.co/joxjebgcay")</f>
        <v>@drfahrettinkoca I haven't following you for about 2 months, I said Bi Bakaym said today is still the same.7/24 vaccine, ... https://t.co/joxjebgcay</v>
      </c>
    </row>
    <row r="8376" spans="1:5" ht="15" customHeight="1" x14ac:dyDescent="0.2">
      <c r="A8376" s="1" t="s">
        <v>16673</v>
      </c>
      <c r="B8376" s="1">
        <v>1</v>
      </c>
      <c r="C8376" s="3">
        <v>44537.793530092589</v>
      </c>
      <c r="D8376" s="1" t="s">
        <v>16674</v>
      </c>
      <c r="E8376" s="1" t="str">
        <f ca="1">IFERROR(__xludf.DUMMYFUNCTION("GOOGLETRANSLATE(A5175 , ""tr"" , ""en"")"),"@drfahrettinkoca my name is a little bit real a little bit real some dream lies don't spoil my lying world ....")</f>
        <v>@drfahrettinkoca my name is a little bit real a little bit real some dream lies don't spoil my lying world ....</v>
      </c>
    </row>
    <row r="8377" spans="1:5" ht="15" customHeight="1" x14ac:dyDescent="0.2">
      <c r="A8377" s="1" t="s">
        <v>16675</v>
      </c>
      <c r="B8377" s="1">
        <v>0</v>
      </c>
      <c r="C8377" s="3">
        <v>44537.792858796296</v>
      </c>
      <c r="D8377" s="1" t="s">
        <v>16676</v>
      </c>
      <c r="E8377" s="1" t="str">
        <f ca="1">IFERROR(__xludf.DUMMYFUNCTION("GOOGLETRANSLATE(A5176 , ""tr"" , ""en"")"),"@drfahrettinka I wanted to warn more of the president as you have received their permission after you publish these")</f>
        <v>@drfahrettinka I wanted to warn more of the president as you have received their permission after you publish these</v>
      </c>
    </row>
    <row r="8378" spans="1:5" ht="15" customHeight="1" x14ac:dyDescent="0.2">
      <c r="A8378" s="1" t="s">
        <v>16677</v>
      </c>
      <c r="B8378" s="1">
        <v>0</v>
      </c>
      <c r="C8378" s="3">
        <v>44537.792303240742</v>
      </c>
      <c r="D8378" s="1" t="s">
        <v>16678</v>
      </c>
      <c r="E8378" s="1" t="str">
        <f ca="1">IFERROR(__xludf.DUMMYFUNCTION("GOOGLETRANSLATE(A5177 , ""tr"" , ""en"")"),"@drfahrettinkoca, are you a joke or something?")</f>
        <v>@drfahrettinkoca, are you a joke or something?</v>
      </c>
    </row>
    <row r="8379" spans="1:5" ht="15" customHeight="1" x14ac:dyDescent="0.2">
      <c r="A8379" s="1" t="s">
        <v>16679</v>
      </c>
      <c r="B8379" s="1">
        <v>40</v>
      </c>
      <c r="C8379" s="3">
        <v>44537.791828703703</v>
      </c>
      <c r="D8379" s="1" t="s">
        <v>16680</v>
      </c>
      <c r="E8379" s="1" t="str">
        <f ca="1">IFERROR(__xludf.DUMMYFUNCTION("GOOGLETRANSLATE(A5178 , ""tr"" , ""en"")"),"@drfahrettinkoca waiting for my coult. We will finish the outbreak of lies. https://t.co/8goyjlzmt8")</f>
        <v>@drfahrettinkoca waiting for my coult. We will finish the outbreak of lies. https://t.co/8goyjlzmt8</v>
      </c>
    </row>
    <row r="8380" spans="1:5" ht="15" customHeight="1" x14ac:dyDescent="0.2">
      <c r="A8380" s="1" t="s">
        <v>16681</v>
      </c>
      <c r="B8380" s="1">
        <v>0</v>
      </c>
      <c r="C8380" s="3">
        <v>44537.79146990741</v>
      </c>
      <c r="D8380" s="1" t="s">
        <v>16682</v>
      </c>
      <c r="E8380" s="1" t="str">
        <f ca="1">IFERROR(__xludf.DUMMYFUNCTION("GOOGLETRANSLATE(A5179 , ""tr"" , ""en"")"),"@drfahrettinkoca Publish the Ministry Guide please")</f>
        <v>@drfahrettinkoca Publish the Ministry Guide please</v>
      </c>
    </row>
    <row r="8381" spans="1:5" ht="15" customHeight="1" x14ac:dyDescent="0.2">
      <c r="A8381" s="1" t="s">
        <v>16683</v>
      </c>
      <c r="B8381" s="1">
        <v>0</v>
      </c>
      <c r="C8381" s="3">
        <v>44537.791458333333</v>
      </c>
      <c r="D8381" s="1" t="s">
        <v>16684</v>
      </c>
      <c r="E8381" s="1" t="str">
        <f ca="1">IFERROR(__xludf.DUMMYFUNCTION("GOOGLETRANSLATE(A5180 , ""tr"" , ""en"")"),"@drfahrettinkoca dock doesn't wear anybody.")</f>
        <v>@drfahrettinkoca dock doesn't wear anybody.</v>
      </c>
    </row>
    <row r="8382" spans="1:5" ht="15" customHeight="1" x14ac:dyDescent="0.2">
      <c r="A8382" s="1" t="s">
        <v>16685</v>
      </c>
      <c r="B8382" s="1">
        <v>0</v>
      </c>
      <c r="C8382" s="3">
        <v>44537.791319444441</v>
      </c>
      <c r="D8382" s="1" t="s">
        <v>16686</v>
      </c>
      <c r="E8382" s="1" t="str">
        <f ca="1">IFERROR(__xludf.DUMMYFUNCTION("GOOGLETRANSLATE(A5181 , ""tr"" , ""en"")"),"@drfahrettinkoca why you are eating your word continuously once you have stags in November as well as the guide of November ... https://t.co/coimka2vyv")</f>
        <v>@drfahrettinkoca why you are eating your word continuously once you have stags in November as well as the guide of November ... https://t.co/coimka2vyv</v>
      </c>
    </row>
    <row r="8383" spans="1:5" ht="15" customHeight="1" x14ac:dyDescent="0.2">
      <c r="A8383" s="1" t="s">
        <v>16687</v>
      </c>
      <c r="B8383" s="1">
        <v>0</v>
      </c>
      <c r="C8383" s="3">
        <v>44537.791168981479</v>
      </c>
      <c r="D8383" s="1" t="s">
        <v>16688</v>
      </c>
      <c r="E8383" s="1" t="str">
        <f ca="1">IFERROR(__xludf.DUMMYFUNCTION("GOOGLETRANSLATE(A5182 , ""tr"" , ""en"")"),"@drfahrettinkoca is a very valuable ağbym 3 dose biontec grafted and now intubated.")</f>
        <v>@drfahrettinkoca is a very valuable ağbym 3 dose biontec grafted and now intubated.</v>
      </c>
    </row>
    <row r="8384" spans="1:5" ht="15" customHeight="1" x14ac:dyDescent="0.2">
      <c r="A8384" s="1" t="s">
        <v>16689</v>
      </c>
      <c r="B8384" s="1">
        <v>0</v>
      </c>
      <c r="C8384" s="3">
        <v>44537.790960648148</v>
      </c>
      <c r="D8384" s="1" t="s">
        <v>16690</v>
      </c>
      <c r="E8384" s="1" t="str">
        <f ca="1">IFERROR(__xludf.DUMMYFUNCTION("GOOGLETRANSLATE(A5183 , ""tr"" , ""en"")"),"@drfahrettinkoca 😡😡 No masks again. Why?")</f>
        <v>@drfahrettinkoca 😡😡 No masks again. Why?</v>
      </c>
    </row>
    <row r="8385" spans="1:5" ht="15" customHeight="1" x14ac:dyDescent="0.2">
      <c r="A8385" s="1" t="s">
        <v>16691</v>
      </c>
      <c r="B8385" s="1">
        <v>0</v>
      </c>
      <c r="C8385" s="3">
        <v>44537.790451388886</v>
      </c>
      <c r="D8385" s="1" t="s">
        <v>16692</v>
      </c>
      <c r="E8385" s="1" t="str">
        <f ca="1">IFERROR(__xludf.DUMMYFUNCTION("GOOGLETRANSLATE(A5184 , ""tr"" , ""en"")"),"@drfahrettinkoca yave heeee. 🤣🤣🤣")</f>
        <v>@drfahrettinkoca yave heeee. 🤣🤣🤣</v>
      </c>
    </row>
    <row r="8386" spans="1:5" ht="15" customHeight="1" x14ac:dyDescent="0.2">
      <c r="A8386" s="1" t="s">
        <v>16693</v>
      </c>
      <c r="B8386" s="1">
        <v>0</v>
      </c>
      <c r="C8386" s="3">
        <v>44537.790069444447</v>
      </c>
      <c r="D8386" s="1" t="s">
        <v>16694</v>
      </c>
      <c r="E8386" s="1" t="str">
        <f ca="1">IFERROR(__xludf.DUMMYFUNCTION("GOOGLETRANSLATE(A5185 , ""tr"" , ""en"")"),"@drfahrettinka https://t.co/6p3v7cımk8")</f>
        <v>@drfahrettinka https://t.co/6p3v7cımk8</v>
      </c>
    </row>
    <row r="8387" spans="1:5" ht="15" customHeight="1" x14ac:dyDescent="0.2">
      <c r="A8387" s="1" t="s">
        <v>16695</v>
      </c>
      <c r="B8387" s="1">
        <v>5</v>
      </c>
      <c r="C8387" s="3">
        <v>44537.789050925923</v>
      </c>
      <c r="D8387" s="1" t="s">
        <v>16696</v>
      </c>
      <c r="E8387" s="1" t="str">
        <f ca="1">IFERROR(__xludf.DUMMYFUNCTION("GOOGLETRANSLATE(A5186 , ""tr"" , ""en"")"),"@drfahrettinkoca dad two dose is grafted and chronic disease was one of the zero 2 days after you have been positively quit ... https://t.co/e8nd5vu4un")</f>
        <v>@drfahrettinkoca dad two dose is grafted and chronic disease was one of the zero 2 days after you have been positively quit ... https://t.co/e8nd5vu4un</v>
      </c>
    </row>
    <row r="8388" spans="1:5" ht="15" customHeight="1" x14ac:dyDescent="0.2">
      <c r="A8388" s="1" t="s">
        <v>16697</v>
      </c>
      <c r="B8388" s="1">
        <v>10</v>
      </c>
      <c r="C8388" s="3">
        <v>44537.7890162037</v>
      </c>
      <c r="D8388" s="1" t="s">
        <v>16698</v>
      </c>
      <c r="E8388" s="1" t="str">
        <f ca="1">IFERROR(__xludf.DUMMYFUNCTION("GOOGLETRANSLATE(A5187 , ""tr"" , ""en"")"),"@drfahrettinkoca physicians quit citizen appointment cannot find an appointment everyone will be harmful at the end of this work ... https://t.co/vl3oajv0id")</f>
        <v>@drfahrettinkoca physicians quit citizen appointment cannot find an appointment everyone will be harmful at the end of this work ... https://t.co/vl3oajv0id</v>
      </c>
    </row>
    <row r="8389" spans="1:5" ht="15" customHeight="1" x14ac:dyDescent="0.2">
      <c r="A8389" s="1" t="s">
        <v>16699</v>
      </c>
      <c r="B8389" s="1">
        <v>3</v>
      </c>
      <c r="C8389" s="3">
        <v>44537.788229166668</v>
      </c>
      <c r="D8389" s="1" t="s">
        <v>16700</v>
      </c>
      <c r="E8389" s="1" t="str">
        <f ca="1">IFERROR(__xludf.DUMMYFUNCTION("GOOGLETRANSLATE(A5188 , ""tr"" , ""en"")"),"@drfahrettinkoca #sonhekimgit something should be done no longer")</f>
        <v>@drfahrettinkoca #sonhekimgit something should be done no longer</v>
      </c>
    </row>
    <row r="8390" spans="1:5" ht="15" customHeight="1" x14ac:dyDescent="0.2">
      <c r="A8390" s="1" t="s">
        <v>16701</v>
      </c>
      <c r="B8390" s="1">
        <v>6</v>
      </c>
      <c r="C8390" s="3">
        <v>44537.787766203706</v>
      </c>
      <c r="D8390" s="1" t="s">
        <v>16702</v>
      </c>
      <c r="E8390" s="1" t="str">
        <f ca="1">IFERROR(__xludf.DUMMYFUNCTION("GOOGLETRANSLATE(A5189 , ""tr"" , ""en"")"),"@drfahrettinkoca #sonhexygit")</f>
        <v>@drfahrettinkoca #sonhexygit</v>
      </c>
    </row>
    <row r="8391" spans="1:5" ht="15" customHeight="1" x14ac:dyDescent="0.2">
      <c r="A8391" s="1" t="s">
        <v>16703</v>
      </c>
      <c r="B8391" s="1">
        <v>0</v>
      </c>
      <c r="C8391" s="3">
        <v>44537.787476851852</v>
      </c>
      <c r="D8391" s="1" t="s">
        <v>16704</v>
      </c>
      <c r="E8391" s="1" t="str">
        <f ca="1">IFERROR(__xludf.DUMMYFUNCTION("GOOGLETRANSLATE(A5190 , ""tr"" , ""en"")"),"@drfahrettinka Mr. Ministry Madem Master From Distance From Hygiene Turn schools Online at school ... https://t.co/madmoapunt")</f>
        <v>@drfahrettinka Mr. Ministry Madem Master From Distance From Hygiene Turn schools Online at school ... https://t.co/madmoapunt</v>
      </c>
    </row>
    <row r="8392" spans="1:5" ht="15" customHeight="1" x14ac:dyDescent="0.2">
      <c r="A8392" s="1" t="s">
        <v>16705</v>
      </c>
      <c r="B8392" s="1">
        <v>1</v>
      </c>
      <c r="C8392" s="3">
        <v>44537.78702546296</v>
      </c>
      <c r="D8392" s="1" t="s">
        <v>16706</v>
      </c>
      <c r="E8392" s="1" t="str">
        <f ca="1">IFERROR(__xludf.DUMMYFUNCTION("GOOGLETRANSLATE(A5191 , ""tr"" , ""en"")"),"@drfahrettinkoca #sonhekimgit is to be done or will be presented to us only two options to be death or abroad")</f>
        <v>@drfahrettinkoca #sonhekimgit is to be done or will be presented to us only two options to be death or abroad</v>
      </c>
    </row>
    <row r="8393" spans="1:5" ht="15" customHeight="1" x14ac:dyDescent="0.2">
      <c r="A8393" s="1" t="s">
        <v>16707</v>
      </c>
      <c r="B8393" s="1">
        <v>7</v>
      </c>
      <c r="C8393" s="3">
        <v>44537.786736111113</v>
      </c>
      <c r="D8393" s="1" t="s">
        <v>16708</v>
      </c>
      <c r="E8393" s="1" t="str">
        <f ca="1">IFERROR(__xludf.DUMMYFUNCTION("GOOGLETRANSLATE(A5192 , ""tr"" , ""en"")"),"@drfahrettinkoca you are hiding cases #abineuzaktanıkitimsart")</f>
        <v>@drfahrettinkoca you are hiding cases #abineuzaktanıkitimsart</v>
      </c>
    </row>
    <row r="8394" spans="1:5" ht="15" customHeight="1" x14ac:dyDescent="0.2">
      <c r="A8394" s="1" t="s">
        <v>16709</v>
      </c>
      <c r="B8394" s="1">
        <v>15</v>
      </c>
      <c r="C8394" s="3">
        <v>44537.786574074074</v>
      </c>
      <c r="D8394" s="1" t="s">
        <v>16710</v>
      </c>
      <c r="E8394" s="1" t="str">
        <f ca="1">IFERROR(__xludf.DUMMYFUNCTION("GOOGLETRANSLATE(A5193 , ""tr"" , ""en"")"),"@drfahrettinkoca schools do online # kabineuzaktanılitimsart")</f>
        <v>@drfahrettinkoca schools do online # kabineuzaktanılitimsart</v>
      </c>
    </row>
    <row r="8395" spans="1:5" ht="15" customHeight="1" x14ac:dyDescent="0.2">
      <c r="A8395" s="1" t="s">
        <v>16711</v>
      </c>
      <c r="B8395" s="1">
        <v>2</v>
      </c>
      <c r="C8395" s="3">
        <v>44537.786562499998</v>
      </c>
      <c r="D8395" s="1" t="s">
        <v>16712</v>
      </c>
      <c r="E8395" s="1" t="str">
        <f ca="1">IFERROR(__xludf.DUMMYFUNCTION("GOOGLETRANSLATE(A5194 , ""tr"" , ""en"")"),"@drfahrettinkoca Be the vaccine, spend a slight. Do you have you holding you? You can't even make comments concerning our health. Slave ... https://t.co/ejysdodzch")</f>
        <v>@drfahrettinkoca Be the vaccine, spend a slight. Do you have you holding you? You can't even make comments concerning our health. Slave ... https://t.co/ejysdodzch</v>
      </c>
    </row>
    <row r="8396" spans="1:5" ht="15" customHeight="1" x14ac:dyDescent="0.2">
      <c r="A8396" s="1" t="s">
        <v>16713</v>
      </c>
      <c r="B8396" s="1">
        <v>0</v>
      </c>
      <c r="C8396" s="3">
        <v>44537.786006944443</v>
      </c>
      <c r="D8396" s="1" t="s">
        <v>16714</v>
      </c>
      <c r="E8396" s="1" t="str">
        <f ca="1">IFERROR(__xludf.DUMMYFUNCTION("GOOGLETRANSLATE(A5195 , ""tr"" , ""en"")"),"@drfahrettinkoca Elhamdulillah Masallah Ya Safi Ya Safe")</f>
        <v>@drfahrettinkoca Elhamdulillah Masallah Ya Safi Ya Safe</v>
      </c>
    </row>
    <row r="8397" spans="1:5" ht="15" customHeight="1" x14ac:dyDescent="0.2">
      <c r="A8397" s="1" t="s">
        <v>16715</v>
      </c>
      <c r="B8397" s="1">
        <v>0</v>
      </c>
      <c r="C8397" s="3">
        <v>44537.785636574074</v>
      </c>
      <c r="D8397" s="1" t="s">
        <v>16716</v>
      </c>
      <c r="E8397" s="1" t="str">
        <f ca="1">IFERROR(__xludf.DUMMYFUNCTION("GOOGLETRANSLATE(A5196 , ""tr"" , ""en"")"),"@drfahrettinkoca clause so much")</f>
        <v>@drfahrettinkoca clause so much</v>
      </c>
    </row>
    <row r="8398" spans="1:5" ht="15" customHeight="1" x14ac:dyDescent="0.2">
      <c r="A8398" s="1" t="s">
        <v>16717</v>
      </c>
      <c r="B8398" s="1">
        <v>1</v>
      </c>
      <c r="C8398" s="3">
        <v>44537.78460648148</v>
      </c>
      <c r="D8398" s="1" t="s">
        <v>16718</v>
      </c>
      <c r="E8398" s="1" t="str">
        <f ca="1">IFERROR(__xludf.DUMMYFUNCTION("GOOGLETRANSLATE(A5197 , ""tr"" , ""en"")"),"@drfahrettinkoca 🤣😂🤣")</f>
        <v>@drfahrettinkoca 🤣😂🤣</v>
      </c>
    </row>
    <row r="8399" spans="1:5" ht="15" customHeight="1" x14ac:dyDescent="0.2">
      <c r="A8399" s="1" t="s">
        <v>16719</v>
      </c>
      <c r="B8399" s="1">
        <v>4</v>
      </c>
      <c r="C8399" s="3">
        <v>44537.784062500003</v>
      </c>
      <c r="D8399" s="1" t="s">
        <v>16720</v>
      </c>
      <c r="E8399" s="1" t="str">
        <f ca="1">IFERROR(__xludf.DUMMYFUNCTION("GOOGLETRANSLATE(A5198 , ""tr"" , ""en"")"),"@drfahrettinkoca is called vaccine in sick one. Then the only dose was called enough. Then called 2 dose. D ... https://t.co/gnqfiyrffw")</f>
        <v>@drfahrettinkoca is called vaccine in sick one. Then the only dose was called enough. Then called 2 dose. D ... https://t.co/gnqfiyrffw</v>
      </c>
    </row>
    <row r="8400" spans="1:5" ht="15" customHeight="1" x14ac:dyDescent="0.2">
      <c r="A8400" s="1" t="s">
        <v>16721</v>
      </c>
      <c r="B8400" s="1">
        <v>0</v>
      </c>
      <c r="C8400" s="3">
        <v>44537.78396990741</v>
      </c>
      <c r="D8400" s="1" t="s">
        <v>16722</v>
      </c>
      <c r="E8400" s="1" t="str">
        <f ca="1">IFERROR(__xludf.DUMMYFUNCTION("GOOGLETRANSLATE(A5199 , ""tr"" , ""en"")"),"@drfahrettinkoca get on your great deal !!")</f>
        <v>@drfahrettinkoca get on your great deal !!</v>
      </c>
    </row>
    <row r="8401" spans="1:5" ht="15" customHeight="1" x14ac:dyDescent="0.2">
      <c r="A8401" s="1" t="s">
        <v>16723</v>
      </c>
      <c r="B8401" s="1">
        <v>11</v>
      </c>
      <c r="C8401" s="3">
        <v>44537.783935185187</v>
      </c>
      <c r="D8401" s="1" t="s">
        <v>16724</v>
      </c>
      <c r="E8401" s="1" t="str">
        <f ca="1">IFERROR(__xludf.DUMMYFUNCTION("GOOGLETRANSLATE(A5200 , ""tr"" , ""en"")"),"@drfahrettinkoca Turkey. Hatay, Sakarya Funeral News I have heard from the local people, died the cause of dying? ... https://t.co/a8sfyr26c3")</f>
        <v>@drfahrettinkoca Turkey. Hatay, Sakarya Funeral News I have heard from the local people, died the cause of dying? ... https://t.co/a8sfyr26c3</v>
      </c>
    </row>
    <row r="8402" spans="1:5" ht="15" customHeight="1" x14ac:dyDescent="0.2">
      <c r="A8402" s="1" t="s">
        <v>16725</v>
      </c>
      <c r="B8402" s="1">
        <v>1</v>
      </c>
      <c r="C8402" s="3">
        <v>44537.782256944447</v>
      </c>
      <c r="D8402" s="1" t="s">
        <v>16726</v>
      </c>
      <c r="E8402" s="1" t="str">
        <f ca="1">IFERROR(__xludf.DUMMYFUNCTION("GOOGLETRANSLATE(A5201 , ""tr"" , ""en"")"),"@drfahrettinkoca numbers don't say so. Why is the number of patients / cases in the provinces with more than A $ i? Less too ... https://t.co/90xtxpuztk")</f>
        <v>@drfahrettinkoca numbers don't say so. Why is the number of patients / cases in the provinces with more than A $ i? Less too ... https://t.co/90xtxpuztk</v>
      </c>
    </row>
    <row r="8403" spans="1:5" ht="15" customHeight="1" x14ac:dyDescent="0.2">
      <c r="A8403" s="1" t="s">
        <v>16701</v>
      </c>
      <c r="B8403" s="1">
        <v>1</v>
      </c>
      <c r="C8403" s="3">
        <v>44537.782141203701</v>
      </c>
      <c r="D8403" s="1" t="s">
        <v>16727</v>
      </c>
      <c r="E8403" s="1" t="str">
        <f ca="1">IFERROR(__xludf.DUMMYFUNCTION("GOOGLETRANSLATE(A5202 , ""tr"" , ""en"")"),"@drfahrettinkoca #sonhexygit")</f>
        <v>@drfahrettinkoca #sonhexygit</v>
      </c>
    </row>
    <row r="8404" spans="1:5" ht="15" customHeight="1" x14ac:dyDescent="0.2">
      <c r="A8404" s="1" t="s">
        <v>16728</v>
      </c>
      <c r="B8404" s="1">
        <v>1</v>
      </c>
      <c r="C8404" s="3">
        <v>44537.782013888886</v>
      </c>
      <c r="D8404" s="1" t="s">
        <v>16729</v>
      </c>
      <c r="E8404" s="1" t="str">
        <f ca="1">IFERROR(__xludf.DUMMYFUNCTION("GOOGLETRANSLATE(A5203 , ""tr"" , ""en"")"),"@drfahrettinka https://t.co/mpqg5menvr")</f>
        <v>@drfahrettinka https://t.co/mpqg5menvr</v>
      </c>
    </row>
    <row r="8405" spans="1:5" ht="15" customHeight="1" x14ac:dyDescent="0.2">
      <c r="A8405" s="1" t="s">
        <v>16730</v>
      </c>
      <c r="B8405" s="1">
        <v>0</v>
      </c>
      <c r="C8405" s="3">
        <v>44537.781377314815</v>
      </c>
      <c r="D8405" s="1" t="s">
        <v>16731</v>
      </c>
      <c r="E8405" s="1" t="str">
        <f ca="1">IFERROR(__xludf.DUMMYFUNCTION("GOOGLETRANSLATE(A5204 , ""tr"" , ""en"")"),"@drfahrettinkoca has become the vaccination already, leave us anymore comfortable. We're already dying every day for you .. Tevbe estafurullah")</f>
        <v>@drfahrettinkoca has become the vaccination already, leave us anymore comfortable. We're already dying every day for you .. Tevbe estafurullah</v>
      </c>
    </row>
    <row r="8406" spans="1:5" ht="15" customHeight="1" x14ac:dyDescent="0.2">
      <c r="A8406" s="1" t="s">
        <v>16732</v>
      </c>
      <c r="B8406" s="1">
        <v>7</v>
      </c>
      <c r="C8406" s="3">
        <v>44537.781168981484</v>
      </c>
      <c r="D8406" s="1" t="s">
        <v>16733</v>
      </c>
      <c r="E8406" s="1" t="str">
        <f ca="1">IFERROR(__xludf.DUMMYFUNCTION("GOOGLETRANSLATE(A5205 , ""tr"" , ""en"")"),"@drfahrettinkoca #sonhexygit")</f>
        <v>@drfahrettinkoca #sonhexygit</v>
      </c>
    </row>
    <row r="8407" spans="1:5" ht="15" customHeight="1" x14ac:dyDescent="0.2">
      <c r="A8407" s="1" t="s">
        <v>16734</v>
      </c>
      <c r="B8407" s="1">
        <v>0</v>
      </c>
      <c r="C8407" s="3">
        <v>44537.781030092592</v>
      </c>
      <c r="D8407" s="1" t="s">
        <v>16735</v>
      </c>
      <c r="E8407" s="1" t="str">
        <f ca="1">IFERROR(__xludf.DUMMYFUNCTION("GOOGLETRANSLATE(A5206 , ""tr"" , ""en"")"),"@drfahrettinkoca you are responsible for measures not taken on time Mr. Minister")</f>
        <v>@drfahrettinkoca you are responsible for measures not taken on time Mr. Minister</v>
      </c>
    </row>
    <row r="8408" spans="1:5" ht="15" customHeight="1" x14ac:dyDescent="0.2">
      <c r="A8408" s="1" t="s">
        <v>16736</v>
      </c>
      <c r="B8408" s="1">
        <v>0</v>
      </c>
      <c r="C8408" s="3">
        <v>44537.780972222223</v>
      </c>
      <c r="D8408" s="1" t="s">
        <v>16737</v>
      </c>
      <c r="E8408" s="1" t="str">
        <f ca="1">IFERROR(__xludf.DUMMYFUNCTION("GOOGLETRANSLATE(A5207 , ""tr"" , ""en"")"),"@drfahrettinka some dignity a little honor to the human son. There is no zerre in this")</f>
        <v>@drfahrettinka some dignity a little honor to the human son. There is no zerre in this</v>
      </c>
    </row>
    <row r="8409" spans="1:5" ht="15" customHeight="1" x14ac:dyDescent="0.2">
      <c r="A8409" s="1" t="s">
        <v>16738</v>
      </c>
      <c r="B8409" s="1">
        <v>0</v>
      </c>
      <c r="C8409" s="3">
        <v>44537.780694444446</v>
      </c>
      <c r="D8409" s="1" t="s">
        <v>16739</v>
      </c>
      <c r="E8409" s="1" t="str">
        <f ca="1">IFERROR(__xludf.DUMMYFUNCTION("GOOGLETRANSLATE(A5208 , ""tr"" , ""en"")"),"@drfahrettinka vaccine post-follow-up system do you have the minister? Is the side effect and complaint data being held?")</f>
        <v>@drfahrettinka vaccine post-follow-up system do you have the minister? Is the side effect and complaint data being held?</v>
      </c>
    </row>
    <row r="8410" spans="1:5" ht="15" customHeight="1" x14ac:dyDescent="0.2">
      <c r="A8410" s="1" t="s">
        <v>16740</v>
      </c>
      <c r="B8410" s="1">
        <v>0</v>
      </c>
      <c r="C8410" s="3">
        <v>44537.780416666668</v>
      </c>
      <c r="D8410" s="1" t="s">
        <v>16741</v>
      </c>
      <c r="E8410" s="1" t="str">
        <f ca="1">IFERROR(__xludf.DUMMYFUNCTION("GOOGLETRANSLATE(A5209 , ""tr"" , ""en"")"),"@drfahrettinkoca you are lying unshamed. The pity is to you and a lot of pityes ...")</f>
        <v>@drfahrettinkoca you are lying unshamed. The pity is to you and a lot of pityes ...</v>
      </c>
    </row>
    <row r="8411" spans="1:5" ht="15" customHeight="1" x14ac:dyDescent="0.2">
      <c r="A8411" s="1" t="s">
        <v>16742</v>
      </c>
      <c r="B8411" s="1">
        <v>0</v>
      </c>
      <c r="C8411" s="3">
        <v>44537.780358796299</v>
      </c>
      <c r="D8411" s="1" t="s">
        <v>16743</v>
      </c>
      <c r="E8411" s="1" t="str">
        <f ca="1">IFERROR(__xludf.DUMMYFUNCTION("GOOGLETRANSLATE(A5210 , ""tr"" , ""en"")"),"@drfahrettinkoca Every month we are tired of being assigned my Ministry is enough!")</f>
        <v>@drfahrettinkoca Every month we are tired of being assigned my Ministry is enough!</v>
      </c>
    </row>
    <row r="8412" spans="1:5" ht="15" customHeight="1" x14ac:dyDescent="0.2">
      <c r="A8412" s="1" t="s">
        <v>16744</v>
      </c>
      <c r="B8412" s="1">
        <v>0</v>
      </c>
      <c r="C8412" s="3">
        <v>44537.780300925922</v>
      </c>
      <c r="D8412" s="1" t="s">
        <v>16745</v>
      </c>
      <c r="E8412" s="1" t="str">
        <f ca="1">IFERROR(__xludf.DUMMYFUNCTION("GOOGLETRANSLATE(A5211 , ""tr"" , ""en"")"),"@drfahrettinkoca honor and have some honor if you have an honor to resign meat honor every day and hear the blasphemy, how your face doesn't get your face Fahrett ..")</f>
        <v>@drfahrettinkoca honor and have some honor if you have an honor to resign meat honor every day and hear the blasphemy, how your face doesn't get your face Fahrett ..</v>
      </c>
    </row>
    <row r="8413" spans="1:5" ht="15" customHeight="1" x14ac:dyDescent="0.2">
      <c r="A8413" s="1" t="s">
        <v>16746</v>
      </c>
      <c r="B8413" s="1">
        <v>2</v>
      </c>
      <c r="C8413" s="3">
        <v>44537.779953703706</v>
      </c>
      <c r="D8413" s="1" t="s">
        <v>16747</v>
      </c>
      <c r="E8413" s="1" t="str">
        <f ca="1">IFERROR(__xludf.DUMMYFUNCTION("GOOGLETRANSLATE(A5212 , ""tr"" , ""en"")"),"@drfahrettinkoca sn.bakan is how far the fucking inaccurate of what is missing out of these two of these two ""or"" the same scrambled by trying ... https://t.co/6udyhk7c9d")</f>
        <v>@drfahrettinkoca sn.bakan is how far the fucking inaccurate of what is missing out of these two of these two "or" the same scrambled by trying ... https://t.co/6udyhk7c9d</v>
      </c>
    </row>
    <row r="8414" spans="1:5" ht="15" customHeight="1" x14ac:dyDescent="0.2">
      <c r="A8414" s="1" t="s">
        <v>16748</v>
      </c>
      <c r="B8414" s="1">
        <v>0</v>
      </c>
      <c r="C8414" s="3">
        <v>44537.779872685183</v>
      </c>
      <c r="D8414" s="1" t="s">
        <v>16749</v>
      </c>
      <c r="E8414" s="1" t="str">
        <f ca="1">IFERROR(__xludf.DUMMYFUNCTION("GOOGLETRANSLATE(A5213 , ""tr"" , ""en"")"),"@drfahrettinkoca Every day hundreds of people go to the grave What trust will count on these numbers")</f>
        <v>@drfahrettinkoca Every day hundreds of people go to the grave What trust will count on these numbers</v>
      </c>
    </row>
    <row r="8415" spans="1:5" ht="15" customHeight="1" x14ac:dyDescent="0.2">
      <c r="A8415" s="1" t="s">
        <v>16750</v>
      </c>
      <c r="B8415" s="1">
        <v>0</v>
      </c>
      <c r="C8415" s="3">
        <v>44537.779537037037</v>
      </c>
      <c r="D8415" s="1" t="s">
        <v>16751</v>
      </c>
      <c r="E8415" s="1" t="str">
        <f ca="1">IFERROR(__xludf.DUMMYFUNCTION("GOOGLETRANSLATE(A5214 , ""tr"" , ""en"")"),"@drfahrettinkoca Mr. Minister We need government institutions Need Special institutions Malls of Stadiums Only ... https://t.co/lfhx3kvhbe")</f>
        <v>@drfahrettinkoca Mr. Minister We need government institutions Need Special institutions Malls of Stadiums Only ... https://t.co/lfhx3kvhbe</v>
      </c>
    </row>
    <row r="8416" spans="1:5" ht="15" customHeight="1" x14ac:dyDescent="0.2">
      <c r="A8416" s="1" t="s">
        <v>16752</v>
      </c>
      <c r="B8416" s="1">
        <v>2</v>
      </c>
      <c r="C8416" s="3">
        <v>44537.779363425929</v>
      </c>
      <c r="D8416" s="1" t="s">
        <v>16753</v>
      </c>
      <c r="E8416" s="1" t="str">
        <f ca="1">IFERROR(__xludf.DUMMYFUNCTION("GOOGLETRANSLATE(A5215 , ""tr"" , ""en"")"),"@drfahrettinka why don't you keep mask mandatory nobody wears mask")</f>
        <v>@drfahrettinka why don't you keep mask mandatory nobody wears mask</v>
      </c>
    </row>
    <row r="8417" spans="1:5" ht="15" customHeight="1" x14ac:dyDescent="0.2">
      <c r="A8417" s="1" t="s">
        <v>16754</v>
      </c>
      <c r="B8417" s="1">
        <v>0</v>
      </c>
      <c r="C8417" s="3">
        <v>44537.778067129628</v>
      </c>
      <c r="D8417" s="1" t="s">
        <v>16755</v>
      </c>
      <c r="E8417" s="1" t="str">
        <f ca="1">IFERROR(__xludf.DUMMYFUNCTION("GOOGLETRANSLATE(A5216 , ""tr"" , ""en"")"),"@drfahrettinkoca Close Schools")</f>
        <v>@drfahrettinkoca Close Schools</v>
      </c>
    </row>
    <row r="8418" spans="1:5" ht="15" customHeight="1" x14ac:dyDescent="0.2">
      <c r="A8418" s="1" t="s">
        <v>16756</v>
      </c>
      <c r="B8418" s="1">
        <v>1</v>
      </c>
      <c r="C8418" s="3">
        <v>44537.777395833335</v>
      </c>
      <c r="D8418" s="1" t="s">
        <v>16757</v>
      </c>
      <c r="E8418" s="1" t="str">
        <f ca="1">IFERROR(__xludf.DUMMYFUNCTION("GOOGLETRANSLATE(A5217 , ""tr"" , ""en"")"),"@drfahrettinkoca please don't be so insensitive to assignment for 13 months are waiting for your guide")</f>
        <v>@drfahrettinkoca please don't be so insensitive to assignment for 13 months are waiting for your guide</v>
      </c>
    </row>
    <row r="8419" spans="1:5" ht="15" customHeight="1" x14ac:dyDescent="0.2">
      <c r="A8419" s="1" t="s">
        <v>16758</v>
      </c>
      <c r="B8419" s="1">
        <v>0</v>
      </c>
      <c r="C8419" s="3">
        <v>44537.776377314818</v>
      </c>
      <c r="D8419" s="1" t="s">
        <v>16759</v>
      </c>
      <c r="E8419" s="1" t="str">
        <f ca="1">IFERROR(__xludf.DUMMYFUNCTION("GOOGLETRANSLATE(A5218 , ""tr"" , ""en"")"),"@drfahrettinkoca synovac vaccine 2 dose of dose This job said that okay. 10 months before that. You have lied. Once ... https://t.co/gvyauwuhhi")</f>
        <v>@drfahrettinkoca synovac vaccine 2 dose of dose This job said that okay. 10 months before that. You have lied. Once ... https://t.co/gvyauwuhhi</v>
      </c>
    </row>
    <row r="8420" spans="1:5" ht="15" customHeight="1" x14ac:dyDescent="0.2">
      <c r="A8420" s="1" t="s">
        <v>16760</v>
      </c>
      <c r="B8420" s="1">
        <v>2</v>
      </c>
      <c r="C8420" s="3">
        <v>44537.775543981479</v>
      </c>
      <c r="D8420" s="1" t="s">
        <v>16761</v>
      </c>
      <c r="E8420" s="1" t="str">
        <f ca="1">IFERROR(__xludf.DUMMYFUNCTION("GOOGLETRANSLATE(A5219 , ""tr"" , ""en"")"),"@drfahrettinkoca https://t.co/jupwxbhp74 eugenic motherfucker bichgates Funding media monkeys 🤣🤣🤣🤣")</f>
        <v>@drfahrettinkoca https://t.co/jupwxbhp74 eugenic motherfucker bichgates Funding media monkeys 🤣🤣🤣🤣</v>
      </c>
    </row>
    <row r="8421" spans="1:5" ht="15" customHeight="1" x14ac:dyDescent="0.2">
      <c r="A8421" s="1" t="s">
        <v>16762</v>
      </c>
      <c r="B8421" s="1">
        <v>0</v>
      </c>
      <c r="C8421" s="3">
        <v>44537.775254629632</v>
      </c>
      <c r="D8421" s="1" t="s">
        <v>16763</v>
      </c>
      <c r="E8421" s="1" t="str">
        <f ca="1">IFERROR(__xludf.DUMMYFUNCTION("GOOGLETRANSLATE(A5220 , ""tr"" , ""en"")"),"@drfahrettinkoca KKKIIILLLAAAVVVUUUZZZ")</f>
        <v>@drfahrettinkoca KKKIIILLLAAAVVVUUUZZZ</v>
      </c>
    </row>
    <row r="8422" spans="1:5" ht="15" customHeight="1" x14ac:dyDescent="0.2">
      <c r="A8422" s="1" t="s">
        <v>16764</v>
      </c>
      <c r="B8422" s="1">
        <v>6</v>
      </c>
      <c r="C8422" s="3">
        <v>44537.775254629632</v>
      </c>
      <c r="D8422" s="1" t="s">
        <v>16765</v>
      </c>
      <c r="E8422" s="1" t="str">
        <f ca="1">IFERROR(__xludf.DUMMYFUNCTION("GOOGLETRANSLATE(A5221 , ""tr"" , ""en"")"),"@drfahrettinka students are dying don't see # kabineuzaktantiitimsart")</f>
        <v>@drfahrettinka students are dying don't see # kabineuzaktantiitimsart</v>
      </c>
    </row>
    <row r="8423" spans="1:5" ht="15" customHeight="1" x14ac:dyDescent="0.2">
      <c r="A8423" s="1" t="s">
        <v>16766</v>
      </c>
      <c r="B8423" s="1">
        <v>0</v>
      </c>
      <c r="C8423" s="3">
        <v>44537.775104166663</v>
      </c>
      <c r="D8423" s="1" t="s">
        <v>16767</v>
      </c>
      <c r="E8423" s="1" t="str">
        <f ca="1">IFERROR(__xludf.DUMMYFUNCTION("GOOGLETRANSLATE(A5222 , ""tr"" , ""en"")"),"@drfahrettinkoca Dad is chronic COPD patient. On 23 November Covid-19 test was positive. Today 7th December Dad Karantina ... https://t.co/FJHIUFFZ4S")</f>
        <v>@drfahrettinkoca Dad is chronic COPD patient. On 23 November Covid-19 test was positive. Today 7th December Dad Karantina ... https://t.co/FJHIUFFZ4S</v>
      </c>
    </row>
    <row r="8424" spans="1:5" ht="15" customHeight="1" x14ac:dyDescent="0.2">
      <c r="A8424" s="1" t="s">
        <v>16768</v>
      </c>
      <c r="B8424" s="1">
        <v>0</v>
      </c>
      <c r="C8424" s="3">
        <v>44537.775081018517</v>
      </c>
      <c r="D8424" s="1" t="s">
        <v>16769</v>
      </c>
      <c r="E8424" s="1" t="str">
        <f ca="1">IFERROR(__xludf.DUMMYFUNCTION("GOOGLETRANSLATE(A5223 , ""tr"" , ""en"")"),"@drfahrettinkoca KKIIllaavvuuzz")</f>
        <v>@drfahrettinkoca KKIIllaavvuuzz</v>
      </c>
    </row>
    <row r="8425" spans="1:5" ht="15" customHeight="1" x14ac:dyDescent="0.2">
      <c r="A8425" s="1" t="s">
        <v>16770</v>
      </c>
      <c r="B8425" s="1">
        <v>0</v>
      </c>
      <c r="C8425" s="3">
        <v>44537.775000000001</v>
      </c>
      <c r="D8425" s="1" t="s">
        <v>16771</v>
      </c>
      <c r="E8425" s="1" t="str">
        <f ca="1">IFERROR(__xludf.DUMMYFUNCTION("GOOGLETRANSLATE(A5224 , ""tr"" , ""en"")"),"@drfahrettinkoca guide")</f>
        <v>@drfahrettinkoca guide</v>
      </c>
    </row>
    <row r="8426" spans="1:5" ht="15" customHeight="1" x14ac:dyDescent="0.2">
      <c r="A8426" s="1" t="s">
        <v>16772</v>
      </c>
      <c r="B8426" s="1">
        <v>0</v>
      </c>
      <c r="C8426" s="3">
        <v>44537.774907407409</v>
      </c>
      <c r="D8426" s="1" t="s">
        <v>16773</v>
      </c>
      <c r="E8426" s="1" t="str">
        <f ca="1">IFERROR(__xludf.DUMMYFUNCTION("GOOGLETRANSLATE(A5225 , ""tr"" , ""en"")"),"@drfahrettinkoca KILSVUZZ")</f>
        <v>@drfahrettinkoca KILSVUZZ</v>
      </c>
    </row>
    <row r="8427" spans="1:5" ht="15" customHeight="1" x14ac:dyDescent="0.2">
      <c r="A8427" s="1" t="s">
        <v>16774</v>
      </c>
      <c r="B8427" s="1">
        <v>0</v>
      </c>
      <c r="C8427" s="3">
        <v>44537.77484953704</v>
      </c>
      <c r="D8427" s="1" t="s">
        <v>16775</v>
      </c>
      <c r="E8427" s="1" t="str">
        <f ca="1">IFERROR(__xludf.DUMMYFUNCTION("GOOGLETRANSLATE(A5226 , ""tr"" , ""en"")"),"@drfahrettinkoca guide.")</f>
        <v>@drfahrettinkoca guide.</v>
      </c>
    </row>
    <row r="8428" spans="1:5" ht="15" customHeight="1" x14ac:dyDescent="0.2">
      <c r="A8428" s="1" t="s">
        <v>16776</v>
      </c>
      <c r="B8428" s="1">
        <v>0</v>
      </c>
      <c r="C8428" s="3">
        <v>44537.774791666663</v>
      </c>
      <c r="D8428" s="1" t="s">
        <v>16777</v>
      </c>
      <c r="E8428" s="1" t="str">
        <f ca="1">IFERROR(__xludf.DUMMYFUNCTION("GOOGLETRANSLATE(A5227 , ""tr"" , ""en"")"),"@drfahrettinkoca guide guide guide")</f>
        <v>@drfahrettinkoca guide guide guide</v>
      </c>
    </row>
    <row r="8429" spans="1:5" ht="15" customHeight="1" x14ac:dyDescent="0.2">
      <c r="A8429" s="1" t="s">
        <v>15399</v>
      </c>
      <c r="B8429" s="1">
        <v>0</v>
      </c>
      <c r="C8429" s="3">
        <v>44537.774675925924</v>
      </c>
      <c r="D8429" s="1" t="s">
        <v>16778</v>
      </c>
      <c r="E8429" s="1" t="str">
        <f ca="1">IFERROR(__xludf.DUMMYFUNCTION("GOOGLETRANSLATE(A5228 , ""tr"" , ""en"")"),"@drfahrettinkoca guide guide")</f>
        <v>@drfahrettinkoca guide guide</v>
      </c>
    </row>
    <row r="8430" spans="1:5" ht="15" customHeight="1" x14ac:dyDescent="0.2">
      <c r="A8430" s="1" t="s">
        <v>10058</v>
      </c>
      <c r="B8430" s="1">
        <v>0</v>
      </c>
      <c r="C8430" s="3">
        <v>44537.774606481478</v>
      </c>
      <c r="D8430" s="1" t="s">
        <v>16779</v>
      </c>
      <c r="E8430" s="1" t="str">
        <f ca="1">IFERROR(__xludf.DUMMYFUNCTION("GOOGLETRANSLATE(A5229 , ""tr"" , ""en"")"),"@drfahrettinkoca Guide")</f>
        <v>@drfahrettinkoca Guide</v>
      </c>
    </row>
    <row r="8431" spans="1:5" ht="15" customHeight="1" x14ac:dyDescent="0.2">
      <c r="A8431" s="1" t="s">
        <v>16780</v>
      </c>
      <c r="B8431" s="1">
        <v>0</v>
      </c>
      <c r="C8431" s="3">
        <v>44537.774594907409</v>
      </c>
      <c r="D8431" s="1" t="s">
        <v>16781</v>
      </c>
      <c r="E8431" s="1" t="str">
        <f ca="1">IFERROR(__xludf.DUMMYFUNCTION("GOOGLETRANSLATE(A5230 , ""tr"" , ""en"")"),"@drfahrettinkoca LAN Ass Faker You have not been tired of changing the same tabol of the same tab and changing the same tab: HTTPS://t.co/azt5lptfjb")</f>
        <v>@drfahrettinkoca LAN Ass Faker You have not been tired of changing the same tabol of the same tab and changing the same tab: HTTPS://t.co/azt5lptfjb</v>
      </c>
    </row>
    <row r="8432" spans="1:5" ht="15" customHeight="1" x14ac:dyDescent="0.2">
      <c r="A8432" s="1" t="s">
        <v>16782</v>
      </c>
      <c r="B8432" s="1">
        <v>0</v>
      </c>
      <c r="C8432" s="3">
        <v>44537.774560185186</v>
      </c>
      <c r="D8432" s="1" t="s">
        <v>16783</v>
      </c>
      <c r="E8432" s="1" t="str">
        <f ca="1">IFERROR(__xludf.DUMMYFUNCTION("GOOGLETRANSLATE(A5231 , ""tr"" , ""en"")"),"@drfahrettinkoca inspection duration to 2 minutes, make health workers act in action that he does not manage it is always ... https://t.co/n1zeg2bwaj")</f>
        <v>@drfahrettinkoca inspection duration to 2 minutes, make health workers act in action that he does not manage it is always ... https://t.co/n1zeg2bwaj</v>
      </c>
    </row>
    <row r="8433" spans="1:5" ht="15" customHeight="1" x14ac:dyDescent="0.2">
      <c r="A8433" s="1" t="s">
        <v>16784</v>
      </c>
      <c r="B8433" s="1">
        <v>0</v>
      </c>
      <c r="C8433" s="3">
        <v>44537.774467592593</v>
      </c>
      <c r="D8433" s="1" t="s">
        <v>16785</v>
      </c>
      <c r="E8433" s="1" t="str">
        <f ca="1">IFERROR(__xludf.DUMMYFUNCTION("GOOGLETRANSLATE(A5232 , ""tr"" , ""en"")"),"@drfahrettinkoca ya pardon Also whatever hikmet in hospitals in abroad lies in hospitals but again what hi hi ... https://t.co/yk6aeubkul")</f>
        <v>@drfahrettinkoca ya pardon Also whatever hikmet in hospitals in abroad lies in hospitals but again what hi hi ... https://t.co/yk6aeubkul</v>
      </c>
    </row>
    <row r="8434" spans="1:5" ht="15" customHeight="1" x14ac:dyDescent="0.2">
      <c r="A8434" s="1" t="s">
        <v>16786</v>
      </c>
      <c r="B8434" s="1">
        <v>0</v>
      </c>
      <c r="C8434" s="3">
        <v>44537.774293981478</v>
      </c>
      <c r="D8434" s="1" t="s">
        <v>16787</v>
      </c>
      <c r="E8434" s="1" t="str">
        <f ca="1">IFERROR(__xludf.DUMMYFUNCTION("GOOGLETRANSLATE(A5233 , ""tr"" , ""en"")"),"@drfahrettinkoca bengi master mini mini pihicists as he says in Demi Mini Mini Myokarkit Mini Mini Death ... https://t.co/kare3iakwn")</f>
        <v>@drfahrettinkoca bengi master mini mini pihicists as he says in Demi Mini Mini Myokarkit Mini Mini Death ... https://t.co/kare3iakwn</v>
      </c>
    </row>
    <row r="8435" spans="1:5" ht="15" customHeight="1" x14ac:dyDescent="0.2">
      <c r="A8435" s="1" t="s">
        <v>16788</v>
      </c>
      <c r="B8435" s="1">
        <v>4</v>
      </c>
      <c r="C8435" s="3">
        <v>44537.774108796293</v>
      </c>
      <c r="D8435" s="1" t="s">
        <v>16789</v>
      </c>
      <c r="E8435" s="1" t="str">
        <f ca="1">IFERROR(__xludf.DUMMYFUNCTION("GOOGLETRANSLATE(A5234 , ""tr"" , ""en"")"),"@drfahrettinkoca We are not caught in the virus that 😂😂😂")</f>
        <v>@drfahrettinkoca We are not caught in the virus that 😂😂😂</v>
      </c>
    </row>
    <row r="8436" spans="1:5" ht="15" customHeight="1" x14ac:dyDescent="0.2">
      <c r="A8436" s="1" t="s">
        <v>16790</v>
      </c>
      <c r="B8436" s="1">
        <v>0</v>
      </c>
      <c r="C8436" s="3">
        <v>44537.774039351854</v>
      </c>
      <c r="D8436" s="1" t="s">
        <v>16791</v>
      </c>
      <c r="E8436" s="1" t="str">
        <f ca="1">IFERROR(__xludf.DUMMYFUNCTION("GOOGLETRANSLATE(A5235 , ""tr"" , ""en"")"),"@drfahrettinkoca Paylasta Goreli")</f>
        <v>@drfahrettinkoca Paylasta Goreli</v>
      </c>
    </row>
    <row r="8437" spans="1:5" ht="15" customHeight="1" x14ac:dyDescent="0.2">
      <c r="A8437" s="1" t="s">
        <v>16792</v>
      </c>
      <c r="B8437" s="1">
        <v>0</v>
      </c>
      <c r="C8437" s="3">
        <v>44537.773495370369</v>
      </c>
      <c r="D8437" s="1" t="s">
        <v>16793</v>
      </c>
      <c r="E8437" s="1" t="str">
        <f ca="1">IFERROR(__xludf.DUMMYFUNCTION("GOOGLETRANSLATE(A5236 , ""tr"" , ""en"")"),"@drfahrettinkoca you are welcome guide @drfahrettinkoca @rterdogan @osymbascanligi # cbonaylakochavuzuyma")</f>
        <v>@drfahrettinkoca you are welcome guide @drfahrettinkoca @rterdogan @osymbascanligi # cbonaylakochavuzuyma</v>
      </c>
    </row>
    <row r="8438" spans="1:5" ht="15" customHeight="1" x14ac:dyDescent="0.2">
      <c r="A8438" s="1" t="s">
        <v>16794</v>
      </c>
      <c r="B8438" s="1">
        <v>1</v>
      </c>
      <c r="C8438" s="3">
        <v>44537.772534722222</v>
      </c>
      <c r="D8438" s="1" t="s">
        <v>16795</v>
      </c>
      <c r="E8438" s="1" t="str">
        <f ca="1">IFERROR(__xludf.DUMMYFUNCTION("GOOGLETRANSLATE(A5237 , ""tr"" , ""en"")"),"@drfahrettinkoca In a secondary school in Izmir, the Covid-19 test of 4 teachers were positive. Hundreds of teachers ... https://t.co/0g0ffmz7aj")</f>
        <v>@drfahrettinkoca In a secondary school in Izmir, the Covid-19 test of 4 teachers were positive. Hundreds of teachers ... https://t.co/0g0ffmz7aj</v>
      </c>
    </row>
    <row r="8439" spans="1:5" ht="15" customHeight="1" x14ac:dyDescent="0.2">
      <c r="A8439" s="1" t="s">
        <v>16796</v>
      </c>
      <c r="B8439" s="1">
        <v>0</v>
      </c>
      <c r="C8439" s="3">
        <v>44537.772210648145</v>
      </c>
      <c r="D8439" s="1" t="s">
        <v>16797</v>
      </c>
      <c r="E8439" s="1" t="str">
        <f ca="1">IFERROR(__xludf.DUMMYFUNCTION("GOOGLETRANSLATE(A5238 , ""tr"" , ""en"")"),"@drfahrettinkoca Fahrettin Bey, if the vaccination goes like this and the vaccine is Max. If it is considered to be 6 months protection SO ... https://t.co/gwqojmdyub")</f>
        <v>@drfahrettinkoca Fahrettin Bey, if the vaccination goes like this and the vaccine is Max. If it is considered to be 6 months protection SO ... https://t.co/gwqojmdyub</v>
      </c>
    </row>
    <row r="8440" spans="1:5" ht="15" customHeight="1" x14ac:dyDescent="0.2">
      <c r="A8440" s="1" t="s">
        <v>16798</v>
      </c>
      <c r="B8440" s="1">
        <v>0</v>
      </c>
      <c r="C8440" s="3">
        <v>44537.77202546296</v>
      </c>
      <c r="D8440" s="1" t="s">
        <v>16799</v>
      </c>
      <c r="E8440" s="1" t="str">
        <f ca="1">IFERROR(__xludf.DUMMYFUNCTION("GOOGLETRANSLATE(A5239 , ""tr"" , ""en"")"),"@drfahrettinkoca recently what to say for three bionty politicians who passed covid 19, folks andfat ed ... https://t.co/w0xzaf1do4")</f>
        <v>@drfahrettinkoca recently what to say for three bionty politicians who passed covid 19, folks andfat ed ... https://t.co/w0xzaf1do4</v>
      </c>
    </row>
    <row r="8441" spans="1:5" ht="15" customHeight="1" x14ac:dyDescent="0.2">
      <c r="A8441" s="1" t="s">
        <v>16800</v>
      </c>
      <c r="B8441" s="1">
        <v>5</v>
      </c>
      <c r="C8441" s="3">
        <v>44537.772013888891</v>
      </c>
      <c r="D8441" s="1" t="s">
        <v>16801</v>
      </c>
      <c r="E8441" s="1" t="str">
        <f ca="1">IFERROR(__xludf.DUMMYFUNCTION("GOOGLETRANSLATE(A5240 , ""tr"" , ""en"")"),"@drfahrettinkoca We will trust you primarily to trust the results of the 10 months left behind you, we will trust you ... https://t.co/ifymtxftq1")</f>
        <v>@drfahrettinkoca We will trust you primarily to trust the results of the 10 months left behind you, we will trust you ... https://t.co/ifymtxftq1</v>
      </c>
    </row>
    <row r="8442" spans="1:5" ht="15" customHeight="1" x14ac:dyDescent="0.2">
      <c r="A8442" s="1" t="s">
        <v>16802</v>
      </c>
      <c r="B8442" s="1">
        <v>7</v>
      </c>
      <c r="C8442" s="3">
        <v>44537.771724537037</v>
      </c>
      <c r="D8442" s="1" t="s">
        <v>16803</v>
      </c>
      <c r="E8442" s="1" t="str">
        <f ca="1">IFERROR(__xludf.DUMMYFUNCTION("GOOGLETRANSLATE(A5241 , ""tr"" , ""en"")"),"@drfahrettinkoca Kiss this mask distance measure in the lower butterfly reward in the lower butterfly, please say in the screen of the cheek burning on the screen ... https://t.co/xfxjr6vnfa")</f>
        <v>@drfahrettinkoca Kiss this mask distance measure in the lower butterfly reward in the lower butterfly, please say in the screen of the cheek burning on the screen ... https://t.co/xfxjr6vnfa</v>
      </c>
    </row>
    <row r="8443" spans="1:5" ht="15" customHeight="1" x14ac:dyDescent="0.2">
      <c r="A8443" s="1" t="s">
        <v>16804</v>
      </c>
      <c r="B8443" s="1">
        <v>11</v>
      </c>
      <c r="C8443" s="3">
        <v>44537.771678240744</v>
      </c>
      <c r="D8443" s="1" t="s">
        <v>16805</v>
      </c>
      <c r="E8443" s="1" t="str">
        <f ca="1">IFERROR(__xludf.DUMMYFUNCTION("GOOGLETRANSLATE(A5242 , ""tr"" , ""en"")"),"@drfahrettinka first started to say that there is complete protection with 2 experimental fluid, now began to say that the missing liquid is ... https://t.co/ylkkcebmce")</f>
        <v>@drfahrettinka first started to say that there is complete protection with 2 experimental fluid, now began to say that the missing liquid is ... https://t.co/ylkkcebmce</v>
      </c>
    </row>
    <row r="8444" spans="1:5" ht="15" customHeight="1" x14ac:dyDescent="0.2">
      <c r="A8444" s="1" t="s">
        <v>16806</v>
      </c>
      <c r="B8444" s="1">
        <v>10</v>
      </c>
      <c r="C8444" s="3">
        <v>44537.771527777775</v>
      </c>
      <c r="D8444" s="1" t="s">
        <v>16807</v>
      </c>
      <c r="E8444" s="1" t="str">
        <f ca="1">IFERROR(__xludf.DUMMYFUNCTION("GOOGLETRANSLATE(A5243 , ""tr"" , ""en"")"),"@drfahrettinkoca is giving a grafted lighter! For some reason, those who are grown around me are heavier than me this is tes ... https://t.co/nr9qrqf80m")</f>
        <v>@drfahrettinkoca is giving a grafted lighter! For some reason, those who are grown around me are heavier than me this is tes ... https://t.co/nr9qrqf80m</v>
      </c>
    </row>
    <row r="8445" spans="1:5" ht="15" customHeight="1" x14ac:dyDescent="0.2">
      <c r="A8445" s="1" t="s">
        <v>16808</v>
      </c>
      <c r="B8445" s="1">
        <v>8</v>
      </c>
      <c r="C8445" s="3">
        <v>44537.771481481483</v>
      </c>
      <c r="D8445" s="1" t="s">
        <v>16809</v>
      </c>
      <c r="E8445" s="1" t="str">
        <f ca="1">IFERROR(__xludf.DUMMYFUNCTION("GOOGLETRANSLATE(A5244 , ""tr"" , ""en"")"),"@drfahrettinkoca Akpartiye In the economy in the economy, you have the sole of our base in the global powers. Full Ka ... https://t.co/hgje5brzuI")</f>
        <v>@drfahrettinkoca Akpartiye In the economy in the economy, you have the sole of our base in the global powers. Full Ka ... https://t.co/hgje5brzuI</v>
      </c>
    </row>
    <row r="8446" spans="1:5" ht="15" customHeight="1" x14ac:dyDescent="0.2">
      <c r="A8446" s="1" t="s">
        <v>16810</v>
      </c>
      <c r="B8446" s="1">
        <v>8</v>
      </c>
      <c r="C8446" s="3">
        <v>44537.770821759259</v>
      </c>
      <c r="D8446" s="1" t="s">
        <v>16811</v>
      </c>
      <c r="E8446" s="1" t="str">
        <f ca="1">IFERROR(__xludf.DUMMYFUNCTION("GOOGLETRANSLATE(A5245 , ""tr"" , ""en"")"),"@drfahrettinkoca is definitive so that the vaccines have worked very hard, so the vaccine ratio is the highest of provinces in the numbers of cases ... https://t.co/19r7qiee7e")</f>
        <v>@drfahrettinkoca is definitive so that the vaccines have worked very hard, so the vaccine ratio is the highest of provinces in the numbers of cases ... https://t.co/19r7qiee7e</v>
      </c>
    </row>
    <row r="8447" spans="1:5" ht="15" customHeight="1" x14ac:dyDescent="0.2">
      <c r="A8447" s="1" t="s">
        <v>16812</v>
      </c>
      <c r="B8447" s="1">
        <v>0</v>
      </c>
      <c r="C8447" s="3">
        <v>44537.770312499997</v>
      </c>
      <c r="D8447" s="1" t="s">
        <v>16813</v>
      </c>
      <c r="E8447" s="1" t="str">
        <f ca="1">IFERROR(__xludf.DUMMYFUNCTION("GOOGLETRANSLATE(A5246 , ""tr"" , ""en"")"),"@drfahrettinka Mr. Minister This place is also the last week you close South Africa! You trust these results .. https://t.co/cukkoiuoqg")</f>
        <v>@drfahrettinka Mr. Minister This place is also the last week you close South Africa! You trust these results .. https://t.co/cukkoiuoqg</v>
      </c>
    </row>
    <row r="8448" spans="1:5" ht="15" customHeight="1" x14ac:dyDescent="0.2">
      <c r="A8448" s="1" t="s">
        <v>16814</v>
      </c>
      <c r="B8448" s="1">
        <v>5</v>
      </c>
      <c r="C8448" s="3">
        <v>44537.770243055558</v>
      </c>
      <c r="D8448" s="1" t="s">
        <v>16815</v>
      </c>
      <c r="E8448" s="1" t="str">
        <f ca="1">IFERROR(__xludf.DUMMYFUNCTION("GOOGLETRANSLATE(A5247 , ""tr"" , ""en"")"),"@drfahrettinkoca Mr. Ministered many times I have written in the items, the side effects and exceeded people ... https://t.co/uymsxuifo5")</f>
        <v>@drfahrettinkoca Mr. Ministered many times I have written in the items, the side effects and exceeded people ... https://t.co/uymsxuifo5</v>
      </c>
    </row>
    <row r="8449" spans="1:5" ht="15" customHeight="1" x14ac:dyDescent="0.2">
      <c r="A8449" s="1" t="s">
        <v>16816</v>
      </c>
      <c r="B8449" s="1">
        <v>2</v>
      </c>
      <c r="C8449" s="3">
        <v>44537.770046296297</v>
      </c>
      <c r="D8449" s="1" t="s">
        <v>16817</v>
      </c>
      <c r="E8449" s="1" t="str">
        <f ca="1">IFERROR(__xludf.DUMMYFUNCTION("GOOGLETRANSLATE(A5248 , ""tr"" , ""en"")"),"@drfahrettinka vaccines missing more than 2mi merala missing more.")</f>
        <v>@drfahrettinka vaccines missing more than 2mi merala missing more.</v>
      </c>
    </row>
    <row r="8450" spans="1:5" ht="15" customHeight="1" x14ac:dyDescent="0.2">
      <c r="A8450" s="1" t="s">
        <v>16818</v>
      </c>
      <c r="B8450" s="1">
        <v>2</v>
      </c>
      <c r="C8450" s="3">
        <v>44537.77003472222</v>
      </c>
      <c r="D8450" s="1" t="s">
        <v>16819</v>
      </c>
      <c r="E8450" s="1" t="str">
        <f ca="1">IFERROR(__xludf.DUMMYFUNCTION("GOOGLETRANSLATE(A5249 , ""tr"" , ""en"")"),"@drfahrettinkoca inshallah Needleless syringe is new fashion, I'm also persuaded from the needle so after this picture ... https://t.co/ooxrzbcsk")</f>
        <v>@drfahrettinkoca inshallah Needleless syringe is new fashion, I'm also persuaded from the needle so after this picture ... https://t.co/ooxrzbcsk</v>
      </c>
    </row>
    <row r="8451" spans="1:5" ht="15" customHeight="1" x14ac:dyDescent="0.2">
      <c r="A8451" s="1" t="s">
        <v>16820</v>
      </c>
      <c r="B8451" s="1">
        <v>8</v>
      </c>
      <c r="C8451" s="3">
        <v>44537.769965277781</v>
      </c>
      <c r="D8451" s="1" t="s">
        <v>16821</v>
      </c>
      <c r="E8451" s="1" t="str">
        <f ca="1">IFERROR(__xludf.DUMMYFUNCTION("GOOGLETRANSLATE(A5250 , ""tr"" , ""en"")"),"@drfahrettinkoca is to trust? 😂😂 What we said to keep you trust 2 years Nation with false treatment with false province ... https://t.co/qgoe7lfuyt")</f>
        <v>@drfahrettinkoca is to trust? 😂😂 What we said to keep you trust 2 years Nation with false treatment with false province ... https://t.co/qgoe7lfuyt</v>
      </c>
    </row>
    <row r="8452" spans="1:5" ht="15" customHeight="1" x14ac:dyDescent="0.2">
      <c r="A8452" s="1" t="s">
        <v>16822</v>
      </c>
      <c r="B8452" s="1">
        <v>0</v>
      </c>
      <c r="C8452" s="3">
        <v>44537.769560185188</v>
      </c>
      <c r="D8452" s="1" t="s">
        <v>16823</v>
      </c>
      <c r="E8452" s="1" t="str">
        <f ca="1">IFERROR(__xludf.DUMMYFUNCTION("GOOGLETRANSLATE(A5251 , ""tr"" , ""en"")"),"@drfahrettinkoca vallahi still dropping tivites as i left tivites no changes copy paste")</f>
        <v>@drfahrettinkoca vallahi still dropping tivites as i left tivites no changes copy paste</v>
      </c>
    </row>
    <row r="8453" spans="1:5" ht="15" customHeight="1" x14ac:dyDescent="0.2">
      <c r="A8453" s="1" t="s">
        <v>16824</v>
      </c>
      <c r="B8453" s="1">
        <v>0</v>
      </c>
      <c r="C8453" s="3">
        <v>44537.769432870373</v>
      </c>
      <c r="D8453" s="1" t="s">
        <v>16825</v>
      </c>
      <c r="E8453" s="1" t="str">
        <f ca="1">IFERROR(__xludf.DUMMYFUNCTION("GOOGLETRANSLATE(A5252 , ""tr"" , ""en"")"),"@drfahrettinka vaccine condition. Should be made mandatory")</f>
        <v>@drfahrettinka vaccine condition. Should be made mandatory</v>
      </c>
    </row>
    <row r="8454" spans="1:5" ht="15" customHeight="1" x14ac:dyDescent="0.2">
      <c r="A8454" s="1" t="s">
        <v>16826</v>
      </c>
      <c r="B8454" s="1">
        <v>0</v>
      </c>
      <c r="C8454" s="3">
        <v>44537.769224537034</v>
      </c>
      <c r="D8454" s="1" t="s">
        <v>16827</v>
      </c>
      <c r="E8454" s="1" t="str">
        <f ca="1">IFERROR(__xludf.DUMMYFUNCTION("GOOGLETRANSLATE(A5253 , ""tr"" , ""en"")"),"@drfahrettinka https://t.co/69oldvwjgw")</f>
        <v>@drfahrettinka https://t.co/69oldvwjgw</v>
      </c>
    </row>
    <row r="8455" spans="1:5" ht="15" customHeight="1" x14ac:dyDescent="0.2">
      <c r="A8455" s="1" t="s">
        <v>16828</v>
      </c>
      <c r="B8455" s="1">
        <v>0</v>
      </c>
      <c r="C8455" s="3">
        <v>44537.769085648149</v>
      </c>
      <c r="D8455" s="1" t="s">
        <v>16829</v>
      </c>
      <c r="E8455" s="1" t="str">
        <f ca="1">IFERROR(__xludf.DUMMYFUNCTION("GOOGLETRANSLATE(A5254 , ""tr"" , ""en"")"),"@drfahrettinka vaccine what does it mean exactly?")</f>
        <v>@drfahrettinka vaccine what does it mean exactly?</v>
      </c>
    </row>
    <row r="8456" spans="1:5" ht="15" customHeight="1" x14ac:dyDescent="0.2">
      <c r="A8456" s="1" t="s">
        <v>16830</v>
      </c>
      <c r="B8456" s="1">
        <v>4</v>
      </c>
      <c r="C8456" s="3">
        <v>44537.768865740742</v>
      </c>
      <c r="D8456" s="1" t="s">
        <v>16831</v>
      </c>
      <c r="E8456" s="1" t="str">
        <f ca="1">IFERROR(__xludf.DUMMYFUNCTION("GOOGLETRANSLATE(A5255 , ""tr"" , ""en"")"),"@drfahrettinkoca Remote Education We want to hear our voice # Kabineuzakaktanıtitimsart")</f>
        <v>@drfahrettinkoca Remote Education We want to hear our voice # Kabineuzakaktanıtitimsart</v>
      </c>
    </row>
    <row r="8457" spans="1:5" ht="15" customHeight="1" x14ac:dyDescent="0.2">
      <c r="A8457" s="1" t="s">
        <v>16832</v>
      </c>
      <c r="B8457" s="1">
        <v>5</v>
      </c>
      <c r="C8457" s="3">
        <v>44537.768564814818</v>
      </c>
      <c r="D8457" s="1" t="s">
        <v>16833</v>
      </c>
      <c r="E8457" s="1" t="str">
        <f ca="1">IFERROR(__xludf.DUMMYFUNCTION("GOOGLETRANSLATE(A5256 , ""tr"" , ""en"")"),"@drfahrettinkoca # kabineuzaktanılitimsart")</f>
        <v>@drfahrettinkoca # kabineuzaktanılitimsart</v>
      </c>
    </row>
    <row r="8458" spans="1:5" ht="15" customHeight="1" x14ac:dyDescent="0.2">
      <c r="A8458" s="1" t="s">
        <v>16834</v>
      </c>
      <c r="B8458" s="1">
        <v>3</v>
      </c>
      <c r="C8458" s="3">
        <v>44537.768460648149</v>
      </c>
      <c r="D8458" s="1" t="s">
        <v>16835</v>
      </c>
      <c r="E8458" s="1" t="str">
        <f ca="1">IFERROR(__xludf.DUMMYFUNCTION("GOOGLETRANSLATE(A5257 , ""tr"" , ""en"")"),"@drfahrettinkoca Democracy Democracy under the name of civilization in the civilization of the devil system for years ... https://t.co/wmrvbajotr")</f>
        <v>@drfahrettinkoca Democracy Democracy under the name of civilization in the civilization of the devil system for years ... https://t.co/wmrvbajotr</v>
      </c>
    </row>
    <row r="8459" spans="1:5" ht="15" customHeight="1" x14ac:dyDescent="0.2">
      <c r="A8459" s="1" t="s">
        <v>16836</v>
      </c>
      <c r="B8459" s="1">
        <v>0</v>
      </c>
      <c r="C8459" s="3">
        <v>44537.76829861111</v>
      </c>
      <c r="D8459" s="1" t="s">
        <v>16837</v>
      </c>
      <c r="E8459" s="1" t="str">
        <f ca="1">IFERROR(__xludf.DUMMYFUNCTION("GOOGLETRANSLATE(A5258 , ""tr"" , ""en"")"),"@drfahrettinkoca% what time will be society immunity the famous prof. Members of the delegation?")</f>
        <v>@drfahrettinkoca% what time will be society immunity the famous prof. Members of the delegation?</v>
      </c>
    </row>
    <row r="8460" spans="1:5" ht="15" customHeight="1" x14ac:dyDescent="0.2">
      <c r="A8460" s="1" t="s">
        <v>16838</v>
      </c>
      <c r="B8460" s="1">
        <v>0</v>
      </c>
      <c r="C8460" s="3">
        <v>44537.768229166664</v>
      </c>
      <c r="D8460" s="1" t="s">
        <v>16839</v>
      </c>
      <c r="E8460" s="1" t="str">
        <f ca="1">IFERROR(__xludf.DUMMYFUNCTION("GOOGLETRANSLATE(A5259 , ""tr"" , ""en"")"),"@drfahrettinkoca blank man.")</f>
        <v>@drfahrettinkoca blank man.</v>
      </c>
    </row>
    <row r="8461" spans="1:5" ht="15" customHeight="1" x14ac:dyDescent="0.2">
      <c r="A8461" s="1" t="s">
        <v>16840</v>
      </c>
      <c r="B8461" s="1">
        <v>0</v>
      </c>
      <c r="C8461" s="3">
        <v>44537.767800925925</v>
      </c>
      <c r="D8461" s="1" t="s">
        <v>16841</v>
      </c>
      <c r="E8461" s="1" t="str">
        <f ca="1">IFERROR(__xludf.DUMMYFUNCTION("GOOGLETRANSLATE(A5260 , ""tr"" , ""en"")"),"@drfahrettinkoca these inudo are gone not over bi ..")</f>
        <v>@drfahrettinkoca these inudo are gone not over bi ..</v>
      </c>
    </row>
    <row r="8462" spans="1:5" ht="15" customHeight="1" x14ac:dyDescent="0.2">
      <c r="A8462" s="1" t="s">
        <v>16842</v>
      </c>
      <c r="B8462" s="1">
        <v>2</v>
      </c>
      <c r="C8462" s="3">
        <v>44537.767708333333</v>
      </c>
      <c r="D8462" s="1" t="s">
        <v>16843</v>
      </c>
      <c r="E8462" s="1" t="str">
        <f ca="1">IFERROR(__xludf.DUMMYFUNCTION("GOOGLETRANSLATE(A5261 , ""tr"" , ""en"")"),"@drfahrettinkoca guide guide guide guide guide guide guide guide guide guide guide guide kina ... https://t.co/yknf26133n")</f>
        <v>@drfahrettinkoca guide guide guide guide guide guide guide guide guide guide guide guide kina ... https://t.co/yknf26133n</v>
      </c>
    </row>
    <row r="8463" spans="1:5" ht="15" customHeight="1" x14ac:dyDescent="0.2">
      <c r="A8463" s="1" t="s">
        <v>16844</v>
      </c>
      <c r="B8463" s="1">
        <v>0</v>
      </c>
      <c r="C8463" s="3">
        <v>44537.76766203704</v>
      </c>
      <c r="D8463" s="1" t="s">
        <v>16845</v>
      </c>
      <c r="E8463" s="1" t="str">
        <f ca="1">IFERROR(__xludf.DUMMYFUNCTION("GOOGLETRANSLATE(A5262 , ""tr"" , ""en"")"),"@drfahrettinkoca Ministry of Ministry We have to bring back the prohibition The weather has cooled into the classes of 40 people in a crowded class ... https://t.co/nanq16ofpc")</f>
        <v>@drfahrettinkoca Ministry of Ministry We have to bring back the prohibition The weather has cooled into the classes of 40 people in a crowded class ... https://t.co/nanq16ofpc</v>
      </c>
    </row>
    <row r="8464" spans="1:5" ht="15" customHeight="1" x14ac:dyDescent="0.2">
      <c r="A8464" s="1" t="s">
        <v>16846</v>
      </c>
      <c r="B8464" s="1">
        <v>0</v>
      </c>
      <c r="C8464" s="3">
        <v>44537.767256944448</v>
      </c>
      <c r="D8464" s="1" t="s">
        <v>16847</v>
      </c>
      <c r="E8464" s="1" t="str">
        <f ca="1">IFERROR(__xludf.DUMMYFUNCTION("GOOGLETRANSLATE(A5263 , ""tr"" , ""en"")"),"@drfahrettinkoca Stay out of the voic of the devils ... https://t.co/zx8uu8mgnj")</f>
        <v>@drfahrettinkoca Stay out of the voic of the devils ... https://t.co/zx8uu8mgnj</v>
      </c>
    </row>
    <row r="8465" spans="1:5" ht="15" customHeight="1" x14ac:dyDescent="0.2">
      <c r="A8465" s="1" t="s">
        <v>16848</v>
      </c>
      <c r="B8465" s="1">
        <v>24</v>
      </c>
      <c r="C8465" s="3">
        <v>44537.766828703701</v>
      </c>
      <c r="D8465" s="1" t="s">
        <v>16849</v>
      </c>
      <c r="E8465" s="1" t="str">
        <f ca="1">IFERROR(__xludf.DUMMYFUNCTION("GOOGLETRANSLATE(A5264 , ""tr"" , ""en"")"),"@drfahrettinkoca Dear Husband in 2017 if you are imported in 2017 if you are not kahin if you are not kahin at this time ... https://t.co/gvrkpt9i6p")</f>
        <v>@drfahrettinkoca Dear Husband in 2017 if you are imported in 2017 if you are not kahin if you are not kahin at this time ... https://t.co/gvrkpt9i6p</v>
      </c>
    </row>
    <row r="8466" spans="1:5" ht="15" customHeight="1" x14ac:dyDescent="0.2">
      <c r="A8466" s="1" t="s">
        <v>16850</v>
      </c>
      <c r="B8466" s="1">
        <v>1</v>
      </c>
      <c r="C8466" s="3">
        <v>44537.766168981485</v>
      </c>
      <c r="D8466" s="1" t="s">
        <v>16851</v>
      </c>
      <c r="E8466" s="1" t="str">
        <f ca="1">IFERROR(__xludf.DUMMYFUNCTION("GOOGLETRANSLATE(A5265 , ""tr"" , ""en"")"),"@drfahrettinkoca flu vaccine people cavid-19 a very quickly caught. Body should not fall out of strength.")</f>
        <v>@drfahrettinkoca flu vaccine people cavid-19 a very quickly caught. Body should not fall out of strength.</v>
      </c>
    </row>
    <row r="8467" spans="1:5" ht="15" customHeight="1" x14ac:dyDescent="0.2">
      <c r="A8467" s="1" t="s">
        <v>16852</v>
      </c>
      <c r="B8467" s="1">
        <v>1</v>
      </c>
      <c r="C8467" s="3">
        <v>44537.765590277777</v>
      </c>
      <c r="D8467" s="1" t="s">
        <v>16853</v>
      </c>
      <c r="E8467" s="1" t="str">
        <f ca="1">IFERROR(__xludf.DUMMYFUNCTION("GOOGLETRANSLATE(A5266 , ""tr"" , ""en"")"),"@drfahrettinkoca flu vaccine people who cannot be hit Covit 19 A very quickly caught. Body should not fall out of strength.")</f>
        <v>@drfahrettinkoca flu vaccine people who cannot be hit Covit 19 A very quickly caught. Body should not fall out of strength.</v>
      </c>
    </row>
    <row r="8468" spans="1:5" ht="15" customHeight="1" x14ac:dyDescent="0.2">
      <c r="A8468" s="1" t="s">
        <v>16854</v>
      </c>
      <c r="B8468" s="1">
        <v>1</v>
      </c>
      <c r="C8468" s="3">
        <v>44537.765266203707</v>
      </c>
      <c r="D8468" s="1" t="s">
        <v>16855</v>
      </c>
      <c r="E8468" s="1" t="str">
        <f ca="1">IFERROR(__xludf.DUMMYFUNCTION("GOOGLETRANSLATE(A5267 , ""tr"" , ""en"")"),"@drfahrettinkoca first 3rd Dose with the subject, how to don't find the map how to don't get a meaning of a meaning. OM ... https://t.co/iegqfq17zd")</f>
        <v>@drfahrettinkoca first 3rd Dose with the subject, how to don't find the map how to don't get a meaning of a meaning. OM ... https://t.co/iegqfq17zd</v>
      </c>
    </row>
    <row r="8469" spans="1:5" ht="15" customHeight="1" x14ac:dyDescent="0.2">
      <c r="A8469" s="1" t="s">
        <v>16856</v>
      </c>
      <c r="B8469" s="1">
        <v>0</v>
      </c>
      <c r="C8469" s="3">
        <v>44537.764432870368</v>
      </c>
      <c r="D8469" s="1" t="s">
        <v>16857</v>
      </c>
      <c r="E8469" s="1" t="str">
        <f ca="1">IFERROR(__xludf.DUMMYFUNCTION("GOOGLETRANSLATE(A5268 , ""tr"" , ""en"")"),"@drfahrettinkoca Covit Positive 3rdGun Our family physician still called. We can't get video appointments What hospitals, n ... https://t.co/dynsfjeecq")</f>
        <v>@drfahrettinkoca Covit Positive 3rdGun Our family physician still called. We can't get video appointments What hospitals, n ... https://t.co/dynsfjeecq</v>
      </c>
    </row>
    <row r="8470" spans="1:5" ht="15" customHeight="1" x14ac:dyDescent="0.2">
      <c r="A8470" s="1" t="s">
        <v>16858</v>
      </c>
      <c r="B8470" s="1">
        <v>0</v>
      </c>
      <c r="C8470" s="3">
        <v>44537.764398148145</v>
      </c>
      <c r="D8470" s="1" t="s">
        <v>16859</v>
      </c>
      <c r="E8470" s="1" t="str">
        <f ca="1">IFERROR(__xludf.DUMMYFUNCTION("GOOGLETRANSLATE(A5269 , ""tr"" , ""en"")"),"@drfahrettinkoca Maşallah goes 200 200 200")</f>
        <v>@drfahrettinkoca Maşallah goes 200 200 200</v>
      </c>
    </row>
    <row r="8471" spans="1:5" ht="15" customHeight="1" x14ac:dyDescent="0.2">
      <c r="A8471" s="1" t="s">
        <v>16860</v>
      </c>
      <c r="B8471" s="1">
        <v>1</v>
      </c>
      <c r="C8471" s="3">
        <v>44537.764039351852</v>
      </c>
      <c r="D8471" s="1" t="s">
        <v>16861</v>
      </c>
      <c r="E8471" s="1" t="str">
        <f ca="1">IFERROR(__xludf.DUMMYFUNCTION("GOOGLETRANSLATE(A5270 , ""tr"" , ""en"")"),"@drfahrettinkoca trust 😂")</f>
        <v>@drfahrettinkoca trust 😂</v>
      </c>
    </row>
    <row r="8472" spans="1:5" ht="15" customHeight="1" x14ac:dyDescent="0.2">
      <c r="A8472" s="1" t="s">
        <v>16862</v>
      </c>
      <c r="B8472" s="1">
        <v>32</v>
      </c>
      <c r="C8472" s="3">
        <v>44537.763321759259</v>
      </c>
      <c r="D8472" s="1" t="s">
        <v>16863</v>
      </c>
      <c r="E8472" s="1" t="str">
        <f ca="1">IFERROR(__xludf.DUMMYFUNCTION("GOOGLETRANSLATE(A5271 , ""tr"" , ""en"")"),"@drfahrettinkoca Hand Answer: There are heart patients in intensive care all over Turkey. An important part of them ... https://t.co/ydo7szla6j")</f>
        <v>@drfahrettinkoca Hand Answer: There are heart patients in intensive care all over Turkey. An important part of them ... https://t.co/ydo7szla6j</v>
      </c>
    </row>
    <row r="8473" spans="1:5" ht="15" customHeight="1" x14ac:dyDescent="0.2">
      <c r="A8473" s="1" t="s">
        <v>16864</v>
      </c>
      <c r="B8473" s="1">
        <v>0</v>
      </c>
      <c r="C8473" s="3">
        <v>44537.763298611113</v>
      </c>
      <c r="D8473" s="1" t="s">
        <v>16865</v>
      </c>
      <c r="E8473" s="1" t="str">
        <f ca="1">IFERROR(__xludf.DUMMYFUNCTION("GOOGLETRANSLATE(A5272 , ""tr"" , ""en"")"),"?")</f>
        <v>?</v>
      </c>
    </row>
    <row r="8474" spans="1:5" ht="15" customHeight="1" x14ac:dyDescent="0.2">
      <c r="A8474" s="1" t="s">
        <v>16866</v>
      </c>
      <c r="B8474" s="1">
        <v>0</v>
      </c>
      <c r="C8474" s="3">
        <v>44537.763043981482</v>
      </c>
      <c r="D8474" s="1" t="s">
        <v>16867</v>
      </c>
      <c r="E8474" s="1" t="str">
        <f ca="1">IFERROR(__xludf.DUMMYFUNCTION("GOOGLETRANSLATE(A5273 , ""tr"" , ""en"")"),"@drfahrettinkoca Mr. Minister, 5 11 Why do you not define the vaccines, no measures in schools, continue the child in schools ... https://t.co/1zgzacy0ln")</f>
        <v>@drfahrettinkoca Mr. Minister, 5 11 Why do you not define the vaccines, no measures in schools, continue the child in schools ... https://t.co/1zgzacy0ln</v>
      </c>
    </row>
    <row r="8475" spans="1:5" ht="15" customHeight="1" x14ac:dyDescent="0.2">
      <c r="A8475" s="1" t="s">
        <v>16868</v>
      </c>
      <c r="B8475" s="1">
        <v>3</v>
      </c>
      <c r="C8475" s="3">
        <v>44537.762557870374</v>
      </c>
      <c r="D8475" s="1" t="s">
        <v>16869</v>
      </c>
      <c r="E8475" s="1" t="str">
        <f ca="1">IFERROR(__xludf.DUMMYFUNCTION("GOOGLETRANSLATE(A5274 , ""tr"" , ""en"")"),"@drfahrettinkoca Mr. Minister .. Such news is coming out everywhere. How many people killed in our country? Humans Hal ... https://t.co/hqtc8ozhd7")</f>
        <v>@drfahrettinkoca Mr. Minister .. Such news is coming out everywhere. How many people killed in our country? Humans Hal ... https://t.co/hqtc8ozhd7</v>
      </c>
    </row>
    <row r="8476" spans="1:5" ht="15" customHeight="1" x14ac:dyDescent="0.2">
      <c r="A8476" s="1" t="s">
        <v>16870</v>
      </c>
      <c r="B8476" s="1">
        <v>0</v>
      </c>
      <c r="C8476" s="3">
        <v>44537.762164351851</v>
      </c>
      <c r="D8476" s="1" t="s">
        <v>16871</v>
      </c>
      <c r="E8476" s="1" t="str">
        <f ca="1">IFERROR(__xludf.DUMMYFUNCTION("GOOGLETRANSLATE(A5275 , ""tr"" , ""en"")"),"@drfahrettinkoca 666 ...... gathers together")</f>
        <v>@drfahrettinkoca 666 ...... gathers together</v>
      </c>
    </row>
    <row r="8477" spans="1:5" ht="15" customHeight="1" x14ac:dyDescent="0.2">
      <c r="A8477" s="1" t="s">
        <v>16872</v>
      </c>
      <c r="B8477" s="1">
        <v>0</v>
      </c>
      <c r="C8477" s="3">
        <v>44537.761388888888</v>
      </c>
      <c r="D8477" s="1" t="s">
        <v>16873</v>
      </c>
      <c r="E8477" s="1" t="str">
        <f ca="1">IFERROR(__xludf.DUMMYFUNCTION("GOOGLETRANSLATE(A5276 , ""tr"" , ""en"")"),"@drfahrettinkoca Tweet throwing outbreaks")</f>
        <v>@drfahrettinkoca Tweet throwing outbreaks</v>
      </c>
    </row>
    <row r="8478" spans="1:5" ht="15" customHeight="1" x14ac:dyDescent="0.2">
      <c r="A8478" s="1" t="s">
        <v>16874</v>
      </c>
      <c r="B8478" s="1">
        <v>0</v>
      </c>
      <c r="C8478" s="3">
        <v>44537.76121527778</v>
      </c>
      <c r="D8478" s="1" t="s">
        <v>16875</v>
      </c>
      <c r="E8478" s="1" t="str">
        <f ca="1">IFERROR(__xludf.DUMMYFUNCTION("GOOGLETRANSLATE(A5277 , ""tr"" , ""en"")"),"@drfahrettinkoca 🇹🇷RKOVAC🇹 We have made our application for Mr. Ministry @drfahrettinkoca https://t.co/labyhagpsp")</f>
        <v>@drfahrettinkoca 🇹🇷RKOVAC🇹 We have made our application for Mr. Ministry @drfahrettinkoca https://t.co/labyhagpsp</v>
      </c>
    </row>
    <row r="8479" spans="1:5" ht="15" customHeight="1" x14ac:dyDescent="0.2">
      <c r="A8479" s="1" t="s">
        <v>16876</v>
      </c>
      <c r="B8479" s="1">
        <v>0</v>
      </c>
      <c r="C8479" s="3">
        <v>44537.761111111111</v>
      </c>
      <c r="D8479" s="1" t="s">
        <v>16877</v>
      </c>
      <c r="E8479" s="1" t="str">
        <f ca="1">IFERROR(__xludf.DUMMYFUNCTION("GOOGLETRANSLATE(A5278 , ""tr"" , ""en"")"),"@drfahrettinka Ditto my brother is jealous in Germany already")</f>
        <v>@drfahrettinka Ditto my brother is jealous in Germany already</v>
      </c>
    </row>
    <row r="8480" spans="1:5" ht="15" customHeight="1" x14ac:dyDescent="0.2">
      <c r="A8480" s="1" t="s">
        <v>16878</v>
      </c>
      <c r="B8480" s="1">
        <v>2</v>
      </c>
      <c r="C8480" s="3">
        <v>44537.760277777779</v>
      </c>
      <c r="D8480" s="1" t="s">
        <v>16879</v>
      </c>
      <c r="E8480" s="1" t="str">
        <f ca="1">IFERROR(__xludf.DUMMYFUNCTION("GOOGLETRANSLATE(A5279 , ""tr"" , ""en"")"),"@drfahrettinkoca Koskoca Minister of our Ministry of Statistics ""An important part of the people"" to cool out of the vaccine because you are not any convincing ...")</f>
        <v>@drfahrettinkoca Koskoca Minister of our Ministry of Statistics "An important part of the people" to cool out of the vaccine because you are not any convincing ...</v>
      </c>
    </row>
    <row r="8481" spans="1:5" ht="15" customHeight="1" x14ac:dyDescent="0.2">
      <c r="A8481" s="1" t="s">
        <v>16880</v>
      </c>
      <c r="B8481" s="1">
        <v>0</v>
      </c>
      <c r="C8481" s="3">
        <v>44537.759583333333</v>
      </c>
      <c r="D8481" s="1" t="s">
        <v>16881</v>
      </c>
      <c r="E8481" s="1" t="str">
        <f ca="1">IFERROR(__xludf.DUMMYFUNCTION("GOOGLETRANSLATE(A5280 , ""tr"" , ""en"")"),"@drfahrettinka laf curling fahrettin kocaa")</f>
        <v>@drfahrettinka laf curling fahrettin kocaa</v>
      </c>
    </row>
    <row r="8482" spans="1:5" ht="15" customHeight="1" x14ac:dyDescent="0.2">
      <c r="A8482" s="1" t="s">
        <v>16882</v>
      </c>
      <c r="B8482" s="1">
        <v>1</v>
      </c>
      <c r="C8482" s="3">
        <v>44537.759247685186</v>
      </c>
      <c r="D8482" s="1" t="s">
        <v>16883</v>
      </c>
      <c r="E8482" s="1" t="str">
        <f ca="1">IFERROR(__xludf.DUMMYFUNCTION("GOOGLETRANSLATE(A5281 , ""tr"" , ""en"")"),"@drfahrettinkoca KC is the full dose when you dose.5-10-15.")</f>
        <v>@drfahrettinkoca KC is the full dose when you dose.5-10-15.</v>
      </c>
    </row>
    <row r="8483" spans="1:5" ht="15" customHeight="1" x14ac:dyDescent="0.2">
      <c r="A8483" s="1" t="s">
        <v>16884</v>
      </c>
      <c r="B8483" s="1">
        <v>0</v>
      </c>
      <c r="C8483" s="3">
        <v>44537.758888888886</v>
      </c>
      <c r="D8483" s="1" t="s">
        <v>16885</v>
      </c>
      <c r="E8483" s="1" t="str">
        <f ca="1">IFERROR(__xludf.DUMMYFUNCTION("GOOGLETRANSLATE(A5282 , ""tr"" , ""en"")"),"@drfahrettinkoca Do you express the concept of greatly minister in numbers? For example, how many people or percentage is ... https://t.co/ofsm5jjopj")</f>
        <v>@drfahrettinkoca Do you express the concept of greatly minister in numbers? For example, how many people or percentage is ... https://t.co/ofsm5jjopj</v>
      </c>
    </row>
    <row r="8484" spans="1:5" ht="15" customHeight="1" x14ac:dyDescent="0.2">
      <c r="A8484" s="1" t="s">
        <v>16886</v>
      </c>
      <c r="B8484" s="1">
        <v>37</v>
      </c>
      <c r="C8484" s="3">
        <v>44537.758645833332</v>
      </c>
      <c r="D8484" s="1" t="s">
        <v>16887</v>
      </c>
      <c r="E8484" s="1" t="str">
        <f ca="1">IFERROR(__xludf.DUMMYFUNCTION("GOOGLETRANSLATE(A5283 , ""tr"" , ""en"")"),"@drfahrettinkoca again as the bounced vaccine.")</f>
        <v>@drfahrettinkoca again as the bounced vaccine.</v>
      </c>
    </row>
    <row r="8485" spans="1:5" ht="15" customHeight="1" x14ac:dyDescent="0.2">
      <c r="A8485" s="1" t="s">
        <v>16888</v>
      </c>
      <c r="B8485" s="1">
        <v>12</v>
      </c>
      <c r="C8485" s="3">
        <v>44537.758518518516</v>
      </c>
      <c r="D8485" s="1" t="s">
        <v>16889</v>
      </c>
      <c r="E8485" s="1" t="str">
        <f ca="1">IFERROR(__xludf.DUMMYFUNCTION("GOOGLETRANSLATE(A5284 , ""tr"" , ""en"")"),"@drfahrettinka https://t.co/thawps1lbg")</f>
        <v>@drfahrettinka https://t.co/thawps1lbg</v>
      </c>
    </row>
    <row r="8486" spans="1:5" ht="15" customHeight="1" x14ac:dyDescent="0.2">
      <c r="A8486" s="1" t="s">
        <v>16890</v>
      </c>
      <c r="B8486" s="1">
        <v>0</v>
      </c>
      <c r="C8486" s="3">
        <v>44537.758402777778</v>
      </c>
      <c r="D8486" s="1" t="s">
        <v>16891</v>
      </c>
      <c r="E8486" s="1" t="str">
        <f ca="1">IFERROR(__xludf.DUMMYFUNCTION("GOOGLETRANSLATE(A5285 , ""tr"" , ""en"")"),"@drfahrettinkoca i see a lot of tweets that say that the disease is heavy.")</f>
        <v>@drfahrettinkoca i see a lot of tweets that say that the disease is heavy.</v>
      </c>
    </row>
    <row r="8487" spans="1:5" ht="15" customHeight="1" x14ac:dyDescent="0.2">
      <c r="A8487" s="1" t="s">
        <v>16892</v>
      </c>
      <c r="B8487" s="1">
        <v>0</v>
      </c>
      <c r="C8487" s="3">
        <v>44537.758090277777</v>
      </c>
      <c r="D8487" s="1" t="s">
        <v>16893</v>
      </c>
      <c r="E8487" s="1" t="str">
        <f ca="1">IFERROR(__xludf.DUMMYFUNCTION("GOOGLETRANSLATE(A5286 , ""tr"" , ""en"")"),"@drfahrettinkoca How many mini mini clots were today?")</f>
        <v>@drfahrettinkoca How many mini mini clots were today?</v>
      </c>
    </row>
    <row r="8488" spans="1:5" ht="15" customHeight="1" x14ac:dyDescent="0.2">
      <c r="A8488" s="1" t="s">
        <v>13312</v>
      </c>
      <c r="B8488" s="1">
        <v>0</v>
      </c>
      <c r="C8488" s="3">
        <v>44537.757881944446</v>
      </c>
      <c r="D8488" s="1" t="s">
        <v>16894</v>
      </c>
      <c r="E8488" s="1" t="str">
        <f ca="1">IFERROR(__xludf.DUMMYFUNCTION("GOOGLETRANSLATE(A5287 , ""tr"" , ""en"")"),"@drfahrettinkoca manuscript")</f>
        <v>@drfahrettinkoca manuscript</v>
      </c>
    </row>
    <row r="8489" spans="1:5" ht="15" customHeight="1" x14ac:dyDescent="0.2">
      <c r="A8489" s="1" t="s">
        <v>16895</v>
      </c>
      <c r="B8489" s="1">
        <v>0</v>
      </c>
      <c r="C8489" s="3">
        <v>44537.757511574076</v>
      </c>
      <c r="D8489" s="1" t="s">
        <v>16896</v>
      </c>
      <c r="E8489" s="1" t="str">
        <f ca="1">IFERROR(__xludf.DUMMYFUNCTION("GOOGLETRANSLATE(A5288 , ""tr"" , ""en"")"),"@drfahrettinkoca Guide?")</f>
        <v>@drfahrettinkoca Guide?</v>
      </c>
    </row>
    <row r="8490" spans="1:5" ht="15" customHeight="1" x14ac:dyDescent="0.2">
      <c r="A8490" s="1" t="s">
        <v>16897</v>
      </c>
      <c r="B8490" s="1">
        <v>0</v>
      </c>
      <c r="C8490" s="3">
        <v>44537.757476851853</v>
      </c>
      <c r="D8490" s="1" t="s">
        <v>16898</v>
      </c>
      <c r="E8490" s="1" t="str">
        <f ca="1">IFERROR(__xludf.DUMMYFUNCTION("GOOGLETRANSLATE(A5289 , ""tr"" , ""en"")"),"@drfahrettinkoca What is a detailing you from assigning you?")</f>
        <v>@drfahrettinkoca What is a detailing you from assigning you?</v>
      </c>
    </row>
    <row r="8491" spans="1:5" ht="15" customHeight="1" x14ac:dyDescent="0.2">
      <c r="A8491" s="1" t="s">
        <v>10074</v>
      </c>
      <c r="B8491" s="1">
        <v>0</v>
      </c>
      <c r="C8491" s="3">
        <v>44537.757256944446</v>
      </c>
      <c r="D8491" s="1" t="s">
        <v>16899</v>
      </c>
      <c r="E8491" s="1" t="str">
        <f ca="1">IFERROR(__xludf.DUMMYFUNCTION("GOOGLETRANSLATE(A5290 , ""tr"" , ""en"")"),"@drfahrettinkoca guide ???")</f>
        <v>@drfahrettinkoca guide ???</v>
      </c>
    </row>
    <row r="8492" spans="1:5" ht="15" customHeight="1" x14ac:dyDescent="0.2">
      <c r="A8492" s="1" t="s">
        <v>10058</v>
      </c>
      <c r="B8492" s="1">
        <v>0</v>
      </c>
      <c r="C8492" s="3">
        <v>44537.757152777776</v>
      </c>
      <c r="D8492" s="1" t="s">
        <v>16900</v>
      </c>
      <c r="E8492" s="1" t="str">
        <f ca="1">IFERROR(__xludf.DUMMYFUNCTION("GOOGLETRANSLATE(A5291 , ""tr"" , ""en"")"),"@drfahrettinkoca Guide")</f>
        <v>@drfahrettinkoca Guide</v>
      </c>
    </row>
    <row r="8493" spans="1:5" ht="15" customHeight="1" x14ac:dyDescent="0.2">
      <c r="A8493" s="1" t="s">
        <v>16901</v>
      </c>
      <c r="B8493" s="1">
        <v>0</v>
      </c>
      <c r="C8493" s="3">
        <v>44537.756944444445</v>
      </c>
      <c r="D8493" s="1" t="s">
        <v>16902</v>
      </c>
      <c r="E8493" s="1" t="str">
        <f ca="1">IFERROR(__xludf.DUMMYFUNCTION("GOOGLETRANSLATE(A5292 , ""tr"" , ""en"")"),"@drfahrettinkoca we were fed up now hear our voice please assign our voice")</f>
        <v>@drfahrettinkoca we were fed up now hear our voice please assign our voice</v>
      </c>
    </row>
    <row r="8494" spans="1:5" ht="15" customHeight="1" x14ac:dyDescent="0.2">
      <c r="A8494" s="1" t="s">
        <v>16903</v>
      </c>
      <c r="B8494" s="1">
        <v>0</v>
      </c>
      <c r="C8494" s="3">
        <v>44537.755983796298</v>
      </c>
      <c r="D8494" s="1" t="s">
        <v>16904</v>
      </c>
      <c r="E8494" s="1" t="str">
        <f ca="1">IFERROR(__xludf.DUMMYFUNCTION("GOOGLETRANSLATE(A5293 , ""tr"" , ""en"")"),"@drfahrettinkoca behind the rest of the 10 months of the remaining reliability maybe. The data you will now explain ... https://t.co/xghjntkja4")</f>
        <v>@drfahrettinkoca behind the rest of the 10 months of the remaining reliability maybe. The data you will now explain ... https://t.co/xghjntkja4</v>
      </c>
    </row>
    <row r="8495" spans="1:5" ht="15" customHeight="1" x14ac:dyDescent="0.2">
      <c r="A8495" s="1" t="s">
        <v>16905</v>
      </c>
      <c r="B8495" s="1">
        <v>0</v>
      </c>
      <c r="C8495" s="3">
        <v>44537.755254629628</v>
      </c>
      <c r="D8495" s="1" t="s">
        <v>16906</v>
      </c>
      <c r="E8495" s="1" t="str">
        <f ca="1">IFERROR(__xludf.DUMMYFUNCTION("GOOGLETRANSLATE(A5294 , ""tr"" , ""en"")"),"@drfahrettinkoca why is blood taking off bungun")</f>
        <v>@drfahrettinkoca why is blood taking off bungun</v>
      </c>
    </row>
    <row r="8496" spans="1:5" ht="15" customHeight="1" x14ac:dyDescent="0.2">
      <c r="A8496" s="1" t="s">
        <v>16907</v>
      </c>
      <c r="B8496" s="1">
        <v>1</v>
      </c>
      <c r="C8496" s="3">
        <v>44537.755254629628</v>
      </c>
      <c r="D8496" s="1" t="s">
        <v>16908</v>
      </c>
      <c r="E8496" s="1" t="str">
        <f ca="1">IFERROR(__xludf.DUMMYFUNCTION("GOOGLETRANSLATE(A5295 , ""tr"" , ""en"")"),"@drfahrettinkoca guide forgotten to be forgotten and tired of uncertainty")</f>
        <v>@drfahrettinkoca guide forgotten to be forgotten and tired of uncertainty</v>
      </c>
    </row>
    <row r="8497" spans="1:5" ht="15" customHeight="1" x14ac:dyDescent="0.2">
      <c r="A8497" s="1" t="s">
        <v>16909</v>
      </c>
      <c r="B8497" s="1">
        <v>0</v>
      </c>
      <c r="C8497" s="3">
        <v>44537.755219907405</v>
      </c>
      <c r="D8497" s="1" t="s">
        <v>16910</v>
      </c>
      <c r="E8497" s="1" t="str">
        <f ca="1">IFERROR(__xludf.DUMMYFUNCTION("GOOGLETRANSLATE(A5296 , ""tr"" , ""en"")"),"@drfahrettinkoca Allah is enough for the sake of Allah now Our lives are at the stop point. There are thousands of teenagers that connect everything to this purchase")</f>
        <v>@drfahrettinkoca Allah is enough for the sake of Allah now Our lives are at the stop point. There are thousands of teenagers that connect everything to this purchase</v>
      </c>
    </row>
    <row r="8498" spans="1:5" ht="15" customHeight="1" x14ac:dyDescent="0.2">
      <c r="A8498" s="1" t="s">
        <v>16911</v>
      </c>
      <c r="B8498" s="1">
        <v>0</v>
      </c>
      <c r="C8498" s="3">
        <v>44537.754756944443</v>
      </c>
      <c r="D8498" s="1" t="s">
        <v>16912</v>
      </c>
      <c r="E8498" s="1" t="str">
        <f ca="1">IFERROR(__xludf.DUMMYFUNCTION("GOOGLETRANSLATE(A5297 , ""tr"" , ""en"")"),"@drfahrettinkoca yahu is enough to don't want to make the same territories every day")</f>
        <v>@drfahrettinkoca yahu is enough to don't want to make the same territories every day</v>
      </c>
    </row>
    <row r="8499" spans="1:5" ht="15" customHeight="1" x14ac:dyDescent="0.2">
      <c r="A8499" s="1" t="s">
        <v>16913</v>
      </c>
      <c r="B8499" s="1">
        <v>1</v>
      </c>
      <c r="C8499" s="3">
        <v>44537.754120370373</v>
      </c>
      <c r="D8499" s="1" t="s">
        <v>16914</v>
      </c>
      <c r="E8499" s="1" t="str">
        <f ca="1">IFERROR(__xludf.DUMMYFUNCTION("GOOGLETRANSLATE(A5298 , ""tr"" , ""en"")"),"What is your opinion of the cities where @drfahrettinkoca cases are the highest? @drfahrettinkoca")</f>
        <v>What is your opinion of the cities where @drfahrettinkoca cases are the highest? @drfahrettinkoca</v>
      </c>
    </row>
    <row r="8500" spans="1:5" ht="15" customHeight="1" x14ac:dyDescent="0.2">
      <c r="A8500" s="1" t="s">
        <v>16915</v>
      </c>
      <c r="B8500" s="1">
        <v>0</v>
      </c>
      <c r="C8500" s="3">
        <v>44537.753680555557</v>
      </c>
      <c r="D8500" s="1" t="s">
        <v>16916</v>
      </c>
      <c r="E8500" s="1" t="str">
        <f ca="1">IFERROR(__xludf.DUMMYFUNCTION("GOOGLETRANSLATE(A5299 , ""tr"" , ""en"")"),"@drfahrettinka let's get our vaccines please")</f>
        <v>@drfahrettinka let's get our vaccines please</v>
      </c>
    </row>
    <row r="8501" spans="1:5" ht="15" customHeight="1" x14ac:dyDescent="0.2">
      <c r="A8501" s="1" t="s">
        <v>16917</v>
      </c>
      <c r="B8501" s="1">
        <v>1</v>
      </c>
      <c r="C8501" s="3">
        <v>44537.753379629627</v>
      </c>
      <c r="D8501" s="1" t="s">
        <v>16918</v>
      </c>
      <c r="E8501" s="1" t="str">
        <f ca="1">IFERROR(__xludf.DUMMYFUNCTION("GOOGLETRANSLATE(A5300 , ""tr"" , ""en"")"),"@drfahrettinkoca honestly we've been overcome all of you, but we don't expect any honesty to say that it didn't work no longer from you ... PC ... https://t.co/gm4zfanctw")</f>
        <v>@drfahrettinkoca honestly we've been overcome all of you, but we don't expect any honesty to say that it didn't work no longer from you ... PC ... https://t.co/gm4zfanctw</v>
      </c>
    </row>
    <row r="8502" spans="1:5" ht="15" customHeight="1" x14ac:dyDescent="0.2">
      <c r="A8502" s="1" t="s">
        <v>16919</v>
      </c>
      <c r="B8502" s="1">
        <v>0</v>
      </c>
      <c r="C8502" s="3">
        <v>44537.752916666665</v>
      </c>
      <c r="D8502" s="1" t="s">
        <v>16920</v>
      </c>
      <c r="E8502" s="1" t="str">
        <f ca="1">IFERROR(__xludf.DUMMYFUNCTION("GOOGLETRANSLATE(A5301 , ""tr"" , ""en"")"),"@drfahrettinka Dear Minister If the vaccine is safe, do not sign before the vaccine.")</f>
        <v>@drfahrettinka Dear Minister If the vaccine is safe, do not sign before the vaccine.</v>
      </c>
    </row>
    <row r="8503" spans="1:5" ht="15" customHeight="1" x14ac:dyDescent="0.2">
      <c r="A8503" s="1" t="s">
        <v>16921</v>
      </c>
      <c r="B8503" s="1">
        <v>0</v>
      </c>
      <c r="C8503" s="3">
        <v>44537.751215277778</v>
      </c>
      <c r="D8503" s="1" t="s">
        <v>16922</v>
      </c>
      <c r="E8503" s="1" t="str">
        <f ca="1">IFERROR(__xludf.DUMMYFUNCTION("GOOGLETRANSLATE(A5302 , ""tr"" , ""en"")"),"@drfahrettinkoca lie")</f>
        <v>@drfahrettinkoca lie</v>
      </c>
    </row>
    <row r="8504" spans="1:5" ht="15" customHeight="1" x14ac:dyDescent="0.2">
      <c r="A8504" s="1" t="s">
        <v>16923</v>
      </c>
      <c r="B8504" s="1">
        <v>0</v>
      </c>
      <c r="C8504" s="3">
        <v>44537.750717592593</v>
      </c>
      <c r="D8504" s="1" t="s">
        <v>16924</v>
      </c>
      <c r="E8504" s="1" t="str">
        <f ca="1">IFERROR(__xludf.DUMMYFUNCTION("GOOGLETRANSLATE(A5303 , ""tr"" , ""en"")"),"@drfahrettinkoca I've skipped nothing out of the headache without vaccinations without feeling anything but someone explain me if someone")</f>
        <v>@drfahrettinkoca I've skipped nothing out of the headache without vaccinations without feeling anything but someone explain me if someone</v>
      </c>
    </row>
    <row r="8505" spans="1:5" ht="15" customHeight="1" x14ac:dyDescent="0.2">
      <c r="A8505" s="1" t="s">
        <v>16925</v>
      </c>
      <c r="B8505" s="1">
        <v>36</v>
      </c>
      <c r="C8505" s="3">
        <v>44537.750034722223</v>
      </c>
      <c r="D8505" s="1" t="s">
        <v>16926</v>
      </c>
      <c r="E8505" s="1" t="str">
        <f ca="1">IFERROR(__xludf.DUMMYFUNCTION("GOOGLETRANSLATE(A5304 , ""tr"" , ""en"")"),"@drfahrettinkoca Europe, even while the US has begun to vaccinate the 5-12 age group, our kids are infect according to the eye from school ... https ://t.co/tkbszrvzzj")</f>
        <v>@drfahrettinkoca Europe, even while the US has begun to vaccinate the 5-12 age group, our kids are infect according to the eye from school ... https ://t.co/tkbszrvzzj</v>
      </c>
    </row>
    <row r="8506" spans="1:5" ht="15" customHeight="1" x14ac:dyDescent="0.2">
      <c r="A8506" s="1" t="s">
        <v>16927</v>
      </c>
      <c r="B8506" s="1">
        <v>0</v>
      </c>
      <c r="C8506" s="3">
        <v>44537.749756944446</v>
      </c>
      <c r="D8506" s="1" t="s">
        <v>16928</v>
      </c>
      <c r="E8506" s="1" t="str">
        <f ca="1">IFERROR(__xludf.DUMMYFUNCTION("GOOGLETRANSLATE(A5305 , ""tr"" , ""en"")"),"@drfahrettinkoca is an important chapter, great odds.")</f>
        <v>@drfahrettinkoca is an important chapter, great odds.</v>
      </c>
    </row>
    <row r="8507" spans="1:5" ht="15" customHeight="1" x14ac:dyDescent="0.2">
      <c r="A8507" s="1" t="s">
        <v>16929</v>
      </c>
      <c r="B8507" s="1">
        <v>1</v>
      </c>
      <c r="C8507" s="3">
        <v>44537.749756944446</v>
      </c>
      <c r="D8507" s="1" t="s">
        <v>16930</v>
      </c>
      <c r="E8507" s="1" t="str">
        <f ca="1">IFERROR(__xludf.DUMMYFUNCTION("GOOGLETRANSLATE(A5306 , ""tr"" , ""en"")"),"@drfahrettinkoca #sonhekimgitme ....")</f>
        <v>@drfahrettinkoca #sonhekimgitme ....</v>
      </c>
    </row>
    <row r="8508" spans="1:5" ht="15" customHeight="1" x14ac:dyDescent="0.2">
      <c r="A8508" s="1" t="s">
        <v>16931</v>
      </c>
      <c r="B8508" s="1">
        <v>0</v>
      </c>
      <c r="C8508" s="3">
        <v>44537.749699074076</v>
      </c>
      <c r="D8508" s="1" t="s">
        <v>16932</v>
      </c>
      <c r="E8508" s="1" t="str">
        <f ca="1">IFERROR(__xludf.DUMMYFUNCTION("GOOGLETRANSLATE(A5307 , ""tr"" , ""en"")"),"@drfahrettinkoca not the opposite. We're not eating anymore!")</f>
        <v>@drfahrettinkoca not the opposite. We're not eating anymore!</v>
      </c>
    </row>
    <row r="8509" spans="1:5" ht="15" customHeight="1" x14ac:dyDescent="0.2">
      <c r="A8509" s="1" t="s">
        <v>16933</v>
      </c>
      <c r="B8509" s="1">
        <v>3</v>
      </c>
      <c r="C8509" s="3">
        <v>44537.749560185184</v>
      </c>
      <c r="D8509" s="1" t="s">
        <v>16934</v>
      </c>
      <c r="E8509" s="1" t="str">
        <f ca="1">IFERROR(__xludf.DUMMYFUNCTION("GOOGLETRANSLATE(A5308 , ""tr"" , ""en"")"),"@drfahrettinkoca Ağam is having fun with us")</f>
        <v>@drfahrettinkoca Ağam is having fun with us</v>
      </c>
    </row>
    <row r="8510" spans="1:5" ht="15" customHeight="1" x14ac:dyDescent="0.2">
      <c r="A8510" s="1" t="s">
        <v>16935</v>
      </c>
      <c r="B8510" s="1">
        <v>0</v>
      </c>
      <c r="C8510" s="3">
        <v>44537.749236111114</v>
      </c>
      <c r="D8510" s="1" t="s">
        <v>16936</v>
      </c>
      <c r="E8510" s="1" t="str">
        <f ca="1">IFERROR(__xludf.DUMMYFUNCTION("GOOGLETRANSLATE(A5309 , ""tr"" , ""en"")"),"@drfahrettinkoca Mr. Minister Still recognizing the vaccination of our children with chronic disease in the 5-11 age range ... https://t.co/sa0qkgp0at")</f>
        <v>@drfahrettinkoca Mr. Minister Still recognizing the vaccination of our children with chronic disease in the 5-11 age range ... https://t.co/sa0qkgp0at</v>
      </c>
    </row>
    <row r="8511" spans="1:5" ht="15" customHeight="1" x14ac:dyDescent="0.2">
      <c r="A8511" s="1" t="s">
        <v>16937</v>
      </c>
      <c r="B8511" s="1">
        <v>0</v>
      </c>
      <c r="C8511" s="3">
        <v>44537.749085648145</v>
      </c>
      <c r="D8511" s="1" t="s">
        <v>16938</v>
      </c>
      <c r="E8511" s="1" t="str">
        <f ca="1">IFERROR(__xludf.DUMMYFUNCTION("GOOGLETRANSLATE(A5310 , ""tr"" , ""en"")"),"@drfahrettinkca vaccine that started to die at the wheel of the vaccine, newly shows the effect and the media is no corporate news ... https://t.co/7yyalo9ajh")</f>
        <v>@drfahrettinkca vaccine that started to die at the wheel of the vaccine, newly shows the effect and the media is no corporate news ... https://t.co/7yyalo9ajh</v>
      </c>
    </row>
    <row r="8512" spans="1:5" ht="15" customHeight="1" x14ac:dyDescent="0.2">
      <c r="A8512" s="1" t="s">
        <v>16939</v>
      </c>
      <c r="B8512" s="1">
        <v>18</v>
      </c>
      <c r="C8512" s="3">
        <v>44537.748842592591</v>
      </c>
      <c r="D8512" s="1" t="s">
        <v>16940</v>
      </c>
      <c r="E8512" s="1" t="str">
        <f ca="1">IFERROR(__xludf.DUMMYFUNCTION("GOOGLETRANSLATE(A5311 , ""tr"" , ""en"")"),"@drfahrettinkoca What results don't have your lying table on your tables already have no vaccine and not guilty of it ... https://t.co/zdgdavmyhm")</f>
        <v>@drfahrettinkoca What results don't have your lying table on your tables already have no vaccine and not guilty of it ... https://t.co/zdgdavmyhm</v>
      </c>
    </row>
    <row r="8513" spans="1:5" ht="15" customHeight="1" x14ac:dyDescent="0.2">
      <c r="A8513" s="1" t="s">
        <v>16941</v>
      </c>
      <c r="B8513" s="1">
        <v>0</v>
      </c>
      <c r="C8513" s="3">
        <v>44537.748796296299</v>
      </c>
      <c r="D8513" s="1" t="s">
        <v>16942</v>
      </c>
      <c r="E8513" s="1" t="str">
        <f ca="1">IFERROR(__xludf.DUMMYFUNCTION("GOOGLETRANSLATE(A5312 , ""tr"" , ""en"")"),"@drfahrettinkoca We're fed up now from the guide begging")</f>
        <v>@drfahrettinkoca We're fed up now from the guide begging</v>
      </c>
    </row>
    <row r="8514" spans="1:5" ht="15" customHeight="1" x14ac:dyDescent="0.2">
      <c r="A8514" s="1" t="s">
        <v>16943</v>
      </c>
      <c r="B8514" s="1">
        <v>0</v>
      </c>
      <c r="C8514" s="3">
        <v>44537.748599537037</v>
      </c>
      <c r="D8514" s="1" t="s">
        <v>16944</v>
      </c>
      <c r="E8514" s="1" t="str">
        <f ca="1">IFERROR(__xludf.DUMMYFUNCTION("GOOGLETRANSLATE(A5313 , ""tr"" , ""en"")"),"@drfahrettinkoca ee guide?")</f>
        <v>@drfahrettinkoca ee guide?</v>
      </c>
    </row>
    <row r="8515" spans="1:5" ht="15" customHeight="1" x14ac:dyDescent="0.2">
      <c r="A8515" s="1" t="s">
        <v>16945</v>
      </c>
      <c r="B8515" s="1">
        <v>4</v>
      </c>
      <c r="C8515" s="3">
        <v>44537.748506944445</v>
      </c>
      <c r="D8515" s="1" t="s">
        <v>16946</v>
      </c>
      <c r="E8515" s="1" t="str">
        <f ca="1">IFERROR(__xludf.DUMMYFUNCTION("GOOGLETRANSLATE(A5314 , ""tr"" , ""en"")"),"@drfahrettinkoca Runt 3 dose were grafted, Covid was positive, while showing small symptoms, while the control hospital g ... https://t.co/qpcfvylsf2")</f>
        <v>@drfahrettinkoca Runt 3 dose were grafted, Covid was positive, while showing small symptoms, while the control hospital g ... https://t.co/qpcfvylsf2</v>
      </c>
    </row>
    <row r="8516" spans="1:5" ht="15" customHeight="1" x14ac:dyDescent="0.2">
      <c r="A8516" s="1" t="s">
        <v>16947</v>
      </c>
      <c r="B8516" s="1">
        <v>3</v>
      </c>
      <c r="C8516" s="3">
        <v>44537.748460648145</v>
      </c>
      <c r="D8516" s="1" t="s">
        <v>16948</v>
      </c>
      <c r="E8516" s="1" t="str">
        <f ca="1">IFERROR(__xludf.DUMMYFUNCTION("GOOGLETRANSLATE(A5315 , ""tr"" , ""en"")"),"@drfahrettinka vaccine and this disease without using the given drugs is very very lightly jumping but very f ... https://t.co/1tzczbqke9")</f>
        <v>@drfahrettinka vaccine and this disease without using the given drugs is very very lightly jumping but very f ... https://t.co/1tzczbqke9</v>
      </c>
    </row>
    <row r="8517" spans="1:5" ht="15" customHeight="1" x14ac:dyDescent="0.2">
      <c r="A8517" s="1" t="s">
        <v>16949</v>
      </c>
      <c r="B8517" s="1">
        <v>0</v>
      </c>
      <c r="C8517" s="3">
        <v>44537.748298611114</v>
      </c>
      <c r="D8517" s="1" t="s">
        <v>16950</v>
      </c>
      <c r="E8517" s="1" t="str">
        <f ca="1">IFERROR(__xludf.DUMMYFUNCTION("GOOGLETRANSLATE(A5316 , ""tr"" , ""en"")"),"@drfahrettinkoca wrote I wrote I delete ... Heart attack, the brain is increasing the events of clot in the brain ....")</f>
        <v>@drfahrettinkoca wrote I wrote I delete ... Heart attack, the brain is increasing the events of clot in the brain ....</v>
      </c>
    </row>
    <row r="8518" spans="1:5" ht="15" customHeight="1" x14ac:dyDescent="0.2">
      <c r="A8518" s="1" t="s">
        <v>16951</v>
      </c>
      <c r="B8518" s="1">
        <v>0</v>
      </c>
      <c r="C8518" s="3">
        <v>44537.748159722221</v>
      </c>
      <c r="D8518" s="1" t="s">
        <v>16952</v>
      </c>
      <c r="E8518" s="1" t="str">
        <f ca="1">IFERROR(__xludf.DUMMYFUNCTION("GOOGLETRANSLATE(A5317 , ""tr"" , ""en"")"),"@drfahrettinkoca The second dose rate was 80%, you are still talking about something. 5. If we see the 90% of the dose ... https://t.co/6jq0efvdvj")</f>
        <v>@drfahrettinkoca The second dose rate was 80%, you are still talking about something. 5. If we see the 90% of the dose ... https://t.co/6jq0efvdvj</v>
      </c>
    </row>
    <row r="8519" spans="1:5" ht="15" customHeight="1" x14ac:dyDescent="0.2">
      <c r="A8519" s="1" t="s">
        <v>16953</v>
      </c>
      <c r="B8519" s="1">
        <v>8</v>
      </c>
      <c r="C8519" s="3">
        <v>44537.747187499997</v>
      </c>
      <c r="D8519" s="1" t="s">
        <v>16954</v>
      </c>
      <c r="E8519" s="1" t="str">
        <f ca="1">IFERROR(__xludf.DUMMYFUNCTION("GOOGLETRANSLATE(A5318 , ""tr"" , ""en"")"),"@drfahrettinkoca Where is our health? # kabineuzaktanılitimsart")</f>
        <v>@drfahrettinkoca Where is our health? # kabineuzaktanılitimsart</v>
      </c>
    </row>
    <row r="8520" spans="1:5" ht="15" customHeight="1" x14ac:dyDescent="0.2">
      <c r="A8520" s="1" t="s">
        <v>16955</v>
      </c>
      <c r="B8520" s="1">
        <v>0</v>
      </c>
      <c r="C8520" s="3">
        <v>44537.74695601852</v>
      </c>
      <c r="D8520" s="1" t="s">
        <v>16956</v>
      </c>
      <c r="E8520" s="1" t="str">
        <f ca="1">IFERROR(__xludf.DUMMYFUNCTION("GOOGLETRANSLATE(A5319 , ""tr"" , ""en"")"),"@drfahrettinkoca tell the sake of allah allows you name the open open name that the society came to trust you. Society ... https://t.co/z0I7orzzuj")</f>
        <v>@drfahrettinkoca tell the sake of allah allows you name the open open name that the society came to trust you. Society ... https://t.co/z0I7orzzuj</v>
      </c>
    </row>
    <row r="8521" spans="1:5" ht="15" customHeight="1" x14ac:dyDescent="0.2">
      <c r="A8521" s="1" t="s">
        <v>16957</v>
      </c>
      <c r="B8521" s="1">
        <v>190</v>
      </c>
      <c r="C8521" s="3">
        <v>44537.746655092589</v>
      </c>
      <c r="D8521" s="1" t="s">
        <v>16958</v>
      </c>
      <c r="E8521" s="1" t="str">
        <f ca="1">IFERROR(__xludf.DUMMYFUNCTION("GOOGLETRANSLATE(A5320 , ""tr"" , ""en"")"),"@drfahrettinkoca Last 10 Months ago: Sinovac Hospitals Prevents: Sinovac Goods Before: Biontek i ... https://t.co/nzg18beojh")</f>
        <v>@drfahrettinkoca Last 10 Months ago: Sinovac Hospitals Prevents: Sinovac Goods Before: Biontek i ... https://t.co/nzg18beojh</v>
      </c>
    </row>
    <row r="8522" spans="1:5" ht="15" customHeight="1" x14ac:dyDescent="0.2">
      <c r="A8522" s="1" t="s">
        <v>16959</v>
      </c>
      <c r="B8522" s="1">
        <v>0</v>
      </c>
      <c r="C8522" s="3">
        <v>44537.746354166666</v>
      </c>
      <c r="D8522" s="1" t="s">
        <v>16960</v>
      </c>
      <c r="E8522" s="1" t="str">
        <f ca="1">IFERROR(__xludf.DUMMYFUNCTION("GOOGLETRANSLATE(A5321 , ""tr"" , ""en"")"),"@drfahrettinkoca Mr. Minister I'm 4 months Bagcars I can't get an appointment from the mouth and teeth this patient lies to work")</f>
        <v>@drfahrettinkoca Mr. Minister I'm 4 months Bagcars I can't get an appointment from the mouth and teeth this patient lies to work</v>
      </c>
    </row>
    <row r="8523" spans="1:5" ht="15" customHeight="1" x14ac:dyDescent="0.2">
      <c r="A8523" s="1" t="s">
        <v>10058</v>
      </c>
      <c r="B8523" s="1">
        <v>0</v>
      </c>
      <c r="C8523" s="3">
        <v>44537.746122685188</v>
      </c>
      <c r="D8523" s="1" t="s">
        <v>16961</v>
      </c>
      <c r="E8523" s="1" t="str">
        <f ca="1">IFERROR(__xludf.DUMMYFUNCTION("GOOGLETRANSLATE(A5322 , ""tr"" , ""en"")"),"@drfahrettinkoca Guide")</f>
        <v>@drfahrettinkoca Guide</v>
      </c>
    </row>
    <row r="8524" spans="1:5" ht="15" customHeight="1" x14ac:dyDescent="0.2">
      <c r="A8524" s="1" t="s">
        <v>16962</v>
      </c>
      <c r="B8524" s="1">
        <v>0</v>
      </c>
      <c r="C8524" s="3">
        <v>44537.745949074073</v>
      </c>
      <c r="D8524" s="1" t="s">
        <v>16963</v>
      </c>
      <c r="E8524" s="1" t="str">
        <f ca="1">IFERROR(__xludf.DUMMYFUNCTION("GOOGLETRANSLATE(A5323 , ""tr"" , ""en"")"),"@drfahrettinkoca oha's parent")</f>
        <v>@drfahrettinkoca oha's parent</v>
      </c>
    </row>
    <row r="8525" spans="1:5" ht="15" customHeight="1" x14ac:dyDescent="0.2">
      <c r="A8525" s="1" t="s">
        <v>16964</v>
      </c>
      <c r="B8525" s="1">
        <v>0</v>
      </c>
      <c r="C8525" s="3">
        <v>44537.74523148148</v>
      </c>
      <c r="D8525" s="1" t="s">
        <v>16965</v>
      </c>
      <c r="E8525" s="1" t="str">
        <f ca="1">IFERROR(__xludf.DUMMYFUNCTION("GOOGLETRANSLATE(A5324 , ""tr"" , ""en"")"),"@drfahrettinkoca Then write more credentials of cases and deaths, more convincing.")</f>
        <v>@drfahrettinkoca Then write more credentials of cases and deaths, more convincing.</v>
      </c>
    </row>
    <row r="8526" spans="1:5" ht="15" customHeight="1" x14ac:dyDescent="0.2">
      <c r="A8526" s="1" t="s">
        <v>16966</v>
      </c>
      <c r="B8526" s="1">
        <v>0</v>
      </c>
      <c r="C8526" s="3">
        <v>44537.744085648148</v>
      </c>
      <c r="D8526" s="1" t="s">
        <v>16967</v>
      </c>
      <c r="E8526" s="1" t="str">
        <f ca="1">IFERROR(__xludf.DUMMYFUNCTION("GOOGLETRANSLATE(A5325 , ""tr"" , ""en"")"),"What happened to @drfahrettinkoca guide")</f>
        <v>What happened to @drfahrettinkoca guide</v>
      </c>
    </row>
    <row r="8527" spans="1:5" ht="15" customHeight="1" x14ac:dyDescent="0.2">
      <c r="A8527" s="1" t="s">
        <v>16968</v>
      </c>
      <c r="B8527" s="1">
        <v>0</v>
      </c>
      <c r="C8527" s="3">
        <v>44537.744016203702</v>
      </c>
      <c r="D8527" s="1" t="s">
        <v>16969</v>
      </c>
      <c r="E8527" s="1" t="str">
        <f ca="1">IFERROR(__xludf.DUMMYFUNCTION("GOOGLETRANSLATE(A5326 , ""tr"" , ""en"")"),"@drfahrettinkoca valla I have been a chronic disturbances with my wife I've been to the corona, and we didn't make the vaccinated and we're gonna gone in a lightweight thank God.")</f>
        <v>@drfahrettinkoca valla I have been a chronic disturbances with my wife I've been to the corona, and we didn't make the vaccinated and we're gonna gone in a lightweight thank God.</v>
      </c>
    </row>
    <row r="8528" spans="1:5" ht="15" customHeight="1" x14ac:dyDescent="0.2">
      <c r="A8528" s="1" t="s">
        <v>16970</v>
      </c>
      <c r="B8528" s="1">
        <v>0</v>
      </c>
      <c r="C8528" s="3">
        <v>44537.743796296294</v>
      </c>
      <c r="D8528" s="1" t="s">
        <v>16971</v>
      </c>
      <c r="E8528" s="1" t="str">
        <f ca="1">IFERROR(__xludf.DUMMYFUNCTION("GOOGLETRANSLATE(A5327 , ""tr"" , ""en"")"),"@drfahrettinkoca essentializes Thousands of ployments are satisfactory with 2 Sinovac + 1 dose biontech. Dose Bio ... https://t.co/leIp8isote")</f>
        <v>@drfahrettinkoca essentializes Thousands of ployments are satisfactory with 2 Sinovac + 1 dose biontech. Dose Bio ... https://t.co/leIp8isote</v>
      </c>
    </row>
    <row r="8529" spans="1:5" ht="15" customHeight="1" x14ac:dyDescent="0.2">
      <c r="A8529" s="1" t="s">
        <v>16972</v>
      </c>
      <c r="B8529" s="1">
        <v>0</v>
      </c>
      <c r="C8529" s="3">
        <v>44537.743703703702</v>
      </c>
      <c r="D8529" s="1" t="s">
        <v>16973</v>
      </c>
      <c r="E8529" s="1" t="str">
        <f ca="1">IFERROR(__xludf.DUMMYFUNCTION("GOOGLETRANSLATE(A5328 , ""tr"" , ""en"")"),"@drfahrettinka 3-day curfew at the beginning of the year get auspicious # We are dying #Tamcapanma")</f>
        <v>@drfahrettinka 3-day curfew at the beginning of the year get auspicious # We are dying #Tamcapanma</v>
      </c>
    </row>
    <row r="8530" spans="1:5" ht="15" customHeight="1" x14ac:dyDescent="0.2">
      <c r="A8530" s="1" t="s">
        <v>16974</v>
      </c>
      <c r="B8530" s="1">
        <v>0</v>
      </c>
      <c r="C8530" s="3">
        <v>44537.743668981479</v>
      </c>
      <c r="D8530" s="1" t="s">
        <v>16975</v>
      </c>
      <c r="E8530" s="1" t="str">
        <f ca="1">IFERROR(__xludf.DUMMYFUNCTION("GOOGLETRANSLATE(A5329 , ""tr"" , ""en"")"),"@drfahrettinkoca is a year ago that it's passed a month ago 40 thousand you have given the number of 40 thousand but identified numbers and guide insisted ... https://t.co/7hqx1omgm9")</f>
        <v>@drfahrettinkoca is a year ago that it's passed a month ago 40 thousand you have given the number of 40 thousand but identified numbers and guide insisted ... https://t.co/7hqx1omgm9</v>
      </c>
    </row>
    <row r="8531" spans="1:5" ht="15" customHeight="1" x14ac:dyDescent="0.2">
      <c r="A8531" s="1" t="s">
        <v>16976</v>
      </c>
      <c r="B8531" s="1">
        <v>0</v>
      </c>
      <c r="C8531" s="3">
        <v>44537.743587962963</v>
      </c>
      <c r="D8531" s="1" t="s">
        <v>16977</v>
      </c>
      <c r="E8531" s="1" t="str">
        <f ca="1">IFERROR(__xludf.DUMMYFUNCTION("GOOGLETRANSLATE(A5330 , ""tr"" , ""en"")"),"@drfahrettinkoca never trust you ....")</f>
        <v>@drfahrettinkoca never trust you ....</v>
      </c>
    </row>
    <row r="8532" spans="1:5" ht="15" customHeight="1" x14ac:dyDescent="0.2">
      <c r="A8532" s="1" t="s">
        <v>16978</v>
      </c>
      <c r="B8532" s="1">
        <v>0</v>
      </c>
      <c r="C8532" s="3">
        <v>44537.743113425924</v>
      </c>
      <c r="D8532" s="1" t="s">
        <v>16979</v>
      </c>
      <c r="E8532" s="1" t="str">
        <f ca="1">IFERROR(__xludf.DUMMYFUNCTION("GOOGLETRANSLATE(A5331 , ""tr"" , ""en"")"),"@drfahrettinkoca results look after the vaccine why don't we talk about the darkening of life")</f>
        <v>@drfahrettinkoca results look after the vaccine why don't we talk about the darkening of life</v>
      </c>
    </row>
    <row r="8533" spans="1:5" ht="15" customHeight="1" x14ac:dyDescent="0.2">
      <c r="A8533" s="1" t="s">
        <v>16980</v>
      </c>
      <c r="B8533" s="1">
        <v>0</v>
      </c>
      <c r="C8533" s="3">
        <v>44537.741828703707</v>
      </c>
      <c r="D8533" s="1" t="s">
        <v>16981</v>
      </c>
      <c r="E8533" s="1" t="str">
        <f ca="1">IFERROR(__xludf.DUMMYFUNCTION("GOOGLETRANSLATE(A5332 , ""tr"" , ""en"")"),"@drfahrettinka Are you not receiving a million dose vaccines from this company? What are you looking for Dear? https://t.co/xm4wrzt7dy")</f>
        <v>@drfahrettinka Are you not receiving a million dose vaccines from this company? What are you looking for Dear? https://t.co/xm4wrzt7dy</v>
      </c>
    </row>
    <row r="8534" spans="1:5" ht="15" customHeight="1" x14ac:dyDescent="0.2">
      <c r="A8534" s="1" t="s">
        <v>16982</v>
      </c>
      <c r="B8534" s="1">
        <v>1</v>
      </c>
      <c r="C8534" s="3">
        <v>44537.741388888891</v>
      </c>
      <c r="D8534" s="1" t="s">
        <v>16983</v>
      </c>
      <c r="E8534" s="1" t="str">
        <f ca="1">IFERROR(__xludf.DUMMYFUNCTION("GOOGLETRANSLATE(A5333 , ""tr"" , ""en"")"),"@drfahrettinka https://t.co/soicnxief0")</f>
        <v>@drfahrettinka https://t.co/soicnxief0</v>
      </c>
    </row>
    <row r="8535" spans="1:5" ht="15" customHeight="1" x14ac:dyDescent="0.2">
      <c r="A8535" s="1" t="s">
        <v>16984</v>
      </c>
      <c r="B8535" s="1">
        <v>1</v>
      </c>
      <c r="C8535" s="3">
        <v>44537.741111111114</v>
      </c>
      <c r="D8535" s="1" t="s">
        <v>16985</v>
      </c>
      <c r="E8535" s="1" t="str">
        <f ca="1">IFERROR(__xludf.DUMMYFUNCTION("GOOGLETRANSLATE(A5334 , ""tr"" , ""en"")"),"@drfahrettinkoca publish guide you have been waiting for a year we have been out of patience # cbonaylakochage")</f>
        <v>@drfahrettinkoca publish guide you have been waiting for a year we have been out of patience # cbonaylakochage</v>
      </c>
    </row>
    <row r="8536" spans="1:5" ht="15" customHeight="1" x14ac:dyDescent="0.2">
      <c r="A8536" s="1" t="s">
        <v>16986</v>
      </c>
      <c r="B8536" s="1">
        <v>0</v>
      </c>
      <c r="C8536" s="3">
        <v>44537.740937499999</v>
      </c>
      <c r="D8536" s="1" t="s">
        <v>16987</v>
      </c>
      <c r="E8536" s="1" t="str">
        <f ca="1">IFERROR(__xludf.DUMMYFUNCTION("GOOGLETRANSLATE(A5335 , ""tr"" , ""en"")"),"@drfahrettinkoca 👀👀")</f>
        <v>@drfahrettinkoca 👀👀</v>
      </c>
    </row>
    <row r="8537" spans="1:5" ht="15" customHeight="1" x14ac:dyDescent="0.2">
      <c r="A8537" s="1" t="s">
        <v>16988</v>
      </c>
      <c r="B8537" s="1">
        <v>0</v>
      </c>
      <c r="C8537" s="3">
        <v>44537.740578703706</v>
      </c>
      <c r="D8537" s="1" t="s">
        <v>16989</v>
      </c>
      <c r="E8537" s="1" t="str">
        <f ca="1">IFERROR(__xludf.DUMMYFUNCTION("GOOGLETRANSLATE(A5336 , ""tr"" , ""en"")"),"@drfahrettinkoca world if you don't care if the lafer is the said minister for you when we call you what are you NAPIYOS @drfahrettinkoca")</f>
        <v>@drfahrettinkoca world if you don't care if the lafer is the said minister for you when we call you what are you NAPIYOS @drfahrettinkoca</v>
      </c>
    </row>
    <row r="8538" spans="1:5" ht="15" customHeight="1" x14ac:dyDescent="0.2">
      <c r="A8538" s="1" t="s">
        <v>16990</v>
      </c>
      <c r="B8538" s="1">
        <v>36</v>
      </c>
      <c r="C8538" s="3">
        <v>44537.740520833337</v>
      </c>
      <c r="D8538" s="1" t="s">
        <v>16991</v>
      </c>
      <c r="E8538" s="1" t="str">
        <f ca="1">IFERROR(__xludf.DUMMYFUNCTION("GOOGLETRANSLATE(A5337 , ""tr"" , ""en"")"),"@drfahrettinkoca March April May have double dose vaccines in May, you are inaccessible to December with December 3.Do ... https://t.co/amjaz5jadq")</f>
        <v>@drfahrettinkoca March April May have double dose vaccines in May, you are inaccessible to December with December 3.Do ... https://t.co/amjaz5jadq</v>
      </c>
    </row>
    <row r="8539" spans="1:5" ht="15" customHeight="1" x14ac:dyDescent="0.2">
      <c r="A8539" s="1" t="s">
        <v>16992</v>
      </c>
      <c r="B8539" s="1">
        <v>0</v>
      </c>
      <c r="C8539" s="3">
        <v>44537.74046296296</v>
      </c>
      <c r="D8539" s="1" t="s">
        <v>16993</v>
      </c>
      <c r="E8539" s="1" t="str">
        <f ca="1">IFERROR(__xludf.DUMMYFUNCTION("GOOGLETRANSLATE(A5338 , ""tr"" , ""en"")"),"@drfahrettinkoca you relying on the birth of the birth Go to the vaccination What is the confidence in the measure of what you say in the case ... https://t.co/4wtgtn6iv8")</f>
        <v>@drfahrettinkoca you relying on the birth of the birth Go to the vaccination What is the confidence in the measure of what you say in the case ... https://t.co/4wtgtn6iv8</v>
      </c>
    </row>
    <row r="8540" spans="1:5" ht="15" customHeight="1" x14ac:dyDescent="0.2">
      <c r="A8540" s="1" t="s">
        <v>16994</v>
      </c>
      <c r="B8540" s="1">
        <v>0</v>
      </c>
      <c r="C8540" s="3">
        <v>44537.74046296296</v>
      </c>
      <c r="D8540" s="1" t="s">
        <v>16995</v>
      </c>
      <c r="E8540" s="1" t="str">
        <f ca="1">IFERROR(__xludf.DUMMYFUNCTION("GOOGLETRANSLATE(A5339 , ""tr"" , ""en"")"),"@drfahrettinkoca You can't even build a sentence about the kids so are you doing so Jetches? What do you make your account ... Https://t.co/avjncwzqh7")</f>
        <v>@drfahrettinkoca You can't even build a sentence about the kids so are you doing so Jetches? What do you make your account ... Https://t.co/avjncwzqh7</v>
      </c>
    </row>
    <row r="8541" spans="1:5" ht="15" customHeight="1" x14ac:dyDescent="0.2">
      <c r="A8541" s="1" t="s">
        <v>16996</v>
      </c>
      <c r="B8541" s="1">
        <v>0</v>
      </c>
      <c r="C8541" s="3">
        <v>44537.740185185183</v>
      </c>
      <c r="D8541" s="1" t="s">
        <v>16997</v>
      </c>
      <c r="E8541" s="1" t="str">
        <f ca="1">IFERROR(__xludf.DUMMYFUNCTION("GOOGLETRANSLATE(A5340 , ""tr"" , ""en"")"),"@drfahrettinkoca you claim that you are data in your hand? You are funny.")</f>
        <v>@drfahrettinkoca you claim that you are data in your hand? You are funny.</v>
      </c>
    </row>
    <row r="8542" spans="1:5" ht="15" customHeight="1" x14ac:dyDescent="0.2">
      <c r="A8542" s="1" t="s">
        <v>16998</v>
      </c>
      <c r="B8542" s="1">
        <v>0</v>
      </c>
      <c r="C8542" s="3">
        <v>44537.739641203705</v>
      </c>
      <c r="D8542" s="1" t="s">
        <v>16999</v>
      </c>
      <c r="E8542" s="1" t="str">
        <f ca="1">IFERROR(__xludf.DUMMYFUNCTION("GOOGLETRANSLATE(A5341 , ""tr"" , ""en"")"),"@drfahrettinkoca Asymptomatic cases of the last year's asymptomatics cases in the quick lightweight cases do not wound a fame of fahrettin")</f>
        <v>@drfahrettinkoca Asymptomatic cases of the last year's asymptomatics cases in the quick lightweight cases do not wound a fame of fahrettin</v>
      </c>
    </row>
    <row r="8543" spans="1:5" ht="15" customHeight="1" x14ac:dyDescent="0.2">
      <c r="A8543" s="1" t="s">
        <v>17000</v>
      </c>
      <c r="B8543" s="1">
        <v>0</v>
      </c>
      <c r="C8543" s="3">
        <v>44537.737893518519</v>
      </c>
      <c r="D8543" s="1" t="s">
        <v>17001</v>
      </c>
      <c r="E8543" s="1" t="str">
        <f ca="1">IFERROR(__xludf.DUMMYFUNCTION("GOOGLETRANSLATE(A5342 , ""tr"" , ""en"")"),"@drfahrettinka will be very guzel if you have a twit on the minister of appointments.")</f>
        <v>@drfahrettinka will be very guzel if you have a twit on the minister of appointments.</v>
      </c>
    </row>
    <row r="8544" spans="1:5" ht="15" customHeight="1" x14ac:dyDescent="0.2">
      <c r="A8544" s="1" t="s">
        <v>17002</v>
      </c>
      <c r="B8544" s="1">
        <v>59</v>
      </c>
      <c r="C8544" s="3">
        <v>44537.737824074073</v>
      </c>
      <c r="D8544" s="1" t="s">
        <v>17003</v>
      </c>
      <c r="E8544" s="1" t="str">
        <f ca="1">IFERROR(__xludf.DUMMYFUNCTION("GOOGLETRANSLATE(A5343 , ""tr"" , ""en"")"),"@drfahrettinkoca as one of the puddings and when I look in the outside of me, what I am in the middle of a lie ... https://t.co/7lsoxuv05c")</f>
        <v>@drfahrettinkoca as one of the puddings and when I look in the outside of me, what I am in the middle of a lie ... https://t.co/7lsoxuv05c</v>
      </c>
    </row>
    <row r="8545" spans="1:5" ht="15" customHeight="1" x14ac:dyDescent="0.2">
      <c r="A8545" s="1" t="s">
        <v>17004</v>
      </c>
      <c r="B8545" s="1">
        <v>6</v>
      </c>
      <c r="C8545" s="3">
        <v>44537.73778935185</v>
      </c>
      <c r="D8545" s="1" t="s">
        <v>17005</v>
      </c>
      <c r="E8545" s="1" t="str">
        <f ca="1">IFERROR(__xludf.DUMMYFUNCTION("GOOGLETRANSLATE(A5344 , ""tr"" , ""en"")"),"@drfahrettinkoca I learned 3 people of 3 people who have no inconvenience full of vaccines: (((Hani were always inaccurate and missing: ((((")</f>
        <v>@drfahrettinkoca I learned 3 people of 3 people who have no inconvenience full of vaccines: (((Hani were always inaccurate and missing: ((((</v>
      </c>
    </row>
    <row r="8546" spans="1:5" ht="15" customHeight="1" x14ac:dyDescent="0.2">
      <c r="A8546" s="1" t="s">
        <v>17006</v>
      </c>
      <c r="B8546" s="1">
        <v>1</v>
      </c>
      <c r="C8546" s="3">
        <v>44537.737592592595</v>
      </c>
      <c r="D8546" s="1" t="s">
        <v>17007</v>
      </c>
      <c r="E8546" s="1" t="str">
        <f ca="1">IFERROR(__xludf.DUMMYFUNCTION("GOOGLETRANSLATE(A5345 , ""tr"" , ""en"")"),"@drfahrettinkoca how much vaccine is the vaccine death")</f>
        <v>@drfahrettinkoca how much vaccine is the vaccine death</v>
      </c>
    </row>
    <row r="8547" spans="1:5" ht="15" customHeight="1" x14ac:dyDescent="0.2">
      <c r="A8547" s="1" t="s">
        <v>17008</v>
      </c>
      <c r="B8547" s="1">
        <v>0</v>
      </c>
      <c r="C8547" s="3">
        <v>44537.737523148149</v>
      </c>
      <c r="D8547" s="1" t="s">
        <v>17009</v>
      </c>
      <c r="E8547" s="1" t="str">
        <f ca="1">IFERROR(__xludf.DUMMYFUNCTION("GOOGLETRANSLATE(A5346 , ""tr"" , ""en"")"),"@drfahrettinkoca big rate why you don't cause the ratio of the minister 51% in great rate 99% is why you avoid speaking clearly")</f>
        <v>@drfahrettinkoca big rate why you don't cause the ratio of the minister 51% in great rate 99% is why you avoid speaking clearly</v>
      </c>
    </row>
    <row r="8548" spans="1:5" ht="15" customHeight="1" x14ac:dyDescent="0.2">
      <c r="A8548" s="1" t="s">
        <v>17010</v>
      </c>
      <c r="B8548" s="1">
        <v>0</v>
      </c>
      <c r="C8548" s="3">
        <v>44537.737442129626</v>
      </c>
      <c r="D8548" s="1" t="s">
        <v>17011</v>
      </c>
      <c r="E8548" s="1" t="str">
        <f ca="1">IFERROR(__xludf.DUMMYFUNCTION("GOOGLETRANSLATE(A5347 , ""tr"" , ""en"")"),"@drfahrettinkoca ADIAMI? I trust? 🤣🤣🤣")</f>
        <v>@drfahrettinkoca ADIAMI? I trust? 🤣🤣🤣</v>
      </c>
    </row>
    <row r="8549" spans="1:5" ht="15" customHeight="1" x14ac:dyDescent="0.2">
      <c r="A8549" s="1" t="s">
        <v>17012</v>
      </c>
      <c r="B8549" s="1">
        <v>0</v>
      </c>
      <c r="C8549" s="3">
        <v>44537.737395833334</v>
      </c>
      <c r="D8549" s="1" t="s">
        <v>17013</v>
      </c>
      <c r="E8549" s="1" t="str">
        <f ca="1">IFERROR(__xludf.DUMMYFUNCTION("GOOGLETRANSLATE(A5348 , ""tr"" , ""en"")"),"@drfahrettinkoca days are the days of here because we came out to declare Burda but you don't have a single word and vaccine variant t ... https://t.co/vvdsgcyekp")</f>
        <v>@drfahrettinkoca days are the days of here because we came out to declare Burda but you don't have a single word and vaccine variant t ... https://t.co/vvdsgcyekp</v>
      </c>
    </row>
    <row r="8550" spans="1:5" ht="15" customHeight="1" x14ac:dyDescent="0.2">
      <c r="A8550" s="1" t="s">
        <v>17014</v>
      </c>
      <c r="B8550" s="1">
        <v>0</v>
      </c>
      <c r="C8550" s="3">
        <v>44537.736840277779</v>
      </c>
      <c r="D8550" s="1" t="s">
        <v>17015</v>
      </c>
      <c r="E8550" s="1" t="str">
        <f ca="1">IFERROR(__xludf.DUMMYFUNCTION("GOOGLETRANSLATE(A5349 , ""tr"" , ""en"")"),"@drfahrettinkoca Health Minister is worth the immune system collapsed in case of fell of the purchases of the hospitals fell. M ... https://t.co/xmjv1wxqe6")</f>
        <v>@drfahrettinkoca Health Minister is worth the immune system collapsed in case of fell of the purchases of the hospitals fell. M ... https://t.co/xmjv1wxqe6</v>
      </c>
    </row>
    <row r="8551" spans="1:5" ht="15" customHeight="1" x14ac:dyDescent="0.2">
      <c r="A8551" s="1" t="s">
        <v>17016</v>
      </c>
      <c r="B8551" s="1">
        <v>0</v>
      </c>
      <c r="C8551" s="3">
        <v>44537.736747685187</v>
      </c>
      <c r="D8551" s="1" t="s">
        <v>17017</v>
      </c>
      <c r="E8551" s="1" t="str">
        <f ca="1">IFERROR(__xludf.DUMMYFUNCTION("GOOGLETRANSLATE(A5350 , ""tr"" , ""en"")"),"@drfahrettinkoca perceive individuals, but nothing disclosed in your government is not convincing me")</f>
        <v>@drfahrettinkoca perceive individuals, but nothing disclosed in your government is not convincing me</v>
      </c>
    </row>
    <row r="8552" spans="1:5" ht="15" customHeight="1" x14ac:dyDescent="0.2">
      <c r="A8552" s="1" t="s">
        <v>17018</v>
      </c>
      <c r="B8552" s="1">
        <v>0</v>
      </c>
      <c r="C8552" s="3">
        <v>44537.735520833332</v>
      </c>
      <c r="D8552" s="1" t="s">
        <v>17019</v>
      </c>
      <c r="E8552" s="1" t="str">
        <f ca="1">IFERROR(__xludf.DUMMYFUNCTION("GOOGLETRANSLATE(A5351 , ""tr"" , ""en"")"),"@drfahrettinkoca allah let your trouble disrupt the psychology of the nation You have broken the country how to make the country the thief scumbags")</f>
        <v>@drfahrettinkoca allah let your trouble disrupt the psychology of the nation You have broken the country how to make the country the thief scumbags</v>
      </c>
    </row>
    <row r="8553" spans="1:5" ht="15" customHeight="1" x14ac:dyDescent="0.2">
      <c r="A8553" s="1" t="s">
        <v>17020</v>
      </c>
      <c r="B8553" s="1">
        <v>0</v>
      </c>
      <c r="C8553" s="3">
        <v>44537.735335648147</v>
      </c>
      <c r="D8553" s="1" t="s">
        <v>17021</v>
      </c>
      <c r="E8553" s="1" t="str">
        <f ca="1">IFERROR(__xludf.DUMMYFUNCTION("GOOGLETRANSLATE(A5352 , ""tr"" , ""en"")"),"The @drfahrettinka vaccine is that thousands of people who die are not coincidentally facing!")</f>
        <v>The @drfahrettinka vaccine is that thousands of people who die are not coincidentally facing!</v>
      </c>
    </row>
    <row r="8554" spans="1:5" ht="15" customHeight="1" x14ac:dyDescent="0.2">
      <c r="A8554" s="1" t="s">
        <v>17022</v>
      </c>
      <c r="B8554" s="1">
        <v>2</v>
      </c>
      <c r="C8554" s="3">
        <v>44537.735277777778</v>
      </c>
      <c r="D8554" s="1" t="s">
        <v>17023</v>
      </c>
      <c r="E8554" s="1" t="str">
        <f ca="1">IFERROR(__xludf.DUMMYFUNCTION("GOOGLETRANSLATE(A5353 , ""tr"" , ""en"")"),"@drfahrettinkoca osmaniye 😳 vaccine has become a percentage of percentage but the case has been flying interesting 😌")</f>
        <v>@drfahrettinkoca osmaniye 😳 vaccine has become a percentage of percentage but the case has been flying interesting 😌</v>
      </c>
    </row>
    <row r="8555" spans="1:5" ht="15" customHeight="1" x14ac:dyDescent="0.2">
      <c r="A8555" s="1" t="s">
        <v>17024</v>
      </c>
      <c r="B8555" s="1">
        <v>0</v>
      </c>
      <c r="C8555" s="3">
        <v>44537.734768518516</v>
      </c>
      <c r="D8555" s="1" t="s">
        <v>17025</v>
      </c>
      <c r="E8555" s="1" t="str">
        <f ca="1">IFERROR(__xludf.DUMMYFUNCTION("GOOGLETRANSLATE(A5354 , ""tr"" , ""en"")"),"@drfahrettinkoca @drfahrettinkoca I'm #cbonaylakochave")</f>
        <v>@drfahrettinkoca @drfahrettinkoca I'm #cbonaylakochave</v>
      </c>
    </row>
    <row r="8556" spans="1:5" ht="15" customHeight="1" x14ac:dyDescent="0.2">
      <c r="A8556" s="1" t="s">
        <v>17026</v>
      </c>
      <c r="B8556" s="1">
        <v>0</v>
      </c>
      <c r="C8556" s="3">
        <v>44537.734618055554</v>
      </c>
      <c r="D8556" s="1" t="s">
        <v>17027</v>
      </c>
      <c r="E8556" s="1" t="str">
        <f ca="1">IFERROR(__xludf.DUMMYFUNCTION("GOOGLETRANSLATE(A5355 , ""tr"" , ""en"")"),"@drfahrettinka I have never been vaccinated 2 weeks ago 2 weeks ago when I'm in the corona I went on my voice on my life I continued Hicbirsey ... https://t.co/4q3d9rnpgn")</f>
        <v>@drfahrettinka I have never been vaccinated 2 weeks ago 2 weeks ago when I'm in the corona I went on my voice on my life I continued Hicbirsey ... https://t.co/4q3d9rnpgn</v>
      </c>
    </row>
    <row r="8557" spans="1:5" ht="15" customHeight="1" x14ac:dyDescent="0.2">
      <c r="A8557" s="1" t="s">
        <v>17028</v>
      </c>
      <c r="B8557" s="1">
        <v>5</v>
      </c>
      <c r="C8557" s="3">
        <v>44537.734386574077</v>
      </c>
      <c r="D8557" s="1" t="s">
        <v>17029</v>
      </c>
      <c r="E8557" s="1" t="str">
        <f ca="1">IFERROR(__xludf.DUMMYFUNCTION("GOOGLETRANSLATE(A5356 , ""tr"" , ""en"")"),"@drfahrettinkoca Hoca We're asking for months you don't answer. The elevated and vaccine is one of the ones in a combination of ... https://t.co/olspujc4bs")</f>
        <v>@drfahrettinkoca Hoca We're asking for months you don't answer. The elevated and vaccine is one of the ones in a combination of ... https://t.co/olspujc4bs</v>
      </c>
    </row>
    <row r="8558" spans="1:5" ht="15" customHeight="1" x14ac:dyDescent="0.2">
      <c r="A8558" s="1" t="s">
        <v>17030</v>
      </c>
      <c r="B8558" s="1">
        <v>0</v>
      </c>
      <c r="C8558" s="3">
        <v>44537.734259259261</v>
      </c>
      <c r="D8558" s="1" t="s">
        <v>17031</v>
      </c>
      <c r="E8558" s="1" t="str">
        <f ca="1">IFERROR(__xludf.DUMMYFUNCTION("GOOGLETRANSLATE(A5357 , ""tr"" , ""en"")"),"@drfahrettinkoca # We want my guide to my #cbonaylakochage")</f>
        <v>@drfahrettinkoca # We want my guide to my #cbonaylakochage</v>
      </c>
    </row>
    <row r="8559" spans="1:5" ht="15" customHeight="1" x14ac:dyDescent="0.2">
      <c r="A8559" s="1" t="s">
        <v>17032</v>
      </c>
      <c r="B8559" s="1">
        <v>0</v>
      </c>
      <c r="C8559" s="3">
        <v>44537.734247685185</v>
      </c>
      <c r="D8559" s="1" t="s">
        <v>17033</v>
      </c>
      <c r="E8559" s="1" t="str">
        <f ca="1">IFERROR(__xludf.DUMMYFUNCTION("GOOGLETRANSLATE(A5358 , ""tr"" , ""en"")"),"@drfahrettinkoca is pitying to our youth Mr. Ministry @drfahrettinkoca # cbonaylakochavuzu")</f>
        <v>@drfahrettinkoca is pitying to our youth Mr. Ministry @drfahrettinkoca # cbonaylakochavuzu</v>
      </c>
    </row>
    <row r="8560" spans="1:5" ht="15" customHeight="1" x14ac:dyDescent="0.2">
      <c r="A8560" s="1" t="s">
        <v>17034</v>
      </c>
      <c r="B8560" s="1">
        <v>0</v>
      </c>
      <c r="C8560" s="3">
        <v>44537.734236111108</v>
      </c>
      <c r="D8560" s="1" t="s">
        <v>17035</v>
      </c>
      <c r="E8560" s="1" t="str">
        <f ca="1">IFERROR(__xludf.DUMMYFUNCTION("GOOGLETRANSLATE(A5359 , ""tr"" , ""en"")"),"@drfahrettinkoca 59 I'm 59 years old I want to complete an appointment I can't take an appointment System ""Your vaccine right is completed ... https://t.co/mlunqrc3n3")</f>
        <v>@drfahrettinkoca 59 I'm 59 years old I want to complete an appointment I can't take an appointment System "Your vaccine right is completed ... https://t.co/mlunqrc3n3</v>
      </c>
    </row>
    <row r="8561" spans="1:5" ht="15" customHeight="1" x14ac:dyDescent="0.2">
      <c r="A8561" s="1" t="s">
        <v>17036</v>
      </c>
      <c r="B8561" s="1">
        <v>0</v>
      </c>
      <c r="C8561" s="3">
        <v>44537.734143518515</v>
      </c>
      <c r="D8561" s="1" t="s">
        <v>17037</v>
      </c>
      <c r="E8561" s="1" t="str">
        <f ca="1">IFERROR(__xludf.DUMMYFUNCTION("GOOGLETRANSLATE(A5360 , ""tr"" , ""en"")"),"@drfahrettinkoca Beech Peder 1 week has 2 vaccines in intensive care, both we are missing the vaccinations of dogs ... https://t.co/1rtm3sqn97")</f>
        <v>@drfahrettinkoca Beech Peder 1 week has 2 vaccines in intensive care, both we are missing the vaccinations of dogs ... https://t.co/1rtm3sqn97</v>
      </c>
    </row>
    <row r="8562" spans="1:5" ht="15" customHeight="1" x14ac:dyDescent="0.2">
      <c r="A8562" s="1" t="s">
        <v>17038</v>
      </c>
      <c r="B8562" s="1">
        <v>0</v>
      </c>
      <c r="C8562" s="3">
        <v>44537.733900462961</v>
      </c>
      <c r="D8562" s="1" t="s">
        <v>17039</v>
      </c>
      <c r="E8562" s="1" t="str">
        <f ca="1">IFERROR(__xludf.DUMMYFUNCTION("GOOGLETRANSLATE(A5361 , ""tr"" , ""en"")"),"@drfahrettinkoca Recep Tayyip You will finish Erdogan this is going. Halal get ... KK and the Avani were unable to harm as you are.")</f>
        <v>@drfahrettinkoca Recep Tayyip You will finish Erdogan this is going. Halal get ... KK and the Avani were unable to harm as you are.</v>
      </c>
    </row>
    <row r="8563" spans="1:5" ht="15" customHeight="1" x14ac:dyDescent="0.2">
      <c r="A8563" s="1" t="s">
        <v>17040</v>
      </c>
      <c r="B8563" s="1">
        <v>4</v>
      </c>
      <c r="C8563" s="3">
        <v>44537.733831018515</v>
      </c>
      <c r="D8563" s="1" t="s">
        <v>17041</v>
      </c>
      <c r="E8563" s="1" t="str">
        <f ca="1">IFERROR(__xludf.DUMMYFUNCTION("GOOGLETRANSLATE(A5362 , ""tr"" , ""en"")"),"@drfahrettinkoca anymore we are asking for us, we would like to be in the last year from the education system who is damaged ... https://t.co/s7bqxx4jvf")</f>
        <v>@drfahrettinkoca anymore we are asking for us, we would like to be in the last year from the education system who is damaged ... https://t.co/s7bqxx4jvf</v>
      </c>
    </row>
    <row r="8564" spans="1:5" ht="15" customHeight="1" x14ac:dyDescent="0.2">
      <c r="A8564" s="1" t="s">
        <v>17042</v>
      </c>
      <c r="B8564" s="1">
        <v>2</v>
      </c>
      <c r="C8564" s="3">
        <v>44537.733541666668</v>
      </c>
      <c r="D8564" s="1" t="s">
        <v>17043</v>
      </c>
      <c r="E8564" s="1" t="str">
        <f ca="1">IFERROR(__xludf.DUMMYFUNCTION("GOOGLETRANSLATE(A5363 , ""tr"" , ""en"")"),"@drfahrettinkoca is not the vaccine we want to hear, assignment guide. @drfahrettinkoca I'm #cbonaylakochave")</f>
        <v>@drfahrettinkoca is not the vaccine we want to hear, assignment guide. @drfahrettinkoca I'm #cbonaylakochave</v>
      </c>
    </row>
    <row r="8565" spans="1:5" ht="15" customHeight="1" x14ac:dyDescent="0.2">
      <c r="A8565" s="1" t="s">
        <v>17044</v>
      </c>
      <c r="B8565" s="1">
        <v>0</v>
      </c>
      <c r="C8565" s="3">
        <v>44537.733356481483</v>
      </c>
      <c r="D8565" s="1" t="s">
        <v>17045</v>
      </c>
      <c r="E8565" s="1" t="str">
        <f ca="1">IFERROR(__xludf.DUMMYFUNCTION("GOOGLETRANSLATE(A5364 , ""tr"" , ""en"")"),"@drfahrettinkoca we postponed our everything maybe we have been assigned for 1 year we have been postponement of the postponement of Mr. Ministry ... https://t.co/bo89ardtrrr")</f>
        <v>@drfahrettinkoca we postponed our everything maybe we have been assigned for 1 year we have been postponement of the postponement of Mr. Ministry ... https://t.co/bo89ardtrrr</v>
      </c>
    </row>
    <row r="8566" spans="1:5" ht="15" customHeight="1" x14ac:dyDescent="0.2">
      <c r="A8566" s="1" t="s">
        <v>17046</v>
      </c>
      <c r="B8566" s="1">
        <v>0</v>
      </c>
      <c r="C8566" s="3">
        <v>44537.733043981483</v>
      </c>
      <c r="D8566" s="1" t="s">
        <v>17047</v>
      </c>
      <c r="E8566" s="1" t="str">
        <f ca="1">IFERROR(__xludf.DUMMYFUNCTION("GOOGLETRANSLATE(A5365 , ""tr"" , ""en"")"),"@drfahrettinkoca describes the guide without finishing this week. If you know where to say. A month ago Kılıçdaroğlu Assembers ... https://t.co/gupr0mtskx")</f>
        <v>@drfahrettinkoca describes the guide without finishing this week. If you know where to say. A month ago Kılıçdaroğlu Assembers ... https://t.co/gupr0mtskx</v>
      </c>
    </row>
    <row r="8567" spans="1:5" ht="15" customHeight="1" x14ac:dyDescent="0.2">
      <c r="A8567" s="1" t="s">
        <v>17048</v>
      </c>
      <c r="B8567" s="1">
        <v>6</v>
      </c>
      <c r="C8567" s="3">
        <v>44537.732766203706</v>
      </c>
      <c r="D8567" s="1" t="s">
        <v>17049</v>
      </c>
      <c r="E8567" s="1" t="str">
        <f ca="1">IFERROR(__xludf.DUMMYFUNCTION("GOOGLETRANSLATE(A5366 , ""tr"" , ""en"")"),"@drfahrettinkoca manual Why doesn't it come? What is the problem? We are the right to know why we wait. @drfahrettinkoca")</f>
        <v>@drfahrettinkoca manual Why doesn't it come? What is the problem? We are the right to know why we wait. @drfahrettinkoca</v>
      </c>
    </row>
    <row r="8568" spans="1:5" ht="15" customHeight="1" x14ac:dyDescent="0.2">
      <c r="A8568" s="1" t="s">
        <v>17050</v>
      </c>
      <c r="B8568" s="1">
        <v>0</v>
      </c>
      <c r="C8568" s="3">
        <v>44537.732673611114</v>
      </c>
      <c r="D8568" s="1" t="s">
        <v>17051</v>
      </c>
      <c r="E8568" s="1" t="str">
        <f ca="1">IFERROR(__xludf.DUMMYFUNCTION("GOOGLETRANSLATE(A5367 , ""tr"" , ""en"")"),"@drfahrettinkoca that we are tired so you can no longer see this in every issue every country is the world's world so much ... https://t.co/IM4x5uatqs")</f>
        <v>@drfahrettinkoca that we are tired so you can no longer see this in every issue every country is the world's world so much ... https://t.co/IM4x5uatqs</v>
      </c>
    </row>
    <row r="8569" spans="1:5" ht="15" customHeight="1" x14ac:dyDescent="0.2">
      <c r="A8569" s="1" t="s">
        <v>17052</v>
      </c>
      <c r="B8569" s="1">
        <v>0</v>
      </c>
      <c r="C8569" s="3">
        <v>44537.732349537036</v>
      </c>
      <c r="D8569" s="1" t="s">
        <v>17053</v>
      </c>
      <c r="E8569" s="1" t="str">
        <f ca="1">IFERROR(__xludf.DUMMYFUNCTION("GOOGLETRANSLATE(A5368 , ""tr"" , ""en"")"),"@drfahrettinkoca doesn't have 22 thousand cases 19 thousand fixed")</f>
        <v>@drfahrettinkoca doesn't have 22 thousand cases 19 thousand fixed</v>
      </c>
    </row>
    <row r="8570" spans="1:5" ht="15" customHeight="1" x14ac:dyDescent="0.2">
      <c r="A8570" s="1" t="s">
        <v>17054</v>
      </c>
      <c r="B8570" s="1">
        <v>0</v>
      </c>
      <c r="C8570" s="3">
        <v>44537.731770833336</v>
      </c>
      <c r="D8570" s="1" t="s">
        <v>17055</v>
      </c>
      <c r="E8570" s="1" t="str">
        <f ca="1">IFERROR(__xludf.DUMMYFUNCTION("GOOGLETRANSLATE(A5369 , ""tr"" , ""en"")"),"@drfahrettinkoca Overlooking Bey If you are now lifting your vaccines Bi, you are looking out Bi ... Non-physician Health ... https://t.co/ukbanpl4qx")</f>
        <v>@drfahrettinkoca Overlooking Bey If you are now lifting your vaccines Bi, you are looking out Bi ... Non-physician Health ... https://t.co/ukbanpl4qx</v>
      </c>
    </row>
    <row r="8571" spans="1:5" ht="15" customHeight="1" x14ac:dyDescent="0.2">
      <c r="A8571" s="1" t="s">
        <v>17056</v>
      </c>
      <c r="B8571" s="1">
        <v>0</v>
      </c>
      <c r="C8571" s="3">
        <v>44537.731215277781</v>
      </c>
      <c r="D8571" s="1" t="s">
        <v>17057</v>
      </c>
      <c r="E8571" s="1" t="str">
        <f ca="1">IFERROR(__xludf.DUMMYFUNCTION("GOOGLETRANSLATE(A5370 , ""tr"" , ""en"")"),"@drfahrettinka, of course not coincidence but if everyone acts as if the pandem is finished and there is no measure, case numbers ... https://t.co/7hgvtrydog")</f>
        <v>@drfahrettinka, of course not coincidence but if everyone acts as if the pandem is finished and there is no measure, case numbers ... https://t.co/7hgvtrydog</v>
      </c>
    </row>
    <row r="8572" spans="1:5" ht="15" customHeight="1" x14ac:dyDescent="0.2">
      <c r="A8572" s="1" t="s">
        <v>17058</v>
      </c>
      <c r="B8572" s="1">
        <v>0</v>
      </c>
      <c r="C8572" s="3">
        <v>44537.731087962966</v>
      </c>
      <c r="D8572" s="1" t="s">
        <v>17059</v>
      </c>
      <c r="E8572" s="1" t="str">
        <f ca="1">IFERROR(__xludf.DUMMYFUNCTION("GOOGLETRANSLATE(A5371 , ""tr"" , ""en"")"),"@drfahrettinkoca # BREAKING COVID OPENING COVID I'm not open! I'm not the man to die, I'm not stole, orphan right, haram y ... https://t.co/obbt9tbn7l")</f>
        <v>@drfahrettinkoca # BREAKING COVID OPENING COVID I'm not open! I'm not the man to die, I'm not stole, orphan right, haram y ... https://t.co/obbt9tbn7l</v>
      </c>
    </row>
    <row r="8573" spans="1:5" ht="15" customHeight="1" x14ac:dyDescent="0.2">
      <c r="A8573" s="1" t="s">
        <v>17060</v>
      </c>
      <c r="B8573" s="1">
        <v>1</v>
      </c>
      <c r="C8573" s="3">
        <v>44537.730914351851</v>
      </c>
      <c r="D8573" s="1" t="s">
        <v>17061</v>
      </c>
      <c r="E8573" s="1" t="str">
        <f ca="1">IFERROR(__xludf.DUMMYFUNCTION("GOOGLETRANSLATE(A5372 , ""tr"" , ""en"")"),"@drfahrettinkoca weather is very cold, especially in the city of college students who live outside the city, let's go to online education!")</f>
        <v>@drfahrettinkoca weather is very cold, especially in the city of college students who live outside the city, let's go to online education!</v>
      </c>
    </row>
    <row r="8574" spans="1:5" ht="15" customHeight="1" x14ac:dyDescent="0.2">
      <c r="A8574" s="1" t="s">
        <v>17062</v>
      </c>
      <c r="B8574" s="1">
        <v>0</v>
      </c>
      <c r="C8574" s="3">
        <v>44537.730879629627</v>
      </c>
      <c r="D8574" s="1" t="s">
        <v>17063</v>
      </c>
      <c r="E8574" s="1" t="str">
        <f ca="1">IFERROR(__xludf.DUMMYFUNCTION("GOOGLETRANSLATE(A5373 , ""tr"" , ""en"")"),"@drfahrettinka count of the minister folks lie and resort to foreign")</f>
        <v>@drfahrettinka count of the minister folks lie and resort to foreign</v>
      </c>
    </row>
    <row r="8575" spans="1:5" ht="15" customHeight="1" x14ac:dyDescent="0.2">
      <c r="A8575" s="1" t="s">
        <v>17064</v>
      </c>
      <c r="B8575" s="1">
        <v>0</v>
      </c>
      <c r="C8575" s="3">
        <v>44537.730509259258</v>
      </c>
      <c r="D8575" s="1" t="s">
        <v>17065</v>
      </c>
      <c r="E8575" s="1" t="str">
        <f ca="1">IFERROR(__xludf.DUMMYFUNCTION("GOOGLETRANSLATE(A5374 , ""tr"" , ""en"")"),"@drfahrettinkoca you don't hear the voice of your nation so you say vaccine vaccines always say the viruses you say seriously ... https://t.co/mohffhzyo8")</f>
        <v>@drfahrettinkoca you don't hear the voice of your nation so you say vaccine vaccines always say the viruses you say seriously ... https://t.co/mohffhzyo8</v>
      </c>
    </row>
    <row r="8576" spans="1:5" ht="15" customHeight="1" x14ac:dyDescent="0.2">
      <c r="A8576" s="1" t="s">
        <v>17066</v>
      </c>
      <c r="B8576" s="1">
        <v>3</v>
      </c>
      <c r="C8576" s="3">
        <v>44537.730254629627</v>
      </c>
      <c r="D8576" s="1" t="s">
        <v>17067</v>
      </c>
      <c r="E8576" s="1" t="str">
        <f ca="1">IFERROR(__xludf.DUMMYFUNCTION("GOOGLETRANSLATE(A5375 , ""tr"" , ""en"")"),"@drfahrettinka Mr. Fahrettin Bey Mahmut Bey Your goal of children's young people's life ... https://t.co/ki3la6tuva")</f>
        <v>@drfahrettinka Mr. Fahrettin Bey Mahmut Bey Your goal of children's young people's life ... https://t.co/ki3la6tuva</v>
      </c>
    </row>
    <row r="8577" spans="1:5" ht="15" customHeight="1" x14ac:dyDescent="0.2">
      <c r="A8577" s="1" t="s">
        <v>17068</v>
      </c>
      <c r="B8577" s="1">
        <v>2</v>
      </c>
      <c r="C8577" s="3">
        <v>44537.729837962965</v>
      </c>
      <c r="D8577" s="1" t="s">
        <v>17069</v>
      </c>
      <c r="E8577" s="1" t="str">
        <f ca="1">IFERROR(__xludf.DUMMYFUNCTION("GOOGLETRANSLATE(A5376 , ""tr"" , ""en"")"),"@drfahrettinkoca Minister Bey How many dose of dose to be vaccinated to be grafted?")</f>
        <v>@drfahrettinkoca Minister Bey How many dose of dose to be vaccinated to be grafted?</v>
      </c>
    </row>
    <row r="8578" spans="1:5" ht="15" customHeight="1" x14ac:dyDescent="0.2">
      <c r="A8578" s="1" t="s">
        <v>17070</v>
      </c>
      <c r="B8578" s="1">
        <v>2</v>
      </c>
      <c r="C8578" s="3">
        <v>44537.728194444448</v>
      </c>
      <c r="D8578" s="1" t="s">
        <v>17071</v>
      </c>
      <c r="E8578" s="1" t="str">
        <f ca="1">IFERROR(__xludf.DUMMYFUNCTION("GOOGLETRANSLATE(A5377 , ""tr"" , ""en"")"),"@drfahrettinkoca is those who wait for the remaining 13 months")</f>
        <v>@drfahrettinkoca is those who wait for the remaining 13 months</v>
      </c>
    </row>
    <row r="8579" spans="1:5" ht="15" customHeight="1" x14ac:dyDescent="0.2">
      <c r="A8579" s="1" t="s">
        <v>17072</v>
      </c>
      <c r="B8579" s="1">
        <v>0</v>
      </c>
      <c r="C8579" s="3">
        <v>44537.728159722225</v>
      </c>
      <c r="D8579" s="1" t="s">
        <v>17073</v>
      </c>
      <c r="E8579" s="1" t="str">
        <f ca="1">IFERROR(__xludf.DUMMYFUNCTION("GOOGLETRANSLATE(A5378 , ""tr"" , ""en"")"),"@drfahrettinkoca when will the guide be released?")</f>
        <v>@drfahrettinkoca when will the guide be released?</v>
      </c>
    </row>
    <row r="8580" spans="1:5" ht="15" customHeight="1" x14ac:dyDescent="0.2">
      <c r="A8580" s="1" t="s">
        <v>17074</v>
      </c>
      <c r="B8580" s="1">
        <v>0</v>
      </c>
      <c r="C8580" s="3">
        <v>44537.727905092594</v>
      </c>
      <c r="D8580" s="1" t="s">
        <v>17075</v>
      </c>
      <c r="E8580" s="1" t="str">
        <f ca="1">IFERROR(__xludf.DUMMYFUNCTION("GOOGLETRANSLATE(A5379 , ""tr"" , ""en"")"),"@drfahrettinka https://t.co/7k6hopatnr")</f>
        <v>@drfahrettinka https://t.co/7k6hopatnr</v>
      </c>
    </row>
    <row r="8581" spans="1:5" ht="15" customHeight="1" x14ac:dyDescent="0.2">
      <c r="A8581" s="1" t="s">
        <v>11857</v>
      </c>
      <c r="B8581" s="1">
        <v>0</v>
      </c>
      <c r="C8581" s="3">
        <v>44537.727812500001</v>
      </c>
      <c r="D8581" s="1" t="s">
        <v>17076</v>
      </c>
      <c r="E8581" s="1" t="str">
        <f ca="1">IFERROR(__xludf.DUMMYFUNCTION("GOOGLETRANSLATE(A5380 , ""tr"" , ""en"")"),"@drfahrettinkoca we want online education")</f>
        <v>@drfahrettinkoca we want online education</v>
      </c>
    </row>
    <row r="8582" spans="1:5" ht="15" customHeight="1" x14ac:dyDescent="0.2">
      <c r="A8582" s="1" t="s">
        <v>17077</v>
      </c>
      <c r="B8582" s="1">
        <v>50</v>
      </c>
      <c r="C8582" s="3">
        <v>44537.727766203701</v>
      </c>
      <c r="D8582" s="1" t="s">
        <v>17078</v>
      </c>
      <c r="E8582" s="1" t="str">
        <f ca="1">IFERROR(__xludf.DUMMYFUNCTION("GOOGLETRANSLATE(A5381 , ""tr"" , ""en"")"),"@drfahrettinka you didn't open schools without falling under thousand cases?")</f>
        <v>@drfahrettinka you didn't open schools without falling under thousand cases?</v>
      </c>
    </row>
    <row r="8583" spans="1:5" ht="15" customHeight="1" x14ac:dyDescent="0.2">
      <c r="A8583" s="1" t="s">
        <v>17079</v>
      </c>
      <c r="B8583" s="1">
        <v>0</v>
      </c>
      <c r="C8583" s="3">
        <v>44537.727349537039</v>
      </c>
      <c r="D8583" s="1" t="s">
        <v>17080</v>
      </c>
      <c r="E8583" s="1" t="str">
        <f ca="1">IFERROR(__xludf.DUMMYFUNCTION("GOOGLETRANSLATE(A5382 , ""tr"" , ""en"")"),"@drfahrettinkoca @antalyaism how much hopes is 1 million or even more vaccine making power daily fedaka ... httaka ://t.co/1Iuckg96ze")</f>
        <v>@drfahrettinkoca @antalyaism how much hopes is 1 million or even more vaccine making power daily fedaka ... httaka ://t.co/1Iuckg96ze</v>
      </c>
    </row>
    <row r="8584" spans="1:5" ht="15" customHeight="1" x14ac:dyDescent="0.2">
      <c r="A8584" s="1" t="s">
        <v>17081</v>
      </c>
      <c r="B8584" s="1">
        <v>3</v>
      </c>
      <c r="C8584" s="3">
        <v>44537.727187500001</v>
      </c>
      <c r="D8584" s="1" t="s">
        <v>17082</v>
      </c>
      <c r="E8584" s="1" t="str">
        <f ca="1">IFERROR(__xludf.DUMMYFUNCTION("GOOGLETRANSLATE(A5383 , ""tr"" , ""en"")"),"@drfahrettinkoca We are asking for the publication of the guide #Cbonaylakochacuzu")</f>
        <v>@drfahrettinkoca We are asking for the publication of the guide #Cbonaylakochacuzu</v>
      </c>
    </row>
    <row r="8585" spans="1:5" ht="15" customHeight="1" x14ac:dyDescent="0.2">
      <c r="A8585" s="1" t="s">
        <v>17083</v>
      </c>
      <c r="B8585" s="1">
        <v>0</v>
      </c>
      <c r="C8585" s="3">
        <v>44537.727129629631</v>
      </c>
      <c r="D8585" s="1" t="s">
        <v>17084</v>
      </c>
      <c r="E8585" s="1" t="str">
        <f ca="1">IFERROR(__xludf.DUMMYFUNCTION("GOOGLETRANSLATE(A5384 , ""tr"" , ""en"")"),"@drfahrettinkoca sec I wish I wish you could only share data on the weekly, baby's care lies in the avoidance of avoidance, how many ... https://t.co/apptmdcozs")</f>
        <v>@drfahrettinkoca sec I wish I wish you could only share data on the weekly, baby's care lies in the avoidance of avoidance, how many ... https://t.co/apptmdcozs</v>
      </c>
    </row>
    <row r="8586" spans="1:5" ht="15" customHeight="1" x14ac:dyDescent="0.2">
      <c r="A8586" s="1" t="s">
        <v>17085</v>
      </c>
      <c r="B8586" s="1">
        <v>0</v>
      </c>
      <c r="C8586" s="3">
        <v>44537.726909722223</v>
      </c>
      <c r="D8586" s="1" t="s">
        <v>17086</v>
      </c>
      <c r="E8586" s="1" t="str">
        <f ca="1">IFERROR(__xludf.DUMMYFUNCTION("GOOGLETRANSLATE(A5385 , ""tr"" , ""en"")"),"@drfahrettinkoca is not throwing twit. Vaccine producing Angoths caused no responsibility, phase 3 unfinished vaccines ... https://t.co/xkcw3gsz6v")</f>
        <v>@drfahrettinkoca is not throwing twit. Vaccine producing Angoths caused no responsibility, phase 3 unfinished vaccines ... https://t.co/xkcw3gsz6v</v>
      </c>
    </row>
    <row r="8587" spans="1:5" ht="15" customHeight="1" x14ac:dyDescent="0.2">
      <c r="A8587" s="1" t="s">
        <v>17087</v>
      </c>
      <c r="B8587" s="1">
        <v>0</v>
      </c>
      <c r="C8587" s="3">
        <v>44537.726527777777</v>
      </c>
      <c r="D8587" s="1" t="s">
        <v>17088</v>
      </c>
      <c r="E8587" s="1" t="str">
        <f ca="1">IFERROR(__xludf.DUMMYFUNCTION("GOOGLETRANSLATE(A5386 , ""tr"" , ""en"")"),"@drfahrettinkoca Minister Publishes the Government's Guide, they are now exhausting tired language")</f>
        <v>@drfahrettinkoca Minister Publishes the Government's Guide, they are now exhausting tired language</v>
      </c>
    </row>
    <row r="8588" spans="1:5" ht="15" customHeight="1" x14ac:dyDescent="0.2">
      <c r="A8588" s="1" t="s">
        <v>17089</v>
      </c>
      <c r="B8588" s="1">
        <v>26</v>
      </c>
      <c r="C8588" s="3">
        <v>44537.72625</v>
      </c>
      <c r="D8588" s="1" t="s">
        <v>17090</v>
      </c>
      <c r="E8588" s="1" t="str">
        <f ca="1">IFERROR(__xludf.DUMMYFUNCTION("GOOGLETRANSLATE(A5387 , ""tr"" , ""en"")"),"@drfahrettinkoca is grafted and why don't you mention the dead? Vaccine beautification Bi every day there are Covidden died ... https://t.co/4ch8x63ccc")</f>
        <v>@drfahrettinkoca is grafted and why don't you mention the dead? Vaccine beautification Bi every day there are Covidden died ... https://t.co/4ch8x63ccc</v>
      </c>
    </row>
    <row r="8589" spans="1:5" ht="15" customHeight="1" x14ac:dyDescent="0.2">
      <c r="A8589" s="1" t="s">
        <v>17091</v>
      </c>
      <c r="B8589" s="1">
        <v>2</v>
      </c>
      <c r="C8589" s="3">
        <v>44537.726111111115</v>
      </c>
      <c r="D8589" s="1" t="s">
        <v>17092</v>
      </c>
      <c r="E8589" s="1" t="str">
        <f ca="1">IFERROR(__xludf.DUMMYFUNCTION("GOOGLETRANSLATE(A5388 , ""tr"" , ""en"")"),"@drfahrettinkoca Why don't you understand why you don't have this cabinet call Net Bi Description make guide ... https://t.co/q6eIvsDyD3")</f>
        <v>@drfahrettinkoca Why don't you understand why you don't have this cabinet call Net Bi Description make guide ... https://t.co/q6eIvsDyD3</v>
      </c>
    </row>
    <row r="8590" spans="1:5" ht="15" customHeight="1" x14ac:dyDescent="0.2">
      <c r="A8590" s="1" t="s">
        <v>17093</v>
      </c>
      <c r="B8590" s="1">
        <v>3</v>
      </c>
      <c r="C8590" s="3">
        <v>44537.725914351853</v>
      </c>
      <c r="D8590" s="1" t="s">
        <v>17094</v>
      </c>
      <c r="E8590" s="1" t="str">
        <f ca="1">IFERROR(__xludf.DUMMYFUNCTION("GOOGLETRANSLATE(A5389 , ""tr"" , ""en"")"),"@drfahrettinkoca ahahahaha is the confidence sentence if you are not using the assjsjsjsjs is funny. .")</f>
        <v>@drfahrettinkoca ahahahaha is the confidence sentence if you are not using the assjsjsjsjs is funny. .</v>
      </c>
    </row>
    <row r="8591" spans="1:5" ht="15" customHeight="1" x14ac:dyDescent="0.2">
      <c r="A8591" s="1" t="s">
        <v>17095</v>
      </c>
      <c r="B8591" s="1">
        <v>0</v>
      </c>
      <c r="C8591" s="3">
        <v>44537.725810185184</v>
      </c>
      <c r="D8591" s="1" t="s">
        <v>17096</v>
      </c>
      <c r="E8591" s="1" t="str">
        <f ca="1">IFERROR(__xludf.DUMMYFUNCTION("GOOGLETRANSLATE(A5390 , ""tr"" , ""en"")"),"@drfahrettinkoca 50 years old relative thankful of the rahmi Erdi Your Liquids do not have a lush place You don't have anyone in the ... https://t.co/hbdcowhodd")</f>
        <v>@drfahrettinkoca 50 years old relative thankful of the rahmi Erdi Your Liquids do not have a lush place You don't have anyone in the ... https://t.co/hbdcowhodd</v>
      </c>
    </row>
    <row r="8592" spans="1:5" ht="15" customHeight="1" x14ac:dyDescent="0.2">
      <c r="A8592" s="1" t="s">
        <v>17097</v>
      </c>
      <c r="B8592" s="1">
        <v>12</v>
      </c>
      <c r="C8592" s="3">
        <v>44537.725300925929</v>
      </c>
      <c r="D8592" s="1" t="s">
        <v>17098</v>
      </c>
      <c r="E8592" s="1" t="str">
        <f ca="1">IFERROR(__xludf.DUMMYFUNCTION("GOOGLETRANSLATE(A5391 , ""tr"" , ""en"")"),"@drfahrettinka is going to be average 1500 per week, what to take measures to be more?")</f>
        <v>@drfahrettinka is going to be average 1500 per week, what to take measures to be more?</v>
      </c>
    </row>
    <row r="8593" spans="1:5" ht="15" customHeight="1" x14ac:dyDescent="0.2">
      <c r="A8593" s="1" t="s">
        <v>17099</v>
      </c>
      <c r="B8593" s="1">
        <v>49</v>
      </c>
      <c r="C8593" s="3">
        <v>44537.724803240744</v>
      </c>
      <c r="D8593" s="1" t="s">
        <v>17100</v>
      </c>
      <c r="E8593" s="1" t="str">
        <f ca="1">IFERROR(__xludf.DUMMYFUNCTION("GOOGLETRANSLATE(A5392 , ""tr"" , ""en"")"),"@drfahrettinka was called 1 vaccine before, this is 2. Already two dose vaccines were not enough, the reminder dosage is called 3 ... https://t.co/rr4luwpx4w")</f>
        <v>@drfahrettinka was called 1 vaccine before, this is 2. Already two dose vaccines were not enough, the reminder dosage is called 3 ... https://t.co/rr4luwpx4w</v>
      </c>
    </row>
    <row r="8594" spans="1:5" ht="15" customHeight="1" x14ac:dyDescent="0.2">
      <c r="A8594" s="1" t="s">
        <v>17101</v>
      </c>
      <c r="B8594" s="1">
        <v>11</v>
      </c>
      <c r="C8594" s="3">
        <v>44537.724687499998</v>
      </c>
      <c r="D8594" s="1" t="s">
        <v>17102</v>
      </c>
      <c r="E8594" s="1" t="str">
        <f ca="1">IFERROR(__xludf.DUMMYFUNCTION("GOOGLETRANSLATE(A5393 , ""tr"" , ""en"")"),"@drfahrettinkoca 3 dose grafts are already 12 million. That is about 15 percent. The majority of the course is inaccurate and missing grafted. ... https://t.co/0s3pffh5ri")</f>
        <v>@drfahrettinkoca 3 dose grafts are already 12 million. That is about 15 percent. The majority of the course is inaccurate and missing grafted. ... https://t.co/0s3pffh5ri</v>
      </c>
    </row>
    <row r="8595" spans="1:5" ht="15" customHeight="1" x14ac:dyDescent="0.2">
      <c r="A8595" s="1" t="s">
        <v>17103</v>
      </c>
      <c r="B8595" s="1">
        <v>0</v>
      </c>
      <c r="C8595" s="3">
        <v>44537.72451388889</v>
      </c>
      <c r="D8595" s="1" t="s">
        <v>17104</v>
      </c>
      <c r="E8595" s="1" t="str">
        <f ca="1">IFERROR(__xludf.DUMMYFUNCTION("GOOGLETRANSLATE(A5394 , ""tr"" , ""en"")"),"@drfahrettinkoca Ministry of Ministry Guide")</f>
        <v>@drfahrettinkoca Ministry of Ministry Guide</v>
      </c>
    </row>
    <row r="8596" spans="1:5" ht="15" customHeight="1" x14ac:dyDescent="0.2">
      <c r="A8596" s="1" t="s">
        <v>17105</v>
      </c>
      <c r="B8596" s="1">
        <v>0</v>
      </c>
      <c r="C8596" s="3">
        <v>44537.724398148152</v>
      </c>
      <c r="D8596" s="1" t="s">
        <v>17106</v>
      </c>
      <c r="E8596" s="1" t="str">
        <f ca="1">IFERROR(__xludf.DUMMYFUNCTION("GOOGLETRANSLATE(A5395 , ""tr"" , ""en"")"),"@drfahrettinkoca we don't trust you for trusting already. Get azad no longer.")</f>
        <v>@drfahrettinkoca we don't trust you for trusting already. Get azad no longer.</v>
      </c>
    </row>
    <row r="8597" spans="1:5" ht="15" customHeight="1" x14ac:dyDescent="0.2">
      <c r="A8597" s="1" t="s">
        <v>17107</v>
      </c>
      <c r="B8597" s="1">
        <v>0</v>
      </c>
      <c r="C8597" s="3">
        <v>44537.724293981482</v>
      </c>
      <c r="D8597" s="1" t="s">
        <v>17108</v>
      </c>
      <c r="E8597" s="1" t="str">
        <f ca="1">IFERROR(__xludf.DUMMYFUNCTION("GOOGLETRANSLATE(A5396 , ""tr"" , ""en"")"),"@drfahrettinkoca Share the results in detail in detail. We will decide our ...")</f>
        <v>@drfahrettinkoca Share the results in detail in detail. We will decide our ...</v>
      </c>
    </row>
    <row r="8598" spans="1:5" ht="15" customHeight="1" x14ac:dyDescent="0.2">
      <c r="A8598" s="1" t="s">
        <v>17109</v>
      </c>
      <c r="B8598" s="1">
        <v>1</v>
      </c>
      <c r="C8598" s="3">
        <v>44537.724236111113</v>
      </c>
      <c r="D8598" s="1" t="s">
        <v>17110</v>
      </c>
      <c r="E8598" s="1" t="str">
        <f ca="1">IFERROR(__xludf.DUMMYFUNCTION("GOOGLETRANSLATE(A5397 , ""tr"" , ""en"")"),"@drfahrettinkoca I don't want a clot")</f>
        <v>@drfahrettinkoca I don't want a clot</v>
      </c>
    </row>
    <row r="8599" spans="1:5" ht="15" customHeight="1" x14ac:dyDescent="0.2">
      <c r="A8599" s="1" t="s">
        <v>17111</v>
      </c>
      <c r="B8599" s="1">
        <v>0</v>
      </c>
      <c r="C8599" s="3">
        <v>44537.724108796298</v>
      </c>
      <c r="D8599" s="1" t="s">
        <v>17112</v>
      </c>
      <c r="E8599" s="1" t="str">
        <f ca="1">IFERROR(__xludf.DUMMYFUNCTION("GOOGLETRANSLATE(A5398 , ""tr"" , ""en"")"),"@drfahrettinkoca Mr. hubby I don't believe that you say. You resign.")</f>
        <v>@drfahrettinkoca Mr. hubby I don't believe that you say. You resign.</v>
      </c>
    </row>
    <row r="8600" spans="1:5" ht="15" customHeight="1" x14ac:dyDescent="0.2">
      <c r="A8600" s="1" t="s">
        <v>17113</v>
      </c>
      <c r="B8600" s="1">
        <v>0</v>
      </c>
      <c r="C8600" s="3">
        <v>44537.723321759258</v>
      </c>
      <c r="D8600" s="1" t="s">
        <v>17114</v>
      </c>
      <c r="E8600" s="1" t="str">
        <f ca="1">IFERROR(__xludf.DUMMYFUNCTION("GOOGLETRANSLATE(A5399 , ""tr"" , ""en"")"),"@drfahrettinkoca who believes in who believes in this 😬")</f>
        <v>@drfahrettinkoca who believes in who believes in this 😬</v>
      </c>
    </row>
    <row r="8601" spans="1:5" ht="15" customHeight="1" x14ac:dyDescent="0.2">
      <c r="A8601" s="1" t="s">
        <v>17115</v>
      </c>
      <c r="B8601" s="1">
        <v>0</v>
      </c>
      <c r="C8601" s="3">
        <v>44537.723229166666</v>
      </c>
      <c r="D8601" s="1" t="s">
        <v>17116</v>
      </c>
      <c r="E8601" s="1" t="str">
        <f ca="1">IFERROR(__xludf.DUMMYFUNCTION("GOOGLETRANSLATE(A5400 , ""tr"" , ""en"")"),"@drfahrettinkoca @drfahrettinka @saglikbakanligi According to what they say, our Lord will hope to heal the Healing all the patients ...")</f>
        <v>@drfahrettinkoca @drfahrettinka @saglikbakanligi According to what they say, our Lord will hope to heal the Healing all the patients ...</v>
      </c>
    </row>
    <row r="8602" spans="1:5" ht="15" customHeight="1" x14ac:dyDescent="0.2">
      <c r="A8602" s="1" t="s">
        <v>17117</v>
      </c>
      <c r="B8602" s="1">
        <v>0</v>
      </c>
      <c r="C8602" s="3">
        <v>44537.722858796296</v>
      </c>
      <c r="D8602" s="1" t="s">
        <v>17118</v>
      </c>
      <c r="E8602" s="1" t="str">
        <f ca="1">IFERROR(__xludf.DUMMYFUNCTION("GOOGLETRANSLATE(A5401 , ""tr"" , ""en"")"),"@drfahrettinkoca Dear Minister Assignment What case you say within 2-3 months in the way you say 5 months Mr. Ministry November i ... https://t.co/rry8mwe3cw")</f>
        <v>@drfahrettinkoca Dear Minister Assignment What case you say within 2-3 months in the way you say 5 months Mr. Ministry November i ... https://t.co/rry8mwe3cw</v>
      </c>
    </row>
    <row r="8603" spans="1:5" ht="15" customHeight="1" x14ac:dyDescent="0.2">
      <c r="A8603" s="1" t="s">
        <v>17119</v>
      </c>
      <c r="B8603" s="1">
        <v>0</v>
      </c>
      <c r="C8603" s="3">
        <v>44537.722766203704</v>
      </c>
      <c r="D8603" s="1" t="s">
        <v>17120</v>
      </c>
      <c r="E8603" s="1" t="str">
        <f ca="1">IFERROR(__xludf.DUMMYFUNCTION("GOOGLETRANSLATE(A5402 , ""tr"" , ""en"")"),"@drfahrettinkoca quit meat no longer")</f>
        <v>@drfahrettinkoca quit meat no longer</v>
      </c>
    </row>
    <row r="8604" spans="1:5" ht="15" customHeight="1" x14ac:dyDescent="0.2">
      <c r="A8604" s="1" t="s">
        <v>17121</v>
      </c>
      <c r="B8604" s="1">
        <v>0</v>
      </c>
      <c r="C8604" s="3">
        <v>44537.722708333335</v>
      </c>
      <c r="D8604" s="1" t="s">
        <v>17122</v>
      </c>
      <c r="E8604" s="1" t="str">
        <f ca="1">IFERROR(__xludf.DUMMYFUNCTION("GOOGLETRANSLATE(A5403 , ""tr"" , ""en"")"),"@drfahrettinka https://t.co/Iam4h8tmkp")</f>
        <v>@drfahrettinka https://t.co/Iam4h8tmkp</v>
      </c>
    </row>
    <row r="8605" spans="1:5" ht="15" customHeight="1" x14ac:dyDescent="0.2">
      <c r="A8605" s="1" t="s">
        <v>17123</v>
      </c>
      <c r="B8605" s="1">
        <v>0</v>
      </c>
      <c r="C8605" s="3">
        <v>44537.722546296296</v>
      </c>
      <c r="D8605" s="1" t="s">
        <v>17124</v>
      </c>
      <c r="E8605" s="1" t="str">
        <f ca="1">IFERROR(__xludf.DUMMYFUNCTION("GOOGLETRANSLATE(A5404 , ""tr"" , ""en"")"),"@drfahrettinka https://t.co/ge3wpwqx80")</f>
        <v>@drfahrettinka https://t.co/ge3wpwqx80</v>
      </c>
    </row>
    <row r="8606" spans="1:5" ht="15" customHeight="1" x14ac:dyDescent="0.2">
      <c r="A8606" s="1" t="s">
        <v>17125</v>
      </c>
      <c r="B8606" s="1">
        <v>1</v>
      </c>
      <c r="C8606" s="3">
        <v>44537.722094907411</v>
      </c>
      <c r="D8606" s="1" t="s">
        <v>17126</v>
      </c>
      <c r="E8606" s="1" t="str">
        <f ca="1">IFERROR(__xludf.DUMMYFUNCTION("GOOGLETRANSLATE(A5405 , ""tr"" , ""en"")"),"@drfahrettinka 5-11 years old children expect vaccination order.")</f>
        <v>@drfahrettinka 5-11 years old children expect vaccination order.</v>
      </c>
    </row>
    <row r="8607" spans="1:5" ht="15" customHeight="1" x14ac:dyDescent="0.2">
      <c r="A8607" s="1" t="s">
        <v>17127</v>
      </c>
      <c r="B8607" s="1">
        <v>0</v>
      </c>
      <c r="C8607" s="3">
        <v>44537.722048611111</v>
      </c>
      <c r="D8607" s="1" t="s">
        <v>17128</v>
      </c>
      <c r="E8607" s="1" t="str">
        <f ca="1">IFERROR(__xludf.DUMMYFUNCTION("GOOGLETRANSLATE(A5406 , ""tr"" , ""en"")"),"@drfahrettinkoca assignment you will say you won't wait. Will not remain a meaning after the young people break all the enthusiasm")</f>
        <v>@drfahrettinkoca assignment you will say you won't wait. Will not remain a meaning after the young people break all the enthusiasm</v>
      </c>
    </row>
    <row r="8608" spans="1:5" ht="15" customHeight="1" x14ac:dyDescent="0.2">
      <c r="A8608" s="1" t="s">
        <v>17129</v>
      </c>
      <c r="B8608" s="1">
        <v>37</v>
      </c>
      <c r="C8608" s="3">
        <v>44537.722037037034</v>
      </c>
      <c r="D8608" s="1" t="s">
        <v>17130</v>
      </c>
      <c r="E8608" s="1" t="str">
        <f ca="1">IFERROR(__xludf.DUMMYFUNCTION("GOOGLETRANSLATE(A5407 , ""tr"" , ""en"")"),"@drfahrettinkoca belkide seems trivial for sharing daily These figures you, weekly or monthly total r ... https://t.co/qewl8fk3wn")</f>
        <v>@drfahrettinkoca belkide seems trivial for sharing daily These figures you, weekly or monthly total r ... https://t.co/qewl8fk3wn</v>
      </c>
    </row>
    <row r="8609" spans="1:5" ht="15" customHeight="1" x14ac:dyDescent="0.2">
      <c r="A8609" s="1" t="s">
        <v>17131</v>
      </c>
      <c r="B8609" s="1">
        <v>1</v>
      </c>
      <c r="C8609" s="3">
        <v>44537.721898148149</v>
      </c>
      <c r="D8609" s="1" t="s">
        <v>17132</v>
      </c>
      <c r="E8609" s="1" t="str">
        <f ca="1">IFERROR(__xludf.DUMMYFUNCTION("GOOGLETRANSLATE(A5408 , ""tr"" , ""en"")"),"@drfahrettinkoca hey goes Hey !!! He was always the grip from the grip to the two years he is the intensive care. Now omicro ... https://t.co/5wl8tl4gu7")</f>
        <v>@drfahrettinkoca hey goes Hey !!! He was always the grip from the grip to the two years he is the intensive care. Now omicro ... https://t.co/5wl8tl4gu7</v>
      </c>
    </row>
    <row r="8610" spans="1:5" ht="15" customHeight="1" x14ac:dyDescent="0.2">
      <c r="A8610" s="1" t="s">
        <v>17133</v>
      </c>
      <c r="B8610" s="1">
        <v>1</v>
      </c>
      <c r="C8610" s="3">
        <v>44537.721851851849</v>
      </c>
      <c r="D8610" s="1" t="s">
        <v>17134</v>
      </c>
      <c r="E8610" s="1" t="str">
        <f ca="1">IFERROR(__xludf.DUMMYFUNCTION("GOOGLETRANSLATE(A5409 , ""tr"" , ""en"")"),"@drfahrettinkoca no coincidence in your being the Minister of Health. Anyone knows that anyone")</f>
        <v>@drfahrettinkoca no coincidence in your being the Minister of Health. Anyone knows that anyone</v>
      </c>
    </row>
    <row r="8611" spans="1:5" ht="15" customHeight="1" x14ac:dyDescent="0.2">
      <c r="A8611" s="1" t="s">
        <v>17135</v>
      </c>
      <c r="B8611" s="1">
        <v>34</v>
      </c>
      <c r="C8611" s="3">
        <v>44537.721770833334</v>
      </c>
      <c r="D8611" s="1" t="s">
        <v>17136</v>
      </c>
      <c r="E8611" s="1" t="str">
        <f ca="1">IFERROR(__xludf.DUMMYFUNCTION("GOOGLETRANSLATE(A5410 , ""tr"" , ""en"")"),"@drfahrettinkoca Madem claim your ediose. Explain how many dose of patients are grafted and out of sight.")</f>
        <v>@drfahrettinkoca Madem claim your ediose. Explain how many dose of patients are grafted and out of sight.</v>
      </c>
    </row>
    <row r="8612" spans="1:5" ht="15" customHeight="1" x14ac:dyDescent="0.2">
      <c r="A8612" s="1" t="s">
        <v>17137</v>
      </c>
      <c r="B8612" s="1">
        <v>0</v>
      </c>
      <c r="C8612" s="3">
        <v>44537.721585648149</v>
      </c>
      <c r="D8612" s="1" t="s">
        <v>17138</v>
      </c>
      <c r="E8612" s="1" t="str">
        <f ca="1">IFERROR(__xludf.DUMMYFUNCTION("GOOGLETRANSLATE(A5411 , ""tr"" , ""en"")"),"@drfahrettinkoca Sayin You hear us hear us wonder you are not hearing that you are not hearing about us What do we ... https://t.co/qq3i4dkvv1")</f>
        <v>@drfahrettinkoca Sayin You hear us hear us wonder you are not hearing that you are not hearing about us What do we ... https://t.co/qq3i4dkvv1</v>
      </c>
    </row>
    <row r="8613" spans="1:5" ht="15" customHeight="1" x14ac:dyDescent="0.2">
      <c r="A8613" s="1" t="s">
        <v>17139</v>
      </c>
      <c r="B8613" s="1">
        <v>0</v>
      </c>
      <c r="C8613" s="3">
        <v>44537.721226851849</v>
      </c>
      <c r="D8613" s="1" t="s">
        <v>17140</v>
      </c>
      <c r="E8613" s="1" t="str">
        <f ca="1">IFERROR(__xludf.DUMMYFUNCTION("GOOGLETRANSLATE(A5412 , ""tr"" , ""en"")"),"@drfahrettinkoca has disappeared in a few words Our youth, we can assign, guide, our prospects Sahi I had a few # cbonaylakocaklavuza")</f>
        <v>@drfahrettinkoca has disappeared in a few words Our youth, we can assign, guide, our prospects Sahi I had a few # cbonaylakocaklavuza</v>
      </c>
    </row>
    <row r="8614" spans="1:5" ht="15" customHeight="1" x14ac:dyDescent="0.2">
      <c r="A8614" s="1" t="s">
        <v>17141</v>
      </c>
      <c r="B8614" s="1">
        <v>0</v>
      </c>
      <c r="C8614" s="3">
        <v>44537.721064814818</v>
      </c>
      <c r="D8614" s="1" t="s">
        <v>17142</v>
      </c>
      <c r="E8614" s="1" t="str">
        <f ca="1">IFERROR(__xludf.DUMMYFUNCTION("GOOGLETRANSLATE(A5413 , ""tr"" , ""en"")"),"@drfahrettinkoca #bilbaklim why am I apart from my parents Minister 375 of the 4D workers of the 696 of the 23th and 24th MA ... https://t.co/wzafqmn5az")</f>
        <v>@drfahrettinkoca #bilbaklim why am I apart from my parents Minister 375 of the 4D workers of the 696 of the 23th and 24th MA ... https://t.co/wzafqmn5az</v>
      </c>
    </row>
    <row r="8615" spans="1:5" ht="15" customHeight="1" x14ac:dyDescent="0.2">
      <c r="A8615" s="1" t="s">
        <v>17143</v>
      </c>
      <c r="B8615" s="1">
        <v>4</v>
      </c>
      <c r="C8615" s="3">
        <v>44537.720555555556</v>
      </c>
      <c r="D8615" s="1" t="s">
        <v>17144</v>
      </c>
      <c r="E8615" s="1" t="str">
        <f ca="1">IFERROR(__xludf.DUMMYFUNCTION("GOOGLETRANSLATE(A5414 , ""tr"" , ""en"")"),"@drfahrettinkoca will be explained in November but does not explain #Cbonaylakochave")</f>
        <v>@drfahrettinkoca will be explained in November but does not explain #Cbonaylakochave</v>
      </c>
    </row>
    <row r="8616" spans="1:5" ht="15" customHeight="1" x14ac:dyDescent="0.2">
      <c r="A8616" s="1" t="s">
        <v>17145</v>
      </c>
      <c r="B8616" s="1">
        <v>0</v>
      </c>
      <c r="C8616" s="3">
        <v>44537.720405092594</v>
      </c>
      <c r="D8616" s="1" t="s">
        <v>17146</v>
      </c>
      <c r="E8616" s="1" t="str">
        <f ca="1">IFERROR(__xludf.DUMMYFUNCTION("GOOGLETRANSLATE(A5415 , ""tr"" , ""en"")"),"@drfahrettinkoca guiluuuuzz")</f>
        <v>@drfahrettinkoca guiluuuuzz</v>
      </c>
    </row>
    <row r="8617" spans="1:5" ht="15" customHeight="1" x14ac:dyDescent="0.2">
      <c r="A8617" s="1" t="s">
        <v>17147</v>
      </c>
      <c r="B8617" s="1">
        <v>1</v>
      </c>
      <c r="C8617" s="3">
        <v>44537.720370370371</v>
      </c>
      <c r="D8617" s="1" t="s">
        <v>17148</v>
      </c>
      <c r="E8617" s="1" t="str">
        <f ca="1">IFERROR(__xludf.DUMMYFUNCTION("GOOGLETRANSLATE(A5416 , ""tr"" , ""en"")"),"@drfahrettinkoca Guide should be explained !!!")</f>
        <v>@drfahrettinkoca Guide should be explained !!!</v>
      </c>
    </row>
    <row r="8618" spans="1:5" ht="15" customHeight="1" x14ac:dyDescent="0.2">
      <c r="A8618" s="1" t="s">
        <v>17149</v>
      </c>
      <c r="B8618" s="1">
        <v>0</v>
      </c>
      <c r="C8618" s="3">
        <v>44537.720231481479</v>
      </c>
      <c r="D8618" s="1" t="s">
        <v>17150</v>
      </c>
      <c r="E8618" s="1" t="str">
        <f ca="1">IFERROR(__xludf.DUMMYFUNCTION("GOOGLETRANSLATE(A5417 , ""tr"" , ""en"")"),"@drfahrettinkoca Schools Mask Hanging Mask Even if the virus exits at least 2 infected Diyos Rules B ... https://t.co/pf9rw6fjv6")</f>
        <v>@drfahrettinkoca Schools Mask Hanging Mask Even if the virus exits at least 2 infected Diyos Rules B ... https://t.co/pf9rw6fjv6</v>
      </c>
    </row>
    <row r="8619" spans="1:5" ht="15" customHeight="1" x14ac:dyDescent="0.2">
      <c r="A8619" s="1" t="s">
        <v>17151</v>
      </c>
      <c r="B8619" s="1">
        <v>7</v>
      </c>
      <c r="C8619" s="3">
        <v>44537.720046296294</v>
      </c>
      <c r="D8619" s="1" t="s">
        <v>17152</v>
      </c>
      <c r="E8619" s="1" t="str">
        <f ca="1">IFERROR(__xludf.DUMMYFUNCTION("GOOGLETRANSLATE(A5418 , ""tr"" , ""en"")"),"@drfahrettinkoca will not extend but gets off #cbonaylakochaguzu")</f>
        <v>@drfahrettinkoca will not extend but gets off #cbonaylakochaguzu</v>
      </c>
    </row>
    <row r="8620" spans="1:5" ht="15" customHeight="1" x14ac:dyDescent="0.2">
      <c r="A8620" s="1" t="s">
        <v>17153</v>
      </c>
      <c r="B8620" s="1">
        <v>3</v>
      </c>
      <c r="C8620" s="3">
        <v>44537.719907407409</v>
      </c>
      <c r="D8620" s="1" t="s">
        <v>17154</v>
      </c>
      <c r="E8620" s="1" t="str">
        <f ca="1">IFERROR(__xludf.DUMMYFUNCTION("GOOGLETRANSLATE(A5419 , ""tr"" , ""en"")"),"@drfahrettinkoca now three close relatives 3 dose all C19 Hani protecting these liquids")</f>
        <v>@drfahrettinkoca now three close relatives 3 dose all C19 Hani protecting these liquids</v>
      </c>
    </row>
    <row r="8621" spans="1:5" ht="15" customHeight="1" x14ac:dyDescent="0.2">
      <c r="A8621" s="1" t="s">
        <v>17155</v>
      </c>
      <c r="B8621" s="1">
        <v>1</v>
      </c>
      <c r="C8621" s="3">
        <v>44537.719872685186</v>
      </c>
      <c r="D8621" s="1" t="s">
        <v>17156</v>
      </c>
      <c r="E8621" s="1" t="str">
        <f ca="1">IFERROR(__xludf.DUMMYFUNCTION("GOOGLETRANSLATE(A5420 , ""tr"" , ""en"")"),"@drfahrettinkoca is not also reliable by means that the guide was also coming in November?")</f>
        <v>@drfahrettinkoca is not also reliable by means that the guide was also coming in November?</v>
      </c>
    </row>
    <row r="8622" spans="1:5" ht="15" customHeight="1" x14ac:dyDescent="0.2">
      <c r="A8622" s="1" t="s">
        <v>17157</v>
      </c>
      <c r="B8622" s="1">
        <v>5</v>
      </c>
      <c r="C8622" s="3">
        <v>44537.71974537037</v>
      </c>
      <c r="D8622" s="1" t="s">
        <v>17158</v>
      </c>
      <c r="E8622" s="1" t="str">
        <f ca="1">IFERROR(__xludf.DUMMYFUNCTION("GOOGLETRANSLATE(A5421 , ""tr"" , ""en"")"),"@drfahrettinkoca is right but I'm not assigning #MBonaylakochave")</f>
        <v>@drfahrettinkoca is right but I'm not assigning #MBonaylakochave</v>
      </c>
    </row>
    <row r="8623" spans="1:5" ht="15" customHeight="1" x14ac:dyDescent="0.2">
      <c r="A8623" s="1" t="s">
        <v>17159</v>
      </c>
      <c r="B8623" s="1">
        <v>1</v>
      </c>
      <c r="C8623" s="3">
        <v>44537.719594907408</v>
      </c>
      <c r="D8623" s="1" t="s">
        <v>17160</v>
      </c>
      <c r="E8623" s="1" t="str">
        <f ca="1">IFERROR(__xludf.DUMMYFUNCTION("GOOGLETRANSLATE(A5422 , ""tr"" , ""en"")"),"@drfahrettinkoca is no coincidence to explain the number and publish the guide. Healthier to complain to the opposition du ... https://t.co/15marrjhh0")</f>
        <v>@drfahrettinkoca is no coincidence to explain the number and publish the guide. Healthier to complain to the opposition du ... https://t.co/15marrjhh0</v>
      </c>
    </row>
    <row r="8624" spans="1:5" ht="15" customHeight="1" x14ac:dyDescent="0.2">
      <c r="A8624" s="1" t="s">
        <v>17161</v>
      </c>
      <c r="B8624" s="1">
        <v>0</v>
      </c>
      <c r="C8624" s="3">
        <v>44537.719537037039</v>
      </c>
      <c r="D8624" s="1" t="s">
        <v>17162</v>
      </c>
      <c r="E8624" s="1" t="str">
        <f ca="1">IFERROR(__xludf.DUMMYFUNCTION("GOOGLETRANSLATE(A5423 , ""tr"" , ""en"")"),"@drfahrettinka never trust you and katha")</f>
        <v>@drfahrettinka never trust you and katha</v>
      </c>
    </row>
    <row r="8625" spans="1:5" ht="15" customHeight="1" x14ac:dyDescent="0.2">
      <c r="A8625" s="1" t="s">
        <v>17163</v>
      </c>
      <c r="B8625" s="1">
        <v>0</v>
      </c>
      <c r="C8625" s="3">
        <v>44537.719074074077</v>
      </c>
      <c r="D8625" s="1" t="s">
        <v>17164</v>
      </c>
      <c r="E8625" s="1" t="str">
        <f ca="1">IFERROR(__xludf.DUMMYFUNCTION("GOOGLETRANSLATE(A5424 , ""tr"" , ""en"")"),"@drfahrettinkoca how much you contradict your posts. Vaccination Rate Highest Second Province Osmaniye, Corona Number and Death ... https://t.co/tqsqnetkgl")</f>
        <v>@drfahrettinkoca how much you contradict your posts. Vaccination Rate Highest Second Province Osmaniye, Corona Number and Death ... https://t.co/tqsqnetkgl</v>
      </c>
    </row>
    <row r="8626" spans="1:5" ht="15" customHeight="1" x14ac:dyDescent="0.2">
      <c r="A8626" s="1" t="s">
        <v>17165</v>
      </c>
      <c r="B8626" s="1">
        <v>1</v>
      </c>
      <c r="C8626" s="3">
        <v>44537.718368055554</v>
      </c>
      <c r="D8626" s="1" t="s">
        <v>17166</v>
      </c>
      <c r="E8626" s="1" t="str">
        <f ca="1">IFERROR(__xludf.DUMMYFUNCTION("GOOGLETRANSLATE(A5425 , ""tr"" , ""en"")"),"@drfahrettinkoca Twitter It's not like that, I'm not going to do my tweet as I don't have to do the comments as I am")</f>
        <v>@drfahrettinkoca Twitter It's not like that, I'm not going to do my tweet as I don't have to do the comments as I am</v>
      </c>
    </row>
    <row r="8627" spans="1:5" ht="15" customHeight="1" x14ac:dyDescent="0.2">
      <c r="A8627" s="1" t="s">
        <v>17167</v>
      </c>
      <c r="B8627" s="1">
        <v>0</v>
      </c>
      <c r="C8627" s="3">
        <v>44537.718310185184</v>
      </c>
      <c r="D8627" s="1" t="s">
        <v>17168</v>
      </c>
      <c r="E8627" s="1" t="str">
        <f ca="1">IFERROR(__xludf.DUMMYFUNCTION("GOOGLETRANSLATE(A5426 , ""tr"" , ""en"")"),"@drfahrettinkoca We want our children aged 5-11 or #Onlineegitimalepaleplate")</f>
        <v>@drfahrettinkoca We want our children aged 5-11 or #Onlineegitimalepaleplate</v>
      </c>
    </row>
    <row r="8628" spans="1:5" ht="15" customHeight="1" x14ac:dyDescent="0.2">
      <c r="A8628" s="1" t="s">
        <v>17169</v>
      </c>
      <c r="B8628" s="1">
        <v>2</v>
      </c>
      <c r="C8628" s="3">
        <v>44537.718043981484</v>
      </c>
      <c r="D8628" s="1" t="s">
        <v>17170</v>
      </c>
      <c r="E8628" s="1" t="str">
        <f ca="1">IFERROR(__xludf.DUMMYFUNCTION("GOOGLETRANSLATE(A5427 , ""tr"" , ""en"")"),"@drfahrettinkoca 3. We have started the dose app? Biontech 3. Dose U expect to Hold your word once!")</f>
        <v>@drfahrettinkoca 3. We have started the dose app? Biontech 3. Dose U expect to Hold your word once!</v>
      </c>
    </row>
    <row r="8629" spans="1:5" ht="15" customHeight="1" x14ac:dyDescent="0.2">
      <c r="A8629" s="1" t="s">
        <v>17171</v>
      </c>
      <c r="B8629" s="1">
        <v>1</v>
      </c>
      <c r="C8629" s="3">
        <v>44537.71802083333</v>
      </c>
      <c r="D8629" s="1" t="s">
        <v>17172</v>
      </c>
      <c r="E8629" s="1" t="str">
        <f ca="1">IFERROR(__xludf.DUMMYFUNCTION("GOOGLETRANSLATE(A5428 , ""tr"" , ""en"")"),"@drfahrettinkoca, though my aunt and his wife is the vaccination, these scientifically explained vaccines in this scientific vaccine ... https://t.co/oewyam7qyl")</f>
        <v>@drfahrettinkoca, though my aunt and his wife is the vaccination, these scientifically explained vaccines in this scientific vaccine ... https://t.co/oewyam7qyl</v>
      </c>
    </row>
    <row r="8630" spans="1:5" ht="15" customHeight="1" x14ac:dyDescent="0.2">
      <c r="A8630" s="1" t="s">
        <v>17173</v>
      </c>
      <c r="B8630" s="1">
        <v>2</v>
      </c>
      <c r="C8630" s="3">
        <v>44537.717939814815</v>
      </c>
      <c r="D8630" s="1" t="s">
        <v>17174</v>
      </c>
      <c r="E8630" s="1" t="str">
        <f ca="1">IFERROR(__xludf.DUMMYFUNCTION("GOOGLETRANSLATE(A5429 , ""tr"" , ""en"")"),"@drfahrettinka so what will you say from this heart crisis to dying? Are they too inaccurate?")</f>
        <v>@drfahrettinka so what will you say from this heart crisis to dying? Are they too inaccurate?</v>
      </c>
    </row>
    <row r="8631" spans="1:5" ht="15" customHeight="1" x14ac:dyDescent="0.2">
      <c r="A8631" s="1" t="s">
        <v>17175</v>
      </c>
      <c r="B8631" s="1">
        <v>33</v>
      </c>
      <c r="C8631" s="3">
        <v>44537.717905092592</v>
      </c>
      <c r="D8631" s="1" t="s">
        <v>17176</v>
      </c>
      <c r="E8631" s="1" t="str">
        <f ca="1">IFERROR(__xludf.DUMMYFUNCTION("GOOGLETRANSLATE(A5430 , ""tr"" , ""en"")"),"@drfahrettinkoca no longer sus residue #the cabineuzaktanepart @tcmeb @drfahrettinkoca mothers' AHINI d ... https://t.co/0blckefbmm")</f>
        <v>@drfahrettinkoca no longer sus residue #the cabineuzaktanepart @tcmeb @drfahrettinkoca mothers' AHINI d ... https://t.co/0blckefbmm</v>
      </c>
    </row>
    <row r="8632" spans="1:5" ht="15" customHeight="1" x14ac:dyDescent="0.2">
      <c r="A8632" s="1" t="s">
        <v>17177</v>
      </c>
      <c r="B8632" s="1">
        <v>0</v>
      </c>
      <c r="C8632" s="3">
        <v>44537.717824074076</v>
      </c>
      <c r="D8632" s="1" t="s">
        <v>17178</v>
      </c>
      <c r="E8632" s="1" t="str">
        <f ca="1">IFERROR(__xludf.DUMMYFUNCTION("GOOGLETRANSLATE(A5431 , ""tr"" , ""en"")"),"@drfahrettinkoca guide guide guide guide guide guide guide guide guide guide guide guide kina ... https://t.co/tfucbfvszo")</f>
        <v>@drfahrettinkoca guide guide guide guide guide guide guide guide guide guide guide guide kina ... https://t.co/tfucbfvszo</v>
      </c>
    </row>
    <row r="8633" spans="1:5" ht="15" customHeight="1" x14ac:dyDescent="0.2">
      <c r="A8633" s="1" t="s">
        <v>17179</v>
      </c>
      <c r="B8633" s="1">
        <v>1</v>
      </c>
      <c r="C8633" s="3">
        <v>44537.717685185184</v>
      </c>
      <c r="D8633" s="1" t="s">
        <v>17180</v>
      </c>
      <c r="E8633" s="1" t="str">
        <f ca="1">IFERROR(__xludf.DUMMYFUNCTION("GOOGLETRANSLATE(A5432 , ""tr"" , ""en"")"),"@drfahrettinkoca Dad had had 3 vaccines, but he finished his lungs and passed away. What shall we trust the residual results?")</f>
        <v>@drfahrettinkoca Dad had had 3 vaccines, but he finished his lungs and passed away. What shall we trust the residual results?</v>
      </c>
    </row>
    <row r="8634" spans="1:5" ht="15" customHeight="1" x14ac:dyDescent="0.2">
      <c r="A8634" s="1" t="s">
        <v>17181</v>
      </c>
      <c r="B8634" s="1">
        <v>0</v>
      </c>
      <c r="C8634" s="3">
        <v>44537.717442129629</v>
      </c>
      <c r="D8634" s="1" t="s">
        <v>17182</v>
      </c>
      <c r="E8634" s="1" t="str">
        <f ca="1">IFERROR(__xludf.DUMMYFUNCTION("GOOGLETRANSLATE(A5433 , ""tr"" , ""en"")"),"@drfahrettinkoca let me put a **** in a fuckingidine. Ulan hospitalized dies are dying are not dying at home Knowing ... https://t.co/kqabeeyeqp")</f>
        <v>@drfahrettinkoca let me put a **** in a fuckingidine. Ulan hospitalized dies are dying are not dying at home Knowing ... https://t.co/kqabeeyeqp</v>
      </c>
    </row>
    <row r="8635" spans="1:5" ht="15" customHeight="1" x14ac:dyDescent="0.2">
      <c r="A8635" s="1" t="s">
        <v>17183</v>
      </c>
      <c r="B8635" s="1">
        <v>0</v>
      </c>
      <c r="C8635" s="3">
        <v>44537.717291666668</v>
      </c>
      <c r="D8635" s="1" t="s">
        <v>17184</v>
      </c>
      <c r="E8635" s="1" t="str">
        <f ca="1">IFERROR(__xludf.DUMMYFUNCTION("GOOGLETRANSLATE(A5434 , ""tr"" , ""en"")"),"@drfahrettinka guide guide guide guide guide guide guide guide guide guide guide guide kina ... https://t.co/oqxpwycbce")</f>
        <v>@drfahrettinka guide guide guide guide guide guide guide guide guide guide guide guide kina ... https://t.co/oqxpwycbce</v>
      </c>
    </row>
    <row r="8636" spans="1:5" ht="15" customHeight="1" x14ac:dyDescent="0.2">
      <c r="A8636" s="1" t="s">
        <v>17185</v>
      </c>
      <c r="B8636" s="1">
        <v>2</v>
      </c>
      <c r="C8636" s="3">
        <v>44537.716932870368</v>
      </c>
      <c r="D8636" s="1" t="s">
        <v>17186</v>
      </c>
      <c r="E8636" s="1" t="str">
        <f ca="1">IFERROR(__xludf.DUMMYFUNCTION("GOOGLETRANSLATE(A5435 , ""tr"" , ""en"")"),"@drfahrettinkoca guide guide guide guide guide guide guide guide guide guide guide guide kina ... https://t.co/oe509dbwwm")</f>
        <v>@drfahrettinkoca guide guide guide guide guide guide guide guide guide guide guide guide kina ... https://t.co/oe509dbwwm</v>
      </c>
    </row>
    <row r="8637" spans="1:5" ht="15" customHeight="1" x14ac:dyDescent="0.2">
      <c r="A8637" s="1" t="s">
        <v>17187</v>
      </c>
      <c r="B8637" s="1">
        <v>0</v>
      </c>
      <c r="C8637" s="3">
        <v>44537.71670138889</v>
      </c>
      <c r="D8637" s="1" t="s">
        <v>17188</v>
      </c>
      <c r="E8637" s="1" t="str">
        <f ca="1">IFERROR(__xludf.DUMMYFUNCTION("GOOGLETRANSLATE(A5436 , ""tr"" , ""en"")"),"@drfahrettinkoca 5BIN RIGHT AGAIN The deduction of 1 penny is not hike. You have given up with non-raise ... https://t.co/bjtw5a65hc")</f>
        <v>@drfahrettinkoca 5BIN RIGHT AGAIN The deduction of 1 penny is not hike. You have given up with non-raise ... https://t.co/bjtw5a65hc</v>
      </c>
    </row>
    <row r="8638" spans="1:5" ht="15" customHeight="1" x14ac:dyDescent="0.2">
      <c r="A8638" s="1" t="s">
        <v>17189</v>
      </c>
      <c r="B8638" s="1">
        <v>0</v>
      </c>
      <c r="C8638" s="3">
        <v>44537.716643518521</v>
      </c>
      <c r="D8638" s="1" t="s">
        <v>17190</v>
      </c>
      <c r="E8638" s="1" t="str">
        <f ca="1">IFERROR(__xludf.DUMMYFUNCTION("GOOGLETRANSLATE(A5437 , ""tr"" , ""en"")"),"@drfahrettinkoca guide guide guide guide guide guide guide guide guide guide guide k ... https://t.co/cpwjugm2qd")</f>
        <v>@drfahrettinkoca guide guide guide guide guide guide guide guide guide guide guide k ... https://t.co/cpwjugm2qd</v>
      </c>
    </row>
    <row r="8639" spans="1:5" ht="15" customHeight="1" x14ac:dyDescent="0.2">
      <c r="A8639" s="1" t="s">
        <v>17191</v>
      </c>
      <c r="B8639" s="1">
        <v>1</v>
      </c>
      <c r="C8639" s="3">
        <v>44537.716087962966</v>
      </c>
      <c r="D8639" s="1" t="s">
        <v>17192</v>
      </c>
      <c r="E8639" s="1" t="str">
        <f ca="1">IFERROR(__xludf.DUMMYFUNCTION("GOOGLETRANSLATE(A5438 , ""tr"" , ""en"")"),"@drfahrettinkoca cases are increasing day by day, although there is no real figure, we want online education us t ... https://t.co/d6b4d8p4sk")</f>
        <v>@drfahrettinkoca cases are increasing day by day, although there is no real figure, we want online education us t ... https://t.co/d6b4d8p4sk</v>
      </c>
    </row>
    <row r="8640" spans="1:5" ht="15" customHeight="1" x14ac:dyDescent="0.2">
      <c r="A8640" s="1" t="s">
        <v>17193</v>
      </c>
      <c r="B8640" s="1">
        <v>17</v>
      </c>
      <c r="C8640" s="3">
        <v>44537.71597222222</v>
      </c>
      <c r="D8640" s="1" t="s">
        <v>17194</v>
      </c>
      <c r="E8640" s="1" t="str">
        <f ca="1">IFERROR(__xludf.DUMMYFUNCTION("GOOGLETRANSLATE(A5439 , ""tr"" , ""en"")"),"@drfahrettinkoca today's 22687 How many cases have never been vaccinated? Today I died 198 Citizens of our citizens have never been vaccinated ... https://t.co/wvxnzfpxwq")</f>
        <v>@drfahrettinkoca today's 22687 How many cases have never been vaccinated? Today I died 198 Citizens of our citizens have never been vaccinated ... https://t.co/wvxnzfpxwq</v>
      </c>
    </row>
    <row r="8641" spans="1:5" ht="15" customHeight="1" x14ac:dyDescent="0.2">
      <c r="A8641" s="1" t="s">
        <v>17195</v>
      </c>
      <c r="B8641" s="1">
        <v>0</v>
      </c>
      <c r="C8641" s="3">
        <v>44537.71570601852</v>
      </c>
      <c r="D8641" s="1" t="s">
        <v>17196</v>
      </c>
      <c r="E8641" s="1" t="str">
        <f ca="1">IFERROR(__xludf.DUMMYFUNCTION("GOOGLETRANSLATE(A5440 , ""tr"" , ""en"")"),"@drfahrettinkoca Written Vaccine Sanction, Mr. The Vaccine Tweets for 5-11 years Mr.")</f>
        <v>@drfahrettinkoca Written Vaccine Sanction, Mr. The Vaccine Tweets for 5-11 years Mr.</v>
      </c>
    </row>
    <row r="8642" spans="1:5" ht="15" customHeight="1" x14ac:dyDescent="0.2">
      <c r="A8642" s="1" t="s">
        <v>17197</v>
      </c>
      <c r="B8642" s="1">
        <v>5</v>
      </c>
      <c r="C8642" s="3">
        <v>44537.715115740742</v>
      </c>
      <c r="D8642" s="1" t="s">
        <v>17198</v>
      </c>
      <c r="E8642" s="1" t="str">
        <f ca="1">IFERROR(__xludf.DUMMYFUNCTION("GOOGLETRANSLATE(A5441 , ""tr"" , ""en"")"),"@drfahrettinkoca how young do you have in intensive care, what the pandemia effect of schools was only economic concerns ... https://t.co/ud7udxdixv")</f>
        <v>@drfahrettinkoca how young do you have in intensive care, what the pandemia effect of schools was only economic concerns ... https://t.co/ud7udxdixv</v>
      </c>
    </row>
    <row r="8643" spans="1:5" ht="15" customHeight="1" x14ac:dyDescent="0.2">
      <c r="A8643" s="1" t="s">
        <v>17199</v>
      </c>
      <c r="B8643" s="1">
        <v>0</v>
      </c>
      <c r="C8643" s="3">
        <v>44537.714849537035</v>
      </c>
      <c r="D8643" s="1" t="s">
        <v>17200</v>
      </c>
      <c r="E8643" s="1" t="str">
        <f ca="1">IFERROR(__xludf.DUMMYFUNCTION("GOOGLETRANSLATE(A5442 , ""tr"" , ""en"")"),"@drfahrettinkoca ABV seriously either the vaccine is enough")</f>
        <v>@drfahrettinkoca ABV seriously either the vaccine is enough</v>
      </c>
    </row>
    <row r="8644" spans="1:5" ht="15" customHeight="1" x14ac:dyDescent="0.2">
      <c r="A8644" s="1" t="s">
        <v>17201</v>
      </c>
      <c r="B8644" s="1">
        <v>0</v>
      </c>
      <c r="C8644" s="3">
        <v>44537.714120370372</v>
      </c>
      <c r="D8644" s="1" t="s">
        <v>17202</v>
      </c>
      <c r="E8644" s="1" t="str">
        <f ca="1">IFERROR(__xludf.DUMMYFUNCTION("GOOGLETRANSLATE(A5443 , ""tr"" , ""en"")"),"@drfahrettinkoca 10 Dosing Vaccine Something Like Saying Something Said Our Vaccine Minister")</f>
        <v>@drfahrettinkoca 10 Dosing Vaccine Something Like Saying Something Said Our Vaccine Minister</v>
      </c>
    </row>
    <row r="8645" spans="1:5" ht="15" customHeight="1" x14ac:dyDescent="0.2">
      <c r="A8645" s="1" t="s">
        <v>17203</v>
      </c>
      <c r="B8645" s="1">
        <v>0</v>
      </c>
      <c r="C8645" s="3">
        <v>44537.714085648149</v>
      </c>
      <c r="D8645" s="1" t="s">
        <v>17204</v>
      </c>
      <c r="E8645" s="1" t="str">
        <f ca="1">IFERROR(__xludf.DUMMYFUNCTION("GOOGLETRANSLATE(A5444 , ""tr"" , ""en"")"),"@drfahrettinkoca vaccine before the vaccine is the light transmigration of the trophy nation as well as the mine minister")</f>
        <v>@drfahrettinkoca vaccine before the vaccine is the light transmigration of the trophy nation as well as the mine minister</v>
      </c>
    </row>
    <row r="8646" spans="1:5" ht="15" customHeight="1" x14ac:dyDescent="0.2">
      <c r="A8646" s="1" t="s">
        <v>17205</v>
      </c>
      <c r="B8646" s="1">
        <v>0</v>
      </c>
      <c r="C8646" s="3">
        <v>44537.713993055557</v>
      </c>
      <c r="D8646" s="1" t="s">
        <v>17206</v>
      </c>
      <c r="E8646" s="1" t="str">
        <f ca="1">IFERROR(__xludf.DUMMYFUNCTION("GOOGLETRANSLATE(A5445 , ""tr"" , ""en"")"),"@drfahrettinkoca lie news we are already watching")</f>
        <v>@drfahrettinkoca lie news we are already watching</v>
      </c>
    </row>
    <row r="8647" spans="1:5" ht="15" customHeight="1" x14ac:dyDescent="0.2">
      <c r="A8647" s="1" t="s">
        <v>17207</v>
      </c>
      <c r="B8647" s="1">
        <v>1</v>
      </c>
      <c r="C8647" s="3">
        <v>44537.713877314818</v>
      </c>
      <c r="D8647" s="1" t="s">
        <v>17208</v>
      </c>
      <c r="E8647" s="1" t="str">
        <f ca="1">IFERROR(__xludf.DUMMYFUNCTION("GOOGLETRANSLATE(A5446 , ""tr"" , ""en"")"),"@drfahrettinkoca We need your support to have distance education exams online in January ... https://t.co/tiwiutqr0q")</f>
        <v>@drfahrettinkoca We need your support to have distance education exams online in January ... https://t.co/tiwiutqr0q</v>
      </c>
    </row>
    <row r="8648" spans="1:5" ht="15" customHeight="1" x14ac:dyDescent="0.2">
      <c r="A8648" s="1" t="s">
        <v>17209</v>
      </c>
      <c r="B8648" s="1">
        <v>1</v>
      </c>
      <c r="C8648" s="3">
        <v>44537.713807870372</v>
      </c>
      <c r="D8648" s="1" t="s">
        <v>17210</v>
      </c>
      <c r="E8648" s="1" t="str">
        <f ca="1">IFERROR(__xludf.DUMMYFUNCTION("GOOGLETRANSLATE(A5447 , ""tr"" , ""en"")"),"@drfahrettinkoca Today I learned that I was positive today Your teams called me Aspirin for being a heart patient ... https://t.co/68r609xqxe")</f>
        <v>@drfahrettinkoca Today I learned that I was positive today Your teams called me Aspirin for being a heart patient ... https://t.co/68r609xqxe</v>
      </c>
    </row>
    <row r="8649" spans="1:5" ht="15" customHeight="1" x14ac:dyDescent="0.2">
      <c r="A8649" s="1" t="s">
        <v>17211</v>
      </c>
      <c r="B8649" s="1">
        <v>3</v>
      </c>
      <c r="C8649" s="3">
        <v>44537.713402777779</v>
      </c>
      <c r="D8649" s="1" t="s">
        <v>17212</v>
      </c>
      <c r="E8649" s="1" t="str">
        <f ca="1">IFERROR(__xludf.DUMMYFUNCTION("GOOGLETRANSLATE(A5448 , ""tr"" , ""en"")"),"@drfahrettinkoca guide for guide what are we looking forward to the field why is bos waiting ??? @Rterdogan @drfahrettinkoca I'm #cbonaylakochage")</f>
        <v>@drfahrettinkoca guide for guide what are we looking forward to the field why is bos waiting ??? @Rterdogan @drfahrettinkoca I'm #cbonaylakochage</v>
      </c>
    </row>
    <row r="8650" spans="1:5" ht="15" customHeight="1" x14ac:dyDescent="0.2">
      <c r="A8650" s="1" t="s">
        <v>17213</v>
      </c>
      <c r="B8650" s="1">
        <v>4</v>
      </c>
      <c r="C8650" s="3">
        <v>44537.713275462964</v>
      </c>
      <c r="D8650" s="1" t="s">
        <v>17214</v>
      </c>
      <c r="E8650" s="1" t="str">
        <f ca="1">IFERROR(__xludf.DUMMYFUNCTION("GOOGLETRANSLATE(A5449 , ""tr"" , ""en"")"),"@drfahrettinkoca guide What are we looking forward to, why is the field waiting for BOS? @Rterdogan @drfahrettinkoca I'm #cbonaylakochage")</f>
        <v>@drfahrettinkoca guide What are we looking forward to, why is the field waiting for BOS? @Rterdogan @drfahrettinkoca I'm #cbonaylakochage</v>
      </c>
    </row>
    <row r="8651" spans="1:5" ht="15" customHeight="1" x14ac:dyDescent="0.2">
      <c r="A8651" s="1" t="s">
        <v>17215</v>
      </c>
      <c r="B8651" s="1">
        <v>2</v>
      </c>
      <c r="C8651" s="3">
        <v>44537.713217592594</v>
      </c>
      <c r="D8651" s="1" t="s">
        <v>17216</v>
      </c>
      <c r="E8651" s="1" t="str">
        <f ca="1">IFERROR(__xludf.DUMMYFUNCTION("GOOGLETRANSLATE(A5450 , ""tr"" , ""en"")"),"@drfahrettinkoca has gone one year from the youth of teenagers without assigning young people in this one year the grandson they want to give the gospel nur y ... https://t.co/ynqwbacz7b")</f>
        <v>@drfahrettinkoca has gone one year from the youth of teenagers without assigning young people in this one year the grandson they want to give the gospel nur y ... https://t.co/ynqwbacz7b</v>
      </c>
    </row>
    <row r="8652" spans="1:5" ht="15" customHeight="1" x14ac:dyDescent="0.2">
      <c r="A8652" s="1" t="s">
        <v>17217</v>
      </c>
      <c r="B8652" s="1">
        <v>4</v>
      </c>
      <c r="C8652" s="3">
        <v>44537.712777777779</v>
      </c>
      <c r="D8652" s="1" t="s">
        <v>17218</v>
      </c>
      <c r="E8652" s="1" t="str">
        <f ca="1">IFERROR(__xludf.DUMMYFUNCTION("GOOGLETRANSLATE(A5451 , ""tr"" , ""en"")"),"@drfahrettinkoca Which ""Buyuk Ratio"" is this? The rogue is missing, what you say, is the shorten and slightly nights, Herse ... https://t.co/y2kno9d2sj")</f>
        <v>@drfahrettinkoca Which "Buyuk Ratio" is this? The rogue is missing, what you say, is the shorten and slightly nights, Herse ... https://t.co/y2kno9d2sj</v>
      </c>
    </row>
    <row r="8653" spans="1:5" ht="15" customHeight="1" x14ac:dyDescent="0.2">
      <c r="A8653" s="1" t="s">
        <v>17219</v>
      </c>
      <c r="B8653" s="1">
        <v>0</v>
      </c>
      <c r="C8653" s="3">
        <v>44537.712627314817</v>
      </c>
      <c r="D8653" s="1" t="s">
        <v>17220</v>
      </c>
      <c r="E8653" s="1" t="str">
        <f ca="1">IFERROR(__xludf.DUMMYFUNCTION("GOOGLETRANSLATE(A5452 , ""tr"" , ""en"")"),"@drfahrettinkoca is still in buggy to lie still")</f>
        <v>@drfahrettinkoca is still in buggy to lie still</v>
      </c>
    </row>
    <row r="8654" spans="1:5" ht="15" customHeight="1" x14ac:dyDescent="0.2">
      <c r="A8654" s="1" t="s">
        <v>17221</v>
      </c>
      <c r="B8654" s="1">
        <v>1</v>
      </c>
      <c r="C8654" s="3">
        <v>44537.712476851855</v>
      </c>
      <c r="D8654" s="1" t="s">
        <v>17222</v>
      </c>
      <c r="E8654" s="1" t="str">
        <f ca="1">IFERROR(__xludf.DUMMYFUNCTION("GOOGLETRANSLATE(A5453 , ""tr"" , ""en"")"),"@drfahrettinkoca turkey everywhere assignment waiting on the day that melt on day from day")</f>
        <v>@drfahrettinkoca turkey everywhere assignment waiting on the day that melt on day from day</v>
      </c>
    </row>
    <row r="8655" spans="1:5" ht="15" customHeight="1" x14ac:dyDescent="0.2">
      <c r="A8655" s="1" t="s">
        <v>17223</v>
      </c>
      <c r="B8655" s="1">
        <v>8</v>
      </c>
      <c r="C8655" s="3">
        <v>44537.712071759262</v>
      </c>
      <c r="D8655" s="1" t="s">
        <v>17224</v>
      </c>
      <c r="E8655" s="1" t="str">
        <f ca="1">IFERROR(__xludf.DUMMYFUNCTION("GOOGLETRANSLATE(A5454 , ""tr"" , ""en"")"),"@drfahrettinka https://t.co/lp9w4ohttm")</f>
        <v>@drfahrettinka https://t.co/lp9w4ohttm</v>
      </c>
    </row>
    <row r="8656" spans="1:5" ht="15" customHeight="1" x14ac:dyDescent="0.2">
      <c r="A8656" s="1" t="s">
        <v>17225</v>
      </c>
      <c r="B8656" s="1">
        <v>0</v>
      </c>
      <c r="C8656" s="3">
        <v>44537.712013888886</v>
      </c>
      <c r="D8656" s="1" t="s">
        <v>17226</v>
      </c>
      <c r="E8656" s="1" t="str">
        <f ca="1">IFERROR(__xludf.DUMMYFUNCTION("GOOGLETRANSLATE(A5455 , ""tr"" , ""en"")"),"If @drfahrettinkoca PCR tests are eliminated is the so-called epidemic don't end? You could detect the Covid virus of the PCR test ... https://t.co/wvokomt9vg")</f>
        <v>If @drfahrettinkoca PCR tests are eliminated is the so-called epidemic don't end? You could detect the Covid virus of the PCR test ... https://t.co/wvokomt9vg</v>
      </c>
    </row>
    <row r="8657" spans="1:5" ht="15" customHeight="1" x14ac:dyDescent="0.2">
      <c r="A8657" s="1" t="s">
        <v>17227</v>
      </c>
      <c r="B8657" s="1">
        <v>44</v>
      </c>
      <c r="C8657" s="3">
        <v>44537.711817129632</v>
      </c>
      <c r="D8657" s="1" t="s">
        <v>17228</v>
      </c>
      <c r="E8657" s="1" t="str">
        <f ca="1">IFERROR(__xludf.DUMMYFUNCTION("GOOGLETRANSLATE(A5456 , ""tr"" , ""en"")"),"@drfahrettinkoca schools from schools everyday comes from Covid + news and you are not taking any precautions outside the mask.Why? An ... https://t.co/ud14tjeqtg")</f>
        <v>@drfahrettinkoca schools from schools everyday comes from Covid + news and you are not taking any precautions outside the mask.Why? An ... https://t.co/ud14tjeqtg</v>
      </c>
    </row>
    <row r="8658" spans="1:5" ht="15" customHeight="1" x14ac:dyDescent="0.2">
      <c r="A8658" s="1" t="s">
        <v>17229</v>
      </c>
      <c r="B8658" s="1">
        <v>1</v>
      </c>
      <c r="C8658" s="3">
        <v>44537.711759259262</v>
      </c>
      <c r="D8658" s="1" t="s">
        <v>17230</v>
      </c>
      <c r="E8658" s="1" t="str">
        <f ca="1">IFERROR(__xludf.DUMMYFUNCTION("GOOGLETRANSLATE(A5457 , ""tr"" , ""en"")"),"@drfahrettinkoca What a nice accepted isn't we? Hundreds of people die each day, two mania, three concise promises. Chronic only ... https://t.co/poghnq0czp")</f>
        <v>@drfahrettinkoca What a nice accepted isn't we? Hundreds of people die each day, two mania, three concise promises. Chronic only ... https://t.co/poghnq0czp</v>
      </c>
    </row>
    <row r="8659" spans="1:5" ht="15" customHeight="1" x14ac:dyDescent="0.2">
      <c r="A8659" s="1" t="s">
        <v>17231</v>
      </c>
      <c r="B8659" s="1">
        <v>30</v>
      </c>
      <c r="C8659" s="3">
        <v>44537.71166666667</v>
      </c>
      <c r="D8659" s="1" t="s">
        <v>17232</v>
      </c>
      <c r="E8659" s="1" t="str">
        <f ca="1">IFERROR(__xludf.DUMMYFUNCTION("GOOGLETRANSLATE(A5458 , ""tr"" , ""en"")"),"@drfahrettinka https://t.co/yoqvdqwmnb")</f>
        <v>@drfahrettinka https://t.co/yoqvdqwmnb</v>
      </c>
    </row>
    <row r="8660" spans="1:5" ht="15" customHeight="1" x14ac:dyDescent="0.2">
      <c r="A8660" s="1" t="s">
        <v>17233</v>
      </c>
      <c r="B8660" s="1">
        <v>0</v>
      </c>
      <c r="C8660" s="3">
        <v>44537.711504629631</v>
      </c>
      <c r="D8660" s="1" t="s">
        <v>17234</v>
      </c>
      <c r="E8660" s="1" t="str">
        <f ca="1">IFERROR(__xludf.DUMMYFUNCTION("GOOGLETRANSLATE(A5459 , ""tr"" , ""en"")"),"@drfahrettinkoca What Dictional Blank This Assignment will not be clear")</f>
        <v>@drfahrettinkoca What Dictional Blank This Assignment will not be clear</v>
      </c>
    </row>
    <row r="8661" spans="1:5" ht="15" customHeight="1" x14ac:dyDescent="0.2">
      <c r="A8661" s="1" t="s">
        <v>17235</v>
      </c>
      <c r="B8661" s="1">
        <v>1</v>
      </c>
      <c r="C8661" s="3">
        <v>44537.711284722223</v>
      </c>
      <c r="D8661" s="1" t="s">
        <v>17236</v>
      </c>
      <c r="E8661" s="1" t="str">
        <f ca="1">IFERROR(__xludf.DUMMYFUNCTION("GOOGLETRANSLATE(A5460 , ""tr"" , ""en"")"),"@drfahrettinkoca Guide Please @drfahrettinkoca Guide Please publish @drfahrettinkoca Published ... https://t.co/sqwnfvbbxe")</f>
        <v>@drfahrettinkoca Guide Please @drfahrettinkoca Guide Please publish @drfahrettinkoca Published ... https://t.co/sqwnfvbbxe</v>
      </c>
    </row>
    <row r="8662" spans="1:5" ht="15" customHeight="1" x14ac:dyDescent="0.2">
      <c r="A8662" s="1" t="s">
        <v>17237</v>
      </c>
      <c r="B8662" s="1">
        <v>140</v>
      </c>
      <c r="C8662" s="3">
        <v>44537.711273148147</v>
      </c>
      <c r="D8662" s="1" t="s">
        <v>17238</v>
      </c>
      <c r="E8662" s="1" t="str">
        <f ca="1">IFERROR(__xludf.DUMMYFUNCTION("GOOGLETRANSLATE(A5461 , ""tr"" , ""en"")"),"@drfahrettinkoca Someone can say that the number of deaths increased after one of $ A $ come? Official Site ... https://t.co/HVEIHSJCUM")</f>
        <v>@drfahrettinkoca Someone can say that the number of deaths increased after one of $ A $ come? Official Site ... https://t.co/HVEIHSJCUM</v>
      </c>
    </row>
    <row r="8663" spans="1:5" ht="15" customHeight="1" x14ac:dyDescent="0.2">
      <c r="A8663" s="1" t="s">
        <v>17239</v>
      </c>
      <c r="B8663" s="1">
        <v>1</v>
      </c>
      <c r="C8663" s="3">
        <v>44537.710879629631</v>
      </c>
      <c r="D8663" s="1" t="s">
        <v>17240</v>
      </c>
      <c r="E8663" s="1" t="str">
        <f ca="1">IFERROR(__xludf.DUMMYFUNCTION("GOOGLETRANSLATE(A5462 , ""tr"" , ""en"")"),"@drfahrettinkoca is the most recent people to be trusted in the list ,, Sn.Bakan for me.")</f>
        <v>@drfahrettinkoca is the most recent people to be trusted in the list ,, Sn.Bakan for me.</v>
      </c>
    </row>
    <row r="8664" spans="1:5" ht="15" customHeight="1" x14ac:dyDescent="0.2">
      <c r="A8664" s="1" t="s">
        <v>17241</v>
      </c>
      <c r="B8664" s="1">
        <v>0</v>
      </c>
      <c r="C8664" s="3">
        <v>44537.710821759261</v>
      </c>
      <c r="D8664" s="1" t="s">
        <v>17242</v>
      </c>
      <c r="E8664" s="1" t="str">
        <f ca="1">IFERROR(__xludf.DUMMYFUNCTION("GOOGLETRANSLATE(A5463 , ""tr"" , ""en"")"),"@drfahrettinkoca we don't trust ....")</f>
        <v>@drfahrettinkoca we don't trust ....</v>
      </c>
    </row>
    <row r="8665" spans="1:5" ht="15" customHeight="1" x14ac:dyDescent="0.2">
      <c r="A8665" s="1" t="s">
        <v>16832</v>
      </c>
      <c r="B8665" s="1">
        <v>6</v>
      </c>
      <c r="C8665" s="3">
        <v>44537.710798611108</v>
      </c>
      <c r="D8665" s="1" t="s">
        <v>17243</v>
      </c>
      <c r="E8665" s="1" t="str">
        <f ca="1">IFERROR(__xludf.DUMMYFUNCTION("GOOGLETRANSLATE(A5464 , ""tr"" , ""en"")"),"@drfahrettinkoca # kabineuzaktanılitimsart")</f>
        <v>@drfahrettinkoca # kabineuzaktanılitimsart</v>
      </c>
    </row>
    <row r="8666" spans="1:5" ht="15" customHeight="1" x14ac:dyDescent="0.2">
      <c r="A8666" s="1" t="s">
        <v>17244</v>
      </c>
      <c r="B8666" s="1">
        <v>6</v>
      </c>
      <c r="C8666" s="3">
        <v>44537.710694444446</v>
      </c>
      <c r="D8666" s="1" t="s">
        <v>17245</v>
      </c>
      <c r="E8666" s="1" t="str">
        <f ca="1">IFERROR(__xludf.DUMMYFUNCTION("GOOGLETRANSLATE(A5465 , ""tr"" , ""en"")"),"@drfahrettinkoca Valla Sivlikan people who are non-reserving are bisey bisey abarti also abarti va ... https://t.co/dsu1mlzspw")</f>
        <v>@drfahrettinkoca Valla Sivlikan people who are non-reserving are bisey bisey abarti also abarti va ... https://t.co/dsu1mlzspw</v>
      </c>
    </row>
    <row r="8667" spans="1:5" ht="15" customHeight="1" x14ac:dyDescent="0.2">
      <c r="A8667" s="1" t="s">
        <v>17246</v>
      </c>
      <c r="B8667" s="1">
        <v>1</v>
      </c>
      <c r="C8667" s="3">
        <v>44537.710648148146</v>
      </c>
      <c r="D8667" s="1" t="s">
        <v>17247</v>
      </c>
      <c r="E8667" s="1" t="str">
        <f ca="1">IFERROR(__xludf.DUMMYFUNCTION("GOOGLETRANSLATE(A5466 , ""tr"" , ""en"")"),"@drfahrettinkoca @saglikbakanligi to trust you? We lost months before months ago.")</f>
        <v>@drfahrettinkoca @saglikbakanligi to trust you? We lost months before months ago.</v>
      </c>
    </row>
    <row r="8668" spans="1:5" ht="15" customHeight="1" x14ac:dyDescent="0.2">
      <c r="A8668" s="1" t="s">
        <v>17248</v>
      </c>
      <c r="B8668" s="1">
        <v>0</v>
      </c>
      <c r="C8668" s="3">
        <v>44537.710520833331</v>
      </c>
      <c r="D8668" s="1" t="s">
        <v>17249</v>
      </c>
      <c r="E8668" s="1" t="str">
        <f ca="1">IFERROR(__xludf.DUMMYFUNCTION("GOOGLETRANSLATE(A5467 , ""tr"" , ""en"")"),"@drfahrettinkoca Honoration and proud supposed pandemi FetO PKK Vaccine Campaign Dest ... https://t.co/zniIuqjg7d")</f>
        <v>@drfahrettinkoca Honoration and proud supposed pandemi FetO PKK Vaccine Campaign Dest ... https://t.co/zniIuqjg7d</v>
      </c>
    </row>
    <row r="8669" spans="1:5" ht="15" customHeight="1" x14ac:dyDescent="0.2">
      <c r="A8669" s="1" t="s">
        <v>17250</v>
      </c>
      <c r="B8669" s="1">
        <v>0</v>
      </c>
      <c r="C8669" s="3">
        <v>44537.710381944446</v>
      </c>
      <c r="D8669" s="1" t="s">
        <v>17251</v>
      </c>
      <c r="E8669" s="1" t="str">
        <f ca="1">IFERROR(__xludf.DUMMYFUNCTION("GOOGLETRANSLATE(A5468 , ""tr"" , ""en"")"),"@drfahrettinka you are a global liar")</f>
        <v>@drfahrettinka you are a global liar</v>
      </c>
    </row>
    <row r="8670" spans="1:5" ht="15" customHeight="1" x14ac:dyDescent="0.2">
      <c r="A8670" s="1" t="s">
        <v>17252</v>
      </c>
      <c r="B8670" s="1">
        <v>0</v>
      </c>
      <c r="C8670" s="3">
        <v>44537.710034722222</v>
      </c>
      <c r="D8670" s="1" t="s">
        <v>17253</v>
      </c>
      <c r="E8670" s="1" t="str">
        <f ca="1">IFERROR(__xludf.DUMMYFUNCTION("GOOGLETRANSLATE(A5469 , ""tr"" , ""en"")"),"@drfahrettinkoca you have hit the nauseousness began to be a stomach. I'm #cbonaylakochave ... https://t.co/qaogorya4e")</f>
        <v>@drfahrettinkoca you have hit the nauseousness began to be a stomach. I'm #cbonaylakochave ... https://t.co/qaogorya4e</v>
      </c>
    </row>
    <row r="8671" spans="1:5" ht="15" customHeight="1" x14ac:dyDescent="0.2">
      <c r="A8671" s="1" t="s">
        <v>17254</v>
      </c>
      <c r="B8671" s="1">
        <v>1</v>
      </c>
      <c r="C8671" s="3">
        <v>44537.709826388891</v>
      </c>
      <c r="D8671" s="1" t="s">
        <v>17255</v>
      </c>
      <c r="E8671" s="1" t="str">
        <f ca="1">IFERROR(__xludf.DUMMYFUNCTION("GOOGLETRANSLATE(A5470 , ""tr"" , ""en"")"),"Describe Branch Distributions before @drfahrettinkoca central purchases Please do not view next")</f>
        <v>Describe Branch Distributions before @drfahrettinkoca central purchases Please do not view next</v>
      </c>
    </row>
    <row r="8672" spans="1:5" ht="15" customHeight="1" x14ac:dyDescent="0.2">
      <c r="A8672" s="1" t="s">
        <v>17256</v>
      </c>
      <c r="B8672" s="1">
        <v>12</v>
      </c>
      <c r="C8672" s="3">
        <v>44537.709733796299</v>
      </c>
      <c r="D8672" s="1" t="s">
        <v>17257</v>
      </c>
      <c r="E8672" s="1" t="str">
        <f ca="1">IFERROR(__xludf.DUMMYFUNCTION("GOOGLETRANSLATE(A5471 , ""tr"" , ""en"")"),"@drfahrettinkoca system is pumping and dreading. https://t.co/ba8ss9ptdm")</f>
        <v>@drfahrettinkoca system is pumping and dreading. https://t.co/ba8ss9ptdm</v>
      </c>
    </row>
    <row r="8673" spans="1:5" ht="15" customHeight="1" x14ac:dyDescent="0.2">
      <c r="A8673" s="1" t="s">
        <v>17258</v>
      </c>
      <c r="B8673" s="1">
        <v>53</v>
      </c>
      <c r="C8673" s="3">
        <v>44537.70952546296</v>
      </c>
      <c r="D8673" s="1" t="s">
        <v>17259</v>
      </c>
      <c r="E8673" s="1" t="str">
        <f ca="1">IFERROR(__xludf.DUMMYFUNCTION("GOOGLETRANSLATE(A5472 , ""tr"" , ""en"")"),"@drfahrettinkoca How do I speak children's health? # kabineuzaktanılitimsart")</f>
        <v>@drfahrettinkoca How do I speak children's health? # kabineuzaktanılitimsart</v>
      </c>
    </row>
    <row r="8674" spans="1:5" ht="15" customHeight="1" x14ac:dyDescent="0.2">
      <c r="A8674" s="1" t="s">
        <v>17260</v>
      </c>
      <c r="B8674" s="1">
        <v>0</v>
      </c>
      <c r="C8674" s="3">
        <v>44537.709386574075</v>
      </c>
      <c r="D8674" s="1" t="s">
        <v>17261</v>
      </c>
      <c r="E8674" s="1" t="str">
        <f ca="1">IFERROR(__xludf.DUMMYFUNCTION("GOOGLETRANSLATE(A5473 , ""tr"" , ""en"")"),"@drfahrettinkoca is enough or when you are dying in Gunde 200 people when you will take precautions")</f>
        <v>@drfahrettinkoca is enough or when you are dying in Gunde 200 people when you will take precautions</v>
      </c>
    </row>
    <row r="8675" spans="1:5" ht="15" customHeight="1" x14ac:dyDescent="0.2">
      <c r="A8675" s="1" t="s">
        <v>17262</v>
      </c>
      <c r="B8675" s="1">
        <v>11</v>
      </c>
      <c r="C8675" s="3">
        <v>44537.709340277775</v>
      </c>
      <c r="D8675" s="1" t="s">
        <v>17263</v>
      </c>
      <c r="E8675" s="1" t="str">
        <f ca="1">IFERROR(__xludf.DUMMYFUNCTION("GOOGLETRANSLATE(A5474 , ""tr"" , ""en"")"),"@drfahrettinkoca What abdominal pain is this either. MADEM Everything is wonderful Medipol University Why online education # kabineuzaktanıkitimsart")</f>
        <v>@drfahrettinkoca What abdominal pain is this either. MADEM Everything is wonderful Medipol University Why online education # kabineuzaktanıkitimsart</v>
      </c>
    </row>
    <row r="8676" spans="1:5" ht="15" customHeight="1" x14ac:dyDescent="0.2">
      <c r="A8676" s="1" t="s">
        <v>17264</v>
      </c>
      <c r="B8676" s="1">
        <v>14</v>
      </c>
      <c r="C8676" s="3">
        <v>44537.709270833337</v>
      </c>
      <c r="D8676" s="1" t="s">
        <v>17265</v>
      </c>
      <c r="E8676" s="1" t="str">
        <f ca="1">IFERROR(__xludf.DUMMYFUNCTION("GOOGLETRANSLATE(A5475 , ""tr"" , ""en"")"),"@drfahrettinkoca clavuz Where is the Bey ??? I'm #cbonaylakochave")</f>
        <v>@drfahrettinkoca clavuz Where is the Bey ??? I'm #cbonaylakochave</v>
      </c>
    </row>
    <row r="8677" spans="1:5" ht="15" customHeight="1" x14ac:dyDescent="0.2">
      <c r="A8677" s="1" t="s">
        <v>17266</v>
      </c>
      <c r="B8677" s="1">
        <v>1</v>
      </c>
      <c r="C8677" s="3">
        <v>44537.709270833337</v>
      </c>
      <c r="D8677" s="1" t="s">
        <v>17267</v>
      </c>
      <c r="E8677" s="1" t="str">
        <f ca="1">IFERROR(__xludf.DUMMYFUNCTION("GOOGLETRANSLATE(A5476 , ""tr"" , ""en"")"),"@drfahrettinkoca can be a guide you forgot to publish")</f>
        <v>@drfahrettinkoca can be a guide you forgot to publish</v>
      </c>
    </row>
    <row r="8678" spans="1:5" ht="15" customHeight="1" x14ac:dyDescent="0.2">
      <c r="A8678" s="1" t="s">
        <v>17268</v>
      </c>
      <c r="B8678" s="1">
        <v>0</v>
      </c>
      <c r="C8678" s="3">
        <v>44537.70921296296</v>
      </c>
      <c r="D8678" s="1" t="s">
        <v>17269</v>
      </c>
      <c r="E8678" s="1" t="str">
        <f ca="1">IFERROR(__xludf.DUMMYFUNCTION("GOOGLETRANSLATE(A5477 , ""tr"" , ""en"")"),"@drfahrettinkoca it is not the omicron before it is not. What is this small things")</f>
        <v>@drfahrettinkoca it is not the omicron before it is not. What is this small things</v>
      </c>
    </row>
    <row r="8679" spans="1:5" ht="15" customHeight="1" x14ac:dyDescent="0.2">
      <c r="A8679" s="1" t="s">
        <v>17270</v>
      </c>
      <c r="B8679" s="1">
        <v>0</v>
      </c>
      <c r="C8679" s="3">
        <v>44537.709201388891</v>
      </c>
      <c r="D8679" s="1" t="s">
        <v>17271</v>
      </c>
      <c r="E8679" s="1" t="str">
        <f ca="1">IFERROR(__xludf.DUMMYFUNCTION("GOOGLETRANSLATE(A5478 , ""tr"" , ""en"")"),"@drfahrettinkoca @saglikbakanligi can't accept people people die and can't go closing")</f>
        <v>@drfahrettinkoca @saglikbakanligi can't accept people people die and can't go closing</v>
      </c>
    </row>
    <row r="8680" spans="1:5" ht="15" customHeight="1" x14ac:dyDescent="0.2">
      <c r="A8680" s="1" t="s">
        <v>17272</v>
      </c>
      <c r="B8680" s="1">
        <v>2</v>
      </c>
      <c r="C8680" s="3">
        <v>44537.709178240744</v>
      </c>
      <c r="D8680" s="1" t="s">
        <v>17273</v>
      </c>
      <c r="E8680" s="1" t="str">
        <f ca="1">IFERROR(__xludf.DUMMYFUNCTION("GOOGLETRANSLATE(A5479 , ""tr"" , ""en"")"),"@drfahrettinkoca There are only question in the heathen's mind that waiting for thousands of heathen's mind 1 year is not to be assigned to the assignment months SO ... https://t.co/sntpvcpjd8")</f>
        <v>@drfahrettinkoca There are only question in the heathen's mind that waiting for thousands of heathen's mind 1 year is not to be assigned to the assignment months SO ... https://t.co/sntpvcpjd8</v>
      </c>
    </row>
    <row r="8681" spans="1:5" ht="15" customHeight="1" x14ac:dyDescent="0.2">
      <c r="A8681" s="1" t="s">
        <v>17274</v>
      </c>
      <c r="B8681" s="1">
        <v>1</v>
      </c>
      <c r="C8681" s="3">
        <v>44537.709074074075</v>
      </c>
      <c r="D8681" s="1" t="s">
        <v>17275</v>
      </c>
      <c r="E8681" s="1" t="str">
        <f ca="1">IFERROR(__xludf.DUMMYFUNCTION("GOOGLETRANSLATE(A5480 , ""tr"" , ""en"")"),"@drfahrettinkoca had a good evening our bi guide")</f>
        <v>@drfahrettinkoca had a good evening our bi guide</v>
      </c>
    </row>
    <row r="8682" spans="1:5" ht="15" customHeight="1" x14ac:dyDescent="0.2">
      <c r="A8682" s="1" t="s">
        <v>17276</v>
      </c>
      <c r="B8682" s="1">
        <v>185</v>
      </c>
      <c r="C8682" s="3">
        <v>44537.709039351852</v>
      </c>
      <c r="D8682" s="1" t="s">
        <v>17277</v>
      </c>
      <c r="E8682" s="1" t="str">
        <f ca="1">IFERROR(__xludf.DUMMYFUNCTION("GOOGLETRANSLATE(A5481 , ""tr"" , ""en"")"),"@drfahrettinkoca Vallahi Tens around me Covid was medicine icmeyip, non-vaccinated narrowly jumped and YA-SI-Yor ... https://t.co/s3yeovhery")</f>
        <v>@drfahrettinkoca Vallahi Tens around me Covid was medicine icmeyip, non-vaccinated narrowly jumped and YA-SI-Yor ... https://t.co/s3yeovhery</v>
      </c>
    </row>
    <row r="8683" spans="1:5" ht="15" customHeight="1" x14ac:dyDescent="0.2">
      <c r="A8683" s="1" t="s">
        <v>17278</v>
      </c>
      <c r="B8683" s="1">
        <v>10</v>
      </c>
      <c r="C8683" s="3">
        <v>44537.70888888889</v>
      </c>
      <c r="D8683" s="1" t="s">
        <v>17279</v>
      </c>
      <c r="E8683" s="1" t="str">
        <f ca="1">IFERROR(__xludf.DUMMYFUNCTION("GOOGLETRANSLATE(A5482 , ""tr"" , ""en"")"),"@drfahrettinkoca mother of my mother, despite the fact that he was hanging with his feet, he passed with their feet.")</f>
        <v>@drfahrettinkoca mother of my mother, despite the fact that he was hanging with his feet, he passed with their feet.</v>
      </c>
    </row>
    <row r="8684" spans="1:5" ht="15" customHeight="1" x14ac:dyDescent="0.2">
      <c r="A8684" s="1" t="s">
        <v>17280</v>
      </c>
      <c r="B8684" s="1">
        <v>1</v>
      </c>
      <c r="C8684" s="3">
        <v>44537.708391203705</v>
      </c>
      <c r="D8684" s="1" t="s">
        <v>17281</v>
      </c>
      <c r="E8684" s="1" t="str">
        <f ca="1">IFERROR(__xludf.DUMMYFUNCTION("GOOGLETRANSLATE(A5483 , ""tr"" , ""en"")"),"@drfahrettinkoca e C'mon Guide Ministry of Health he is not sitting on the kolta")</f>
        <v>@drfahrettinkoca e C'mon Guide Ministry of Health he is not sitting on the kolta</v>
      </c>
    </row>
    <row r="8685" spans="1:5" ht="15" customHeight="1" x14ac:dyDescent="0.2">
      <c r="A8685" s="1" t="s">
        <v>17282</v>
      </c>
      <c r="B8685" s="1">
        <v>0</v>
      </c>
      <c r="C8685" s="3">
        <v>44537.708379629628</v>
      </c>
      <c r="D8685" s="1" t="s">
        <v>17283</v>
      </c>
      <c r="E8685" s="1" t="str">
        <f ca="1">IFERROR(__xludf.DUMMYFUNCTION("GOOGLETRANSLATE(A5484 , ""tr"" , ""en"")"),"@drfahrettinkoca Emergency Remote Education Emergency Everyone's Life is Hanger # Remote Creativity")</f>
        <v>@drfahrettinkoca Emergency Remote Education Emergency Everyone's Life is Hanger # Remote Creativity</v>
      </c>
    </row>
    <row r="8686" spans="1:5" ht="15" customHeight="1" x14ac:dyDescent="0.2">
      <c r="A8686" s="1" t="s">
        <v>17284</v>
      </c>
      <c r="B8686" s="1">
        <v>0</v>
      </c>
      <c r="C8686" s="3">
        <v>44537.708310185182</v>
      </c>
      <c r="D8686" s="1" t="s">
        <v>17285</v>
      </c>
      <c r="E8686" s="1" t="str">
        <f ca="1">IFERROR(__xludf.DUMMYFUNCTION("GOOGLETRANSLATE(A5485 , ""tr"" , ""en"")"),"@drfahrettinka urban my uncovered unclosing symptom even after showing this disease grafted ray is HERY in hospital for 1 week ... https://t.co/h1h9xxwqks")</f>
        <v>@drfahrettinka urban my uncovered unclosing symptom even after showing this disease grafted ray is HERY in hospital for 1 week ... https://t.co/h1h9xxwqks</v>
      </c>
    </row>
    <row r="8687" spans="1:5" ht="15" customHeight="1" x14ac:dyDescent="0.2">
      <c r="A8687" s="1" t="s">
        <v>17286</v>
      </c>
      <c r="B8687" s="1">
        <v>2</v>
      </c>
      <c r="C8687" s="3">
        <v>44537.708298611113</v>
      </c>
      <c r="D8687" s="1" t="s">
        <v>17287</v>
      </c>
      <c r="E8687" s="1" t="str">
        <f ca="1">IFERROR(__xludf.DUMMYFUNCTION("GOOGLETRANSLATE(A5486 , ""tr"" , ""en"")"),"@drfahrettinkoca what is this what is you are making fun of our minds when you are going to go to the guide you are not going to make the guide you will not make our way let's see our way")</f>
        <v>@drfahrettinkoca what is this what is you are making fun of our minds when you are going to go to the guide you are not going to make the guide you will not make our way let's see our way</v>
      </c>
    </row>
    <row r="8688" spans="1:5" ht="15" customHeight="1" x14ac:dyDescent="0.2">
      <c r="A8688" s="1" t="s">
        <v>17288</v>
      </c>
      <c r="B8688" s="1">
        <v>0</v>
      </c>
      <c r="C8688" s="3">
        <v>44537.70826388889</v>
      </c>
      <c r="D8688" s="1" t="s">
        <v>17289</v>
      </c>
      <c r="E8688" s="1" t="str">
        <f ca="1">IFERROR(__xludf.DUMMYFUNCTION("GOOGLETRANSLATE(A5487 , ""tr"" , ""en"")"),"@drfahrettinkoca Dr Fatih Kashizs a brain surgeon in Istanbul with untruck-free transactions with waist neck fyntists i no oluy ... https://t.co/vlcmo1alce")</f>
        <v>@drfahrettinkoca Dr Fatih Kashizs a brain surgeon in Istanbul with untruck-free transactions with waist neck fyntists i no oluy ... https://t.co/vlcmo1alce</v>
      </c>
    </row>
    <row r="8689" spans="1:5" ht="15" customHeight="1" x14ac:dyDescent="0.2">
      <c r="A8689" s="1" t="s">
        <v>17290</v>
      </c>
      <c r="B8689" s="1">
        <v>2</v>
      </c>
      <c r="C8689" s="3">
        <v>44537.70820601852</v>
      </c>
      <c r="D8689" s="1" t="s">
        <v>17291</v>
      </c>
      <c r="E8689" s="1" t="str">
        <f ca="1">IFERROR(__xludf.DUMMYFUNCTION("GOOGLETRANSLATE(A5488 , ""tr"" , ""en"")"),"@drfahrettinka Mr. Ministry Now people have traveled to the painlessly mask without mask and the doctors have become threatened, a lot of people ... https://t.co/pe92fwhkwa")</f>
        <v>@drfahrettinka Mr. Ministry Now people have traveled to the painlessly mask without mask and the doctors have become threatened, a lot of people ... https://t.co/pe92fwhkwa</v>
      </c>
    </row>
    <row r="8690" spans="1:5" ht="15" customHeight="1" x14ac:dyDescent="0.2">
      <c r="A8690" s="1" t="s">
        <v>17292</v>
      </c>
      <c r="B8690" s="1">
        <v>1</v>
      </c>
      <c r="C8690" s="3">
        <v>44537.70820601852</v>
      </c>
      <c r="D8690" s="1" t="s">
        <v>17293</v>
      </c>
      <c r="E8690" s="1" t="str">
        <f ca="1">IFERROR(__xludf.DUMMYFUNCTION("GOOGLETRANSLATE(A5489 , ""tr"" , ""en"")"),"@drfahrettinkoca Do not go blank in December, please.")</f>
        <v>@drfahrettinkoca Do not go blank in December, please.</v>
      </c>
    </row>
    <row r="8691" spans="1:5" ht="15" customHeight="1" x14ac:dyDescent="0.2">
      <c r="A8691" s="1" t="s">
        <v>17294</v>
      </c>
      <c r="B8691" s="1">
        <v>4</v>
      </c>
      <c r="C8691" s="3">
        <v>44537.708101851851</v>
      </c>
      <c r="D8691" s="1" t="s">
        <v>17295</v>
      </c>
      <c r="E8691" s="1" t="str">
        <f ca="1">IFERROR(__xludf.DUMMYFUNCTION("GOOGLETRANSLATE(A5490 , ""tr"" , ""en"")"),"@drfahrettinkoca is not found in chronic discomfort, 3 dose-vaccine corona and 15 days intensive care and relaxing ... https://t.co/3pjaay3obv")</f>
        <v>@drfahrettinkoca is not found in chronic discomfort, 3 dose-vaccine corona and 15 days intensive care and relaxing ... https://t.co/3pjaay3obv</v>
      </c>
    </row>
    <row r="8692" spans="1:5" ht="15" customHeight="1" x14ac:dyDescent="0.2">
      <c r="A8692" s="1" t="s">
        <v>17296</v>
      </c>
      <c r="B8692" s="1">
        <v>0</v>
      </c>
      <c r="C8692" s="3">
        <v>44537.707916666666</v>
      </c>
      <c r="D8692" s="1" t="s">
        <v>17297</v>
      </c>
      <c r="E8692" s="1" t="str">
        <f ca="1">IFERROR(__xludf.DUMMYFUNCTION("GOOGLETRANSLATE(A5491 , ""tr"" , ""en"")"),"@drfahrettinkoca we would like to be appointed anymore !!!")</f>
        <v>@drfahrettinkoca we would like to be appointed anymore !!!</v>
      </c>
    </row>
    <row r="8693" spans="1:5" ht="15" customHeight="1" x14ac:dyDescent="0.2">
      <c r="A8693" s="1" t="s">
        <v>17298</v>
      </c>
      <c r="B8693" s="1">
        <v>0</v>
      </c>
      <c r="C8693" s="3">
        <v>44537.707881944443</v>
      </c>
      <c r="D8693" s="1" t="s">
        <v>17299</v>
      </c>
      <c r="E8693" s="1" t="str">
        <f ca="1">IFERROR(__xludf.DUMMYFUNCTION("GOOGLETRANSLATE(A5492 , ""tr"" , ""en"")"),"@drfahrettinka vaccine though ok not the vaccine")</f>
        <v>@drfahrettinka vaccine though ok not the vaccine</v>
      </c>
    </row>
    <row r="8694" spans="1:5" ht="15" customHeight="1" x14ac:dyDescent="0.2">
      <c r="A8694" s="1" t="s">
        <v>17300</v>
      </c>
      <c r="B8694" s="1">
        <v>0</v>
      </c>
      <c r="C8694" s="3">
        <v>44537.707812499997</v>
      </c>
      <c r="D8694" s="1" t="s">
        <v>17301</v>
      </c>
      <c r="E8694" s="1" t="str">
        <f ca="1">IFERROR(__xludf.DUMMYFUNCTION("GOOGLETRANSLATE(A5493 , ""tr"" , ""en"")"),"@drfahrettinkoca Trust this power, no coincidence https://t.co/fhiuh7c6uq")</f>
        <v>@drfahrettinkoca Trust this power, no coincidence https://t.co/fhiuh7c6uq</v>
      </c>
    </row>
    <row r="8695" spans="1:5" ht="15" customHeight="1" x14ac:dyDescent="0.2">
      <c r="A8695" s="1" t="s">
        <v>17302</v>
      </c>
      <c r="B8695" s="1">
        <v>0</v>
      </c>
      <c r="C8695" s="3">
        <v>44537.707719907405</v>
      </c>
      <c r="D8695" s="1" t="s">
        <v>17303</v>
      </c>
      <c r="E8695" s="1" t="str">
        <f ca="1">IFERROR(__xludf.DUMMYFUNCTION("GOOGLETRANSLATE(A5494 , ""tr"" , ""en"")"),"@drfahrettinka these are no coincidence ... https://t.co/3jc6dumc2m")</f>
        <v>@drfahrettinka these are no coincidence ... https://t.co/3jc6dumc2m</v>
      </c>
    </row>
    <row r="8696" spans="1:5" ht="15" customHeight="1" x14ac:dyDescent="0.2">
      <c r="A8696" s="1" t="s">
        <v>17304</v>
      </c>
      <c r="B8696" s="1">
        <v>0</v>
      </c>
      <c r="C8696" s="3">
        <v>44537.707430555558</v>
      </c>
      <c r="D8696" s="1" t="s">
        <v>17305</v>
      </c>
      <c r="E8696" s="1" t="str">
        <f ca="1">IFERROR(__xludf.DUMMYFUNCTION("GOOGLETRANSLATE(A5495 , ""tr"" , ""en"")"),"@drfahrettinkoca Publishaway Daa")</f>
        <v>@drfahrettinkoca Publishaway Daa</v>
      </c>
    </row>
    <row r="8697" spans="1:5" ht="15" customHeight="1" x14ac:dyDescent="0.2">
      <c r="A8697" s="1" t="s">
        <v>17306</v>
      </c>
      <c r="B8697" s="1">
        <v>11</v>
      </c>
      <c r="C8697" s="3">
        <v>44537.707407407404</v>
      </c>
      <c r="D8697" s="1" t="s">
        <v>17307</v>
      </c>
      <c r="E8697" s="1" t="str">
        <f ca="1">IFERROR(__xludf.DUMMYFUNCTION("GOOGLETRANSLATE(A5496 , ""tr"" , ""en"")"),"@drfahrettinkoca We're saying again Remove the obligation # CabineUZAKTANDITIZSART")</f>
        <v>@drfahrettinkoca We're saying again Remove the obligation # CabineUZAKTANDITIZSART</v>
      </c>
    </row>
    <row r="8698" spans="1:5" ht="15" customHeight="1" x14ac:dyDescent="0.2">
      <c r="A8698" s="1" t="s">
        <v>17308</v>
      </c>
      <c r="B8698" s="1">
        <v>0</v>
      </c>
      <c r="C8698" s="3">
        <v>44537.707395833335</v>
      </c>
      <c r="D8698" s="1" t="s">
        <v>17309</v>
      </c>
      <c r="E8698" s="1" t="str">
        <f ca="1">IFERROR(__xludf.DUMMYFUNCTION("GOOGLETRANSLATE(A5497 , ""tr"" , ""en"")"),"@drfahrettinkoca Your message is not a coincidence already. Hani Asilaninca ends Hani Two weeks Much Kri ... https://t.co/lkgrgm4i3g")</f>
        <v>@drfahrettinkoca Your message is not a coincidence already. Hani Asilaninca ends Hani Two weeks Much Kri ... https://t.co/lkgrgm4i3g</v>
      </c>
    </row>
    <row r="8699" spans="1:5" ht="15" customHeight="1" x14ac:dyDescent="0.2">
      <c r="A8699" s="1" t="s">
        <v>17310</v>
      </c>
      <c r="B8699" s="1">
        <v>0</v>
      </c>
      <c r="C8699" s="3">
        <v>44537.707326388889</v>
      </c>
      <c r="D8699" s="1" t="s">
        <v>17311</v>
      </c>
      <c r="E8699" s="1" t="str">
        <f ca="1">IFERROR(__xludf.DUMMYFUNCTION("GOOGLETRANSLATE(A5498 , ""tr"" , ""en"")"),"@drfahrettinkoca trust this power https://t.co/gbkh1ggx1i")</f>
        <v>@drfahrettinkoca trust this power https://t.co/gbkh1ggx1i</v>
      </c>
    </row>
    <row r="8700" spans="1:5" ht="15" customHeight="1" x14ac:dyDescent="0.2">
      <c r="A8700" s="1" t="s">
        <v>17312</v>
      </c>
      <c r="B8700" s="1">
        <v>1</v>
      </c>
      <c r="C8700" s="3">
        <v>44537.707303240742</v>
      </c>
      <c r="D8700" s="1" t="s">
        <v>17313</v>
      </c>
      <c r="E8700" s="1" t="str">
        <f ca="1">IFERROR(__xludf.DUMMYFUNCTION("GOOGLETRANSLATE(A5499 , ""tr"" , ""en"")"),"@drfahrettinkoca hocam you are very right with our 3 vaccine is more time. We're fine but we're very much in mind. Alcohol ku ... https://t.co/rk2eIV86MB")</f>
        <v>@drfahrettinkoca hocam you are very right with our 3 vaccine is more time. We're fine but we're very much in mind. Alcohol ku ... https://t.co/rk2eIV86MB</v>
      </c>
    </row>
    <row r="8701" spans="1:5" ht="15" customHeight="1" x14ac:dyDescent="0.2">
      <c r="A8701" s="1" t="s">
        <v>17314</v>
      </c>
      <c r="B8701" s="1">
        <v>4</v>
      </c>
      <c r="C8701" s="3">
        <v>44537.707291666666</v>
      </c>
      <c r="D8701" s="1" t="s">
        <v>17315</v>
      </c>
      <c r="E8701" s="1" t="str">
        <f ca="1">IFERROR(__xludf.DUMMYFUNCTION("GOOGLETRANSLATE(A5500 , ""tr"" , ""en"")"),"Think @drfahrettinkoca what is no longer from our side of this vaccine, you get the vaccine, the vaccine is not.")</f>
        <v>Think @drfahrettinkoca what is no longer from our side of this vaccine, you get the vaccine, the vaccine is not.</v>
      </c>
    </row>
    <row r="8702" spans="1:5" ht="15" customHeight="1" x14ac:dyDescent="0.2">
      <c r="A8702" s="1" t="s">
        <v>17316</v>
      </c>
      <c r="B8702" s="1">
        <v>6</v>
      </c>
      <c r="C8702" s="3">
        <v>44537.707256944443</v>
      </c>
      <c r="D8702" s="1" t="s">
        <v>17317</v>
      </c>
      <c r="E8702" s="1" t="str">
        <f ca="1">IFERROR(__xludf.DUMMYFUNCTION("GOOGLETRANSLATE(A5501 , ""tr"" , ""en"")"),"Hear your @drfahrettinkoca Hear this person is now enough !!! I'm #cbonaylakochave")</f>
        <v>Hear your @drfahrettinkoca Hear this person is now enough !!! I'm #cbonaylakochave</v>
      </c>
    </row>
    <row r="8703" spans="1:5" ht="15" customHeight="1" x14ac:dyDescent="0.2">
      <c r="A8703" s="1" t="s">
        <v>17318</v>
      </c>
      <c r="B8703" s="1">
        <v>0</v>
      </c>
      <c r="C8703" s="3">
        <v>44537.707129629627</v>
      </c>
      <c r="D8703" s="1" t="s">
        <v>17319</v>
      </c>
      <c r="E8703" s="1" t="str">
        <f ca="1">IFERROR(__xludf.DUMMYFUNCTION("GOOGLETRANSLATE(A5502 , ""tr"" , ""en"")"),"@drfahrettinkoca Sayin Minister Allah Askina Virus Mirus Mirus This is 100lerce SMA Li Li Kids Have Care ... https://t.co/b86pnhxırt")</f>
        <v>@drfahrettinkoca Sayin Minister Allah Askina Virus Mirus Mirus This is 100lerce SMA Li Li Kids Have Care ... https://t.co/b86pnhxırt</v>
      </c>
    </row>
    <row r="8704" spans="1:5" ht="15" customHeight="1" x14ac:dyDescent="0.2">
      <c r="A8704" s="1" t="s">
        <v>17320</v>
      </c>
      <c r="B8704" s="1">
        <v>0</v>
      </c>
      <c r="C8704" s="3">
        <v>44537.70689814815</v>
      </c>
      <c r="D8704" s="1" t="s">
        <v>17321</v>
      </c>
      <c r="E8704" s="1" t="str">
        <f ca="1">IFERROR(__xludf.DUMMYFUNCTION("GOOGLETRANSLATE(A5503 , ""tr"" , ""en"")"),"@drfahrettinkoca This map does not have a meaning anymore 2 dose U ending Millions have no more than this map ↓")</f>
        <v>@drfahrettinkoca This map does not have a meaning anymore 2 dose U ending Millions have no more than this map ↓</v>
      </c>
    </row>
    <row r="8705" spans="1:5" ht="15" customHeight="1" x14ac:dyDescent="0.2">
      <c r="A8705" s="1" t="s">
        <v>17322</v>
      </c>
      <c r="B8705" s="1">
        <v>0</v>
      </c>
      <c r="C8705" s="3">
        <v>44537.70685185185</v>
      </c>
      <c r="D8705" s="1" t="s">
        <v>17323</v>
      </c>
      <c r="E8705" s="1" t="str">
        <f ca="1">IFERROR(__xludf.DUMMYFUNCTION("GOOGLETRANSLATE(A5504 , ""tr"" , ""en"")"),"@drfahrettinkoca No I don't trust you I'm not both vaccinated and I didn't have Covid in the buddy of friends who are so ... https://t.co/96rhrppcyd")</f>
        <v>@drfahrettinkoca No I don't trust you I'm not both vaccinated and I didn't have Covid in the buddy of friends who are so ... https://t.co/96rhrppcyd</v>
      </c>
    </row>
    <row r="8706" spans="1:5" ht="15" customHeight="1" x14ac:dyDescent="0.2">
      <c r="A8706" s="1" t="s">
        <v>17324</v>
      </c>
      <c r="B8706" s="1">
        <v>1</v>
      </c>
      <c r="C8706" s="3">
        <v>44537.706747685188</v>
      </c>
      <c r="D8706" s="1" t="s">
        <v>17325</v>
      </c>
      <c r="E8706" s="1" t="str">
        <f ca="1">IFERROR(__xludf.DUMMYFUNCTION("GOOGLETRANSLATE(A5505 , ""tr"" , ""en"")"),"@drfahrettinkoca Intensive care and religious rates are such high because of your incorrect treatment protocol .. Https://t.co/6tjaiqejsr")</f>
        <v>@drfahrettinkoca Intensive care and religious rates are such high because of your incorrect treatment protocol .. Https://t.co/6tjaiqejsr</v>
      </c>
    </row>
    <row r="8707" spans="1:5" ht="15" customHeight="1" x14ac:dyDescent="0.2">
      <c r="A8707" s="1" t="s">
        <v>17326</v>
      </c>
      <c r="B8707" s="1">
        <v>1</v>
      </c>
      <c r="C8707" s="3">
        <v>44537.706631944442</v>
      </c>
      <c r="D8707" s="1" t="s">
        <v>17327</v>
      </c>
      <c r="E8707" s="1" t="str">
        <f ca="1">IFERROR(__xludf.DUMMYFUNCTION("GOOGLETRANSLATE(A5506 , ""tr"" , ""en"")"),"@drfahrettinkoca lying on the lying machine you burn the brain of the machine, think of the nation's collar")</f>
        <v>@drfahrettinkoca lying on the lying machine you burn the brain of the machine, think of the nation's collar</v>
      </c>
    </row>
    <row r="8708" spans="1:5" ht="15" customHeight="1" x14ac:dyDescent="0.2">
      <c r="A8708" s="1" t="s">
        <v>17328</v>
      </c>
      <c r="B8708" s="1">
        <v>4</v>
      </c>
      <c r="C8708" s="3">
        <v>44537.70652777778</v>
      </c>
      <c r="D8708" s="1" t="s">
        <v>17329</v>
      </c>
      <c r="E8708" s="1" t="str">
        <f ca="1">IFERROR(__xludf.DUMMYFUNCTION("GOOGLETRANSLATE(A5507 , ""tr"" , ""en"")"),"@drfahrettinkoca you're lying. Il Şanlıurfa, which is at least the rate of vaccination, but the number of cases is at least the Şanliurf ... https://t.co/luwhbfuccn")</f>
        <v>@drfahrettinkoca you're lying. Il Şanlıurfa, which is at least the rate of vaccination, but the number of cases is at least the Şanliurf ... https://t.co/luwhbfuccn</v>
      </c>
    </row>
    <row r="8709" spans="1:5" ht="15" customHeight="1" x14ac:dyDescent="0.2">
      <c r="A8709" s="1" t="s">
        <v>17330</v>
      </c>
      <c r="B8709" s="1">
        <v>0</v>
      </c>
      <c r="C8709" s="3">
        <v>44537.706469907411</v>
      </c>
      <c r="D8709" s="1" t="s">
        <v>17331</v>
      </c>
      <c r="E8709" s="1" t="str">
        <f ca="1">IFERROR(__xludf.DUMMYFUNCTION("GOOGLETRANSLATE(A5508 , ""tr"" , ""en"")"),"@drfahrettinkoca I don't believe the only word you say.")</f>
        <v>@drfahrettinkoca I don't believe the only word you say.</v>
      </c>
    </row>
    <row r="8710" spans="1:5" ht="15" customHeight="1" x14ac:dyDescent="0.2">
      <c r="A8710" s="1" t="s">
        <v>17332</v>
      </c>
      <c r="B8710" s="1">
        <v>1</v>
      </c>
      <c r="C8710" s="3">
        <v>44537.706458333334</v>
      </c>
      <c r="D8710" s="1" t="s">
        <v>17333</v>
      </c>
      <c r="E8710" s="1" t="str">
        <f ca="1">IFERROR(__xludf.DUMMYFUNCTION("GOOGLETRANSLATE(A5509 , ""tr"" , ""en"")"),"@drfahrettinkoca Come in prohibitions as in European countries")</f>
        <v>@drfahrettinkoca Come in prohibitions as in European countries</v>
      </c>
    </row>
    <row r="8711" spans="1:5" ht="15" customHeight="1" x14ac:dyDescent="0.2">
      <c r="A8711" s="1" t="s">
        <v>17334</v>
      </c>
      <c r="B8711" s="1">
        <v>0</v>
      </c>
      <c r="C8711" s="3">
        <v>44537.706446759257</v>
      </c>
      <c r="D8711" s="1" t="s">
        <v>17335</v>
      </c>
      <c r="E8711" s="1" t="str">
        <f ca="1">IFERROR(__xludf.DUMMYFUNCTION("GOOGLETRANSLATE(A5510 , ""tr"" , ""en"")"),"@drfahrettinkoca Sn Minister Our right left Covid is full. 1. I'm not sending my child to school for 1 week. SI ... https://t.co/6ejw0pqbck")</f>
        <v>@drfahrettinkoca Sn Minister Our right left Covid is full. 1. I'm not sending my child to school for 1 week. SI ... https://t.co/6ejw0pqbck</v>
      </c>
    </row>
    <row r="8712" spans="1:5" ht="15" customHeight="1" x14ac:dyDescent="0.2">
      <c r="A8712" s="1" t="s">
        <v>17336</v>
      </c>
      <c r="B8712" s="1">
        <v>0</v>
      </c>
      <c r="C8712" s="3">
        <v>44537.706365740742</v>
      </c>
      <c r="D8712" s="1" t="s">
        <v>17337</v>
      </c>
      <c r="E8712" s="1" t="str">
        <f ca="1">IFERROR(__xludf.DUMMYFUNCTION("GOOGLETRANSLATE(A5511 , ""tr"" , ""en"")"),"@drfahrettinka has to have entered the new variant")</f>
        <v>@drfahrettinka has to have entered the new variant</v>
      </c>
    </row>
    <row r="8713" spans="1:5" ht="15" customHeight="1" x14ac:dyDescent="0.2">
      <c r="A8713" s="1" t="s">
        <v>17338</v>
      </c>
      <c r="B8713" s="1">
        <v>2</v>
      </c>
      <c r="C8713" s="3">
        <v>44537.705578703702</v>
      </c>
      <c r="D8713" s="1" t="s">
        <v>17339</v>
      </c>
      <c r="E8713" s="1" t="str">
        <f ca="1">IFERROR(__xludf.DUMMYFUNCTION("GOOGLETRANSLATE(A5512 , ""tr"" , ""en"")"),"@drfahrettinka 5-11 age group expects to vaccine still. Why don't you hear ours?")</f>
        <v>@drfahrettinka 5-11 age group expects to vaccine still. Why don't you hear ours?</v>
      </c>
    </row>
    <row r="8714" spans="1:5" ht="15" customHeight="1" x14ac:dyDescent="0.2">
      <c r="A8714" s="1" t="s">
        <v>17340</v>
      </c>
      <c r="B8714" s="1">
        <v>10</v>
      </c>
      <c r="C8714" s="3">
        <v>44537.705150462964</v>
      </c>
      <c r="D8714" s="1" t="s">
        <v>17341</v>
      </c>
      <c r="E8714" s="1" t="str">
        <f ca="1">IFERROR(__xludf.DUMMYFUNCTION("GOOGLETRANSLATE(A5513 , ""tr"" , ""en"")"),"@drfahrettinka 2021 is looking forward to the assignment that will end at 2021")</f>
        <v>@drfahrettinka 2021 is looking forward to the assignment that will end at 2021</v>
      </c>
    </row>
    <row r="8715" spans="1:5" ht="15" customHeight="1" x14ac:dyDescent="0.2">
      <c r="A8715" s="1" t="s">
        <v>17342</v>
      </c>
      <c r="B8715" s="1">
        <v>1</v>
      </c>
      <c r="C8715" s="3">
        <v>44537.705081018517</v>
      </c>
      <c r="D8715" s="1" t="s">
        <v>17343</v>
      </c>
      <c r="E8715" s="1" t="str">
        <f ca="1">IFERROR(__xludf.DUMMYFUNCTION("GOOGLETRANSLATE(A5514 , ""tr"" , ""en"")"),"@drfahrettinkoca what happened today 18,000 you were waiting for 50,000 60,000 output Utandin Heraldi 2000 has not added this but this")</f>
        <v>@drfahrettinkoca what happened today 18,000 you were waiting for 50,000 60,000 output Utandin Heraldi 2000 has not added this but this</v>
      </c>
    </row>
    <row r="8716" spans="1:5" ht="15" customHeight="1" x14ac:dyDescent="0.2">
      <c r="A8716" s="1" t="s">
        <v>17344</v>
      </c>
      <c r="B8716" s="1">
        <v>0</v>
      </c>
      <c r="C8716" s="3">
        <v>44537.705023148148</v>
      </c>
      <c r="D8716" s="1" t="s">
        <v>17345</v>
      </c>
      <c r="E8716" s="1" t="str">
        <f ca="1">IFERROR(__xludf.DUMMYFUNCTION("GOOGLETRANSLATE(A5515 , ""tr"" , ""en"")"),"@drfahrettinkoca We are not guiful to you and the power that you say trust")</f>
        <v>@drfahrettinkoca We are not guiful to you and the power that you say trust</v>
      </c>
    </row>
    <row r="8717" spans="1:5" ht="15" customHeight="1" x14ac:dyDescent="0.2">
      <c r="A8717" s="1" t="s">
        <v>17346</v>
      </c>
      <c r="B8717" s="1">
        <v>0</v>
      </c>
      <c r="C8717" s="3">
        <v>44537.704965277779</v>
      </c>
      <c r="D8717" s="1" t="s">
        <v>17347</v>
      </c>
      <c r="E8717" s="1" t="str">
        <f ca="1">IFERROR(__xludf.DUMMYFUNCTION("GOOGLETRANSLATE(A5516 , ""tr"" , ""en"")"),"@drfahrettinkoca Thumbs up for the cruels, you will give you the account of your thumbs up.")</f>
        <v>@drfahrettinkoca Thumbs up for the cruels, you will give you the account of your thumbs up.</v>
      </c>
    </row>
    <row r="8718" spans="1:5" ht="15" customHeight="1" x14ac:dyDescent="0.2">
      <c r="A8718" s="1" t="s">
        <v>17348</v>
      </c>
      <c r="B8718" s="1">
        <v>26</v>
      </c>
      <c r="C8718" s="3">
        <v>44537.704722222225</v>
      </c>
      <c r="D8718" s="1" t="s">
        <v>17349</v>
      </c>
      <c r="E8718" s="1" t="str">
        <f ca="1">IFERROR(__xludf.DUMMYFUNCTION("GOOGLETRANSLATE(A5517 , ""tr"" , ""en"")"),"@drfahrettinkoca Share Statistics SHARE how many vaccines in intensive care is how many vaccines.")</f>
        <v>@drfahrettinkoca Share Statistics SHARE how many vaccines in intensive care is how many vaccines.</v>
      </c>
    </row>
    <row r="8719" spans="1:5" ht="15" customHeight="1" x14ac:dyDescent="0.2">
      <c r="A8719" s="1" t="s">
        <v>17350</v>
      </c>
      <c r="B8719" s="1">
        <v>0</v>
      </c>
      <c r="C8719" s="3">
        <v>44537.704594907409</v>
      </c>
      <c r="D8719" s="1" t="s">
        <v>17351</v>
      </c>
      <c r="E8719" s="1" t="str">
        <f ca="1">IFERROR(__xludf.DUMMYFUNCTION("GOOGLETRANSLATE(A5518 , ""tr"" , ""en"")"),"@drfahrettinkoca la fontenden tales")</f>
        <v>@drfahrettinkoca la fontenden tales</v>
      </c>
    </row>
    <row r="8720" spans="1:5" ht="15" customHeight="1" x14ac:dyDescent="0.2">
      <c r="A8720" s="1" t="s">
        <v>17352</v>
      </c>
      <c r="B8720" s="1">
        <v>0</v>
      </c>
      <c r="C8720" s="3">
        <v>44537.704571759263</v>
      </c>
      <c r="D8720" s="1" t="s">
        <v>17353</v>
      </c>
      <c r="E8720" s="1" t="str">
        <f ca="1">IFERROR(__xludf.DUMMYFUNCTION("GOOGLETRANSLATE(A5519 , ""tr"" , ""en"")"),"@drfahrettinka Ministry of Guide")</f>
        <v>@drfahrettinka Ministry of Guide</v>
      </c>
    </row>
    <row r="8721" spans="1:5" ht="15" customHeight="1" x14ac:dyDescent="0.2">
      <c r="A8721" s="1" t="s">
        <v>17354</v>
      </c>
      <c r="B8721" s="1">
        <v>21</v>
      </c>
      <c r="C8721" s="3">
        <v>44537.704513888886</v>
      </c>
      <c r="D8721" s="1" t="s">
        <v>17355</v>
      </c>
      <c r="E8721" s="1" t="str">
        <f ca="1">IFERROR(__xludf.DUMMYFUNCTION("GOOGLETRANSLATE(A5520 , ""tr"" , ""en"")"),"@drfahrettinkoca contacted ones in public transports in indoor areas and you wanted this! You have decided! Ned ... https://t.co/gxgszioafo")</f>
        <v>@drfahrettinkoca contacted ones in public transports in indoor areas and you wanted this! You have decided! Ned ... https://t.co/gxgszioafo</v>
      </c>
    </row>
    <row r="8722" spans="1:5" ht="15" customHeight="1" x14ac:dyDescent="0.2">
      <c r="A8722" s="1" t="s">
        <v>17356</v>
      </c>
      <c r="B8722" s="1">
        <v>0</v>
      </c>
      <c r="C8722" s="3">
        <v>44537.704502314817</v>
      </c>
      <c r="D8722" s="1" t="s">
        <v>17357</v>
      </c>
      <c r="E8722" s="1" t="str">
        <f ca="1">IFERROR(__xludf.DUMMYFUNCTION("GOOGLETRANSLATE(A5521 , ""tr"" , ""en"")"),"@drfahrettinkoca resign anymore please. State Hospital Management is currently the pain of the songs are not to be a doctor killer ... https://t.co/2iu1nnkaba")</f>
        <v>@drfahrettinkoca resign anymore please. State Hospital Management is currently the pain of the songs are not to be a doctor killer ... https://t.co/2iu1nnkaba</v>
      </c>
    </row>
    <row r="8723" spans="1:5" ht="15" customHeight="1" x14ac:dyDescent="0.2">
      <c r="A8723" s="1" t="s">
        <v>17358</v>
      </c>
      <c r="B8723" s="1">
        <v>0</v>
      </c>
      <c r="C8723" s="3">
        <v>44537.704398148147</v>
      </c>
      <c r="D8723" s="1" t="s">
        <v>17359</v>
      </c>
      <c r="E8723" s="1" t="str">
        <f ca="1">IFERROR(__xludf.DUMMYFUNCTION("GOOGLETRANSLATE(A5522 , ""tr"" , ""en"")"),"@drfahrettinkoca Mr. Partially agree with my Minister.It says the same on foreign profiles '' After this time ... https://t.co/ondc0w9tpm")</f>
        <v>@drfahrettinkoca Mr. Partially agree with my Minister.It says the same on foreign profiles '' After this time ... https://t.co/ondc0w9tpm</v>
      </c>
    </row>
    <row r="8724" spans="1:5" ht="15" customHeight="1" x14ac:dyDescent="0.2">
      <c r="A8724" s="1" t="s">
        <v>17360</v>
      </c>
      <c r="B8724" s="1">
        <v>3</v>
      </c>
      <c r="C8724" s="3">
        <v>44537.704386574071</v>
      </c>
      <c r="D8724" s="1" t="s">
        <v>17361</v>
      </c>
      <c r="E8724" s="1" t="str">
        <f ca="1">IFERROR(__xludf.DUMMYFUNCTION("GOOGLETRANSLATE(A5523 , ""tr"" , ""en"")"),"@drfahrettinkoca is a 62 dietitian in a year and how much sensible to switch to 100 DYT with the title change ... https://t.co/kghizlqdaa")</f>
        <v>@drfahrettinkoca is a 62 dietitian in a year and how much sensible to switch to 100 DYT with the title change ... https://t.co/kghizlqdaa</v>
      </c>
    </row>
    <row r="8725" spans="1:5" ht="15" customHeight="1" x14ac:dyDescent="0.2">
      <c r="A8725" s="1" t="s">
        <v>17362</v>
      </c>
      <c r="B8725" s="1">
        <v>0</v>
      </c>
      <c r="C8725" s="3">
        <v>44537.70417824074</v>
      </c>
      <c r="D8725" s="1" t="s">
        <v>17363</v>
      </c>
      <c r="E8725" s="1" t="str">
        <f ca="1">IFERROR(__xludf.DUMMYFUNCTION("GOOGLETRANSLATE(A5524 , ""tr"" , ""en"")"),"@drfahrettinkoca vaccines are fully and also lying in intensive care and / or dispellers?")</f>
        <v>@drfahrettinkoca vaccines are fully and also lying in intensive care and / or dispellers?</v>
      </c>
    </row>
    <row r="8726" spans="1:5" ht="15" customHeight="1" x14ac:dyDescent="0.2">
      <c r="A8726" s="1" t="s">
        <v>12160</v>
      </c>
      <c r="B8726" s="1">
        <v>3</v>
      </c>
      <c r="C8726" s="3">
        <v>44537.703946759262</v>
      </c>
      <c r="D8726" s="1" t="s">
        <v>17364</v>
      </c>
      <c r="E8726" s="1" t="str">
        <f ca="1">IFERROR(__xludf.DUMMYFUNCTION("GOOGLETRANSLATE(A5525 , ""tr"" , ""en"")"),"@drfahrettinka has at least 60 thousand these cases.")</f>
        <v>@drfahrettinka has at least 60 thousand these cases.</v>
      </c>
    </row>
    <row r="8727" spans="1:5" ht="15" customHeight="1" x14ac:dyDescent="0.2">
      <c r="A8727" s="1" t="s">
        <v>17365</v>
      </c>
      <c r="B8727" s="1">
        <v>0</v>
      </c>
      <c r="C8727" s="3">
        <v>44537.703750000001</v>
      </c>
      <c r="D8727" s="1" t="s">
        <v>17366</v>
      </c>
      <c r="E8727" s="1" t="str">
        <f ca="1">IFERROR(__xludf.DUMMYFUNCTION("GOOGLETRANSLATE(A5526 , ""tr"" , ""en"")"),"@drfahrettinkoca #kronikhastalarıidariiziniHizin @saglikbakanligi @sagliklicozum @meb @mebimdestek")</f>
        <v>@drfahrettinkoca #kronikhastalarıidariiziniHizin @saglikbakanligi @sagliklicozum @meb @mebimdestek</v>
      </c>
    </row>
    <row r="8728" spans="1:5" ht="15" customHeight="1" x14ac:dyDescent="0.2">
      <c r="A8728" s="1" t="s">
        <v>17367</v>
      </c>
      <c r="B8728" s="1">
        <v>1</v>
      </c>
      <c r="C8728" s="3">
        <v>44537.703703703701</v>
      </c>
      <c r="D8728" s="1" t="s">
        <v>17368</v>
      </c>
      <c r="E8728" s="1" t="str">
        <f ca="1">IFERROR(__xludf.DUMMYFUNCTION("GOOGLETRANSLATE(A5527 , ""tr"" , ""en"")"),"@drfahrettinkoca Covid, those who are caught in the disease was already 99% gone. The figures were already the same with the current ... https://t.co/nj0dyao98o")</f>
        <v>@drfahrettinkoca Covid, those who are caught in the disease was already 99% gone. The figures were already the same with the current ... https://t.co/nj0dyao98o</v>
      </c>
    </row>
    <row r="8729" spans="1:5" ht="15" customHeight="1" x14ac:dyDescent="0.2">
      <c r="A8729" s="1" t="s">
        <v>17369</v>
      </c>
      <c r="B8729" s="1">
        <v>6</v>
      </c>
      <c r="C8729" s="3">
        <v>44537.703645833331</v>
      </c>
      <c r="D8729" s="1" t="s">
        <v>17370</v>
      </c>
      <c r="E8729" s="1" t="str">
        <f ca="1">IFERROR(__xludf.DUMMYFUNCTION("GOOGLETRANSLATE(A5528 , ""tr"" , ""en"")"),"@drfahrettinkoca ALLAH IM YOU WISDOM MUKAYYET")</f>
        <v>@drfahrettinkoca ALLAH IM YOU WISDOM MUKAYYET</v>
      </c>
    </row>
    <row r="8730" spans="1:5" ht="15" customHeight="1" x14ac:dyDescent="0.2">
      <c r="A8730" s="1" t="s">
        <v>17371</v>
      </c>
      <c r="B8730" s="1">
        <v>0</v>
      </c>
      <c r="C8730" s="3">
        <v>44537.703530092593</v>
      </c>
      <c r="D8730" s="1" t="s">
        <v>17372</v>
      </c>
      <c r="E8730" s="1" t="str">
        <f ca="1">IFERROR(__xludf.DUMMYFUNCTION("GOOGLETRANSLATE(A5529 , ""tr"" , ""en"")"),"@drfahrettinkoca or pesss")</f>
        <v>@drfahrettinkoca or pesss</v>
      </c>
    </row>
    <row r="8731" spans="1:5" ht="15" customHeight="1" x14ac:dyDescent="0.2">
      <c r="A8731" s="1" t="s">
        <v>17373</v>
      </c>
      <c r="B8731" s="1">
        <v>0</v>
      </c>
      <c r="C8731" s="3">
        <v>44537.703530092593</v>
      </c>
      <c r="D8731" s="1" t="s">
        <v>17374</v>
      </c>
      <c r="E8731" s="1" t="str">
        <f ca="1">IFERROR(__xludf.DUMMYFUNCTION("GOOGLETRANSLATE(A5530 , ""tr"" , ""en"")"),"@drfahrettinkoca We are still looking forward to Mr.")</f>
        <v>@drfahrettinkoca We are still looking forward to Mr.</v>
      </c>
    </row>
    <row r="8732" spans="1:5" ht="15" customHeight="1" x14ac:dyDescent="0.2">
      <c r="A8732" s="1" t="s">
        <v>17375</v>
      </c>
      <c r="B8732" s="1">
        <v>0</v>
      </c>
      <c r="C8732" s="3">
        <v>44537.70349537037</v>
      </c>
      <c r="D8732" s="1" t="s">
        <v>17376</v>
      </c>
      <c r="E8732" s="1" t="str">
        <f ca="1">IFERROR(__xludf.DUMMYFUNCTION("GOOGLETRANSLATE(A5531 , ""tr"" , ""en"")"),"@drfahrettinkoca requirements are made of tens of cabinet science board meeting and cases decreases no longer measure Terms of Presentation")</f>
        <v>@drfahrettinkoca requirements are made of tens of cabinet science board meeting and cases decreases no longer measure Terms of Presentation</v>
      </c>
    </row>
    <row r="8733" spans="1:5" ht="15" customHeight="1" x14ac:dyDescent="0.2">
      <c r="A8733" s="1" t="s">
        <v>17377</v>
      </c>
      <c r="B8733" s="1">
        <v>35</v>
      </c>
      <c r="C8733" s="3">
        <v>44537.703460648147</v>
      </c>
      <c r="D8733" s="1" t="s">
        <v>17378</v>
      </c>
      <c r="E8733" s="1" t="str">
        <f ca="1">IFERROR(__xludf.DUMMYFUNCTION("GOOGLETRANSLATE(A5532 , ""tr"" , ""en"")"),"@drfahrettinkoca rule the epidemic! We are looking forward to execution! OLA OLA !! You have been the lord of Tivits !!!")</f>
        <v>@drfahrettinkoca rule the epidemic! We are looking forward to execution! OLA OLA !! You have been the lord of Tivits !!!</v>
      </c>
    </row>
    <row r="8734" spans="1:5" ht="15" customHeight="1" x14ac:dyDescent="0.2">
      <c r="A8734" s="1" t="s">
        <v>17379</v>
      </c>
      <c r="B8734" s="1">
        <v>1</v>
      </c>
      <c r="C8734" s="3">
        <v>44537.703310185185</v>
      </c>
      <c r="D8734" s="1" t="s">
        <v>17380</v>
      </c>
      <c r="E8734" s="1" t="str">
        <f ca="1">IFERROR(__xludf.DUMMYFUNCTION("GOOGLETRANSLATE(A5533 , ""tr"" , ""en"")"),"@drfahrettinkoca either drop off the drum, the folks don't eat anymore!")</f>
        <v>@drfahrettinkoca either drop off the drum, the folks don't eat anymore!</v>
      </c>
    </row>
    <row r="8735" spans="1:5" ht="15" customHeight="1" x14ac:dyDescent="0.2">
      <c r="A8735" s="1" t="s">
        <v>17381</v>
      </c>
      <c r="B8735" s="1">
        <v>21</v>
      </c>
      <c r="C8735" s="3">
        <v>44537.703206018516</v>
      </c>
      <c r="D8735" s="1" t="s">
        <v>17382</v>
      </c>
      <c r="E8735" s="1" t="str">
        <f ca="1">IFERROR(__xludf.DUMMYFUNCTION("GOOGLETRANSLATE(A5534 , ""tr"" , ""en"")"),"@drfahrettinka does not prevent the vaccine leftover! Vaccination is not enough students are six in public transports in indoor areas ... https://t.co/2qzc2mluvi")</f>
        <v>@drfahrettinka does not prevent the vaccine leftover! Vaccination is not enough students are six in public transports in indoor areas ... https://t.co/2qzc2mluvi</v>
      </c>
    </row>
    <row r="8736" spans="1:5" ht="15" customHeight="1" x14ac:dyDescent="0.2">
      <c r="A8736" s="1" t="s">
        <v>17383</v>
      </c>
      <c r="B8736" s="1">
        <v>1</v>
      </c>
      <c r="C8736" s="3">
        <v>44537.703194444446</v>
      </c>
      <c r="D8736" s="1" t="s">
        <v>17384</v>
      </c>
      <c r="E8736" s="1" t="str">
        <f ca="1">IFERROR(__xludf.DUMMYFUNCTION("GOOGLETRANSLATE(A5535 , ""tr"" , ""en"")"),"@drfahrettinkoca Publish Healthier Assignment Guide # CBONAYLAKOCACHAUGUZ I'm @drfahrettinkoca @rterdogan")</f>
        <v>@drfahrettinkoca Publish Healthier Assignment Guide # CBONAYLAKOCACHAUGUZ I'm @drfahrettinkoca @rterdogan</v>
      </c>
    </row>
    <row r="8737" spans="1:5" ht="15" customHeight="1" x14ac:dyDescent="0.2">
      <c r="A8737" s="1" t="s">
        <v>17385</v>
      </c>
      <c r="B8737" s="1">
        <v>0</v>
      </c>
      <c r="C8737" s="3">
        <v>44537.703148148146</v>
      </c>
      <c r="D8737" s="1" t="s">
        <v>17386</v>
      </c>
      <c r="E8737" s="1" t="str">
        <f ca="1">IFERROR(__xludf.DUMMYFUNCTION("GOOGLETRANSLATE(A5536 , ""tr"" , ""en"")"),"@drfahrettinkoca is a significant portion of 1% by 1%, 5% of a grafted 20% of the province dose is grafted, are they full? Ş ... https://t.co/4ashkjp1tq")</f>
        <v>@drfahrettinkoca is a significant portion of 1% by 1%, 5% of a grafted 20% of the province dose is grafted, are they full? Ş ... https://t.co/4ashkjp1tq</v>
      </c>
    </row>
    <row r="8738" spans="1:5" ht="15" customHeight="1" x14ac:dyDescent="0.2">
      <c r="A8738" s="1" t="s">
        <v>17387</v>
      </c>
      <c r="B8738" s="1">
        <v>1</v>
      </c>
      <c r="C8738" s="3">
        <v>44537.703090277777</v>
      </c>
      <c r="D8738" s="1" t="s">
        <v>17388</v>
      </c>
      <c r="E8738" s="1" t="str">
        <f ca="1">IFERROR(__xludf.DUMMYFUNCTION("GOOGLETRANSLATE(A5537 , ""tr"" , ""en"")"),"@drfahrettinkoca ziyaaaa")</f>
        <v>@drfahrettinkoca ziyaaaa</v>
      </c>
    </row>
    <row r="8739" spans="1:5" ht="15" customHeight="1" x14ac:dyDescent="0.2">
      <c r="A8739" s="1" t="s">
        <v>17389</v>
      </c>
      <c r="B8739" s="1">
        <v>0</v>
      </c>
      <c r="C8739" s="3">
        <v>44537.702835648146</v>
      </c>
      <c r="D8739" s="1" t="s">
        <v>17390</v>
      </c>
      <c r="E8739" s="1" t="str">
        <f ca="1">IFERROR(__xludf.DUMMYFUNCTION("GOOGLETRANSLATE(A5538 , ""tr"" , ""en"")"),"@drfahrettinkoca hear us now we want guide")</f>
        <v>@drfahrettinkoca hear us now we want guide</v>
      </c>
    </row>
    <row r="8740" spans="1:5" ht="15" customHeight="1" x14ac:dyDescent="0.2">
      <c r="A8740" s="1" t="s">
        <v>17391</v>
      </c>
      <c r="B8740" s="1">
        <v>1</v>
      </c>
      <c r="C8740" s="3">
        <v>44537.702696759261</v>
      </c>
      <c r="D8740" s="1" t="s">
        <v>17392</v>
      </c>
      <c r="E8740" s="1" t="str">
        <f ca="1">IFERROR(__xludf.DUMMYFUNCTION("GOOGLETRANSLATE(A5539 , ""tr"" , ""en"")"),"@drfahrettinkoca 30,000 healthcare guide when will be published ?? @drfahrettinkoca @rterdogan @ halis_aygun ... https://t.co/gfjf4tdwnc")</f>
        <v>@drfahrettinkoca 30,000 healthcare guide when will be published ?? @drfahrettinkoca @rterdogan @ halis_aygun ... https://t.co/gfjf4tdwnc</v>
      </c>
    </row>
    <row r="8741" spans="1:5" ht="15" customHeight="1" x14ac:dyDescent="0.2">
      <c r="A8741" s="1" t="s">
        <v>17393</v>
      </c>
      <c r="B8741" s="1">
        <v>0</v>
      </c>
      <c r="C8741" s="3">
        <v>44537.702685185184</v>
      </c>
      <c r="D8741" s="1" t="s">
        <v>17394</v>
      </c>
      <c r="E8741" s="1" t="str">
        <f ca="1">IFERROR(__xludf.DUMMYFUNCTION("GOOGLETRANSLATE(A5540 , ""tr"" , ""en"")"),"@drfahrettinkoca has been an average of 6 per month in a day, so 36000 people lost their life, ie in 2022 ort ... https://t.co/q0ioaext8v")</f>
        <v>@drfahrettinkoca has been an average of 6 per month in a day, so 36000 people lost their life, ie in 2022 ort ... https://t.co/q0ioaext8v</v>
      </c>
    </row>
    <row r="8742" spans="1:5" ht="15" customHeight="1" x14ac:dyDescent="0.2">
      <c r="A8742" s="1" t="s">
        <v>17395</v>
      </c>
      <c r="B8742" s="1">
        <v>7</v>
      </c>
      <c r="C8742" s="3">
        <v>44537.702673611115</v>
      </c>
      <c r="D8742" s="1" t="s">
        <v>17396</v>
      </c>
      <c r="E8742" s="1" t="str">
        <f ca="1">IFERROR(__xludf.DUMMYFUNCTION("GOOGLETRANSLATE(A5541 , ""tr"" , ""en"")"),"@drfahrettinkoca #yaonline")</f>
        <v>@drfahrettinkoca #yaonline</v>
      </c>
    </row>
    <row r="8743" spans="1:5" ht="15" customHeight="1" x14ac:dyDescent="0.2">
      <c r="A8743" s="1" t="s">
        <v>13758</v>
      </c>
      <c r="B8743" s="1">
        <v>0</v>
      </c>
      <c r="C8743" s="3">
        <v>44537.702662037038</v>
      </c>
      <c r="D8743" s="1" t="s">
        <v>17397</v>
      </c>
      <c r="E8743" s="1" t="str">
        <f ca="1">IFERROR(__xludf.DUMMYFUNCTION("GOOGLETRANSLATE(A5542 , ""tr"" , ""en"")"),"@drfahrettinkoca We want guide")</f>
        <v>@drfahrettinkoca We want guide</v>
      </c>
    </row>
    <row r="8744" spans="1:5" ht="15" customHeight="1" x14ac:dyDescent="0.2">
      <c r="A8744" s="1" t="s">
        <v>17398</v>
      </c>
      <c r="B8744" s="1">
        <v>2</v>
      </c>
      <c r="C8744" s="3">
        <v>44537.702615740738</v>
      </c>
      <c r="D8744" s="1" t="s">
        <v>17399</v>
      </c>
      <c r="E8744" s="1" t="str">
        <f ca="1">IFERROR(__xludf.DUMMYFUNCTION("GOOGLETRANSLATE(A5543 , ""tr"" , ""en"")"),"@drfahrettinkoca Do you have a lot of interest in these numbers.?")</f>
        <v>@drfahrettinkoca Do you have a lot of interest in these numbers.?</v>
      </c>
    </row>
    <row r="8745" spans="1:5" ht="15" customHeight="1" x14ac:dyDescent="0.2">
      <c r="A8745" s="1" t="s">
        <v>17400</v>
      </c>
      <c r="B8745" s="1">
        <v>0</v>
      </c>
      <c r="C8745" s="3">
        <v>44537.702546296299</v>
      </c>
      <c r="D8745" s="1" t="s">
        <v>17401</v>
      </c>
      <c r="E8745" s="1" t="str">
        <f ca="1">IFERROR(__xludf.DUMMYFUNCTION("GOOGLETRANSLATE(A5544 , ""tr"" , ""en"")"),"@drfahrettinkoca Results Accurate Loylin'Suzi People Gouversins !! I would like to remind the last year Germany NAS ... https://t.co/ozaesv54dr")</f>
        <v>@drfahrettinkoca Results Accurate Loylin'Suzi People Gouversins !! I would like to remind the last year Germany NAS ... https://t.co/ozaesv54dr</v>
      </c>
    </row>
    <row r="8746" spans="1:5" ht="15" customHeight="1" x14ac:dyDescent="0.2">
      <c r="A8746" s="1" t="s">
        <v>17402</v>
      </c>
      <c r="B8746" s="1">
        <v>0</v>
      </c>
      <c r="C8746" s="3">
        <v>44537.702453703707</v>
      </c>
      <c r="D8746" s="1" t="s">
        <v>17403</v>
      </c>
      <c r="E8746" s="1" t="str">
        <f ca="1">IFERROR(__xludf.DUMMYFUNCTION("GOOGLETRANSLATE(A5545 , ""tr"" , ""en"")"),"@drfahrettinkoca Ministry of Lutfen Publish the Guide to Artik @drfahrettinkoca")</f>
        <v>@drfahrettinkoca Ministry of Lutfen Publish the Guide to Artik @drfahrettinkoca</v>
      </c>
    </row>
    <row r="8747" spans="1:5" ht="15" customHeight="1" x14ac:dyDescent="0.2">
      <c r="A8747" s="1" t="s">
        <v>17404</v>
      </c>
      <c r="B8747" s="1">
        <v>0</v>
      </c>
      <c r="C8747" s="3">
        <v>44537.701967592591</v>
      </c>
      <c r="D8747" s="1" t="s">
        <v>17405</v>
      </c>
      <c r="E8747" s="1" t="str">
        <f ca="1">IFERROR(__xludf.DUMMYFUNCTION("GOOGLETRANSLATE(A5546 , ""tr"" , ""en"")"),"@drfahrettinkoca grafts mean farm painful dying adsans")</f>
        <v>@drfahrettinkoca grafts mean farm painful dying adsans</v>
      </c>
    </row>
    <row r="8748" spans="1:5" ht="15" customHeight="1" x14ac:dyDescent="0.2">
      <c r="A8748" s="1" t="s">
        <v>17406</v>
      </c>
      <c r="B8748" s="1">
        <v>16</v>
      </c>
      <c r="C8748" s="3">
        <v>44537.701932870368</v>
      </c>
      <c r="D8748" s="1" t="s">
        <v>17407</v>
      </c>
      <c r="E8748" s="1" t="str">
        <f ca="1">IFERROR(__xludf.DUMMYFUNCTION("GOOGLETRANSLATE(A5547 , ""tr"" , ""en"")"),"@drfahrettinkoca how many people are losing their lives and the society to go to the other sanctions.")</f>
        <v>@drfahrettinkoca how many people are losing their lives and the society to go to the other sanctions.</v>
      </c>
    </row>
    <row r="8749" spans="1:5" ht="15" customHeight="1" x14ac:dyDescent="0.2">
      <c r="A8749" s="1" t="s">
        <v>17408</v>
      </c>
      <c r="B8749" s="1">
        <v>0</v>
      </c>
      <c r="C8749" s="3">
        <v>44537.701736111114</v>
      </c>
      <c r="D8749" s="1" t="s">
        <v>17409</v>
      </c>
      <c r="E8749" s="1" t="str">
        <f ca="1">IFERROR(__xludf.DUMMYFUNCTION("GOOGLETRANSLATE(A5548 , ""tr"" , ""en"")"),"@drfahrettinkoca Did you order the Omicron vaccines to be new?")</f>
        <v>@drfahrettinkoca Did you order the Omicron vaccines to be new?</v>
      </c>
    </row>
    <row r="8750" spans="1:5" ht="15" customHeight="1" x14ac:dyDescent="0.2">
      <c r="A8750" s="1" t="s">
        <v>17410</v>
      </c>
      <c r="B8750" s="1">
        <v>2</v>
      </c>
      <c r="C8750" s="3">
        <v>44537.701631944445</v>
      </c>
      <c r="D8750" s="1" t="s">
        <v>17411</v>
      </c>
      <c r="E8750" s="1" t="str">
        <f ca="1">IFERROR(__xludf.DUMMYFUNCTION("GOOGLETRANSLATE(A5549 , ""tr"" , ""en"")"),"@drfahrettinkoca Mr. Husband, Bengi Süser says ""Small clots after the vaccine"" says. Can you explain to us .. thanks")</f>
        <v>@drfahrettinkoca Mr. Husband, Bengi Süser says "Small clots after the vaccine" says. Can you explain to us .. thanks</v>
      </c>
    </row>
    <row r="8751" spans="1:5" ht="15" customHeight="1" x14ac:dyDescent="0.2">
      <c r="A8751" s="1" t="s">
        <v>17412</v>
      </c>
      <c r="B8751" s="1">
        <v>0</v>
      </c>
      <c r="C8751" s="3">
        <v>44537.701215277775</v>
      </c>
      <c r="D8751" s="1" t="s">
        <v>17413</v>
      </c>
      <c r="E8751" s="1" t="str">
        <f ca="1">IFERROR(__xludf.DUMMYFUNCTION("GOOGLETRANSLATE(A5550 , ""tr"" , ""en"")"),"@drfahrettinkoca Assignment If you are not going to exit the assignment that we are not assigning that we don't have any people in yours ... @drfahrettinkoca")</f>
        <v>@drfahrettinkoca Assignment If you are not going to exit the assignment that we are not assigning that we don't have any people in yours ... @drfahrettinkoca</v>
      </c>
    </row>
    <row r="8752" spans="1:5" ht="15" customHeight="1" x14ac:dyDescent="0.2">
      <c r="A8752" s="1" t="s">
        <v>17414</v>
      </c>
      <c r="B8752" s="1">
        <v>43</v>
      </c>
      <c r="C8752" s="3">
        <v>44537.701006944444</v>
      </c>
      <c r="D8752" s="1" t="s">
        <v>17415</v>
      </c>
      <c r="E8752" s="1" t="str">
        <f ca="1">IFERROR(__xludf.DUMMYFUNCTION("GOOGLETRANSLATE(A5551 , ""tr"" , ""en"")"),"@drfahrettinkoca is only a 3-star from our neighborhood in the 50-55 years of 2 people who were late.")</f>
        <v>@drfahrettinkoca is only a 3-star from our neighborhood in the 50-55 years of 2 people who were late.</v>
      </c>
    </row>
    <row r="8753" spans="1:5" ht="15" customHeight="1" x14ac:dyDescent="0.2">
      <c r="A8753" s="1" t="s">
        <v>17416</v>
      </c>
      <c r="B8753" s="1">
        <v>0</v>
      </c>
      <c r="C8753" s="3">
        <v>44537.700671296298</v>
      </c>
      <c r="D8753" s="1" t="s">
        <v>17417</v>
      </c>
      <c r="E8753" s="1" t="str">
        <f ca="1">IFERROR(__xludf.DUMMYFUNCTION("GOOGLETRANSLATE(A5552 , ""tr"" , ""en"")"),"@drfahrettinkoca izenmmm from you")</f>
        <v>@drfahrettinkoca izenmmm from you</v>
      </c>
    </row>
    <row r="8754" spans="1:5" ht="15" customHeight="1" x14ac:dyDescent="0.2">
      <c r="A8754" s="1" t="s">
        <v>17418</v>
      </c>
      <c r="B8754" s="1">
        <v>0</v>
      </c>
      <c r="C8754" s="3">
        <v>44537.70040509259</v>
      </c>
      <c r="D8754" s="1" t="s">
        <v>17419</v>
      </c>
      <c r="E8754" s="1" t="str">
        <f ca="1">IFERROR(__xludf.DUMMYFUNCTION("GOOGLETRANSLATE(A5553 , ""tr"" , ""en"")"),"@drfahrettinkoca Describe the following guide for Allah Mr. Minister")</f>
        <v>@drfahrettinkoca Describe the following guide for Allah Mr. Minister</v>
      </c>
    </row>
    <row r="8755" spans="1:5" ht="15" customHeight="1" x14ac:dyDescent="0.2">
      <c r="A8755" s="1" t="s">
        <v>17420</v>
      </c>
      <c r="B8755" s="1">
        <v>0</v>
      </c>
      <c r="C8755" s="3">
        <v>44537.700300925928</v>
      </c>
      <c r="D8755" s="1" t="s">
        <v>17421</v>
      </c>
      <c r="E8755" s="1" t="str">
        <f ca="1">IFERROR(__xludf.DUMMYFUNCTION("GOOGLETRANSLATE(A5554 , ""tr"" , ""en"")"),"@drfahrettinkoca 🤣🤣🤣🤣🤣")</f>
        <v>@drfahrettinkoca 🤣🤣🤣🤣🤣</v>
      </c>
    </row>
    <row r="8756" spans="1:5" ht="15" customHeight="1" x14ac:dyDescent="0.2">
      <c r="A8756" s="1" t="s">
        <v>17422</v>
      </c>
      <c r="B8756" s="1">
        <v>0</v>
      </c>
      <c r="C8756" s="3">
        <v>44537.700266203705</v>
      </c>
      <c r="D8756" s="1" t="s">
        <v>17423</v>
      </c>
      <c r="E8756" s="1" t="str">
        <f ca="1">IFERROR(__xludf.DUMMYFUNCTION("GOOGLETRANSLATE(A5555 , ""tr"" , ""en"")"),"@drfahrettinkoca Post the Healthier Assignment Guide @RTerDogan @drfahrettinkoca")</f>
        <v>@drfahrettinkoca Post the Healthier Assignment Guide @RTerDogan @drfahrettinkoca</v>
      </c>
    </row>
    <row r="8757" spans="1:5" ht="15" customHeight="1" x14ac:dyDescent="0.2">
      <c r="A8757" s="1" t="s">
        <v>17424</v>
      </c>
      <c r="B8757" s="1">
        <v>1</v>
      </c>
      <c r="C8757" s="3">
        <v>44537.700219907405</v>
      </c>
      <c r="D8757" s="1" t="s">
        <v>17425</v>
      </c>
      <c r="E8757" s="1" t="str">
        <f ca="1">IFERROR(__xludf.DUMMYFUNCTION("GOOGLETRANSLATE(A5556 , ""tr"" , ""en"")"),"@drfahrettinkoca @polat_hekimoglu GT")</f>
        <v>@drfahrettinkoca @polat_hekimoglu GT</v>
      </c>
    </row>
    <row r="8758" spans="1:5" ht="15" customHeight="1" x14ac:dyDescent="0.2">
      <c r="A8758" s="1" t="s">
        <v>17426</v>
      </c>
      <c r="B8758" s="1">
        <v>0</v>
      </c>
      <c r="C8758" s="3">
        <v>44537.700138888889</v>
      </c>
      <c r="D8758" s="1" t="s">
        <v>17427</v>
      </c>
      <c r="E8758" s="1" t="str">
        <f ca="1">IFERROR(__xludf.DUMMYFUNCTION("GOOGLETRANSLATE(A5557 , ""tr"" , ""en"")"),"@drfahrettinka So don't have the side effect of Mr. Minister MRNA biontec vaccine? There is no side effect? ​​There is no ... Https://t.co/kv3ryk093n")</f>
        <v>@drfahrettinka So don't have the side effect of Mr. Minister MRNA biontec vaccine? There is no side effect? ​​There is no ... Https://t.co/kv3ryk093n</v>
      </c>
    </row>
    <row r="8759" spans="1:5" ht="15" customHeight="1" x14ac:dyDescent="0.2">
      <c r="A8759" s="1" t="s">
        <v>17428</v>
      </c>
      <c r="B8759" s="1">
        <v>5</v>
      </c>
      <c r="C8759" s="3">
        <v>44537.700023148151</v>
      </c>
      <c r="D8759" s="1" t="s">
        <v>17429</v>
      </c>
      <c r="E8759" s="1" t="str">
        <f ca="1">IFERROR(__xludf.DUMMYFUNCTION("GOOGLETRANSLATE(A5558 , ""tr"" , ""en"")"),"@drfahrettinkoca has no more held word in the middle so I can not count on anything anymore. Assignment hold s ... https://t.co/8xu895sm3p")</f>
        <v>@drfahrettinkoca has no more held word in the middle so I can not count on anything anymore. Assignment hold s ... https://t.co/8xu895sm3p</v>
      </c>
    </row>
    <row r="8760" spans="1:5" ht="15" customHeight="1" x14ac:dyDescent="0.2">
      <c r="A8760" s="1" t="s">
        <v>17430</v>
      </c>
      <c r="B8760" s="1">
        <v>1</v>
      </c>
      <c r="C8760" s="3">
        <v>44537.700011574074</v>
      </c>
      <c r="D8760" s="1" t="s">
        <v>17431</v>
      </c>
      <c r="E8760" s="1" t="str">
        <f ca="1">IFERROR(__xludf.DUMMYFUNCTION("GOOGLETRANSLATE(A5559 , ""tr"" , ""en"")"),"@drfahrettinkoca Ministry, so when the cases of the cases are flying in Urfa, the case in the FUL grafted army is not zero. You m ... https://t.co/3wpdrxlrmo")</f>
        <v>@drfahrettinkoca Ministry, so when the cases of the cases are flying in Urfa, the case in the FUL grafted army is not zero. You m ... https://t.co/3wpdrxlrmo</v>
      </c>
    </row>
    <row r="8761" spans="1:5" ht="15" customHeight="1" x14ac:dyDescent="0.2">
      <c r="A8761" s="1" t="s">
        <v>17432</v>
      </c>
      <c r="B8761" s="1">
        <v>9</v>
      </c>
      <c r="C8761" s="3">
        <v>44537.699918981481</v>
      </c>
      <c r="D8761" s="1" t="s">
        <v>17433</v>
      </c>
      <c r="E8761" s="1" t="str">
        <f ca="1">IFERROR(__xludf.DUMMYFUNCTION("GOOGLETRANSLATE(A5560 , ""tr"" , ""en"")"),"@drfahrettinkoca relief number of mulky lies. What abrasive of the passers are vaccinated by what province is the only one explained ... https://t.co/vrxnwpwlwg")</f>
        <v>@drfahrettinkoca relief number of mulky lies. What abrasive of the passers are vaccinated by what province is the only one explained ... https://t.co/vrxnwpwlwg</v>
      </c>
    </row>
    <row r="8762" spans="1:5" ht="15" customHeight="1" x14ac:dyDescent="0.2">
      <c r="A8762" s="1" t="s">
        <v>17434</v>
      </c>
      <c r="B8762" s="1">
        <v>8</v>
      </c>
      <c r="C8762" s="3">
        <v>44537.699861111112</v>
      </c>
      <c r="D8762" s="1" t="s">
        <v>17435</v>
      </c>
      <c r="E8762" s="1" t="str">
        <f ca="1">IFERROR(__xludf.DUMMYFUNCTION("GOOGLETRANSLATE(A5561 , ""tr"" , ""en"")"),"@drfahrettinkoca We received a 2nd dose appointment for my 16-year-old younger son ... Today is 16:00 Today at 16:00 PM and vaccine ... https://t.co/hrbpjjmjp")</f>
        <v>@drfahrettinkoca We received a 2nd dose appointment for my 16-year-old younger son ... Today is 16:00 Today at 16:00 PM and vaccine ... https://t.co/hrbpjjmjp</v>
      </c>
    </row>
    <row r="8763" spans="1:5" ht="15" customHeight="1" x14ac:dyDescent="0.2">
      <c r="A8763" s="1" t="s">
        <v>17436</v>
      </c>
      <c r="B8763" s="1">
        <v>0</v>
      </c>
      <c r="C8763" s="3">
        <v>44537.699791666666</v>
      </c>
      <c r="D8763" s="1" t="s">
        <v>17437</v>
      </c>
      <c r="E8763" s="1" t="str">
        <f ca="1">IFERROR(__xludf.DUMMYFUNCTION("GOOGLETRANSLATE(A5562 , ""tr"" , ""en"")"),"@drfahrettinkoca Where is the guide?")</f>
        <v>@drfahrettinkoca Where is the guide?</v>
      </c>
    </row>
    <row r="8764" spans="1:5" ht="15" customHeight="1" x14ac:dyDescent="0.2">
      <c r="A8764" s="1" t="s">
        <v>17438</v>
      </c>
      <c r="B8764" s="1">
        <v>1</v>
      </c>
      <c r="C8764" s="3">
        <v>44537.699791666666</v>
      </c>
      <c r="D8764" s="1" t="s">
        <v>17439</v>
      </c>
      <c r="E8764" s="1" t="str">
        <f ca="1">IFERROR(__xludf.DUMMYFUNCTION("GOOGLETRANSLATE(A5563 , ""tr"" , ""en"")"),"@drfahrettinka has had a heart attack because of your vaccinations and became myocarditis.")</f>
        <v>@drfahrettinka has had a heart attack because of your vaccinations and became myocarditis.</v>
      </c>
    </row>
    <row r="8765" spans="1:5" ht="15" customHeight="1" x14ac:dyDescent="0.2">
      <c r="A8765" s="1" t="s">
        <v>17440</v>
      </c>
      <c r="B8765" s="1">
        <v>2</v>
      </c>
      <c r="C8765" s="3">
        <v>44537.699618055558</v>
      </c>
      <c r="D8765" s="1" t="s">
        <v>17441</v>
      </c>
      <c r="E8765" s="1" t="str">
        <f ca="1">IFERROR(__xludf.DUMMYFUNCTION("GOOGLETRANSLATE(A5564 , ""tr"" , ""en"")"),"@drfahrettinkoca Applause Healthcare Shops Covid Medicine and Vaccines With Cotton Blocked Us Cotton Https://t.co/gt519gg9cf")</f>
        <v>@drfahrettinkoca Applause Healthcare Shops Covid Medicine and Vaccines With Cotton Blocked Us Cotton Https://t.co/gt519gg9cf</v>
      </c>
    </row>
    <row r="8766" spans="1:5" ht="15" customHeight="1" x14ac:dyDescent="0.2">
      <c r="A8766" s="1" t="s">
        <v>17442</v>
      </c>
      <c r="B8766" s="1">
        <v>1</v>
      </c>
      <c r="C8766" s="3">
        <v>44537.699583333335</v>
      </c>
      <c r="D8766" s="1" t="s">
        <v>17443</v>
      </c>
      <c r="E8766" s="1" t="str">
        <f ca="1">IFERROR(__xludf.DUMMYFUNCTION("GOOGLETRANSLATE(A5565 , ""tr"" , ""en"")"),"@drfahrettinka yavv I don't trust the liar like you I don't have vaccine Also Allah give your trouble with your ace")</f>
        <v>@drfahrettinka yavv I don't trust the liar like you I don't have vaccine Also Allah give your trouble with your ace</v>
      </c>
    </row>
    <row r="8767" spans="1:5" ht="15" customHeight="1" x14ac:dyDescent="0.2">
      <c r="A8767" s="1" t="s">
        <v>13593</v>
      </c>
      <c r="B8767" s="1">
        <v>5</v>
      </c>
      <c r="C8767" s="3">
        <v>44537.699583333335</v>
      </c>
      <c r="D8767" s="1" t="s">
        <v>17444</v>
      </c>
      <c r="E8767" s="1" t="str">
        <f ca="1">IFERROR(__xludf.DUMMYFUNCTION("GOOGLETRANSLATE(A5566 , ""tr"" , ""en"")"),"@drfahrettinkoca we want guide @drfahrettinkoca")</f>
        <v>@drfahrettinkoca we want guide @drfahrettinkoca</v>
      </c>
    </row>
    <row r="8768" spans="1:5" ht="15" customHeight="1" x14ac:dyDescent="0.2">
      <c r="A8768" s="1" t="s">
        <v>17445</v>
      </c>
      <c r="B8768" s="1">
        <v>6</v>
      </c>
      <c r="C8768" s="3">
        <v>44537.699502314812</v>
      </c>
      <c r="D8768" s="1" t="s">
        <v>17446</v>
      </c>
      <c r="E8768" s="1" t="str">
        <f ca="1">IFERROR(__xludf.DUMMYFUNCTION("GOOGLETRANSLATE(A5567 , ""tr"" , ""en"")"),"@drfahrettinkoca what results you don't have, nor vaccine I guess you don't even trust. Or everyone would be the vaccine, not as ... https://t.co/4a1y2IJeeu")</f>
        <v>@drfahrettinkoca what results you don't have, nor vaccine I guess you don't even trust. Or everyone would be the vaccine, not as ... https://t.co/4a1y2IJeeu</v>
      </c>
    </row>
    <row r="8769" spans="1:5" ht="15" customHeight="1" x14ac:dyDescent="0.2">
      <c r="A8769" s="1" t="s">
        <v>17447</v>
      </c>
      <c r="B8769" s="1">
        <v>0</v>
      </c>
      <c r="C8769" s="3">
        <v>44537.699386574073</v>
      </c>
      <c r="D8769" s="1" t="s">
        <v>17448</v>
      </c>
      <c r="E8769" s="1" t="str">
        <f ca="1">IFERROR(__xludf.DUMMYFUNCTION("GOOGLETRANSLATE(A5568 , ""tr"" , ""en"")"),"@drfahrettinkoca is still the vaccine diode ungracious uncle of the brain of the AQ")</f>
        <v>@drfahrettinkoca is still the vaccine diode ungracious uncle of the brain of the AQ</v>
      </c>
    </row>
    <row r="8770" spans="1:5" ht="15" customHeight="1" x14ac:dyDescent="0.2">
      <c r="A8770" s="1" t="s">
        <v>17449</v>
      </c>
      <c r="B8770" s="1">
        <v>1</v>
      </c>
      <c r="C8770" s="3">
        <v>44537.699328703704</v>
      </c>
      <c r="D8770" s="1" t="s">
        <v>17450</v>
      </c>
      <c r="E8770" s="1" t="str">
        <f ca="1">IFERROR(__xludf.DUMMYFUNCTION("GOOGLETRANSLATE(A5569 , ""tr"" , ""en"")"),"@drfahrettinka Mr. Ministry of Intensive care is the fact that there are no vaccinations full and don't have Covit patients in? Don't do it to the love of Allah")</f>
        <v>@drfahrettinka Mr. Ministry of Intensive care is the fact that there are no vaccinations full and don't have Covit patients in? Don't do it to the love of Allah</v>
      </c>
    </row>
    <row r="8771" spans="1:5" ht="15" customHeight="1" x14ac:dyDescent="0.2">
      <c r="A8771" s="1" t="s">
        <v>17451</v>
      </c>
      <c r="B8771" s="1">
        <v>1</v>
      </c>
      <c r="C8771" s="3">
        <v>44537.699293981481</v>
      </c>
      <c r="D8771" s="1" t="s">
        <v>17452</v>
      </c>
      <c r="E8771" s="1" t="str">
        <f ca="1">IFERROR(__xludf.DUMMYFUNCTION("GOOGLETRANSLATE(A5570 , ""tr"" , ""en"")"),"@drfahrettinka why do you pretend to say no November")</f>
        <v>@drfahrettinka why do you pretend to say no November</v>
      </c>
    </row>
    <row r="8772" spans="1:5" ht="15" customHeight="1" x14ac:dyDescent="0.2">
      <c r="A8772" s="1" t="s">
        <v>17453</v>
      </c>
      <c r="B8772" s="1">
        <v>1</v>
      </c>
      <c r="C8772" s="3">
        <v>44537.699212962965</v>
      </c>
      <c r="D8772" s="1" t="s">
        <v>17454</v>
      </c>
      <c r="E8772" s="1" t="str">
        <f ca="1">IFERROR(__xludf.DUMMYFUNCTION("GOOGLETRANSLATE(A5571 , ""tr"" , ""en"")"),"@drfahrettinkoca Please let us be our vaccines let's obey the rules")</f>
        <v>@drfahrettinkoca Please let us be our vaccines let's obey the rules</v>
      </c>
    </row>
    <row r="8773" spans="1:5" ht="15" customHeight="1" x14ac:dyDescent="0.2">
      <c r="A8773" s="1" t="s">
        <v>17455</v>
      </c>
      <c r="B8773" s="1">
        <v>65</v>
      </c>
      <c r="C8773" s="3">
        <v>44537.699050925927</v>
      </c>
      <c r="D8773" s="1" t="s">
        <v>17456</v>
      </c>
      <c r="E8773" s="1" t="str">
        <f ca="1">IFERROR(__xludf.DUMMYFUNCTION("GOOGLETRANSLATE(A5572 , ""tr"" , ""en"")"),"@drfahrettinka Mr. Minister! The problem is the problem with what you are doing to encourage our nation to the vaccine! Every ... https://t.co/eophh4t7w7")</f>
        <v>@drfahrettinka Mr. Minister! The problem is the problem with what you are doing to encourage our nation to the vaccine! Every ... https://t.co/eophh4t7w7</v>
      </c>
    </row>
    <row r="8774" spans="1:5" ht="15" customHeight="1" x14ac:dyDescent="0.2">
      <c r="A8774" s="1" t="s">
        <v>17457</v>
      </c>
      <c r="B8774" s="1">
        <v>1</v>
      </c>
      <c r="C8774" s="3">
        <v>44537.699050925927</v>
      </c>
      <c r="D8774" s="1" t="s">
        <v>17458</v>
      </c>
      <c r="E8774" s="1" t="str">
        <f ca="1">IFERROR(__xludf.DUMMYFUNCTION("GOOGLETRANSLATE(A5573 , ""tr"" , ""en"")"),"@drfahrettinkoca Despite everything you have people who will not bow to the devils. You can be sure of that. Die ... https://t.co/vzw4wddeuf")</f>
        <v>@drfahrettinkoca Despite everything you have people who will not bow to the devils. You can be sure of that. Die ... https://t.co/vzw4wddeuf</v>
      </c>
    </row>
    <row r="8775" spans="1:5" ht="15" customHeight="1" x14ac:dyDescent="0.2">
      <c r="A8775" s="1" t="s">
        <v>17459</v>
      </c>
      <c r="B8775" s="1">
        <v>1</v>
      </c>
      <c r="C8775" s="3">
        <v>44537.69902777778</v>
      </c>
      <c r="D8775" s="1" t="s">
        <v>17460</v>
      </c>
      <c r="E8775" s="1" t="str">
        <f ca="1">IFERROR(__xludf.DUMMYFUNCTION("GOOGLETRANSLATE(A5574 , ""tr"" , ""en"")"),"@drfahrettinkoca Sayin Minister Why don't you share true data")</f>
        <v>@drfahrettinkoca Sayin Minister Why don't you share true data</v>
      </c>
    </row>
    <row r="8776" spans="1:5" ht="15" customHeight="1" x14ac:dyDescent="0.2">
      <c r="A8776" s="1" t="s">
        <v>17461</v>
      </c>
      <c r="B8776" s="1">
        <v>8</v>
      </c>
      <c r="C8776" s="3">
        <v>44537.69902777778</v>
      </c>
      <c r="D8776" s="1" t="s">
        <v>17462</v>
      </c>
      <c r="E8776" s="1" t="str">
        <f ca="1">IFERROR(__xludf.DUMMYFUNCTION("GOOGLETRANSLATE(A5575 , ""tr"" , ""en"")"),"@drfahrettinkoca staring Bey right me I've been 2 dose vaccines I've been caught Coronaya Thanks to the vaccine I have all the complaints over 3-4 days I'm done slightly jumped")</f>
        <v>@drfahrettinkoca staring Bey right me I've been 2 dose vaccines I've been caught Coronaya Thanks to the vaccine I have all the complaints over 3-4 days I'm done slightly jumped</v>
      </c>
    </row>
    <row r="8777" spans="1:5" ht="15" customHeight="1" x14ac:dyDescent="0.2">
      <c r="A8777" s="1" t="s">
        <v>17463</v>
      </c>
      <c r="B8777" s="1">
        <v>0</v>
      </c>
      <c r="C8777" s="3">
        <v>44537.699004629627</v>
      </c>
      <c r="D8777" s="1" t="s">
        <v>17464</v>
      </c>
      <c r="E8777" s="1" t="str">
        <f ca="1">IFERROR(__xludf.DUMMYFUNCTION("GOOGLETRANSLATE(A5576 , ""tr"" , ""en"")"),"@drfahrettinka Ministry of Guide!")</f>
        <v>@drfahrettinka Ministry of Guide!</v>
      </c>
    </row>
    <row r="8778" spans="1:5" ht="15" customHeight="1" x14ac:dyDescent="0.2">
      <c r="A8778" s="1" t="s">
        <v>17465</v>
      </c>
      <c r="B8778" s="1">
        <v>10</v>
      </c>
      <c r="C8778" s="3">
        <v>44537.698993055557</v>
      </c>
      <c r="D8778" s="1" t="s">
        <v>17466</v>
      </c>
      <c r="E8778" s="1" t="str">
        <f ca="1">IFERROR(__xludf.DUMMYFUNCTION("GOOGLETRANSLATE(A5577 , ""tr"" , ""en"")"),"@drfahrettinka has been tested 13 times without the vaccine I went to negative and. 2 dose is grafted today and have been positive today and the network ... https://t.co/gfccuhoyxr")</f>
        <v>@drfahrettinka has been tested 13 times without the vaccine I went to negative and. 2 dose is grafted today and have been positive today and the network ... https://t.co/gfccuhoyxr</v>
      </c>
    </row>
    <row r="8779" spans="1:5" ht="15" customHeight="1" x14ac:dyDescent="0.2">
      <c r="A8779" s="1" t="s">
        <v>17467</v>
      </c>
      <c r="B8779" s="1">
        <v>1</v>
      </c>
      <c r="C8779" s="3">
        <v>44537.698958333334</v>
      </c>
      <c r="D8779" s="1" t="s">
        <v>17468</v>
      </c>
      <c r="E8779" s="1" t="str">
        <f ca="1">IFERROR(__xludf.DUMMYFUNCTION("GOOGLETRANSLATE(A5578 , ""tr"" , ""en"")"),"@drfahrettinka whatever you read here in the opposite.")</f>
        <v>@drfahrettinka whatever you read here in the opposite.</v>
      </c>
    </row>
    <row r="8780" spans="1:5" ht="15" customHeight="1" x14ac:dyDescent="0.2">
      <c r="A8780" s="1" t="s">
        <v>17469</v>
      </c>
      <c r="B8780" s="1">
        <v>56</v>
      </c>
      <c r="C8780" s="3">
        <v>44537.698796296296</v>
      </c>
      <c r="D8780" s="1" t="s">
        <v>17470</v>
      </c>
      <c r="E8780" s="1" t="str">
        <f ca="1">IFERROR(__xludf.DUMMYFUNCTION("GOOGLETRANSLATE(A5579 , ""tr"" , ""en"")"),"@drfahrettinkoca How many people who don't have any vaccinated count facing the overlook more than the grown population is greater than the grown-in-outside who ... https://t.co/wxnozqswmu")</f>
        <v>@drfahrettinkoca How many people who don't have any vaccinated count facing the overlook more than the grown population is greater than the grown-in-outside who ... https://t.co/wxnozqswmu</v>
      </c>
    </row>
    <row r="8781" spans="1:5" ht="15" customHeight="1" x14ac:dyDescent="0.2">
      <c r="A8781" s="1" t="s">
        <v>17471</v>
      </c>
      <c r="B8781" s="1">
        <v>9</v>
      </c>
      <c r="C8781" s="3">
        <v>44537.698784722219</v>
      </c>
      <c r="D8781" s="1" t="s">
        <v>17472</v>
      </c>
      <c r="E8781" s="1" t="str">
        <f ca="1">IFERROR(__xludf.DUMMYFUNCTION("GOOGLETRANSLATE(A5580 , ""tr"" , ""en"")"),"@drfahrettinka Mr. Vaccine Ministry Pardon Mr. Health Minister @drfahrettinkoca gentleman very much wondering ... https://t.co/2bvoegmcuu")</f>
        <v>@drfahrettinka Mr. Vaccine Ministry Pardon Mr. Health Minister @drfahrettinkoca gentleman very much wondering ... https://t.co/2bvoegmcuu</v>
      </c>
    </row>
    <row r="8782" spans="1:5" ht="15" customHeight="1" x14ac:dyDescent="0.2">
      <c r="A8782" s="1" t="s">
        <v>17473</v>
      </c>
      <c r="B8782" s="1">
        <v>6</v>
      </c>
      <c r="C8782" s="3">
        <v>44537.698738425926</v>
      </c>
      <c r="D8782" s="1" t="s">
        <v>17474</v>
      </c>
      <c r="E8782" s="1" t="str">
        <f ca="1">IFERROR(__xludf.DUMMYFUNCTION("GOOGLETRANSLATE(A5581 , ""tr"" , ""en"")"),"@drfahrettinkoca Health Assignment Guide Why Published @RterDogan @drfahrettinkoca")</f>
        <v>@drfahrettinkoca Health Assignment Guide Why Published @RterDogan @drfahrettinkoca</v>
      </c>
    </row>
    <row r="8783" spans="1:5" ht="15" customHeight="1" x14ac:dyDescent="0.2">
      <c r="A8783" s="1" t="s">
        <v>17475</v>
      </c>
      <c r="B8783" s="1">
        <v>37</v>
      </c>
      <c r="C8783" s="3">
        <v>44537.69872685185</v>
      </c>
      <c r="D8783" s="1" t="s">
        <v>17476</v>
      </c>
      <c r="E8783" s="1" t="str">
        <f ca="1">IFERROR(__xludf.DUMMYFUNCTION("GOOGLETRANSLATE(A5582 , ""tr"" , ""en"")"),"@drfahrettinkoca Manisa City Hospital 2nd steps in steps 17 days in intensive care for 20 days. How lies ... https://t.co/pzqbgbv0wk")</f>
        <v>@drfahrettinkoca Manisa City Hospital 2nd steps in steps 17 days in intensive care for 20 days. How lies ... https://t.co/pzqbgbv0wk</v>
      </c>
    </row>
    <row r="8784" spans="1:5" ht="15" customHeight="1" x14ac:dyDescent="0.2">
      <c r="A8784" s="1" t="s">
        <v>17477</v>
      </c>
      <c r="B8784" s="1">
        <v>4</v>
      </c>
      <c r="C8784" s="3">
        <v>44537.698587962965</v>
      </c>
      <c r="D8784" s="1" t="s">
        <v>17478</v>
      </c>
      <c r="E8784" s="1" t="str">
        <f ca="1">IFERROR(__xludf.DUMMYFUNCTION("GOOGLETRANSLATE(A5583 , ""tr"" , ""en"")"),"@drfahrettinka vaccine is also no longer confidence in your data. You don't know the contents of the Hani 83 million ... https://t.co/wnbumwhxcv")</f>
        <v>@drfahrettinka vaccine is also no longer confidence in your data. You don't know the contents of the Hani 83 million ... https://t.co/wnbumwhxcv</v>
      </c>
    </row>
    <row r="8785" spans="1:5" ht="15" customHeight="1" x14ac:dyDescent="0.2">
      <c r="A8785" s="1" t="s">
        <v>17479</v>
      </c>
      <c r="B8785" s="1">
        <v>12</v>
      </c>
      <c r="C8785" s="3">
        <v>44537.698587962965</v>
      </c>
      <c r="D8785" s="1" t="s">
        <v>17480</v>
      </c>
      <c r="E8785" s="1" t="str">
        <f ca="1">IFERROR(__xludf.DUMMYFUNCTION("GOOGLETRANSLATE(A5584 , ""tr"" , ""en"")"),"@drfahrettinkoca we don't rely on anything https://t.co/vzk9rvv3ue")</f>
        <v>@drfahrettinkoca we don't rely on anything https://t.co/vzk9rvv3ue</v>
      </c>
    </row>
    <row r="8786" spans="1:5" ht="15" customHeight="1" x14ac:dyDescent="0.2">
      <c r="A8786" s="1" t="s">
        <v>17481</v>
      </c>
      <c r="B8786" s="1">
        <v>0</v>
      </c>
      <c r="C8786" s="3">
        <v>44537.698541666665</v>
      </c>
      <c r="D8786" s="1" t="s">
        <v>17482</v>
      </c>
      <c r="E8786" s="1" t="str">
        <f ca="1">IFERROR(__xludf.DUMMYFUNCTION("GOOGLETRANSLATE(A5585 , ""tr"" , ""en"")"),"@drfahrettinkoca Guvenen I wonder if you're guveniosanizing referendum.")</f>
        <v>@drfahrettinkoca Guvenen I wonder if you're guveniosanizing referendum.</v>
      </c>
    </row>
    <row r="8787" spans="1:5" ht="15" customHeight="1" x14ac:dyDescent="0.2">
      <c r="A8787" s="1" t="s">
        <v>17483</v>
      </c>
      <c r="B8787" s="1">
        <v>1</v>
      </c>
      <c r="C8787" s="3">
        <v>44537.698518518519</v>
      </c>
      <c r="D8787" s="1" t="s">
        <v>17484</v>
      </c>
      <c r="E8787" s="1" t="str">
        <f ca="1">IFERROR(__xludf.DUMMYFUNCTION("GOOGLETRANSLATE(A5586 , ""tr"" , ""en"")"),"@drfahrettinkoca Health Assignment Guide You publish @rterdogan @drfahrettinkoca")</f>
        <v>@drfahrettinkoca Health Assignment Guide You publish @rterdogan @drfahrettinkoca</v>
      </c>
    </row>
    <row r="8788" spans="1:5" ht="15" customHeight="1" x14ac:dyDescent="0.2">
      <c r="A8788" s="1" t="s">
        <v>17485</v>
      </c>
      <c r="B8788" s="1">
        <v>3</v>
      </c>
      <c r="C8788" s="3">
        <v>44537.69835648148</v>
      </c>
      <c r="D8788" s="1" t="s">
        <v>17486</v>
      </c>
      <c r="E8788" s="1" t="str">
        <f ca="1">IFERROR(__xludf.DUMMYFUNCTION("GOOGLETRANSLATE(A5587 , ""tr"" , ""en"")"),"@drfahrettinka vaccine completed exactly what was 🤣🤣")</f>
        <v>@drfahrettinka vaccine completed exactly what was 🤣🤣</v>
      </c>
    </row>
    <row r="8789" spans="1:5" ht="15" customHeight="1" x14ac:dyDescent="0.2">
      <c r="A8789" s="1" t="s">
        <v>17487</v>
      </c>
      <c r="B8789" s="1">
        <v>0</v>
      </c>
      <c r="C8789" s="3">
        <v>44537.698344907411</v>
      </c>
      <c r="D8789" s="1" t="s">
        <v>17488</v>
      </c>
      <c r="E8789" s="1" t="str">
        <f ca="1">IFERROR(__xludf.DUMMYFUNCTION("GOOGLETRANSLATE(A5588 , ""tr"" , ""en"")"),"What is increasing as @drfahrettinkoca figures are fixed what is increasing, how are you doing this?")</f>
        <v>What is increasing as @drfahrettinkoca figures are fixed what is increasing, how are you doing this?</v>
      </c>
    </row>
    <row r="8790" spans="1:5" ht="15" customHeight="1" x14ac:dyDescent="0.2">
      <c r="A8790" s="1" t="s">
        <v>17489</v>
      </c>
      <c r="B8790" s="1">
        <v>0</v>
      </c>
      <c r="C8790" s="3">
        <v>44537.698333333334</v>
      </c>
      <c r="D8790" s="1" t="s">
        <v>17490</v>
      </c>
      <c r="E8790" s="1" t="str">
        <f ca="1">IFERROR(__xludf.DUMMYFUNCTION("GOOGLETRANSLATE(A5589 , ""tr"" , ""en"")"),"@drfahrettinkoca Twitle The ineffectiveness of vaccine invitation is not understood? Let's see the Public Transport and Mall ...")</f>
        <v>@drfahrettinkoca Twitle The ineffectiveness of vaccine invitation is not understood? Let's see the Public Transport and Mall ...</v>
      </c>
    </row>
    <row r="8791" spans="1:5" ht="15" customHeight="1" x14ac:dyDescent="0.2">
      <c r="A8791" s="1" t="s">
        <v>17491</v>
      </c>
      <c r="B8791" s="1">
        <v>0</v>
      </c>
      <c r="C8791" s="3">
        <v>44537.698321759257</v>
      </c>
      <c r="D8791" s="1" t="s">
        <v>17492</v>
      </c>
      <c r="E8791" s="1" t="str">
        <f ca="1">IFERROR(__xludf.DUMMYFUNCTION("GOOGLETRANSLATE(A5590 , ""tr"" , ""en"")"),"@drfahrettinkoca is very interesting !! The number of passes is always between 180-230. There is something but what?!")</f>
        <v>@drfahrettinkoca is very interesting !! The number of passes is always between 180-230. There is something but what?!</v>
      </c>
    </row>
    <row r="8792" spans="1:5" ht="15" customHeight="1" x14ac:dyDescent="0.2">
      <c r="A8792" s="1" t="s">
        <v>17493</v>
      </c>
      <c r="B8792" s="1">
        <v>3</v>
      </c>
      <c r="C8792" s="3">
        <v>44537.698321759257</v>
      </c>
      <c r="D8792" s="1" t="s">
        <v>17494</v>
      </c>
      <c r="E8792" s="1" t="str">
        <f ca="1">IFERROR(__xludf.DUMMYFUNCTION("GOOGLETRANSLATE(A5591 , ""tr"" , ""en"")"),"@drfahrettinka https://t.co/uffptns6nou")</f>
        <v>@drfahrettinka https://t.co/uffptns6nou</v>
      </c>
    </row>
    <row r="8793" spans="1:5" ht="15" customHeight="1" x14ac:dyDescent="0.2">
      <c r="A8793" s="1" t="s">
        <v>17495</v>
      </c>
      <c r="B8793" s="1">
        <v>1</v>
      </c>
      <c r="C8793" s="3">
        <v>44537.698310185187</v>
      </c>
      <c r="D8793" s="1" t="s">
        <v>17496</v>
      </c>
      <c r="E8793" s="1" t="str">
        <f ca="1">IFERROR(__xludf.DUMMYFUNCTION("GOOGLETRANSLATE(A5592 , ""tr"" , ""en"")"),"@drfahrettinkoca tired of #cbonaylakochave")</f>
        <v>@drfahrettinkoca tired of #cbonaylakochave</v>
      </c>
    </row>
    <row r="8794" spans="1:5" ht="15" customHeight="1" x14ac:dyDescent="0.2">
      <c r="A8794" s="1" t="s">
        <v>17497</v>
      </c>
      <c r="B8794" s="1">
        <v>0</v>
      </c>
      <c r="C8794" s="3">
        <v>44537.698310185187</v>
      </c>
      <c r="D8794" s="1" t="s">
        <v>17498</v>
      </c>
      <c r="E8794" s="1" t="str">
        <f ca="1">IFERROR(__xludf.DUMMYFUNCTION("GOOGLETRANSLATE(A5593 , ""tr"" , ""en"")"),"@drfahrettinkoca yav yap Bi did not work in this ring that did not work in this ring did not work in Chinese goods ... https://t.co/zpi0ncoado")</f>
        <v>@drfahrettinkoca yav yap Bi did not work in this ring that did not work in this ring did not work in Chinese goods ... https://t.co/zpi0ncoado</v>
      </c>
    </row>
    <row r="8795" spans="1:5" ht="15" customHeight="1" x14ac:dyDescent="0.2">
      <c r="A8795" s="1" t="s">
        <v>17499</v>
      </c>
      <c r="B8795" s="1">
        <v>6</v>
      </c>
      <c r="C8795" s="3">
        <v>44537.698125000003</v>
      </c>
      <c r="D8795" s="1" t="s">
        <v>17500</v>
      </c>
      <c r="E8795" s="1" t="str">
        <f ca="1">IFERROR(__xludf.DUMMYFUNCTION("GOOGLETRANSLATE(A5594 , ""tr"" , ""en"")"),"@drfahrettinkoca guide expect https://t.co/nq8op7wfv5")</f>
        <v>@drfahrettinkoca guide expect https://t.co/nq8op7wfv5</v>
      </c>
    </row>
    <row r="8796" spans="1:5" ht="15" customHeight="1" x14ac:dyDescent="0.2">
      <c r="A8796" s="1" t="s">
        <v>17501</v>
      </c>
      <c r="B8796" s="1">
        <v>3</v>
      </c>
      <c r="C8796" s="3">
        <v>44537.698113425926</v>
      </c>
      <c r="D8796" s="1" t="s">
        <v>17502</v>
      </c>
      <c r="E8796" s="1" t="str">
        <f ca="1">IFERROR(__xludf.DUMMYFUNCTION("GOOGLETRANSLATE(A5595 , ""tr"" , ""en"")"),"@drfahrettinkoca Allah is about us with us some compassion and the pity you give what is the guide to explain what is hard d ... https://t.co/2zkpmiudj1")</f>
        <v>@drfahrettinkoca Allah is about us with us some compassion and the pity you give what is the guide to explain what is hard d ... https://t.co/2zkpmiudj1</v>
      </c>
    </row>
    <row r="8797" spans="1:5" ht="15" customHeight="1" x14ac:dyDescent="0.2">
      <c r="A8797" s="1" t="s">
        <v>17503</v>
      </c>
      <c r="B8797" s="1">
        <v>0</v>
      </c>
      <c r="C8797" s="3">
        <v>44537.697974537034</v>
      </c>
      <c r="D8797" s="1" t="s">
        <v>17504</v>
      </c>
      <c r="E8797" s="1" t="str">
        <f ca="1">IFERROR(__xludf.DUMMYFUNCTION("GOOGLETRANSLATE(A5596 , ""tr"" , ""en"")"),"@drfahrettinkoca is saved from depositing in the intensive care of what overcome beeee terrific intelligent. I'm asking as no inude ... https://t.co/hxkj5p3gb6")</f>
        <v>@drfahrettinkoca is saved from depositing in the intensive care of what overcome beeee terrific intelligent. I'm asking as no inude ... https://t.co/hxkj5p3gb6</v>
      </c>
    </row>
    <row r="8798" spans="1:5" ht="15" customHeight="1" x14ac:dyDescent="0.2">
      <c r="A8798" s="1" t="s">
        <v>17505</v>
      </c>
      <c r="B8798" s="1">
        <v>0</v>
      </c>
      <c r="C8798" s="3">
        <v>44537.697893518518</v>
      </c>
      <c r="D8798" s="1" t="s">
        <v>17506</v>
      </c>
      <c r="E8798" s="1" t="str">
        <f ca="1">IFERROR(__xludf.DUMMYFUNCTION("GOOGLETRANSLATE(A5597 , ""tr"" , ""en"")"),"@drfahrettinkoca Health Assignment Guide Published Waiting Last Finds @Rterdogan @drfahrettinkoca")</f>
        <v>@drfahrettinkoca Health Assignment Guide Published Waiting Last Finds @Rterdogan @drfahrettinkoca</v>
      </c>
    </row>
    <row r="8799" spans="1:5" ht="15" customHeight="1" x14ac:dyDescent="0.2">
      <c r="A8799" s="1" t="s">
        <v>17507</v>
      </c>
      <c r="B8799" s="1">
        <v>1</v>
      </c>
      <c r="C8799" s="3">
        <v>44537.697511574072</v>
      </c>
      <c r="D8799" s="1" t="s">
        <v>17508</v>
      </c>
      <c r="E8799" s="1" t="str">
        <f ca="1">IFERROR(__xludf.DUMMYFUNCTION("GOOGLETRANSLATE(A5598 , ""tr"" , ""en"")"),"@drfahrettinkoca let my beautiful, let's crush the salaries. In this year, we will travel as an OfficerMmm  Guanszzzzzzzzzzz # cbonaylakochavuzu")</f>
        <v>@drfahrettinkoca let my beautiful, let's crush the salaries. In this year, we will travel as an OfficerMmm  Guanszzzzzzzzzzz # cbonaylakochavuzu</v>
      </c>
    </row>
    <row r="8800" spans="1:5" ht="15" customHeight="1" x14ac:dyDescent="0.2">
      <c r="A8800" s="1" t="s">
        <v>17483</v>
      </c>
      <c r="B8800" s="1">
        <v>1</v>
      </c>
      <c r="C8800" s="3">
        <v>44537.697488425925</v>
      </c>
      <c r="D8800" s="1" t="s">
        <v>17509</v>
      </c>
      <c r="E8800" s="1" t="str">
        <f ca="1">IFERROR(__xludf.DUMMYFUNCTION("GOOGLETRANSLATE(A5599 , ""tr"" , ""en"")"),"@drfahrettinkoca Health Assignment Guide You publish @rterdogan @drfahrettinkoca")</f>
        <v>@drfahrettinkoca Health Assignment Guide You publish @rterdogan @drfahrettinkoca</v>
      </c>
    </row>
    <row r="8801" spans="1:5" ht="15" customHeight="1" x14ac:dyDescent="0.2">
      <c r="A8801" s="1" t="s">
        <v>17510</v>
      </c>
      <c r="B8801" s="1">
        <v>0</v>
      </c>
      <c r="C8801" s="3">
        <v>44537.697418981479</v>
      </c>
      <c r="D8801" s="1" t="s">
        <v>17511</v>
      </c>
      <c r="E8801" s="1" t="str">
        <f ca="1">IFERROR(__xludf.DUMMYFUNCTION("GOOGLETRANSLATE(A5600 , ""tr"" , ""en"")"),"@drfahrettinkoca all the country is the three-day guide you are going to beat twt")</f>
        <v>@drfahrettinkoca all the country is the three-day guide you are going to beat twt</v>
      </c>
    </row>
    <row r="8802" spans="1:5" ht="15" customHeight="1" x14ac:dyDescent="0.2">
      <c r="A8802" s="1" t="s">
        <v>17512</v>
      </c>
      <c r="B8802" s="1">
        <v>4</v>
      </c>
      <c r="C8802" s="3">
        <v>44537.69740740741</v>
      </c>
      <c r="D8802" s="1" t="s">
        <v>17513</v>
      </c>
      <c r="E8802" s="1" t="str">
        <f ca="1">IFERROR(__xludf.DUMMYFUNCTION("GOOGLETRANSLATE(A5601 , ""tr"" , ""en"")"),"@drfahrettinka is 100/81 made of 2 vaccines. 100/19 mu lies in the hospital. How late in Erdogan didn't trust you in the late ... https://t.co/uhdftrhoqq")</f>
        <v>@drfahrettinka is 100/81 made of 2 vaccines. 100/19 mu lies in the hospital. How late in Erdogan didn't trust you in the late ... https://t.co/uhdftrhoqq</v>
      </c>
    </row>
    <row r="8803" spans="1:5" ht="15" customHeight="1" x14ac:dyDescent="0.2">
      <c r="A8803" s="1" t="s">
        <v>17514</v>
      </c>
      <c r="B8803" s="1">
        <v>0</v>
      </c>
      <c r="C8803" s="3">
        <v>44537.69740740741</v>
      </c>
      <c r="D8803" s="1" t="s">
        <v>17515</v>
      </c>
      <c r="E8803" s="1" t="str">
        <f ca="1">IFERROR(__xludf.DUMMYFUNCTION("GOOGLETRANSLATE(A5602 , ""tr"" , ""en"")"),"@drfahrettinkoca When will the guide be released?")</f>
        <v>@drfahrettinkoca When will the guide be released?</v>
      </c>
    </row>
    <row r="8804" spans="1:5" ht="15" customHeight="1" x14ac:dyDescent="0.2">
      <c r="A8804" s="1" t="s">
        <v>17516</v>
      </c>
      <c r="B8804" s="1">
        <v>1</v>
      </c>
      <c r="C8804" s="3">
        <v>44537.697384259256</v>
      </c>
      <c r="D8804" s="1" t="s">
        <v>17517</v>
      </c>
      <c r="E8804" s="1" t="str">
        <f ca="1">IFERROR(__xludf.DUMMYFUNCTION("GOOGLETRANSLATE(A5603 , ""tr"" , ""en"")"),"@drfahrettinkoca Make payments of medicalers 18 months is the shame")</f>
        <v>@drfahrettinkoca Make payments of medicalers 18 months is the shame</v>
      </c>
    </row>
    <row r="8805" spans="1:5" ht="15" customHeight="1" x14ac:dyDescent="0.2">
      <c r="A8805" s="1" t="s">
        <v>17518</v>
      </c>
      <c r="B8805" s="1">
        <v>0</v>
      </c>
      <c r="C8805" s="3">
        <v>44537.697372685187</v>
      </c>
      <c r="D8805" s="1" t="s">
        <v>17519</v>
      </c>
      <c r="E8805" s="1" t="str">
        <f ca="1">IFERROR(__xludf.DUMMYFUNCTION("GOOGLETRANSLATE(A5604 , ""tr"" , ""en"")"),"@drfahrettinkoca is about 20,000 cases of about 20,000 cases, 200 decadent to how long the minister to go like this.")</f>
        <v>@drfahrettinkoca is about 20,000 cases of about 20,000 cases, 200 decadent to how long the minister to go like this.</v>
      </c>
    </row>
    <row r="8806" spans="1:5" ht="15" customHeight="1" x14ac:dyDescent="0.2">
      <c r="A8806" s="1" t="s">
        <v>17520</v>
      </c>
      <c r="B8806" s="1">
        <v>0</v>
      </c>
      <c r="C8806" s="3">
        <v>44537.697314814817</v>
      </c>
      <c r="D8806" s="1" t="s">
        <v>17521</v>
      </c>
      <c r="E8806" s="1" t="str">
        <f ca="1">IFERROR(__xludf.DUMMYFUNCTION("GOOGLETRANSLATE(A5605 , ""tr"" , ""en"")"),"@drfahrettinkoca minister when assignment is when olucun came out on the january 15")</f>
        <v>@drfahrettinkoca minister when assignment is when olucun came out on the january 15</v>
      </c>
    </row>
    <row r="8807" spans="1:5" ht="15" customHeight="1" x14ac:dyDescent="0.2">
      <c r="A8807" s="1" t="s">
        <v>17522</v>
      </c>
      <c r="B8807" s="1">
        <v>25</v>
      </c>
      <c r="C8807" s="3">
        <v>44537.697187500002</v>
      </c>
      <c r="D8807" s="1" t="s">
        <v>17523</v>
      </c>
      <c r="E8807" s="1" t="str">
        <f ca="1">IFERROR(__xludf.DUMMYFUNCTION("GOOGLETRANSLATE(A5606 , ""tr"" , ""en"")"),"@drfahrettinkoca Mr. Ministry Indeed a full germ slot everyone in a full germ nest is the use of mask in violating the distance yo ... https://t.co/8c1jz0ifnv")</f>
        <v>@drfahrettinkoca Mr. Ministry Indeed a full germ slot everyone in a full germ nest is the use of mask in violating the distance yo ... https://t.co/8c1jz0ifnv</v>
      </c>
    </row>
    <row r="8808" spans="1:5" ht="15" customHeight="1" x14ac:dyDescent="0.2">
      <c r="A8808" s="1" t="s">
        <v>17524</v>
      </c>
      <c r="B8808" s="1">
        <v>3</v>
      </c>
      <c r="C8808" s="3">
        <v>44537.697187500002</v>
      </c>
      <c r="D8808" s="1" t="s">
        <v>17525</v>
      </c>
      <c r="E8808" s="1" t="str">
        <f ca="1">IFERROR(__xludf.DUMMYFUNCTION("GOOGLETRANSLATE(A5607 , ""tr"" , ""en"")"),"@drfahrettinkoca you did not publish any results report for the remaining 10 months, we will trust the non-result.")</f>
        <v>@drfahrettinkoca you did not publish any results report for the remaining 10 months, we will trust the non-result.</v>
      </c>
    </row>
    <row r="8809" spans="1:5" ht="15" customHeight="1" x14ac:dyDescent="0.2">
      <c r="A8809" s="1" t="s">
        <v>17526</v>
      </c>
      <c r="B8809" s="1">
        <v>0</v>
      </c>
      <c r="C8809" s="3">
        <v>44537.697175925925</v>
      </c>
      <c r="D8809" s="1" t="s">
        <v>17527</v>
      </c>
      <c r="E8809" s="1" t="str">
        <f ca="1">IFERROR(__xludf.DUMMYFUNCTION("GOOGLETRANSLATE(A5608 , ""tr"" , ""en"")"),"@drfahrettinkoca @drvysgk")</f>
        <v>@drfahrettinkoca @drvysgk</v>
      </c>
    </row>
    <row r="8810" spans="1:5" ht="15" customHeight="1" x14ac:dyDescent="0.2">
      <c r="A8810" s="1" t="s">
        <v>17528</v>
      </c>
      <c r="B8810" s="1">
        <v>3</v>
      </c>
      <c r="C8810" s="3">
        <v>44537.69703703704</v>
      </c>
      <c r="D8810" s="1" t="s">
        <v>17529</v>
      </c>
      <c r="E8810" s="1" t="str">
        <f ca="1">IFERROR(__xludf.DUMMYFUNCTION("GOOGLETRANSLATE(A5609 , ""tr"" , ""en"")"),"@drfahrettinkoca we would be patience if we were a stone ... where is the guide?")</f>
        <v>@drfahrettinkoca we would be patience if we were a stone ... where is the guide?</v>
      </c>
    </row>
    <row r="8811" spans="1:5" ht="15" customHeight="1" x14ac:dyDescent="0.2">
      <c r="A8811" s="1" t="s">
        <v>17530</v>
      </c>
      <c r="B8811" s="1">
        <v>47</v>
      </c>
      <c r="C8811" s="3">
        <v>44537.69699074074</v>
      </c>
      <c r="D8811" s="1" t="s">
        <v>17531</v>
      </c>
      <c r="E8811" s="1" t="str">
        <f ca="1">IFERROR(__xludf.DUMMYFUNCTION("GOOGLETRANSLATE(A5610 , ""tr"" , ""en"")"),"@drfahrettinkoca that means. ""Don't have the vaccination hic or have 2 CIs, who don't have 3 coasts ... ... HTTPS://T.CO/IUCKESHUMI")</f>
        <v>@drfahrettinkoca that means. "Don't have the vaccination hic or have 2 CIs, who don't have 3 coasts ... ... HTTPS://T.CO/IUCKESHUMI</v>
      </c>
    </row>
    <row r="8812" spans="1:5" ht="15" customHeight="1" x14ac:dyDescent="0.2">
      <c r="A8812" s="1" t="s">
        <v>17483</v>
      </c>
      <c r="B8812" s="1">
        <v>0</v>
      </c>
      <c r="C8812" s="3">
        <v>44537.696979166663</v>
      </c>
      <c r="D8812" s="1" t="s">
        <v>17532</v>
      </c>
      <c r="E8812" s="1" t="str">
        <f ca="1">IFERROR(__xludf.DUMMYFUNCTION("GOOGLETRANSLATE(A5611 , ""tr"" , ""en"")"),"@drfahrettinkoca Health Assignment Guide You publish @rterdogan @drfahrettinkoca")</f>
        <v>@drfahrettinkoca Health Assignment Guide You publish @rterdogan @drfahrettinkoca</v>
      </c>
    </row>
    <row r="8813" spans="1:5" ht="15" customHeight="1" x14ac:dyDescent="0.2">
      <c r="A8813" s="1" t="s">
        <v>17533</v>
      </c>
      <c r="B8813" s="1">
        <v>0</v>
      </c>
      <c r="C8813" s="3">
        <v>44537.696944444448</v>
      </c>
      <c r="D8813" s="1" t="s">
        <v>17534</v>
      </c>
      <c r="E8813" s="1" t="str">
        <f ca="1">IFERROR(__xludf.DUMMYFUNCTION("GOOGLETRANSLATE(A5612 , ""tr"" , ""en"")"),"@drfahrettinkoca I have made all the vaccines after kovite I still can't take odors Still how my joints are hurting how light jumps")</f>
        <v>@drfahrettinkoca I have made all the vaccines after kovite I still can't take odors Still how my joints are hurting how light jumps</v>
      </c>
    </row>
    <row r="8814" spans="1:5" ht="15" customHeight="1" x14ac:dyDescent="0.2">
      <c r="A8814" s="1" t="s">
        <v>17535</v>
      </c>
      <c r="B8814" s="1">
        <v>5</v>
      </c>
      <c r="C8814" s="3">
        <v>44537.696828703702</v>
      </c>
      <c r="D8814" s="1" t="s">
        <v>17536</v>
      </c>
      <c r="E8814" s="1" t="str">
        <f ca="1">IFERROR(__xludf.DUMMYFUNCTION("GOOGLETRANSLATE(A5613 , ""tr"" , ""en"")"),"@drfahrettinkoca Allah you are our goats Mukayyet 🥴🤦🏻♀️")</f>
        <v>@drfahrettinkoca Allah you are our goats Mukayyet 🥴🤦🏻♀️</v>
      </c>
    </row>
    <row r="8815" spans="1:5" ht="15" customHeight="1" x14ac:dyDescent="0.2">
      <c r="A8815" s="1" t="s">
        <v>17537</v>
      </c>
      <c r="B8815" s="1">
        <v>0</v>
      </c>
      <c r="C8815" s="3">
        <v>44537.696828703702</v>
      </c>
      <c r="D8815" s="1" t="s">
        <v>17538</v>
      </c>
      <c r="E8815" s="1" t="str">
        <f ca="1">IFERROR(__xludf.DUMMYFUNCTION("GOOGLETRANSLATE(A5614 , ""tr"" , ""en"")"),"@drfahrettinkoca I don't believe you and the board. Al also get the board before!")</f>
        <v>@drfahrettinkoca I don't believe you and the board. Al also get the board before!</v>
      </c>
    </row>
    <row r="8816" spans="1:5" ht="15" customHeight="1" x14ac:dyDescent="0.2">
      <c r="A8816" s="1" t="s">
        <v>17539</v>
      </c>
      <c r="B8816" s="1">
        <v>38</v>
      </c>
      <c r="C8816" s="3">
        <v>44537.696759259263</v>
      </c>
      <c r="D8816" s="1" t="s">
        <v>17540</v>
      </c>
      <c r="E8816" s="1" t="str">
        <f ca="1">IFERROR(__xludf.DUMMYFUNCTION("GOOGLETRANSLATE(A5615 , ""tr"" , ""en"")"),"@drfahrettinka When will it open for families who want 5-11 years of age vaccine right? 3. We also want to be a moment of vaccinations.")</f>
        <v>@drfahrettinka When will it open for families who want 5-11 years of age vaccine right? 3. We also want to be a moment of vaccinations.</v>
      </c>
    </row>
    <row r="8817" spans="1:5" ht="15" customHeight="1" x14ac:dyDescent="0.2">
      <c r="A8817" s="1" t="s">
        <v>17541</v>
      </c>
      <c r="B8817" s="1">
        <v>53</v>
      </c>
      <c r="C8817" s="3">
        <v>44537.696759259263</v>
      </c>
      <c r="D8817" s="1" t="s">
        <v>17542</v>
      </c>
      <c r="E8817" s="1" t="str">
        <f ca="1">IFERROR(__xludf.DUMMYFUNCTION("GOOGLETRANSLATE(A5616 , ""tr"" , ""en"")"),"@drfahrettinkoca I don't trust any no vaccine I have never done in the test if you were really done to finish your health ... https://t.co/iepbc4vgvx")</f>
        <v>@drfahrettinkoca I don't trust any no vaccine I have never done in the test if you were really done to finish your health ... https://t.co/iepbc4vgvx</v>
      </c>
    </row>
    <row r="8818" spans="1:5" ht="15" customHeight="1" x14ac:dyDescent="0.2">
      <c r="A8818" s="1" t="s">
        <v>17543</v>
      </c>
      <c r="B8818" s="1">
        <v>5</v>
      </c>
      <c r="C8818" s="3">
        <v>44537.696759259263</v>
      </c>
      <c r="D8818" s="1" t="s">
        <v>17544</v>
      </c>
      <c r="E8818" s="1" t="str">
        <f ca="1">IFERROR(__xludf.DUMMYFUNCTION("GOOGLETRANSLATE(A5617 , ""tr"" , ""en"")"),"@drfahrettinkoca post assignment guide @rterdogan @drfahrettinkoca")</f>
        <v>@drfahrettinkoca post assignment guide @rterdogan @drfahrettinkoca</v>
      </c>
    </row>
    <row r="8819" spans="1:5" ht="15" customHeight="1" x14ac:dyDescent="0.2">
      <c r="A8819" s="1" t="s">
        <v>17545</v>
      </c>
      <c r="B8819" s="1">
        <v>3</v>
      </c>
      <c r="C8819" s="3">
        <v>44537.696643518517</v>
      </c>
      <c r="D8819" s="1" t="s">
        <v>17546</v>
      </c>
      <c r="E8819" s="1" t="str">
        <f ca="1">IFERROR(__xludf.DUMMYFUNCTION("GOOGLETRANSLATE(A5618 , ""tr"" , ""en"")"),"@drfahrettinkoca Describe the passage of the assignment that you promise to assign these teenagers have already been the time of the appointed guide Birananan")</f>
        <v>@drfahrettinkoca Describe the passage of the assignment that you promise to assign these teenagers have already been the time of the appointed guide Birananan</v>
      </c>
    </row>
    <row r="8820" spans="1:5" ht="15" customHeight="1" x14ac:dyDescent="0.2">
      <c r="A8820" s="1" t="s">
        <v>17547</v>
      </c>
      <c r="B8820" s="1">
        <v>2</v>
      </c>
      <c r="C8820" s="3">
        <v>44537.696574074071</v>
      </c>
      <c r="D8820" s="1" t="s">
        <v>17548</v>
      </c>
      <c r="E8820" s="1" t="str">
        <f ca="1">IFERROR(__xludf.DUMMYFUNCTION("GOOGLETRANSLATE(A5619 , ""tr"" , ""en"")"),"@drfahrettinkoca Hospital Yaşlarin Yasliklarılıklılıklılıkı")</f>
        <v>@drfahrettinkoca Hospital Yaşlarin Yasliklarılıklılıklılıkı</v>
      </c>
    </row>
    <row r="8821" spans="1:5" ht="15" customHeight="1" x14ac:dyDescent="0.2">
      <c r="A8821" s="1" t="s">
        <v>17549</v>
      </c>
      <c r="B8821" s="1">
        <v>5</v>
      </c>
      <c r="C8821" s="3">
        <v>44537.696562500001</v>
      </c>
      <c r="D8821" s="1" t="s">
        <v>17550</v>
      </c>
      <c r="E8821" s="1" t="str">
        <f ca="1">IFERROR(__xludf.DUMMYFUNCTION("GOOGLETRANSLATE(A5620 , ""tr"" , ""en"")"),"@drfahrettinkoca We assign our debtor to assign the time of the time of the gusty guide Bironce View the")</f>
        <v>@drfahrettinkoca We assign our debtor to assign the time of the time of the gusty guide Bironce View the</v>
      </c>
    </row>
    <row r="8822" spans="1:5" ht="15" customHeight="1" x14ac:dyDescent="0.2">
      <c r="A8822" s="1" t="s">
        <v>17551</v>
      </c>
      <c r="B8822" s="1">
        <v>0</v>
      </c>
      <c r="C8822" s="3">
        <v>44537.696516203701</v>
      </c>
      <c r="D8822" s="1" t="s">
        <v>17552</v>
      </c>
      <c r="E8822" s="1" t="str">
        <f ca="1">IFERROR(__xludf.DUMMYFUNCTION("GOOGLETRANSLATE(A5621 , ""tr"" , ""en"")"),"Why @drfahrettinkoca Mr. Minister is the highest rate of vaccination and causes the number of cases in Osmaniye? Rather ... https://t.co/okrk24bznu")</f>
        <v>Why @drfahrettinkoca Mr. Minister is the highest rate of vaccination and causes the number of cases in Osmaniye? Rather ... https://t.co/okrk24bznu</v>
      </c>
    </row>
    <row r="8823" spans="1:5" ht="15" customHeight="1" x14ac:dyDescent="0.2">
      <c r="A8823" s="1" t="s">
        <v>17553</v>
      </c>
      <c r="B8823" s="1">
        <v>0</v>
      </c>
      <c r="C8823" s="3">
        <v>44537.696481481478</v>
      </c>
      <c r="D8823" s="1" t="s">
        <v>17554</v>
      </c>
      <c r="E8823" s="1" t="str">
        <f ca="1">IFERROR(__xludf.DUMMYFUNCTION("GOOGLETRANSLATE(A5622 , ""tr"" , ""en"")"),"@drfahrettinkoca guide welcomezzzzz")</f>
        <v>@drfahrettinkoca guide welcomezzzzz</v>
      </c>
    </row>
    <row r="8824" spans="1:5" ht="15" customHeight="1" x14ac:dyDescent="0.2">
      <c r="A8824" s="1" t="s">
        <v>17555</v>
      </c>
      <c r="B8824" s="1">
        <v>0</v>
      </c>
      <c r="C8824" s="3">
        <v>44537.696423611109</v>
      </c>
      <c r="D8824" s="1" t="s">
        <v>17556</v>
      </c>
      <c r="E8824" s="1" t="str">
        <f ca="1">IFERROR(__xludf.DUMMYFUNCTION("GOOGLETRANSLATE(A5623 , ""tr"" , ""en"")"),"@drfahrettinkoca guide you publish now !!!!!")</f>
        <v>@drfahrettinkoca guide you publish now !!!!!</v>
      </c>
    </row>
    <row r="8825" spans="1:5" ht="15" customHeight="1" x14ac:dyDescent="0.2">
      <c r="A8825" s="1" t="s">
        <v>17543</v>
      </c>
      <c r="B8825" s="1">
        <v>4</v>
      </c>
      <c r="C8825" s="3">
        <v>44537.696377314816</v>
      </c>
      <c r="D8825" s="1" t="s">
        <v>17557</v>
      </c>
      <c r="E8825" s="1" t="str">
        <f ca="1">IFERROR(__xludf.DUMMYFUNCTION("GOOGLETRANSLATE(A5624 , ""tr"" , ""en"")"),"@drfahrettinkoca post assignment guide @rterdogan @drfahrettinkoca")</f>
        <v>@drfahrettinkoca post assignment guide @rterdogan @drfahrettinkoca</v>
      </c>
    </row>
    <row r="8826" spans="1:5" ht="15" customHeight="1" x14ac:dyDescent="0.2">
      <c r="A8826" s="1" t="s">
        <v>17558</v>
      </c>
      <c r="B8826" s="1">
        <v>10</v>
      </c>
      <c r="C8826" s="3">
        <v>44537.69635416667</v>
      </c>
      <c r="D8826" s="1" t="s">
        <v>17559</v>
      </c>
      <c r="E8826" s="1" t="str">
        <f ca="1">IFERROR(__xludf.DUMMYFUNCTION("GOOGLETRANSLATE(A5625 , ""tr"" , ""en"")"),"@drfahrettinkoca 78018 people left our call")</f>
        <v>@drfahrettinkoca 78018 people left our call</v>
      </c>
    </row>
    <row r="8827" spans="1:5" ht="15" customHeight="1" x14ac:dyDescent="0.2">
      <c r="A8827" s="1" t="s">
        <v>17560</v>
      </c>
      <c r="B8827" s="1">
        <v>0</v>
      </c>
      <c r="C8827" s="3">
        <v>44537.696273148147</v>
      </c>
      <c r="D8827" s="1" t="s">
        <v>17561</v>
      </c>
      <c r="E8827" s="1" t="str">
        <f ca="1">IFERROR(__xludf.DUMMYFUNCTION("GOOGLETRANSLATE(A5626 , ""tr"" , ""en"")"),"@drfahrettinka We are tired of waiting with high scores")</f>
        <v>@drfahrettinka We are tired of waiting with high scores</v>
      </c>
    </row>
    <row r="8828" spans="1:5" ht="15" customHeight="1" x14ac:dyDescent="0.2">
      <c r="A8828" s="1" t="s">
        <v>17562</v>
      </c>
      <c r="B8828" s="1">
        <v>0</v>
      </c>
      <c r="C8828" s="3">
        <v>44537.696261574078</v>
      </c>
      <c r="D8828" s="1" t="s">
        <v>17563</v>
      </c>
      <c r="E8828" s="1" t="str">
        <f ca="1">IFERROR(__xludf.DUMMYFUNCTION("GOOGLETRANSLATE(A5627 , ""tr"" , ""en"")"),"@drfahrettinkoca Eagle Lütfi has Yardar Lebaleb Maşallah. The doctor has the treatment unfortunately.")</f>
        <v>@drfahrettinkoca Eagle Lütfi has Yardar Lebaleb Maşallah. The doctor has the treatment unfortunately.</v>
      </c>
    </row>
    <row r="8829" spans="1:5" ht="15" customHeight="1" x14ac:dyDescent="0.2">
      <c r="A8829" s="1" t="s">
        <v>17213</v>
      </c>
      <c r="B8829" s="1">
        <v>42</v>
      </c>
      <c r="C8829" s="3">
        <v>44537.696250000001</v>
      </c>
      <c r="D8829" s="1" t="s">
        <v>17564</v>
      </c>
      <c r="E8829" s="1" t="str">
        <f ca="1">IFERROR(__xludf.DUMMYFUNCTION("GOOGLETRANSLATE(A5628 , ""tr"" , ""en"")"),"@drfahrettinkoca guide What are we looking forward to, why is the field waiting for BOS? @Rterdogan @drfahrettinkoca I'm #cbonaylakochage")</f>
        <v>@drfahrettinkoca guide What are we looking forward to, why is the field waiting for BOS? @Rterdogan @drfahrettinkoca I'm #cbonaylakochage</v>
      </c>
    </row>
    <row r="8830" spans="1:5" ht="15" customHeight="1" x14ac:dyDescent="0.2">
      <c r="A8830" s="1" t="s">
        <v>17565</v>
      </c>
      <c r="B8830" s="1">
        <v>0</v>
      </c>
      <c r="C8830" s="3">
        <v>44537.696192129632</v>
      </c>
      <c r="D8830" s="1" t="s">
        <v>17566</v>
      </c>
      <c r="E8830" s="1" t="str">
        <f ca="1">IFERROR(__xludf.DUMMYFUNCTION("GOOGLETRANSLATE(A5629 , ""tr"" , ""en"")"),"@drfahrettinkoca Is there a tweet from here, do you have an answer to tweet and answer?")</f>
        <v>@drfahrettinkoca Is there a tweet from here, do you have an answer to tweet and answer?</v>
      </c>
    </row>
    <row r="8831" spans="1:5" ht="15" customHeight="1" x14ac:dyDescent="0.2">
      <c r="A8831" s="1" t="s">
        <v>17567</v>
      </c>
      <c r="B8831" s="1">
        <v>45</v>
      </c>
      <c r="C8831" s="3">
        <v>44537.696180555555</v>
      </c>
      <c r="D8831" s="1" t="s">
        <v>17568</v>
      </c>
      <c r="E8831" s="1" t="str">
        <f ca="1">IFERROR(__xludf.DUMMYFUNCTION("GOOGLETRANSLATE(A5630 , ""tr"" , ""en"")"),"@drfahrettinka Our street ladies at the grocery grocery store today told a client of your writing. Even ... https://t.co/f1o8crd9k0")</f>
        <v>@drfahrettinka Our street ladies at the grocery grocery store today told a client of your writing. Even ... https://t.co/f1o8crd9k0</v>
      </c>
    </row>
    <row r="8832" spans="1:5" ht="15" customHeight="1" x14ac:dyDescent="0.2">
      <c r="A8832" s="1" t="s">
        <v>17569</v>
      </c>
      <c r="B8832" s="1">
        <v>1</v>
      </c>
      <c r="C8832" s="3">
        <v>44537.696134259262</v>
      </c>
      <c r="D8832" s="1" t="s">
        <v>17570</v>
      </c>
      <c r="E8832" s="1" t="str">
        <f ca="1">IFERROR(__xludf.DUMMYFUNCTION("GOOGLETRANSLATE(A5631 , ""tr"" , ""en"")"),"@drfahrettinkoca would you be scientifically proofing the existence of Covid virus? Wu Zunyou words are correct? Virus Vars ... https://t.co/z0ık28r8ea")</f>
        <v>@drfahrettinkoca would you be scientifically proofing the existence of Covid virus? Wu Zunyou words are correct? Virus Vars ... https://t.co/z0ık28r8ea</v>
      </c>
    </row>
    <row r="8833" spans="1:5" ht="15" customHeight="1" x14ac:dyDescent="0.2">
      <c r="A8833" s="1" t="s">
        <v>17571</v>
      </c>
      <c r="B8833" s="1">
        <v>0</v>
      </c>
      <c r="C8833" s="3">
        <v>44537.696087962962</v>
      </c>
      <c r="D8833" s="1" t="s">
        <v>17572</v>
      </c>
      <c r="E8833" s="1" t="str">
        <f ca="1">IFERROR(__xludf.DUMMYFUNCTION("GOOGLETRANSLATE(A5632 , ""tr"" , ""en"")"),"@drfahrettinkoca Bey Assignment What was the permission to assign?")</f>
        <v>@drfahrettinkoca Bey Assignment What was the permission to assign?</v>
      </c>
    </row>
    <row r="8834" spans="1:5" ht="15" customHeight="1" x14ac:dyDescent="0.2">
      <c r="A8834" s="1" t="s">
        <v>17573</v>
      </c>
      <c r="B8834" s="1">
        <v>0</v>
      </c>
      <c r="C8834" s="3">
        <v>44537.696076388886</v>
      </c>
      <c r="D8834" s="1" t="s">
        <v>17574</v>
      </c>
      <c r="E8834" s="1" t="str">
        <f ca="1">IFERROR(__xludf.DUMMYFUNCTION("GOOGLETRANSLATE(A5633 , ""tr"" , ""en"")"),"@drfahrettinkoca is an impossible state of understanding")</f>
        <v>@drfahrettinkoca is an impossible state of understanding</v>
      </c>
    </row>
    <row r="8835" spans="1:5" ht="15" customHeight="1" x14ac:dyDescent="0.2">
      <c r="A8835" s="1" t="s">
        <v>17575</v>
      </c>
      <c r="B8835" s="1">
        <v>0</v>
      </c>
      <c r="C8835" s="3">
        <v>44537.696030092593</v>
      </c>
      <c r="D8835" s="1" t="s">
        <v>17576</v>
      </c>
      <c r="E8835" s="1" t="str">
        <f ca="1">IFERROR(__xludf.DUMMYFUNCTION("GOOGLETRANSLATE(A5634 , ""tr"" , ""en"")"),"@drfahrettinkoca Assignment Guide You publish @rterdogan @drfahrettinkoca")</f>
        <v>@drfahrettinkoca Assignment Guide You publish @rterdogan @drfahrettinkoca</v>
      </c>
    </row>
    <row r="8836" spans="1:5" ht="15" customHeight="1" x14ac:dyDescent="0.2">
      <c r="A8836" s="1" t="s">
        <v>17577</v>
      </c>
      <c r="B8836" s="1">
        <v>0</v>
      </c>
      <c r="C8836" s="3">
        <v>44537.695983796293</v>
      </c>
      <c r="D8836" s="1" t="s">
        <v>17578</v>
      </c>
      <c r="E8836" s="1" t="str">
        <f ca="1">IFERROR(__xludf.DUMMYFUNCTION("GOOGLETRANSLATE(A5635 , ""tr"" , ""en"")"),"@drfahrettinkoca Covid skin I'm not afraid. I don't trust your vaccine either.")</f>
        <v>@drfahrettinkoca Covid skin I'm not afraid. I don't trust your vaccine either.</v>
      </c>
    </row>
    <row r="8837" spans="1:5" ht="15" customHeight="1" x14ac:dyDescent="0.2">
      <c r="A8837" s="1" t="s">
        <v>17579</v>
      </c>
      <c r="B8837" s="1">
        <v>48</v>
      </c>
      <c r="C8837" s="3">
        <v>44537.695937500001</v>
      </c>
      <c r="D8837" s="1" t="s">
        <v>17580</v>
      </c>
      <c r="E8837" s="1" t="str">
        <f ca="1">IFERROR(__xludf.DUMMYFUNCTION("GOOGLETRANSLATE(A5636 , ""tr"" , ""en"")"),"@drfahrettinkoca Come on Dummy Dummy Explain you Even the signs of the provinces before the vaccine asidan SO before the vaccine ... https://t.co/1fsxDIMIWI")</f>
        <v>@drfahrettinkoca Come on Dummy Dummy Explain you Even the signs of the provinces before the vaccine asidan SO before the vaccine ... https://t.co/1fsxDIMIWI</v>
      </c>
    </row>
    <row r="8838" spans="1:5" ht="15" customHeight="1" x14ac:dyDescent="0.2">
      <c r="A8838" s="1" t="s">
        <v>17581</v>
      </c>
      <c r="B8838" s="1">
        <v>0</v>
      </c>
      <c r="C8838" s="3">
        <v>44537.695891203701</v>
      </c>
      <c r="D8838" s="1" t="s">
        <v>17582</v>
      </c>
      <c r="E8838" s="1" t="str">
        <f ca="1">IFERROR(__xludf.DUMMYFUNCTION("GOOGLETRANSLATE(A5637 , ""tr"" , ""en"")"),"@drfahrettinkoca how long you got to wait")</f>
        <v>@drfahrettinkoca how long you got to wait</v>
      </c>
    </row>
    <row r="8839" spans="1:5" ht="15" customHeight="1" x14ac:dyDescent="0.2">
      <c r="A8839" s="1" t="s">
        <v>17583</v>
      </c>
      <c r="B8839" s="1">
        <v>9</v>
      </c>
      <c r="C8839" s="3">
        <v>44537.695798611108</v>
      </c>
      <c r="D8839" s="1" t="s">
        <v>17584</v>
      </c>
      <c r="E8839" s="1" t="str">
        <f ca="1">IFERROR(__xludf.DUMMYFUNCTION("GOOGLETRANSLATE(A5638 , ""tr"" , ""en"")"),"@drfahrettinkoca will continue to write to you until we heard our voice Our only desire is to get the caressive of our emegate # health")</f>
        <v>@drfahrettinkoca will continue to write to you until we heard our voice Our only desire is to get the caressive of our emegate # health</v>
      </c>
    </row>
    <row r="8840" spans="1:5" ht="15" customHeight="1" x14ac:dyDescent="0.2">
      <c r="A8840" s="1" t="s">
        <v>17585</v>
      </c>
      <c r="B8840" s="1">
        <v>0</v>
      </c>
      <c r="C8840" s="3">
        <v>44537.695706018516</v>
      </c>
      <c r="D8840" s="1" t="s">
        <v>17586</v>
      </c>
      <c r="E8840" s="1" t="str">
        <f ca="1">IFERROR(__xludf.DUMMYFUNCTION("GOOGLETRANSLATE(A5639 , ""tr"" , ""en"")"),"If you share @drfahrettinkoca maybe we will count on the minister")</f>
        <v>If you share @drfahrettinkoca maybe we will count on the minister</v>
      </c>
    </row>
    <row r="8841" spans="1:5" ht="15" customHeight="1" x14ac:dyDescent="0.2">
      <c r="A8841" s="1" t="s">
        <v>17587</v>
      </c>
      <c r="B8841" s="1">
        <v>0</v>
      </c>
      <c r="C8841" s="3">
        <v>44537.695694444446</v>
      </c>
      <c r="D8841" s="1" t="s">
        <v>17588</v>
      </c>
      <c r="E8841" s="1" t="str">
        <f ca="1">IFERROR(__xludf.DUMMYFUNCTION("GOOGLETRANSLATE(A5640 , ""tr"" , ""en"")"),"@drfahrettinkoca Wellness Shops Guide @drfahrettinkoca @rterdogan")</f>
        <v>@drfahrettinkoca Wellness Shops Guide @drfahrettinkoca @rterdogan</v>
      </c>
    </row>
    <row r="8842" spans="1:5" ht="15" customHeight="1" x14ac:dyDescent="0.2">
      <c r="A8842" s="1" t="s">
        <v>13312</v>
      </c>
      <c r="B8842" s="1">
        <v>0</v>
      </c>
      <c r="C8842" s="3">
        <v>44537.695636574077</v>
      </c>
      <c r="D8842" s="1" t="s">
        <v>17589</v>
      </c>
      <c r="E8842" s="1" t="str">
        <f ca="1">IFERROR(__xludf.DUMMYFUNCTION("GOOGLETRANSLATE(A5641 , ""tr"" , ""en"")"),"@drfahrettinkoca manuscript")</f>
        <v>@drfahrettinkoca manuscript</v>
      </c>
    </row>
    <row r="8843" spans="1:5" ht="15" customHeight="1" x14ac:dyDescent="0.2">
      <c r="A8843" s="1" t="s">
        <v>17590</v>
      </c>
      <c r="B8843" s="1">
        <v>103</v>
      </c>
      <c r="C8843" s="3">
        <v>44537.695474537039</v>
      </c>
      <c r="D8843" s="1" t="s">
        <v>17591</v>
      </c>
      <c r="E8843" s="1" t="str">
        <f ca="1">IFERROR(__xludf.DUMMYFUNCTION("GOOGLETRANSLATE(A5642 , ""tr"" , ""en"")"),"@drfahrettinkoca case numbers and deaths 3 months Hic is not reduced enough no longer unhealthy sections in VAF schools. # kabineuzaktanılitimsart")</f>
        <v>@drfahrettinkoca case numbers and deaths 3 months Hic is not reduced enough no longer unhealthy sections in VAF schools. # kabineuzaktanılitimsart</v>
      </c>
    </row>
    <row r="8844" spans="1:5" ht="15" customHeight="1" x14ac:dyDescent="0.2">
      <c r="A8844" s="1" t="s">
        <v>17592</v>
      </c>
      <c r="B8844" s="1">
        <v>0</v>
      </c>
      <c r="C8844" s="3">
        <v>44537.695474537039</v>
      </c>
      <c r="D8844" s="1" t="s">
        <v>17593</v>
      </c>
      <c r="E8844" s="1" t="str">
        <f ca="1">IFERROR(__xludf.DUMMYFUNCTION("GOOGLETRANSLATE(A5643 , ""tr"" , ""en"")"),"@drfahrettinkoca Leave these drums.")</f>
        <v>@drfahrettinkoca Leave these drums.</v>
      </c>
    </row>
    <row r="8845" spans="1:5" ht="15" customHeight="1" x14ac:dyDescent="0.2">
      <c r="A8845" s="1" t="s">
        <v>17594</v>
      </c>
      <c r="B8845" s="1">
        <v>0</v>
      </c>
      <c r="C8845" s="3">
        <v>44537.695462962962</v>
      </c>
      <c r="D8845" s="1" t="s">
        <v>17595</v>
      </c>
      <c r="E8845" s="1" t="str">
        <f ca="1">IFERROR(__xludf.DUMMYFUNCTION("GOOGLETRANSLATE(A5644 , ""tr"" , ""en"")"),"@drfahrettinkoca is grafted and the vaccines are full and no dying? The folks were largely vaccinated, why didn't the pandemen end ... https://t.co/yup1bk8ij8")</f>
        <v>@drfahrettinkoca is grafted and the vaccines are full and no dying? The folks were largely vaccinated, why didn't the pandemen end ... https://t.co/yup1bk8ij8</v>
      </c>
    </row>
    <row r="8846" spans="1:5" ht="15" customHeight="1" x14ac:dyDescent="0.2">
      <c r="A8846" s="1" t="s">
        <v>17596</v>
      </c>
      <c r="B8846" s="1">
        <v>1</v>
      </c>
      <c r="C8846" s="3">
        <v>44537.695381944446</v>
      </c>
      <c r="D8846" s="1" t="s">
        <v>17597</v>
      </c>
      <c r="E8846" s="1" t="str">
        <f ca="1">IFERROR(__xludf.DUMMYFUNCTION("GOOGLETRANSLATE(A5645 , ""tr"" , ""en"")"),"@drfahrettinka had our BI guide")</f>
        <v>@drfahrettinka had our BI guide</v>
      </c>
    </row>
    <row r="8847" spans="1:5" ht="15" customHeight="1" x14ac:dyDescent="0.2">
      <c r="A8847" s="1" t="s">
        <v>17598</v>
      </c>
      <c r="B8847" s="1">
        <v>1</v>
      </c>
      <c r="C8847" s="3">
        <v>44537.695370370369</v>
      </c>
      <c r="D8847" s="1" t="s">
        <v>17599</v>
      </c>
      <c r="E8847" s="1" t="str">
        <f ca="1">IFERROR(__xludf.DUMMYFUNCTION("GOOGLETRANSLATE(A5646 , ""tr"" , ""en"")"),"@drfahrettinka 3 dose graft aunty daughter in intensive care")</f>
        <v>@drfahrettinka 3 dose graft aunty daughter in intensive care</v>
      </c>
    </row>
    <row r="8848" spans="1:5" ht="15" customHeight="1" x14ac:dyDescent="0.2">
      <c r="A8848" s="1" t="s">
        <v>17600</v>
      </c>
      <c r="B8848" s="1">
        <v>90</v>
      </c>
      <c r="C8848" s="3">
        <v>44537.695335648146</v>
      </c>
      <c r="D8848" s="1" t="s">
        <v>17601</v>
      </c>
      <c r="E8848" s="1" t="str">
        <f ca="1">IFERROR(__xludf.DUMMYFUNCTION("GOOGLETRANSLATE(A5647 , ""tr"" , ""en"")"),"@drfahrettinkoca - Anadem explain the figures so many people died, how many people do you died? - Heart attack, stroke numbers ... https://t.co/lswyillshi")</f>
        <v>@drfahrettinkoca - Anadem explain the figures so many people died, how many people do you died? - Heart attack, stroke numbers ... https://t.co/lswyillshi</v>
      </c>
    </row>
    <row r="8849" spans="1:5" ht="15" customHeight="1" x14ac:dyDescent="0.2">
      <c r="A8849" s="1" t="s">
        <v>17602</v>
      </c>
      <c r="B8849" s="1">
        <v>1</v>
      </c>
      <c r="C8849" s="3">
        <v>44537.695324074077</v>
      </c>
      <c r="D8849" s="1" t="s">
        <v>17603</v>
      </c>
      <c r="E8849" s="1" t="str">
        <f ca="1">IFERROR(__xludf.DUMMYFUNCTION("GOOGLETRANSLATE(A5648 , ""tr"" , ""en"")"),"@drfahrettinkoca I'm the reason why you wait with my #cbonaylakochave")</f>
        <v>@drfahrettinkoca I'm the reason why you wait with my #cbonaylakochave</v>
      </c>
    </row>
    <row r="8850" spans="1:5" ht="15" customHeight="1" x14ac:dyDescent="0.2">
      <c r="A8850" s="1" t="s">
        <v>17604</v>
      </c>
      <c r="B8850" s="1">
        <v>5</v>
      </c>
      <c r="C8850" s="3">
        <v>44537.695277777777</v>
      </c>
      <c r="D8850" s="1" t="s">
        <v>17605</v>
      </c>
      <c r="E8850" s="1" t="str">
        <f ca="1">IFERROR(__xludf.DUMMYFUNCTION("GOOGLETRANSLATE(A5649 , ""tr"" , ""en"")"),"@drfahrettinkoca We continue to hear the sincerity of saglikcilar Do you want to come on the day revenue transfer returns")</f>
        <v>@drfahrettinkoca We continue to hear the sincerity of saglikcilar Do you want to come on the day revenue transfer returns</v>
      </c>
    </row>
    <row r="8851" spans="1:5" ht="15" customHeight="1" x14ac:dyDescent="0.2">
      <c r="A8851" s="1" t="s">
        <v>17606</v>
      </c>
      <c r="B8851" s="1">
        <v>0</v>
      </c>
      <c r="C8851" s="3">
        <v>44537.695277777777</v>
      </c>
      <c r="D8851" s="1" t="s">
        <v>17607</v>
      </c>
      <c r="E8851" s="1" t="str">
        <f ca="1">IFERROR(__xludf.DUMMYFUNCTION("GOOGLETRANSLATE(A5650 , ""tr"" , ""en"")"),"@drfahrettinkoca I'm not grafted I have no nuisance in the Corona period. Cannot be coincident ..")</f>
        <v>@drfahrettinkoca I'm not grafted I have no nuisance in the Corona period. Cannot be coincident ..</v>
      </c>
    </row>
    <row r="8852" spans="1:5" ht="15" customHeight="1" x14ac:dyDescent="0.2">
      <c r="A8852" s="1" t="s">
        <v>17608</v>
      </c>
      <c r="B8852" s="1">
        <v>7</v>
      </c>
      <c r="C8852" s="3">
        <v>44537.6952662037</v>
      </c>
      <c r="D8852" s="1" t="s">
        <v>17609</v>
      </c>
      <c r="E8852" s="1" t="str">
        <f ca="1">IFERROR(__xludf.DUMMYFUNCTION("GOOGLETRANSLATE(A5651 , ""tr"" , ""en"")"),"@drfahrettinkoca Hurting Guide @drfahrettinkoca @rterdogan")</f>
        <v>@drfahrettinkoca Hurting Guide @drfahrettinkoca @rterdogan</v>
      </c>
    </row>
    <row r="8853" spans="1:5" ht="15" customHeight="1" x14ac:dyDescent="0.2">
      <c r="A8853" s="1" t="s">
        <v>17610</v>
      </c>
      <c r="B8853" s="1">
        <v>0</v>
      </c>
      <c r="C8853" s="3">
        <v>44537.695219907408</v>
      </c>
      <c r="D8853" s="1" t="s">
        <v>17611</v>
      </c>
      <c r="E8853" s="1" t="str">
        <f ca="1">IFERROR(__xludf.DUMMYFUNCTION("GOOGLETRANSLATE(A5652 , ""tr"" , ""en"")"),"@drfahrettinkoca where is the guide")</f>
        <v>@drfahrettinkoca where is the guide</v>
      </c>
    </row>
    <row r="8854" spans="1:5" ht="15" customHeight="1" x14ac:dyDescent="0.2">
      <c r="A8854" s="1" t="s">
        <v>17612</v>
      </c>
      <c r="B8854" s="1">
        <v>2</v>
      </c>
      <c r="C8854" s="3">
        <v>44537.695162037038</v>
      </c>
      <c r="D8854" s="1" t="s">
        <v>17613</v>
      </c>
      <c r="E8854" s="1" t="str">
        <f ca="1">IFERROR(__xludf.DUMMYFUNCTION("GOOGLETRANSLATE(A5653 , ""tr"" , ""en"")"),"@drfahrettinkoca hear us # kabineuzakaktanıtişmartart")</f>
        <v>@drfahrettinkoca hear us # kabineuzakaktanıtişmartart</v>
      </c>
    </row>
    <row r="8855" spans="1:5" ht="15" customHeight="1" x14ac:dyDescent="0.2">
      <c r="A8855" s="1" t="s">
        <v>17614</v>
      </c>
      <c r="B8855" s="1">
        <v>0</v>
      </c>
      <c r="C8855" s="3">
        <v>44537.695081018515</v>
      </c>
      <c r="D8855" s="1" t="s">
        <v>17615</v>
      </c>
      <c r="E8855" s="1" t="str">
        <f ca="1">IFERROR(__xludf.DUMMYFUNCTION("GOOGLETRANSLATE(A5654 , ""tr"" , ""en"")"),"@drfahrettinkoca e What are you looking forward to Ozaman Abi Closure Your Schools Cafes V.B")</f>
        <v>@drfahrettinkoca e What are you looking forward to Ozaman Abi Closure Your Schools Cafes V.B</v>
      </c>
    </row>
    <row r="8856" spans="1:5" ht="15" customHeight="1" x14ac:dyDescent="0.2">
      <c r="A8856" s="1" t="s">
        <v>7770</v>
      </c>
      <c r="B8856" s="1">
        <v>1</v>
      </c>
      <c r="C8856" s="3">
        <v>44537.694976851853</v>
      </c>
      <c r="D8856" s="1" t="s">
        <v>17616</v>
      </c>
      <c r="E8856" s="1" t="str">
        <f ca="1">IFERROR(__xludf.DUMMYFUNCTION("GOOGLETRANSLATE(A5655 , ""tr"" , ""en"")"),"@drfahrettinkoca dietitians are welcomed to assign the assignment to the dietitians Sayin Minister 91 Score of Cardiacy Still Acikta")</f>
        <v>@drfahrettinkoca dietitians are welcomed to assign the assignment to the dietitians Sayin Minister 91 Score of Cardiacy Still Acikta</v>
      </c>
    </row>
    <row r="8857" spans="1:5" ht="15" customHeight="1" x14ac:dyDescent="0.2">
      <c r="A8857" s="1" t="s">
        <v>17617</v>
      </c>
      <c r="B8857" s="1">
        <v>160</v>
      </c>
      <c r="C8857" s="3">
        <v>44537.694953703707</v>
      </c>
      <c r="D8857" s="1" t="s">
        <v>17618</v>
      </c>
      <c r="E8857" s="1" t="str">
        <f ca="1">IFERROR(__xludf.DUMMYFUNCTION("GOOGLETRANSLATE(A5656 , ""tr"" , ""en"")"),"@drfahrettinkoca Your assertion does not reflect the truth! Intensive care in the Army is full of grafted people. Now these discourses ... https://t.co/owheo9ebvs")</f>
        <v>@drfahrettinkoca Your assertion does not reflect the truth! Intensive care in the Army is full of grafted people. Now these discourses ... https://t.co/owheo9ebvs</v>
      </c>
    </row>
    <row r="8858" spans="1:5" ht="15" customHeight="1" x14ac:dyDescent="0.2">
      <c r="A8858" s="1" t="s">
        <v>17619</v>
      </c>
      <c r="B8858" s="1">
        <v>1</v>
      </c>
      <c r="C8858" s="3">
        <v>44537.69494212963</v>
      </c>
      <c r="D8858" s="1" t="s">
        <v>17620</v>
      </c>
      <c r="E8858" s="1" t="str">
        <f ca="1">IFERROR(__xludf.DUMMYFUNCTION("GOOGLETRANSLATE(A5657 , ""tr"" , ""en"")"),"@drfahrettinkoca guide Waiting for Mr @drfahrettinkoca")</f>
        <v>@drfahrettinkoca guide Waiting for Mr @drfahrettinkoca</v>
      </c>
    </row>
    <row r="8859" spans="1:5" ht="15" customHeight="1" x14ac:dyDescent="0.2">
      <c r="A8859" s="1" t="s">
        <v>17621</v>
      </c>
      <c r="B8859" s="1">
        <v>0</v>
      </c>
      <c r="C8859" s="3">
        <v>44537.694907407407</v>
      </c>
      <c r="D8859" s="1" t="s">
        <v>17622</v>
      </c>
      <c r="E8859" s="1" t="str">
        <f ca="1">IFERROR(__xludf.DUMMYFUNCTION("GOOGLETRANSLATE(A5658 , ""tr"" , ""en"")"),"@drfahrettinkoca For 1 year, you are struggling with outbreaks by failing healthier?")</f>
        <v>@drfahrettinkoca For 1 year, you are struggling with outbreaks by failing healthier?</v>
      </c>
    </row>
    <row r="8860" spans="1:5" ht="15" customHeight="1" x14ac:dyDescent="0.2">
      <c r="A8860" s="1" t="s">
        <v>17623</v>
      </c>
      <c r="B8860" s="1">
        <v>0</v>
      </c>
      <c r="C8860" s="3">
        <v>44537.694895833331</v>
      </c>
      <c r="D8860" s="1" t="s">
        <v>17624</v>
      </c>
      <c r="E8860" s="1" t="str">
        <f ca="1">IFERROR(__xludf.DUMMYFUNCTION("GOOGLETRANSLATE(A5659 , ""tr"" , ""en"")"),"@drfahrettinkoca Health Assignment Guide @drfahrettinkoca @rterdogan")</f>
        <v>@drfahrettinkoca Health Assignment Guide @drfahrettinkoca @rterdogan</v>
      </c>
    </row>
    <row r="8861" spans="1:5" ht="15" customHeight="1" x14ac:dyDescent="0.2">
      <c r="A8861" s="1" t="s">
        <v>17625</v>
      </c>
      <c r="B8861" s="1">
        <v>0</v>
      </c>
      <c r="C8861" s="3">
        <v>44537.694803240738</v>
      </c>
      <c r="D8861" s="1" t="s">
        <v>17626</v>
      </c>
      <c r="E8861" s="1" t="str">
        <f ca="1">IFERROR(__xludf.DUMMYFUNCTION("GOOGLETRANSLATE(A5660 , ""tr"" , ""en"")"),"@drfahrettinkoca İvizi Rent I have two younger children my daughter Dogustan GUATIR patient has the developmental retardation continuous treatment ... https://t.co/xqthc7uahd")</f>
        <v>@drfahrettinkoca İvizi Rent I have two younger children my daughter Dogustan GUATIR patient has the developmental retardation continuous treatment ... https://t.co/xqthc7uahd</v>
      </c>
    </row>
    <row r="8862" spans="1:5" ht="15" customHeight="1" x14ac:dyDescent="0.2">
      <c r="A8862" s="1" t="s">
        <v>17627</v>
      </c>
      <c r="B8862" s="1">
        <v>0</v>
      </c>
      <c r="C8862" s="3">
        <v>44537.694803240738</v>
      </c>
      <c r="D8862" s="1" t="s">
        <v>17628</v>
      </c>
      <c r="E8862" s="1" t="str">
        <f ca="1">IFERROR(__xludf.DUMMYFUNCTION("GOOGLETRANSLATE(A5661 , ""tr"" , ""en"")"),"@drfahrettinkoca For 1 year, we are looking forward to the assignment you are still saying the vaccine. Not getting freaking # 40binatamaiyapkilicdaroglu https://t.co/4xb9yo2uim")</f>
        <v>@drfahrettinkoca For 1 year, we are looking forward to the assignment you are still saying the vaccine. Not getting freaking # 40binatamaiyapkilicdaroglu https://t.co/4xb9yo2uim</v>
      </c>
    </row>
    <row r="8863" spans="1:5" ht="15" customHeight="1" x14ac:dyDescent="0.2">
      <c r="A8863" s="1" t="s">
        <v>17629</v>
      </c>
      <c r="B8863" s="1">
        <v>0</v>
      </c>
      <c r="C8863" s="3">
        <v>44537.694791666669</v>
      </c>
      <c r="D8863" s="1" t="s">
        <v>17630</v>
      </c>
      <c r="E8863" s="1" t="str">
        <f ca="1">IFERROR(__xludf.DUMMYFUNCTION("GOOGLETRANSLATE(A5662 , ""tr"" , ""en"")"),"@drfahrettinka ayyyyyy say something now guarantonuuuuzzzzzzzzzzzzzzzzzzzzzzzzzzzzzzzzzzzzzz")</f>
        <v>@drfahrettinka ayyyyyy say something now guarantonuuuuzzzzzzzzzzzzzzzzzzzzzzzzzzzzzzzzzzzzzz</v>
      </c>
    </row>
    <row r="8864" spans="1:5" ht="15" customHeight="1" x14ac:dyDescent="0.2">
      <c r="A8864" s="1" t="s">
        <v>17631</v>
      </c>
      <c r="B8864" s="1">
        <v>17</v>
      </c>
      <c r="C8864" s="3">
        <v>44537.694780092592</v>
      </c>
      <c r="D8864" s="1" t="s">
        <v>17632</v>
      </c>
      <c r="E8864" s="1" t="str">
        <f ca="1">IFERROR(__xludf.DUMMYFUNCTION("GOOGLETRANSLATE(A5663 , ""tr"" , ""en"")"),"@drfahrettinkoca Healthparts are looking very nice to hear # cbonaylakochacuzuya")</f>
        <v>@drfahrettinkoca Healthparts are looking very nice to hear # cbonaylakochacuzuya</v>
      </c>
    </row>
    <row r="8865" spans="1:5" ht="15" customHeight="1" x14ac:dyDescent="0.2">
      <c r="A8865" s="1" t="s">
        <v>17633</v>
      </c>
      <c r="B8865" s="1">
        <v>2</v>
      </c>
      <c r="C8865" s="3">
        <v>44537.694768518515</v>
      </c>
      <c r="D8865" s="1" t="s">
        <v>17634</v>
      </c>
      <c r="E8865" s="1" t="str">
        <f ca="1">IFERROR(__xludf.DUMMYFUNCTION("GOOGLETRANSLATE(A5664 , ""tr"" , ""en"")"),"@drfahrettinka https://t.co/4ogageyc9b")</f>
        <v>@drfahrettinka https://t.co/4ogageyc9b</v>
      </c>
    </row>
    <row r="8866" spans="1:5" ht="15" customHeight="1" x14ac:dyDescent="0.2">
      <c r="A8866" s="1" t="s">
        <v>17635</v>
      </c>
      <c r="B8866" s="1">
        <v>47</v>
      </c>
      <c r="C8866" s="3">
        <v>44537.694733796299</v>
      </c>
      <c r="D8866" s="1" t="s">
        <v>17636</v>
      </c>
      <c r="E8866" s="1" t="str">
        <f ca="1">IFERROR(__xludf.DUMMYFUNCTION("GOOGLETRANSLATE(A5665 , ""tr"" , ""en"")"),"@drfahrettinkoca Who don't have any vaccinated or missing vaccination? How many dose of dozers can be full graft ... https://t.co/dfckmwhuws")</f>
        <v>@drfahrettinkoca Who don't have any vaccinated or missing vaccination? How many dose of dozers can be full graft ... https://t.co/dfckmwhuws</v>
      </c>
    </row>
    <row r="8867" spans="1:5" ht="15" customHeight="1" x14ac:dyDescent="0.2">
      <c r="A8867" s="1" t="s">
        <v>17637</v>
      </c>
      <c r="B8867" s="1">
        <v>0</v>
      </c>
      <c r="C8867" s="3">
        <v>44537.694733796299</v>
      </c>
      <c r="D8867" s="1" t="s">
        <v>17638</v>
      </c>
      <c r="E8867" s="1" t="str">
        <f ca="1">IFERROR(__xludf.DUMMYFUNCTION("GOOGLETRANSLATE(A5666 , ""tr"" , ""en"")"),"@drfahrettinkoca inoculated people Heart attack is not coincidious to have side effects such as palsy palsy throwing clog")</f>
        <v>@drfahrettinkoca inoculated people Heart attack is not coincidious to have side effects such as palsy palsy throwing clog</v>
      </c>
    </row>
    <row r="8868" spans="1:5" ht="15" customHeight="1" x14ac:dyDescent="0.2">
      <c r="A8868" s="1" t="s">
        <v>17639</v>
      </c>
      <c r="B8868" s="1">
        <v>0</v>
      </c>
      <c r="C8868" s="3">
        <v>44537.694733796299</v>
      </c>
      <c r="D8868" s="1" t="s">
        <v>17640</v>
      </c>
      <c r="E8868" s="1" t="str">
        <f ca="1">IFERROR(__xludf.DUMMYFUNCTION("GOOGLETRANSLATE(A5667 , ""tr"" , ""en"")"),"@drfahrettinkoca you must remove HEPP completely. Life does not fit home, we won't fit in fit people, robot ... https://t.co/2obl4pmaoq")</f>
        <v>@drfahrettinkoca you must remove HEPP completely. Life does not fit home, we won't fit in fit people, robot ... https://t.co/2obl4pmaoq</v>
      </c>
    </row>
    <row r="8869" spans="1:5" ht="15" customHeight="1" x14ac:dyDescent="0.2">
      <c r="A8869" s="1" t="s">
        <v>17641</v>
      </c>
      <c r="B8869" s="1">
        <v>0</v>
      </c>
      <c r="C8869" s="3">
        <v>44537.694722222222</v>
      </c>
      <c r="D8869" s="1" t="s">
        <v>17642</v>
      </c>
      <c r="E8869" s="1" t="str">
        <f ca="1">IFERROR(__xludf.DUMMYFUNCTION("GOOGLETRANSLATE(A5668 , ""tr"" , ""en"")"),"@drfahrettinkoca I'm #cbonaylakocaklavuzuya")</f>
        <v>@drfahrettinkoca I'm #cbonaylakocaklavuzuya</v>
      </c>
    </row>
    <row r="8870" spans="1:5" ht="15" customHeight="1" x14ac:dyDescent="0.2">
      <c r="A8870" s="1" t="s">
        <v>17643</v>
      </c>
      <c r="B8870" s="1">
        <v>7</v>
      </c>
      <c r="C8870" s="3">
        <v>44537.694699074076</v>
      </c>
      <c r="D8870" s="1" t="s">
        <v>17644</v>
      </c>
      <c r="E8870" s="1" t="str">
        <f ca="1">IFERROR(__xludf.DUMMYFUNCTION("GOOGLETRANSLATE(A5669 , ""tr"" , ""en"")"),"@drfahrettinkoca Ministry Please explain the branch distribution at least.")</f>
        <v>@drfahrettinkoca Ministry Please explain the branch distribution at least.</v>
      </c>
    </row>
    <row r="8871" spans="1:5" ht="15" customHeight="1" x14ac:dyDescent="0.2">
      <c r="A8871" s="1" t="s">
        <v>17645</v>
      </c>
      <c r="B8871" s="1">
        <v>0</v>
      </c>
      <c r="C8871" s="3">
        <v>44537.694652777776</v>
      </c>
      <c r="D8871" s="1" t="s">
        <v>17646</v>
      </c>
      <c r="E8871" s="1" t="str">
        <f ca="1">IFERROR(__xludf.DUMMYFUNCTION("GOOGLETRANSLATE(A5670 , ""tr"" , ""en"")"),"@drfahrettinkoca Posts Assignment Guide @drfahrettinkoca @rterdogan")</f>
        <v>@drfahrettinkoca Posts Assignment Guide @drfahrettinkoca @rterdogan</v>
      </c>
    </row>
    <row r="8872" spans="1:5" ht="15" customHeight="1" x14ac:dyDescent="0.2">
      <c r="A8872" s="1" t="s">
        <v>17647</v>
      </c>
      <c r="B8872" s="1">
        <v>0</v>
      </c>
      <c r="C8872" s="3">
        <v>44537.694641203707</v>
      </c>
      <c r="D8872" s="1" t="s">
        <v>17648</v>
      </c>
      <c r="E8872" s="1" t="str">
        <f ca="1">IFERROR(__xludf.DUMMYFUNCTION("GOOGLETRANSLATE(A5671 , ""tr"" , ""en"")"),"@drfahrettinkoca is the pointless mask that causes discussions among people as no work ... https://t.co/qk3ulnyfgp")</f>
        <v>@drfahrettinkoca is the pointless mask that causes discussions among people as no work ... https://t.co/qk3ulnyfgp</v>
      </c>
    </row>
    <row r="8873" spans="1:5" ht="15" customHeight="1" x14ac:dyDescent="0.2">
      <c r="A8873" s="1" t="s">
        <v>17649</v>
      </c>
      <c r="B8873" s="1">
        <v>0</v>
      </c>
      <c r="C8873" s="3">
        <v>44537.694641203707</v>
      </c>
      <c r="D8873" s="1" t="s">
        <v>17650</v>
      </c>
      <c r="E8873" s="1" t="str">
        <f ca="1">IFERROR(__xludf.DUMMYFUNCTION("GOOGLETRANSLATE(A5672 , ""tr"" , ""en"")"),"@drfahrettinkoca inoculated people Heart attack is the side effects such as palsy throwing stroke")</f>
        <v>@drfahrettinkoca inoculated people Heart attack is the side effects such as palsy throwing stroke</v>
      </c>
    </row>
    <row r="8874" spans="1:5" ht="15" customHeight="1" x14ac:dyDescent="0.2">
      <c r="A8874" s="1" t="s">
        <v>17651</v>
      </c>
      <c r="B8874" s="1">
        <v>2</v>
      </c>
      <c r="C8874" s="3">
        <v>44537.694594907407</v>
      </c>
      <c r="D8874" s="1" t="s">
        <v>17652</v>
      </c>
      <c r="E8874" s="1" t="str">
        <f ca="1">IFERROR(__xludf.DUMMYFUNCTION("GOOGLETRANSLATE(A5673 , ""tr"" , ""en"")"),"@drfahrettinkoca inoculated people Heart attack is the side effects such as palsy throwing stroke")</f>
        <v>@drfahrettinkoca inoculated people Heart attack is the side effects such as palsy throwing stroke</v>
      </c>
    </row>
    <row r="8875" spans="1:5" ht="15" customHeight="1" x14ac:dyDescent="0.2">
      <c r="A8875" s="1" t="s">
        <v>17653</v>
      </c>
      <c r="B8875" s="1">
        <v>1</v>
      </c>
      <c r="C8875" s="3">
        <v>44537.694571759261</v>
      </c>
      <c r="D8875" s="1" t="s">
        <v>17654</v>
      </c>
      <c r="E8875" s="1" t="str">
        <f ca="1">IFERROR(__xludf.DUMMYFUNCTION("GOOGLETRANSLATE(A5674 , ""tr"" , ""en"")"),"@drfahrettinkoca then make sure how to lose more than how we are losing vote")</f>
        <v>@drfahrettinkoca then make sure how to lose more than how we are losing vote</v>
      </c>
    </row>
    <row r="8876" spans="1:5" ht="15" customHeight="1" x14ac:dyDescent="0.2">
      <c r="A8876" s="1" t="s">
        <v>17655</v>
      </c>
      <c r="B8876" s="1">
        <v>4</v>
      </c>
      <c r="C8876" s="3">
        <v>44537.694560185184</v>
      </c>
      <c r="D8876" s="1" t="s">
        <v>17656</v>
      </c>
      <c r="E8876" s="1" t="str">
        <f ca="1">IFERROR(__xludf.DUMMYFUNCTION("GOOGLETRANSLATE(A5675 , ""tr"" , ""en"")"),"@drfahrettinkoca We were fed up to saying guide # cbonaylakocaklavuzu")</f>
        <v>@drfahrettinkoca We were fed up to saying guide # cbonaylakocaklavuzu</v>
      </c>
    </row>
    <row r="8877" spans="1:5" ht="15" customHeight="1" x14ac:dyDescent="0.2">
      <c r="A8877" s="1" t="s">
        <v>17657</v>
      </c>
      <c r="B8877" s="1">
        <v>3</v>
      </c>
      <c r="C8877" s="3">
        <v>44537.694560185184</v>
      </c>
      <c r="D8877" s="1" t="s">
        <v>17658</v>
      </c>
      <c r="E8877" s="1" t="str">
        <f ca="1">IFERROR(__xludf.DUMMYFUNCTION("GOOGLETRANSLATE(A5676 , ""tr"" , ""en"")"),"@drfahrettinkoca #mbonaylakocacıma I'm a year to a year Bellicrz")</f>
        <v>@drfahrettinkoca #mbonaylakocacıma I'm a year to a year Bellicrz</v>
      </c>
    </row>
    <row r="8878" spans="1:5" ht="15" customHeight="1" x14ac:dyDescent="0.2">
      <c r="A8878" s="1" t="s">
        <v>10080</v>
      </c>
      <c r="B8878" s="1">
        <v>1</v>
      </c>
      <c r="C8878" s="3">
        <v>44537.694513888891</v>
      </c>
      <c r="D8878" s="1" t="s">
        <v>17659</v>
      </c>
      <c r="E8878" s="1" t="str">
        <f ca="1">IFERROR(__xludf.DUMMYFUNCTION("GOOGLETRANSLATE(A5677 , ""tr"" , ""en"")"),"@drfahrettinkoca assignment?")</f>
        <v>@drfahrettinkoca assignment?</v>
      </c>
    </row>
    <row r="8879" spans="1:5" ht="15" customHeight="1" x14ac:dyDescent="0.2">
      <c r="A8879" s="1" t="s">
        <v>15525</v>
      </c>
      <c r="B8879" s="1">
        <v>0</v>
      </c>
      <c r="C8879" s="3">
        <v>44537.694513888891</v>
      </c>
      <c r="D8879" s="1" t="s">
        <v>17660</v>
      </c>
      <c r="E8879" s="1" t="str">
        <f ca="1">IFERROR(__xludf.DUMMYFUNCTION("GOOGLETRANSLATE(A5678 , ""tr"" , ""en"")"),"@drfahrettinkoca #the governmentistifa # Earlier # BirbiontechAlıyaz https://t.co/2tz88lxr9a")</f>
        <v>@drfahrettinkoca #the governmentistifa # Earlier # BirbiontechAlıyaz https://t.co/2tz88lxr9a</v>
      </c>
    </row>
    <row r="8880" spans="1:5" ht="15" customHeight="1" x14ac:dyDescent="0.2">
      <c r="A8880" s="1" t="s">
        <v>17661</v>
      </c>
      <c r="B8880" s="1">
        <v>0</v>
      </c>
      <c r="C8880" s="3">
        <v>44537.694479166668</v>
      </c>
      <c r="D8880" s="1" t="s">
        <v>17662</v>
      </c>
      <c r="E8880" s="1" t="str">
        <f ca="1">IFERROR(__xludf.DUMMYFUNCTION("GOOGLETRANSLATE(A5679 , ""tr"" , ""en"")"),"@drfahrettinkoca lets trust Mr. Minister but how many people in the grip of 2020 years, how many people died from the kovid ... https://t.co/o9bkoyfemc")</f>
        <v>@drfahrettinkoca lets trust Mr. Minister but how many people in the grip of 2020 years, how many people died from the kovid ... https://t.co/o9bkoyfemc</v>
      </c>
    </row>
    <row r="8881" spans="1:5" ht="15" customHeight="1" x14ac:dyDescent="0.2">
      <c r="A8881" s="1" t="s">
        <v>17663</v>
      </c>
      <c r="B8881" s="1">
        <v>7</v>
      </c>
      <c r="C8881" s="3">
        <v>44537.694479166668</v>
      </c>
      <c r="D8881" s="1" t="s">
        <v>17664</v>
      </c>
      <c r="E8881" s="1" t="str">
        <f ca="1">IFERROR(__xludf.DUMMYFUNCTION("GOOGLETRANSLATE(A5680 , ""tr"" , ""en"")"),"@drfahrettinkoca please hear college students please fifty minute door window in sixty personality classroom ... https://t.co/rcofbq9xj3")</f>
        <v>@drfahrettinkoca please hear college students please fifty minute door window in sixty personality classroom ... https://t.co/rcofbq9xj3</v>
      </c>
    </row>
    <row r="8882" spans="1:5" ht="15" customHeight="1" x14ac:dyDescent="0.2">
      <c r="A8882" s="1" t="s">
        <v>17665</v>
      </c>
      <c r="B8882" s="1">
        <v>4</v>
      </c>
      <c r="C8882" s="3">
        <v>44537.694444444445</v>
      </c>
      <c r="D8882" s="1" t="s">
        <v>17666</v>
      </c>
      <c r="E8882" s="1" t="str">
        <f ca="1">IFERROR(__xludf.DUMMYFUNCTION("GOOGLETRANSLATE(A5681 , ""tr"" , ""en"")"),"@drfahrettinkoca SYN Minister, Fighting Covid with Covid in our country. No controls such as Covid.")</f>
        <v>@drfahrettinkoca SYN Minister, Fighting Covid with Covid in our country. No controls such as Covid.</v>
      </c>
    </row>
    <row r="8883" spans="1:5" ht="15" customHeight="1" x14ac:dyDescent="0.2">
      <c r="A8883" s="1" t="s">
        <v>17667</v>
      </c>
      <c r="B8883" s="1">
        <v>0</v>
      </c>
      <c r="C8883" s="3">
        <v>44537.694409722222</v>
      </c>
      <c r="D8883" s="1" t="s">
        <v>17668</v>
      </c>
      <c r="E8883" s="1" t="str">
        <f ca="1">IFERROR(__xludf.DUMMYFUNCTION("GOOGLETRANSLATE(A5682 , ""tr"" , ""en"")"),"@drfahrettinkoca my mother will look uncomfortable with 1 doctor's positive. Intense care as they go to the hospital ... https://t.co/kz762sdvpe")</f>
        <v>@drfahrettinkoca my mother will look uncomfortable with 1 doctor's positive. Intense care as they go to the hospital ... https://t.co/kz762sdvpe</v>
      </c>
    </row>
    <row r="8884" spans="1:5" ht="15" customHeight="1" x14ac:dyDescent="0.2">
      <c r="A8884" s="1" t="s">
        <v>17669</v>
      </c>
      <c r="B8884" s="1">
        <v>4</v>
      </c>
      <c r="C8884" s="3">
        <v>44537.694386574076</v>
      </c>
      <c r="D8884" s="1" t="s">
        <v>17670</v>
      </c>
      <c r="E8884" s="1" t="str">
        <f ca="1">IFERROR(__xludf.DUMMYFUNCTION("GOOGLETRANSLATE(A5683 , ""tr"" , ""en"")"),"@drfahrettinkoca for 1 year No Pick up Number Mr. Minister is enough now")</f>
        <v>@drfahrettinkoca for 1 year No Pick up Number Mr. Minister is enough now</v>
      </c>
    </row>
    <row r="8885" spans="1:5" ht="15" customHeight="1" x14ac:dyDescent="0.2">
      <c r="A8885" s="1" t="s">
        <v>17671</v>
      </c>
      <c r="B8885" s="1">
        <v>3</v>
      </c>
      <c r="C8885" s="3">
        <v>44537.694374999999</v>
      </c>
      <c r="D8885" s="1" t="s">
        <v>17672</v>
      </c>
      <c r="E8885" s="1" t="str">
        <f ca="1">IFERROR(__xludf.DUMMYFUNCTION("GOOGLETRANSLATE(A5684 , ""tr"" , ""en"")"),"@drfahrettinkoca #monaylakocacıma I have been past one year")</f>
        <v>@drfahrettinkoca #monaylakocacıma I have been past one year</v>
      </c>
    </row>
    <row r="8886" spans="1:5" ht="15" customHeight="1" x14ac:dyDescent="0.2">
      <c r="A8886" s="1" t="s">
        <v>17673</v>
      </c>
      <c r="B8886" s="1">
        <v>11</v>
      </c>
      <c r="C8886" s="3">
        <v>44537.69431712963</v>
      </c>
      <c r="D8886" s="1" t="s">
        <v>17674</v>
      </c>
      <c r="E8886" s="1" t="str">
        <f ca="1">IFERROR(__xludf.DUMMYFUNCTION("GOOGLETRANSLATE(A5685 , ""tr"" , ""en"")"),"@drfahrettinkoca you don't know other than vaccine be valla enough or thousands of thousands of people beat thousands of tweets every day ... https://t.co/f6r2rtxhk3")</f>
        <v>@drfahrettinkoca you don't know other than vaccine be valla enough or thousands of thousands of people beat thousands of tweets every day ... https://t.co/f6r2rtxhk3</v>
      </c>
    </row>
    <row r="8887" spans="1:5" ht="15" customHeight="1" x14ac:dyDescent="0.2">
      <c r="A8887" s="1" t="s">
        <v>17675</v>
      </c>
      <c r="B8887" s="1">
        <v>14</v>
      </c>
      <c r="C8887" s="3">
        <v>44537.69425925926</v>
      </c>
      <c r="D8887" s="1" t="s">
        <v>17676</v>
      </c>
      <c r="E8887" s="1" t="str">
        <f ca="1">IFERROR(__xludf.DUMMYFUNCTION("GOOGLETRANSLATE(A5686 , ""tr"" , ""en"")"),"@drfahrettinkoca guide are welcome !!!!! You can't be so insensitive to us against # cbonaylakochage")</f>
        <v>@drfahrettinkoca guide are welcome !!!!! You can't be so insensitive to us against # cbonaylakochage</v>
      </c>
    </row>
    <row r="8888" spans="1:5" ht="15" customHeight="1" x14ac:dyDescent="0.2">
      <c r="A8888" s="1" t="s">
        <v>17677</v>
      </c>
      <c r="B8888" s="1">
        <v>2</v>
      </c>
      <c r="C8888" s="3">
        <v>44537.694236111114</v>
      </c>
      <c r="D8888" s="1" t="s">
        <v>17678</v>
      </c>
      <c r="E8888" s="1" t="str">
        <f ca="1">IFERROR(__xludf.DUMMYFUNCTION("GOOGLETRANSLATE(A5687 , ""tr"" , ""en"")"),"@drfahrettinkoca you said sorry you remained sorry you want to publish the Minister Assignment Guide @rterdogan @drfahrettinkoca")</f>
        <v>@drfahrettinkoca you said sorry you remained sorry you want to publish the Minister Assignment Guide @rterdogan @drfahrettinkoca</v>
      </c>
    </row>
    <row r="8889" spans="1:5" ht="15" customHeight="1" x14ac:dyDescent="0.2">
      <c r="A8889" s="1" t="s">
        <v>17679</v>
      </c>
      <c r="B8889" s="1">
        <v>1</v>
      </c>
      <c r="C8889" s="3">
        <v>44537.694212962961</v>
      </c>
      <c r="D8889" s="1" t="s">
        <v>17680</v>
      </c>
      <c r="E8889" s="1" t="str">
        <f ca="1">IFERROR(__xludf.DUMMYFUNCTION("GOOGLETRANSLATE(A5688 , ""tr"" , ""en"")"),"@drfahrettinkoca Ministry please post the guide today. I'm #cbonaylakochave")</f>
        <v>@drfahrettinkoca Ministry please post the guide today. I'm #cbonaylakochave</v>
      </c>
    </row>
    <row r="8890" spans="1:5" ht="15" customHeight="1" x14ac:dyDescent="0.2">
      <c r="A8890" s="1" t="s">
        <v>17681</v>
      </c>
      <c r="B8890" s="1">
        <v>0</v>
      </c>
      <c r="C8890" s="3">
        <v>44537.694212962961</v>
      </c>
      <c r="D8890" s="1" t="s">
        <v>17682</v>
      </c>
      <c r="E8890" s="1" t="str">
        <f ca="1">IFERROR(__xludf.DUMMYFUNCTION("GOOGLETRANSLATE(A5689 , ""tr"" , ""en"")"),"@drfahrettinka minister manual")</f>
        <v>@drfahrettinka minister manual</v>
      </c>
    </row>
    <row r="8891" spans="1:5" ht="15" customHeight="1" x14ac:dyDescent="0.2">
      <c r="A8891" s="1" t="s">
        <v>17683</v>
      </c>
      <c r="B8891" s="1">
        <v>1</v>
      </c>
      <c r="C8891" s="3">
        <v>44537.694189814814</v>
      </c>
      <c r="D8891" s="1" t="s">
        <v>17684</v>
      </c>
      <c r="E8891" s="1" t="str">
        <f ca="1">IFERROR(__xludf.DUMMYFUNCTION("GOOGLETRANSLATE(A5690 , ""tr"" , ""en"")"),"@drfahrettinkoca my sister 30 years old in intense care, the grafts 50 years of knowing my acquaintances slightly")</f>
        <v>@drfahrettinkoca my sister 30 years old in intense care, the grafts 50 years of knowing my acquaintances slightly</v>
      </c>
    </row>
    <row r="8892" spans="1:5" ht="15" customHeight="1" x14ac:dyDescent="0.2">
      <c r="A8892" s="1" t="s">
        <v>17685</v>
      </c>
      <c r="B8892" s="1">
        <v>56</v>
      </c>
      <c r="C8892" s="3">
        <v>44537.694166666668</v>
      </c>
      <c r="D8892" s="1" t="s">
        <v>17686</v>
      </c>
      <c r="E8892" s="1" t="str">
        <f ca="1">IFERROR(__xludf.DUMMYFUNCTION("GOOGLETRANSLATE(A5691 , ""tr"" , ""en"")"),"@drfahrettinkoca we want online # kabineuzaktanılitimsart")</f>
        <v>@drfahrettinkoca we want online # kabineuzaktanılitimsart</v>
      </c>
    </row>
    <row r="8893" spans="1:5" ht="15" customHeight="1" x14ac:dyDescent="0.2">
      <c r="A8893" s="1" t="s">
        <v>17687</v>
      </c>
      <c r="B8893" s="1">
        <v>2</v>
      </c>
      <c r="C8893" s="3">
        <v>44537.694155092591</v>
      </c>
      <c r="D8893" s="1" t="s">
        <v>17688</v>
      </c>
      <c r="E8893" s="1" t="str">
        <f ca="1">IFERROR(__xludf.DUMMYFUNCTION("GOOGLETRANSLATE(A5692 , ""tr"" , ""en"")"),"@drfahrettinkoca # cbonaylakocacıma I'm now the guide now")</f>
        <v>@drfahrettinkoca # cbonaylakocacıma I'm now the guide now</v>
      </c>
    </row>
    <row r="8894" spans="1:5" ht="15" customHeight="1" x14ac:dyDescent="0.2">
      <c r="A8894" s="1" t="s">
        <v>17689</v>
      </c>
      <c r="B8894" s="1">
        <v>2</v>
      </c>
      <c r="C8894" s="3">
        <v>44537.694120370368</v>
      </c>
      <c r="D8894" s="1" t="s">
        <v>17690</v>
      </c>
      <c r="E8894" s="1" t="str">
        <f ca="1">IFERROR(__xludf.DUMMYFUNCTION("GOOGLETRANSLATE(A5693 , ""tr"" , ""en"")"),"@drfahrettinkoca you can't manage anything with this mindset where @drfahrettinkoca")</f>
        <v>@drfahrettinkoca you can't manage anything with this mindset where @drfahrettinkoca</v>
      </c>
    </row>
    <row r="8895" spans="1:5" ht="15" customHeight="1" x14ac:dyDescent="0.2">
      <c r="A8895" s="1" t="s">
        <v>17691</v>
      </c>
      <c r="B8895" s="1">
        <v>0</v>
      </c>
      <c r="C8895" s="3">
        <v>44537.694085648145</v>
      </c>
      <c r="D8895" s="1" t="s">
        <v>17692</v>
      </c>
      <c r="E8895" s="1" t="str">
        <f ca="1">IFERROR(__xludf.DUMMYFUNCTION("GOOGLETRANSLATE(A5694 , ""tr"" , ""en"")"),"@drfahrettinkoca Ministry of Kipavuz")</f>
        <v>@drfahrettinkoca Ministry of Kipavuz</v>
      </c>
    </row>
    <row r="8896" spans="1:5" ht="15" customHeight="1" x14ac:dyDescent="0.2">
      <c r="A8896" s="1" t="s">
        <v>17693</v>
      </c>
      <c r="B8896" s="1">
        <v>6</v>
      </c>
      <c r="C8896" s="3">
        <v>44537.693993055553</v>
      </c>
      <c r="D8896" s="1" t="s">
        <v>17694</v>
      </c>
      <c r="E8896" s="1" t="str">
        <f ca="1">IFERROR(__xludf.DUMMYFUNCTION("GOOGLETRANSLATE(A5695 , ""tr"" , ""en"")"),"@drfahrettinkoca We don't trust you the zerre, let go the ministry is still the vaccine story ..")</f>
        <v>@drfahrettinkoca We don't trust you the zerre, let go the ministry is still the vaccine story ..</v>
      </c>
    </row>
    <row r="8897" spans="1:5" ht="15" customHeight="1" x14ac:dyDescent="0.2">
      <c r="A8897" s="1" t="s">
        <v>17695</v>
      </c>
      <c r="B8897" s="1">
        <v>19</v>
      </c>
      <c r="C8897" s="3">
        <v>44537.69394675926</v>
      </c>
      <c r="D8897" s="1" t="s">
        <v>17696</v>
      </c>
      <c r="E8897" s="1" t="str">
        <f ca="1">IFERROR(__xludf.DUMMYFUNCTION("GOOGLETRANSLATE(A5696 , ""tr"" , ""en"")"),"@drfahrettinkoca online we want to Onlineeee # Cabinethousonline")</f>
        <v>@drfahrettinkoca online we want to Onlineeee # Cabinethousonline</v>
      </c>
    </row>
    <row r="8898" spans="1:5" ht="15" customHeight="1" x14ac:dyDescent="0.2">
      <c r="A8898" s="1" t="s">
        <v>17697</v>
      </c>
      <c r="B8898" s="1">
        <v>0</v>
      </c>
      <c r="C8898" s="3">
        <v>44537.69394675926</v>
      </c>
      <c r="D8898" s="1" t="s">
        <v>17698</v>
      </c>
      <c r="E8898" s="1" t="str">
        <f ca="1">IFERROR(__xludf.DUMMYFUNCTION("GOOGLETRANSLATE(A5697 , ""tr"" , ""en"")"),"@drfahrettinkoca Schools Kapping")</f>
        <v>@drfahrettinkoca Schools Kapping</v>
      </c>
    </row>
    <row r="8899" spans="1:5" ht="15" customHeight="1" x14ac:dyDescent="0.2">
      <c r="A8899" s="1" t="s">
        <v>17699</v>
      </c>
      <c r="B8899" s="1">
        <v>0</v>
      </c>
      <c r="C8899" s="3">
        <v>44537.69394675926</v>
      </c>
      <c r="D8899" s="1" t="s">
        <v>17700</v>
      </c>
      <c r="E8899" s="1" t="str">
        <f ca="1">IFERROR(__xludf.DUMMYFUNCTION("GOOGLETRANSLATE(A5698 , ""tr"" , ""en"")"),"@drfahrettinkoca no longer need to update vaccinated population information in this table, according to MRN vaccines?")</f>
        <v>@drfahrettinkoca no longer need to update vaccinated population information in this table, according to MRN vaccines?</v>
      </c>
    </row>
    <row r="8900" spans="1:5" ht="15" customHeight="1" x14ac:dyDescent="0.2">
      <c r="A8900" s="1" t="s">
        <v>17352</v>
      </c>
      <c r="B8900" s="1">
        <v>0</v>
      </c>
      <c r="C8900" s="3">
        <v>44537.693935185183</v>
      </c>
      <c r="D8900" s="1" t="s">
        <v>17701</v>
      </c>
      <c r="E8900" s="1" t="str">
        <f ca="1">IFERROR(__xludf.DUMMYFUNCTION("GOOGLETRANSLATE(A5699 , ""tr"" , ""en"")"),"@drfahrettinka Ministry of Guide")</f>
        <v>@drfahrettinka Ministry of Guide</v>
      </c>
    </row>
    <row r="8901" spans="1:5" ht="15" customHeight="1" x14ac:dyDescent="0.2">
      <c r="A8901" s="1" t="s">
        <v>17702</v>
      </c>
      <c r="B8901" s="1">
        <v>1</v>
      </c>
      <c r="C8901" s="3">
        <v>44537.693912037037</v>
      </c>
      <c r="D8901" s="1" t="s">
        <v>17703</v>
      </c>
      <c r="E8901" s="1" t="str">
        <f ca="1">IFERROR(__xludf.DUMMYFUNCTION("GOOGLETRANSLATE(A5700 , ""tr"" , ""en"")"),"@drfahrettinkoca guide and we want to make a job at the earliest date")</f>
        <v>@drfahrettinkoca guide and we want to make a job at the earliest date</v>
      </c>
    </row>
    <row r="8902" spans="1:5" ht="15" customHeight="1" x14ac:dyDescent="0.2">
      <c r="A8902" s="1" t="s">
        <v>17704</v>
      </c>
      <c r="B8902" s="1">
        <v>1</v>
      </c>
      <c r="C8902" s="3">
        <v>44537.69390046296</v>
      </c>
      <c r="D8902" s="1" t="s">
        <v>17705</v>
      </c>
      <c r="E8902" s="1" t="str">
        <f ca="1">IFERROR(__xludf.DUMMYFUNCTION("GOOGLETRANSLATE(A5701 , ""tr"" , ""en"")"),"@drfahrettinkoca has been a relative 3 vaccination but 10 days after intensive care")</f>
        <v>@drfahrettinkoca has been a relative 3 vaccination but 10 days after intensive care</v>
      </c>
    </row>
    <row r="8903" spans="1:5" ht="15" customHeight="1" x14ac:dyDescent="0.2">
      <c r="A8903" s="1" t="s">
        <v>17706</v>
      </c>
      <c r="B8903" s="1">
        <v>1</v>
      </c>
      <c r="C8903" s="3">
        <v>44537.693888888891</v>
      </c>
      <c r="D8903" s="1" t="s">
        <v>17707</v>
      </c>
      <c r="E8903" s="1" t="str">
        <f ca="1">IFERROR(__xludf.DUMMYFUNCTION("GOOGLETRANSLATE(A5702 , ""tr"" , ""en"")"),"@drfahrettinkoca is 80% of the country you are still reading a maval ...")</f>
        <v>@drfahrettinkoca is 80% of the country you are still reading a maval ...</v>
      </c>
    </row>
    <row r="8904" spans="1:5" ht="15" customHeight="1" x14ac:dyDescent="0.2">
      <c r="A8904" s="1" t="s">
        <v>17708</v>
      </c>
      <c r="B8904" s="1">
        <v>0</v>
      </c>
      <c r="C8904" s="3">
        <v>44537.693888888891</v>
      </c>
      <c r="D8904" s="1" t="s">
        <v>17709</v>
      </c>
      <c r="E8904" s="1" t="str">
        <f ca="1">IFERROR(__xludf.DUMMYFUNCTION("GOOGLETRANSLATE(A5703 , ""tr"" , ""en"")"),"@drfahrettinkoca We are no longer able to count on your words. Because still no guidelines and is about to end in the range. Thanks!")</f>
        <v>@drfahrettinkoca We are no longer able to count on your words. Because still no guidelines and is about to end in the range. Thanks!</v>
      </c>
    </row>
    <row r="8905" spans="1:5" ht="15" customHeight="1" x14ac:dyDescent="0.2">
      <c r="A8905" s="1" t="s">
        <v>17710</v>
      </c>
      <c r="B8905" s="1">
        <v>3</v>
      </c>
      <c r="C8905" s="3">
        <v>44537.693854166668</v>
      </c>
      <c r="D8905" s="1" t="s">
        <v>17711</v>
      </c>
      <c r="E8905" s="1" t="str">
        <f ca="1">IFERROR(__xludf.DUMMYFUNCTION("GOOGLETRANSLATE(A5704 , ""tr"" , ""en"")"),"@drfahrettinkoca I'm #cbonaylakochave")</f>
        <v>@drfahrettinkoca I'm #cbonaylakochave</v>
      </c>
    </row>
    <row r="8906" spans="1:5" ht="15" customHeight="1" x14ac:dyDescent="0.2">
      <c r="A8906" s="1" t="s">
        <v>17712</v>
      </c>
      <c r="B8906" s="1">
        <v>1</v>
      </c>
      <c r="C8906" s="3">
        <v>44537.693854166668</v>
      </c>
      <c r="D8906" s="1" t="s">
        <v>17713</v>
      </c>
      <c r="E8906" s="1" t="str">
        <f ca="1">IFERROR(__xludf.DUMMYFUNCTION("GOOGLETRANSLATE(A5705 , ""tr"" , ""en"")"),"@drfahrettinkoca Describe Assignment Explain the Minister @RterDogan @drfahrettinkoca")</f>
        <v>@drfahrettinkoca Describe Assignment Explain the Minister @RterDogan @drfahrettinkoca</v>
      </c>
    </row>
    <row r="8907" spans="1:5" ht="15" customHeight="1" x14ac:dyDescent="0.2">
      <c r="A8907" s="1" t="s">
        <v>17714</v>
      </c>
      <c r="B8907" s="1">
        <v>46</v>
      </c>
      <c r="C8907" s="3">
        <v>44537.693842592591</v>
      </c>
      <c r="D8907" s="1" t="s">
        <v>17715</v>
      </c>
      <c r="E8907" s="1" t="str">
        <f ca="1">IFERROR(__xludf.DUMMYFUNCTION("GOOGLETRANSLATE(A5706 , ""tr"" , ""en"")"),"@drfahrettinkoca # KabineuzaktaniDitimşart Health Minister @drfahrettinkoca: 'Omicron Variant in Turkey has not been determined in Turkey ... https://t.co4v9hrt63")</f>
        <v>@drfahrettinkoca # KabineuzaktaniDitimşart Health Minister @drfahrettinkoca: 'Omicron Variant in Turkey has not been determined in Turkey ... https://t.co4v9hrt63</v>
      </c>
    </row>
    <row r="8908" spans="1:5" ht="15" customHeight="1" x14ac:dyDescent="0.2">
      <c r="A8908" s="1" t="s">
        <v>17716</v>
      </c>
      <c r="B8908" s="1">
        <v>3</v>
      </c>
      <c r="C8908" s="3">
        <v>44537.693819444445</v>
      </c>
      <c r="D8908" s="1" t="s">
        <v>17717</v>
      </c>
      <c r="E8908" s="1" t="str">
        <f ca="1">IFERROR(__xludf.DUMMYFUNCTION("GOOGLETRANSLATE(A5707 , ""tr"" , ""en"")"),"@drfahrettinkoca should now come to the guide!")</f>
        <v>@drfahrettinkoca should now come to the guide!</v>
      </c>
    </row>
    <row r="8909" spans="1:5" ht="15" customHeight="1" x14ac:dyDescent="0.2">
      <c r="A8909" s="1" t="s">
        <v>17718</v>
      </c>
      <c r="B8909" s="1">
        <v>0</v>
      </c>
      <c r="C8909" s="3">
        <v>44537.693807870368</v>
      </c>
      <c r="D8909" s="1" t="s">
        <v>17719</v>
      </c>
      <c r="E8909" s="1" t="str">
        <f ca="1">IFERROR(__xludf.DUMMYFUNCTION("GOOGLETRANSLATE(A5708 , ""tr"" , ""en"")"),"@drfahrettinkoca grid minister")</f>
        <v>@drfahrettinkoca grid minister</v>
      </c>
    </row>
    <row r="8910" spans="1:5" ht="15" customHeight="1" x14ac:dyDescent="0.2">
      <c r="A8910" s="1" t="s">
        <v>17720</v>
      </c>
      <c r="B8910" s="1">
        <v>0</v>
      </c>
      <c r="C8910" s="3">
        <v>44537.693807870368</v>
      </c>
      <c r="D8910" s="1" t="s">
        <v>17721</v>
      </c>
      <c r="E8910" s="1" t="str">
        <f ca="1">IFERROR(__xludf.DUMMYFUNCTION("GOOGLETRANSLATE(A5709 , ""tr"" , ""en"")"),"@drfahrettinkoca We don't trust you but Mr. Minister. Within several months, within 3 months, within this month, for a few days ... https://t.co/8TBHSHSISQW")</f>
        <v>@drfahrettinkoca We don't trust you but Mr. Minister. Within several months, within 3 months, within this month, for a few days ... https://t.co/8TBHSHSISQW</v>
      </c>
    </row>
    <row r="8911" spans="1:5" ht="15" customHeight="1" x14ac:dyDescent="0.2">
      <c r="A8911" s="1" t="s">
        <v>17722</v>
      </c>
      <c r="B8911" s="1">
        <v>15</v>
      </c>
      <c r="C8911" s="3">
        <v>44537.693784722222</v>
      </c>
      <c r="D8911" s="1" t="s">
        <v>17723</v>
      </c>
      <c r="E8911" s="1" t="str">
        <f ca="1">IFERROR(__xludf.DUMMYFUNCTION("GOOGLETRANSLATE(A5710 , ""tr"" , ""en"")"),"@drfahrettinkoca Give us the right to Guanzz please")</f>
        <v>@drfahrettinkoca Give us the right to Guanzz please</v>
      </c>
    </row>
    <row r="8912" spans="1:5" ht="15" customHeight="1" x14ac:dyDescent="0.2">
      <c r="A8912" s="1" t="s">
        <v>17724</v>
      </c>
      <c r="B8912" s="1">
        <v>0</v>
      </c>
      <c r="C8912" s="3">
        <v>44537.693738425929</v>
      </c>
      <c r="D8912" s="1" t="s">
        <v>17725</v>
      </c>
      <c r="E8912" s="1" t="str">
        <f ca="1">IFERROR(__xludf.DUMMYFUNCTION("GOOGLETRANSLATE(A5711 , ""tr"" , ""en"")"),"@drfahrettinka k I l a v u z !!!!!!")</f>
        <v>@drfahrettinka k I l a v u z !!!!!!</v>
      </c>
    </row>
    <row r="8913" spans="1:5" ht="15" customHeight="1" x14ac:dyDescent="0.2">
      <c r="A8913" s="1" t="s">
        <v>17726</v>
      </c>
      <c r="B8913" s="1">
        <v>0</v>
      </c>
      <c r="C8913" s="3">
        <v>44537.693738425929</v>
      </c>
      <c r="D8913" s="1" t="s">
        <v>17727</v>
      </c>
      <c r="E8913" s="1" t="str">
        <f ca="1">IFERROR(__xludf.DUMMYFUNCTION("GOOGLETRANSLATE(A5712 , ""tr"" , ""en"")"),"@drfahrettinkoca Klavuuuuu")</f>
        <v>@drfahrettinkoca Klavuuuuu</v>
      </c>
    </row>
    <row r="8914" spans="1:5" ht="15" customHeight="1" x14ac:dyDescent="0.2">
      <c r="A8914" s="1" t="s">
        <v>17728</v>
      </c>
      <c r="B8914" s="1">
        <v>1</v>
      </c>
      <c r="C8914" s="3">
        <v>44537.693715277775</v>
      </c>
      <c r="D8914" s="1" t="s">
        <v>17729</v>
      </c>
      <c r="E8914" s="1" t="str">
        <f ca="1">IFERROR(__xludf.DUMMYFUNCTION("GOOGLETRANSLATE(A5713 , ""tr"" , ""en"")"),"@drfahrettinkoca you are ignoring us so much. Where is the guide?")</f>
        <v>@drfahrettinkoca you are ignoring us so much. Where is the guide?</v>
      </c>
    </row>
    <row r="8915" spans="1:5" ht="15" customHeight="1" x14ac:dyDescent="0.2">
      <c r="A8915" s="1" t="s">
        <v>17730</v>
      </c>
      <c r="B8915" s="1">
        <v>0</v>
      </c>
      <c r="C8915" s="3">
        <v>44537.693703703706</v>
      </c>
      <c r="D8915" s="1" t="s">
        <v>17731</v>
      </c>
      <c r="E8915" s="1" t="str">
        <f ca="1">IFERROR(__xludf.DUMMYFUNCTION("GOOGLETRANSLATE(A5714 , ""tr"" , ""en"")"),"@drfahrettinkoca where is the guide")</f>
        <v>@drfahrettinkoca where is the guide</v>
      </c>
    </row>
    <row r="8916" spans="1:5" ht="15" customHeight="1" x14ac:dyDescent="0.2">
      <c r="A8916" s="1" t="s">
        <v>17732</v>
      </c>
      <c r="B8916" s="1">
        <v>9</v>
      </c>
      <c r="C8916" s="3">
        <v>44537.693692129629</v>
      </c>
      <c r="D8916" s="1" t="s">
        <v>17733</v>
      </c>
      <c r="E8916" s="1" t="str">
        <f ca="1">IFERROR(__xludf.DUMMYFUNCTION("GOOGLETRANSLATE(A5715 , ""tr"" , ""en"")"),"@drfahrettinkoca Minister I think our only problem is Covid Mi # cbonaylakocaccur")</f>
        <v>@drfahrettinkoca Minister I think our only problem is Covid Mi # cbonaylakocaccur</v>
      </c>
    </row>
    <row r="8917" spans="1:5" ht="15" customHeight="1" x14ac:dyDescent="0.2">
      <c r="A8917" s="1" t="s">
        <v>17734</v>
      </c>
      <c r="B8917" s="1">
        <v>0</v>
      </c>
      <c r="C8917" s="3">
        <v>44537.693680555552</v>
      </c>
      <c r="D8917" s="1" t="s">
        <v>17735</v>
      </c>
      <c r="E8917" s="1" t="str">
        <f ca="1">IFERROR(__xludf.DUMMYFUNCTION("GOOGLETRANSLATE(A5716 , ""tr"" , ""en"")"),"@drfahrettinkoca is sufficient anymow enough to see these twites and let the minister in the grade")</f>
        <v>@drfahrettinkoca is sufficient anymow enough to see these twites and let the minister in the grade</v>
      </c>
    </row>
    <row r="8918" spans="1:5" ht="15" customHeight="1" x14ac:dyDescent="0.2">
      <c r="A8918" s="1" t="s">
        <v>17587</v>
      </c>
      <c r="B8918" s="1">
        <v>0</v>
      </c>
      <c r="C8918" s="3">
        <v>44537.693657407406</v>
      </c>
      <c r="D8918" s="1" t="s">
        <v>17736</v>
      </c>
      <c r="E8918" s="1" t="str">
        <f ca="1">IFERROR(__xludf.DUMMYFUNCTION("GOOGLETRANSLATE(A5717 , ""tr"" , ""en"")"),"@drfahrettinkoca Wellness Shops Guide @drfahrettinkoca @rterdogan")</f>
        <v>@drfahrettinkoca Wellness Shops Guide @drfahrettinkoca @rterdogan</v>
      </c>
    </row>
    <row r="8919" spans="1:5" ht="15" customHeight="1" x14ac:dyDescent="0.2">
      <c r="A8919" s="1" t="s">
        <v>17737</v>
      </c>
      <c r="B8919" s="1">
        <v>14</v>
      </c>
      <c r="C8919" s="3">
        <v>44537.693599537037</v>
      </c>
      <c r="D8919" s="1" t="s">
        <v>17738</v>
      </c>
      <c r="E8919" s="1" t="str">
        <f ca="1">IFERROR(__xludf.DUMMYFUNCTION("GOOGLETRANSLATE(A5718 , ""tr"" , ""en"")"),"@drfahrettinkoca Having your tweets Covid ... When will the guide be published ?? I'm #cbonaylakochave")</f>
        <v>@drfahrettinkoca Having your tweets Covid ... When will the guide be published ?? I'm #cbonaylakochave</v>
      </c>
    </row>
    <row r="8920" spans="1:5" ht="15" customHeight="1" x14ac:dyDescent="0.2">
      <c r="A8920" s="1" t="s">
        <v>17739</v>
      </c>
      <c r="B8920" s="1">
        <v>0</v>
      </c>
      <c r="C8920" s="3">
        <v>44537.69358796296</v>
      </c>
      <c r="D8920" s="1" t="s">
        <v>17740</v>
      </c>
      <c r="E8920" s="1" t="str">
        <f ca="1">IFERROR(__xludf.DUMMYFUNCTION("GOOGLETRANSLATE(A5719 , ""tr"" , ""en"")"),"@drfahrettinkoca where is the guide")</f>
        <v>@drfahrettinkoca where is the guide</v>
      </c>
    </row>
    <row r="8921" spans="1:5" ht="15" customHeight="1" x14ac:dyDescent="0.2">
      <c r="A8921" s="1" t="s">
        <v>17651</v>
      </c>
      <c r="B8921" s="1">
        <v>84</v>
      </c>
      <c r="C8921" s="3">
        <v>44537.69358796296</v>
      </c>
      <c r="D8921" s="1" t="s">
        <v>17741</v>
      </c>
      <c r="E8921" s="1" t="str">
        <f ca="1">IFERROR(__xludf.DUMMYFUNCTION("GOOGLETRANSLATE(A5720 , ""tr"" , ""en"")"),"@drfahrettinkoca inoculated people Heart attack is the side effects such as palsy throwing stroke")</f>
        <v>@drfahrettinkoca inoculated people Heart attack is the side effects such as palsy throwing stroke</v>
      </c>
    </row>
    <row r="8922" spans="1:5" ht="15" customHeight="1" x14ac:dyDescent="0.2">
      <c r="A8922" s="1" t="s">
        <v>17742</v>
      </c>
      <c r="B8922" s="1">
        <v>1</v>
      </c>
      <c r="C8922" s="3">
        <v>44537.693530092591</v>
      </c>
      <c r="D8922" s="1" t="s">
        <v>17743</v>
      </c>
      <c r="E8922" s="1" t="str">
        <f ca="1">IFERROR(__xludf.DUMMYFUNCTION("GOOGLETRANSLATE(A5721 , ""tr"" , ""en"")"),"@drfahrettinkoca guide minister 🥺")</f>
        <v>@drfahrettinkoca guide minister 🥺</v>
      </c>
    </row>
    <row r="8923" spans="1:5" ht="15" customHeight="1" x14ac:dyDescent="0.2">
      <c r="A8923" s="1" t="s">
        <v>17744</v>
      </c>
      <c r="B8923" s="1">
        <v>9</v>
      </c>
      <c r="C8923" s="3">
        <v>44537.693518518521</v>
      </c>
      <c r="D8923" s="1" t="s">
        <v>17745</v>
      </c>
      <c r="E8923" s="1" t="str">
        <f ca="1">IFERROR(__xludf.DUMMYFUNCTION("GOOGLETRANSLATE(A5722 , ""tr"" , ""en"")"),"@drfahrettinkoca guide please come please")</f>
        <v>@drfahrettinkoca guide please come please</v>
      </c>
    </row>
    <row r="8924" spans="1:5" ht="15" customHeight="1" x14ac:dyDescent="0.2">
      <c r="A8924" s="1" t="s">
        <v>17032</v>
      </c>
      <c r="B8924" s="1">
        <v>62</v>
      </c>
      <c r="C8924" s="3">
        <v>44537.693518518521</v>
      </c>
      <c r="D8924" s="1" t="s">
        <v>17746</v>
      </c>
      <c r="E8924" s="1" t="str">
        <f ca="1">IFERROR(__xludf.DUMMYFUNCTION("GOOGLETRANSLATE(A5723 , ""tr"" , ""en"")"),"@drfahrettinkoca is pitying to our youth Mr. Ministry @drfahrettinkoca # cbonaylakochavuzu")</f>
        <v>@drfahrettinkoca is pitying to our youth Mr. Ministry @drfahrettinkoca # cbonaylakochavuzu</v>
      </c>
    </row>
    <row r="8925" spans="1:5" ht="15" customHeight="1" x14ac:dyDescent="0.2">
      <c r="A8925" s="1" t="s">
        <v>17747</v>
      </c>
      <c r="B8925" s="1">
        <v>7</v>
      </c>
      <c r="C8925" s="3">
        <v>44537.693495370368</v>
      </c>
      <c r="D8925" s="1" t="s">
        <v>17748</v>
      </c>
      <c r="E8925" s="1" t="str">
        <f ca="1">IFERROR(__xludf.DUMMYFUNCTION("GOOGLETRANSLATE(A5724 , ""tr"" , ""en"")"),"@drfahrettinkoca 4-0 gollllllll 💛💙")</f>
        <v>@drfahrettinkoca 4-0 gollllllll 💛💙</v>
      </c>
    </row>
    <row r="8926" spans="1:5" ht="15" customHeight="1" x14ac:dyDescent="0.2">
      <c r="A8926" s="1" t="s">
        <v>13312</v>
      </c>
      <c r="B8926" s="1">
        <v>5</v>
      </c>
      <c r="C8926" s="3">
        <v>44537.693483796298</v>
      </c>
      <c r="D8926" s="1" t="s">
        <v>17749</v>
      </c>
      <c r="E8926" s="1" t="str">
        <f ca="1">IFERROR(__xludf.DUMMYFUNCTION("GOOGLETRANSLATE(A5725 , ""tr"" , ""en"")"),"@drfahrettinkoca manuscript")</f>
        <v>@drfahrettinkoca manuscript</v>
      </c>
    </row>
    <row r="8927" spans="1:5" ht="15" customHeight="1" x14ac:dyDescent="0.2">
      <c r="A8927" s="1" t="s">
        <v>17750</v>
      </c>
      <c r="B8927" s="1">
        <v>0</v>
      </c>
      <c r="C8927" s="3">
        <v>44537.693437499998</v>
      </c>
      <c r="D8927" s="1" t="s">
        <v>17751</v>
      </c>
      <c r="E8927" s="1" t="str">
        <f ca="1">IFERROR(__xludf.DUMMYFUNCTION("GOOGLETRANSLATE(A5726 , ""tr"" , ""en"")"),"@drfahrettinkoca Turkey has been appointed all over the preferred guide guide waiting for healthcare. @drfahrettinkoca I'm #cbonaylakochave")</f>
        <v>@drfahrettinkoca Turkey has been appointed all over the preferred guide guide waiting for healthcare. @drfahrettinkoca I'm #cbonaylakochave</v>
      </c>
    </row>
    <row r="8928" spans="1:5" ht="15" customHeight="1" x14ac:dyDescent="0.2">
      <c r="A8928" s="1" t="s">
        <v>15806</v>
      </c>
      <c r="B8928" s="1">
        <v>7</v>
      </c>
      <c r="C8928" s="3">
        <v>44537.693414351852</v>
      </c>
      <c r="D8928" s="1" t="s">
        <v>17752</v>
      </c>
      <c r="E8928" s="1" t="str">
        <f ca="1">IFERROR(__xludf.DUMMYFUNCTION("GOOGLETRANSLATE(A5727 , ""tr"" , ""en"")"),"@drfahrettinkoca kilavuzz")</f>
        <v>@drfahrettinkoca kilavuzz</v>
      </c>
    </row>
    <row r="8929" spans="1:5" ht="15" customHeight="1" x14ac:dyDescent="0.2">
      <c r="A8929" s="1" t="s">
        <v>17753</v>
      </c>
      <c r="B8929" s="1">
        <v>16</v>
      </c>
      <c r="C8929" s="3">
        <v>44537.693391203706</v>
      </c>
      <c r="D8929" s="1" t="s">
        <v>17754</v>
      </c>
      <c r="E8929" s="1" t="str">
        <f ca="1">IFERROR(__xludf.DUMMYFUNCTION("GOOGLETRANSLATE(A5728 , ""tr"" , ""en"")"),"@drfahrettinkoca kpss The most successful group of physiotherapists waiting for assigning physiotherapists")</f>
        <v>@drfahrettinkoca kpss The most successful group of physiotherapists waiting for assigning physiotherapists</v>
      </c>
    </row>
    <row r="8930" spans="1:5" ht="15" customHeight="1" x14ac:dyDescent="0.2">
      <c r="A8930" s="1" t="s">
        <v>17755</v>
      </c>
      <c r="B8930" s="1">
        <v>28</v>
      </c>
      <c r="C8930" s="3">
        <v>44537.693379629629</v>
      </c>
      <c r="D8930" s="1" t="s">
        <v>17756</v>
      </c>
      <c r="E8930" s="1" t="str">
        <f ca="1">IFERROR(__xludf.DUMMYFUNCTION("GOOGLETRANSLATE(A5729 , ""tr"" , ""en"")"),"@drfahrettinkoca We would like to see this week guide I will see the Minister # Cbonaylakocağilavuzuya")</f>
        <v>@drfahrettinkoca We would like to see this week guide I will see the Minister # Cbonaylakocağilavuzuya</v>
      </c>
    </row>
    <row r="8931" spans="1:5" ht="15" customHeight="1" x14ac:dyDescent="0.2">
      <c r="A8931" s="1" t="s">
        <v>17757</v>
      </c>
      <c r="B8931" s="1">
        <v>8</v>
      </c>
      <c r="C8931" s="3">
        <v>44537.69332175926</v>
      </c>
      <c r="D8931" s="1" t="s">
        <v>17758</v>
      </c>
      <c r="E8931" s="1" t="str">
        <f ca="1">IFERROR(__xludf.DUMMYFUNCTION("GOOGLETRANSLATE(A5730 , ""tr"" , ""en"")"),"@drfahrettinkoca or vaccines are not completed when they are not completed 5. Our friend is talking about dose.")</f>
        <v>@drfahrettinkoca or vaccines are not completed when they are not completed 5. Our friend is talking about dose.</v>
      </c>
    </row>
    <row r="8932" spans="1:5" ht="15" customHeight="1" x14ac:dyDescent="0.2">
      <c r="A8932" s="1" t="s">
        <v>17759</v>
      </c>
      <c r="B8932" s="1">
        <v>1</v>
      </c>
      <c r="C8932" s="3">
        <v>44537.693298611113</v>
      </c>
      <c r="D8932" s="1" t="s">
        <v>17760</v>
      </c>
      <c r="E8932" s="1" t="str">
        <f ca="1">IFERROR(__xludf.DUMMYFUNCTION("GOOGLETRANSLATE(A5731 , ""tr"" , ""en"")"),"@drfahrettinkoca every day 2 plane falls be")</f>
        <v>@drfahrettinkoca every day 2 plane falls be</v>
      </c>
    </row>
    <row r="8933" spans="1:5" ht="15" customHeight="1" x14ac:dyDescent="0.2">
      <c r="A8933" s="1" t="s">
        <v>17761</v>
      </c>
      <c r="B8933" s="1">
        <v>0</v>
      </c>
      <c r="C8933" s="3">
        <v>44537.693252314813</v>
      </c>
      <c r="D8933" s="1" t="s">
        <v>17762</v>
      </c>
      <c r="E8933" s="1" t="str">
        <f ca="1">IFERROR(__xludf.DUMMYFUNCTION("GOOGLETRANSLATE(A5732 , ""tr"" , ""en"")"),"@drfahrettinkoca u explain the manual")</f>
        <v>@drfahrettinkoca u explain the manual</v>
      </c>
    </row>
    <row r="8934" spans="1:5" ht="15" customHeight="1" x14ac:dyDescent="0.2">
      <c r="A8934" s="1" t="s">
        <v>10058</v>
      </c>
      <c r="B8934" s="1">
        <v>9</v>
      </c>
      <c r="C8934" s="3">
        <v>44537.693240740744</v>
      </c>
      <c r="D8934" s="1" t="s">
        <v>17763</v>
      </c>
      <c r="E8934" s="1" t="str">
        <f ca="1">IFERROR(__xludf.DUMMYFUNCTION("GOOGLETRANSLATE(A5733 , ""tr"" , ""en"")"),"@drfahrettinkoca Guide")</f>
        <v>@drfahrettinkoca Guide</v>
      </c>
    </row>
    <row r="8935" spans="1:5" ht="15" customHeight="1" x14ac:dyDescent="0.2">
      <c r="A8935" s="1" t="s">
        <v>17764</v>
      </c>
      <c r="B8935" s="1">
        <v>11</v>
      </c>
      <c r="C8935" s="3">
        <v>44537.693159722221</v>
      </c>
      <c r="D8935" s="1" t="s">
        <v>17765</v>
      </c>
      <c r="E8935" s="1" t="str">
        <f ca="1">IFERROR(__xludf.DUMMYFUNCTION("GOOGLETRANSLATE(A5734 , ""tr"" , ""en"")"),"@drfahrettinkoca manual nerdeeeee")</f>
        <v>@drfahrettinkoca manual nerdeeeee</v>
      </c>
    </row>
    <row r="8936" spans="1:5" ht="15" customHeight="1" x14ac:dyDescent="0.2">
      <c r="A8936" s="1" t="s">
        <v>17766</v>
      </c>
      <c r="B8936" s="1">
        <v>25</v>
      </c>
      <c r="C8936" s="3">
        <v>44537.693148148152</v>
      </c>
      <c r="D8936" s="1" t="s">
        <v>17767</v>
      </c>
      <c r="E8936" s="1" t="str">
        <f ca="1">IFERROR(__xludf.DUMMYFUNCTION("GOOGLETRANSLATE(A5735 , ""tr"" , ""en"")"),"@drfahrettinkoca guide guide guide to God's love")</f>
        <v>@drfahrettinkoca guide guide guide to God's love</v>
      </c>
    </row>
    <row r="8937" spans="1:5" ht="15" customHeight="1" x14ac:dyDescent="0.2">
      <c r="A8937" s="1" t="s">
        <v>17768</v>
      </c>
      <c r="B8937" s="1">
        <v>24</v>
      </c>
      <c r="C8937" s="3">
        <v>44537.693067129629</v>
      </c>
      <c r="D8937" s="1" t="s">
        <v>17769</v>
      </c>
      <c r="E8937" s="1" t="str">
        <f ca="1">IFERROR(__xludf.DUMMYFUNCTION("GOOGLETRANSLATE(A5736 , ""tr"" , ""en"")"),"@drfahrettinkoca guide you will now")</f>
        <v>@drfahrettinkoca guide you will now</v>
      </c>
    </row>
    <row r="8938" spans="1:5" ht="15" customHeight="1" x14ac:dyDescent="0.2">
      <c r="A8938" s="1" t="s">
        <v>17770</v>
      </c>
      <c r="B8938" s="1">
        <v>4</v>
      </c>
      <c r="C8938" s="3">
        <v>44537.693055555559</v>
      </c>
      <c r="D8938" s="1" t="s">
        <v>17771</v>
      </c>
      <c r="E8938" s="1" t="str">
        <f ca="1">IFERROR(__xludf.DUMMYFUNCTION("GOOGLETRANSLATE(A5737 , ""tr"" , ""en"")"),"@drfahrettinkoca guide ???")</f>
        <v>@drfahrettinkoca guide ???</v>
      </c>
    </row>
    <row r="8939" spans="1:5" ht="15" customHeight="1" x14ac:dyDescent="0.2">
      <c r="A8939" s="1" t="s">
        <v>17772</v>
      </c>
      <c r="B8939" s="1">
        <v>4</v>
      </c>
      <c r="C8939" s="3">
        <v>44537.693020833336</v>
      </c>
      <c r="D8939" s="1" t="s">
        <v>17773</v>
      </c>
      <c r="E8939" s="1" t="str">
        <f ca="1">IFERROR(__xludf.DUMMYFUNCTION("GOOGLETRANSLATE(A5738 , ""tr"" , ""en"")"),"@drfahrettinkoca let's see the clasp ??")</f>
        <v>@drfahrettinkoca let's see the clasp ??</v>
      </c>
    </row>
    <row r="8940" spans="1:5" ht="15" customHeight="1" x14ac:dyDescent="0.2">
      <c r="A8940" s="1" t="s">
        <v>17774</v>
      </c>
      <c r="B8940" s="1">
        <v>23</v>
      </c>
      <c r="C8940" s="3">
        <v>44537.692962962959</v>
      </c>
      <c r="D8940" s="1" t="s">
        <v>17775</v>
      </c>
      <c r="E8940" s="1" t="str">
        <f ca="1">IFERROR(__xludf.DUMMYFUNCTION("GOOGLETRANSLATE(A5739 , ""tr"" , ""en"")"),"@drfahrettinkoca guide you come")</f>
        <v>@drfahrettinkoca guide you come</v>
      </c>
    </row>
    <row r="8941" spans="1:5" ht="15" customHeight="1" x14ac:dyDescent="0.2">
      <c r="A8941" s="1" t="s">
        <v>17776</v>
      </c>
      <c r="B8941" s="1">
        <v>31</v>
      </c>
      <c r="C8941" s="3">
        <v>44537.692939814813</v>
      </c>
      <c r="D8941" s="1" t="s">
        <v>17777</v>
      </c>
      <c r="E8941" s="1" t="str">
        <f ca="1">IFERROR(__xludf.DUMMYFUNCTION("GOOGLETRANSLATE(A5740 , ""tr"" , ""en"")"),"@drfahrettinkoca guide ???????")</f>
        <v>@drfahrettinkoca guide ???????</v>
      </c>
    </row>
    <row r="8942" spans="1:5" ht="15" customHeight="1" x14ac:dyDescent="0.2">
      <c r="A8942" s="1" t="s">
        <v>17778</v>
      </c>
      <c r="B8942" s="1">
        <v>1</v>
      </c>
      <c r="C8942" s="3">
        <v>44537.692800925928</v>
      </c>
      <c r="D8942" s="1" t="s">
        <v>17779</v>
      </c>
      <c r="E8942" s="1" t="str">
        <f ca="1">IFERROR(__xludf.DUMMYFUNCTION("GOOGLETRANSLATE(A5741 , ""tr"" , ""en"")"),"@drfahrettinka https://t.co/Ivmaulvkkv")</f>
        <v>@drfahrettinka https://t.co/Ivmaulvkkv</v>
      </c>
    </row>
    <row r="8943" spans="1:5" ht="15" customHeight="1" x14ac:dyDescent="0.2">
      <c r="A8943" s="1" t="s">
        <v>17780</v>
      </c>
      <c r="B8943" s="1">
        <v>0</v>
      </c>
      <c r="C8943" s="3">
        <v>44539.904317129629</v>
      </c>
      <c r="D8943" s="1" t="s">
        <v>17781</v>
      </c>
      <c r="E8943" s="1" t="str">
        <f ca="1">IFERROR(__xludf.DUMMYFUNCTION("GOOGLETRANSLATE(A5742 , ""tr"" , ""en"")"),"@drfahrettinkoca 3 Why dose Sinovac is why I do not open 4.doz. It was nearly 6 months.")</f>
        <v>@drfahrettinkoca 3 Why dose Sinovac is why I do not open 4.doz. It was nearly 6 months.</v>
      </c>
    </row>
    <row r="8944" spans="1:5" ht="15" customHeight="1" x14ac:dyDescent="0.2">
      <c r="A8944" s="1" t="s">
        <v>17782</v>
      </c>
      <c r="B8944" s="1">
        <v>0</v>
      </c>
      <c r="C8944" s="3">
        <v>44539.803344907406</v>
      </c>
      <c r="D8944" s="1" t="s">
        <v>17783</v>
      </c>
      <c r="E8944" s="1" t="str">
        <f ca="1">IFERROR(__xludf.DUMMYFUNCTION("GOOGLETRANSLATE(A5743 , ""tr"" , ""en"")"),"@drfahrettinkoca for assignment for the guide waiting thousands of tidys when you will be happy.")</f>
        <v>@drfahrettinkoca for assignment for the guide waiting thousands of tidys when you will be happy.</v>
      </c>
    </row>
    <row r="8945" spans="1:5" ht="15" customHeight="1" x14ac:dyDescent="0.2">
      <c r="A8945" s="1" t="s">
        <v>17784</v>
      </c>
      <c r="B8945" s="1">
        <v>0</v>
      </c>
      <c r="C8945" s="3">
        <v>44539.724224537036</v>
      </c>
      <c r="D8945" s="1" t="s">
        <v>17785</v>
      </c>
      <c r="E8945" s="1" t="str">
        <f ca="1">IFERROR(__xludf.DUMMYFUNCTION("GOOGLETRANSLATE(A5744 , ""tr"" , ""en"")"),"@drfahrettinka https://t.co/wxv3ubxrzv")</f>
        <v>@drfahrettinka https://t.co/wxv3ubxrzv</v>
      </c>
    </row>
    <row r="8946" spans="1:5" ht="15" customHeight="1" x14ac:dyDescent="0.2">
      <c r="A8946" s="1" t="s">
        <v>17786</v>
      </c>
      <c r="B8946" s="1">
        <v>1</v>
      </c>
      <c r="C8946" s="3">
        <v>44539.722858796296</v>
      </c>
      <c r="D8946" s="1" t="s">
        <v>17787</v>
      </c>
      <c r="E8946" s="1" t="str">
        <f ca="1">IFERROR(__xludf.DUMMYFUNCTION("GOOGLETRANSLATE(A5745 , ""tr"" , ""en"")"),"@drfahrettinka https://t.co/nzfqiytusl")</f>
        <v>@drfahrettinka https://t.co/nzfqiytusl</v>
      </c>
    </row>
    <row r="8947" spans="1:5" ht="15" customHeight="1" x14ac:dyDescent="0.2">
      <c r="A8947" s="1" t="s">
        <v>17788</v>
      </c>
      <c r="B8947" s="1">
        <v>0</v>
      </c>
      <c r="C8947" s="3">
        <v>44539.718738425923</v>
      </c>
      <c r="D8947" s="1" t="s">
        <v>17789</v>
      </c>
      <c r="E8947" s="1" t="str">
        <f ca="1">IFERROR(__xludf.DUMMYFUNCTION("GOOGLETRANSLATE(A5746 , ""tr"" , ""en"")"),"@drfahrettinka https://t.co/rdwyradzdd")</f>
        <v>@drfahrettinka https://t.co/rdwyradzdd</v>
      </c>
    </row>
    <row r="8948" spans="1:5" ht="15" customHeight="1" x14ac:dyDescent="0.2">
      <c r="A8948" s="1" t="s">
        <v>17790</v>
      </c>
      <c r="B8948" s="1">
        <v>0</v>
      </c>
      <c r="C8948" s="3">
        <v>44539.718124999999</v>
      </c>
      <c r="D8948" s="1" t="s">
        <v>17791</v>
      </c>
      <c r="E8948" s="1" t="str">
        <f ca="1">IFERROR(__xludf.DUMMYFUNCTION("GOOGLETRANSLATE(A5747 , ""tr"" , ""en"")"),"@drfahrettinka https://t.co/tnp0jg4xxm")</f>
        <v>@drfahrettinka https://t.co/tnp0jg4xxm</v>
      </c>
    </row>
    <row r="8949" spans="1:5" ht="15" customHeight="1" x14ac:dyDescent="0.2">
      <c r="A8949" s="1" t="s">
        <v>17792</v>
      </c>
      <c r="B8949" s="1">
        <v>0</v>
      </c>
      <c r="C8949" s="3">
        <v>44539.704236111109</v>
      </c>
      <c r="D8949" s="1" t="s">
        <v>17793</v>
      </c>
      <c r="E8949" s="1" t="str">
        <f ca="1">IFERROR(__xludf.DUMMYFUNCTION("GOOGLETRANSLATE(A5748 , ""tr"" , ""en"")"),"@drfahrettinkoca You aren't tired of these lies but we were fed up with you! Haven't been your vaccine C19 A caught, mask ... https://t.co/7jkppmfhkv")</f>
        <v>@drfahrettinkoca You aren't tired of these lies but we were fed up with you! Haven't been your vaccine C19 A caught, mask ... https://t.co/7jkppmfhkv</v>
      </c>
    </row>
    <row r="8950" spans="1:5" ht="15" customHeight="1" x14ac:dyDescent="0.2">
      <c r="A8950" s="1" t="s">
        <v>17794</v>
      </c>
      <c r="B8950" s="1">
        <v>0</v>
      </c>
      <c r="C8950" s="3">
        <v>44539.649386574078</v>
      </c>
      <c r="D8950" s="1" t="s">
        <v>17795</v>
      </c>
      <c r="E8950" s="1" t="str">
        <f ca="1">IFERROR(__xludf.DUMMYFUNCTION("GOOGLETRANSLATE(A5749 , ""tr"" , ""en"")"),"@drfahrettinkoca 10 months, Is this person making fun of the nationalities, if you should be deaths in the future 2 or 3 ka ... https://t.co/sm0m2opf0l")</f>
        <v>@drfahrettinkoca 10 months, Is this person making fun of the nationalities, if you should be deaths in the future 2 or 3 ka ... https://t.co/sm0m2opf0l</v>
      </c>
    </row>
    <row r="8951" spans="1:5" ht="15" customHeight="1" x14ac:dyDescent="0.2">
      <c r="A8951" s="1" t="s">
        <v>17796</v>
      </c>
      <c r="B8951" s="1">
        <v>0</v>
      </c>
      <c r="C8951" s="3">
        <v>44539.635787037034</v>
      </c>
      <c r="D8951" s="1" t="s">
        <v>17797</v>
      </c>
      <c r="E8951" s="1" t="str">
        <f ca="1">IFERROR(__xludf.DUMMYFUNCTION("GOOGLETRANSLATE(A5750 , ""tr"" , ""en"")"),"@drfahrettinkoca @saglikbakanligi 4ncu dose biontec is doing a lot of pain")</f>
        <v>@drfahrettinkoca @saglikbakanligi 4ncu dose biontec is doing a lot of pain</v>
      </c>
    </row>
    <row r="8952" spans="1:5" ht="15" customHeight="1" x14ac:dyDescent="0.2">
      <c r="A8952" s="1" t="s">
        <v>17798</v>
      </c>
      <c r="B8952" s="1">
        <v>0</v>
      </c>
      <c r="C8952" s="3">
        <v>44539.625844907408</v>
      </c>
      <c r="D8952" s="1" t="s">
        <v>17799</v>
      </c>
      <c r="E8952" s="1" t="str">
        <f ca="1">IFERROR(__xludf.DUMMYFUNCTION("GOOGLETRANSLATE(A5751 , ""tr"" , ""en"")"),"@drfahrettinka https://t.co/sajnuc1kxj")</f>
        <v>@drfahrettinka https://t.co/sajnuc1kxj</v>
      </c>
    </row>
    <row r="8953" spans="1:5" ht="15" customHeight="1" x14ac:dyDescent="0.2">
      <c r="A8953" s="1" t="s">
        <v>17800</v>
      </c>
      <c r="B8953" s="1">
        <v>1</v>
      </c>
      <c r="C8953" s="3">
        <v>44539.539398148147</v>
      </c>
      <c r="D8953" s="1" t="s">
        <v>17801</v>
      </c>
      <c r="E8953" s="1" t="str">
        <f ca="1">IFERROR(__xludf.DUMMYFUNCTION("GOOGLETRANSLATE(A5752 , ""tr"" , ""en"")"),"@drfahrettinkoca you know that this is a lie. When the Covid lies emerge, your face is dry, t ... https://t.co/s5atjyyk2o")</f>
        <v>@drfahrettinkoca you know that this is a lie. When the Covid lies emerge, your face is dry, t ... https://t.co/s5atjyyk2o</v>
      </c>
    </row>
    <row r="8954" spans="1:5" ht="15" customHeight="1" x14ac:dyDescent="0.2">
      <c r="A8954" s="1" t="s">
        <v>17802</v>
      </c>
      <c r="B8954" s="1">
        <v>0</v>
      </c>
      <c r="C8954" s="3">
        <v>44539.497164351851</v>
      </c>
      <c r="D8954" s="1" t="s">
        <v>17803</v>
      </c>
      <c r="E8954" s="1" t="str">
        <f ca="1">IFERROR(__xludf.DUMMYFUNCTION("GOOGLETRANSLATE(A5753 , ""tr"" , ""en"")"),"@drfahrettinka https://t.co/way2rtrcfs")</f>
        <v>@drfahrettinka https://t.co/way2rtrcfs</v>
      </c>
    </row>
    <row r="8955" spans="1:5" ht="15" customHeight="1" x14ac:dyDescent="0.2">
      <c r="A8955" s="1" t="s">
        <v>17804</v>
      </c>
      <c r="B8955" s="1">
        <v>0</v>
      </c>
      <c r="C8955" s="3">
        <v>44539.496006944442</v>
      </c>
      <c r="D8955" s="1" t="s">
        <v>17805</v>
      </c>
      <c r="E8955" s="1" t="str">
        <f ca="1">IFERROR(__xludf.DUMMYFUNCTION("GOOGLETRANSLATE(A5754 , ""tr"" , ""en"")"),"@drfahrettinkoca where are you sects and congregations where are you! 👇👇! ️ Catholic priest Edward Meeks: ""No earthy k ... https://t.co/ldkm6jri3t")</f>
        <v>@drfahrettinkoca where are you sects and congregations where are you! 👇👇! ️ Catholic priest Edward Meeks: "No earthy k ... https://t.co/ldkm6jri3t</v>
      </c>
    </row>
    <row r="8956" spans="1:5" ht="15" customHeight="1" x14ac:dyDescent="0.2">
      <c r="A8956" s="1" t="s">
        <v>17806</v>
      </c>
      <c r="B8956" s="1">
        <v>0</v>
      </c>
      <c r="C8956" s="3">
        <v>44539.492129629631</v>
      </c>
      <c r="D8956" s="1" t="s">
        <v>17807</v>
      </c>
      <c r="E8956" s="1" t="str">
        <f ca="1">IFERROR(__xludf.DUMMYFUNCTION("GOOGLETRANSLATE(A5755 , ""tr"" , ""en"")"),"@drfahrettinka https://t.co/imvbjhh744")</f>
        <v>@drfahrettinka https://t.co/imvbjhh744</v>
      </c>
    </row>
    <row r="8957" spans="1:5" ht="15" customHeight="1" x14ac:dyDescent="0.2">
      <c r="A8957" s="1" t="s">
        <v>17808</v>
      </c>
      <c r="B8957" s="1">
        <v>0</v>
      </c>
      <c r="C8957" s="3">
        <v>44539.491863425923</v>
      </c>
      <c r="D8957" s="1" t="s">
        <v>17809</v>
      </c>
      <c r="E8957" s="1" t="str">
        <f ca="1">IFERROR(__xludf.DUMMYFUNCTION("GOOGLETRANSLATE(A5756 , ""tr"" , ""en"")"),"@drfahrettinka https://t.co/tt3pm59syy")</f>
        <v>@drfahrettinka https://t.co/tt3pm59syy</v>
      </c>
    </row>
    <row r="8958" spans="1:5" ht="15" customHeight="1" x14ac:dyDescent="0.2">
      <c r="A8958" s="1" t="s">
        <v>17810</v>
      </c>
      <c r="B8958" s="1">
        <v>0</v>
      </c>
      <c r="C8958" s="3">
        <v>44539.32949074074</v>
      </c>
      <c r="D8958" s="1" t="s">
        <v>17811</v>
      </c>
      <c r="E8958" s="1" t="str">
        <f ca="1">IFERROR(__xludf.DUMMYFUNCTION("GOOGLETRANSLATE(A5757 , ""tr"" , ""en"")"),"@drfahrettinkoca! Guide !!!!!!!!!!!!!!! ???????????")</f>
        <v>@drfahrettinkoca! Guide !!!!!!!!!!!!!!! ???????????</v>
      </c>
    </row>
    <row r="8959" spans="1:5" ht="15" customHeight="1" x14ac:dyDescent="0.2">
      <c r="A8959" s="1" t="s">
        <v>17812</v>
      </c>
      <c r="B8959" s="1">
        <v>0</v>
      </c>
      <c r="C8959" s="3">
        <v>44539.28329861111</v>
      </c>
      <c r="D8959" s="1" t="s">
        <v>17813</v>
      </c>
      <c r="E8959" s="1" t="str">
        <f ca="1">IFERROR(__xludf.DUMMYFUNCTION("GOOGLETRANSLATE(A5758 , ""tr"" , ""en"")"),"@drfahrettinkoca you apply TL to the dollar and hold heavy taxes. 25% Tax when selling foreign currency ... https://t.co/esam1zuru2")</f>
        <v>@drfahrettinkoca you apply TL to the dollar and hold heavy taxes. 25% Tax when selling foreign currency ... https://t.co/esam1zuru2</v>
      </c>
    </row>
    <row r="8960" spans="1:5" ht="15" customHeight="1" x14ac:dyDescent="0.2">
      <c r="A8960" s="1" t="s">
        <v>17814</v>
      </c>
      <c r="B8960" s="1">
        <v>0</v>
      </c>
      <c r="C8960" s="3">
        <v>44539.267731481479</v>
      </c>
      <c r="D8960" s="1" t="s">
        <v>17815</v>
      </c>
      <c r="E8960" s="1" t="str">
        <f ca="1">IFERROR(__xludf.DUMMYFUNCTION("GOOGLETRANSLATE(A5759 , ""tr"" , ""en"")"),"@drfahrettinkoca Adana LIs Sleep One on Foot: He's the Dercons of Him: Eye's Yoghurt?")</f>
        <v>@drfahrettinkoca Adana LIs Sleep One on Foot: He's the Dercons of Him: Eye's Yoghurt?</v>
      </c>
    </row>
    <row r="8961" spans="1:5" ht="15" customHeight="1" x14ac:dyDescent="0.2">
      <c r="A8961" s="1" t="s">
        <v>17816</v>
      </c>
      <c r="B8961" s="1">
        <v>0</v>
      </c>
      <c r="C8961" s="3">
        <v>44538.914189814815</v>
      </c>
      <c r="D8961" s="1" t="s">
        <v>17817</v>
      </c>
      <c r="E8961" s="1" t="str">
        <f ca="1">IFERROR(__xludf.DUMMYFUNCTION("GOOGLETRANSLATE(A5760 , ""tr"" , ""en"")"),"@drfahrettinka I can't find the word to say to you and Dr Larina. The rebellious Complete Saglimz Gayrt is good. NEK with Rebel ... https://t.co/owh7jgosjp")</f>
        <v>@drfahrettinka I can't find the word to say to you and Dr Larina. The rebellious Complete Saglimz Gayrt is good. NEK with Rebel ... https://t.co/owh7jgosjp</v>
      </c>
    </row>
    <row r="8962" spans="1:5" ht="15" customHeight="1" x14ac:dyDescent="0.2">
      <c r="A8962" s="1" t="s">
        <v>17818</v>
      </c>
      <c r="B8962" s="1">
        <v>0</v>
      </c>
      <c r="C8962" s="3">
        <v>44538.877534722225</v>
      </c>
      <c r="D8962" s="1" t="s">
        <v>17819</v>
      </c>
      <c r="E8962" s="1" t="str">
        <f ca="1">IFERROR(__xludf.DUMMYFUNCTION("GOOGLETRANSLATE(A5761 , ""tr"" , ""en"")"),"@drfahrettinkoca would be 60 percent asylanincian immunity. What happened is the pey https://t.co/shzVIT855T")</f>
        <v>@drfahrettinkoca would be 60 percent asylanincian immunity. What happened is the pey https://t.co/shzVIT855T</v>
      </c>
    </row>
    <row r="8963" spans="1:5" ht="15" customHeight="1" x14ac:dyDescent="0.2">
      <c r="A8963" s="1" t="s">
        <v>17820</v>
      </c>
      <c r="B8963" s="1">
        <v>0</v>
      </c>
      <c r="C8963" s="3">
        <v>44538.876516203702</v>
      </c>
      <c r="D8963" s="1" t="s">
        <v>17821</v>
      </c>
      <c r="E8963" s="1" t="str">
        <f ca="1">IFERROR(__xludf.DUMMYFUNCTION("GOOGLETRANSLATE(A5762 , ""tr"" , ""en"")"),"Did you say 95 percent of those who use @drfahrettinkoca ilac? Why Medicine Pharmaces ... https://t.co/uowjq5dfs6")</f>
        <v>Did you say 95 percent of those who use @drfahrettinkoca ilac? Why Medicine Pharmaces ... https://t.co/uowjq5dfs6</v>
      </c>
    </row>
    <row r="8964" spans="1:5" ht="15" customHeight="1" x14ac:dyDescent="0.2">
      <c r="A8964" s="1" t="s">
        <v>17822</v>
      </c>
      <c r="B8964" s="1">
        <v>2</v>
      </c>
      <c r="C8964" s="3">
        <v>44538.844548611109</v>
      </c>
      <c r="D8964" s="1" t="s">
        <v>17823</v>
      </c>
      <c r="E8964" s="1" t="str">
        <f ca="1">IFERROR(__xludf.DUMMYFUNCTION("GOOGLETRANSLATE(A5763 , ""tr"" , ""en"")"),"@drfahrettinkoca these puddies are the double dose of the biontec you say 6 months no longer ..?")</f>
        <v>@drfahrettinkoca these puddies are the double dose of the biontec you say 6 months no longer ..?</v>
      </c>
    </row>
    <row r="8965" spans="1:5" ht="15" customHeight="1" x14ac:dyDescent="0.2">
      <c r="A8965" s="1" t="s">
        <v>17824</v>
      </c>
      <c r="B8965" s="1">
        <v>0</v>
      </c>
      <c r="C8965" s="3">
        <v>44538.825972222221</v>
      </c>
      <c r="D8965" s="1" t="s">
        <v>17825</v>
      </c>
      <c r="E8965" s="1" t="str">
        <f ca="1">IFERROR(__xludf.DUMMYFUNCTION("GOOGLETRANSLATE(A5764 , ""tr"" , ""en"")"),"@drfahrettinkoca I have started to suspect you are sure that you are gaining something from these vaccines, this country's COV ... https://t.co/9ruqt312kk")</f>
        <v>@drfahrettinkoca I have started to suspect you are sure that you are gaining something from these vaccines, this country's COV ... https://t.co/9ruqt312kk</v>
      </c>
    </row>
    <row r="8966" spans="1:5" ht="15" customHeight="1" x14ac:dyDescent="0.2">
      <c r="A8966" s="1" t="s">
        <v>17826</v>
      </c>
      <c r="B8966" s="1">
        <v>0</v>
      </c>
      <c r="C8966" s="3">
        <v>44538.823900462965</v>
      </c>
      <c r="D8966" s="1" t="s">
        <v>17827</v>
      </c>
      <c r="E8966" s="1" t="str">
        <f ca="1">IFERROR(__xludf.DUMMYFUNCTION("GOOGLETRANSLATE(A5765 , ""tr"" , ""en"")"),"@drfahrettinkoca either the vaccine died? Their heart attack? Heart valve inflammation and clots are betting on them ... https://t.co/bnx4gbls9f")</f>
        <v>@drfahrettinkoca either the vaccine died? Their heart attack? Heart valve inflammation and clots are betting on them ... https://t.co/bnx4gbls9f</v>
      </c>
    </row>
    <row r="8967" spans="1:5" ht="15" customHeight="1" x14ac:dyDescent="0.2">
      <c r="A8967" s="1" t="s">
        <v>17828</v>
      </c>
      <c r="B8967" s="1">
        <v>0</v>
      </c>
      <c r="C8967" s="3">
        <v>44538.823194444441</v>
      </c>
      <c r="D8967" s="1" t="s">
        <v>17829</v>
      </c>
      <c r="E8967" s="1" t="str">
        <f ca="1">IFERROR(__xludf.DUMMYFUNCTION("GOOGLETRANSLATE(A5766 , ""tr"" , ""en"")"),"@drfahrettinkoca According to this map places with orange must be in the first place in the foundation and in the first place, Lakin Case ... HTTPS://T.CO/1B9LGAIONF")</f>
        <v>@drfahrettinkoca According to this map places with orange must be in the first place in the foundation and in the first place, Lakin Case ... HTTPS://T.CO/1B9LGAIONF</v>
      </c>
    </row>
    <row r="8968" spans="1:5" ht="15" customHeight="1" x14ac:dyDescent="0.2">
      <c r="A8968" s="1" t="s">
        <v>17830</v>
      </c>
      <c r="B8968" s="1">
        <v>1</v>
      </c>
      <c r="C8968" s="3">
        <v>44538.820300925923</v>
      </c>
      <c r="D8968" s="1" t="s">
        <v>17831</v>
      </c>
      <c r="E8968" s="1" t="str">
        <f ca="1">IFERROR(__xludf.DUMMYFUNCTION("GOOGLETRANSLATE(A5767 , ""tr"" , ""en"")"),"@drfahrettinkoca is from Covid every day. 200 people say you are dying, now tell me correctly, after the cases of heart deaths ... https://t.co/cmvcogmyza")</f>
        <v>@drfahrettinkoca is from Covid every day. 200 people say you are dying, now tell me correctly, after the cases of heart deaths ... https://t.co/cmvcogmyza</v>
      </c>
    </row>
    <row r="8969" spans="1:5" ht="15" customHeight="1" x14ac:dyDescent="0.2">
      <c r="A8969" s="1" t="s">
        <v>17832</v>
      </c>
      <c r="B8969" s="1">
        <v>0</v>
      </c>
      <c r="C8969" s="3">
        <v>44538.817106481481</v>
      </c>
      <c r="D8969" s="1" t="s">
        <v>17833</v>
      </c>
      <c r="E8969" s="1" t="str">
        <f ca="1">IFERROR(__xludf.DUMMYFUNCTION("GOOGLETRANSLATE(A5768 , ""tr"" , ""en"")"),"@drfahrettinkoca Geber Fahrettin Geber")</f>
        <v>@drfahrettinkoca Geber Fahrettin Geber</v>
      </c>
    </row>
    <row r="8970" spans="1:5" ht="15" customHeight="1" x14ac:dyDescent="0.2">
      <c r="A8970" s="1" t="s">
        <v>17834</v>
      </c>
      <c r="B8970" s="1">
        <v>0</v>
      </c>
      <c r="C8970" s="3">
        <v>44538.812256944446</v>
      </c>
      <c r="D8970" s="1" t="s">
        <v>17835</v>
      </c>
      <c r="E8970" s="1" t="str">
        <f ca="1">IFERROR(__xludf.DUMMYFUNCTION("GOOGLETRANSLATE(A5769 , ""tr"" , ""en"")"),"@drfahrettinkoca is not like in Şanlıurfa? How much do you love cheating people?")</f>
        <v>@drfahrettinkoca is not like in Şanlıurfa? How much do you love cheating people?</v>
      </c>
    </row>
    <row r="8971" spans="1:5" ht="15" customHeight="1" x14ac:dyDescent="0.2">
      <c r="A8971" s="1" t="s">
        <v>17836</v>
      </c>
      <c r="B8971" s="1">
        <v>0</v>
      </c>
      <c r="C8971" s="3">
        <v>44538.807789351849</v>
      </c>
      <c r="D8971" s="1" t="s">
        <v>17837</v>
      </c>
      <c r="E8971" s="1" t="str">
        <f ca="1">IFERROR(__xludf.DUMMYFUNCTION("GOOGLETRANSLATE(A5770 , ""tr"" , ""en"")"),"@drfahrettinkoca subjected to subject")</f>
        <v>@drfahrettinkoca subjected to subject</v>
      </c>
    </row>
    <row r="8972" spans="1:5" ht="15" customHeight="1" x14ac:dyDescent="0.2">
      <c r="A8972" s="1" t="s">
        <v>17838</v>
      </c>
      <c r="B8972" s="1">
        <v>0</v>
      </c>
      <c r="C8972" s="3">
        <v>44538.749722222223</v>
      </c>
      <c r="D8972" s="1" t="s">
        <v>17839</v>
      </c>
      <c r="E8972" s="1" t="str">
        <f ca="1">IFERROR(__xludf.DUMMYFUNCTION("GOOGLETRANSLATE(A5771 , ""tr"" , ""en"")"),"@drfahrettinkoca #wealthbakanligiatama")</f>
        <v>@drfahrettinkoca #wealthbakanligiatama</v>
      </c>
    </row>
    <row r="8973" spans="1:5" ht="15" customHeight="1" x14ac:dyDescent="0.2">
      <c r="A8973" s="1" t="s">
        <v>17840</v>
      </c>
      <c r="B8973" s="1">
        <v>0</v>
      </c>
      <c r="C8973" s="3">
        <v>44538.744837962964</v>
      </c>
      <c r="D8973" s="1" t="s">
        <v>17841</v>
      </c>
      <c r="E8973" s="1" t="str">
        <f ca="1">IFERROR(__xludf.DUMMYFUNCTION("GOOGLETRANSLATE(A5772 , ""tr"" , ""en"")"),"@drfahrettinka https://t.co/r2g7srd5qc")</f>
        <v>@drfahrettinka https://t.co/r2g7srd5qc</v>
      </c>
    </row>
    <row r="8974" spans="1:5" ht="15" customHeight="1" x14ac:dyDescent="0.2">
      <c r="A8974" s="1" t="s">
        <v>17842</v>
      </c>
      <c r="B8974" s="1">
        <v>1</v>
      </c>
      <c r="C8974" s="3">
        <v>44538.734560185185</v>
      </c>
      <c r="D8974" s="1" t="s">
        <v>17843</v>
      </c>
      <c r="E8974" s="1" t="str">
        <f ca="1">IFERROR(__xludf.DUMMYFUNCTION("GOOGLETRANSLATE(A5773 , ""tr"" , ""en"")"),"@drfahrettinkoca tackle the epidemic in two phases, after the vaccine before the vaccine https://t.co/ks8ee41gg2")</f>
        <v>@drfahrettinkoca tackle the epidemic in two phases, after the vaccine before the vaccine https://t.co/ks8ee41gg2</v>
      </c>
    </row>
    <row r="8975" spans="1:5" ht="15" customHeight="1" x14ac:dyDescent="0.2">
      <c r="A8975" s="1" t="s">
        <v>17844</v>
      </c>
      <c r="B8975" s="1">
        <v>0</v>
      </c>
      <c r="C8975" s="3">
        <v>44538.725439814814</v>
      </c>
      <c r="D8975" s="1" t="s">
        <v>17845</v>
      </c>
      <c r="E8975" s="1" t="str">
        <f ca="1">IFERROR(__xludf.DUMMYFUNCTION("GOOGLETRANSLATE(A5774 , ""tr"" , ""en"")"),"@drfahrettinkoca you scare people on your lap of the drug and hospital. Ooooo piti piti afterwards ..")</f>
        <v>@drfahrettinkoca you scare people on your lap of the drug and hospital. Ooooo piti piti afterwards ..</v>
      </c>
    </row>
    <row r="8976" spans="1:5" ht="15" customHeight="1" x14ac:dyDescent="0.2">
      <c r="A8976" s="1" t="s">
        <v>17846</v>
      </c>
      <c r="B8976" s="1">
        <v>0</v>
      </c>
      <c r="C8976" s="3">
        <v>44538.718298611115</v>
      </c>
      <c r="D8976" s="1" t="s">
        <v>17847</v>
      </c>
      <c r="E8976" s="1" t="str">
        <f ca="1">IFERROR(__xludf.DUMMYFUNCTION("GOOGLETRANSLATE(A5775 , ""tr"" , ""en"")"),"@drfahrettinkoca We trust you with the results you have given you. In your nation, the opponent of these are not coincidence. ... https://t.co/5o3p8jm12d")</f>
        <v>@drfahrettinkoca We trust you with the results you have given you. In your nation, the opponent of these are not coincidence. ... https://t.co/5o3p8jm12d</v>
      </c>
    </row>
    <row r="8977" spans="1:5" ht="15" customHeight="1" x14ac:dyDescent="0.2">
      <c r="A8977" s="1" t="s">
        <v>17848</v>
      </c>
      <c r="B8977" s="1">
        <v>0</v>
      </c>
      <c r="C8977" s="3">
        <v>44541.869629629633</v>
      </c>
      <c r="D8977" s="1" t="s">
        <v>17849</v>
      </c>
      <c r="E8977" s="1" t="str">
        <f ca="1">IFERROR(__xludf.DUMMYFUNCTION("GOOGLETRANSLATE(A5776 , ""tr"" , ""en"")"),"@drfahrettinkoca @drfahrettinkoca @drfahrettinkoca @rterdogan How do you people black out our youth our blood ... https://t.co/wg8rpn6ri9")</f>
        <v>@drfahrettinkoca @drfahrettinkoca @drfahrettinkoca @rterdogan How do you people black out our youth our blood ... https://t.co/wg8rpn6ri9</v>
      </c>
    </row>
    <row r="8978" spans="1:5" ht="15" customHeight="1" x14ac:dyDescent="0.2">
      <c r="A8978" s="1" t="s">
        <v>17850</v>
      </c>
      <c r="B8978" s="1">
        <v>0</v>
      </c>
      <c r="C8978" s="3">
        <v>44541.861331018517</v>
      </c>
      <c r="D8978" s="1" t="s">
        <v>17851</v>
      </c>
      <c r="E8978" s="1" t="str">
        <f ca="1">IFERROR(__xludf.DUMMYFUNCTION("GOOGLETRANSLATE(A5777 , ""tr"" , ""en"")"),"@drfahrettinkoca grafted dies are they slightly dying?")</f>
        <v>@drfahrettinkoca grafted dies are they slightly dying?</v>
      </c>
    </row>
    <row r="8979" spans="1:5" ht="15" customHeight="1" x14ac:dyDescent="0.2">
      <c r="A8979" s="1" t="s">
        <v>17852</v>
      </c>
      <c r="B8979" s="1">
        <v>0</v>
      </c>
      <c r="C8979" s="3">
        <v>44540.561550925922</v>
      </c>
      <c r="D8979" s="1" t="s">
        <v>17853</v>
      </c>
      <c r="E8979" s="1" t="str">
        <f ca="1">IFERROR(__xludf.DUMMYFUNCTION("GOOGLETRANSLATE(A5778 , ""tr"" , ""en"")"),"@drfahrettinkoca what narrative is the minister. 90% grown patients in hospitals in intensive care patients who are Kand ... https://t.co/74u8fv8jgv")</f>
        <v>@drfahrettinkoca what narrative is the minister. 90% grown patients in hospitals in intensive care patients who are Kand ... https://t.co/74u8fv8jgv</v>
      </c>
    </row>
    <row r="8980" spans="1:5" ht="15" customHeight="1" x14ac:dyDescent="0.2">
      <c r="A8980" s="1" t="s">
        <v>17854</v>
      </c>
      <c r="B8980" s="1">
        <v>0</v>
      </c>
      <c r="C8980" s="3">
        <v>44540.386377314811</v>
      </c>
      <c r="D8980" s="1" t="s">
        <v>17855</v>
      </c>
      <c r="E8980" s="1" t="str">
        <f ca="1">IFERROR(__xludf.DUMMYFUNCTION("GOOGLETRANSLATE(A5779 , ""tr"" , ""en"")"),"@drfahrettinkoca I haven't been vaccinated.")</f>
        <v>@drfahrettinkoca I haven't been vaccinated.</v>
      </c>
    </row>
    <row r="8981" spans="1:5" ht="15" customHeight="1" x14ac:dyDescent="0.2">
      <c r="A8981" s="1" t="s">
        <v>17856</v>
      </c>
      <c r="B8981" s="1">
        <v>0</v>
      </c>
      <c r="C8981" s="3">
        <v>44540.346759259257</v>
      </c>
      <c r="D8981" s="1" t="s">
        <v>17857</v>
      </c>
      <c r="E8981" s="1" t="str">
        <f ca="1">IFERROR(__xludf.DUMMYFUNCTION("GOOGLETRANSLATE(A5780 , ""tr"" , ""en"")"),"@drfahrettinkoca is all you will do now; Hawk, who speaks Der Spiegel, ""If the omicron variant is spreading ... HTTPS://T.CO/Z76GIF4L3M")</f>
        <v>@drfahrettinkoca is all you will do now; Hawk, who speaks Der Spiegel, "If the omicron variant is spreading ... HTTPS://T.CO/Z76GIF4L3M</v>
      </c>
    </row>
    <row r="8982" spans="1:5" ht="15" customHeight="1" x14ac:dyDescent="0.2">
      <c r="A8982" s="1" t="s">
        <v>17858</v>
      </c>
      <c r="B8982" s="1">
        <v>7</v>
      </c>
      <c r="C8982" s="3">
        <v>44537.875636574077</v>
      </c>
      <c r="D8982" s="1" t="s">
        <v>17859</v>
      </c>
      <c r="E8982" s="1" t="str">
        <f ca="1">IFERROR(__xludf.DUMMYFUNCTION("GOOGLETRANSLATE(A5781 , ""tr"" , ""en"")"),"@drfahrettinkoca itself been vaccinated? How many? Cancer treatment, but the cause of death is cancer ... https://t.co/stsajifbil")</f>
        <v>@drfahrettinkoca itself been vaccinated? How many? Cancer treatment, but the cause of death is cancer ... https://t.co/stsajifbil</v>
      </c>
    </row>
    <row r="8983" spans="1:5" ht="15" customHeight="1" x14ac:dyDescent="0.2">
      <c r="A8983" s="1" t="s">
        <v>17860</v>
      </c>
      <c r="B8983" s="1">
        <v>1</v>
      </c>
      <c r="C8983" s="3">
        <v>44537.8749537037</v>
      </c>
      <c r="D8983" s="1" t="s">
        <v>17861</v>
      </c>
      <c r="E8983" s="1" t="str">
        <f ca="1">IFERROR(__xludf.DUMMYFUNCTION("GOOGLETRANSLATE(A5782 , ""tr"" , ""en"")"),"@drfahrettinka is no longer interested in assigning saglikcilar.")</f>
        <v>@drfahrettinka is no longer interested in assigning saglikcilar.</v>
      </c>
    </row>
    <row r="8984" spans="1:5" ht="15" customHeight="1" x14ac:dyDescent="0.2">
      <c r="A8984" s="1" t="s">
        <v>17862</v>
      </c>
      <c r="B8984" s="1">
        <v>0</v>
      </c>
      <c r="C8984" s="3">
        <v>44537.864189814813</v>
      </c>
      <c r="D8984" s="1" t="s">
        <v>17863</v>
      </c>
      <c r="E8984" s="1" t="str">
        <f ca="1">IFERROR(__xludf.DUMMYFUNCTION("GOOGLETRANSLATE(A5783 , ""tr"" , ""en"")"),"@drfahrettinkoca What did he say?")</f>
        <v>@drfahrettinkoca What did he say?</v>
      </c>
    </row>
    <row r="8985" spans="1:5" ht="15" customHeight="1" x14ac:dyDescent="0.2">
      <c r="A8985" s="1" t="s">
        <v>17864</v>
      </c>
      <c r="B8985" s="1">
        <v>0</v>
      </c>
      <c r="C8985" s="3">
        <v>44537.857199074075</v>
      </c>
      <c r="D8985" s="1" t="s">
        <v>17865</v>
      </c>
      <c r="E8985" s="1" t="str">
        <f ca="1">IFERROR(__xludf.DUMMYFUNCTION("GOOGLETRANSLATE(A5784 , ""tr"" , ""en"")"),"@drfahrettinkoca Evil Forces Will Plan to Destroy Pakistan Financially, and ASK Pakistan to Give Back The Loan it W ... https://t.co/jd45hgiwxk")</f>
        <v>@drfahrettinkoca Evil Forces Will Plan to Destroy Pakistan Financially, and ASK Pakistan to Give Back The Loan it W ... https://t.co/jd45hgiwxk</v>
      </c>
    </row>
    <row r="8986" spans="1:5" ht="15" customHeight="1" x14ac:dyDescent="0.2">
      <c r="A8986" s="1" t="s">
        <v>17866</v>
      </c>
      <c r="B8986" s="1">
        <v>2</v>
      </c>
      <c r="C8986" s="3">
        <v>44537.826863425929</v>
      </c>
      <c r="D8986" s="1" t="s">
        <v>17867</v>
      </c>
      <c r="E8986" s="1" t="str">
        <f ca="1">IFERROR(__xludf.DUMMYFUNCTION("GOOGLETRANSLATE(A5785 , ""tr"" , ""en"")"),"@drfahrettinkoca # CabineUZAKTanEducationArt")</f>
        <v>@drfahrettinkoca # CabineUZAKTanEducationArt</v>
      </c>
    </row>
    <row r="8987" spans="1:5" ht="15" customHeight="1" x14ac:dyDescent="0.2">
      <c r="A8987" s="1" t="s">
        <v>17868</v>
      </c>
      <c r="B8987" s="1">
        <v>0</v>
      </c>
      <c r="C8987" s="3">
        <v>44537.824733796297</v>
      </c>
      <c r="D8987" s="1" t="s">
        <v>17869</v>
      </c>
      <c r="E8987" s="1" t="str">
        <f ca="1">IFERROR(__xludf.DUMMYFUNCTION("GOOGLETRANSLATE(A5786 , ""tr"" , ""en"")"),"@drfahrettinkoca Overlooking This is the late Osman Durmus people will be used as the subjects to be used as subjects ... https://t.co/iahqy59u5t")</f>
        <v>@drfahrettinkoca Overlooking This is the late Osman Durmus people will be used as the subjects to be used as subjects ... https://t.co/iahqy59u5t</v>
      </c>
    </row>
    <row r="8988" spans="1:5" ht="15" customHeight="1" x14ac:dyDescent="0.2">
      <c r="A8988" s="1" t="s">
        <v>17870</v>
      </c>
      <c r="B8988" s="1">
        <v>0</v>
      </c>
      <c r="C8988" s="3">
        <v>44537.807951388888</v>
      </c>
      <c r="D8988" s="1" t="s">
        <v>17871</v>
      </c>
      <c r="E8988" s="1" t="str">
        <f ca="1">IFERROR(__xludf.DUMMYFUNCTION("GOOGLETRANSLATE(A5787 , ""tr"" , ""en"")"),"@drfahrettinkoca amin")</f>
        <v>@drfahrettinkoca amin</v>
      </c>
    </row>
    <row r="8989" spans="1:5" ht="15" customHeight="1" x14ac:dyDescent="0.2">
      <c r="A8989" s="1" t="s">
        <v>17872</v>
      </c>
      <c r="B8989" s="1">
        <v>0</v>
      </c>
      <c r="C8989" s="3">
        <v>44537.797546296293</v>
      </c>
      <c r="D8989" s="1" t="s">
        <v>17873</v>
      </c>
      <c r="E8989" s="1" t="str">
        <f ca="1">IFERROR(__xludf.DUMMYFUNCTION("GOOGLETRANSLATE(A5788 , ""tr"" , ""en"")"),"@drfahrettinkoca @drfahrettinkoca Read Read https://t.co/p3cl9o5etk")</f>
        <v>@drfahrettinkoca @drfahrettinkoca Read Read https://t.co/p3cl9o5etk</v>
      </c>
    </row>
    <row r="8990" spans="1:5" ht="15" customHeight="1" x14ac:dyDescent="0.2">
      <c r="A8990" s="1" t="s">
        <v>17874</v>
      </c>
      <c r="B8990" s="1">
        <v>0</v>
      </c>
      <c r="C8990" s="3">
        <v>44537.790208333332</v>
      </c>
      <c r="D8990" s="1" t="s">
        <v>17875</v>
      </c>
      <c r="E8990" s="1" t="str">
        <f ca="1">IFERROR(__xludf.DUMMYFUNCTION("GOOGLETRANSLATE(A5789 , ""tr"" , ""en"")"),"@drfahrettinkoca eeeeee ????")</f>
        <v>@drfahrettinkoca eeeeee ????</v>
      </c>
    </row>
    <row r="8991" spans="1:5" ht="15" customHeight="1" x14ac:dyDescent="0.2">
      <c r="A8991" s="1" t="s">
        <v>17876</v>
      </c>
      <c r="B8991" s="1">
        <v>0</v>
      </c>
      <c r="C8991" s="3">
        <v>44537.776122685187</v>
      </c>
      <c r="D8991" s="1" t="s">
        <v>17877</v>
      </c>
      <c r="E8991" s="1" t="str">
        <f ca="1">IFERROR(__xludf.DUMMYFUNCTION("GOOGLETRANSLATE(A5790 , ""tr"" , ""en"")"),"@drfahrettinkoca After the harmful vaccine #biontechyanetki has died thousands of people, paralyzed, etc., it is not one word. A person ... https://t.co/e6gypebfp3")</f>
        <v>@drfahrettinkoca After the harmful vaccine #biontechyanetki has died thousands of people, paralyzed, etc., it is not one word. A person ... https://t.co/e6gypebfp3</v>
      </c>
    </row>
    <row r="8992" spans="1:5" ht="15" customHeight="1" x14ac:dyDescent="0.2">
      <c r="A8992" s="1" t="s">
        <v>16850</v>
      </c>
      <c r="B8992" s="1">
        <v>0</v>
      </c>
      <c r="C8992" s="3">
        <v>44537.766643518517</v>
      </c>
      <c r="D8992" s="1" t="s">
        <v>17878</v>
      </c>
      <c r="E8992" s="1" t="str">
        <f ca="1">IFERROR(__xludf.DUMMYFUNCTION("GOOGLETRANSLATE(A5791 , ""tr"" , ""en"")"),"@drfahrettinkoca flu vaccine people cavid-19 a very quickly caught. Body should not fall out of strength.")</f>
        <v>@drfahrettinkoca flu vaccine people cavid-19 a very quickly caught. Body should not fall out of strength.</v>
      </c>
    </row>
    <row r="8993" spans="1:5" ht="15" customHeight="1" x14ac:dyDescent="0.2">
      <c r="A8993" s="1" t="s">
        <v>17879</v>
      </c>
      <c r="B8993" s="1">
        <v>1</v>
      </c>
      <c r="C8993" s="3">
        <v>44537.759259259263</v>
      </c>
      <c r="D8993" s="1" t="s">
        <v>17880</v>
      </c>
      <c r="E8993" s="1" t="str">
        <f ca="1">IFERROR(__xludf.DUMMYFUNCTION("GOOGLETRANSLATE(A5792 , ""tr"" , ""en"")"),"@drfahrettinkoca is great for every human wife, friendly and relatives because of imprudence.")</f>
        <v>@drfahrettinkoca is great for every human wife, friendly and relatives because of imprudence.</v>
      </c>
    </row>
    <row r="8994" spans="1:5" ht="15" customHeight="1" x14ac:dyDescent="0.2">
      <c r="A8994" s="1" t="s">
        <v>17881</v>
      </c>
      <c r="B8994" s="1">
        <v>0</v>
      </c>
      <c r="C8994" s="3">
        <v>44537.738796296297</v>
      </c>
      <c r="D8994" s="1" t="s">
        <v>17882</v>
      </c>
      <c r="E8994" s="1" t="str">
        <f ca="1">IFERROR(__xludf.DUMMYFUNCTION("GOOGLETRANSLATE(A5793 , ""tr"" , ""en"")"),"@drfahrettinkoca has passed away after how many dose.")</f>
        <v>@drfahrettinkoca has passed away after how many dose.</v>
      </c>
    </row>
    <row r="8995" spans="1:5" ht="15" customHeight="1" x14ac:dyDescent="0.2">
      <c r="A8995" s="1" t="s">
        <v>17883</v>
      </c>
      <c r="B8995" s="1">
        <v>0</v>
      </c>
      <c r="C8995" s="3">
        <v>44537.695648148147</v>
      </c>
      <c r="D8995" s="1" t="s">
        <v>17884</v>
      </c>
      <c r="E8995" s="1" t="str">
        <f ca="1">IFERROR(__xludf.DUMMYFUNCTION("GOOGLETRANSLATE(A5794 , ""tr"" , ""en"")"),"@drfahrettinkoca Allah Mayor May Be Heaven May Heaven")</f>
        <v>@drfahrettinkoca Allah Mayor May Be Heaven May Heaven</v>
      </c>
    </row>
    <row r="8996" spans="1:5" ht="15" customHeight="1" x14ac:dyDescent="0.2">
      <c r="A8996" s="1" t="s">
        <v>17885</v>
      </c>
      <c r="B8996" s="1">
        <v>0</v>
      </c>
      <c r="C8996" s="3">
        <v>44537.688576388886</v>
      </c>
      <c r="D8996" s="1" t="s">
        <v>17886</v>
      </c>
      <c r="E8996" s="1" t="str">
        <f ca="1">IFERROR(__xludf.DUMMYFUNCTION("GOOGLETRANSLATE(A5795 , ""tr"" , ""en"")"),"@drfahrettinkoca Mr. Husband Your goal is that you are February March March April, start the Ministry of Koskoca at all in the Budget? What happened to the guide")</f>
        <v>@drfahrettinkoca Mr. Husband Your goal is that you are February March March April, start the Ministry of Koskoca at all in the Budget? What happened to the guide</v>
      </c>
    </row>
    <row r="8997" spans="1:5" ht="15" customHeight="1" x14ac:dyDescent="0.2">
      <c r="A8997" s="1" t="s">
        <v>17887</v>
      </c>
      <c r="B8997" s="1">
        <v>12</v>
      </c>
      <c r="C8997" s="3">
        <v>44537.679305555554</v>
      </c>
      <c r="D8997" s="1" t="s">
        <v>17888</v>
      </c>
      <c r="E8997" s="1" t="str">
        <f ca="1">IFERROR(__xludf.DUMMYFUNCTION("GOOGLETRANSLATE(A5796 , ""tr"" , ""en"")"),"@drfahrettinkoca # If you don't pay for medical company companies, our lives will be the last of us! ... https://t.co/mopxqf3b2g")</f>
        <v>@drfahrettinkoca # If you don't pay for medical company companies, our lives will be the last of us! ... https://t.co/mopxqf3b2g</v>
      </c>
    </row>
    <row r="8998" spans="1:5" ht="15" customHeight="1" x14ac:dyDescent="0.2">
      <c r="A8998" s="1" t="s">
        <v>17889</v>
      </c>
      <c r="B8998" s="1">
        <v>0</v>
      </c>
      <c r="C8998" s="3">
        <v>44537.675162037034</v>
      </c>
      <c r="D8998" s="1" t="s">
        <v>17890</v>
      </c>
      <c r="E8998" s="1" t="str">
        <f ca="1">IFERROR(__xludf.DUMMYFUNCTION("GOOGLETRANSLATE(A5797 , ""tr"" , ""en"")"),"@drfahrettinkoca hocam has been 4 hours at dr Sadi Guest Training and Research Hospital Waiting for Emergency Row More ... https://t.co/hsm2alc8l6")</f>
        <v>@drfahrettinkoca hocam has been 4 hours at dr Sadi Guest Training and Research Hospital Waiting for Emergency Row More ... https://t.co/hsm2alc8l6</v>
      </c>
    </row>
    <row r="8999" spans="1:5" ht="15" customHeight="1" x14ac:dyDescent="0.2">
      <c r="A8999" s="1" t="s">
        <v>17891</v>
      </c>
      <c r="B8999" s="1">
        <v>0</v>
      </c>
      <c r="C8999" s="3">
        <v>44537.668807870374</v>
      </c>
      <c r="D8999" s="1" t="s">
        <v>17892</v>
      </c>
      <c r="E8999" s="1" t="str">
        <f ca="1">IFERROR(__xludf.DUMMYFUNCTION("GOOGLETRANSLATE(A5798 , ""tr"" , ""en"")"),"@drfahrettinkoca 🤲")</f>
        <v>@drfahrettinkoca 🤲</v>
      </c>
    </row>
    <row r="9000" spans="1:5" ht="15" customHeight="1" x14ac:dyDescent="0.2">
      <c r="A9000" s="1" t="s">
        <v>17893</v>
      </c>
      <c r="B9000" s="1">
        <v>1</v>
      </c>
      <c r="C9000" s="3">
        <v>44537.666481481479</v>
      </c>
      <c r="D9000" s="1" t="s">
        <v>17894</v>
      </c>
      <c r="E9000" s="1" t="str">
        <f ca="1">IFERROR(__xludf.DUMMYFUNCTION("GOOGLETRANSLATE(A5799 , ""tr"" , ""en"")"),"Don't be frozen to the 2 PCR lie per week or do not remain paralyzed")</f>
        <v>Don't be frozen to the 2 PCR lie per week or do not remain paralyzed</v>
      </c>
    </row>
    <row r="9001" spans="1:5" ht="15" customHeight="1" x14ac:dyDescent="0.2">
      <c r="A9001" s="1" t="s">
        <v>17895</v>
      </c>
      <c r="B9001" s="1">
        <v>0</v>
      </c>
      <c r="C9001" s="3">
        <v>44537.665324074071</v>
      </c>
      <c r="D9001" s="1" t="s">
        <v>17896</v>
      </c>
      <c r="E9001" s="1" t="str">
        <f ca="1">IFERROR(__xludf.DUMMYFUNCTION("GOOGLETRANSLATE(A5800 , ""tr"" , ""en"")"),"@drfahrettinkoca Lan Patient Oluyon Doctoral Doctor Don't Send Test.")</f>
        <v>@drfahrettinkoca Lan Patient Oluyon Doctoral Doctor Don't Send Test.</v>
      </c>
    </row>
    <row r="9002" spans="1:5" ht="15" customHeight="1" x14ac:dyDescent="0.2">
      <c r="A9002" s="1" t="s">
        <v>17897</v>
      </c>
      <c r="B9002" s="1">
        <v>0</v>
      </c>
      <c r="C9002" s="3">
        <v>44537.663425925923</v>
      </c>
      <c r="D9002" s="1" t="s">
        <v>17898</v>
      </c>
      <c r="E9002" s="1" t="str">
        <f ca="1">IFERROR(__xludf.DUMMYFUNCTION("GOOGLETRANSLATE(A5801 , ""tr"" , ""en"")"),"@drfahrettinkoca says that the 2017 Test Kit is not the 2017 Test Kit, you would start to stock food, the health of the health though GMO ... https://t.co/iok91bca4e")</f>
        <v>@drfahrettinkoca says that the 2017 Test Kit is not the 2017 Test Kit, you would start to stock food, the health of the health though GMO ... https://t.co/iok91bca4e</v>
      </c>
    </row>
    <row r="9003" spans="1:5" ht="15" customHeight="1" x14ac:dyDescent="0.2">
      <c r="A9003" s="1" t="s">
        <v>17899</v>
      </c>
      <c r="B9003" s="1">
        <v>1</v>
      </c>
      <c r="C9003" s="3">
        <v>44537.656273148146</v>
      </c>
      <c r="D9003" s="1" t="s">
        <v>17900</v>
      </c>
      <c r="E9003" s="1" t="str">
        <f ca="1">IFERROR(__xludf.DUMMYFUNCTION("GOOGLETRANSLATE(A5802 , ""tr"" , ""en"")"),"@drfahrettinkoca guide looking forward to the minister")</f>
        <v>@drfahrettinkoca guide looking forward to the minister</v>
      </c>
    </row>
    <row r="9004" spans="1:5" ht="15" customHeight="1" x14ac:dyDescent="0.2">
      <c r="A9004" s="1" t="s">
        <v>17901</v>
      </c>
      <c r="B9004" s="1">
        <v>1</v>
      </c>
      <c r="C9004" s="3">
        <v>44537.656122685185</v>
      </c>
      <c r="D9004" s="1" t="s">
        <v>17902</v>
      </c>
      <c r="E9004" s="1" t="str">
        <f ca="1">IFERROR(__xludf.DUMMYFUNCTION("GOOGLETRANSLATE(A5803 , ""tr"" , ""en"")"),"@drfahrettinka Our life is our dreams that our dreams are ending from your face.")</f>
        <v>@drfahrettinka Our life is our dreams that our dreams are ending from your face.</v>
      </c>
    </row>
    <row r="9005" spans="1:5" ht="15" customHeight="1" x14ac:dyDescent="0.2">
      <c r="A9005" s="1" t="s">
        <v>17903</v>
      </c>
      <c r="B9005" s="1">
        <v>0</v>
      </c>
      <c r="C9005" s="3">
        <v>44537.645856481482</v>
      </c>
      <c r="D9005" s="1" t="s">
        <v>17904</v>
      </c>
      <c r="E9005" s="1" t="str">
        <f ca="1">IFERROR(__xludf.DUMMYFUNCTION("GOOGLETRANSLATE(A5804 , ""tr"" , ""en"")"),"@drfahrettinka https://t.co/1ydfxf0fyn")</f>
        <v>@drfahrettinka https://t.co/1ydfxf0fyn</v>
      </c>
    </row>
    <row r="9006" spans="1:5" ht="15" customHeight="1" x14ac:dyDescent="0.2">
      <c r="A9006" s="1" t="s">
        <v>17905</v>
      </c>
      <c r="B9006" s="1">
        <v>1</v>
      </c>
      <c r="C9006" s="3">
        <v>44537.644247685188</v>
      </c>
      <c r="D9006" s="1" t="s">
        <v>17906</v>
      </c>
      <c r="E9006" s="1" t="str">
        <f ca="1">IFERROR(__xludf.DUMMYFUNCTION("GOOGLETRANSLATE(A5805 , ""tr"" , ""en"")"),"@drfahrettinkoca guide where is my minister?")</f>
        <v>@drfahrettinkoca guide where is my minister?</v>
      </c>
    </row>
    <row r="9007" spans="1:5" ht="15" customHeight="1" x14ac:dyDescent="0.2">
      <c r="A9007" s="1" t="s">
        <v>17907</v>
      </c>
      <c r="B9007" s="1">
        <v>0</v>
      </c>
      <c r="C9007" s="3">
        <v>44537.637708333335</v>
      </c>
      <c r="D9007" s="1" t="s">
        <v>17908</v>
      </c>
      <c r="E9007" s="1" t="str">
        <f ca="1">IFERROR(__xludf.DUMMYFUNCTION("GOOGLETRANSLATE(A5806 , ""tr"" , ""en"")"),"@drfahrettinkoca allah cc mercy action")</f>
        <v>@drfahrettinkoca allah cc mercy action</v>
      </c>
    </row>
    <row r="9008" spans="1:5" ht="15" customHeight="1" x14ac:dyDescent="0.2">
      <c r="A9008" s="1" t="s">
        <v>17909</v>
      </c>
      <c r="B9008" s="1">
        <v>0</v>
      </c>
      <c r="C9008" s="3">
        <v>44537.633240740739</v>
      </c>
      <c r="D9008" s="1" t="s">
        <v>17910</v>
      </c>
      <c r="E9008" s="1" t="str">
        <f ca="1">IFERROR(__xludf.DUMMYFUNCTION("GOOGLETRANSLATE(A5807 , ""tr"" , ""en"")"),"@drfahrettinkoca urgent #thewrdering")</f>
        <v>@drfahrettinkoca urgent #thewrdering</v>
      </c>
    </row>
    <row r="9009" spans="1:5" ht="15" customHeight="1" x14ac:dyDescent="0.2">
      <c r="A9009" s="1" t="s">
        <v>17911</v>
      </c>
      <c r="B9009" s="1">
        <v>0</v>
      </c>
      <c r="C9009" s="3">
        <v>44537.630057870374</v>
      </c>
      <c r="D9009" s="1" t="s">
        <v>17912</v>
      </c>
      <c r="E9009" s="1" t="str">
        <f ca="1">IFERROR(__xludf.DUMMYFUNCTION("GOOGLETRANSLATE(A5808 , ""tr"" , ""en"")"),"@drfahrettinka ""Evolution not contradicts the theory with Islam"" to read the mercy ... Hard friend hard ... Https://t.co/copzqeiwdf")</f>
        <v>@drfahrettinka "Evolution not contradicts the theory with Islam" to read the mercy ... Hard friend hard ... Https://t.co/copzqeiwdf</v>
      </c>
    </row>
    <row r="9010" spans="1:5" ht="15" customHeight="1" x14ac:dyDescent="0.2">
      <c r="A9010" s="1" t="s">
        <v>17913</v>
      </c>
      <c r="B9010" s="1">
        <v>0</v>
      </c>
      <c r="C9010" s="3">
        <v>44537.625486111108</v>
      </c>
      <c r="D9010" s="1" t="s">
        <v>17914</v>
      </c>
      <c r="E9010" s="1" t="str">
        <f ca="1">IFERROR(__xludf.DUMMYFUNCTION("GOOGLETRANSLATE(A5809 , ""tr"" , ""en"")"),"@drfahrettinkoca I wonder if you will be taken from your back to Nasil TVit? Have you ever thought? Effective Everyone's Basinda! Dusunce Meleke ... https://t.co/2e0wxr3vpe")</f>
        <v>@drfahrettinkoca I wonder if you will be taken from your back to Nasil TVit? Have you ever thought? Effective Everyone's Basinda! Dusunce Meleke ... https://t.co/2e0wxr3vpe</v>
      </c>
    </row>
    <row r="9011" spans="1:5" ht="15" customHeight="1" x14ac:dyDescent="0.2">
      <c r="A9011" s="1" t="s">
        <v>17915</v>
      </c>
      <c r="B9011" s="1">
        <v>1</v>
      </c>
      <c r="C9011" s="3">
        <v>44537.621192129627</v>
      </c>
      <c r="D9011" s="1" t="s">
        <v>17916</v>
      </c>
      <c r="E9011" s="1" t="str">
        <f ca="1">IFERROR(__xludf.DUMMYFUNCTION("GOOGLETRANSLATE(A5810 , ""tr"" , ""en"")"),"@drfahrettinkoca hospitals can't surgery in hospitals, they are unable to surgery, in pain they are in pain in the same way in the same way ... https://t.co/rhf1jczncb")</f>
        <v>@drfahrettinkoca hospitals can't surgery in hospitals, they are unable to surgery, in pain they are in pain in the same way in the same way ... https://t.co/rhf1jczncb</v>
      </c>
    </row>
    <row r="9012" spans="1:5" ht="15" customHeight="1" x14ac:dyDescent="0.2">
      <c r="A9012" s="1" t="s">
        <v>17917</v>
      </c>
      <c r="B9012" s="1">
        <v>0</v>
      </c>
      <c r="C9012" s="3">
        <v>44537.608865740738</v>
      </c>
      <c r="D9012" s="1" t="s">
        <v>17918</v>
      </c>
      <c r="E9012" s="1" t="str">
        <f ca="1">IFERROR(__xludf.DUMMYFUNCTION("GOOGLETRANSLATE(A5811 , ""tr"" , ""en"")"),"@drfahrettinkoca Mr. Minister I need to be surgery from my arm, I will appreciate it if you help me")</f>
        <v>@drfahrettinkoca Mr. Minister I need to be surgery from my arm, I will appreciate it if you help me</v>
      </c>
    </row>
    <row r="9013" spans="1:5" ht="15" customHeight="1" x14ac:dyDescent="0.2">
      <c r="A9013" s="1" t="s">
        <v>17919</v>
      </c>
      <c r="B9013" s="1">
        <v>0</v>
      </c>
      <c r="C9013" s="3">
        <v>44537.59883101852</v>
      </c>
      <c r="D9013" s="1" t="s">
        <v>17920</v>
      </c>
      <c r="E9013" s="1" t="str">
        <f ca="1">IFERROR(__xludf.DUMMYFUNCTION("GOOGLETRANSLATE(A5812 , ""tr"" , ""en"")"),"@drfahrettinkoca Dad was taken on busy maintenance today with corona. They are robbing that the situation is serious. 1 ... https://t.co/efl1zvvtzj")</f>
        <v>@drfahrettinkoca Dad was taken on busy maintenance today with corona. They are robbing that the situation is serious. 1 ... https://t.co/efl1zvvtzj</v>
      </c>
    </row>
    <row r="9014" spans="1:5" ht="15" customHeight="1" x14ac:dyDescent="0.2">
      <c r="A9014" s="1" t="s">
        <v>17921</v>
      </c>
      <c r="B9014" s="1">
        <v>2</v>
      </c>
      <c r="C9014" s="3">
        <v>44537.588321759256</v>
      </c>
      <c r="D9014" s="1" t="s">
        <v>17922</v>
      </c>
      <c r="E9014" s="1" t="str">
        <f ca="1">IFERROR(__xludf.DUMMYFUNCTION("GOOGLETRANSLATE(A5813 , ""tr"" , ""en"")"),"@drfahrettinka Mr. Fahrettin Bey. Today my wife is forced to be the vaccine you said. If it's something to my wife ... https://t.co/hejtaxpkdz")</f>
        <v>@drfahrettinka Mr. Fahrettin Bey. Today my wife is forced to be the vaccine you said. If it's something to my wife ... https://t.co/hejtaxpkdz</v>
      </c>
    </row>
    <row r="9015" spans="1:5" ht="15" customHeight="1" x14ac:dyDescent="0.2">
      <c r="A9015" s="1" t="s">
        <v>17923</v>
      </c>
      <c r="B9015" s="1">
        <v>0</v>
      </c>
      <c r="C9015" s="3">
        <v>44537.587395833332</v>
      </c>
      <c r="D9015" s="1" t="s">
        <v>17924</v>
      </c>
      <c r="E9015" s="1" t="str">
        <f ca="1">IFERROR(__xludf.DUMMYFUNCTION("GOOGLETRANSLATE(A5814 , ""tr"" , ""en"")"),"@drfahrettinkoca oncology services lying in the patient and patient relatives in the oncology services, providing psychological support, ... https://t.co/hvdsmdz4vg")</f>
        <v>@drfahrettinkoca oncology services lying in the patient and patient relatives in the oncology services, providing psychological support, ... https://t.co/hvdsmdz4vg</v>
      </c>
    </row>
    <row r="9016" spans="1:5" ht="15" customHeight="1" x14ac:dyDescent="0.2">
      <c r="A9016" s="1" t="s">
        <v>17925</v>
      </c>
      <c r="B9016" s="1">
        <v>0</v>
      </c>
      <c r="C9016" s="3">
        <v>44539.496087962965</v>
      </c>
      <c r="D9016" s="1" t="s">
        <v>17926</v>
      </c>
      <c r="E9016" s="1" t="str">
        <f ca="1">IFERROR(__xludf.DUMMYFUNCTION("GOOGLETRANSLATE(A5815 , ""tr"" , ""en"")"),"@drfahrettinkoca where are you in the sects and congregations where are you! 👇👇! ️ Catholic Priest Edward Meeks: ""No worldly k ... https://t.co/jrsthqcaak")</f>
        <v>@drfahrettinkoca where are you in the sects and congregations where are you! 👇👇! ️ Catholic Priest Edward Meeks: "No worldly k ... https://t.co/jrsthqcaak</v>
      </c>
    </row>
    <row r="9017" spans="1:5" ht="15" customHeight="1" x14ac:dyDescent="0.2">
      <c r="A9017" s="1" t="s">
        <v>17927</v>
      </c>
      <c r="B9017" s="1">
        <v>0</v>
      </c>
      <c r="C9017" s="3">
        <v>44539.492175925923</v>
      </c>
      <c r="D9017" s="1" t="s">
        <v>17928</v>
      </c>
      <c r="E9017" s="1" t="str">
        <f ca="1">IFERROR(__xludf.DUMMYFUNCTION("GOOGLETRANSLATE(A5816 , ""tr"" , ""en"")"),"@drfahrettinka https://t.co/3zjsstvx65")</f>
        <v>@drfahrettinka https://t.co/3zjsstvx65</v>
      </c>
    </row>
    <row r="9018" spans="1:5" ht="15" customHeight="1" x14ac:dyDescent="0.2">
      <c r="A9018" s="1" t="s">
        <v>17929</v>
      </c>
      <c r="B9018" s="1">
        <v>0</v>
      </c>
      <c r="C9018" s="3">
        <v>44539.491909722223</v>
      </c>
      <c r="D9018" s="1" t="s">
        <v>17930</v>
      </c>
      <c r="E9018" s="1" t="str">
        <f ca="1">IFERROR(__xludf.DUMMYFUNCTION("GOOGLETRANSLATE(A5817 , ""tr"" , ""en"")"),"@drfahrettinka https://t.co/ykbzykrpgs")</f>
        <v>@drfahrettinka https://t.co/ykbzykrpgs</v>
      </c>
    </row>
    <row r="9019" spans="1:5" ht="15" customHeight="1" x14ac:dyDescent="0.2">
      <c r="A9019" s="1" t="s">
        <v>17931</v>
      </c>
      <c r="B9019" s="1">
        <v>0</v>
      </c>
      <c r="C9019" s="3">
        <v>44539.354305555556</v>
      </c>
      <c r="D9019" s="1" t="s">
        <v>17932</v>
      </c>
      <c r="E9019" s="1" t="str">
        <f ca="1">IFERROR(__xludf.DUMMYFUNCTION("GOOGLETRANSLATE(A5818 , ""tr"" , ""en"")"),"@drfahrettinkoca allah mercy eyles")</f>
        <v>@drfahrettinkoca allah mercy eyles</v>
      </c>
    </row>
    <row r="9020" spans="1:5" ht="15" customHeight="1" x14ac:dyDescent="0.2">
      <c r="A9020" s="1" t="s">
        <v>17933</v>
      </c>
      <c r="B9020" s="1">
        <v>0</v>
      </c>
      <c r="C9020" s="3">
        <v>44541.869699074072</v>
      </c>
      <c r="D9020" s="1" t="s">
        <v>17934</v>
      </c>
      <c r="E9020" s="1" t="str">
        <f ca="1">IFERROR(__xludf.DUMMYFUNCTION("GOOGLETRANSLATE(A5819 , ""tr"" , ""en"")"),"@drfahrettinkoca @drfahrettinkoca @drfahrettinkoca @rterdogan How are you people darken our lives We are your youth our blood ... https://t.co/m2nrl36jil")</f>
        <v>@drfahrettinkoca @drfahrettinkoca @drfahrettinkoca @rterdogan How are you people darken our lives We are your youth our blood ... https://t.co/m2nrl36jil</v>
      </c>
    </row>
    <row r="9021" spans="1:5" ht="15" customHeight="1" x14ac:dyDescent="0.2">
      <c r="A9021" s="1" t="s">
        <v>17935</v>
      </c>
      <c r="B9021" s="1">
        <v>1</v>
      </c>
      <c r="C9021" s="3">
        <v>44536.983715277776</v>
      </c>
      <c r="D9021" s="1" t="s">
        <v>17936</v>
      </c>
      <c r="E9021" s="1" t="str">
        <f ca="1">IFERROR(__xludf.DUMMYFUNCTION("GOOGLETRANSLATE(A5820 , ""tr"" , ""en"")"),"@drfahrettinka I've been watching while TRT 2 on the other day. rest in peace")</f>
        <v>@drfahrettinka I've been watching while TRT 2 on the other day. rest in peace</v>
      </c>
    </row>
    <row r="9022" spans="1:5" ht="15" customHeight="1" x14ac:dyDescent="0.2">
      <c r="A9022" s="1" t="s">
        <v>17937</v>
      </c>
      <c r="B9022" s="1">
        <v>2</v>
      </c>
      <c r="C9022" s="3">
        <v>44536.98337962963</v>
      </c>
      <c r="D9022" s="1" t="s">
        <v>17938</v>
      </c>
      <c r="E9022" s="1" t="str">
        <f ca="1">IFERROR(__xludf.DUMMYFUNCTION("GOOGLETRANSLATE(A5821 , ""tr"" , ""en"")"),"@drfahrettinkoca 3 MU 4 DOSE DOSE CAVITAŞI LIYI #Fahrettinka https://t.co/aj93rhcvie")</f>
        <v>@drfahrettinkoca 3 MU 4 DOSE DOSE CAVITAŞI LIYI #Fahrettinka https://t.co/aj93rhcvie</v>
      </c>
    </row>
    <row r="9023" spans="1:5" ht="15" customHeight="1" x14ac:dyDescent="0.2">
      <c r="A9023" s="1" t="s">
        <v>17939</v>
      </c>
      <c r="B9023" s="1">
        <v>0</v>
      </c>
      <c r="C9023" s="3">
        <v>44536.979664351849</v>
      </c>
      <c r="D9023" s="1" t="s">
        <v>17940</v>
      </c>
      <c r="E9023" s="1" t="str">
        <f ca="1">IFERROR(__xludf.DUMMYFUNCTION("GOOGLETRANSLATE(A5822 , ""tr"" , ""en"")"),"How many dozen was @drfahrettinkoca?")</f>
        <v>How many dozen was @drfahrettinkoca?</v>
      </c>
    </row>
    <row r="9024" spans="1:5" ht="15" customHeight="1" x14ac:dyDescent="0.2">
      <c r="A9024" s="1" t="s">
        <v>17941</v>
      </c>
      <c r="B9024" s="1">
        <v>0</v>
      </c>
      <c r="C9024" s="3">
        <v>44536.974953703706</v>
      </c>
      <c r="D9024" s="1" t="s">
        <v>17942</v>
      </c>
      <c r="E9024" s="1" t="str">
        <f ca="1">IFERROR(__xludf.DUMMYFUNCTION("GOOGLETRANSLATE(A5823 , ""tr"" , ""en"")"),"@drfahrettinkoca mask is poison")</f>
        <v>@drfahrettinkoca mask is poison</v>
      </c>
    </row>
    <row r="9025" spans="1:5" ht="15" customHeight="1" x14ac:dyDescent="0.2">
      <c r="A9025" s="1" t="s">
        <v>17943</v>
      </c>
      <c r="B9025" s="1">
        <v>0</v>
      </c>
      <c r="C9025" s="3">
        <v>44536.969421296293</v>
      </c>
      <c r="D9025" s="1" t="s">
        <v>17944</v>
      </c>
      <c r="E9025" s="1" t="str">
        <f ca="1">IFERROR(__xludf.DUMMYFUNCTION("GOOGLETRANSLATE(A5824 , ""tr"" , ""en"")"),"@drfahrettinkoca President How are you guys who don't get long")</f>
        <v>@drfahrettinkoca President How are you guys who don't get long</v>
      </c>
    </row>
    <row r="9026" spans="1:5" ht="15" customHeight="1" x14ac:dyDescent="0.2">
      <c r="A9026" s="1" t="s">
        <v>17945</v>
      </c>
      <c r="B9026" s="1">
        <v>0</v>
      </c>
      <c r="C9026" s="3">
        <v>44536.965856481482</v>
      </c>
      <c r="D9026" s="1" t="s">
        <v>17946</v>
      </c>
      <c r="E9026" s="1" t="str">
        <f ca="1">IFERROR(__xludf.DUMMYFUNCTION("GOOGLETRANSLATE(A5825 , ""tr"" , ""en"")"),"@drfahrettinkoca Allah Mayor May Be Heaven May Heaven")</f>
        <v>@drfahrettinkoca Allah Mayor May Be Heaven May Heaven</v>
      </c>
    </row>
    <row r="9027" spans="1:5" ht="15" customHeight="1" x14ac:dyDescent="0.2">
      <c r="A9027" s="1" t="s">
        <v>17947</v>
      </c>
      <c r="B9027" s="1">
        <v>2</v>
      </c>
      <c r="C9027" s="3">
        <v>44536.946817129632</v>
      </c>
      <c r="D9027" s="1" t="s">
        <v>17948</v>
      </c>
      <c r="E9027" s="1" t="str">
        <f ca="1">IFERROR(__xludf.DUMMYFUNCTION("GOOGLETRANSLATE(A5826 , ""tr"" , ""en"")"),"@drfahrettinkoca Z belt wants online")</f>
        <v>@drfahrettinkoca Z belt wants online</v>
      </c>
    </row>
    <row r="9028" spans="1:5" ht="15" customHeight="1" x14ac:dyDescent="0.2">
      <c r="A9028" s="1" t="s">
        <v>17949</v>
      </c>
      <c r="B9028" s="1">
        <v>4</v>
      </c>
      <c r="C9028" s="3">
        <v>44536.94672453704</v>
      </c>
      <c r="D9028" s="1" t="s">
        <v>17950</v>
      </c>
      <c r="E9028" s="1" t="str">
        <f ca="1">IFERROR(__xludf.DUMMYFUNCTION("GOOGLETRANSLATE(A5827 , ""tr"" , ""en"")"),"@drfahrettinkoca cabinet students want online")</f>
        <v>@drfahrettinkoca cabinet students want online</v>
      </c>
    </row>
    <row r="9029" spans="1:5" ht="15" customHeight="1" x14ac:dyDescent="0.2">
      <c r="A9029" s="1" t="s">
        <v>17951</v>
      </c>
      <c r="B9029" s="1">
        <v>2</v>
      </c>
      <c r="C9029" s="3">
        <v>44536.946620370371</v>
      </c>
      <c r="D9029" s="1" t="s">
        <v>17952</v>
      </c>
      <c r="E9029" s="1" t="str">
        <f ca="1">IFERROR(__xludf.DUMMYFUNCTION("GOOGLETRANSLATE(A5828 , ""tr"" , ""en"")"),"@drfahrettinka hear the voice of students no longer")</f>
        <v>@drfahrettinka hear the voice of students no longer</v>
      </c>
    </row>
    <row r="9030" spans="1:5" ht="15" customHeight="1" x14ac:dyDescent="0.2">
      <c r="A9030" s="1" t="s">
        <v>17953</v>
      </c>
      <c r="B9030" s="1">
        <v>3</v>
      </c>
      <c r="C9030" s="3">
        <v>44536.946539351855</v>
      </c>
      <c r="D9030" s="1" t="s">
        <v>17954</v>
      </c>
      <c r="E9030" s="1" t="str">
        <f ca="1">IFERROR(__xludf.DUMMYFUNCTION("GOOGLETRANSLATE(A5829 , ""tr"" , ""en"")"),"@drfahrettinkoca We want online education for our health")</f>
        <v>@drfahrettinkoca We want online education for our health</v>
      </c>
    </row>
    <row r="9031" spans="1:5" ht="15" customHeight="1" x14ac:dyDescent="0.2">
      <c r="A9031" s="1" t="s">
        <v>17955</v>
      </c>
      <c r="B9031" s="1">
        <v>6</v>
      </c>
      <c r="C9031" s="3">
        <v>44536.946458333332</v>
      </c>
      <c r="D9031" s="1" t="s">
        <v>17956</v>
      </c>
      <c r="E9031" s="1" t="str">
        <f ca="1">IFERROR(__xludf.DUMMYFUNCTION("GOOGLETRANSLATE(A5830 , ""tr"" , ""en"")"),"@drfahrettinka online training is not necessity")</f>
        <v>@drfahrettinka online training is not necessity</v>
      </c>
    </row>
    <row r="9032" spans="1:5" ht="15" customHeight="1" x14ac:dyDescent="0.2">
      <c r="A9032" s="1" t="s">
        <v>17957</v>
      </c>
      <c r="B9032" s="1">
        <v>2</v>
      </c>
      <c r="C9032" s="3">
        <v>44536.945891203701</v>
      </c>
      <c r="D9032" s="1" t="s">
        <v>17958</v>
      </c>
      <c r="E9032" s="1" t="str">
        <f ca="1">IFERROR(__xludf.DUMMYFUNCTION("GOOGLETRANSLATE(A5831 , ""tr"" , ""en"")"),"@drfahrettinkoca we want online education hear the voice of students no longer")</f>
        <v>@drfahrettinkoca we want online education hear the voice of students no longer</v>
      </c>
    </row>
    <row r="9033" spans="1:5" ht="15" customHeight="1" x14ac:dyDescent="0.2">
      <c r="A9033" s="1" t="s">
        <v>17959</v>
      </c>
      <c r="B9033" s="1">
        <v>1</v>
      </c>
      <c r="C9033" s="3">
        <v>44536.945740740739</v>
      </c>
      <c r="D9033" s="1" t="s">
        <v>17960</v>
      </c>
      <c r="E9033" s="1" t="str">
        <f ca="1">IFERROR(__xludf.DUMMYFUNCTION("GOOGLETRANSLATE(A5832 , ""tr"" , ""en"")"),"@drfahrettinkoca Prevention We want training")</f>
        <v>@drfahrettinkoca Prevention We want training</v>
      </c>
    </row>
    <row r="9034" spans="1:5" ht="15" customHeight="1" x14ac:dyDescent="0.2">
      <c r="A9034" s="1" t="s">
        <v>17961</v>
      </c>
      <c r="B9034" s="1">
        <v>3</v>
      </c>
      <c r="C9034" s="3">
        <v>44536.945428240739</v>
      </c>
      <c r="D9034" s="1" t="s">
        <v>17962</v>
      </c>
      <c r="E9034" s="1" t="str">
        <f ca="1">IFERROR(__xludf.DUMMYFUNCTION("GOOGLETRANSLATE(A5833 , ""tr"" , ""en"")"),"@drfahrettinkoca Allah Mahmet Eylesin.Başım We have died in Turkey Messa Dream Our dreams are dying of our hopes ... https://t.co/PIQ9UVTSZ3")</f>
        <v>@drfahrettinkoca Allah Mahmet Eylesin.Başım We have died in Turkey Messa Dream Our dreams are dying of our hopes ... https://t.co/PIQ9UVTSZ3</v>
      </c>
    </row>
    <row r="9035" spans="1:5" ht="15" customHeight="1" x14ac:dyDescent="0.2">
      <c r="A9035" s="1" t="s">
        <v>17963</v>
      </c>
      <c r="B9035" s="1">
        <v>3</v>
      </c>
      <c r="C9035" s="3">
        <v>44536.940740740742</v>
      </c>
      <c r="D9035" s="1" t="s">
        <v>17964</v>
      </c>
      <c r="E9035" s="1" t="str">
        <f ca="1">IFERROR(__xludf.DUMMYFUNCTION("GOOGLETRANSLATE(A5834 , ""tr"" , ""en"")"),"@drfahrettinkoca Overlooking Bey # Medical House You will be what you will be in the name of the Turkish Nation in the name of the Turkish nation ... https://t.co/o2pdfowotw")</f>
        <v>@drfahrettinkoca Overlooking Bey # Medical House You will be what you will be in the name of the Turkish Nation in the name of the Turkish nation ... https://t.co/o2pdfowotw</v>
      </c>
    </row>
    <row r="9036" spans="1:5" ht="15" customHeight="1" x14ac:dyDescent="0.2">
      <c r="A9036" s="1" t="s">
        <v>17965</v>
      </c>
      <c r="B9036" s="1">
        <v>0</v>
      </c>
      <c r="C9036" s="3">
        <v>44536.939097222225</v>
      </c>
      <c r="D9036" s="1" t="s">
        <v>17966</v>
      </c>
      <c r="E9036" s="1" t="str">
        <f ca="1">IFERROR(__xludf.DUMMYFUNCTION("GOOGLETRANSLATE(A5835 , ""tr"" , ""en"")"),"@drfahrettinkoca ????? https://t.co/ljauju0g0x")</f>
        <v>@drfahrettinkoca ????? https://t.co/ljauju0g0x</v>
      </c>
    </row>
    <row r="9037" spans="1:5" ht="15" customHeight="1" x14ac:dyDescent="0.2">
      <c r="A9037" s="1" t="s">
        <v>17967</v>
      </c>
      <c r="B9037" s="1">
        <v>31</v>
      </c>
      <c r="C9037" s="3">
        <v>44536.935601851852</v>
      </c>
      <c r="D9037" s="1" t="s">
        <v>17968</v>
      </c>
      <c r="E9037" s="1" t="str">
        <f ca="1">IFERROR(__xludf.DUMMYFUNCTION("GOOGLETRANSLATE(A5836 , ""tr"" , ""en"")"),"@drfahrettinkoca We want the privileges known to medipole. Experience online education.! # kabineuzaktanılitimsart")</f>
        <v>@drfahrettinkoca We want the privileges known to medipole. Experience online education.! # kabineuzaktanılitimsart</v>
      </c>
    </row>
    <row r="9038" spans="1:5" ht="15" customHeight="1" x14ac:dyDescent="0.2">
      <c r="A9038" s="1" t="s">
        <v>17969</v>
      </c>
      <c r="B9038" s="1">
        <v>1</v>
      </c>
      <c r="C9038" s="3">
        <v>44536.93409722222</v>
      </c>
      <c r="D9038" s="1" t="s">
        <v>17970</v>
      </c>
      <c r="E9038" s="1" t="str">
        <f ca="1">IFERROR(__xludf.DUMMYFUNCTION("GOOGLETRANSLATE(A5837 , ""tr"" , ""en"")"),"@drfahrettinkoca sn facing no security We have no security Every day I hear Covid case my school We are very afraid of my mother chron ... https://t.co/xqe3sq4bqd")</f>
        <v>@drfahrettinkoca sn facing no security We have no security Every day I hear Covid case my school We are very afraid of my mother chron ... https://t.co/xqe3sq4bqd</v>
      </c>
    </row>
    <row r="9039" spans="1:5" ht="15" customHeight="1" x14ac:dyDescent="0.2">
      <c r="A9039" s="1" t="s">
        <v>17971</v>
      </c>
      <c r="B9039" s="1">
        <v>4</v>
      </c>
      <c r="C9039" s="3">
        <v>44536.933900462966</v>
      </c>
      <c r="D9039" s="1" t="s">
        <v>17972</v>
      </c>
      <c r="E9039" s="1" t="str">
        <f ca="1">IFERROR(__xludf.DUMMYFUNCTION("GOOGLETRANSLATE(A5838 , ""tr"" , ""en"")"),"@drfahrettinka https://t.co/5kevphtxps")</f>
        <v>@drfahrettinka https://t.co/5kevphtxps</v>
      </c>
    </row>
    <row r="9040" spans="1:5" ht="15" customHeight="1" x14ac:dyDescent="0.2">
      <c r="A9040" s="1" t="s">
        <v>17973</v>
      </c>
      <c r="B9040" s="1">
        <v>0</v>
      </c>
      <c r="C9040" s="3">
        <v>44536.928854166668</v>
      </c>
      <c r="D9040" s="1" t="s">
        <v>17974</v>
      </c>
      <c r="E9040" s="1" t="str">
        <f ca="1">IFERROR(__xludf.DUMMYFUNCTION("GOOGLETRANSLATE(A5839 , ""tr"" , ""en"")"),"@drfahrettinka was opposite vaccine.")</f>
        <v>@drfahrettinka was opposite vaccine.</v>
      </c>
    </row>
    <row r="9041" spans="1:5" ht="15" customHeight="1" x14ac:dyDescent="0.2">
      <c r="A9041" s="1" t="s">
        <v>17975</v>
      </c>
      <c r="B9041" s="1">
        <v>1</v>
      </c>
      <c r="C9041" s="3">
        <v>44536.923125000001</v>
      </c>
      <c r="D9041" s="1" t="s">
        <v>17976</v>
      </c>
      <c r="E9041" s="1" t="str">
        <f ca="1">IFERROR(__xludf.DUMMYFUNCTION("GOOGLETRANSLATE(A5840 , ""tr"" , ""en"")"),"@drfahrettinkoca # CABINEZAKTANDITİMSART Think of us We have ours to risk our health")</f>
        <v>@drfahrettinkoca # CABINEZAKTANDITİMSART Think of us We have ours to risk our health</v>
      </c>
    </row>
    <row r="9042" spans="1:5" ht="15" customHeight="1" x14ac:dyDescent="0.2">
      <c r="A9042" s="1" t="s">
        <v>17977</v>
      </c>
      <c r="B9042" s="1">
        <v>0</v>
      </c>
      <c r="C9042" s="3">
        <v>44536.922569444447</v>
      </c>
      <c r="D9042" s="1" t="s">
        <v>17978</v>
      </c>
      <c r="E9042" s="1" t="str">
        <f ca="1">IFERROR(__xludf.DUMMYFUNCTION("GOOGLETRANSLATE(A5841 , ""tr"" , ""en"")"),"@drfahrettinkoca https://t.co/75yaoxvjeo A..Ş., as you did not say, he has also been victim of kışeti genocide. Rest in peace.")</f>
        <v>@drfahrettinkoca https://t.co/75yaoxvjeo A..Ş., as you did not say, he has also been victim of kışeti genocide. Rest in peace.</v>
      </c>
    </row>
    <row r="9043" spans="1:5" ht="15" customHeight="1" x14ac:dyDescent="0.2">
      <c r="A9043" s="1" t="s">
        <v>17979</v>
      </c>
      <c r="B9043" s="1">
        <v>25</v>
      </c>
      <c r="C9043" s="3">
        <v>44536.921053240738</v>
      </c>
      <c r="D9043" s="1" t="s">
        <v>17980</v>
      </c>
      <c r="E9043" s="1" t="str">
        <f ca="1">IFERROR(__xludf.DUMMYFUNCTION("GOOGLETRANSLATE(A5842 , ""tr"" , ""en"")"),"@drfahrettinkoca no one gives 1 penny money on the house. No stable salary of all.")</f>
        <v>@drfahrettinkoca no one gives 1 penny money on the house. No stable salary of all.</v>
      </c>
    </row>
    <row r="9044" spans="1:5" ht="15" customHeight="1" x14ac:dyDescent="0.2">
      <c r="A9044" s="1" t="s">
        <v>17981</v>
      </c>
      <c r="B9044" s="1">
        <v>17</v>
      </c>
      <c r="C9044" s="3">
        <v>44536.920312499999</v>
      </c>
      <c r="D9044" s="1" t="s">
        <v>17982</v>
      </c>
      <c r="E9044" s="1" t="str">
        <f ca="1">IFERROR(__xludf.DUMMYFUNCTION("GOOGLETRANSLATE(A5843 , ""tr"" , ""en"")"),"@drfahrettinkoca We will not say that you are out of the back Aren't you?")</f>
        <v>@drfahrettinkoca We will not say that you are out of the back Aren't you?</v>
      </c>
    </row>
    <row r="9045" spans="1:5" ht="15" customHeight="1" x14ac:dyDescent="0.2">
      <c r="A9045" s="1" t="s">
        <v>17983</v>
      </c>
      <c r="B9045" s="1">
        <v>0</v>
      </c>
      <c r="C9045" s="3">
        <v>44536.918773148151</v>
      </c>
      <c r="D9045" s="1" t="s">
        <v>17984</v>
      </c>
      <c r="E9045" s="1" t="str">
        <f ca="1">IFERROR(__xludf.DUMMYFUNCTION("GOOGLETRANSLATE(A5844 , ""tr"" , ""en"")"),"@drfahrettinkoca neither closure nor online education.")</f>
        <v>@drfahrettinkoca neither closure nor online education.</v>
      </c>
    </row>
    <row r="9046" spans="1:5" ht="15" customHeight="1" x14ac:dyDescent="0.2">
      <c r="A9046" s="1" t="s">
        <v>17985</v>
      </c>
      <c r="B9046" s="1">
        <v>0</v>
      </c>
      <c r="C9046" s="3">
        <v>44536.918356481481</v>
      </c>
      <c r="D9046" s="1" t="s">
        <v>17986</v>
      </c>
      <c r="E9046" s="1" t="str">
        <f ca="1">IFERROR(__xludf.DUMMYFUNCTION("GOOGLETRANSLATE(A5845 , ""tr"" , ""en"")"),"@drfahrettinkoca inna lillahi and inna ileyhi râciun ... Ahir when the Ummah Ürümürmetli Ürümürki U ... https://t.co/kfe9ykuzx1")</f>
        <v>@drfahrettinkoca inna lillahi and inna ileyhi râciun ... Ahir when the Ummah Ürümürmetli Ürümürki U ... https://t.co/kfe9ykuzx1</v>
      </c>
    </row>
    <row r="9047" spans="1:5" ht="15" customHeight="1" x14ac:dyDescent="0.2">
      <c r="A9047" s="1" t="s">
        <v>17987</v>
      </c>
      <c r="B9047" s="1">
        <v>0</v>
      </c>
      <c r="C9047" s="3">
        <v>44536.915717592594</v>
      </c>
      <c r="D9047" s="1" t="s">
        <v>17988</v>
      </c>
      <c r="E9047" s="1" t="str">
        <f ca="1">IFERROR(__xludf.DUMMYFUNCTION("GOOGLETRANSLATE(A5846 , ""tr"" , ""en"")"),"@drfahrettinkoca You have explained this ventilate Mr. Minister Location Izmir Siin figures Buddha variant .... https://t.co/g4uys9lhbz")</f>
        <v>@drfahrettinkoca You have explained this ventilate Mr. Minister Location Izmir Siin figures Buddha variant .... https://t.co/g4uys9lhbz</v>
      </c>
    </row>
    <row r="9048" spans="1:5" ht="15" customHeight="1" x14ac:dyDescent="0.2">
      <c r="A9048" s="1" t="s">
        <v>17989</v>
      </c>
      <c r="B9048" s="1">
        <v>0</v>
      </c>
      <c r="C9048" s="3">
        <v>44536.915590277778</v>
      </c>
      <c r="D9048" s="1" t="s">
        <v>17990</v>
      </c>
      <c r="E9048" s="1" t="str">
        <f ca="1">IFERROR(__xludf.DUMMYFUNCTION("GOOGLETRANSLATE(A5847 , ""tr"" , ""en"")"),"@drfahrettinka https://t.co/0zb9tykuqm")</f>
        <v>@drfahrettinka https://t.co/0zb9tykuqm</v>
      </c>
    </row>
    <row r="9049" spans="1:5" ht="15" customHeight="1" x14ac:dyDescent="0.2">
      <c r="A9049" s="1" t="s">
        <v>17991</v>
      </c>
      <c r="B9049" s="1">
        <v>1</v>
      </c>
      <c r="C9049" s="3">
        <v>44536.915347222224</v>
      </c>
      <c r="D9049" s="1" t="s">
        <v>17992</v>
      </c>
      <c r="E9049" s="1" t="str">
        <f ca="1">IFERROR(__xludf.DUMMYFUNCTION("GOOGLETRANSLATE(A5848 , ""tr"" , ""en"")"),"@drfahrettinka online training !! what happens to")</f>
        <v>@drfahrettinka online training !! what happens to</v>
      </c>
    </row>
    <row r="9050" spans="1:5" ht="15" customHeight="1" x14ac:dyDescent="0.2">
      <c r="A9050" s="1" t="s">
        <v>17993</v>
      </c>
      <c r="B9050" s="1">
        <v>18</v>
      </c>
      <c r="C9050" s="3">
        <v>44536.915254629632</v>
      </c>
      <c r="D9050" s="1" t="s">
        <v>17994</v>
      </c>
      <c r="E9050" s="1" t="str">
        <f ca="1">IFERROR(__xludf.DUMMYFUNCTION("GOOGLETRANSLATE(A5849 , ""tr"" , ""en"")"),"@drfahrettinkoca as students studying in Turkey as the worldwide epidemic disease from Covid-19 Y ... https://t.co/yh1pssmu7a")</f>
        <v>@drfahrettinkoca as students studying in Turkey as the worldwide epidemic disease from Covid-19 Y ... https://t.co/yh1pssmu7a</v>
      </c>
    </row>
    <row r="9051" spans="1:5" ht="15" customHeight="1" x14ac:dyDescent="0.2">
      <c r="A9051" s="1" t="s">
        <v>17995</v>
      </c>
      <c r="B9051" s="1">
        <v>7</v>
      </c>
      <c r="C9051" s="3">
        <v>44536.915127314816</v>
      </c>
      <c r="D9051" s="1" t="s">
        <v>17996</v>
      </c>
      <c r="E9051" s="1" t="str">
        <f ca="1">IFERROR(__xludf.DUMMYFUNCTION("GOOGLETRANSLATE(A5850 , ""tr"" , ""en"")"),"@drfahrettinkoca We want to learn online education Dear Ministry of Dormitory We are in danger against new Varyanta")</f>
        <v>@drfahrettinkoca We want to learn online education Dear Ministry of Dormitory We are in danger against new Varyanta</v>
      </c>
    </row>
    <row r="9052" spans="1:5" ht="15" customHeight="1" x14ac:dyDescent="0.2">
      <c r="A9052" s="1" t="s">
        <v>17997</v>
      </c>
      <c r="B9052" s="1">
        <v>3</v>
      </c>
      <c r="C9052" s="3">
        <v>44536.914560185185</v>
      </c>
      <c r="D9052" s="1" t="s">
        <v>17998</v>
      </c>
      <c r="E9052" s="1" t="str">
        <f ca="1">IFERROR(__xludf.DUMMYFUNCTION("GOOGLETRANSLATE(A5851 , ""tr"" , ""en"")"),"@drfahrettinkoca are so sensitive to the minister guide when?")</f>
        <v>@drfahrettinkoca are so sensitive to the minister guide when?</v>
      </c>
    </row>
    <row r="9053" spans="1:5" ht="15" customHeight="1" x14ac:dyDescent="0.2">
      <c r="A9053" s="1" t="s">
        <v>17999</v>
      </c>
      <c r="B9053" s="1">
        <v>0</v>
      </c>
      <c r="C9053" s="3">
        <v>44536.912534722222</v>
      </c>
      <c r="D9053" s="1" t="s">
        <v>18000</v>
      </c>
      <c r="E9053" s="1" t="str">
        <f ca="1">IFERROR(__xludf.DUMMYFUNCTION("GOOGLETRANSLATE(A5852 , ""tr"" , ""en"")"),"@drfahrettinkoca Why isn't published in the guide that has been a year It has been so ministerial")</f>
        <v>@drfahrettinkoca Why isn't published in the guide that has been a year It has been so ministerial</v>
      </c>
    </row>
    <row r="9054" spans="1:5" ht="15" customHeight="1" x14ac:dyDescent="0.2">
      <c r="A9054" s="1" t="s">
        <v>18001</v>
      </c>
      <c r="B9054" s="1">
        <v>0</v>
      </c>
      <c r="C9054" s="3">
        <v>44536.912499999999</v>
      </c>
      <c r="D9054" s="1" t="s">
        <v>18002</v>
      </c>
      <c r="E9054" s="1" t="str">
        <f ca="1">IFERROR(__xludf.DUMMYFUNCTION("GOOGLETRANSLATE(A5853 , ""tr"" , ""en"")"),"@drfahrettinka https://t.co/onuldbxfd5")</f>
        <v>@drfahrettinka https://t.co/onuldbxfd5</v>
      </c>
    </row>
    <row r="9055" spans="1:5" ht="15" customHeight="1" x14ac:dyDescent="0.2">
      <c r="A9055" s="1" t="s">
        <v>13434</v>
      </c>
      <c r="B9055" s="1">
        <v>0</v>
      </c>
      <c r="C9055" s="3">
        <v>44536.912060185183</v>
      </c>
      <c r="D9055" s="1" t="s">
        <v>18003</v>
      </c>
      <c r="E9055" s="1" t="str">
        <f ca="1">IFERROR(__xludf.DUMMYFUNCTION("GOOGLETRANSLATE(A5854 , ""tr"" , ""en"")"),"@drfahrettinkoca Guide you come")</f>
        <v>@drfahrettinkoca Guide you come</v>
      </c>
    </row>
    <row r="9056" spans="1:5" ht="15" customHeight="1" x14ac:dyDescent="0.2">
      <c r="A9056" s="1" t="s">
        <v>18004</v>
      </c>
      <c r="B9056" s="1">
        <v>2</v>
      </c>
      <c r="C9056" s="3">
        <v>44536.911851851852</v>
      </c>
      <c r="D9056" s="1" t="s">
        <v>18005</v>
      </c>
      <c r="E9056" s="1" t="str">
        <f ca="1">IFERROR(__xludf.DUMMYFUNCTION("GOOGLETRANSLATE(A5855 , ""tr"" , ""en"")"),"@drfahrettinkoca guide to God's love")</f>
        <v>@drfahrettinkoca guide to God's love</v>
      </c>
    </row>
    <row r="9057" spans="1:5" ht="15" customHeight="1" x14ac:dyDescent="0.2">
      <c r="A9057" s="1" t="s">
        <v>18006</v>
      </c>
      <c r="B9057" s="1">
        <v>0</v>
      </c>
      <c r="C9057" s="3">
        <v>44536.911817129629</v>
      </c>
      <c r="D9057" s="1" t="s">
        <v>18007</v>
      </c>
      <c r="E9057" s="1" t="str">
        <f ca="1">IFERROR(__xludf.DUMMYFUNCTION("GOOGLETRANSLATE(A5856 , ""tr"" , ""en"")"),"@drfahrettinka https://t.co/prz8nmrvnc")</f>
        <v>@drfahrettinka https://t.co/prz8nmrvnc</v>
      </c>
    </row>
    <row r="9058" spans="1:5" ht="15" customHeight="1" x14ac:dyDescent="0.2">
      <c r="A9058" s="1" t="s">
        <v>10058</v>
      </c>
      <c r="B9058" s="1">
        <v>1</v>
      </c>
      <c r="C9058" s="3">
        <v>44536.911666666667</v>
      </c>
      <c r="D9058" s="1" t="s">
        <v>18008</v>
      </c>
      <c r="E9058" s="1" t="str">
        <f ca="1">IFERROR(__xludf.DUMMYFUNCTION("GOOGLETRANSLATE(A5857 , ""tr"" , ""en"")"),"@drfahrettinkoca Guide")</f>
        <v>@drfahrettinkoca Guide</v>
      </c>
    </row>
    <row r="9059" spans="1:5" ht="15" customHeight="1" x14ac:dyDescent="0.2">
      <c r="A9059" s="1" t="s">
        <v>18009</v>
      </c>
      <c r="B9059" s="1">
        <v>11</v>
      </c>
      <c r="C9059" s="3">
        <v>44536.911516203705</v>
      </c>
      <c r="D9059" s="1" t="s">
        <v>18010</v>
      </c>
      <c r="E9059" s="1" t="str">
        <f ca="1">IFERROR(__xludf.DUMMYFUNCTION("GOOGLETRANSLATE(A5858 , ""tr"" , ""en"")"),"@drfahrettinkoca for our health # kabineuzakaktanetimsart")</f>
        <v>@drfahrettinkoca for our health # kabineuzakaktanetimsart</v>
      </c>
    </row>
    <row r="9060" spans="1:5" ht="15" customHeight="1" x14ac:dyDescent="0.2">
      <c r="A9060" s="1" t="s">
        <v>18011</v>
      </c>
      <c r="B9060" s="1">
        <v>10</v>
      </c>
      <c r="C9060" s="3">
        <v>44536.911192129628</v>
      </c>
      <c r="D9060" s="1" t="s">
        <v>18012</v>
      </c>
      <c r="E9060" s="1" t="str">
        <f ca="1">IFERROR(__xludf.DUMMYFUNCTION("GOOGLETRANSLATE(A5859 , ""tr"" , ""en"")"),"@drfahrettinkoca # Kabineuzaktanılitimsart has now been condition!")</f>
        <v>@drfahrettinkoca # Kabineuzaktanılitimsart has now been condition!</v>
      </c>
    </row>
    <row r="9061" spans="1:5" ht="15" customHeight="1" x14ac:dyDescent="0.2">
      <c r="A9061" s="1" t="s">
        <v>18013</v>
      </c>
      <c r="B9061" s="1">
        <v>0</v>
      </c>
      <c r="C9061" s="3">
        <v>44536.910613425927</v>
      </c>
      <c r="D9061" s="1" t="s">
        <v>18014</v>
      </c>
      <c r="E9061" s="1" t="str">
        <f ca="1">IFERROR(__xludf.DUMMYFUNCTION("GOOGLETRANSLATE(A5860 , ""tr"" , ""en"")"),"@drfahrettinkoca FavicoVoVir LE SYBODAN LIFEBBIBBIBBibi still tweet between us.")</f>
        <v>@drfahrettinkoca FavicoVoVir LE SYBODAN LIFEBBIBBIBBibi still tweet between us.</v>
      </c>
    </row>
    <row r="9062" spans="1:5" ht="15" customHeight="1" x14ac:dyDescent="0.2">
      <c r="A9062" s="1" t="s">
        <v>18015</v>
      </c>
      <c r="B9062" s="1">
        <v>0</v>
      </c>
      <c r="C9062" s="3">
        <v>44536.908333333333</v>
      </c>
      <c r="D9062" s="1" t="s">
        <v>18016</v>
      </c>
      <c r="E9062" s="1" t="str">
        <f ca="1">IFERROR(__xludf.DUMMYFUNCTION("GOOGLETRANSLATE(A5861 , ""tr"" , ""en"")"),"@drfahrettinkoca Allah mercy.")</f>
        <v>@drfahrettinkoca Allah mercy.</v>
      </c>
    </row>
    <row r="9063" spans="1:5" ht="15" customHeight="1" x14ac:dyDescent="0.2">
      <c r="A9063" s="1" t="s">
        <v>18017</v>
      </c>
      <c r="B9063" s="1">
        <v>0</v>
      </c>
      <c r="C9063" s="3">
        <v>44536.908252314817</v>
      </c>
      <c r="D9063" s="1" t="s">
        <v>18018</v>
      </c>
      <c r="E9063" s="1" t="str">
        <f ca="1">IFERROR(__xludf.DUMMYFUNCTION("GOOGLETRANSLATE(A5862 , ""tr"" , ""en"")"),"@drfahrettinkoca Allah Mahmet Eylesin Minister Attachment Attachment 740 Thousand Healthier DDA is to die ... When this freckle ... https://t.co/c6k4tlbop7")</f>
        <v>@drfahrettinkoca Allah Mahmet Eylesin Minister Attachment Attachment 740 Thousand Healthier DDA is to die ... When this freckle ... https://t.co/c6k4tlbop7</v>
      </c>
    </row>
    <row r="9064" spans="1:5" ht="15" customHeight="1" x14ac:dyDescent="0.2">
      <c r="A9064" s="1" t="s">
        <v>18019</v>
      </c>
      <c r="B9064" s="1">
        <v>0</v>
      </c>
      <c r="C9064" s="3">
        <v>44536.908148148148</v>
      </c>
      <c r="D9064" s="1" t="s">
        <v>18020</v>
      </c>
      <c r="E9064" s="1" t="str">
        <f ca="1">IFERROR(__xludf.DUMMYFUNCTION("GOOGLETRANSLATE(A5863 , ""tr"" , ""en"")"),"@drfahrettinkoca Allah Mahmet Eylesin Ministry of Appointment of 740 thousand healthiers waiting for the appointment ... When this ordeal ... https://t.co/o6jdllalo0")</f>
        <v>@drfahrettinkoca Allah Mahmet Eylesin Ministry of Appointment of 740 thousand healthiers waiting for the appointment ... When this ordeal ... https://t.co/o6jdllalo0</v>
      </c>
    </row>
    <row r="9065" spans="1:5" ht="15" customHeight="1" x14ac:dyDescent="0.2">
      <c r="A9065" s="1" t="s">
        <v>18021</v>
      </c>
      <c r="B9065" s="1">
        <v>43</v>
      </c>
      <c r="C9065" s="3">
        <v>44536.908055555556</v>
      </c>
      <c r="D9065" s="1" t="s">
        <v>18022</v>
      </c>
      <c r="E9065" s="1" t="str">
        <f ca="1">IFERROR(__xludf.DUMMYFUNCTION("GOOGLETRANSLATE(A5864 , ""tr"" , ""en"")"),"@drfahrettinkoca Hear our voice and bring your online education now. We have been ruined in schools in schools we are #abineuzaktantitimsart")</f>
        <v>@drfahrettinkoca Hear our voice and bring your online education now. We have been ruined in schools in schools we are #abineuzaktantitimsart</v>
      </c>
    </row>
    <row r="9066" spans="1:5" ht="15" customHeight="1" x14ac:dyDescent="0.2">
      <c r="A9066" s="1" t="s">
        <v>18023</v>
      </c>
      <c r="B9066" s="1">
        <v>0</v>
      </c>
      <c r="C9066" s="3">
        <v>44536.908020833333</v>
      </c>
      <c r="D9066" s="1" t="s">
        <v>18024</v>
      </c>
      <c r="E9066" s="1" t="str">
        <f ca="1">IFERROR(__xludf.DUMMYFUNCTION("GOOGLETRANSLATE(A5865 , ""tr"" , ""en"")"),"@drfahrettinkoca Allah Mahmet Eylesin Minister The appointment of the 740 thousans in the 740 thousand healthier waiting for the appointment ... When this ordeal ... https://t.co/n0ojs6haxz")</f>
        <v>@drfahrettinkoca Allah Mahmet Eylesin Minister The appointment of the 740 thousans in the 740 thousand healthier waiting for the appointment ... When this ordeal ... https://t.co/n0ojs6haxz</v>
      </c>
    </row>
    <row r="9067" spans="1:5" ht="15" customHeight="1" x14ac:dyDescent="0.2">
      <c r="A9067" s="1" t="s">
        <v>18025</v>
      </c>
      <c r="B9067" s="1">
        <v>4</v>
      </c>
      <c r="C9067" s="3">
        <v>44536.907743055555</v>
      </c>
      <c r="D9067" s="1" t="s">
        <v>18026</v>
      </c>
      <c r="E9067" s="1" t="str">
        <f ca="1">IFERROR(__xludf.DUMMYFUNCTION("GOOGLETRANSLATE(A5866 , ""tr"" , ""en"")"),"@drfahrettinkoca Turn off the BI assignment to be open everything to everything ... The last came last. We don't forget the hicbirs. Chest ... https://t.co/7o7cnjvhsy")</f>
        <v>@drfahrettinkoca Turn off the BI assignment to be open everything to everything ... The last came last. We don't forget the hicbirs. Chest ... https://t.co/7o7cnjvhsy</v>
      </c>
    </row>
    <row r="9068" spans="1:5" ht="15" customHeight="1" x14ac:dyDescent="0.2">
      <c r="A9068" s="1" t="s">
        <v>18027</v>
      </c>
      <c r="B9068" s="1">
        <v>0</v>
      </c>
      <c r="C9068" s="3">
        <v>44536.907638888886</v>
      </c>
      <c r="D9068" s="1" t="s">
        <v>18028</v>
      </c>
      <c r="E9068" s="1" t="str">
        <f ca="1">IFERROR(__xludf.DUMMYFUNCTION("GOOGLETRANSLATE(A5867 , ""tr"" , ""en"")"),"@drfahrettinkoca Allah Mahmet Eylesin Ministry of Appointment of 740 thousand healthiers waiting for the appointment ... When this ordeal ... https://t.co/zfyzqfxrt3")</f>
        <v>@drfahrettinkoca Allah Mahmet Eylesin Ministry of Appointment of 740 thousand healthiers waiting for the appointment ... When this ordeal ... https://t.co/zfyzqfxrt3</v>
      </c>
    </row>
    <row r="9069" spans="1:5" ht="15" customHeight="1" x14ac:dyDescent="0.2">
      <c r="A9069" s="1" t="s">
        <v>18029</v>
      </c>
      <c r="B9069" s="1">
        <v>3</v>
      </c>
      <c r="C9069" s="3">
        <v>44536.907222222224</v>
      </c>
      <c r="D9069" s="1" t="s">
        <v>18030</v>
      </c>
      <c r="E9069" s="1" t="str">
        <f ca="1">IFERROR(__xludf.DUMMYFUNCTION("GOOGLETRANSLATE(A5868 , ""tr"" , ""en"")"),"@drfahrettinkoca sn overlooking how many valuable teachers in this process we lost our belongs because they are so asset ... https://t.co/c8bhwp7oeo")</f>
        <v>@drfahrettinkoca sn overlooking how many valuable teachers in this process we lost our belongs because they are so asset ... https://t.co/c8bhwp7oeo</v>
      </c>
    </row>
    <row r="9070" spans="1:5" ht="15" customHeight="1" x14ac:dyDescent="0.2">
      <c r="A9070" s="1" t="s">
        <v>18031</v>
      </c>
      <c r="B9070" s="1">
        <v>21</v>
      </c>
      <c r="C9070" s="3">
        <v>44536.907060185185</v>
      </c>
      <c r="D9070" s="1" t="s">
        <v>18032</v>
      </c>
      <c r="E9070" s="1" t="str">
        <f ca="1">IFERROR(__xludf.DUMMYFUNCTION("GOOGLETRANSLATE(A5869 , ""tr"" , ""en"")"),"@drfahrettinkoca allah mercy eyles guide this week is now over the year")</f>
        <v>@drfahrettinkoca allah mercy eyles guide this week is now over the year</v>
      </c>
    </row>
    <row r="9071" spans="1:5" ht="15" customHeight="1" x14ac:dyDescent="0.2">
      <c r="A9071" s="1" t="s">
        <v>18033</v>
      </c>
      <c r="B9071" s="1">
        <v>0</v>
      </c>
      <c r="C9071" s="3">
        <v>44536.9065625</v>
      </c>
      <c r="D9071" s="1" t="s">
        <v>18034</v>
      </c>
      <c r="E9071" s="1" t="str">
        <f ca="1">IFERROR(__xludf.DUMMYFUNCTION("GOOGLETRANSLATE(A5870 , ""tr"" , ""en"")"),"@drfahrettinkoca Allah Rahmet Eylesin Hocam Contracted for Health Care staff Anam Bacımım 1000 kms ... https://t.co/tagvc6y3v1")</f>
        <v>@drfahrettinkoca Allah Rahmet Eylesin Hocam Contracted for Health Care staff Anam Bacımım 1000 kms ... https://t.co/tagvc6y3v1</v>
      </c>
    </row>
    <row r="9072" spans="1:5" ht="15" customHeight="1" x14ac:dyDescent="0.2">
      <c r="A9072" s="1" t="s">
        <v>18035</v>
      </c>
      <c r="B9072" s="1">
        <v>0</v>
      </c>
      <c r="C9072" s="3">
        <v>44536.905613425923</v>
      </c>
      <c r="D9072" s="1" t="s">
        <v>18036</v>
      </c>
      <c r="E9072" s="1" t="str">
        <f ca="1">IFERROR(__xludf.DUMMYFUNCTION("GOOGLETRANSLATE(A5871 , ""tr"" , ""en"")"),"@drfahrettinkoca sequence is going to all of us account in account")</f>
        <v>@drfahrettinkoca sequence is going to all of us account in account</v>
      </c>
    </row>
    <row r="9073" spans="1:5" ht="15" customHeight="1" x14ac:dyDescent="0.2">
      <c r="A9073" s="1" t="s">
        <v>18037</v>
      </c>
      <c r="B9073" s="1">
        <v>3</v>
      </c>
      <c r="C9073" s="3">
        <v>44536.903344907405</v>
      </c>
      <c r="D9073" s="1" t="s">
        <v>18038</v>
      </c>
      <c r="E9073" s="1" t="str">
        <f ca="1">IFERROR(__xludf.DUMMYFUNCTION("GOOGLETRANSLATE(A5872 , ""tr"" , ""en"")"),"@drfahrettinkoca hocam Describe the distribution on the basis of the following branch Based on the fallen in love with this stress on this stress Province usii Province ... https://t.co/ytppv4ylzx")</f>
        <v>@drfahrettinkoca hocam Describe the distribution on the basis of the following branch Based on the fallen in love with this stress on this stress Province usii Province ... https://t.co/ytppv4ylzx</v>
      </c>
    </row>
    <row r="9074" spans="1:5" ht="15" customHeight="1" x14ac:dyDescent="0.2">
      <c r="A9074" s="1" t="s">
        <v>18039</v>
      </c>
      <c r="B9074" s="1">
        <v>1</v>
      </c>
      <c r="C9074" s="3">
        <v>44536.901423611111</v>
      </c>
      <c r="D9074" s="1" t="s">
        <v>18040</v>
      </c>
      <c r="E9074" s="1" t="str">
        <f ca="1">IFERROR(__xludf.DUMMYFUNCTION("GOOGLETRANSLATE(A5873 , ""tr"" , ""en"")"),"@drfahrettinkoca we would like the guide that we have not received the score to stay unemployed.")</f>
        <v>@drfahrettinkoca we would like the guide that we have not received the score to stay unemployed.</v>
      </c>
    </row>
    <row r="9075" spans="1:5" ht="15" customHeight="1" x14ac:dyDescent="0.2">
      <c r="A9075" s="1" t="s">
        <v>18041</v>
      </c>
      <c r="B9075" s="1">
        <v>6</v>
      </c>
      <c r="C9075" s="3">
        <v>44536.900694444441</v>
      </c>
      <c r="D9075" s="1" t="s">
        <v>18042</v>
      </c>
      <c r="E9075" s="1" t="str">
        <f ca="1">IFERROR(__xludf.DUMMYFUNCTION("GOOGLETRANSLATE(A5874 , ""tr"" , ""en"")"),"@drfahrettinkoca @ mehmetali_59_ If the heart crisis is the definite vaccine in Allah mercy")</f>
        <v>@drfahrettinkoca @ mehmetali_59_ If the heart crisis is the definite vaccine in Allah mercy</v>
      </c>
    </row>
    <row r="9076" spans="1:5" ht="15" customHeight="1" x14ac:dyDescent="0.2">
      <c r="A9076" s="1" t="s">
        <v>17931</v>
      </c>
      <c r="B9076" s="1">
        <v>0</v>
      </c>
      <c r="C9076" s="3">
        <v>44536.900231481479</v>
      </c>
      <c r="D9076" s="1" t="s">
        <v>18043</v>
      </c>
      <c r="E9076" s="1" t="str">
        <f ca="1">IFERROR(__xludf.DUMMYFUNCTION("GOOGLETRANSLATE(A5875 , ""tr"" , ""en"")"),"@drfahrettinkoca allah mercy eyles")</f>
        <v>@drfahrettinkoca allah mercy eyles</v>
      </c>
    </row>
    <row r="9077" spans="1:5" ht="15" customHeight="1" x14ac:dyDescent="0.2">
      <c r="A9077" s="1" t="s">
        <v>18044</v>
      </c>
      <c r="B9077" s="1">
        <v>5</v>
      </c>
      <c r="C9077" s="3">
        <v>44536.899421296293</v>
      </c>
      <c r="D9077" s="1" t="s">
        <v>18045</v>
      </c>
      <c r="E9077" s="1" t="str">
        <f ca="1">IFERROR(__xludf.DUMMYFUNCTION("GOOGLETRANSLATE(A5876 , ""tr"" , ""en"")"),"@drfahrettinkoca # Healthcondare")</f>
        <v>@drfahrettinkoca # Healthcondare</v>
      </c>
    </row>
    <row r="9078" spans="1:5" ht="15" customHeight="1" x14ac:dyDescent="0.2">
      <c r="A9078" s="1" t="s">
        <v>18046</v>
      </c>
      <c r="B9078" s="1">
        <v>1</v>
      </c>
      <c r="C9078" s="3">
        <v>44536.899293981478</v>
      </c>
      <c r="D9078" s="1" t="s">
        <v>18047</v>
      </c>
      <c r="E9078" s="1" t="str">
        <f ca="1">IFERROR(__xludf.DUMMYFUNCTION("GOOGLETRANSLATE(A5877 , ""tr"" , ""en"")"),"@drfahrettinkoca guide guide guide guide guide guide")</f>
        <v>@drfahrettinkoca guide guide guide guide guide guide</v>
      </c>
    </row>
    <row r="9079" spans="1:5" ht="15" customHeight="1" x14ac:dyDescent="0.2">
      <c r="A9079" s="1" t="s">
        <v>18048</v>
      </c>
      <c r="B9079" s="1">
        <v>3</v>
      </c>
      <c r="C9079" s="3">
        <v>44536.898611111108</v>
      </c>
      <c r="D9079" s="1" t="s">
        <v>18049</v>
      </c>
      <c r="E9079" s="1" t="str">
        <f ca="1">IFERROR(__xludf.DUMMYFUNCTION("GOOGLETRANSLATE(A5878 , ""tr"" , ""en"")"),"@drfahrettinkoca Allah Mahmet Eylesin 🙏🏻 Fahrettin Hocam, 40 years old Two Little Girls Father for one of us AC ... https://t.co/9d05yvpnc0")</f>
        <v>@drfahrettinkoca Allah Mahmet Eylesin 🙏🏻 Fahrettin Hocam, 40 years old Two Little Girls Father for one of us AC ... https://t.co/9d05yvpnc0</v>
      </c>
    </row>
    <row r="9080" spans="1:5" ht="15" customHeight="1" x14ac:dyDescent="0.2">
      <c r="A9080" s="1" t="s">
        <v>8468</v>
      </c>
      <c r="B9080" s="1">
        <v>2</v>
      </c>
      <c r="C9080" s="3">
        <v>44536.896874999999</v>
      </c>
      <c r="D9080" s="1" t="s">
        <v>18050</v>
      </c>
      <c r="E9080" s="1" t="str">
        <f ca="1">IFERROR(__xludf.DUMMYFUNCTION("GOOGLETRANSLATE(A5879 , ""tr"" , ""en"")"),"@drfahrettinkoca dieticians are welcomed to assign the assignment to dietitians")</f>
        <v>@drfahrettinkoca dieticians are welcomed to assign the assignment to dietitians</v>
      </c>
    </row>
    <row r="9081" spans="1:5" ht="15" customHeight="1" x14ac:dyDescent="0.2">
      <c r="A9081" s="1" t="s">
        <v>8466</v>
      </c>
      <c r="B9081" s="1">
        <v>3</v>
      </c>
      <c r="C9081" s="3">
        <v>44536.896701388891</v>
      </c>
      <c r="D9081" s="1" t="s">
        <v>18051</v>
      </c>
      <c r="E9081" s="1" t="str">
        <f ca="1">IFERROR(__xludf.DUMMYFUNCTION("GOOGLETRANSLATE(A5880 , ""tr"" , ""en"")"),"@drfahrettinkoca dietitians are looking forward to the assignment to the dietitians")</f>
        <v>@drfahrettinkoca dietitians are looking forward to the assignment to the dietitians</v>
      </c>
    </row>
    <row r="9082" spans="1:5" ht="15" customHeight="1" x14ac:dyDescent="0.2">
      <c r="A9082" s="1" t="s">
        <v>18052</v>
      </c>
      <c r="B9082" s="1">
        <v>2</v>
      </c>
      <c r="C9082" s="3">
        <v>44536.896550925929</v>
      </c>
      <c r="D9082" s="1" t="s">
        <v>18053</v>
      </c>
      <c r="E9082" s="1" t="str">
        <f ca="1">IFERROR(__xludf.DUMMYFUNCTION("GOOGLETRANSLATE(A5881 , ""tr"" , ""en"")"),"@drfahrettinkoca Allah mercy. Was the grafted, I wondered now. How many dose of overdose had been")</f>
        <v>@drfahrettinkoca Allah mercy. Was the grafted, I wondered now. How many dose of overdose had been</v>
      </c>
    </row>
    <row r="9083" spans="1:5" ht="15" customHeight="1" x14ac:dyDescent="0.2">
      <c r="A9083" s="1" t="s">
        <v>7770</v>
      </c>
      <c r="B9083" s="1">
        <v>2</v>
      </c>
      <c r="C9083" s="3">
        <v>44536.896550925929</v>
      </c>
      <c r="D9083" s="1" t="s">
        <v>18054</v>
      </c>
      <c r="E9083" s="1" t="str">
        <f ca="1">IFERROR(__xludf.DUMMYFUNCTION("GOOGLETRANSLATE(A5882 , ""tr"" , ""en"")"),"@drfahrettinkoca dietitians are welcomed to assign the assignment to the dietitians Sayin Minister 91 Score of Cardiacy Still Acikta")</f>
        <v>@drfahrettinkoca dietitians are welcomed to assign the assignment to the dietitians Sayin Minister 91 Score of Cardiacy Still Acikta</v>
      </c>
    </row>
    <row r="9084" spans="1:5" ht="15" customHeight="1" x14ac:dyDescent="0.2">
      <c r="A9084" s="1" t="s">
        <v>18055</v>
      </c>
      <c r="B9084" s="1">
        <v>9</v>
      </c>
      <c r="C9084" s="3">
        <v>44536.894976851851</v>
      </c>
      <c r="D9084" s="1" t="s">
        <v>18056</v>
      </c>
      <c r="E9084" s="1" t="str">
        <f ca="1">IFERROR(__xludf.DUMMYFUNCTION("GOOGLETRANSLATE(A5883 , ""tr"" , ""en"")"),"@drfahrettinkoca # CabinetAktaniDitimsArt https://t.co/oa85809mmc")</f>
        <v>@drfahrettinkoca # CabinetAktaniDitimsArt https://t.co/oa85809mmc</v>
      </c>
    </row>
    <row r="9085" spans="1:5" ht="15" customHeight="1" x14ac:dyDescent="0.2">
      <c r="A9085" s="1" t="s">
        <v>18057</v>
      </c>
      <c r="B9085" s="1">
        <v>0</v>
      </c>
      <c r="C9085" s="3">
        <v>44536.894814814812</v>
      </c>
      <c r="D9085" s="1" t="s">
        <v>18058</v>
      </c>
      <c r="E9085" s="1" t="str">
        <f ca="1">IFERROR(__xludf.DUMMYFUNCTION("GOOGLETRANSLATE(A5884 , ""tr"" , ""en"")"),"@drfahrettinka I'm worth the little lives I'm more sorry when they die.")</f>
        <v>@drfahrettinka I'm worth the little lives I'm more sorry when they die.</v>
      </c>
    </row>
    <row r="9086" spans="1:5" ht="15" customHeight="1" x14ac:dyDescent="0.2">
      <c r="A9086" s="1" t="s">
        <v>17931</v>
      </c>
      <c r="B9086" s="1">
        <v>0</v>
      </c>
      <c r="C9086" s="3">
        <v>44536.893182870372</v>
      </c>
      <c r="D9086" s="1" t="s">
        <v>18059</v>
      </c>
      <c r="E9086" s="1" t="str">
        <f ca="1">IFERROR(__xludf.DUMMYFUNCTION("GOOGLETRANSLATE(A5885 , ""tr"" , ""en"")"),"@drfahrettinkoca allah mercy eyles")</f>
        <v>@drfahrettinkoca allah mercy eyles</v>
      </c>
    </row>
    <row r="9087" spans="1:5" ht="15" customHeight="1" x14ac:dyDescent="0.2">
      <c r="A9087" s="1" t="s">
        <v>18060</v>
      </c>
      <c r="B9087" s="1">
        <v>0</v>
      </c>
      <c r="C9087" s="3">
        <v>44536.892638888887</v>
      </c>
      <c r="D9087" s="1" t="s">
        <v>18061</v>
      </c>
      <c r="E9087" s="1" t="str">
        <f ca="1">IFERROR(__xludf.DUMMYFUNCTION("GOOGLETRANSLATE(A5886 , ""tr"" , ""en"")"),"@drfahrettinkoca with your wish for your thesis time ..")</f>
        <v>@drfahrettinkoca with your wish for your thesis time ..</v>
      </c>
    </row>
    <row r="9088" spans="1:5" ht="15" customHeight="1" x14ac:dyDescent="0.2">
      <c r="A9088" s="1" t="s">
        <v>16832</v>
      </c>
      <c r="B9088" s="1">
        <v>5</v>
      </c>
      <c r="C9088" s="3">
        <v>44536.892638888887</v>
      </c>
      <c r="D9088" s="1" t="s">
        <v>18062</v>
      </c>
      <c r="E9088" s="1" t="str">
        <f ca="1">IFERROR(__xludf.DUMMYFUNCTION("GOOGLETRANSLATE(A5887 , ""tr"" , ""en"")"),"@drfahrettinkoca # kabineuzaktanılitimsart")</f>
        <v>@drfahrettinkoca # kabineuzaktanılitimsart</v>
      </c>
    </row>
    <row r="9089" spans="1:5" ht="15" customHeight="1" x14ac:dyDescent="0.2">
      <c r="A9089" s="1" t="s">
        <v>18063</v>
      </c>
      <c r="B9089" s="1">
        <v>0</v>
      </c>
      <c r="C9089" s="3">
        <v>44536.892500000002</v>
      </c>
      <c r="D9089" s="1" t="s">
        <v>18064</v>
      </c>
      <c r="E9089" s="1" t="str">
        <f ca="1">IFERROR(__xludf.DUMMYFUNCTION("GOOGLETRANSLATE(A5888 , ""tr"" , ""en"")"),"@drfahrettinkoca manual Mr. Minister, Allah mercy eyles")</f>
        <v>@drfahrettinkoca manual Mr. Minister, Allah mercy eyles</v>
      </c>
    </row>
    <row r="9090" spans="1:5" ht="15" customHeight="1" x14ac:dyDescent="0.2">
      <c r="A9090" s="1" t="s">
        <v>18065</v>
      </c>
      <c r="B9090" s="1">
        <v>10</v>
      </c>
      <c r="C9090" s="3">
        <v>44536.892129629632</v>
      </c>
      <c r="D9090" s="1" t="s">
        <v>18066</v>
      </c>
      <c r="E9090" s="1" t="str">
        <f ca="1">IFERROR(__xludf.DUMMYFUNCTION("GOOGLETRANSLATE(A5889 , ""tr"" , ""en"")"),"@drfahrettinkoca Hippocratic Yaşi, Bi Mapper-Dr's Namus Word, is the vows of the Healthpaths.")</f>
        <v>@drfahrettinkoca Hippocratic Yaşi, Bi Mapper-Dr's Namus Word, is the vows of the Healthpaths.</v>
      </c>
    </row>
    <row r="9091" spans="1:5" ht="15" customHeight="1" x14ac:dyDescent="0.2">
      <c r="A9091" s="1" t="s">
        <v>18067</v>
      </c>
      <c r="B9091" s="1">
        <v>0</v>
      </c>
      <c r="C9091" s="3">
        <v>44536.891828703701</v>
      </c>
      <c r="D9091" s="1" t="s">
        <v>18068</v>
      </c>
      <c r="E9091" s="1" t="str">
        <f ca="1">IFERROR(__xludf.DUMMYFUNCTION("GOOGLETRANSLATE(A5890 , ""tr"" , ""en"")"),"@drfahrettinkoca guide we want this week")</f>
        <v>@drfahrettinkoca guide we want this week</v>
      </c>
    </row>
    <row r="9092" spans="1:5" ht="15" customHeight="1" x14ac:dyDescent="0.2">
      <c r="A9092" s="1" t="s">
        <v>18069</v>
      </c>
      <c r="B9092" s="1">
        <v>16</v>
      </c>
      <c r="C9092" s="3">
        <v>44536.891226851854</v>
      </c>
      <c r="D9092" s="1" t="s">
        <v>18070</v>
      </c>
      <c r="E9092" s="1" t="str">
        <f ca="1">IFERROR(__xludf.DUMMYFUNCTION("GOOGLETRANSLATE(A5891 , ""tr"" , ""en"")"),"@drfahrettinkoca fahrettin husband; did not work out of your attitude at the beginning of the epidemic, bubbles out.")</f>
        <v>@drfahrettinkoca fahrettin husband; did not work out of your attitude at the beginning of the epidemic, bubbles out.</v>
      </c>
    </row>
    <row r="9093" spans="1:5" ht="15" customHeight="1" x14ac:dyDescent="0.2">
      <c r="A9093" s="1" t="s">
        <v>18071</v>
      </c>
      <c r="B9093" s="1">
        <v>1</v>
      </c>
      <c r="C9093" s="3">
        <v>44536.891006944446</v>
      </c>
      <c r="D9093" s="1" t="s">
        <v>18072</v>
      </c>
      <c r="E9093" s="1" t="str">
        <f ca="1">IFERROR(__xludf.DUMMYFUNCTION("GOOGLETRANSLATE(A5892 , ""tr"" , ""en"")"),"@drfahrettinkoca assigning the pending healthparties to the soul of the soul. @drfahrettinkoca")</f>
        <v>@drfahrettinkoca assigning the pending healthparties to the soul of the soul. @drfahrettinkoca</v>
      </c>
    </row>
    <row r="9094" spans="1:5" ht="15" customHeight="1" x14ac:dyDescent="0.2">
      <c r="A9094" s="1" t="s">
        <v>18073</v>
      </c>
      <c r="B9094" s="1">
        <v>3</v>
      </c>
      <c r="C9094" s="3">
        <v>44536.890277777777</v>
      </c>
      <c r="D9094" s="1" t="s">
        <v>18074</v>
      </c>
      <c r="E9094" s="1" t="str">
        <f ca="1">IFERROR(__xludf.DUMMYFUNCTION("GOOGLETRANSLATE(A5893 , ""tr"" , ""en"")"),"@drfahrettinkoca Believe I don't want to write the guide underneath your claims tweet")</f>
        <v>@drfahrettinkoca Believe I don't want to write the guide underneath your claims tweet</v>
      </c>
    </row>
    <row r="9095" spans="1:5" ht="15" customHeight="1" x14ac:dyDescent="0.2">
      <c r="A9095" s="1" t="s">
        <v>18075</v>
      </c>
      <c r="B9095" s="1">
        <v>6</v>
      </c>
      <c r="C9095" s="3">
        <v>44536.88994212963</v>
      </c>
      <c r="D9095" s="1" t="s">
        <v>18076</v>
      </c>
      <c r="E9095" s="1" t="str">
        <f ca="1">IFERROR(__xludf.DUMMYFUNCTION("GOOGLETRANSLATE(A5894 , ""tr"" , ""en"")"),"@drfahrettinkoca Due to the corona Due to 200 people for 200 people with the only Tweet ATHYSOS. he is ... https://t.co/4kty1sasxe")</f>
        <v>@drfahrettinkoca Due to the corona Due to 200 people for 200 people with the only Tweet ATHYSOS. he is ... https://t.co/4kty1sasxe</v>
      </c>
    </row>
    <row r="9096" spans="1:5" ht="15" customHeight="1" x14ac:dyDescent="0.2">
      <c r="A9096" s="1" t="s">
        <v>18077</v>
      </c>
      <c r="B9096" s="1">
        <v>26</v>
      </c>
      <c r="C9096" s="3">
        <v>44536.889780092592</v>
      </c>
      <c r="D9096" s="1" t="s">
        <v>18078</v>
      </c>
      <c r="E9096" s="1" t="str">
        <f ca="1">IFERROR(__xludf.DUMMYFUNCTION("GOOGLETRANSLATE(A5895 , ""tr"" , ""en"")"),"@drfahrettinkoca We want to online education Minister Enough Hear Our Voice Of Your Voice Darling Your Ears")</f>
        <v>@drfahrettinkoca We want to online education Minister Enough Hear Our Voice Of Your Voice Darling Your Ears</v>
      </c>
    </row>
    <row r="9097" spans="1:5" ht="15" customHeight="1" x14ac:dyDescent="0.2">
      <c r="A9097" s="1" t="s">
        <v>18079</v>
      </c>
      <c r="B9097" s="1">
        <v>1</v>
      </c>
      <c r="C9097" s="3">
        <v>44536.889768518522</v>
      </c>
      <c r="D9097" s="1" t="s">
        <v>18080</v>
      </c>
      <c r="E9097" s="1" t="str">
        <f ca="1">IFERROR(__xludf.DUMMYFUNCTION("GOOGLETRANSLATE(A5896 , ""tr"" , ""en"")"),"@drfahrettinkoca making fun of us fasoooo you choose the way you choose the way you choose")</f>
        <v>@drfahrettinkoca making fun of us fasoooo you choose the way you choose the way you choose</v>
      </c>
    </row>
    <row r="9098" spans="1:5" ht="15" customHeight="1" x14ac:dyDescent="0.2">
      <c r="A9098" s="1" t="s">
        <v>18081</v>
      </c>
      <c r="B9098" s="1">
        <v>3</v>
      </c>
      <c r="C9098" s="3">
        <v>44536.889560185184</v>
      </c>
      <c r="D9098" s="1" t="s">
        <v>18082</v>
      </c>
      <c r="E9098" s="1" t="str">
        <f ca="1">IFERROR(__xludf.DUMMYFUNCTION("GOOGLETRANSLATE(A5897 , ""tr"" , ""en"")"),"@drfahrettinkoca We are not assigning every day Mr. Minister is the greatest in charge of this")</f>
        <v>@drfahrettinkoca We are not assigning every day Mr. Minister is the greatest in charge of this</v>
      </c>
    </row>
    <row r="9099" spans="1:5" ht="15" customHeight="1" x14ac:dyDescent="0.2">
      <c r="A9099" s="1" t="s">
        <v>15981</v>
      </c>
      <c r="B9099" s="1">
        <v>0</v>
      </c>
      <c r="C9099" s="3">
        <v>44536.889398148145</v>
      </c>
      <c r="D9099" s="1" t="s">
        <v>18083</v>
      </c>
      <c r="E9099" s="1" t="str">
        <f ca="1">IFERROR(__xludf.DUMMYFUNCTION("GOOGLETRANSLATE(A5898 , ""tr"" , ""en"")"),"@drfahrettinkoca guanuzzzz")</f>
        <v>@drfahrettinkoca guanuzzzz</v>
      </c>
    </row>
    <row r="9100" spans="1:5" ht="15" customHeight="1" x14ac:dyDescent="0.2">
      <c r="A9100" s="1" t="s">
        <v>18084</v>
      </c>
      <c r="B9100" s="1">
        <v>4</v>
      </c>
      <c r="C9100" s="3">
        <v>44536.888935185183</v>
      </c>
      <c r="D9100" s="1" t="s">
        <v>18085</v>
      </c>
      <c r="E9100" s="1" t="str">
        <f ca="1">IFERROR(__xludf.DUMMYFUNCTION("GOOGLETRANSLATE(A5899 , ""tr"" , ""en"")"),"@drfahrettinka vaccines make good work")</f>
        <v>@drfahrettinka vaccines make good work</v>
      </c>
    </row>
    <row r="9101" spans="1:5" ht="15" customHeight="1" x14ac:dyDescent="0.2">
      <c r="A9101" s="1" t="s">
        <v>13402</v>
      </c>
      <c r="B9101" s="1">
        <v>1</v>
      </c>
      <c r="C9101" s="3">
        <v>44536.888935185183</v>
      </c>
      <c r="D9101" s="1" t="s">
        <v>18086</v>
      </c>
      <c r="E9101" s="1" t="str">
        <f ca="1">IFERROR(__xludf.DUMMYFUNCTION("GOOGLETRANSLATE(A5900 , ""tr"" , ""en"")"),"@drfahrettinkoca We want guide")</f>
        <v>@drfahrettinkoca We want guide</v>
      </c>
    </row>
    <row r="9102" spans="1:5" ht="15" customHeight="1" x14ac:dyDescent="0.2">
      <c r="A9102" s="1" t="s">
        <v>18087</v>
      </c>
      <c r="B9102" s="1">
        <v>0</v>
      </c>
      <c r="C9102" s="3">
        <v>44536.888865740744</v>
      </c>
      <c r="D9102" s="1" t="s">
        <v>18088</v>
      </c>
      <c r="E9102" s="1" t="str">
        <f ca="1">IFERROR(__xludf.DUMMYFUNCTION("GOOGLETRANSLATE(A5901 , ""tr"" , ""en"")"),"@drfahrettinkoca guide you forgot yaaa remind your emergency")</f>
        <v>@drfahrettinkoca guide you forgot yaaa remind your emergency</v>
      </c>
    </row>
    <row r="9103" spans="1:5" ht="15" customHeight="1" x14ac:dyDescent="0.2">
      <c r="A9103" s="1" t="s">
        <v>17931</v>
      </c>
      <c r="B9103" s="1">
        <v>0</v>
      </c>
      <c r="C9103" s="3">
        <v>44536.888368055559</v>
      </c>
      <c r="D9103" s="1" t="s">
        <v>18089</v>
      </c>
      <c r="E9103" s="1" t="str">
        <f ca="1">IFERROR(__xludf.DUMMYFUNCTION("GOOGLETRANSLATE(A5902 , ""tr"" , ""en"")"),"@drfahrettinkoca allah mercy eyles")</f>
        <v>@drfahrettinkoca allah mercy eyles</v>
      </c>
    </row>
    <row r="9104" spans="1:5" ht="15" customHeight="1" x14ac:dyDescent="0.2">
      <c r="A9104" s="1" t="s">
        <v>18090</v>
      </c>
      <c r="B9104" s="1">
        <v>71</v>
      </c>
      <c r="C9104" s="3">
        <v>44536.888344907406</v>
      </c>
      <c r="D9104" s="1" t="s">
        <v>18091</v>
      </c>
      <c r="E9104" s="1" t="str">
        <f ca="1">IFERROR(__xludf.DUMMYFUNCTION("GOOGLETRANSLATE(A5903 , ""tr"" , ""en"")"),"@drfahrettinka We want online education. We are unable to yield this way. The case in schools rose too much. Class with mask ... https://t.co/lı5vcftlvw")</f>
        <v>@drfahrettinka We want online education. We are unable to yield this way. The case in schools rose too much. Class with mask ... https://t.co/lı5vcftlvw</v>
      </c>
    </row>
    <row r="9105" spans="1:5" ht="15" customHeight="1" x14ac:dyDescent="0.2">
      <c r="A9105" s="1" t="s">
        <v>18092</v>
      </c>
      <c r="B9105" s="1">
        <v>0</v>
      </c>
      <c r="C9105" s="3">
        <v>44536.888321759259</v>
      </c>
      <c r="D9105" s="1" t="s">
        <v>18093</v>
      </c>
      <c r="E9105" s="1" t="str">
        <f ca="1">IFERROR(__xludf.DUMMYFUNCTION("GOOGLETRANSLATE(A5904 , ""tr"" , ""en"")"),"@drfahrettinkoca allah cc rental action venues get heaven")</f>
        <v>@drfahrettinkoca allah cc rental action venues get heaven</v>
      </c>
    </row>
    <row r="9106" spans="1:5" ht="15" customHeight="1" x14ac:dyDescent="0.2">
      <c r="A9106" s="1" t="s">
        <v>10058</v>
      </c>
      <c r="B9106" s="1">
        <v>0</v>
      </c>
      <c r="C9106" s="3">
        <v>44536.888032407405</v>
      </c>
      <c r="D9106" s="1" t="s">
        <v>18094</v>
      </c>
      <c r="E9106" s="1" t="str">
        <f ca="1">IFERROR(__xludf.DUMMYFUNCTION("GOOGLETRANSLATE(A5905 , ""tr"" , ""en"")"),"@drfahrettinkoca Guide")</f>
        <v>@drfahrettinkoca Guide</v>
      </c>
    </row>
    <row r="9107" spans="1:5" ht="15" customHeight="1" x14ac:dyDescent="0.2">
      <c r="A9107" s="1" t="s">
        <v>18095</v>
      </c>
      <c r="B9107" s="1">
        <v>8</v>
      </c>
      <c r="C9107" s="3">
        <v>44536.887789351851</v>
      </c>
      <c r="D9107" s="1" t="s">
        <v>18096</v>
      </c>
      <c r="E9107" s="1" t="str">
        <f ca="1">IFERROR(__xludf.DUMMYFUNCTION("GOOGLETRANSLATE(A5906 , ""tr"" , ""en"")"),"@drfahrettinka firstly allah mercy action, guess this is going to last our little lives when we wait for the assignment")</f>
        <v>@drfahrettinka firstly allah mercy action, guess this is going to last our little lives when we wait for the assignment</v>
      </c>
    </row>
    <row r="9108" spans="1:5" ht="15" customHeight="1" x14ac:dyDescent="0.2">
      <c r="A9108" s="1" t="s">
        <v>18097</v>
      </c>
      <c r="B9108" s="1">
        <v>0</v>
      </c>
      <c r="C9108" s="3">
        <v>44536.887743055559</v>
      </c>
      <c r="D9108" s="1" t="s">
        <v>18098</v>
      </c>
      <c r="E9108" s="1" t="str">
        <f ca="1">IFERROR(__xludf.DUMMYFUNCTION("GOOGLETRANSLATE(A5907 , ""tr"" , ""en"")"),"@drfahrettinkoca Allah Görmet Eylesin")</f>
        <v>@drfahrettinkoca Allah Görmet Eylesin</v>
      </c>
    </row>
    <row r="9109" spans="1:5" ht="15" customHeight="1" x14ac:dyDescent="0.2">
      <c r="A9109" s="1" t="s">
        <v>18099</v>
      </c>
      <c r="B9109" s="1">
        <v>2</v>
      </c>
      <c r="C9109" s="3">
        <v>44536.88758101852</v>
      </c>
      <c r="D9109" s="1" t="s">
        <v>18100</v>
      </c>
      <c r="E9109" s="1" t="str">
        <f ca="1">IFERROR(__xludf.DUMMYFUNCTION("GOOGLETRANSLATE(A5908 , ""tr"" , ""en"")"),"@drfahrettinkoca Allah mercy. Our guide is when the future of the future")</f>
        <v>@drfahrettinkoca Allah mercy. Our guide is when the future of the future</v>
      </c>
    </row>
    <row r="9110" spans="1:5" ht="15" customHeight="1" x14ac:dyDescent="0.2">
      <c r="A9110" s="1" t="s">
        <v>18101</v>
      </c>
      <c r="B9110" s="1">
        <v>29</v>
      </c>
      <c r="C9110" s="3">
        <v>44536.886620370373</v>
      </c>
      <c r="D9110" s="1" t="s">
        <v>18102</v>
      </c>
      <c r="E9110" s="1" t="str">
        <f ca="1">IFERROR(__xludf.DUMMYFUNCTION("GOOGLETRANSLATE(A5909 , ""tr"" , ""en"")"),"@drfahrettinkoca Mr. Minister, I wonder if we are sleeping at this time and sharing it at this time ... https://t.co/osebajfkf7")</f>
        <v>@drfahrettinkoca Mr. Minister, I wonder if we are sleeping at this time and sharing it at this time ... https://t.co/osebajfkf7</v>
      </c>
    </row>
    <row r="9111" spans="1:5" ht="15" customHeight="1" x14ac:dyDescent="0.2">
      <c r="A9111" s="1" t="s">
        <v>18103</v>
      </c>
      <c r="B9111" s="1">
        <v>0</v>
      </c>
      <c r="C9111" s="3">
        <v>44536.88653935185</v>
      </c>
      <c r="D9111" s="1" t="s">
        <v>18104</v>
      </c>
      <c r="E9111" s="1" t="str">
        <f ca="1">IFERROR(__xludf.DUMMYFUNCTION("GOOGLETRANSLATE(A5910 , ""tr"" , ""en"")"),"@drfahrettinkoca I burned the heart burned, no longer the teoman in the world comes to me. Allah Rank ... Https://t.co/cuaxtlru6g")</f>
        <v>@drfahrettinkoca I burned the heart burned, no longer the teoman in the world comes to me. Allah Rank ... Https://t.co/cuaxtlru6g</v>
      </c>
    </row>
    <row r="9112" spans="1:5" ht="15" customHeight="1" x14ac:dyDescent="0.2">
      <c r="A9112" s="1" t="s">
        <v>18105</v>
      </c>
      <c r="B9112" s="1">
        <v>1</v>
      </c>
      <c r="C9112" s="3">
        <v>44536.886331018519</v>
      </c>
      <c r="D9112" s="1" t="s">
        <v>18106</v>
      </c>
      <c r="E9112" s="1" t="str">
        <f ca="1">IFERROR(__xludf.DUMMYFUNCTION("GOOGLETRANSLATE(A5911 , ""tr"" , ""en"")"),"@drfahrettinkoca you will also make us the mercy of the right.")</f>
        <v>@drfahrettinkoca you will also make us the mercy of the right.</v>
      </c>
    </row>
    <row r="9113" spans="1:5" ht="15" customHeight="1" x14ac:dyDescent="0.2">
      <c r="A9113" s="1" t="s">
        <v>18107</v>
      </c>
      <c r="B9113" s="1">
        <v>31</v>
      </c>
      <c r="C9113" s="3">
        <v>44536.885891203703</v>
      </c>
      <c r="D9113" s="1" t="s">
        <v>18108</v>
      </c>
      <c r="E9113" s="1" t="str">
        <f ca="1">IFERROR(__xludf.DUMMYFUNCTION("GOOGLETRANSLATE(A5912 , ""tr"" , ""en"")"),"@drfahrettinkoca Allah Mahmet Eylesin Big Bey Don't Sad You Everyday 800 Thousand Healther Mecazen 30k Healther T ... HTTPS://T.CO/AV2MK7Q0C7")</f>
        <v>@drfahrettinkoca Allah Mahmet Eylesin Big Bey Don't Sad You Everyday 800 Thousand Healther Mecazen 30k Healther T ... HTTPS://T.CO/AV2MK7Q0C7</v>
      </c>
    </row>
    <row r="9114" spans="1:5" ht="15" customHeight="1" x14ac:dyDescent="0.2">
      <c r="A9114" s="1" t="s">
        <v>18109</v>
      </c>
      <c r="B9114" s="1">
        <v>1</v>
      </c>
      <c r="C9114" s="3">
        <v>44536.884791666664</v>
      </c>
      <c r="D9114" s="1" t="s">
        <v>18110</v>
      </c>
      <c r="E9114" s="1" t="str">
        <f ca="1">IFERROR(__xludf.DUMMYFUNCTION("GOOGLETRANSLATE(A5913 , ""tr"" , ""en"")"),"@drfahrettinkoca Minister of Guide")</f>
        <v>@drfahrettinkoca Minister of Guide</v>
      </c>
    </row>
    <row r="9115" spans="1:5" ht="15" customHeight="1" x14ac:dyDescent="0.2">
      <c r="A9115" s="1" t="s">
        <v>18111</v>
      </c>
      <c r="B9115" s="1">
        <v>0</v>
      </c>
      <c r="C9115" s="3">
        <v>44536.884745370371</v>
      </c>
      <c r="D9115" s="1" t="s">
        <v>18112</v>
      </c>
      <c r="E9115" s="1" t="str">
        <f ca="1">IFERROR(__xludf.DUMMYFUNCTION("GOOGLETRANSLATE(A5914 , ""tr"" , ""en"")"),"@drfahrettinkoca Guide ZZZ")</f>
        <v>@drfahrettinkoca Guide ZZZ</v>
      </c>
    </row>
    <row r="9116" spans="1:5" ht="15" customHeight="1" x14ac:dyDescent="0.2">
      <c r="A9116" s="1" t="s">
        <v>18113</v>
      </c>
      <c r="B9116" s="1">
        <v>0</v>
      </c>
      <c r="C9116" s="3">
        <v>44536.884560185186</v>
      </c>
      <c r="D9116" s="1" t="s">
        <v>18114</v>
      </c>
      <c r="E9116" s="1" t="str">
        <f ca="1">IFERROR(__xludf.DUMMYFUNCTION("GOOGLETRANSLATE(A5915 , ""tr"" , ""en"")"),"@drfahrettinkoca Minister Please Please Wish We Like It Longer Becomes Being Beters Either Enough Explain Enough")</f>
        <v>@drfahrettinkoca Minister Please Please Wish We Like It Longer Becomes Being Beters Either Enough Explain Enough</v>
      </c>
    </row>
    <row r="9117" spans="1:5" ht="15" customHeight="1" x14ac:dyDescent="0.2">
      <c r="A9117" s="1" t="s">
        <v>18115</v>
      </c>
      <c r="B9117" s="1">
        <v>0</v>
      </c>
      <c r="C9117" s="3">
        <v>44536.884548611109</v>
      </c>
      <c r="D9117" s="1" t="s">
        <v>18116</v>
      </c>
      <c r="E9117" s="1" t="str">
        <f ca="1">IFERROR(__xludf.DUMMYFUNCTION("GOOGLETRANSLATE(A5916 , ""tr"" , ""en"")"),"@drfahrettinka vaccine tammiMis Bari Minister? May Allah mercy")</f>
        <v>@drfahrettinka vaccine tammiMis Bari Minister? May Allah mercy</v>
      </c>
    </row>
    <row r="9118" spans="1:5" ht="15" customHeight="1" x14ac:dyDescent="0.2">
      <c r="A9118" s="1" t="s">
        <v>18117</v>
      </c>
      <c r="B9118" s="1">
        <v>2</v>
      </c>
      <c r="C9118" s="3">
        <v>44536.884479166663</v>
      </c>
      <c r="D9118" s="1" t="s">
        <v>18118</v>
      </c>
      <c r="E9118" s="1" t="str">
        <f ca="1">IFERROR(__xludf.DUMMYFUNCTION("GOOGLETRANSLATE(A5917 , ""tr"" , ""en"")"),"@drfahrettinka https://t.co/xji7hzu64x")</f>
        <v>@drfahrettinka https://t.co/xji7hzu64x</v>
      </c>
    </row>
    <row r="9119" spans="1:5" ht="15" customHeight="1" x14ac:dyDescent="0.2">
      <c r="A9119" s="1" t="s">
        <v>18119</v>
      </c>
      <c r="B9119" s="1">
        <v>1</v>
      </c>
      <c r="C9119" s="3">
        <v>44536.884189814817</v>
      </c>
      <c r="D9119" s="1" t="s">
        <v>18120</v>
      </c>
      <c r="E9119" s="1" t="str">
        <f ca="1">IFERROR(__xludf.DUMMYFUNCTION("GOOGLETRANSLATE(A5918 , ""tr"" , ""en"")"),"@drfahrettinkoca All odd and contrast event how weird and contrasting the name of Allah's name.")</f>
        <v>@drfahrettinkoca All odd and contrast event how weird and contrasting the name of Allah's name.</v>
      </c>
    </row>
    <row r="9120" spans="1:5" ht="15" customHeight="1" x14ac:dyDescent="0.2">
      <c r="A9120" s="1" t="s">
        <v>18121</v>
      </c>
      <c r="B9120" s="1">
        <v>1</v>
      </c>
      <c r="C9120" s="3">
        <v>44536.884131944447</v>
      </c>
      <c r="D9120" s="1" t="s">
        <v>18122</v>
      </c>
      <c r="E9120" s="1" t="str">
        <f ca="1">IFERROR(__xludf.DUMMYFUNCTION("GOOGLETRANSLATE(A5919 , ""tr"" , ""en"")"),"@drfahrettinka AYBARS SMA Tip1 is struggling with deadly muscle disease. The donation campaign is moving very slowly. T ... https://t.co/mszvwnzyvt")</f>
        <v>@drfahrettinka AYBARS SMA Tip1 is struggling with deadly muscle disease. The donation campaign is moving very slowly. T ... https://t.co/mszvwnzyvt</v>
      </c>
    </row>
    <row r="9121" spans="1:5" ht="15" customHeight="1" x14ac:dyDescent="0.2">
      <c r="A9121" s="1" t="s">
        <v>18123</v>
      </c>
      <c r="B9121" s="1">
        <v>0</v>
      </c>
      <c r="C9121" s="3">
        <v>44536.884039351855</v>
      </c>
      <c r="D9121" s="1" t="s">
        <v>18124</v>
      </c>
      <c r="E9121" s="1" t="str">
        <f ca="1">IFERROR(__xludf.DUMMYFUNCTION("GOOGLETRANSLATE(A5920 , ""tr"" , ""en"")"),"@drfahrettinkoca Emergency Guide should come")</f>
        <v>@drfahrettinkoca Emergency Guide should come</v>
      </c>
    </row>
    <row r="9122" spans="1:5" ht="15" customHeight="1" x14ac:dyDescent="0.2">
      <c r="A9122" s="1" t="s">
        <v>18125</v>
      </c>
      <c r="B9122" s="1">
        <v>1</v>
      </c>
      <c r="C9122" s="3">
        <v>44536.883900462963</v>
      </c>
      <c r="D9122" s="1" t="s">
        <v>18126</v>
      </c>
      <c r="E9122" s="1" t="str">
        <f ca="1">IFERROR(__xludf.DUMMYFUNCTION("GOOGLETRANSLATE(A5921 , ""tr"" , ""en"")"),"@drfahrettinkoca allah mercy eyles")</f>
        <v>@drfahrettinkoca allah mercy eyles</v>
      </c>
    </row>
    <row r="9123" spans="1:5" ht="15" customHeight="1" x14ac:dyDescent="0.2">
      <c r="A9123" s="1" t="s">
        <v>18127</v>
      </c>
      <c r="B9123" s="1">
        <v>0</v>
      </c>
      <c r="C9123" s="3">
        <v>44536.88385416667</v>
      </c>
      <c r="D9123" s="1" t="s">
        <v>18128</v>
      </c>
      <c r="E9123" s="1" t="str">
        <f ca="1">IFERROR(__xludf.DUMMYFUNCTION("GOOGLETRANSLATE(A5922 , ""tr"" , ""en"")"),"@drfahrettinkoca immediately guide")</f>
        <v>@drfahrettinkoca immediately guide</v>
      </c>
    </row>
    <row r="9124" spans="1:5" ht="15" customHeight="1" x14ac:dyDescent="0.2">
      <c r="A9124" s="1" t="s">
        <v>18129</v>
      </c>
      <c r="B9124" s="1">
        <v>2</v>
      </c>
      <c r="C9124" s="3">
        <v>44536.883680555555</v>
      </c>
      <c r="D9124" s="1" t="s">
        <v>18130</v>
      </c>
      <c r="E9124" s="1" t="str">
        <f ca="1">IFERROR(__xludf.DUMMYFUNCTION("GOOGLETRANSLATE(A5923 , ""tr"" , ""en"")"),"@drfahrettinkoca Guide I'm not even accepting tomorrow now")</f>
        <v>@drfahrettinkoca Guide I'm not even accepting tomorrow now</v>
      </c>
    </row>
    <row r="9125" spans="1:5" ht="15" customHeight="1" x14ac:dyDescent="0.2">
      <c r="A9125" s="1" t="s">
        <v>18131</v>
      </c>
      <c r="B9125" s="1">
        <v>1</v>
      </c>
      <c r="C9125" s="3">
        <v>44536.883645833332</v>
      </c>
      <c r="D9125" s="1" t="s">
        <v>18132</v>
      </c>
      <c r="E9125" s="1" t="str">
        <f ca="1">IFERROR(__xludf.DUMMYFUNCTION("GOOGLETRANSLATE(A5924 , ""tr"" , ""en"")"),"@drfahrettinkoca came guanlers let's see Hamdols ...")</f>
        <v>@drfahrettinkoca came guanlers let's see Hamdols ...</v>
      </c>
    </row>
    <row r="9126" spans="1:5" ht="15" customHeight="1" x14ac:dyDescent="0.2">
      <c r="A9126" s="1" t="s">
        <v>18133</v>
      </c>
      <c r="B9126" s="1">
        <v>1</v>
      </c>
      <c r="C9126" s="3">
        <v>44536.883599537039</v>
      </c>
      <c r="D9126" s="1" t="s">
        <v>18134</v>
      </c>
      <c r="E9126" s="1" t="str">
        <f ca="1">IFERROR(__xludf.DUMMYFUNCTION("GOOGLETRANSLATE(A5925 , ""tr"" , ""en"")"),"@drfahrettinka Excellent Health System Https://t.co/lpu0acıaez")</f>
        <v>@drfahrettinka Excellent Health System Https://t.co/lpu0acıaez</v>
      </c>
    </row>
    <row r="9127" spans="1:5" ht="15" customHeight="1" x14ac:dyDescent="0.2">
      <c r="A9127" s="1" t="s">
        <v>18135</v>
      </c>
      <c r="B9127" s="1">
        <v>1</v>
      </c>
      <c r="C9127" s="3">
        <v>44536.883449074077</v>
      </c>
      <c r="D9127" s="1" t="s">
        <v>18136</v>
      </c>
      <c r="E9127" s="1" t="str">
        <f ca="1">IFERROR(__xludf.DUMMYFUNCTION("GOOGLETRANSLATE(A5926 , ""tr"" , ""en"")"),"@drfahrettinkoca you should leave the seat")</f>
        <v>@drfahrettinkoca you should leave the seat</v>
      </c>
    </row>
    <row r="9128" spans="1:5" ht="15" customHeight="1" x14ac:dyDescent="0.2">
      <c r="A9128" s="1" t="s">
        <v>18137</v>
      </c>
      <c r="B9128" s="1">
        <v>0</v>
      </c>
      <c r="C9128" s="3">
        <v>44536.883356481485</v>
      </c>
      <c r="D9128" s="1" t="s">
        <v>18138</v>
      </c>
      <c r="E9128" s="1" t="str">
        <f ca="1">IFERROR(__xludf.DUMMYFUNCTION("GOOGLETRANSLATE(A5927 , ""tr"" , ""en"")"),"@drfahrettinkoca We are not the person of this country where do you promise where you promise it is not coming to us pity pity")</f>
        <v>@drfahrettinkoca We are not the person of this country where do you promise where you promise it is not coming to us pity pity</v>
      </c>
    </row>
    <row r="9129" spans="1:5" ht="15" customHeight="1" x14ac:dyDescent="0.2">
      <c r="A9129" s="1" t="s">
        <v>17931</v>
      </c>
      <c r="B9129" s="1">
        <v>0</v>
      </c>
      <c r="C9129" s="3">
        <v>44536.882800925923</v>
      </c>
      <c r="D9129" s="1" t="s">
        <v>18139</v>
      </c>
      <c r="E9129" s="1" t="str">
        <f ca="1">IFERROR(__xludf.DUMMYFUNCTION("GOOGLETRANSLATE(A5928 , ""tr"" , ""en"")"),"@drfahrettinkoca allah mercy eyles")</f>
        <v>@drfahrettinkoca allah mercy eyles</v>
      </c>
    </row>
    <row r="9130" spans="1:5" ht="15" customHeight="1" x14ac:dyDescent="0.2">
      <c r="A9130" s="1" t="s">
        <v>18140</v>
      </c>
      <c r="B9130" s="1">
        <v>1</v>
      </c>
      <c r="C9130" s="3">
        <v>44536.882696759261</v>
      </c>
      <c r="D9130" s="1" t="s">
        <v>18141</v>
      </c>
      <c r="E9130" s="1" t="str">
        <f ca="1">IFERROR(__xludf.DUMMYFUNCTION("GOOGLETRANSLATE(A5929 , ""tr"" , ""en"")"),"@drfahrettinka months are expecting a statement")</f>
        <v>@drfahrettinka months are expecting a statement</v>
      </c>
    </row>
    <row r="9131" spans="1:5" ht="15" customHeight="1" x14ac:dyDescent="0.2">
      <c r="A9131" s="1" t="s">
        <v>18142</v>
      </c>
      <c r="B9131" s="1">
        <v>0</v>
      </c>
      <c r="C9131" s="3">
        <v>44536.882650462961</v>
      </c>
      <c r="D9131" s="1" t="s">
        <v>18143</v>
      </c>
      <c r="E9131" s="1" t="str">
        <f ca="1">IFERROR(__xludf.DUMMYFUNCTION("GOOGLETRANSLATE(A5930 , ""tr"" , ""en"")"),"@drfahrettinkoca Give the Minister of Guide")</f>
        <v>@drfahrettinkoca Give the Minister of Guide</v>
      </c>
    </row>
    <row r="9132" spans="1:5" ht="15" customHeight="1" x14ac:dyDescent="0.2">
      <c r="A9132" s="1" t="s">
        <v>18144</v>
      </c>
      <c r="B9132" s="1">
        <v>32</v>
      </c>
      <c r="C9132" s="3">
        <v>44536.882604166669</v>
      </c>
      <c r="D9132" s="1" t="s">
        <v>18145</v>
      </c>
      <c r="E9132" s="1" t="str">
        <f ca="1">IFERROR(__xludf.DUMMYFUNCTION("GOOGLETRANSLATE(A5931 , ""tr"" , ""en"")"),"@drfahrettinkoca Covid produced vaccines also confess to the trap I will trust you")</f>
        <v>@drfahrettinkoca Covid produced vaccines also confess to the trap I will trust you</v>
      </c>
    </row>
    <row r="9133" spans="1:5" ht="15" customHeight="1" x14ac:dyDescent="0.2">
      <c r="A9133" s="1" t="s">
        <v>18146</v>
      </c>
      <c r="B9133" s="1">
        <v>1</v>
      </c>
      <c r="C9133" s="3">
        <v>44536.882534722223</v>
      </c>
      <c r="D9133" s="1" t="s">
        <v>18147</v>
      </c>
      <c r="E9133" s="1" t="str">
        <f ca="1">IFERROR(__xludf.DUMMYFUNCTION("GOOGLETRANSLATE(A5932 , ""tr"" , ""en"")"),"@drfahrettinkoca guanuzz guanuzzz")</f>
        <v>@drfahrettinkoca guanuzz guanuzzz</v>
      </c>
    </row>
    <row r="9134" spans="1:5" ht="15" customHeight="1" x14ac:dyDescent="0.2">
      <c r="A9134" s="1" t="s">
        <v>18148</v>
      </c>
      <c r="B9134" s="1">
        <v>0</v>
      </c>
      <c r="C9134" s="3">
        <v>44536.882349537038</v>
      </c>
      <c r="D9134" s="1" t="s">
        <v>18149</v>
      </c>
      <c r="E9134" s="1" t="str">
        <f ca="1">IFERROR(__xludf.DUMMYFUNCTION("GOOGLETRANSLATE(A5933 , ""tr"" , ""en"")"),"@drfahrettinkoca vallahi my killer myself")</f>
        <v>@drfahrettinkoca vallahi my killer myself</v>
      </c>
    </row>
    <row r="9135" spans="1:5" ht="15" customHeight="1" x14ac:dyDescent="0.2">
      <c r="A9135" s="1" t="s">
        <v>18150</v>
      </c>
      <c r="B9135" s="1">
        <v>1</v>
      </c>
      <c r="C9135" s="3">
        <v>44536.882175925923</v>
      </c>
      <c r="D9135" s="1" t="s">
        <v>18151</v>
      </c>
      <c r="E9135" s="1" t="str">
        <f ca="1">IFERROR(__xludf.DUMMYFUNCTION("GOOGLETRANSLATE(A5934 , ""tr"" , ""en"")"),"@drfahrettinkoca ALLAH GAHMET EŞRELİN Locator Heaven Heavenly 😢")</f>
        <v>@drfahrettinkoca ALLAH GAHMET EŞRELİN Locator Heaven Heavenly 😢</v>
      </c>
    </row>
    <row r="9136" spans="1:5" ht="15" customHeight="1" x14ac:dyDescent="0.2">
      <c r="A9136" s="1" t="s">
        <v>10058</v>
      </c>
      <c r="B9136" s="1">
        <v>1</v>
      </c>
      <c r="C9136" s="3">
        <v>44536.88212962963</v>
      </c>
      <c r="D9136" s="1" t="s">
        <v>18152</v>
      </c>
      <c r="E9136" s="1" t="str">
        <f ca="1">IFERROR(__xludf.DUMMYFUNCTION("GOOGLETRANSLATE(A5935 , ""tr"" , ""en"")"),"@drfahrettinkoca Guide")</f>
        <v>@drfahrettinkoca Guide</v>
      </c>
    </row>
    <row r="9137" spans="1:5" ht="15" customHeight="1" x14ac:dyDescent="0.2">
      <c r="A9137" s="1" t="s">
        <v>18153</v>
      </c>
      <c r="B9137" s="1">
        <v>3</v>
      </c>
      <c r="C9137" s="3">
        <v>44536.882106481484</v>
      </c>
      <c r="D9137" s="1" t="s">
        <v>18154</v>
      </c>
      <c r="E9137" s="1" t="str">
        <f ca="1">IFERROR(__xludf.DUMMYFUNCTION("GOOGLETRANSLATE(A5936 , ""tr"" , ""en"")"),"@drfahrettinkoca Allah mercy. Heart attack?")</f>
        <v>@drfahrettinkoca Allah mercy. Heart attack?</v>
      </c>
    </row>
    <row r="9138" spans="1:5" ht="15" customHeight="1" x14ac:dyDescent="0.2">
      <c r="A9138" s="1" t="s">
        <v>18155</v>
      </c>
      <c r="B9138" s="1">
        <v>3</v>
      </c>
      <c r="C9138" s="3">
        <v>44536.882094907407</v>
      </c>
      <c r="D9138" s="1" t="s">
        <v>18156</v>
      </c>
      <c r="E9138" s="1" t="str">
        <f ca="1">IFERROR(__xludf.DUMMYFUNCTION("GOOGLETRANSLATE(A5937 , ""tr"" , ""en"")"),"@drfahrettinka look forcing the population will decrease")</f>
        <v>@drfahrettinka look forcing the population will decrease</v>
      </c>
    </row>
    <row r="9139" spans="1:5" ht="15" customHeight="1" x14ac:dyDescent="0.2">
      <c r="A9139" s="1" t="s">
        <v>15957</v>
      </c>
      <c r="B9139" s="1">
        <v>1</v>
      </c>
      <c r="C9139" s="3">
        <v>44536.882048611114</v>
      </c>
      <c r="D9139" s="1" t="s">
        <v>18157</v>
      </c>
      <c r="E9139" s="1" t="str">
        <f ca="1">IFERROR(__xludf.DUMMYFUNCTION("GOOGLETRANSLATE(A5938 , ""tr"" , ""en"")"),"@drfahrettinkoca atamaaaa")</f>
        <v>@drfahrettinkoca atamaaaa</v>
      </c>
    </row>
    <row r="9140" spans="1:5" ht="15" customHeight="1" x14ac:dyDescent="0.2">
      <c r="A9140" s="1" t="s">
        <v>17883</v>
      </c>
      <c r="B9140" s="1">
        <v>1</v>
      </c>
      <c r="C9140" s="3">
        <v>44536.881956018522</v>
      </c>
      <c r="D9140" s="1" t="s">
        <v>18158</v>
      </c>
      <c r="E9140" s="1" t="str">
        <f ca="1">IFERROR(__xludf.DUMMYFUNCTION("GOOGLETRANSLATE(A5939 , ""tr"" , ""en"")"),"@drfahrettinkoca Allah Mayor May Be Heaven May Heaven")</f>
        <v>@drfahrettinkoca Allah Mayor May Be Heaven May Heaven</v>
      </c>
    </row>
    <row r="9141" spans="1:5" ht="15" customHeight="1" x14ac:dyDescent="0.2">
      <c r="A9141" s="1" t="s">
        <v>18159</v>
      </c>
      <c r="B9141" s="1">
        <v>13</v>
      </c>
      <c r="C9141" s="3">
        <v>44536.88177083333</v>
      </c>
      <c r="D9141" s="1" t="s">
        <v>18160</v>
      </c>
      <c r="E9141" s="1" t="str">
        <f ca="1">IFERROR(__xludf.DUMMYFUNCTION("GOOGLETRANSLATE(A5940 , ""tr"" , ""en"")"),"@drfahrettinkoca Allah Mahmet Eylesin Ministry of Appointment Attachment 740 Thousides Waiting for Dying ... When this ordeal ... https://t.co/1z3tm7g7fn")</f>
        <v>@drfahrettinkoca Allah Mahmet Eylesin Ministry of Appointment Attachment 740 Thousides Waiting for Dying ... When this ordeal ... https://t.co/1z3tm7g7fn</v>
      </c>
    </row>
    <row r="9142" spans="1:5" ht="15" customHeight="1" x14ac:dyDescent="0.2">
      <c r="A9142" s="1" t="s">
        <v>18161</v>
      </c>
      <c r="B9142" s="1">
        <v>0</v>
      </c>
      <c r="C9142" s="3">
        <v>44536.881643518522</v>
      </c>
      <c r="D9142" s="1" t="s">
        <v>18162</v>
      </c>
      <c r="E9142" s="1" t="str">
        <f ca="1">IFERROR(__xludf.DUMMYFUNCTION("GOOGLETRANSLATE(A5941 , ""tr"" , ""en"")"),"@drfahrettinkoca allah rental eylesin.makani May Heavenly hope.")</f>
        <v>@drfahrettinkoca allah rental eylesin.makani May Heavenly hope.</v>
      </c>
    </row>
    <row r="9143" spans="1:5" ht="15" customHeight="1" x14ac:dyDescent="0.2">
      <c r="A9143" s="1" t="s">
        <v>18163</v>
      </c>
      <c r="B9143" s="1">
        <v>1</v>
      </c>
      <c r="C9143" s="3">
        <v>44536.881608796299</v>
      </c>
      <c r="D9143" s="1" t="s">
        <v>18164</v>
      </c>
      <c r="E9143" s="1" t="str">
        <f ca="1">IFERROR(__xludf.DUMMYFUNCTION("GOOGLETRANSLATE(A5942 , ""tr"" , ""en"")"),"@drfahrettinka is unbelievable than the minister is unbelievable")</f>
        <v>@drfahrettinka is unbelievable than the minister is unbelievable</v>
      </c>
    </row>
    <row r="9144" spans="1:5" ht="15" customHeight="1" x14ac:dyDescent="0.2">
      <c r="A9144" s="1" t="s">
        <v>18165</v>
      </c>
      <c r="B9144" s="1">
        <v>1</v>
      </c>
      <c r="C9144" s="3">
        <v>44536.881562499999</v>
      </c>
      <c r="D9144" s="1" t="s">
        <v>18166</v>
      </c>
      <c r="E9144" s="1" t="str">
        <f ca="1">IFERROR(__xludf.DUMMYFUNCTION("GOOGLETRANSLATE(A5943 , ""tr"" , ""en"")"),"@drfahrettinkoca Allah mercy. If the guide does not arrive, I will be next to me I will go with my minister.")</f>
        <v>@drfahrettinkoca Allah mercy. If the guide does not arrive, I will be next to me I will go with my minister.</v>
      </c>
    </row>
    <row r="9145" spans="1:5" ht="15" customHeight="1" x14ac:dyDescent="0.2">
      <c r="A9145" s="1" t="s">
        <v>18167</v>
      </c>
      <c r="B9145" s="1">
        <v>0</v>
      </c>
      <c r="C9145" s="3">
        <v>44536.881550925929</v>
      </c>
      <c r="D9145" s="1" t="s">
        <v>18168</v>
      </c>
      <c r="E9145" s="1" t="str">
        <f ca="1">IFERROR(__xludf.DUMMYFUNCTION("GOOGLETRANSLATE(A5944 , ""tr"" , ""en"")"),"@drfahrettinkoca Allah mercy Seplay, guide the guide now.")</f>
        <v>@drfahrettinkoca Allah mercy Seplay, guide the guide now.</v>
      </c>
    </row>
    <row r="9146" spans="1:5" ht="15" customHeight="1" x14ac:dyDescent="0.2">
      <c r="A9146" s="1" t="s">
        <v>18169</v>
      </c>
      <c r="B9146" s="1">
        <v>20</v>
      </c>
      <c r="C9146" s="3">
        <v>44536.881516203706</v>
      </c>
      <c r="D9146" s="1" t="s">
        <v>18170</v>
      </c>
      <c r="E9146" s="1" t="str">
        <f ca="1">IFERROR(__xludf.DUMMYFUNCTION("GOOGLETRANSLATE(A5945 , ""tr"" , ""en"")"),"@drfahrettinka build schools online or i love it on top #abineuzaktanıkitimsart")</f>
        <v>@drfahrettinka build schools online or i love it on top #abineuzaktanıkitimsart</v>
      </c>
    </row>
    <row r="9147" spans="1:5" ht="15" customHeight="1" x14ac:dyDescent="0.2">
      <c r="A9147" s="1" t="s">
        <v>18171</v>
      </c>
      <c r="B9147" s="1">
        <v>23</v>
      </c>
      <c r="C9147" s="3">
        <v>44536.88144675926</v>
      </c>
      <c r="D9147" s="1" t="s">
        <v>18172</v>
      </c>
      <c r="E9147" s="1" t="str">
        <f ca="1">IFERROR(__xludf.DUMMYFUNCTION("GOOGLETRANSLATE(A5946 , ""tr"" , ""en"")"),"@drfahrettinkoca Guide")</f>
        <v>@drfahrettinkoca Guide</v>
      </c>
    </row>
    <row r="9148" spans="1:5" ht="15" customHeight="1" x14ac:dyDescent="0.2">
      <c r="A9148" s="1" t="s">
        <v>18173</v>
      </c>
      <c r="B9148" s="1">
        <v>5</v>
      </c>
      <c r="C9148" s="3">
        <v>44536.881331018521</v>
      </c>
      <c r="D9148" s="1" t="s">
        <v>18174</v>
      </c>
      <c r="E9148" s="1" t="str">
        <f ca="1">IFERROR(__xludf.DUMMYFUNCTION("GOOGLETRANSLATE(A5947 , ""tr"" , ""en"")"),"@drfahrettinkoca amen. The guide is where so the minister")</f>
        <v>@drfahrettinkoca amen. The guide is where so the minister</v>
      </c>
    </row>
    <row r="9149" spans="1:5" ht="15" customHeight="1" x14ac:dyDescent="0.2">
      <c r="A9149" s="1" t="s">
        <v>18175</v>
      </c>
      <c r="B9149" s="1">
        <v>7</v>
      </c>
      <c r="C9149" s="3">
        <v>44536.881226851852</v>
      </c>
      <c r="D9149" s="1" t="s">
        <v>18176</v>
      </c>
      <c r="E9149" s="1" t="str">
        <f ca="1">IFERROR(__xludf.DUMMYFUNCTION("GOOGLETRANSLATE(A5948 , ""tr"" , ""en"")"),"@drfahrettinkoca was 20 months Why do you pay medical device from the public why you don't pay @drfahrettinka https://t.co/jrzs824oxw")</f>
        <v>@drfahrettinkoca was 20 months Why do you pay medical device from the public why you don't pay @drfahrettinka https://t.co/jrzs824oxw</v>
      </c>
    </row>
    <row r="9150" spans="1:5" ht="15" customHeight="1" x14ac:dyDescent="0.2">
      <c r="A9150" s="1" t="s">
        <v>18177</v>
      </c>
      <c r="B9150" s="1">
        <v>17</v>
      </c>
      <c r="C9150" s="3">
        <v>44536.881145833337</v>
      </c>
      <c r="D9150" s="1" t="s">
        <v>18178</v>
      </c>
      <c r="E9150" s="1" t="str">
        <f ca="1">IFERROR(__xludf.DUMMYFUNCTION("GOOGLETRANSLATE(A5949 , ""tr"" , ""en"")"),"@drfahrettinkoca guide guide guide guide guide")</f>
        <v>@drfahrettinkoca guide guide guide guide guide</v>
      </c>
    </row>
    <row r="9151" spans="1:5" ht="15" customHeight="1" x14ac:dyDescent="0.2">
      <c r="A9151" s="1" t="s">
        <v>18179</v>
      </c>
      <c r="B9151" s="1">
        <v>1</v>
      </c>
      <c r="C9151" s="3">
        <v>44536.88108796296</v>
      </c>
      <c r="D9151" s="1" t="s">
        <v>18180</v>
      </c>
      <c r="E9151" s="1" t="str">
        <f ca="1">IFERROR(__xludf.DUMMYFUNCTION("GOOGLETRANSLATE(A5950 , ""tr"" , ""en"")"),"@drfahrettinkoca discard a twette for assignment, please discuss the Ministry of Minister. Respects...")</f>
        <v>@drfahrettinkoca discard a twette for assignment, please discuss the Ministry of Minister. Respects...</v>
      </c>
    </row>
    <row r="9152" spans="1:5" ht="15" customHeight="1" x14ac:dyDescent="0.2">
      <c r="A9152" s="1" t="s">
        <v>18181</v>
      </c>
      <c r="B9152" s="1">
        <v>32</v>
      </c>
      <c r="C9152" s="3">
        <v>44536.88108796296</v>
      </c>
      <c r="D9152" s="1" t="s">
        <v>18182</v>
      </c>
      <c r="E9152" s="1" t="str">
        <f ca="1">IFERROR(__xludf.DUMMYFUNCTION("GOOGLETRANSLATE(A5951 , ""tr"" , ""en"")"),"@drfahrettinka We are also the last Bulacaz soon. Consulting Students Now What Education Love is LoveEe Tanimasak You ... https://t.co/ab2ke9v6hd")</f>
        <v>@drfahrettinka We are also the last Bulacaz soon. Consulting Students Now What Education Love is LoveEe Tanimasak You ... https://t.co/ab2ke9v6hd</v>
      </c>
    </row>
    <row r="9153" spans="1:5" ht="15" customHeight="1" x14ac:dyDescent="0.2">
      <c r="A9153" s="1" t="s">
        <v>18183</v>
      </c>
      <c r="B9153" s="1">
        <v>0</v>
      </c>
      <c r="C9153" s="3">
        <v>44536.881064814814</v>
      </c>
      <c r="D9153" s="1" t="s">
        <v>18184</v>
      </c>
      <c r="E9153" s="1" t="str">
        <f ca="1">IFERROR(__xludf.DUMMYFUNCTION("GOOGLETRANSLATE(A5952 , ""tr"" , ""en"")"),"@drfahrettinkoca Minister Bi Do you look at?")</f>
        <v>@drfahrettinkoca Minister Bi Do you look at?</v>
      </c>
    </row>
    <row r="9154" spans="1:5" ht="15" customHeight="1" x14ac:dyDescent="0.2">
      <c r="A9154" s="1" t="s">
        <v>18185</v>
      </c>
      <c r="B9154" s="1">
        <v>9</v>
      </c>
      <c r="C9154" s="3">
        <v>44536.880868055552</v>
      </c>
      <c r="D9154" s="1" t="s">
        <v>18186</v>
      </c>
      <c r="E9154" s="1" t="str">
        <f ca="1">IFERROR(__xludf.DUMMYFUNCTION("GOOGLETRANSLATE(A5953 , ""tr"" , ""en"")"),"@drfahrettinkoca If we don't switch to close we have much more loss")</f>
        <v>@drfahrettinkoca If we don't switch to close we have much more loss</v>
      </c>
    </row>
    <row r="9155" spans="1:5" ht="15" customHeight="1" x14ac:dyDescent="0.2">
      <c r="A9155" s="1" t="s">
        <v>18187</v>
      </c>
      <c r="B9155" s="1">
        <v>2</v>
      </c>
      <c r="C9155" s="3">
        <v>44536.880833333336</v>
      </c>
      <c r="D9155" s="1" t="s">
        <v>18188</v>
      </c>
      <c r="E9155" s="1" t="str">
        <f ca="1">IFERROR(__xludf.DUMMYFUNCTION("GOOGLETRANSLATE(A5954 , ""tr"" , ""en"")"),"@drfahrettinka https://t.co/j40mlwxutu")</f>
        <v>@drfahrettinka https://t.co/j40mlwxutu</v>
      </c>
    </row>
    <row r="9156" spans="1:5" ht="15" customHeight="1" x14ac:dyDescent="0.2">
      <c r="A9156" s="1" t="s">
        <v>18189</v>
      </c>
      <c r="B9156" s="1">
        <v>29</v>
      </c>
      <c r="C9156" s="3">
        <v>44536.880810185183</v>
      </c>
      <c r="D9156" s="1" t="s">
        <v>18190</v>
      </c>
      <c r="E9156" s="1" t="str">
        <f ca="1">IFERROR(__xludf.DUMMYFUNCTION("GOOGLETRANSLATE(A5955 , ""tr"" , ""en"")"),"@drfahrettinkoca schools and closed environments close")</f>
        <v>@drfahrettinkoca schools and closed environments close</v>
      </c>
    </row>
    <row r="9157" spans="1:5" ht="15" customHeight="1" x14ac:dyDescent="0.2">
      <c r="A9157" s="1" t="s">
        <v>18191</v>
      </c>
      <c r="B9157" s="1">
        <v>11</v>
      </c>
      <c r="C9157" s="3">
        <v>44536.880798611113</v>
      </c>
      <c r="D9157" s="1" t="s">
        <v>18192</v>
      </c>
      <c r="E9157" s="1" t="str">
        <f ca="1">IFERROR(__xludf.DUMMYFUNCTION("GOOGLETRANSLATE(A5956 , ""tr"" , ""en"")"),"@drfahrettinkoca amen. Assignment guide")</f>
        <v>@drfahrettinkoca amen. Assignment guide</v>
      </c>
    </row>
    <row r="9158" spans="1:5" ht="15" customHeight="1" x14ac:dyDescent="0.2">
      <c r="A9158" s="1" t="s">
        <v>17931</v>
      </c>
      <c r="B9158" s="1">
        <v>1</v>
      </c>
      <c r="C9158" s="3">
        <v>44536.880787037036</v>
      </c>
      <c r="D9158" s="1" t="s">
        <v>18193</v>
      </c>
      <c r="E9158" s="1" t="str">
        <f ca="1">IFERROR(__xludf.DUMMYFUNCTION("GOOGLETRANSLATE(A5957 , ""tr"" , ""en"")"),"@drfahrettinkoca allah mercy eyles")</f>
        <v>@drfahrettinkoca allah mercy eyles</v>
      </c>
    </row>
    <row r="9159" spans="1:5" ht="15" customHeight="1" x14ac:dyDescent="0.2">
      <c r="A9159" s="1" t="s">
        <v>18194</v>
      </c>
      <c r="B9159" s="1">
        <v>9</v>
      </c>
      <c r="C9159" s="3">
        <v>44536.880648148152</v>
      </c>
      <c r="D9159" s="1" t="s">
        <v>18195</v>
      </c>
      <c r="E9159" s="1" t="str">
        <f ca="1">IFERROR(__xludf.DUMMYFUNCTION("GOOGLETRANSLATE(A5958 , ""tr"" , ""en"")"),"@drfahrettinkoca is our head alright, where is your guide")</f>
        <v>@drfahrettinkoca is our head alright, where is your guide</v>
      </c>
    </row>
    <row r="9160" spans="1:5" ht="15" customHeight="1" x14ac:dyDescent="0.2">
      <c r="A9160" s="1" t="s">
        <v>18196</v>
      </c>
      <c r="B9160" s="1">
        <v>5</v>
      </c>
      <c r="C9160" s="3">
        <v>44536.880601851852</v>
      </c>
      <c r="D9160" s="1" t="s">
        <v>18197</v>
      </c>
      <c r="E9160" s="1" t="str">
        <f ca="1">IFERROR(__xludf.DUMMYFUNCTION("GOOGLETRANSLATE(A5959 , ""tr"" , ""en"")"),"@drfahrettinkoca # fkuyumanerede40binatama")</f>
        <v>@drfahrettinkoca # fkuyumanerede40binatama</v>
      </c>
    </row>
    <row r="9161" spans="1:5" ht="15" customHeight="1" x14ac:dyDescent="0.2">
      <c r="A9161" s="1" t="s">
        <v>18198</v>
      </c>
      <c r="B9161" s="1">
        <v>0</v>
      </c>
      <c r="C9161" s="3">
        <v>44537.953657407408</v>
      </c>
      <c r="D9161" s="1" t="s">
        <v>18199</v>
      </c>
      <c r="E9161" s="1" t="str">
        <f ca="1">IFERROR(__xludf.DUMMYFUNCTION("GOOGLETRANSLATE(A5960 , ""tr"" , ""en"")"),"@drfahrettinkoca you don't even have importance. Quit the worker.")</f>
        <v>@drfahrettinkoca you don't even have importance. Quit the worker.</v>
      </c>
    </row>
    <row r="9162" spans="1:5" ht="15" customHeight="1" x14ac:dyDescent="0.2">
      <c r="A9162" s="1" t="s">
        <v>18200</v>
      </c>
      <c r="B9162" s="1">
        <v>0</v>
      </c>
      <c r="C9162" s="3">
        <v>44537.897118055553</v>
      </c>
      <c r="D9162" s="1" t="s">
        <v>18201</v>
      </c>
      <c r="E9162" s="1" t="str">
        <f ca="1">IFERROR(__xludf.DUMMYFUNCTION("GOOGLETRANSLATE(A5961 , ""tr"" , ""en"")"),"@drfahrettinkoca you say vaccines without getting tired of. What is possible to avoid admiring your azm. Lakin us without getting tired of us ... https://t.co/lgtcfuyqca")</f>
        <v>@drfahrettinkoca you say vaccines without getting tired of. What is possible to avoid admiring your azm. Lakin us without getting tired of us ... https://t.co/lgtcfuyqca</v>
      </c>
    </row>
    <row r="9163" spans="1:5" ht="15" customHeight="1" x14ac:dyDescent="0.2">
      <c r="A9163" s="1" t="s">
        <v>18202</v>
      </c>
      <c r="B9163" s="1">
        <v>0</v>
      </c>
      <c r="C9163" s="3">
        <v>44537.88559027778</v>
      </c>
      <c r="D9163" s="1" t="s">
        <v>18203</v>
      </c>
      <c r="E9163" s="1" t="str">
        <f ca="1">IFERROR(__xludf.DUMMYFUNCTION("GOOGLETRANSLATE(A5962 , ""tr"" , ""en"")"),"@drfahrettinkoca https://t.co/ha0kiBmeck")</f>
        <v>@drfahrettinkoca https://t.co/ha0kiBmeck</v>
      </c>
    </row>
    <row r="9164" spans="1:5" ht="15" customHeight="1" x14ac:dyDescent="0.2">
      <c r="A9164" s="1" t="s">
        <v>18204</v>
      </c>
      <c r="B9164" s="1">
        <v>0</v>
      </c>
      <c r="C9164" s="3">
        <v>44537.849120370367</v>
      </c>
      <c r="D9164" s="1" t="s">
        <v>18205</v>
      </c>
      <c r="E9164" s="1" t="str">
        <f ca="1">IFERROR(__xludf.DUMMYFUNCTION("GOOGLETRANSLATE(A5963 , ""tr"" , ""en"")"),"@drfahrettinka you can be diagnosed with an epidemic disease if you are included in the flu with Covid-19 outbreak managed in the world. ... https://t.co/yqoo3fbvly")</f>
        <v>@drfahrettinka you can be diagnosed with an epidemic disease if you are included in the flu with Covid-19 outbreak managed in the world. ... https://t.co/yqoo3fbvly</v>
      </c>
    </row>
    <row r="9165" spans="1:5" ht="15" customHeight="1" x14ac:dyDescent="0.2">
      <c r="A9165" s="1" t="s">
        <v>18206</v>
      </c>
      <c r="B9165" s="1">
        <v>1</v>
      </c>
      <c r="C9165" s="3">
        <v>44537.826377314814</v>
      </c>
      <c r="D9165" s="1" t="s">
        <v>18207</v>
      </c>
      <c r="E9165" s="1" t="str">
        <f ca="1">IFERROR(__xludf.DUMMYFUNCTION("GOOGLETRANSLATE(A5964 , ""tr"" , ""en"")"),"@drfahrettinkoca @masumiyetsifa Since the beginning, the vaccine should have been compulsory and paid. Should not be taken from poor people, ... https://t.co/1d7nv673bn")</f>
        <v>@drfahrettinkoca @masumiyetsifa Since the beginning, the vaccine should have been compulsory and paid. Should not be taken from poor people, ... https://t.co/1d7nv673bn</v>
      </c>
    </row>
    <row r="9166" spans="1:5" ht="15" customHeight="1" x14ac:dyDescent="0.2">
      <c r="A9166" s="1" t="s">
        <v>18208</v>
      </c>
      <c r="B9166" s="1">
        <v>0</v>
      </c>
      <c r="C9166" s="3">
        <v>44537.822847222225</v>
      </c>
      <c r="D9166" s="1" t="s">
        <v>18209</v>
      </c>
      <c r="E9166" s="1" t="str">
        <f ca="1">IFERROR(__xludf.DUMMYFUNCTION("GOOGLETRANSLATE(A5965 , ""tr"" , ""en"")"),"@drfahrettinka https://t.co/gk229m7vh2")</f>
        <v>@drfahrettinka https://t.co/gk229m7vh2</v>
      </c>
    </row>
    <row r="9167" spans="1:5" ht="15" customHeight="1" x14ac:dyDescent="0.2">
      <c r="A9167" s="1" t="s">
        <v>18210</v>
      </c>
      <c r="B9167" s="1">
        <v>0</v>
      </c>
      <c r="C9167" s="3">
        <v>44537.774629629632</v>
      </c>
      <c r="D9167" s="1" t="s">
        <v>18211</v>
      </c>
      <c r="E9167" s="1" t="str">
        <f ca="1">IFERROR(__xludf.DUMMYFUNCTION("GOOGLETRANSLATE(A5966 , ""tr"" , ""en"")"),"@drfahrettinkoca May the Curse in Allah be on the cruel")</f>
        <v>@drfahrettinkoca May the Curse in Allah be on the cruel</v>
      </c>
    </row>
    <row r="9168" spans="1:5" ht="15" customHeight="1" x14ac:dyDescent="0.2">
      <c r="A9168" s="1" t="s">
        <v>16850</v>
      </c>
      <c r="B9168" s="1">
        <v>0</v>
      </c>
      <c r="C9168" s="3">
        <v>44537.766805555555</v>
      </c>
      <c r="D9168" s="1" t="s">
        <v>18212</v>
      </c>
      <c r="E9168" s="1" t="str">
        <f ca="1">IFERROR(__xludf.DUMMYFUNCTION("GOOGLETRANSLATE(A5967 , ""tr"" , ""en"")"),"@drfahrettinkoca flu vaccine people cavid-19 a very quickly caught. Body should not fall out of strength.")</f>
        <v>@drfahrettinkoca flu vaccine people cavid-19 a very quickly caught. Body should not fall out of strength.</v>
      </c>
    </row>
    <row r="9169" spans="1:5" ht="15" customHeight="1" x14ac:dyDescent="0.2">
      <c r="A9169" s="1" t="s">
        <v>18213</v>
      </c>
      <c r="B9169" s="1">
        <v>0</v>
      </c>
      <c r="C9169" s="3">
        <v>44537.751122685186</v>
      </c>
      <c r="D9169" s="1" t="s">
        <v>18214</v>
      </c>
      <c r="E9169" s="1" t="str">
        <f ca="1">IFERROR(__xludf.DUMMYFUNCTION("GOOGLETRANSLATE(A5968 , ""tr"" , ""en"")"),"@drfahrettinkoca Mr. Ministry I hope that we will skip these days all together I will be eaten to our nation's vaccine")</f>
        <v>@drfahrettinkoca Mr. Ministry I hope that we will skip these days all together I will be eaten to our nation's vaccine</v>
      </c>
    </row>
    <row r="9170" spans="1:5" ht="15" customHeight="1" x14ac:dyDescent="0.2">
      <c r="A9170" s="1" t="s">
        <v>18215</v>
      </c>
      <c r="B9170" s="1">
        <v>0</v>
      </c>
      <c r="C9170" s="3">
        <v>44537.728865740741</v>
      </c>
      <c r="D9170" s="1" t="s">
        <v>18216</v>
      </c>
      <c r="E9170" s="1" t="str">
        <f ca="1">IFERROR(__xludf.DUMMYFUNCTION("GOOGLETRANSLATE(A5969 , ""tr"" , ""en"")"),"@drfahrettinkoca pfizer while the froth fro trial, all the scumbags on the face of the day, Covid19 test kits 2017 years ... https://t.co/2gcjwsc2xI")</f>
        <v>@drfahrettinkoca pfizer while the froth fro trial, all the scumbags on the face of the day, Covid19 test kits 2017 years ... https://t.co/2gcjwsc2xI</v>
      </c>
    </row>
    <row r="9171" spans="1:5" ht="15" customHeight="1" x14ac:dyDescent="0.2">
      <c r="A9171" s="1" t="s">
        <v>18217</v>
      </c>
      <c r="B9171" s="1">
        <v>0</v>
      </c>
      <c r="C9171" s="3">
        <v>44537.684756944444</v>
      </c>
      <c r="D9171" s="1" t="s">
        <v>18218</v>
      </c>
      <c r="E9171" s="1" t="str">
        <f ca="1">IFERROR(__xludf.DUMMYFUNCTION("GOOGLETRANSLATE(A5970 , ""tr"" , ""en"")"),"@drfahrettinkoca bi you didn't quit")</f>
        <v>@drfahrettinkoca bi you didn't quit</v>
      </c>
    </row>
    <row r="9172" spans="1:5" ht="15" customHeight="1" x14ac:dyDescent="0.2">
      <c r="A9172" s="1" t="s">
        <v>18219</v>
      </c>
      <c r="B9172" s="1">
        <v>0</v>
      </c>
      <c r="C9172" s="3">
        <v>44537.679224537038</v>
      </c>
      <c r="D9172" s="1" t="s">
        <v>18220</v>
      </c>
      <c r="E9172" s="1" t="str">
        <f ca="1">IFERROR(__xludf.DUMMYFUNCTION("GOOGLETRANSLATE(A5971 , ""tr"" , ""en"")"),"@drfahrettinkoca When you don't sign these papers then you'll be vaccine then you are relying on the madem this is ned ... https://t.co/uwv8nawnvv")</f>
        <v>@drfahrettinkoca When you don't sign these papers then you'll be vaccine then you are relying on the madem this is ned ... https://t.co/uwv8nawnvv</v>
      </c>
    </row>
    <row r="9173" spans="1:5" ht="15" customHeight="1" x14ac:dyDescent="0.2">
      <c r="A9173" s="1" t="s">
        <v>18221</v>
      </c>
      <c r="B9173" s="1">
        <v>1</v>
      </c>
      <c r="C9173" s="3">
        <v>44537.677685185183</v>
      </c>
      <c r="D9173" s="1" t="s">
        <v>18222</v>
      </c>
      <c r="E9173" s="1" t="str">
        <f ca="1">IFERROR(__xludf.DUMMYFUNCTION("GOOGLETRANSLATE(A5972 , ""tr"" , ""en"")"),"@drfahrettinkoca aga when are you relaying nation")</f>
        <v>@drfahrettinkoca aga when are you relaying nation</v>
      </c>
    </row>
    <row r="9174" spans="1:5" ht="15" customHeight="1" x14ac:dyDescent="0.2">
      <c r="A9174" s="1" t="s">
        <v>18223</v>
      </c>
      <c r="B9174" s="1">
        <v>2</v>
      </c>
      <c r="C9174" s="3">
        <v>44537.673877314817</v>
      </c>
      <c r="D9174" s="1" t="s">
        <v>18224</v>
      </c>
      <c r="E9174" s="1" t="str">
        <f ca="1">IFERROR(__xludf.DUMMYFUNCTION("GOOGLETRANSLATE(A5973 , ""tr"" , ""en"")"),"@drfahrettinkoca What did he say? What did he say? What did he say? What did you say?")</f>
        <v>@drfahrettinkoca What did he say? What did he say? What did he say? What did you say?</v>
      </c>
    </row>
    <row r="9175" spans="1:5" ht="15" customHeight="1" x14ac:dyDescent="0.2">
      <c r="A9175" s="1" t="s">
        <v>18225</v>
      </c>
      <c r="B9175" s="1">
        <v>0</v>
      </c>
      <c r="C9175" s="3">
        <v>44537.6719212963</v>
      </c>
      <c r="D9175" s="1" t="s">
        <v>18226</v>
      </c>
      <c r="E9175" s="1" t="str">
        <f ca="1">IFERROR(__xludf.DUMMYFUNCTION("GOOGLETRANSLATE(A5974 , ""tr"" , ""en"")"),"@drfahrettinkoca anymore remote actuality is enough to be sure to be either")</f>
        <v>@drfahrettinkoca anymore remote actuality is enough to be sure to be either</v>
      </c>
    </row>
    <row r="9176" spans="1:5" ht="15" customHeight="1" x14ac:dyDescent="0.2">
      <c r="A9176" s="1" t="s">
        <v>18227</v>
      </c>
      <c r="B9176" s="1">
        <v>0</v>
      </c>
      <c r="C9176" s="3">
        <v>44537.665324074071</v>
      </c>
      <c r="D9176" s="1" t="s">
        <v>18228</v>
      </c>
      <c r="E9176" s="1" t="str">
        <f ca="1">IFERROR(__xludf.DUMMYFUNCTION("GOOGLETRANSLATE(A5975 , ""tr"" , ""en"")"),"@drfahrettinka vaccine is marketed as a liquid vaccine.")</f>
        <v>@drfahrettinka vaccine is marketed as a liquid vaccine.</v>
      </c>
    </row>
    <row r="9177" spans="1:5" ht="15" customHeight="1" x14ac:dyDescent="0.2">
      <c r="A9177" s="1" t="s">
        <v>18229</v>
      </c>
      <c r="B9177" s="1">
        <v>0</v>
      </c>
      <c r="C9177" s="3">
        <v>44537.664907407408</v>
      </c>
      <c r="D9177" s="1" t="s">
        <v>18230</v>
      </c>
      <c r="E9177" s="1" t="str">
        <f ca="1">IFERROR(__xludf.DUMMYFUNCTION("GOOGLETRANSLATE(A5976 , ""tr"" , ""en"")"),"@drfahrettinkoca has ... from there. The paganists betrayed this homelike by serving the demon.")</f>
        <v>@drfahrettinkoca has ... from there. The paganists betrayed this homelike by serving the demon.</v>
      </c>
    </row>
    <row r="9178" spans="1:5" ht="15" customHeight="1" x14ac:dyDescent="0.2">
      <c r="A9178" s="1" t="s">
        <v>18231</v>
      </c>
      <c r="B9178" s="1">
        <v>0</v>
      </c>
      <c r="C9178" s="3">
        <v>44537.664814814816</v>
      </c>
      <c r="D9178" s="1" t="s">
        <v>18232</v>
      </c>
      <c r="E9178" s="1" t="str">
        <f ca="1">IFERROR(__xludf.DUMMYFUNCTION("GOOGLETRANSLATE(A5977 , ""tr"" , ""en"")"),"@drfahrettinkoca I don't trust you anymore. I don't want to see as a minister. Get the one-way ticket wherever you want.")</f>
        <v>@drfahrettinkoca I don't trust you anymore. I don't want to see as a minister. Get the one-way ticket wherever you want.</v>
      </c>
    </row>
    <row r="9179" spans="1:5" ht="15" customHeight="1" x14ac:dyDescent="0.2">
      <c r="A9179" s="1" t="s">
        <v>18233</v>
      </c>
      <c r="B9179" s="1">
        <v>3</v>
      </c>
      <c r="C9179" s="3">
        <v>44537.663136574076</v>
      </c>
      <c r="D9179" s="1" t="s">
        <v>18234</v>
      </c>
      <c r="E9179" s="1" t="str">
        <f ca="1">IFERROR(__xludf.DUMMYFUNCTION("GOOGLETRANSLATE(A5978 , ""tr"" , ""en"")"),"@drfahrettinkoca 30 with the number of cases that are not sufficiently socket. You don't have a crap of 30 provinces")</f>
        <v>@drfahrettinkoca 30 with the number of cases that are not sufficiently socket. You don't have a crap of 30 provinces</v>
      </c>
    </row>
    <row r="9180" spans="1:5" ht="15" customHeight="1" x14ac:dyDescent="0.2">
      <c r="A9180" s="1" t="s">
        <v>18235</v>
      </c>
      <c r="B9180" s="1">
        <v>0</v>
      </c>
      <c r="C9180" s="3">
        <v>44537.653043981481</v>
      </c>
      <c r="D9180" s="1" t="s">
        <v>18236</v>
      </c>
      <c r="E9180" s="1" t="str">
        <f ca="1">IFERROR(__xludf.DUMMYFUNCTION("GOOGLETRANSLATE(A5979 , ""tr"" , ""en"")"),"@drfahrettinkoca folks awoke you tear yourself now hard work")</f>
        <v>@drfahrettinkoca folks awoke you tear yourself now hard work</v>
      </c>
    </row>
    <row r="9181" spans="1:5" ht="15" customHeight="1" x14ac:dyDescent="0.2">
      <c r="A9181" s="1" t="s">
        <v>18237</v>
      </c>
      <c r="B9181" s="1">
        <v>0</v>
      </c>
      <c r="C9181" s="3">
        <v>44537.651932870373</v>
      </c>
      <c r="D9181" s="1" t="s">
        <v>18238</v>
      </c>
      <c r="E9181" s="1" t="str">
        <f ca="1">IFERROR(__xludf.DUMMYFUNCTION("GOOGLETRANSLATE(A5980 , ""tr"" , ""en"")"),"@drfahrettinka you still have that legislation you left the minister. The sahi is the fiddling of the buffyhard in the dosage of the distorted ... https://t.co/e3o5bw5gcc")</f>
        <v>@drfahrettinka you still have that legislation you left the minister. The sahi is the fiddling of the buffyhard in the dosage of the distorted ... https://t.co/e3o5bw5gcc</v>
      </c>
    </row>
    <row r="9182" spans="1:5" ht="15" customHeight="1" x14ac:dyDescent="0.2">
      <c r="A9182" s="1" t="s">
        <v>18239</v>
      </c>
      <c r="B9182" s="1">
        <v>0</v>
      </c>
      <c r="C9182" s="3">
        <v>44537.644861111112</v>
      </c>
      <c r="D9182" s="1" t="s">
        <v>18240</v>
      </c>
      <c r="E9182" s="1" t="str">
        <f ca="1">IFERROR(__xludf.DUMMYFUNCTION("GOOGLETRANSLATE(A5981 , ""tr"" , ""en"")"),"@drfahrettinka we have made our families on our families. We are afraid of him, these inudoors fearless Heralde 🧐")</f>
        <v>@drfahrettinka we have made our families on our families. We are afraid of him, these inudoors fearless Heralde 🧐</v>
      </c>
    </row>
    <row r="9183" spans="1:5" ht="15" customHeight="1" x14ac:dyDescent="0.2">
      <c r="A9183" s="1" t="s">
        <v>18241</v>
      </c>
      <c r="B9183" s="1">
        <v>0</v>
      </c>
      <c r="C9183" s="3">
        <v>44537.626192129632</v>
      </c>
      <c r="D9183" s="1" t="s">
        <v>18242</v>
      </c>
      <c r="E9183" s="1" t="str">
        <f ca="1">IFERROR(__xludf.DUMMYFUNCTION("GOOGLETRANSLATE(A5982 , ""tr"" , ""en"")"),"@drfahrettinkoca Amazement I was expecting 10,000 cases")</f>
        <v>@drfahrettinkoca Amazement I was expecting 10,000 cases</v>
      </c>
    </row>
    <row r="9184" spans="1:5" ht="15" customHeight="1" x14ac:dyDescent="0.2">
      <c r="A9184" s="1" t="s">
        <v>18243</v>
      </c>
      <c r="B9184" s="1">
        <v>0</v>
      </c>
      <c r="C9184" s="3">
        <v>44537.618194444447</v>
      </c>
      <c r="D9184" s="1" t="s">
        <v>18244</v>
      </c>
      <c r="E9184" s="1" t="str">
        <f ca="1">IFERROR(__xludf.DUMMYFUNCTION("GOOGLETRANSLATE(A5983 , ""tr"" , ""en"")"),"Continue to make @drfahrettinkoca DECCALIN navery.")</f>
        <v>Continue to make @drfahrettinkoca DECCALIN navery.</v>
      </c>
    </row>
    <row r="9185" spans="1:5" ht="15" customHeight="1" x14ac:dyDescent="0.2">
      <c r="A9185" s="1" t="s">
        <v>18245</v>
      </c>
      <c r="B9185" s="1">
        <v>0</v>
      </c>
      <c r="C9185" s="3">
        <v>44537.616805555554</v>
      </c>
      <c r="D9185" s="1" t="s">
        <v>18246</v>
      </c>
      <c r="E9185" s="1" t="str">
        <f ca="1">IFERROR(__xludf.DUMMYFUNCTION("GOOGLETRANSLATE(A5984 , ""tr"" , ""en"")"),"@drfahrettinkoca AMAM OUTLAND 🥳 Mr. Ministry I'm aware of the Process of Substrating Globalists' Prints APS ... HTTPS://T.CO/QVRFIDJU2A")</f>
        <v>@drfahrettinkoca AMAM OUTLAND 🥳 Mr. Ministry I'm aware of the Process of Substrating Globalists' Prints APS ... HTTPS://T.CO/QVRFIDJU2A</v>
      </c>
    </row>
    <row r="9186" spans="1:5" ht="15" customHeight="1" x14ac:dyDescent="0.2">
      <c r="A9186" s="1" t="s">
        <v>18247</v>
      </c>
      <c r="B9186" s="1">
        <v>0</v>
      </c>
      <c r="C9186" s="3">
        <v>44537.616793981484</v>
      </c>
      <c r="D9186" s="1" t="s">
        <v>18248</v>
      </c>
      <c r="E9186" s="1" t="str">
        <f ca="1">IFERROR(__xludf.DUMMYFUNCTION("GOOGLETRANSLATE(A5985 , ""tr"" , ""en"")"),"@drfahrettinka https://t.co/nwv3ccjijj")</f>
        <v>@drfahrettinka https://t.co/nwv3ccjijj</v>
      </c>
    </row>
    <row r="9187" spans="1:5" ht="15" customHeight="1" x14ac:dyDescent="0.2">
      <c r="A9187" s="1" t="s">
        <v>18249</v>
      </c>
      <c r="B9187" s="1">
        <v>0</v>
      </c>
      <c r="C9187" s="3">
        <v>44537.615879629629</v>
      </c>
      <c r="D9187" s="1" t="s">
        <v>18250</v>
      </c>
      <c r="E9187" s="1" t="str">
        <f ca="1">IFERROR(__xludf.DUMMYFUNCTION("GOOGLETRANSLATE(A5986 , ""tr"" , ""en"")"),"@drfahrettinkoca Overlooking the Bey you nation are you stupid, are the people of the first one not the people of the drug TERC ... https://t.co/z6r5seq9hj")</f>
        <v>@drfahrettinkoca Overlooking the Bey you nation are you stupid, are the people of the first one not the people of the drug TERC ... https://t.co/z6r5seq9hj</v>
      </c>
    </row>
    <row r="9188" spans="1:5" ht="15" customHeight="1" x14ac:dyDescent="0.2">
      <c r="A9188" s="1" t="s">
        <v>18251</v>
      </c>
      <c r="B9188" s="1">
        <v>0</v>
      </c>
      <c r="C9188" s="3">
        <v>44537.615636574075</v>
      </c>
      <c r="D9188" s="1" t="s">
        <v>18252</v>
      </c>
      <c r="E9188" s="1" t="str">
        <f ca="1">IFERROR(__xludf.DUMMYFUNCTION("GOOGLETRANSLATE(A5987 , ""tr"" , ""en"")"),"@drfahrettinka https://t.co/hul2kf4vrt")</f>
        <v>@drfahrettinka https://t.co/hul2kf4vrt</v>
      </c>
    </row>
    <row r="9189" spans="1:5" ht="15" customHeight="1" x14ac:dyDescent="0.2">
      <c r="A9189" s="1" t="s">
        <v>18253</v>
      </c>
      <c r="B9189" s="1">
        <v>16</v>
      </c>
      <c r="C9189" s="3">
        <v>44537.608865740738</v>
      </c>
      <c r="D9189" s="1" t="s">
        <v>18254</v>
      </c>
      <c r="E9189" s="1" t="str">
        <f ca="1">IFERROR(__xludf.DUMMYFUNCTION("GOOGLETRANSLATE(A5988 , ""tr"" , ""en"")"),"@drfahrettinkoca 7lerenzaten Catastropply Reledi Mehmet Ceylan Live Broadcasting Invases In Mikrobu Inspectors ... https://t.co/ft4qweymqs")</f>
        <v>@drfahrettinkoca 7lerenzaten Catastropply Reledi Mehmet Ceylan Live Broadcasting Invases In Mikrobu Inspectors ... https://t.co/ft4qweymqs</v>
      </c>
    </row>
    <row r="9190" spans="1:5" ht="15" customHeight="1" x14ac:dyDescent="0.2">
      <c r="A9190" s="1" t="s">
        <v>18255</v>
      </c>
      <c r="B9190" s="1">
        <v>0</v>
      </c>
      <c r="C9190" s="3">
        <v>44537.605543981481</v>
      </c>
      <c r="D9190" s="1" t="s">
        <v>18256</v>
      </c>
      <c r="E9190" s="1" t="str">
        <f ca="1">IFERROR(__xludf.DUMMYFUNCTION("GOOGLETRANSLATE(A5989 , ""tr"" , ""en"")"),"@drfahrettinkoca PCR and Ulke Biontech fluids who have received no licenses Mr. Minister who filled the euros in the pocket?")</f>
        <v>@drfahrettinkoca PCR and Ulke Biontech fluids who have received no licenses Mr. Minister who filled the euros in the pocket?</v>
      </c>
    </row>
    <row r="9191" spans="1:5" ht="15" customHeight="1" x14ac:dyDescent="0.2">
      <c r="A9191" s="1" t="s">
        <v>18257</v>
      </c>
      <c r="B9191" s="1">
        <v>0</v>
      </c>
      <c r="C9191" s="3">
        <v>44539.803842592592</v>
      </c>
      <c r="D9191" s="1" t="s">
        <v>18258</v>
      </c>
      <c r="E9191" s="1" t="str">
        <f ca="1">IFERROR(__xludf.DUMMYFUNCTION("GOOGLETRANSLATE(A5990 , ""tr"" , ""en"")"),"@drfahrettinkoca Hospitals have many health needs. When exactly will the purchases of the gospel will be exactly?")</f>
        <v>@drfahrettinkoca Hospitals have many health needs. When exactly will the purchases of the gospel will be exactly?</v>
      </c>
    </row>
    <row r="9192" spans="1:5" ht="15" customHeight="1" x14ac:dyDescent="0.2">
      <c r="A9192" s="1" t="s">
        <v>18259</v>
      </c>
      <c r="B9192" s="1">
        <v>1</v>
      </c>
      <c r="C9192" s="3">
        <v>44539.772615740738</v>
      </c>
      <c r="D9192" s="1" t="s">
        <v>18260</v>
      </c>
      <c r="E9192" s="1" t="str">
        <f ca="1">IFERROR(__xludf.DUMMYFUNCTION("GOOGLETRANSLATE(A5991 , ""tr"" , ""en"")"),"@drfahrettinkoca disease has been found to be as low as dicek from the last spring berri three witnesses and etr ... https://t.co/2gpkxytdcx")</f>
        <v>@drfahrettinkoca disease has been found to be as low as dicek from the last spring berri three witnesses and etr ... https://t.co/2gpkxytdcx</v>
      </c>
    </row>
    <row r="9193" spans="1:5" ht="15" customHeight="1" x14ac:dyDescent="0.2">
      <c r="A9193" s="1" t="s">
        <v>18261</v>
      </c>
      <c r="B9193" s="1">
        <v>1</v>
      </c>
      <c r="C9193" s="3">
        <v>44539.722962962966</v>
      </c>
      <c r="D9193" s="1" t="s">
        <v>18262</v>
      </c>
      <c r="E9193" s="1" t="str">
        <f ca="1">IFERROR(__xludf.DUMMYFUNCTION("GOOGLETRANSLATE(A5992 , ""tr"" , ""en"")"),"@drfahrettinka https://t.co/qso8cgtq6d")</f>
        <v>@drfahrettinka https://t.co/qso8cgtq6d</v>
      </c>
    </row>
    <row r="9194" spans="1:5" ht="15" customHeight="1" x14ac:dyDescent="0.2">
      <c r="A9194" s="1" t="s">
        <v>18263</v>
      </c>
      <c r="B9194" s="1">
        <v>0</v>
      </c>
      <c r="C9194" s="3">
        <v>44539.7187962963</v>
      </c>
      <c r="D9194" s="1" t="s">
        <v>18264</v>
      </c>
      <c r="E9194" s="1" t="str">
        <f ca="1">IFERROR(__xludf.DUMMYFUNCTION("GOOGLETRANSLATE(A5993 , ""tr"" , ""en"")"),"@drfahrettinka https://t.co/pxwiuIC267")</f>
        <v>@drfahrettinka https://t.co/pxwiuIC267</v>
      </c>
    </row>
    <row r="9195" spans="1:5" ht="15" customHeight="1" x14ac:dyDescent="0.2">
      <c r="A9195" s="1" t="s">
        <v>18265</v>
      </c>
      <c r="B9195" s="1">
        <v>0</v>
      </c>
      <c r="C9195" s="3">
        <v>44539.718171296299</v>
      </c>
      <c r="D9195" s="1" t="s">
        <v>18266</v>
      </c>
      <c r="E9195" s="1" t="str">
        <f ca="1">IFERROR(__xludf.DUMMYFUNCTION("GOOGLETRANSLATE(A5994 , ""tr"" , ""en"")"),"@drfahrettinka https://t.co/ni0ppknyfd")</f>
        <v>@drfahrettinka https://t.co/ni0ppknyfd</v>
      </c>
    </row>
    <row r="9196" spans="1:5" ht="15" customHeight="1" x14ac:dyDescent="0.2">
      <c r="A9196" s="1" t="s">
        <v>18267</v>
      </c>
      <c r="B9196" s="1">
        <v>0</v>
      </c>
      <c r="C9196" s="3">
        <v>44539.705636574072</v>
      </c>
      <c r="D9196" s="1" t="s">
        <v>18268</v>
      </c>
      <c r="E9196" s="1" t="str">
        <f ca="1">IFERROR(__xludf.DUMMYFUNCTION("GOOGLETRANSLATE(A5995 , ""tr"" , ""en"")"),"@drfahrettinkoca is the reason you are happy to be your pihtidan or we wonder if you do the accounts to go more than 1 person from the heart.")</f>
        <v>@drfahrettinkoca is the reason you are happy to be your pihtidan or we wonder if you do the accounts to go more than 1 person from the heart.</v>
      </c>
    </row>
    <row r="9197" spans="1:5" ht="15" customHeight="1" x14ac:dyDescent="0.2">
      <c r="A9197" s="1" t="s">
        <v>18269</v>
      </c>
      <c r="B9197" s="1">
        <v>0</v>
      </c>
      <c r="C9197" s="3">
        <v>44539.625925925924</v>
      </c>
      <c r="D9197" s="1" t="s">
        <v>18270</v>
      </c>
      <c r="E9197" s="1" t="str">
        <f ca="1">IFERROR(__xludf.DUMMYFUNCTION("GOOGLETRANSLATE(A5996 , ""tr"" , ""en"")"),"@drfahrettinka https://t.co/5mdr2yy99e")</f>
        <v>@drfahrettinka https://t.co/5mdr2yy99e</v>
      </c>
    </row>
    <row r="9198" spans="1:5" ht="15" customHeight="1" x14ac:dyDescent="0.2">
      <c r="A9198" s="1" t="s">
        <v>18271</v>
      </c>
      <c r="B9198" s="1">
        <v>0</v>
      </c>
      <c r="C9198" s="3">
        <v>44539.618622685186</v>
      </c>
      <c r="D9198" s="1" t="s">
        <v>18272</v>
      </c>
      <c r="E9198" s="1" t="str">
        <f ca="1">IFERROR(__xludf.DUMMYFUNCTION("GOOGLETRANSLATE(A5997 , ""tr"" , ""en"")"),"@drfahrettinka https://t.co/igqnfw8tej")</f>
        <v>@drfahrettinka https://t.co/igqnfw8tej</v>
      </c>
    </row>
    <row r="9199" spans="1:5" ht="15" customHeight="1" x14ac:dyDescent="0.2">
      <c r="A9199" s="1" t="s">
        <v>18273</v>
      </c>
      <c r="B9199" s="1">
        <v>1</v>
      </c>
      <c r="C9199" s="3">
        <v>44539.497245370374</v>
      </c>
      <c r="D9199" s="1" t="s">
        <v>18274</v>
      </c>
      <c r="E9199" s="1" t="str">
        <f ca="1">IFERROR(__xludf.DUMMYFUNCTION("GOOGLETRANSLATE(A5998 , ""tr"" , ""en"")"),"@drfahrettinka https://t.co/rp0yw04dhz")</f>
        <v>@drfahrettinka https://t.co/rp0yw04dhz</v>
      </c>
    </row>
    <row r="9200" spans="1:5" ht="15" customHeight="1" x14ac:dyDescent="0.2">
      <c r="A9200" s="1" t="s">
        <v>18275</v>
      </c>
      <c r="B9200" s="1">
        <v>0</v>
      </c>
      <c r="C9200" s="3">
        <v>44539.496168981481</v>
      </c>
      <c r="D9200" s="1" t="s">
        <v>18276</v>
      </c>
      <c r="E9200" s="1" t="str">
        <f ca="1">IFERROR(__xludf.DUMMYFUNCTION("GOOGLETRANSLATE(A5999 , ""tr"" , ""en"")"),"@drfahrettinkoca where are you in sects and congregations where are you! 👇👇! ️ Catholic Priest Edward Meeks: ""No worldly k ... https://t.co/qfumzanxlu")</f>
        <v>@drfahrettinkoca where are you in sects and congregations where are you! 👇👇! ️ Catholic Priest Edward Meeks: "No worldly k ... https://t.co/qfumzanxlu</v>
      </c>
    </row>
    <row r="9201" spans="1:5" ht="15" customHeight="1" x14ac:dyDescent="0.2">
      <c r="A9201" s="1" t="s">
        <v>18277</v>
      </c>
      <c r="B9201" s="1">
        <v>0</v>
      </c>
      <c r="C9201" s="3">
        <v>44539.492210648146</v>
      </c>
      <c r="D9201" s="1" t="s">
        <v>18278</v>
      </c>
      <c r="E9201" s="1" t="str">
        <f ca="1">IFERROR(__xludf.DUMMYFUNCTION("GOOGLETRANSLATE(A6000 , ""tr"" , ""en"")"),"@drfahrettinka https://t.co/93pqk6qsc0")</f>
        <v>@drfahrettinka https://t.co/93pqk6qsc0</v>
      </c>
    </row>
    <row r="9202" spans="1:5" ht="15" customHeight="1" x14ac:dyDescent="0.2">
      <c r="A9202" s="1" t="s">
        <v>18279</v>
      </c>
      <c r="B9202" s="1">
        <v>0</v>
      </c>
      <c r="C9202" s="3">
        <v>44539.491956018515</v>
      </c>
      <c r="D9202" s="1" t="s">
        <v>18280</v>
      </c>
      <c r="E9202" s="1" t="str">
        <f ca="1">IFERROR(__xludf.DUMMYFUNCTION("GOOGLETRANSLATE(A6001 , ""tr"" , ""en"")"),"@drfahrettinka https://t.co/m15drbcixk")</f>
        <v>@drfahrettinka https://t.co/m15drbcixk</v>
      </c>
    </row>
    <row r="9203" spans="1:5" ht="15" customHeight="1" x14ac:dyDescent="0.2">
      <c r="A9203" s="1" t="s">
        <v>18281</v>
      </c>
      <c r="B9203" s="1">
        <v>0</v>
      </c>
      <c r="C9203" s="3">
        <v>44538.931342592594</v>
      </c>
      <c r="D9203" s="1" t="s">
        <v>18282</v>
      </c>
      <c r="E9203" s="1" t="str">
        <f ca="1">IFERROR(__xludf.DUMMYFUNCTION("GOOGLETRANSLATE(A6002 , ""tr"" , ""en"")"),"@drfahrettinkoca Dayin Minister Vaccine Table Instead of Map Your Publications of Korona Unfinished Vaccine ... https://t.co/3twr96kmle")</f>
        <v>@drfahrettinkoca Dayin Minister Vaccine Table Instead of Map Your Publications of Korona Unfinished Vaccine ... https://t.co/3twr96kmle</v>
      </c>
    </row>
    <row r="9204" spans="1:5" ht="15" customHeight="1" x14ac:dyDescent="0.2">
      <c r="A9204" s="1" t="s">
        <v>18283</v>
      </c>
      <c r="B9204" s="1">
        <v>0</v>
      </c>
      <c r="C9204" s="3">
        <v>44541.875740740739</v>
      </c>
      <c r="D9204" s="1" t="s">
        <v>18284</v>
      </c>
      <c r="E9204" s="1" t="str">
        <f ca="1">IFERROR(__xludf.DUMMYFUNCTION("GOOGLETRANSLATE(A6003 , ""tr"" , ""en"")"),"@drfahrettinkoca @drfahrettinkoca @drfahrettinkoca @rterdogan How are you people blacking our lives We are your youth our blood ... HTTPS://T.CO/OAWSPOINIJ")</f>
        <v>@drfahrettinkoca @drfahrettinkoca @drfahrettinkoca @rterdogan How are you people blacking our lives We are your youth our blood ... HTTPS://T.CO/OAWSPOINIJ</v>
      </c>
    </row>
    <row r="9205" spans="1:5" ht="15" customHeight="1" x14ac:dyDescent="0.2">
      <c r="A9205" s="1" t="s">
        <v>18285</v>
      </c>
      <c r="B9205" s="1">
        <v>0</v>
      </c>
      <c r="C9205" s="3">
        <v>44541.869768518518</v>
      </c>
      <c r="D9205" s="1" t="s">
        <v>18286</v>
      </c>
      <c r="E9205" s="1" t="str">
        <f ca="1">IFERROR(__xludf.DUMMYFUNCTION("GOOGLETRANSLATE(A6004 , ""tr"" , ""en"")"),"@drfahrettinkoca @drfahrettinkoca @drfahrettinkoca @rterdogan How do you guys black out our youth our koney ... https://t.co/eglaeanxlc")</f>
        <v>@drfahrettinkoca @drfahrettinkoca @drfahrettinkoca @rterdogan How do you guys black out our youth our koney ... https://t.co/eglaeanxlc</v>
      </c>
    </row>
    <row r="9206" spans="1:5" ht="15" customHeight="1" x14ac:dyDescent="0.2">
      <c r="A9206" s="1" t="s">
        <v>18287</v>
      </c>
      <c r="B9206" s="1">
        <v>0</v>
      </c>
      <c r="C9206" s="3">
        <v>44541.862025462964</v>
      </c>
      <c r="D9206" s="1" t="s">
        <v>18288</v>
      </c>
      <c r="E9206" s="1" t="str">
        <f ca="1">IFERROR(__xludf.DUMMYFUNCTION("GOOGLETRANSLATE(A6005 , ""tr"" , ""en"")"),"@drfahrettinkoca Your upper case has been turned on. Don't get a cold and catch a cold.")</f>
        <v>@drfahrettinkoca Your upper case has been turned on. Don't get a cold and catch a cold.</v>
      </c>
    </row>
    <row r="9207" spans="1:5" ht="15" customHeight="1" x14ac:dyDescent="0.2">
      <c r="A9207" s="1" t="s">
        <v>18289</v>
      </c>
      <c r="B9207" s="1">
        <v>0</v>
      </c>
      <c r="C9207" s="3">
        <v>44540.395671296297</v>
      </c>
      <c r="D9207" s="1" t="s">
        <v>18290</v>
      </c>
      <c r="E9207" s="1" t="str">
        <f ca="1">IFERROR(__xludf.DUMMYFUNCTION("GOOGLETRANSLATE(A6006 , ""tr"" , ""en"")"),"@drfahrettinkoca NK's Faculty of theology in the Faculty of theology Our student has passed away from corona !!! Korona Olam Classroom ... https://t.co/ckxfkt31ae")</f>
        <v>@drfahrettinkoca NK's Faculty of theology in the Faculty of theology Our student has passed away from corona !!! Korona Olam Classroom ... https://t.co/ckxfkt31ae</v>
      </c>
    </row>
    <row r="9208" spans="1:5" ht="15" customHeight="1" x14ac:dyDescent="0.2">
      <c r="A9208" s="1" t="s">
        <v>18291</v>
      </c>
      <c r="B9208" s="1">
        <v>0</v>
      </c>
      <c r="C9208" s="3">
        <v>44540.346967592595</v>
      </c>
      <c r="D9208" s="1" t="s">
        <v>18292</v>
      </c>
      <c r="E9208" s="1" t="str">
        <f ca="1">IFERROR(__xludf.DUMMYFUNCTION("GOOGLETRANSLATE(A6007 , ""tr"" , ""en"")"),"@drfahrettinkoca is all you will do now; Hawk, who speaks Der Spiegel, ""If the omicron variant is to spread ... https://t.co/15fe9untg5")</f>
        <v>@drfahrettinkoca is all you will do now; Hawk, who speaks Der Spiegel, "If the omicron variant is to spread ... https://t.co/15fe9untg5</v>
      </c>
    </row>
    <row r="9209" spans="1:5" ht="15" customHeight="1" x14ac:dyDescent="0.2">
      <c r="A9209" s="1" t="s">
        <v>18293</v>
      </c>
      <c r="B9209" s="1">
        <v>0</v>
      </c>
      <c r="C9209" s="3">
        <v>44536.991261574076</v>
      </c>
      <c r="D9209" s="1" t="s">
        <v>18294</v>
      </c>
      <c r="E9209" s="1" t="str">
        <f ca="1">IFERROR(__xludf.DUMMYFUNCTION("GOOGLETRANSLATE(A6008 , ""tr"" , ""en"")"),"@drfahrettinkoca your life lying biontechin owner is still still")</f>
        <v>@drfahrettinkoca your life lying biontechin owner is still still</v>
      </c>
    </row>
    <row r="9210" spans="1:5" ht="15" customHeight="1" x14ac:dyDescent="0.2">
      <c r="A9210" s="1" t="s">
        <v>18295</v>
      </c>
      <c r="B9210" s="1">
        <v>1</v>
      </c>
      <c r="C9210" s="3">
        <v>44536.988923611112</v>
      </c>
      <c r="D9210" s="1" t="s">
        <v>18296</v>
      </c>
      <c r="E9210" s="1" t="str">
        <f ca="1">IFERROR(__xludf.DUMMYFUNCTION("GOOGLETRANSLATE(A6009 , ""tr"" , ""en"")"),"@drfahrettinkoca doesnt know what he wrote this is now no longer increasing or upset paşam.Allah this awake in ... https://t.co/rky2v7wksy")</f>
        <v>@drfahrettinkoca doesnt know what he wrote this is now no longer increasing or upset paşam.Allah this awake in ... https://t.co/rky2v7wksy</v>
      </c>
    </row>
    <row r="9211" spans="1:5" ht="15" customHeight="1" x14ac:dyDescent="0.2">
      <c r="A9211" s="1" t="s">
        <v>18297</v>
      </c>
      <c r="B9211" s="1">
        <v>0</v>
      </c>
      <c r="C9211" s="3">
        <v>44536.985671296294</v>
      </c>
      <c r="D9211" s="1" t="s">
        <v>18298</v>
      </c>
      <c r="E9211" s="1" t="str">
        <f ca="1">IFERROR(__xludf.DUMMYFUNCTION("GOOGLETRANSLATE(A6010 , ""tr"" , ""en"")"),"@drfahrettinkoca Allah Hadiya We were happy to be happy, why we don't have news.")</f>
        <v>@drfahrettinkoca Allah Hadiya We were happy to be happy, why we don't have news.</v>
      </c>
    </row>
    <row r="9212" spans="1:5" ht="15" customHeight="1" x14ac:dyDescent="0.2">
      <c r="A9212" s="1" t="s">
        <v>18299</v>
      </c>
      <c r="B9212" s="1">
        <v>1</v>
      </c>
      <c r="C9212" s="3">
        <v>44536.9846875</v>
      </c>
      <c r="D9212" s="1" t="s">
        <v>18300</v>
      </c>
      <c r="E9212" s="1" t="str">
        <f ca="1">IFERROR(__xludf.DUMMYFUNCTION("GOOGLETRANSLATE(A6011 , ""tr"" , ""en"")"),"@drfahrettinka non-vaccination can never make vaccination and sus no longer minister of vaccine is not the Minister of Health ... https://t.co/tynimedywr")</f>
        <v>@drfahrettinka non-vaccination can never make vaccination and sus no longer minister of vaccine is not the Minister of Health ... https://t.co/tynimedywr</v>
      </c>
    </row>
    <row r="9213" spans="1:5" ht="15" customHeight="1" x14ac:dyDescent="0.2">
      <c r="A9213" s="1" t="s">
        <v>18301</v>
      </c>
      <c r="B9213" s="1">
        <v>0</v>
      </c>
      <c r="C9213" s="3">
        <v>44536.977025462962</v>
      </c>
      <c r="D9213" s="1" t="s">
        <v>18302</v>
      </c>
      <c r="E9213" s="1" t="str">
        <f ca="1">IFERROR(__xludf.DUMMYFUNCTION("GOOGLETRANSLATE(A6012 , ""tr"" , ""en"")"),"@drfahrettinka Mr. Ministry of Martyr İLHAN Varank State Hospital Health Workers' Behaviors of Health Workers Bi ... https://t.co/hufucrm25s")</f>
        <v>@drfahrettinka Mr. Ministry of Martyr İLHAN Varank State Hospital Health Workers' Behaviors of Health Workers Bi ... https://t.co/hufucrm25s</v>
      </c>
    </row>
    <row r="9214" spans="1:5" ht="15" customHeight="1" x14ac:dyDescent="0.2">
      <c r="A9214" s="1" t="s">
        <v>18303</v>
      </c>
      <c r="B9214" s="1">
        <v>0</v>
      </c>
      <c r="C9214" s="3">
        <v>44536.968171296299</v>
      </c>
      <c r="D9214" s="1" t="s">
        <v>18304</v>
      </c>
      <c r="E9214" s="1" t="str">
        <f ca="1">IFERROR(__xludf.DUMMYFUNCTION("GOOGLETRANSLATE(A6013 , ""tr"" , ""en"")"),"@drfahrettinkoca The US President's vaccination has been declared illegal in 50 states and blocked. https://t.co/m5IMMDYW4S")</f>
        <v>@drfahrettinkoca The US President's vaccination has been declared illegal in 50 states and blocked. https://t.co/m5IMMDYW4S</v>
      </c>
    </row>
    <row r="9215" spans="1:5" ht="15" customHeight="1" x14ac:dyDescent="0.2">
      <c r="A9215" s="1" t="s">
        <v>18305</v>
      </c>
      <c r="B9215" s="1">
        <v>12</v>
      </c>
      <c r="C9215" s="3">
        <v>44536.96671296296</v>
      </c>
      <c r="D9215" s="1" t="s">
        <v>18306</v>
      </c>
      <c r="E9215" s="1" t="str">
        <f ca="1">IFERROR(__xludf.DUMMYFUNCTION("GOOGLETRANSLATE(A6014 , ""tr"" , ""en"")"),"@drfahrettinkoca #genoCIDESOYWork I don't know ... MiniYiki Syringe ... https://t.co/x8ro58edxs")</f>
        <v>@drfahrettinkoca #genoCIDESOYWork I don't know ... MiniYiki Syringe ... https://t.co/x8ro58edxs</v>
      </c>
    </row>
    <row r="9216" spans="1:5" ht="15" customHeight="1" x14ac:dyDescent="0.2">
      <c r="A9216" s="1" t="s">
        <v>18307</v>
      </c>
      <c r="B9216" s="1">
        <v>1</v>
      </c>
      <c r="C9216" s="3">
        <v>44536.966111111113</v>
      </c>
      <c r="D9216" s="1" t="s">
        <v>18308</v>
      </c>
      <c r="E9216" s="1" t="str">
        <f ca="1">IFERROR(__xludf.DUMMYFUNCTION("GOOGLETRANSLATE(A6015 , ""tr"" , ""en"")"),"@drfahrettinkoca sn.bakan joke you are like a joke no ownersmilletermarrow thank you no more than you know ... https://t.co/b892z453pw")</f>
        <v>@drfahrettinkoca sn.bakan joke you are like a joke no ownersmilletermarrow thank you no more than you know ... https://t.co/b892z453pw</v>
      </c>
    </row>
    <row r="9217" spans="1:5" ht="15" customHeight="1" x14ac:dyDescent="0.2">
      <c r="A9217" s="1" t="s">
        <v>18309</v>
      </c>
      <c r="B9217" s="1">
        <v>0</v>
      </c>
      <c r="C9217" s="3">
        <v>44536.96365740741</v>
      </c>
      <c r="D9217" s="1" t="s">
        <v>18310</v>
      </c>
      <c r="E9217" s="1" t="str">
        <f ca="1">IFERROR(__xludf.DUMMYFUNCTION("GOOGLETRANSLATE(A6016 , ""tr"" , ""en"")"),"@drfahrettinkoca urgent need to be treated. Inand to think that the vaccine is treated and people without people ... https://t.co/1z62pubv5i")</f>
        <v>@drfahrettinkoca urgent need to be treated. Inand to think that the vaccine is treated and people without people ... https://t.co/1z62pubv5i</v>
      </c>
    </row>
    <row r="9218" spans="1:5" ht="15" customHeight="1" x14ac:dyDescent="0.2">
      <c r="A9218" s="1" t="s">
        <v>18311</v>
      </c>
      <c r="B9218" s="1">
        <v>2</v>
      </c>
      <c r="C9218" s="3">
        <v>44536.962881944448</v>
      </c>
      <c r="D9218" s="1" t="s">
        <v>18312</v>
      </c>
      <c r="E9218" s="1" t="str">
        <f ca="1">IFERROR(__xludf.DUMMYFUNCTION("GOOGLETRANSLATE(A6017 , ""tr"" , ""en"")"),"@drfahrettinkoca you signify me to come and become vaccination I will be on this liquid that you are reliving to this liquid If you think of the people ... https://t.co/wn9d3unebk")</f>
        <v>@drfahrettinkoca you signify me to come and become vaccination I will be on this liquid that you are reliving to this liquid If you think of the people ... https://t.co/wn9d3unebk</v>
      </c>
    </row>
    <row r="9219" spans="1:5" ht="15" customHeight="1" x14ac:dyDescent="0.2">
      <c r="A9219" s="1" t="s">
        <v>18313</v>
      </c>
      <c r="B9219" s="1">
        <v>6</v>
      </c>
      <c r="C9219" s="3">
        <v>44536.943530092591</v>
      </c>
      <c r="D9219" s="1" t="s">
        <v>18314</v>
      </c>
      <c r="E9219" s="1" t="str">
        <f ca="1">IFERROR(__xludf.DUMMYFUNCTION("GOOGLETRANSLATE(A6018 , ""tr"" , ""en"")"),"@drfahrettinka did not find the ones that are in the vicious cycle didn't find it on the street! 2.Ifaada3.olur? Would you be ... https://t.co/0t8uctb17r")</f>
        <v>@drfahrettinka did not find the ones that are in the vicious cycle didn't find it on the street! 2.Ifaada3.olur? Would you be ... https://t.co/0t8uctb17r</v>
      </c>
    </row>
    <row r="9220" spans="1:5" ht="15" customHeight="1" x14ac:dyDescent="0.2">
      <c r="A9220" s="1" t="s">
        <v>18315</v>
      </c>
      <c r="B9220" s="1">
        <v>0</v>
      </c>
      <c r="C9220" s="3">
        <v>44536.941736111112</v>
      </c>
      <c r="D9220" s="1" t="s">
        <v>18316</v>
      </c>
      <c r="E9220" s="1" t="str">
        <f ca="1">IFERROR(__xludf.DUMMYFUNCTION("GOOGLETRANSLATE(A6019 , ""tr"" , ""en"")"),"@drfahrettinkoca If I'm in your place I would never mean to be! Allah bless ... I don't be happy.")</f>
        <v>@drfahrettinkoca If I'm in your place I would never mean to be! Allah bless ... I don't be happy.</v>
      </c>
    </row>
    <row r="9221" spans="1:5" ht="15" customHeight="1" x14ac:dyDescent="0.2">
      <c r="A9221" s="1" t="s">
        <v>17971</v>
      </c>
      <c r="B9221" s="1">
        <v>1</v>
      </c>
      <c r="C9221" s="3">
        <v>44536.933993055558</v>
      </c>
      <c r="D9221" s="1" t="s">
        <v>18317</v>
      </c>
      <c r="E9221" s="1" t="str">
        <f ca="1">IFERROR(__xludf.DUMMYFUNCTION("GOOGLETRANSLATE(A6020 , ""tr"" , ""en"")"),"@drfahrettinka https://t.co/5kevphtxps")</f>
        <v>@drfahrettinka https://t.co/5kevphtxps</v>
      </c>
    </row>
    <row r="9222" spans="1:5" ht="15" customHeight="1" x14ac:dyDescent="0.2">
      <c r="A9222" s="1" t="s">
        <v>18318</v>
      </c>
      <c r="B9222" s="1">
        <v>1</v>
      </c>
      <c r="C9222" s="3">
        <v>44536.933749999997</v>
      </c>
      <c r="D9222" s="1" t="s">
        <v>18319</v>
      </c>
      <c r="E9222" s="1" t="str">
        <f ca="1">IFERROR(__xludf.DUMMYFUNCTION("GOOGLETRANSLATE(A6021 , ""tr"" , ""en"")"),"@drfahrettinkoca vaccine is the importance of protecting the importance or something like https://t.co/kbm253feb0")</f>
        <v>@drfahrettinkoca vaccine is the importance of protecting the importance or something like https://t.co/kbm253feb0</v>
      </c>
    </row>
    <row r="9223" spans="1:5" ht="15" customHeight="1" x14ac:dyDescent="0.2">
      <c r="A9223" s="1" t="s">
        <v>18320</v>
      </c>
      <c r="B9223" s="1">
        <v>0</v>
      </c>
      <c r="C9223" s="3">
        <v>44536.931828703702</v>
      </c>
      <c r="D9223" s="1" t="s">
        <v>18321</v>
      </c>
      <c r="E9223" s="1" t="str">
        <f ca="1">IFERROR(__xludf.DUMMYFUNCTION("GOOGLETRANSLATE(A6022 , ""tr"" , ""en"")"),"@drfahrettinkoca https://t.co/uttcsdkl44 Is that the voice of this cub for Allah?")</f>
        <v>@drfahrettinkoca https://t.co/uttcsdkl44 Is that the voice of this cub for Allah?</v>
      </c>
    </row>
    <row r="9224" spans="1:5" ht="15" customHeight="1" x14ac:dyDescent="0.2">
      <c r="A9224" s="1" t="s">
        <v>18322</v>
      </c>
      <c r="B9224" s="1">
        <v>0</v>
      </c>
      <c r="C9224" s="3">
        <v>44536.929432870369</v>
      </c>
      <c r="D9224" s="1" t="s">
        <v>18323</v>
      </c>
      <c r="E9224" s="1" t="str">
        <f ca="1">IFERROR(__xludf.DUMMYFUNCTION("GOOGLETRANSLATE(A6023 , ""tr"" , ""en"")"),"@drfahrettinkoca People's vaccine confidence in shaken condition, what are you waiting for?")</f>
        <v>@drfahrettinkoca People's vaccine confidence in shaken condition, what are you waiting for?</v>
      </c>
    </row>
    <row r="9225" spans="1:5" ht="15" customHeight="1" x14ac:dyDescent="0.2">
      <c r="A9225" s="1" t="s">
        <v>18324</v>
      </c>
      <c r="B9225" s="1">
        <v>0</v>
      </c>
      <c r="C9225" s="3">
        <v>44536.928449074076</v>
      </c>
      <c r="D9225" s="1" t="s">
        <v>18325</v>
      </c>
      <c r="E9225" s="1" t="str">
        <f ca="1">IFERROR(__xludf.DUMMYFUNCTION("GOOGLETRANSLATE(A6024 , ""tr"" , ""en"")"),"@drfahrettinka people see the vaccine of their relatives as they run away from the vaccine this result is fine in my opinion")</f>
        <v>@drfahrettinka people see the vaccine of their relatives as they run away from the vaccine this result is fine in my opinion</v>
      </c>
    </row>
    <row r="9226" spans="1:5" ht="15" customHeight="1" x14ac:dyDescent="0.2">
      <c r="A9226" s="1" t="s">
        <v>18326</v>
      </c>
      <c r="B9226" s="1">
        <v>0</v>
      </c>
      <c r="C9226" s="3">
        <v>44536.92596064815</v>
      </c>
      <c r="D9226" s="1" t="s">
        <v>18327</v>
      </c>
      <c r="E9226" s="1" t="str">
        <f ca="1">IFERROR(__xludf.DUMMYFUNCTION("GOOGLETRANSLATE(A6025 , ""tr"" , ""en"")"),"@drfahrettinkoca Ministry Click on the following blue place for Allah consent ((((((#PFizerhesapver)))))")</f>
        <v>@drfahrettinkoca Ministry Click on the following blue place for Allah consent ((((((#PFizerhesapver)))))</v>
      </c>
    </row>
    <row r="9227" spans="1:5" ht="15" customHeight="1" x14ac:dyDescent="0.2">
      <c r="A9227" s="1" t="s">
        <v>18328</v>
      </c>
      <c r="B9227" s="1">
        <v>0</v>
      </c>
      <c r="C9227" s="3">
        <v>44536.925543981481</v>
      </c>
      <c r="D9227" s="1" t="s">
        <v>18329</v>
      </c>
      <c r="E9227" s="1" t="str">
        <f ca="1">IFERROR(__xludf.DUMMYFUNCTION("GOOGLETRANSLATE(A6026 , ""tr"" , ""en"")"),"@drfahrettinka illuminati has issued a card that shows what they think of doing. Have members everywhere. With us ... https://t.co/quimyIJL6C")</f>
        <v>@drfahrettinka illuminati has issued a card that shows what they think of doing. Have members everywhere. With us ... https://t.co/quimyIJL6C</v>
      </c>
    </row>
    <row r="9228" spans="1:5" ht="15" customHeight="1" x14ac:dyDescent="0.2">
      <c r="A9228" s="1" t="s">
        <v>18330</v>
      </c>
      <c r="B9228" s="1">
        <v>0</v>
      </c>
      <c r="C9228" s="3">
        <v>44536.925127314818</v>
      </c>
      <c r="D9228" s="1" t="s">
        <v>18331</v>
      </c>
      <c r="E9228" s="1" t="str">
        <f ca="1">IFERROR(__xludf.DUMMYFUNCTION("GOOGLETRANSLATE(A6027 , ""tr"" , ""en"")"),"@drfahrettinkoca what are you saying 😂😂")</f>
        <v>@drfahrettinkoca what are you saying 😂😂</v>
      </c>
    </row>
    <row r="9229" spans="1:5" ht="15" customHeight="1" x14ac:dyDescent="0.2">
      <c r="A9229" s="1" t="s">
        <v>18332</v>
      </c>
      <c r="B9229" s="1">
        <v>0</v>
      </c>
      <c r="C9229" s="3">
        <v>44536.924016203702</v>
      </c>
      <c r="D9229" s="1" t="s">
        <v>18333</v>
      </c>
      <c r="E9229" s="1" t="str">
        <f ca="1">IFERROR(__xludf.DUMMYFUNCTION("GOOGLETRANSLATE(A6028 , ""tr"" , ""en"")"),"@drfahrettinkoca If you have approached 75%, there are people who are not usable. May Allah Basiret, Face. This has done ... https://t.co/PBPU4V3IP3")</f>
        <v>@drfahrettinkoca If you have approached 75%, there are people who are not usable. May Allah Basiret, Face. This has done ... https://t.co/PBPU4V3IP3</v>
      </c>
    </row>
    <row r="9230" spans="1:5" ht="15" customHeight="1" x14ac:dyDescent="0.2">
      <c r="A9230" s="1" t="s">
        <v>18334</v>
      </c>
      <c r="B9230" s="1">
        <v>0</v>
      </c>
      <c r="C9230" s="3">
        <v>44536.91946759259</v>
      </c>
      <c r="D9230" s="1" t="s">
        <v>18335</v>
      </c>
      <c r="E9230" s="1" t="str">
        <f ca="1">IFERROR(__xludf.DUMMYFUNCTION("GOOGLETRANSLATE(A6029 , ""tr"" , ""en"")"),"@drfahrettinkoca Health Department of Science Board Why Precautions are not taken")</f>
        <v>@drfahrettinkoca Health Department of Science Board Why Precautions are not taken</v>
      </c>
    </row>
    <row r="9231" spans="1:5" ht="15" customHeight="1" x14ac:dyDescent="0.2">
      <c r="A9231" s="1" t="s">
        <v>18336</v>
      </c>
      <c r="B9231" s="1">
        <v>0</v>
      </c>
      <c r="C9231" s="3">
        <v>44536.917384259257</v>
      </c>
      <c r="D9231" s="1" t="s">
        <v>18337</v>
      </c>
      <c r="E9231" s="1" t="str">
        <f ca="1">IFERROR(__xludf.DUMMYFUNCTION("GOOGLETRANSLATE(A6030 , ""tr"" , ""en"")"),"@drfahrettinkoca has also made the vaccination to talk about so often.")</f>
        <v>@drfahrettinkoca has also made the vaccination to talk about so often.</v>
      </c>
    </row>
    <row r="9232" spans="1:5" ht="15" customHeight="1" x14ac:dyDescent="0.2">
      <c r="A9232" s="1" t="s">
        <v>18338</v>
      </c>
      <c r="B9232" s="1">
        <v>8</v>
      </c>
      <c r="C9232" s="3">
        <v>44536.915219907409</v>
      </c>
      <c r="D9232" s="1" t="s">
        <v>18339</v>
      </c>
      <c r="E9232" s="1" t="str">
        <f ca="1">IFERROR(__xludf.DUMMYFUNCTION("GOOGLETRANSLATE(A6031 , ""tr"" , ""en"")"),"@drfahrettinkoca Minister Thousands Twit Attik Enough Now I'm Likely Teeny As Teen Hear You Heard We Heard ... https://t.co/gke6trdlmy")</f>
        <v>@drfahrettinkoca Minister Thousands Twit Attik Enough Now I'm Likely Teeny As Teen Hear You Heard We Heard ... https://t.co/gke6trdlmy</v>
      </c>
    </row>
    <row r="9233" spans="1:5" ht="15" customHeight="1" x14ac:dyDescent="0.2">
      <c r="A9233" s="1" t="s">
        <v>18340</v>
      </c>
      <c r="B9233" s="1">
        <v>0</v>
      </c>
      <c r="C9233" s="3">
        <v>44536.913819444446</v>
      </c>
      <c r="D9233" s="1" t="s">
        <v>18341</v>
      </c>
      <c r="E9233" s="1" t="str">
        <f ca="1">IFERROR(__xludf.DUMMYFUNCTION("GOOGLETRANSLATE(A6032 , ""tr"" , ""en"")"),"@drfahrettinkoca Omikron is the order to be produced for Mr. Minister. Gene we won't be pedestrian.")</f>
        <v>@drfahrettinkoca Omikron is the order to be produced for Mr. Minister. Gene we won't be pedestrian.</v>
      </c>
    </row>
    <row r="9234" spans="1:5" ht="15" customHeight="1" x14ac:dyDescent="0.2">
      <c r="A9234" s="1" t="s">
        <v>18342</v>
      </c>
      <c r="B9234" s="1">
        <v>1</v>
      </c>
      <c r="C9234" s="3">
        <v>44536.913113425922</v>
      </c>
      <c r="D9234" s="1" t="s">
        <v>18343</v>
      </c>
      <c r="E9234" s="1" t="str">
        <f ca="1">IFERROR(__xludf.DUMMYFUNCTION("GOOGLETRANSLATE(A6033 , ""tr"" , ""en"")"),"Why @drfahrettinkoca fda why did the results of the pfiser have been hiding up to 2076 or from the federal court? What are they hiding ... https://t.co/kmfdy7kjcp")</f>
        <v>Why @drfahrettinkoca fda why did the results of the pfiser have been hiding up to 2076 or from the federal court? What are they hiding ... https://t.co/kmfdy7kjcp</v>
      </c>
    </row>
    <row r="9235" spans="1:5" ht="15" customHeight="1" x14ac:dyDescent="0.2">
      <c r="A9235" s="1" t="s">
        <v>18344</v>
      </c>
      <c r="B9235" s="1">
        <v>41</v>
      </c>
      <c r="C9235" s="3">
        <v>44536.910682870373</v>
      </c>
      <c r="D9235" s="1" t="s">
        <v>18345</v>
      </c>
      <c r="E9235" s="1" t="str">
        <f ca="1">IFERROR(__xludf.DUMMYFUNCTION("GOOGLETRANSLATE(A6034 , ""tr"" , ""en"")"),"@drfahrettinkoca inoculation rate is below 75% of the number of cases in these 30 provinces. If you don't have a blind ... https://t.co/wm54hfn730")</f>
        <v>@drfahrettinkoca inoculation rate is below 75% of the number of cases in these 30 provinces. If you don't have a blind ... https://t.co/wm54hfn730</v>
      </c>
    </row>
    <row r="9236" spans="1:5" ht="15" customHeight="1" x14ac:dyDescent="0.2">
      <c r="A9236" s="1" t="s">
        <v>18346</v>
      </c>
      <c r="B9236" s="1">
        <v>0</v>
      </c>
      <c r="C9236" s="3">
        <v>44536.910254629627</v>
      </c>
      <c r="D9236" s="1" t="s">
        <v>18347</v>
      </c>
      <c r="E9236" s="1" t="str">
        <f ca="1">IFERROR(__xludf.DUMMYFUNCTION("GOOGLETRANSLATE(A6035 , ""tr"" , ""en"")"),"@drfahrettinka wake up fishing and fishing in fishing. The nation has already awakened.")</f>
        <v>@drfahrettinka wake up fishing and fishing in fishing. The nation has already awakened.</v>
      </c>
    </row>
    <row r="9237" spans="1:5" ht="15" customHeight="1" x14ac:dyDescent="0.2">
      <c r="A9237" s="1" t="s">
        <v>18348</v>
      </c>
      <c r="B9237" s="1">
        <v>0</v>
      </c>
      <c r="C9237" s="3">
        <v>44536.910069444442</v>
      </c>
      <c r="D9237" s="1" t="s">
        <v>18349</v>
      </c>
      <c r="E9237" s="1" t="str">
        <f ca="1">IFERROR(__xludf.DUMMYFUNCTION("GOOGLETRANSLATE(A6036 , ""tr"" , ""en"")"),"@drfahrettinkoca preserves the importance of the case for the number of cases increased ... no mathematics you don't know, but it can't be so much ...")</f>
        <v>@drfahrettinkoca preserves the importance of the case for the number of cases increased ... no mathematics you don't know, but it can't be so much ...</v>
      </c>
    </row>
    <row r="9238" spans="1:5" ht="15" customHeight="1" x14ac:dyDescent="0.2">
      <c r="A9238" s="1" t="s">
        <v>18350</v>
      </c>
      <c r="B9238" s="1">
        <v>0</v>
      </c>
      <c r="C9238" s="3">
        <v>44536.909687500003</v>
      </c>
      <c r="D9238" s="1" t="s">
        <v>18351</v>
      </c>
      <c r="E9238" s="1" t="str">
        <f ca="1">IFERROR(__xludf.DUMMYFUNCTION("GOOGLETRANSLATE(A6037 , ""tr"" , ""en"")"),"@drfahrettinka https://t.co/qohcd6tbkf")</f>
        <v>@drfahrettinka https://t.co/qohcd6tbkf</v>
      </c>
    </row>
    <row r="9239" spans="1:5" ht="15" customHeight="1" x14ac:dyDescent="0.2">
      <c r="A9239" s="1" t="s">
        <v>18352</v>
      </c>
      <c r="B9239" s="1">
        <v>0</v>
      </c>
      <c r="C9239" s="3">
        <v>44536.90824074074</v>
      </c>
      <c r="D9239" s="1" t="s">
        <v>18353</v>
      </c>
      <c r="E9239" s="1" t="str">
        <f ca="1">IFERROR(__xludf.DUMMYFUNCTION("GOOGLETRANSLATE(A6038 , ""tr"" , ""en"")"),"@drfahrettinkoca Yesterday we are meeting with a fatherbaby yesterday, why he said. I said, the father you were not shot I'm hit ... https://t.co/cxsnryyuyq")</f>
        <v>@drfahrettinkoca Yesterday we are meeting with a fatherbaby yesterday, why he said. I said, the father you were not shot I'm hit ... https://t.co/cxsnryyuyq</v>
      </c>
    </row>
    <row r="9240" spans="1:5" ht="15" customHeight="1" x14ac:dyDescent="0.2">
      <c r="A9240" s="1" t="s">
        <v>18354</v>
      </c>
      <c r="B9240" s="1">
        <v>1</v>
      </c>
      <c r="C9240" s="3">
        <v>44536.907233796293</v>
      </c>
      <c r="D9240" s="1" t="s">
        <v>18355</v>
      </c>
      <c r="E9240" s="1" t="str">
        <f ca="1">IFERROR(__xludf.DUMMYFUNCTION("GOOGLETRANSLATE(A6039 , ""tr"" , ""en"")"),"@drfahrettinkoca This table is not lying on here is only exposed to non-exhausting cases")</f>
        <v>@drfahrettinkoca This table is not lying on here is only exposed to non-exhausting cases</v>
      </c>
    </row>
    <row r="9241" spans="1:5" ht="15" customHeight="1" x14ac:dyDescent="0.2">
      <c r="A9241" s="1" t="s">
        <v>18356</v>
      </c>
      <c r="B9241" s="1">
        <v>0</v>
      </c>
      <c r="C9241" s="3">
        <v>44536.904074074075</v>
      </c>
      <c r="D9241" s="1" t="s">
        <v>18357</v>
      </c>
      <c r="E9241" s="1" t="str">
        <f ca="1">IFERROR(__xludf.DUMMYFUNCTION("GOOGLETRANSLATE(A6040 , ""tr"" , ""en"")"),"@drfahrettinkoca nation is not an idiot. He is studying, investigating. Province ... https://t.co/jı2hcmn0g7")</f>
        <v>@drfahrettinkoca nation is not an idiot. He is studying, investigating. Province ... https://t.co/jı2hcmn0g7</v>
      </c>
    </row>
    <row r="9242" spans="1:5" ht="15" customHeight="1" x14ac:dyDescent="0.2">
      <c r="A9242" s="1" t="s">
        <v>18358</v>
      </c>
      <c r="B9242" s="1">
        <v>1</v>
      </c>
      <c r="C9242" s="3">
        <v>44536.900057870371</v>
      </c>
      <c r="D9242" s="1" t="s">
        <v>18359</v>
      </c>
      <c r="E9242" s="1" t="str">
        <f ca="1">IFERROR(__xludf.DUMMYFUNCTION("GOOGLETRANSLATE(A6041 , ""tr"" , ""en"")"),"@drfahrettinkoca Allah is enough to love the love of Allah ... Leave people spiritual Tazyiki..koca husband people give your own decision ... https://t.co/g1hch2hlew")</f>
        <v>@drfahrettinkoca Allah is enough to love the love of Allah ... Leave people spiritual Tazyiki..koca husband people give your own decision ... https://t.co/g1hch2hlew</v>
      </c>
    </row>
    <row r="9243" spans="1:5" ht="15" customHeight="1" x14ac:dyDescent="0.2">
      <c r="A9243" s="1" t="s">
        <v>18360</v>
      </c>
      <c r="B9243" s="1">
        <v>5</v>
      </c>
      <c r="C9243" s="3">
        <v>44536.892997685187</v>
      </c>
      <c r="D9243" s="1" t="s">
        <v>18361</v>
      </c>
      <c r="E9243" s="1" t="str">
        <f ca="1">IFERROR(__xludf.DUMMYFUNCTION("GOOGLETRANSLATE(A6042 , ""tr"" , ""en"")"),"@drfahrettinkoca global pharmaceutical company PFizer or a doctor who has served in another company, in the Science Board ... https://t.co/t3jsrdjqlll")</f>
        <v>@drfahrettinkoca global pharmaceutical company PFizer or a doctor who has served in another company, in the Science Board ... https://t.co/t3jsrdjqlll</v>
      </c>
    </row>
    <row r="9244" spans="1:5" ht="15" customHeight="1" x14ac:dyDescent="0.2">
      <c r="A9244" s="1" t="s">
        <v>18362</v>
      </c>
      <c r="B9244" s="1">
        <v>1</v>
      </c>
      <c r="C9244" s="3">
        <v>44536.88652777778</v>
      </c>
      <c r="D9244" s="1" t="s">
        <v>18363</v>
      </c>
      <c r="E9244" s="1" t="str">
        <f ca="1">IFERROR(__xludf.DUMMYFUNCTION("GOOGLETRANSLATE(A6043 , ""tr"" , ""en"")"),"@drfahrettinkoca You and National Education Minister Mahmut Özer Exit the roof of the Board of Science and the children's and v ... https://t.co/7jjpinkrt9")</f>
        <v>@drfahrettinkoca You and National Education Minister Mahmut Özer Exit the roof of the Board of Science and the children's and v ... https://t.co/7jjpinkrt9</v>
      </c>
    </row>
    <row r="9245" spans="1:5" ht="15" customHeight="1" x14ac:dyDescent="0.2">
      <c r="A9245" s="1" t="s">
        <v>18364</v>
      </c>
      <c r="B9245" s="1">
        <v>2</v>
      </c>
      <c r="C9245" s="3">
        <v>44536.880914351852</v>
      </c>
      <c r="D9245" s="1" t="s">
        <v>18365</v>
      </c>
      <c r="E9245" s="1" t="str">
        <f ca="1">IFERROR(__xludf.DUMMYFUNCTION("GOOGLETRANSLATE(A6044 , ""tr"" , ""en"")"),"@drfahrettinka you praised synovica first. Then you said a dose of biontech, then two dose, now three dose. Omricon for Y ... https://t.co/oxjb3tx2mn")</f>
        <v>@drfahrettinka you praised synovica first. Then you said a dose of biontech, then two dose, now three dose. Omricon for Y ... https://t.co/oxjb3tx2mn</v>
      </c>
    </row>
    <row r="9246" spans="1:5" ht="15" customHeight="1" x14ac:dyDescent="0.2">
      <c r="A9246" s="1" t="s">
        <v>18366</v>
      </c>
      <c r="B9246" s="1">
        <v>0</v>
      </c>
      <c r="C9246" s="3">
        <v>44536.880659722221</v>
      </c>
      <c r="D9246" s="1" t="s">
        <v>18367</v>
      </c>
      <c r="E9246" s="1" t="str">
        <f ca="1">IFERROR(__xludf.DUMMYFUNCTION("GOOGLETRANSLATE(A6045 , ""tr"" , ""en"")"),"@drfahrettinkoca I remind the doctor in organ traffickers. https://t.co/goqzajxdej")</f>
        <v>@drfahrettinkoca I remind the doctor in organ traffickers. https://t.co/goqzajxdej</v>
      </c>
    </row>
    <row r="9247" spans="1:5" ht="15" customHeight="1" x14ac:dyDescent="0.2">
      <c r="A9247" s="1" t="s">
        <v>18368</v>
      </c>
      <c r="B9247" s="1">
        <v>0</v>
      </c>
      <c r="C9247" s="3">
        <v>44536.878993055558</v>
      </c>
      <c r="D9247" s="1" t="s">
        <v>18369</v>
      </c>
      <c r="E9247" s="1" t="str">
        <f ca="1">IFERROR(__xludf.DUMMYFUNCTION("GOOGLETRANSLATE(A6046 , ""tr"" , ""en"")"),"@drfahrettinkoca throat is itchiti🤏 https://t.co/8fdgvxdbdh")</f>
        <v>@drfahrettinkoca throat is itchiti🤏 https://t.co/8fdgvxdbdh</v>
      </c>
    </row>
    <row r="9248" spans="1:5" ht="15" customHeight="1" x14ac:dyDescent="0.2">
      <c r="A9248" s="1" t="s">
        <v>18370</v>
      </c>
      <c r="B9248" s="1">
        <v>0</v>
      </c>
      <c r="C9248" s="3">
        <v>44536.876585648148</v>
      </c>
      <c r="D9248" s="1" t="s">
        <v>18371</v>
      </c>
      <c r="E9248" s="1" t="str">
        <f ca="1">IFERROR(__xludf.DUMMYFUNCTION("GOOGLETRANSLATE(A6047 , ""tr"" , ""en"")"),"@drfahrettinkoca sit down? Maybe injectors move inSafe to come")</f>
        <v>@drfahrettinkoca sit down? Maybe injectors move inSafe to come</v>
      </c>
    </row>
    <row r="9249" spans="1:5" ht="15" customHeight="1" x14ac:dyDescent="0.2">
      <c r="A9249" s="1" t="s">
        <v>18372</v>
      </c>
      <c r="B9249" s="1">
        <v>1</v>
      </c>
      <c r="C9249" s="3">
        <v>44536.8752662037</v>
      </c>
      <c r="D9249" s="1" t="s">
        <v>18373</v>
      </c>
      <c r="E9249" s="1" t="str">
        <f ca="1">IFERROR(__xludf.DUMMYFUNCTION("GOOGLETRANSLATE(A6048 , ""tr"" , ""en"")"),"@drfahrettinkoca Talk to your own name! no one has to be happy. Bullying people with vaccination, with school, threatening his job ... https://t.co/b1ur7uawgf")</f>
        <v>@drfahrettinkoca Talk to your own name! no one has to be happy. Bullying people with vaccination, with school, threatening his job ... https://t.co/b1ur7uawgf</v>
      </c>
    </row>
    <row r="9250" spans="1:5" ht="15" customHeight="1" x14ac:dyDescent="0.2">
      <c r="A9250" s="1" t="s">
        <v>18374</v>
      </c>
      <c r="B9250" s="1">
        <v>0</v>
      </c>
      <c r="C9250" s="3">
        <v>44536.874872685185</v>
      </c>
      <c r="D9250" s="1" t="s">
        <v>18375</v>
      </c>
      <c r="E9250" s="1" t="str">
        <f ca="1">IFERROR(__xludf.DUMMYFUNCTION("GOOGLETRANSLATE(A6049 , ""tr"" , ""en"")"),"@drfahrettinkoca Universities optional education should be sure to come 1-2 for the dorms to the dormitory ... https://t.co/ga7gmfbsse")</f>
        <v>@drfahrettinkoca Universities optional education should be sure to come 1-2 for the dorms to the dormitory ... https://t.co/ga7gmfbsse</v>
      </c>
    </row>
    <row r="9251" spans="1:5" ht="15" customHeight="1" x14ac:dyDescent="0.2">
      <c r="A9251" s="1" t="s">
        <v>18376</v>
      </c>
      <c r="B9251" s="1">
        <v>0</v>
      </c>
      <c r="C9251" s="3">
        <v>44536.874293981484</v>
      </c>
      <c r="D9251" s="1" t="s">
        <v>18377</v>
      </c>
      <c r="E9251" s="1" t="str">
        <f ca="1">IFERROR(__xludf.DUMMYFUNCTION("GOOGLETRANSLATE(A6050 , ""tr"" , ""en"")"),"@drfahrettinkoca you and the Ministry of Meb may be that there may be inatting.")</f>
        <v>@drfahrettinkoca you and the Ministry of Meb may be that there may be inatting.</v>
      </c>
    </row>
    <row r="9252" spans="1:5" ht="15" customHeight="1" x14ac:dyDescent="0.2">
      <c r="A9252" s="1" t="s">
        <v>18378</v>
      </c>
      <c r="B9252" s="1">
        <v>0</v>
      </c>
      <c r="C9252" s="3">
        <v>44536.873784722222</v>
      </c>
      <c r="D9252" s="1" t="s">
        <v>18379</v>
      </c>
      <c r="E9252" s="1" t="str">
        <f ca="1">IFERROR(__xludf.DUMMYFUNCTION("GOOGLETRANSLATE(A6051 , ""tr"" , ""en"")"),"@drfahrettinkoca you can't forget kids you can't spend # cabinet")</f>
        <v>@drfahrettinkoca you can't forget kids you can't spend # cabinet</v>
      </c>
    </row>
    <row r="9253" spans="1:5" ht="15" customHeight="1" x14ac:dyDescent="0.2">
      <c r="A9253" s="1" t="s">
        <v>18380</v>
      </c>
      <c r="B9253" s="1">
        <v>0</v>
      </c>
      <c r="C9253" s="3">
        <v>44536.873368055552</v>
      </c>
      <c r="D9253" s="1" t="s">
        <v>18381</v>
      </c>
      <c r="E9253" s="1" t="str">
        <f ca="1">IFERROR(__xludf.DUMMYFUNCTION("GOOGLETRANSLATE(A6052 , ""tr"" , ""en"")"),"@drfahrettinkoca Vaccines Yesi Yesi, you're drowning in your lies.")</f>
        <v>@drfahrettinkoca Vaccines Yesi Yesi, you're drowning in your lies.</v>
      </c>
    </row>
    <row r="9254" spans="1:5" ht="15" customHeight="1" x14ac:dyDescent="0.2">
      <c r="A9254" s="1" t="s">
        <v>18382</v>
      </c>
      <c r="B9254" s="1">
        <v>3</v>
      </c>
      <c r="C9254" s="3">
        <v>44536.872847222221</v>
      </c>
      <c r="D9254" s="1" t="s">
        <v>18383</v>
      </c>
      <c r="E9254" s="1" t="str">
        <f ca="1">IFERROR(__xludf.DUMMYFUNCTION("GOOGLETRANSLATE(A6053 , ""tr"" , ""en"")"),"@drfahrettinkoca collar Bi Drop Mahvettin Hoca")</f>
        <v>@drfahrettinkoca collar Bi Drop Mahvettin Hoca</v>
      </c>
    </row>
    <row r="9255" spans="1:5" ht="15" customHeight="1" x14ac:dyDescent="0.2">
      <c r="A9255" s="1" t="s">
        <v>18384</v>
      </c>
      <c r="B9255" s="1">
        <v>1</v>
      </c>
      <c r="C9255" s="3">
        <v>44536.868807870371</v>
      </c>
      <c r="D9255" s="1" t="s">
        <v>18385</v>
      </c>
      <c r="E9255" s="1" t="str">
        <f ca="1">IFERROR(__xludf.DUMMYFUNCTION("GOOGLETRANSLATE(A6054 , ""tr"" , ""en"")"),"@drfahrettinkoca hani mask? Hani distance? 3. Dose $ IVI Citizen from the citizen in the indoor area and the distance to the PLA ... https://t.co/5bgono1kez")</f>
        <v>@drfahrettinkoca hani mask? Hani distance? 3. Dose $ IVI Citizen from the citizen in the indoor area and the distance to the PLA ... https://t.co/5bgono1kez</v>
      </c>
    </row>
    <row r="9256" spans="1:5" ht="15" customHeight="1" x14ac:dyDescent="0.2">
      <c r="A9256" s="1" t="s">
        <v>18386</v>
      </c>
      <c r="B9256" s="1">
        <v>2</v>
      </c>
      <c r="C9256" s="3">
        <v>44536.866122685184</v>
      </c>
      <c r="D9256" s="1" t="s">
        <v>18387</v>
      </c>
      <c r="E9256" s="1" t="str">
        <f ca="1">IFERROR(__xludf.DUMMYFUNCTION("GOOGLETRANSLATE(A6055 , ""tr"" , ""en"")"),"@drfahrettinka you haven't been vaccinated that i know very well")</f>
        <v>@drfahrettinka you haven't been vaccinated that i know very well</v>
      </c>
    </row>
    <row r="9257" spans="1:5" ht="15" customHeight="1" x14ac:dyDescent="0.2">
      <c r="A9257" s="1" t="s">
        <v>18388</v>
      </c>
      <c r="B9257" s="1">
        <v>0</v>
      </c>
      <c r="C9257" s="3">
        <v>44536.86478009259</v>
      </c>
      <c r="D9257" s="1" t="s">
        <v>18389</v>
      </c>
      <c r="E9257" s="1" t="str">
        <f ca="1">IFERROR(__xludf.DUMMYFUNCTION("GOOGLETRANSLATE(A6056 , ""tr"" , ""en"")"),"@drfahrettinkoca anymore people woke up")</f>
        <v>@drfahrettinkoca anymore people woke up</v>
      </c>
    </row>
    <row r="9258" spans="1:5" ht="15" customHeight="1" x14ac:dyDescent="0.2">
      <c r="A9258" s="1" t="s">
        <v>18390</v>
      </c>
      <c r="B9258" s="1">
        <v>7</v>
      </c>
      <c r="C9258" s="3">
        <v>44536.864085648151</v>
      </c>
      <c r="D9258" s="1" t="s">
        <v>18391</v>
      </c>
      <c r="E9258" s="1" t="str">
        <f ca="1">IFERROR(__xludf.DUMMYFUNCTION("GOOGLETRANSLATE(A6057 , ""tr"" , ""en"")"),"@drfahrettinkoca Benin My duty Allah CC issued to be counted and the children of the demons are the orders of the children ... https://t.co/1fuepbkeyz")</f>
        <v>@drfahrettinkoca Benin My duty Allah CC issued to be counted and the children of the demons are the orders of the children ... https://t.co/1fuepbkeyz</v>
      </c>
    </row>
    <row r="9259" spans="1:5" ht="15" customHeight="1" x14ac:dyDescent="0.2">
      <c r="A9259" s="1" t="s">
        <v>18392</v>
      </c>
      <c r="B9259" s="1">
        <v>1</v>
      </c>
      <c r="C9259" s="3">
        <v>44536.863761574074</v>
      </c>
      <c r="D9259" s="1" t="s">
        <v>18393</v>
      </c>
      <c r="E9259" s="1" t="str">
        <f ca="1">IFERROR(__xludf.DUMMYFUNCTION("GOOGLETRANSLATE(A6058 , ""tr"" , ""en"")"),"@drfahrettinkoca You have reached this number by the difficult inoculation of people you threaten with his job. So Zal ... https://t.co/ysjfft8pip")</f>
        <v>@drfahrettinkoca You have reached this number by the difficult inoculation of people you threaten with his job. So Zal ... https://t.co/ysjfft8pip</v>
      </c>
    </row>
    <row r="9260" spans="1:5" ht="15" customHeight="1" x14ac:dyDescent="0.2">
      <c r="A9260" s="1" t="s">
        <v>18394</v>
      </c>
      <c r="B9260" s="1">
        <v>50</v>
      </c>
      <c r="C9260" s="3">
        <v>44536.863668981481</v>
      </c>
      <c r="D9260" s="1" t="s">
        <v>18395</v>
      </c>
      <c r="E9260" s="1" t="str">
        <f ca="1">IFERROR(__xludf.DUMMYFUNCTION("GOOGLETRANSLATE(A6059 , ""tr"" , ""en"")"),"@drfahrettinkoca Because most of the healthy people who take the fluids are sick with the people they were sick Bengi Başer Min ... https://t.co/icqugxgkeu")</f>
        <v>@drfahrettinkoca Because most of the healthy people who take the fluids are sick with the people they were sick Bengi Başer Min ... https://t.co/icqugxgkeu</v>
      </c>
    </row>
    <row r="9261" spans="1:5" ht="15" customHeight="1" x14ac:dyDescent="0.2">
      <c r="A9261" s="1" t="s">
        <v>18396</v>
      </c>
      <c r="B9261" s="1">
        <v>0</v>
      </c>
      <c r="C9261" s="3">
        <v>44536.863425925927</v>
      </c>
      <c r="D9261" s="1" t="s">
        <v>18397</v>
      </c>
      <c r="E9261" s="1" t="str">
        <f ca="1">IFERROR(__xludf.DUMMYFUNCTION("GOOGLETRANSLATE(A6060 , ""tr"" , ""en"")"),"@drfahrettinkoca # remote")</f>
        <v>@drfahrettinkoca # remote</v>
      </c>
    </row>
    <row r="9262" spans="1:5" ht="15" customHeight="1" x14ac:dyDescent="0.2">
      <c r="A9262" s="1" t="s">
        <v>18398</v>
      </c>
      <c r="B9262" s="1">
        <v>0</v>
      </c>
      <c r="C9262" s="3">
        <v>44536.86241898148</v>
      </c>
      <c r="D9262" s="1" t="s">
        <v>18399</v>
      </c>
      <c r="E9262" s="1" t="str">
        <f ca="1">IFERROR(__xludf.DUMMYFUNCTION("GOOGLETRANSLATE(A6061 , ""tr"" , ""en"")"),"@drfahrettinkoca Publish your wait for Allah consent YETR")</f>
        <v>@drfahrettinkoca Publish your wait for Allah consent YETR</v>
      </c>
    </row>
    <row r="9263" spans="1:5" ht="15" customHeight="1" x14ac:dyDescent="0.2">
      <c r="A9263" s="1" t="s">
        <v>18400</v>
      </c>
      <c r="B9263" s="1">
        <v>0</v>
      </c>
      <c r="C9263" s="3">
        <v>44536.862025462964</v>
      </c>
      <c r="D9263" s="1" t="s">
        <v>18401</v>
      </c>
      <c r="E9263" s="1" t="str">
        <f ca="1">IFERROR(__xludf.DUMMYFUNCTION("GOOGLETRANSLATE(A6062 , ""tr"" , ""en"")"),"@drfahrettinkoca Even in the morning no patriarals make guide")</f>
        <v>@drfahrettinkoca Even in the morning no patriarals make guide</v>
      </c>
    </row>
    <row r="9264" spans="1:5" ht="15" customHeight="1" x14ac:dyDescent="0.2">
      <c r="A9264" s="1" t="s">
        <v>18402</v>
      </c>
      <c r="B9264" s="1">
        <v>0</v>
      </c>
      <c r="C9264" s="3">
        <v>44536.861805555556</v>
      </c>
      <c r="D9264" s="1" t="s">
        <v>18403</v>
      </c>
      <c r="E9264" s="1" t="str">
        <f ca="1">IFERROR(__xludf.DUMMYFUNCTION("GOOGLETRANSLATE(A6063 , ""tr"" , ""en"")"),"@drfahrettinkoca bi hasn't shut up ya!")</f>
        <v>@drfahrettinkoca bi hasn't shut up ya!</v>
      </c>
    </row>
    <row r="9265" spans="1:5" ht="15" customHeight="1" x14ac:dyDescent="0.2">
      <c r="A9265" s="1" t="s">
        <v>18404</v>
      </c>
      <c r="B9265" s="1">
        <v>0</v>
      </c>
      <c r="C9265" s="3">
        <v>44536.861724537041</v>
      </c>
      <c r="D9265" s="1" t="s">
        <v>18405</v>
      </c>
      <c r="E9265" s="1" t="str">
        <f ca="1">IFERROR(__xludf.DUMMYFUNCTION("GOOGLETRANSLATE(A6064 , ""tr"" , ""en"")"),"@drfahrettinkoca guide i want now my minister")</f>
        <v>@drfahrettinkoca guide i want now my minister</v>
      </c>
    </row>
    <row r="9266" spans="1:5" ht="15" customHeight="1" x14ac:dyDescent="0.2">
      <c r="A9266" s="1" t="s">
        <v>18406</v>
      </c>
      <c r="B9266" s="1">
        <v>1</v>
      </c>
      <c r="C9266" s="3">
        <v>44536.861446759256</v>
      </c>
      <c r="D9266" s="1" t="s">
        <v>18407</v>
      </c>
      <c r="E9266" s="1" t="str">
        <f ca="1">IFERROR(__xludf.DUMMYFUNCTION("GOOGLETRANSLATE(A6065 , ""tr"" , ""en"")"),"@drfahrettinkoca Assignment make it out of waiting")</f>
        <v>@drfahrettinkoca Assignment make it out of waiting</v>
      </c>
    </row>
    <row r="9267" spans="1:5" ht="15" customHeight="1" x14ac:dyDescent="0.2">
      <c r="A9267" s="1" t="s">
        <v>18408</v>
      </c>
      <c r="B9267" s="1">
        <v>0</v>
      </c>
      <c r="C9267" s="3">
        <v>44536.86142361111</v>
      </c>
      <c r="D9267" s="1" t="s">
        <v>18409</v>
      </c>
      <c r="E9267" s="1" t="str">
        <f ca="1">IFERROR(__xludf.DUMMYFUNCTION("GOOGLETRANSLATE(A6066 , ""tr"" , ""en"")"),"@drfahrettinkoca Who is our youth returning to a snake story @drfahrettinkoca # 40binatamayiyapkilicdaroglu")</f>
        <v>@drfahrettinkoca Who is our youth returning to a snake story @drfahrettinkoca # 40binatamayiyapkilicdaroglu</v>
      </c>
    </row>
    <row r="9268" spans="1:5" ht="15" customHeight="1" x14ac:dyDescent="0.2">
      <c r="A9268" s="1" t="s">
        <v>10058</v>
      </c>
      <c r="B9268" s="1">
        <v>0</v>
      </c>
      <c r="C9268" s="3">
        <v>44536.861134259256</v>
      </c>
      <c r="D9268" s="1" t="s">
        <v>18410</v>
      </c>
      <c r="E9268" s="1" t="str">
        <f ca="1">IFERROR(__xludf.DUMMYFUNCTION("GOOGLETRANSLATE(A6067 , ""tr"" , ""en"")"),"@drfahrettinkoca Guide")</f>
        <v>@drfahrettinkoca Guide</v>
      </c>
    </row>
    <row r="9269" spans="1:5" ht="15" customHeight="1" x14ac:dyDescent="0.2">
      <c r="A9269" s="1" t="s">
        <v>12681</v>
      </c>
      <c r="B9269" s="1">
        <v>0</v>
      </c>
      <c r="C9269" s="3">
        <v>44536.86105324074</v>
      </c>
      <c r="D9269" s="1" t="s">
        <v>18411</v>
      </c>
      <c r="E9269" s="1" t="str">
        <f ca="1">IFERROR(__xludf.DUMMYFUNCTION("GOOGLETRANSLATE(A6068 , ""tr"" , ""en"")"),"@drfahrettinkoca assignment")</f>
        <v>@drfahrettinkoca assignment</v>
      </c>
    </row>
    <row r="9270" spans="1:5" ht="15" customHeight="1" x14ac:dyDescent="0.2">
      <c r="A9270" s="1" t="s">
        <v>18412</v>
      </c>
      <c r="B9270" s="1">
        <v>0</v>
      </c>
      <c r="C9270" s="3">
        <v>44536.860752314817</v>
      </c>
      <c r="D9270" s="1" t="s">
        <v>18413</v>
      </c>
      <c r="E9270" s="1" t="str">
        <f ca="1">IFERROR(__xludf.DUMMYFUNCTION("GOOGLETRANSLATE(A6069 , ""tr"" , ""en"")"),"@drfahrettinkoca is a healthy minister like you ........ a person becomes so traitor")</f>
        <v>@drfahrettinkoca is a healthy minister like you ........ a person becomes so traitor</v>
      </c>
    </row>
    <row r="9271" spans="1:5" ht="15" customHeight="1" x14ac:dyDescent="0.2">
      <c r="A9271" s="1" t="s">
        <v>18414</v>
      </c>
      <c r="B9271" s="1">
        <v>3</v>
      </c>
      <c r="C9271" s="3">
        <v>44536.860752314817</v>
      </c>
      <c r="D9271" s="1" t="s">
        <v>18415</v>
      </c>
      <c r="E9271" s="1" t="str">
        <f ca="1">IFERROR(__xludf.DUMMYFUNCTION("GOOGLETRANSLATE(A6070 , ""tr"" , ""en"")"),"@drfahrettinka will soon explode the cases i think are now in the pop-up case but then you will not be able to hide")</f>
        <v>@drfahrettinka will soon explode the cases i think are now in the pop-up case but then you will not be able to hide</v>
      </c>
    </row>
    <row r="9272" spans="1:5" ht="15" customHeight="1" x14ac:dyDescent="0.2">
      <c r="A9272" s="1" t="s">
        <v>18416</v>
      </c>
      <c r="B9272" s="1">
        <v>1</v>
      </c>
      <c r="C9272" s="3">
        <v>44536.86037037037</v>
      </c>
      <c r="D9272" s="1" t="s">
        <v>18417</v>
      </c>
      <c r="E9272" s="1" t="str">
        <f ca="1">IFERROR(__xludf.DUMMYFUNCTION("GOOGLETRANSLATE(A6071 , ""tr"" , ""en"")"),"@drfahrettinkoca Minister Bey Bi Bakana What's here ... Https://t.co/p2oadfmcpe")</f>
        <v>@drfahrettinkoca Minister Bey Bi Bakana What's here ... Https://t.co/p2oadfmcpe</v>
      </c>
    </row>
    <row r="9273" spans="1:5" ht="15" customHeight="1" x14ac:dyDescent="0.2">
      <c r="A9273" s="1" t="s">
        <v>18418</v>
      </c>
      <c r="B9273" s="1">
        <v>0</v>
      </c>
      <c r="C9273" s="3">
        <v>44536.860162037039</v>
      </c>
      <c r="D9273" s="1" t="s">
        <v>18419</v>
      </c>
      <c r="E9273" s="1" t="str">
        <f ca="1">IFERROR(__xludf.DUMMYFUNCTION("GOOGLETRANSLATE(A6072 , ""tr"" , ""en"")"),"@drfahrettinkoca minicial teeny teen tiny twigs do vaccines make us happy Vallaha heavy talk ... https://t.co/rkesxcrvzo")</f>
        <v>@drfahrettinkoca minicial teeny teen tiny twigs do vaccines make us happy Vallaha heavy talk ... https://t.co/rkesxcrvzo</v>
      </c>
    </row>
    <row r="9274" spans="1:5" ht="15" customHeight="1" x14ac:dyDescent="0.2">
      <c r="A9274" s="1" t="s">
        <v>18420</v>
      </c>
      <c r="B9274" s="1">
        <v>1</v>
      </c>
      <c r="C9274" s="3">
        <v>44536.859872685185</v>
      </c>
      <c r="D9274" s="1" t="s">
        <v>18421</v>
      </c>
      <c r="E9274" s="1" t="str">
        <f ca="1">IFERROR(__xludf.DUMMYFUNCTION("GOOGLETRANSLATE(A6073 , ""tr"" , ""en"")"),"@drfahrettinkoca We are not afraid of Allah with Lord of the realms! ... globalists will lose the right to the right ...")</f>
        <v>@drfahrettinkoca We are not afraid of Allah with Lord of the realms! ... globalists will lose the right to the right ...</v>
      </c>
    </row>
    <row r="9275" spans="1:5" ht="15" customHeight="1" x14ac:dyDescent="0.2">
      <c r="A9275" s="1" t="s">
        <v>18422</v>
      </c>
      <c r="B9275" s="1">
        <v>10</v>
      </c>
      <c r="C9275" s="3">
        <v>44536.859872685185</v>
      </c>
      <c r="D9275" s="1" t="s">
        <v>18423</v>
      </c>
      <c r="E9275" s="1" t="str">
        <f ca="1">IFERROR(__xludf.DUMMYFUNCTION("GOOGLETRANSLATE(A6074 , ""tr"" , ""en"")"),"@drfahrettinka Mr. Minister Pandemide runs night and night 7/24 Hospital to help all health workers ... https://t.co/kd54wzsh9k")</f>
        <v>@drfahrettinka Mr. Minister Pandemide runs night and night 7/24 Hospital to help all health workers ... https://t.co/kd54wzsh9k</v>
      </c>
    </row>
    <row r="9276" spans="1:5" ht="15" customHeight="1" x14ac:dyDescent="0.2">
      <c r="A9276" s="1" t="s">
        <v>18424</v>
      </c>
      <c r="B9276" s="1">
        <v>0</v>
      </c>
      <c r="C9276" s="3">
        <v>44536.859467592592</v>
      </c>
      <c r="D9276" s="1" t="s">
        <v>18425</v>
      </c>
      <c r="E9276" s="1" t="str">
        <f ca="1">IFERROR(__xludf.DUMMYFUNCTION("GOOGLETRANSLATE(A6075 , ""tr"" , ""en"")"),"@drfahrettinkoca is what you want us to be @saglikbakanligi? @rterdogan; https://t.co/0bauorp7ff")</f>
        <v>@drfahrettinkoca is what you want us to be @saglikbakanligi? @rterdogan; https://t.co/0bauorp7ff</v>
      </c>
    </row>
    <row r="9277" spans="1:5" ht="15" customHeight="1" x14ac:dyDescent="0.2">
      <c r="A9277" s="1" t="s">
        <v>18426</v>
      </c>
      <c r="B9277" s="1">
        <v>4</v>
      </c>
      <c r="C9277" s="3">
        <v>44536.859201388892</v>
      </c>
      <c r="D9277" s="1" t="s">
        <v>18427</v>
      </c>
      <c r="E9277" s="1" t="str">
        <f ca="1">IFERROR(__xludf.DUMMYFUNCTION("GOOGLETRANSLATE(A6076 , ""tr"" , ""en"")"),"@drfahrettinkoca 666 CI The vaccines produced by dogs are hit by the fact that my happy event is decreasing as a real vaccination decreases")</f>
        <v>@drfahrettinkoca 666 CI The vaccines produced by dogs are hit by the fact that my happy event is decreasing as a real vaccination decreases</v>
      </c>
    </row>
    <row r="9278" spans="1:5" ht="15" customHeight="1" x14ac:dyDescent="0.2">
      <c r="A9278" s="1" t="s">
        <v>18428</v>
      </c>
      <c r="B9278" s="1">
        <v>0</v>
      </c>
      <c r="C9278" s="3">
        <v>44536.858344907407</v>
      </c>
      <c r="D9278" s="1" t="s">
        <v>18429</v>
      </c>
      <c r="E9278" s="1" t="str">
        <f ca="1">IFERROR(__xludf.DUMMYFUNCTION("GOOGLETRANSLATE(A6077 , ""tr"" , ""en"")"),"@drfahrettinkoca tourists will fall in May in May with 6 thousand or 7 thousand cases in May. ... Https://t.co/w2dlmjiabia")</f>
        <v>@drfahrettinkoca tourists will fall in May in May with 6 thousand or 7 thousand cases in May. ... Https://t.co/w2dlmjiabia</v>
      </c>
    </row>
    <row r="9279" spans="1:5" ht="15" customHeight="1" x14ac:dyDescent="0.2">
      <c r="A9279" s="1" t="s">
        <v>18430</v>
      </c>
      <c r="B9279" s="1">
        <v>3</v>
      </c>
      <c r="C9279" s="3">
        <v>44536.858090277776</v>
      </c>
      <c r="D9279" s="1" t="s">
        <v>18431</v>
      </c>
      <c r="E9279" s="1" t="str">
        <f ca="1">IFERROR(__xludf.DUMMYFUNCTION("GOOGLETRANSLATE(A6078 , ""tr"" , ""en"")"),"@drfahrettinkoca Mr. Minister Pandemide Day night daytime 7/24 running hospital knowledge processing staff")</f>
        <v>@drfahrettinkoca Mr. Minister Pandemide Day night daytime 7/24 running hospital knowledge processing staff</v>
      </c>
    </row>
    <row r="9280" spans="1:5" ht="15" customHeight="1" x14ac:dyDescent="0.2">
      <c r="A9280" s="1" t="s">
        <v>18432</v>
      </c>
      <c r="B9280" s="1">
        <v>0</v>
      </c>
      <c r="C9280" s="3">
        <v>44536.858055555553</v>
      </c>
      <c r="D9280" s="1" t="s">
        <v>18433</v>
      </c>
      <c r="E9280" s="1" t="str">
        <f ca="1">IFERROR(__xludf.DUMMYFUNCTION("GOOGLETRANSLATE(A6079 , ""tr"" , ""en"")"),"@drfahrettinkoca was like a healthcan assignment.")</f>
        <v>@drfahrettinkoca was like a healthcan assignment.</v>
      </c>
    </row>
    <row r="9281" spans="1:5" ht="15" customHeight="1" x14ac:dyDescent="0.2">
      <c r="A9281" s="1" t="s">
        <v>18434</v>
      </c>
      <c r="B9281" s="1">
        <v>2</v>
      </c>
      <c r="C9281" s="3">
        <v>44536.857499999998</v>
      </c>
      <c r="D9281" s="1" t="s">
        <v>18435</v>
      </c>
      <c r="E9281" s="1" t="str">
        <f ca="1">IFERROR(__xludf.DUMMYFUNCTION("GOOGLETRANSLATE(A6080 , ""tr"" , ""en"")"),"@drfahrettinkoca we would like to see the branch contour not the branch of the cowid no longer. # 40binatamayiapkilicdaroglu")</f>
        <v>@drfahrettinkoca we would like to see the branch contour not the branch of the cowid no longer. # 40binatamayiapkilicdaroglu</v>
      </c>
    </row>
    <row r="9282" spans="1:5" ht="15" customHeight="1" x14ac:dyDescent="0.2">
      <c r="A9282" s="1" t="s">
        <v>18436</v>
      </c>
      <c r="B9282" s="1">
        <v>1</v>
      </c>
      <c r="C9282" s="3">
        <v>44536.856782407405</v>
      </c>
      <c r="D9282" s="1" t="s">
        <v>18437</v>
      </c>
      <c r="E9282" s="1" t="str">
        <f ca="1">IFERROR(__xludf.DUMMYFUNCTION("GOOGLETRANSLATE(A6081 , ""tr"" , ""en"")"),"@drfahrettinkoca how do you don't see us # 40binatamayiyapkilicdaroglu")</f>
        <v>@drfahrettinkoca how do you don't see us # 40binatamayiyapkilicdaroglu</v>
      </c>
    </row>
    <row r="9283" spans="1:5" ht="15" customHeight="1" x14ac:dyDescent="0.2">
      <c r="A9283" s="1" t="s">
        <v>18438</v>
      </c>
      <c r="B9283" s="1">
        <v>0</v>
      </c>
      <c r="C9283" s="3">
        <v>44536.853564814817</v>
      </c>
      <c r="D9283" s="1" t="s">
        <v>18439</v>
      </c>
      <c r="E9283" s="1" t="str">
        <f ca="1">IFERROR(__xludf.DUMMYFUNCTION("GOOGLETRANSLATE(A6082 , ""tr"" , ""en"")"),"@drfahrettinkoca Ministry @drfahrettinkoca Playing Room Where are you? Why is the description and waiting for health ... https://t.co/hcv2cbk5bl")</f>
        <v>@drfahrettinkoca Ministry @drfahrettinkoca Playing Room Where are you? Why is the description and waiting for health ... https://t.co/hcv2cbk5bl</v>
      </c>
    </row>
    <row r="9284" spans="1:5" ht="15" customHeight="1" x14ac:dyDescent="0.2">
      <c r="A9284" s="1" t="s">
        <v>18440</v>
      </c>
      <c r="B9284" s="1">
        <v>1</v>
      </c>
      <c r="C9284" s="3">
        <v>44536.853437500002</v>
      </c>
      <c r="D9284" s="1" t="s">
        <v>18441</v>
      </c>
      <c r="E9284" s="1" t="str">
        <f ca="1">IFERROR(__xludf.DUMMYFUNCTION("GOOGLETRANSLATE(A6083 , ""tr"" , ""en"")"),"@drfahrettinka is a continuous mutated virus .. How is the vaccine.")</f>
        <v>@drfahrettinka is a continuous mutated virus .. How is the vaccine.</v>
      </c>
    </row>
    <row r="9285" spans="1:5" ht="15" customHeight="1" x14ac:dyDescent="0.2">
      <c r="A9285" s="1" t="s">
        <v>18442</v>
      </c>
      <c r="B9285" s="1">
        <v>1</v>
      </c>
      <c r="C9285" s="3">
        <v>44536.853414351855</v>
      </c>
      <c r="D9285" s="1" t="s">
        <v>18443</v>
      </c>
      <c r="E9285" s="1" t="str">
        <f ca="1">IFERROR(__xludf.DUMMYFUNCTION("GOOGLETRANSLATE(A6084 , ""tr"" , ""en"")"),"@drfahrettinkoca tiny tiny clots, occasionally use heart crises and people very thankfulness of people who are sometimes ... https://t.co/obubjaa30m")</f>
        <v>@drfahrettinkoca tiny tiny clots, occasionally use heart crises and people very thankfulness of people who are sometimes ... https://t.co/obubjaa30m</v>
      </c>
    </row>
    <row r="9286" spans="1:5" ht="15" customHeight="1" x14ac:dyDescent="0.2">
      <c r="A9286" s="1" t="s">
        <v>18444</v>
      </c>
      <c r="B9286" s="1">
        <v>1</v>
      </c>
      <c r="C9286" s="3">
        <v>44536.853391203702</v>
      </c>
      <c r="D9286" s="1" t="s">
        <v>18445</v>
      </c>
      <c r="E9286" s="1" t="str">
        <f ca="1">IFERROR(__xludf.DUMMYFUNCTION("GOOGLETRANSLATE(A6085 , ""tr"" , ""en"")"),"@drfahrettinkoca Minister For Allah consent to hear on the roads, we need to die on roads to be the agenda 696 of the 4D worker ... https://t.co/hgbupstqkl")</f>
        <v>@drfahrettinkoca Minister For Allah consent to hear on the roads, we need to die on roads to be the agenda 696 of the 4D worker ... https://t.co/hgbupstqkl</v>
      </c>
    </row>
    <row r="9287" spans="1:5" ht="15" customHeight="1" x14ac:dyDescent="0.2">
      <c r="A9287" s="1" t="s">
        <v>18446</v>
      </c>
      <c r="B9287" s="1">
        <v>0</v>
      </c>
      <c r="C9287" s="3">
        <v>44536.852372685185</v>
      </c>
      <c r="D9287" s="1" t="s">
        <v>18447</v>
      </c>
      <c r="E9287" s="1" t="str">
        <f ca="1">IFERROR(__xludf.DUMMYFUNCTION("GOOGLETRANSLATE(A6086 , ""tr"" , ""en"")"),"@drfahrettinkoca Mr. Fahrictin Husband, you said to be vaccinated to Mom to Mom DIM 1 week After I lost my mother ... https://t.co/v6u7ayjh93")</f>
        <v>@drfahrettinkoca Mr. Fahrictin Husband, you said to be vaccinated to Mom to Mom DIM 1 week After I lost my mother ... https://t.co/v6u7ayjh93</v>
      </c>
    </row>
    <row r="9288" spans="1:5" ht="15" customHeight="1" x14ac:dyDescent="0.2">
      <c r="A9288" s="1" t="s">
        <v>18448</v>
      </c>
      <c r="B9288" s="1">
        <v>2</v>
      </c>
      <c r="C9288" s="3">
        <v>44536.851238425923</v>
      </c>
      <c r="D9288" s="1" t="s">
        <v>18449</v>
      </c>
      <c r="E9288" s="1" t="str">
        <f ca="1">IFERROR(__xludf.DUMMYFUNCTION("GOOGLETRANSLATE(A6087 , ""tr"" , ""en"")"),"@drfahrettinkoca What does this table refer to Mr. Minister, the difference in 12.60 times. Do you explain the reason? https://t.co/ny8nakGIY5")</f>
        <v>@drfahrettinkoca What does this table refer to Mr. Minister, the difference in 12.60 times. Do you explain the reason? https://t.co/ny8nakGIY5</v>
      </c>
    </row>
    <row r="9289" spans="1:5" ht="15" customHeight="1" x14ac:dyDescent="0.2">
      <c r="A9289" s="1" t="s">
        <v>18450</v>
      </c>
      <c r="B9289" s="1">
        <v>0</v>
      </c>
      <c r="C9289" s="3">
        <v>44536.851099537038</v>
      </c>
      <c r="D9289" s="1" t="s">
        <v>18451</v>
      </c>
      <c r="E9289" s="1" t="str">
        <f ca="1">IFERROR(__xludf.DUMMYFUNCTION("GOOGLETRANSLATE(A6088 , ""tr"" , ""en"")"),"@drfahrettinkoca vaccine has the right to someone's the right and we are just upset. Why Permanent Precautions are now d ... https://t.co/j2fcqggwj")</f>
        <v>@drfahrettinkoca vaccine has the right to someone's the right and we are just upset. Why Permanent Precautions are now d ... https://t.co/j2fcqggwj</v>
      </c>
    </row>
    <row r="9290" spans="1:5" ht="15" customHeight="1" x14ac:dyDescent="0.2">
      <c r="A9290" s="1" t="s">
        <v>18452</v>
      </c>
      <c r="B9290" s="1">
        <v>6</v>
      </c>
      <c r="C9290" s="3">
        <v>44536.850532407407</v>
      </c>
      <c r="D9290" s="1" t="s">
        <v>18453</v>
      </c>
      <c r="E9290" s="1" t="str">
        <f ca="1">IFERROR(__xludf.DUMMYFUNCTION("GOOGLETRANSLATE(A6089 , ""tr"" , ""en"")"),"@drfahrettinka vaccine is not retaining the importance of lies! # kabineuzaktanılitimsart")</f>
        <v>@drfahrettinka vaccine is not retaining the importance of lies! # kabineuzaktanılitimsart</v>
      </c>
    </row>
    <row r="9291" spans="1:5" ht="15" customHeight="1" x14ac:dyDescent="0.2">
      <c r="A9291" s="1" t="s">
        <v>18454</v>
      </c>
      <c r="B9291" s="1">
        <v>0</v>
      </c>
      <c r="C9291" s="3">
        <v>44536.85</v>
      </c>
      <c r="D9291" s="1" t="s">
        <v>18455</v>
      </c>
      <c r="E9291" s="1" t="str">
        <f ca="1">IFERROR(__xludf.DUMMYFUNCTION("GOOGLETRANSLATE(A6090 , ""tr"" , ""en"")"),"@drfahrettinkoca you must remove HEPP completely. Life doesn't fit home, we won't fit in fit people, robot ... https://t.co/ul1upm8sf5")</f>
        <v>@drfahrettinkoca you must remove HEPP completely. Life doesn't fit home, we won't fit in fit people, robot ... https://t.co/ul1upm8sf5</v>
      </c>
    </row>
    <row r="9292" spans="1:5" ht="15" customHeight="1" x14ac:dyDescent="0.2">
      <c r="A9292" s="1" t="s">
        <v>18456</v>
      </c>
      <c r="B9292" s="1">
        <v>0</v>
      </c>
      <c r="C9292" s="3">
        <v>44536.849895833337</v>
      </c>
      <c r="D9292" s="1" t="s">
        <v>18457</v>
      </c>
      <c r="E9292" s="1" t="str">
        <f ca="1">IFERROR(__xludf.DUMMYFUNCTION("GOOGLETRANSLATE(A6091 , ""tr"" , ""en"")"),"@drfahrettinkoca is the pointless mask that causes discussions among people as no work ... https://t.co/moul7ytiIQ")</f>
        <v>@drfahrettinkoca is the pointless mask that causes discussions among people as no work ... https://t.co/moul7ytiIQ</v>
      </c>
    </row>
    <row r="9293" spans="1:5" ht="15" customHeight="1" x14ac:dyDescent="0.2">
      <c r="A9293" s="1" t="s">
        <v>18458</v>
      </c>
      <c r="B9293" s="1">
        <v>1</v>
      </c>
      <c r="C9293" s="3">
        <v>44536.849803240744</v>
      </c>
      <c r="D9293" s="1" t="s">
        <v>18459</v>
      </c>
      <c r="E9293" s="1" t="str">
        <f ca="1">IFERROR(__xludf.DUMMYFUNCTION("GOOGLETRANSLATE(A6092 , ""tr"" , ""en"")"),"@drfahrettinkoca countin @drfahrettinkoca hocam has been 6 gun Covid + Cikan I'm sagolsun what comes in vaaarr nor so ... https://t.co/jwkzzcmk9h")</f>
        <v>@drfahrettinkoca countin @drfahrettinkoca hocam has been 6 gun Covid + Cikan I'm sagolsun what comes in vaaarr nor so ... https://t.co/jwkzzcmk9h</v>
      </c>
    </row>
    <row r="9294" spans="1:5" ht="15" customHeight="1" x14ac:dyDescent="0.2">
      <c r="A9294" s="1" t="s">
        <v>18460</v>
      </c>
      <c r="B9294" s="1">
        <v>0</v>
      </c>
      <c r="C9294" s="3">
        <v>44536.849131944444</v>
      </c>
      <c r="D9294" s="1" t="s">
        <v>18461</v>
      </c>
      <c r="E9294" s="1" t="str">
        <f ca="1">IFERROR(__xludf.DUMMYFUNCTION("GOOGLETRANSLATE(A6093 , ""tr"" , ""en"")"),"@drfahrettinkoca no so is that everyone is responsible for their health before everyone else is in our own health, after our ancestors ... https://t.co/nwwhed5mo4")</f>
        <v>@drfahrettinkoca no so is that everyone is responsible for their health before everyone else is in our own health, after our ancestors ... https://t.co/nwwhed5mo4</v>
      </c>
    </row>
    <row r="9295" spans="1:5" ht="15" customHeight="1" x14ac:dyDescent="0.2">
      <c r="A9295" s="1" t="s">
        <v>18462</v>
      </c>
      <c r="B9295" s="1">
        <v>41</v>
      </c>
      <c r="C9295" s="3">
        <v>44536.849074074074</v>
      </c>
      <c r="D9295" s="1" t="s">
        <v>18463</v>
      </c>
      <c r="E9295" s="1" t="str">
        <f ca="1">IFERROR(__xludf.DUMMYFUNCTION("GOOGLETRANSLATE(A6094 , ""tr"" , ""en"")"),"@drfahrettinkoca Mr. Minister @drfahrettinka You are telling this vaccine so it is ok there are always not 0 ... https://t.co/4ah5lrv9la")</f>
        <v>@drfahrettinkoca Mr. Minister @drfahrettinka You are telling this vaccine so it is ok there are always not 0 ... https://t.co/4ah5lrv9la</v>
      </c>
    </row>
    <row r="9296" spans="1:5" ht="15" customHeight="1" x14ac:dyDescent="0.2">
      <c r="A9296" s="1" t="s">
        <v>18464</v>
      </c>
      <c r="B9296" s="1">
        <v>1</v>
      </c>
      <c r="C9296" s="3">
        <v>44536.849016203705</v>
      </c>
      <c r="D9296" s="1" t="s">
        <v>18465</v>
      </c>
      <c r="E9296" s="1" t="str">
        <f ca="1">IFERROR(__xludf.DUMMYFUNCTION("GOOGLETRANSLATE(A6095 , ""tr"" , ""en"")"),"@drfahrettinkoca is still amazed what you can write to people with your face. You are taking people to death and ... https://t.co/v6yxuesrht")</f>
        <v>@drfahrettinkoca is still amazed what you can write to people with your face. You are taking people to death and ... https://t.co/v6yxuesrht</v>
      </c>
    </row>
    <row r="9297" spans="1:5" ht="15" customHeight="1" x14ac:dyDescent="0.2">
      <c r="A9297" s="1" t="s">
        <v>18466</v>
      </c>
      <c r="B9297" s="1">
        <v>0</v>
      </c>
      <c r="C9297" s="3">
        <v>44536.848530092589</v>
      </c>
      <c r="D9297" s="1" t="s">
        <v>18467</v>
      </c>
      <c r="E9297" s="1" t="str">
        <f ca="1">IFERROR(__xludf.DUMMYFUNCTION("GOOGLETRANSLATE(A6096 , ""tr"" , ""en"")"),"@drfahrettinkoca Continuous Bi Variant How do you find the village of the disease you made up the nation? ... https://t.co/2ikrnswqgk")</f>
        <v>@drfahrettinkoca Continuous Bi Variant How do you find the village of the disease you made up the nation? ... https://t.co/2ikrnswqgk</v>
      </c>
    </row>
    <row r="9298" spans="1:5" ht="15" customHeight="1" x14ac:dyDescent="0.2">
      <c r="A9298" s="1" t="s">
        <v>18468</v>
      </c>
      <c r="B9298" s="1">
        <v>0</v>
      </c>
      <c r="C9298" s="3">
        <v>44536.84814814815</v>
      </c>
      <c r="D9298" s="1" t="s">
        <v>18469</v>
      </c>
      <c r="E9298" s="1" t="str">
        <f ca="1">IFERROR(__xludf.DUMMYFUNCTION("GOOGLETRANSLATE(A6097 , ""tr"" , ""en"")"),"@drfahrettinkoca my duty was to get high from the exam, begging for 90 points for assigning 90 points")</f>
        <v>@drfahrettinkoca my duty was to get high from the exam, begging for 90 points for assigning 90 points</v>
      </c>
    </row>
    <row r="9299" spans="1:5" ht="15" customHeight="1" x14ac:dyDescent="0.2">
      <c r="A9299" s="1" t="s">
        <v>18470</v>
      </c>
      <c r="B9299" s="1">
        <v>0</v>
      </c>
      <c r="C9299" s="3">
        <v>44536.847905092596</v>
      </c>
      <c r="D9299" s="1" t="s">
        <v>18471</v>
      </c>
      <c r="E9299" s="1" t="str">
        <f ca="1">IFERROR(__xludf.DUMMYFUNCTION("GOOGLETRANSLATE(A6098 , ""tr"" , ""en"")"),"@drfahrettinkoca How much is the great you are aware of? Being aware of the future of our heads to the beginning of our occupation ... https://t.co/v2gmj9ukjx")</f>
        <v>@drfahrettinkoca How much is the great you are aware of? Being aware of the future of our heads to the beginning of our occupation ... https://t.co/v2gmj9ukjx</v>
      </c>
    </row>
    <row r="9300" spans="1:5" ht="15" customHeight="1" x14ac:dyDescent="0.2">
      <c r="A9300" s="1" t="s">
        <v>18472</v>
      </c>
      <c r="B9300" s="1">
        <v>0</v>
      </c>
      <c r="C9300" s="3">
        <v>44536.84783564815</v>
      </c>
      <c r="D9300" s="1" t="s">
        <v>18473</v>
      </c>
      <c r="E9300" s="1" t="str">
        <f ca="1">IFERROR(__xludf.DUMMYFUNCTION("GOOGLETRANSLATE(A6099 , ""tr"" , ""en"")"),"@drfahrettinkoca 2 dose biontech 1 dose flu vaccine 1 dose has also been pneumonized vaccine 3 times in a year and ... https://t.co/lls2jhr7pn")</f>
        <v>@drfahrettinkoca 2 dose biontech 1 dose flu vaccine 1 dose has also been pneumonized vaccine 3 times in a year and ... https://t.co/lls2jhr7pn</v>
      </c>
    </row>
    <row r="9301" spans="1:5" ht="15" customHeight="1" x14ac:dyDescent="0.2">
      <c r="A9301" s="1" t="s">
        <v>18474</v>
      </c>
      <c r="B9301" s="1">
        <v>0</v>
      </c>
      <c r="C9301" s="3">
        <v>44536.847685185188</v>
      </c>
      <c r="D9301" s="1" t="s">
        <v>18475</v>
      </c>
      <c r="E9301" s="1" t="str">
        <f ca="1">IFERROR(__xludf.DUMMYFUNCTION("GOOGLETRANSLATE(A6100 , ""tr"" , ""en"")"),"@drfahrettinkoca @saglikbakanligi whose name in this pfizer documents is passing on the big big look at https://t.co/pj2oxlylpy")</f>
        <v>@drfahrettinkoca @saglikbakanligi whose name in this pfizer documents is passing on the big big look at https://t.co/pj2oxlylpy</v>
      </c>
    </row>
    <row r="9302" spans="1:5" ht="15" customHeight="1" x14ac:dyDescent="0.2">
      <c r="A9302" s="1" t="s">
        <v>18476</v>
      </c>
      <c r="B9302" s="1">
        <v>5</v>
      </c>
      <c r="C9302" s="3">
        <v>44536.847002314818</v>
      </c>
      <c r="D9302" s="1" t="s">
        <v>18477</v>
      </c>
      <c r="E9302" s="1" t="str">
        <f ca="1">IFERROR(__xludf.DUMMYFUNCTION("GOOGLETRANSLATE(A6101 , ""tr"" , ""en"")"),"@drfahrettinkoca Why 1 of the heart crisis; Syrian Afghan no reason why not to vaccinate to them stubborn ... https://t.co/z9TPRIDWOD")</f>
        <v>@drfahrettinkoca Why 1 of the heart crisis; Syrian Afghan no reason why not to vaccinate to them stubborn ... https://t.co/z9TPRIDWOD</v>
      </c>
    </row>
    <row r="9303" spans="1:5" ht="15" customHeight="1" x14ac:dyDescent="0.2">
      <c r="A9303" s="1" t="s">
        <v>18478</v>
      </c>
      <c r="B9303" s="1">
        <v>0</v>
      </c>
      <c r="C9303" s="3">
        <v>44536.846412037034</v>
      </c>
      <c r="D9303" s="1" t="s">
        <v>18479</v>
      </c>
      <c r="E9303" s="1" t="str">
        <f ca="1">IFERROR(__xludf.DUMMYFUNCTION("GOOGLETRANSLATE(A6102 , ""tr"" , ""en"")"),"@drfahrettinkoca vaccine dying disability remaining lifetime blood diluent .... Map on the map ... Https://t.co/r1fqywelvq")</f>
        <v>@drfahrettinkoca vaccine dying disability remaining lifetime blood diluent .... Map on the map ... Https://t.co/r1fqywelvq</v>
      </c>
    </row>
    <row r="9304" spans="1:5" ht="15" customHeight="1" x14ac:dyDescent="0.2">
      <c r="A9304" s="1" t="s">
        <v>18480</v>
      </c>
      <c r="B9304" s="1">
        <v>0</v>
      </c>
      <c r="C9304" s="3">
        <v>44536.845023148147</v>
      </c>
      <c r="D9304" s="1" t="s">
        <v>18481</v>
      </c>
      <c r="E9304" s="1" t="str">
        <f ca="1">IFERROR(__xludf.DUMMYFUNCTION("GOOGLETRANSLATE(A6103 , ""tr"" , ""en"")"),"@drfahrettinkoca @saglikbakanligi Healthcare Even the system has been handed in the hands of the pharmaceutical cartels # DSO ... https://t.co/uxtsfs845u")</f>
        <v>@drfahrettinkoca @saglikbakanligi Healthcare Even the system has been handed in the hands of the pharmaceutical cartels # DSO ... https://t.co/uxtsfs845u</v>
      </c>
    </row>
    <row r="9305" spans="1:5" ht="15" customHeight="1" x14ac:dyDescent="0.2">
      <c r="A9305" s="1" t="s">
        <v>18482</v>
      </c>
      <c r="B9305" s="1">
        <v>17</v>
      </c>
      <c r="C9305" s="3">
        <v>44536.844467592593</v>
      </c>
      <c r="D9305" s="1" t="s">
        <v>18483</v>
      </c>
      <c r="E9305" s="1" t="str">
        <f ca="1">IFERROR(__xludf.DUMMYFUNCTION("GOOGLETRANSLATE(A6104 , ""tr"" , ""en"")"),"@drfahrettinkoca is the least and most inoculated in vaccinated provinces. (Source: Ministry of Health) https://t.co/youvcxojkf")</f>
        <v>@drfahrettinkoca is the least and most inoculated in vaccinated provinces. (Source: Ministry of Health) https://t.co/youvcxojkf</v>
      </c>
    </row>
    <row r="9306" spans="1:5" ht="15" customHeight="1" x14ac:dyDescent="0.2">
      <c r="A9306" s="1" t="s">
        <v>18484</v>
      </c>
      <c r="B9306" s="1">
        <v>0</v>
      </c>
      <c r="C9306" s="3">
        <v>44536.844317129631</v>
      </c>
      <c r="D9306" s="1" t="s">
        <v>18485</v>
      </c>
      <c r="E9306" s="1" t="str">
        <f ca="1">IFERROR(__xludf.DUMMYFUNCTION("GOOGLETRANSLATE(A6105 , ""tr"" , ""en"")"),"@drfahrettinka https://t.co/t17Iqurtnr")</f>
        <v>@drfahrettinka https://t.co/t17Iqurtnr</v>
      </c>
    </row>
    <row r="9307" spans="1:5" ht="15" customHeight="1" x14ac:dyDescent="0.2">
      <c r="A9307" s="1" t="s">
        <v>18486</v>
      </c>
      <c r="B9307" s="1">
        <v>1</v>
      </c>
      <c r="C9307" s="3">
        <v>44536.844293981485</v>
      </c>
      <c r="D9307" s="1" t="s">
        <v>18487</v>
      </c>
      <c r="E9307" s="1" t="str">
        <f ca="1">IFERROR(__xludf.DUMMYFUNCTION("GOOGLETRANSLATE(A6106 , ""tr"" , ""en"")"),"@drfahrettinkoca please contact someone for those who die from heart crisis, the appreciation of the appreciation is the same as the same ... HTTPS://T.CO/WWYRZBPIWT")</f>
        <v>@drfahrettinkoca please contact someone for those who die from heart crisis, the appreciation of the appreciation is the same as the same ... HTTPS://T.CO/WWYRZBPIWT</v>
      </c>
    </row>
    <row r="9308" spans="1:5" ht="15" customHeight="1" x14ac:dyDescent="0.2">
      <c r="A9308" s="1" t="s">
        <v>18488</v>
      </c>
      <c r="B9308" s="1">
        <v>0</v>
      </c>
      <c r="C9308" s="3">
        <v>44536.843715277777</v>
      </c>
      <c r="D9308" s="1" t="s">
        <v>18489</v>
      </c>
      <c r="E9308" s="1" t="str">
        <f ca="1">IFERROR(__xludf.DUMMYFUNCTION("GOOGLETRANSLATE(A6107 , ""tr"" , ""en"")"),"@drfahrettinka https://t.co/ddgjztopxy")</f>
        <v>@drfahrettinka https://t.co/ddgjztopxy</v>
      </c>
    </row>
    <row r="9309" spans="1:5" ht="15" customHeight="1" x14ac:dyDescent="0.2">
      <c r="A9309" s="1" t="s">
        <v>18490</v>
      </c>
      <c r="B9309" s="1">
        <v>0</v>
      </c>
      <c r="C9309" s="3">
        <v>44536.842615740738</v>
      </c>
      <c r="D9309" s="1" t="s">
        <v>18491</v>
      </c>
      <c r="E9309" s="1" t="str">
        <f ca="1">IFERROR(__xludf.DUMMYFUNCTION("GOOGLETRANSLATE(A6108 , ""tr"" , ""en"")"),"@drfahrettinkoca allah give your trouble, you are not even people")</f>
        <v>@drfahrettinkoca allah give your trouble, you are not even people</v>
      </c>
    </row>
    <row r="9310" spans="1:5" ht="15" customHeight="1" x14ac:dyDescent="0.2">
      <c r="A9310" s="1" t="s">
        <v>18492</v>
      </c>
      <c r="B9310" s="1">
        <v>1</v>
      </c>
      <c r="C9310" s="3">
        <v>44536.842175925929</v>
      </c>
      <c r="D9310" s="1" t="s">
        <v>18493</v>
      </c>
      <c r="E9310" s="1" t="str">
        <f ca="1">IFERROR(__xludf.DUMMYFUNCTION("GOOGLETRANSLATE(A6109 , ""tr"" , ""en"")"),"@drfahrettinkoca Don't leave me to death US # CabineUZAKTANDITIZSART")</f>
        <v>@drfahrettinkoca Don't leave me to death US # CabineUZAKTANDITIZSART</v>
      </c>
    </row>
    <row r="9311" spans="1:5" ht="15" customHeight="1" x14ac:dyDescent="0.2">
      <c r="A9311" s="1" t="s">
        <v>18494</v>
      </c>
      <c r="B9311" s="1">
        <v>17</v>
      </c>
      <c r="C9311" s="3">
        <v>44536.842164351852</v>
      </c>
      <c r="D9311" s="1" t="s">
        <v>18495</v>
      </c>
      <c r="E9311" s="1" t="str">
        <f ca="1">IFERROR(__xludf.DUMMYFUNCTION("GOOGLETRANSLATE(A6110 , ""tr"" , ""en"")"),"@drfahrettinkoca I wonder if you are in a 40 m² medium with 8 hours of mask in 1500 people in school and overlapped in public transport ... https://t.co/wzzv1eeqxr")</f>
        <v>@drfahrettinkoca I wonder if you are in a 40 m² medium with 8 hours of mask in 1500 people in school and overlapped in public transport ... https://t.co/wzzv1eeqxr</v>
      </c>
    </row>
    <row r="9312" spans="1:5" ht="15" customHeight="1" x14ac:dyDescent="0.2">
      <c r="A9312" s="1" t="s">
        <v>18496</v>
      </c>
      <c r="B9312" s="1">
        <v>0</v>
      </c>
      <c r="C9312" s="3">
        <v>44536.842141203706</v>
      </c>
      <c r="D9312" s="1" t="s">
        <v>18497</v>
      </c>
      <c r="E9312" s="1" t="str">
        <f ca="1">IFERROR(__xludf.DUMMYFUNCTION("GOOGLETRANSLATE(A6111 , ""tr"" , ""en"")"),"@drfahrettinkoca # Governmentistifa # Earlier #akpvarsa")</f>
        <v>@drfahrettinkoca # Governmentistifa # Earlier #akpvarsa</v>
      </c>
    </row>
    <row r="9313" spans="1:5" ht="15" customHeight="1" x14ac:dyDescent="0.2">
      <c r="A9313" s="1" t="s">
        <v>18498</v>
      </c>
      <c r="B9313" s="1">
        <v>2</v>
      </c>
      <c r="C9313" s="3">
        <v>44536.841643518521</v>
      </c>
      <c r="D9313" s="1" t="s">
        <v>18499</v>
      </c>
      <c r="E9313" s="1" t="str">
        <f ca="1">IFERROR(__xludf.DUMMYFUNCTION("GOOGLETRANSLATE(A6112 , ""tr"" , ""en"")"),"@drfahrettinkoca especially liquid areas woke up. You have received Cavit19 tests in the mid-2017, why? Why PZRIN ... HTTPS://T.CO/LXIAHVK2BL")</f>
        <v>@drfahrettinkoca especially liquid areas woke up. You have received Cavit19 tests in the mid-2017, why? Why PZRIN ... HTTPS://T.CO/LXIAHVK2BL</v>
      </c>
    </row>
    <row r="9314" spans="1:5" ht="15" customHeight="1" x14ac:dyDescent="0.2">
      <c r="A9314" s="1" t="s">
        <v>18500</v>
      </c>
      <c r="B9314" s="1">
        <v>1</v>
      </c>
      <c r="C9314" s="3">
        <v>44536.841145833336</v>
      </c>
      <c r="D9314" s="1" t="s">
        <v>18501</v>
      </c>
      <c r="E9314" s="1" t="str">
        <f ca="1">IFERROR(__xludf.DUMMYFUNCTION("GOOGLETRANSLATE(A6113 , ""tr"" , ""en"")"),"@drfahrettinkoca Explain everyone in the name of Non-Non-Mr. Vaccine Minister After Vaccination Heart attack H ... https://t.co/nydnpt64qj")</f>
        <v>@drfahrettinkoca Explain everyone in the name of Non-Non-Mr. Vaccine Minister After Vaccination Heart attack H ... https://t.co/nydnpt64qj</v>
      </c>
    </row>
    <row r="9315" spans="1:5" ht="15" customHeight="1" x14ac:dyDescent="0.2">
      <c r="A9315" s="1" t="s">
        <v>18502</v>
      </c>
      <c r="B9315" s="1">
        <v>0</v>
      </c>
      <c r="C9315" s="3">
        <v>44536.840937499997</v>
      </c>
      <c r="D9315" s="1" t="s">
        <v>18503</v>
      </c>
      <c r="E9315" s="1" t="str">
        <f ca="1">IFERROR(__xludf.DUMMYFUNCTION("GOOGLETRANSLATE(A6114 , ""tr"" , ""en"")"),"What are you waiting for @drfahrettinkoca for health assignment? All these people are waiting for assignment, how long will they wait for the guide?")</f>
        <v>What are you waiting for @drfahrettinkoca for health assignment? All these people are waiting for assignment, how long will they wait for the guide?</v>
      </c>
    </row>
    <row r="9316" spans="1:5" ht="15" customHeight="1" x14ac:dyDescent="0.2">
      <c r="A9316" s="1" t="s">
        <v>18504</v>
      </c>
      <c r="B9316" s="1">
        <v>0</v>
      </c>
      <c r="C9316" s="3">
        <v>44536.840671296297</v>
      </c>
      <c r="D9316" s="1" t="s">
        <v>18505</v>
      </c>
      <c r="E9316" s="1" t="str">
        <f ca="1">IFERROR(__xludf.DUMMYFUNCTION("GOOGLETRANSLATE(A6115 , ""tr"" , ""en"")"),"@drfahrettinka https://t.co/tbmj5nc4f5")</f>
        <v>@drfahrettinka https://t.co/tbmj5nc4f5</v>
      </c>
    </row>
    <row r="9317" spans="1:5" ht="15" customHeight="1" x14ac:dyDescent="0.2">
      <c r="A9317" s="1" t="s">
        <v>18506</v>
      </c>
      <c r="B9317" s="1">
        <v>0</v>
      </c>
      <c r="C9317" s="3">
        <v>44536.840578703705</v>
      </c>
      <c r="D9317" s="1" t="s">
        <v>18507</v>
      </c>
      <c r="E9317" s="1" t="str">
        <f ca="1">IFERROR(__xludf.DUMMYFUNCTION("GOOGLETRANSLATE(A6116 , ""tr"" , ""en"")"),"@drfahrettinkoca no one has to be a guinea pig mouse for me. I've never been a guinea pig mouse for anyone Zo ... https://t.co/778ywe9fhl")</f>
        <v>@drfahrettinkoca no one has to be a guinea pig mouse for me. I've never been a guinea pig mouse for anyone Zo ... https://t.co/778ywe9fhl</v>
      </c>
    </row>
    <row r="9318" spans="1:5" ht="15" customHeight="1" x14ac:dyDescent="0.2">
      <c r="A9318" s="1" t="s">
        <v>18508</v>
      </c>
      <c r="B9318" s="1">
        <v>0</v>
      </c>
      <c r="C9318" s="3">
        <v>44536.840358796297</v>
      </c>
      <c r="D9318" s="1" t="s">
        <v>18509</v>
      </c>
      <c r="E9318" s="1" t="str">
        <f ca="1">IFERROR(__xludf.DUMMYFUNCTION("GOOGLETRANSLATE(A6117 , ""tr"" , ""en"")"),"@drfahrettinka https://t.co/GPWKYGI284")</f>
        <v>@drfahrettinka https://t.co/GPWKYGI284</v>
      </c>
    </row>
    <row r="9319" spans="1:5" ht="15" customHeight="1" x14ac:dyDescent="0.2">
      <c r="A9319" s="1" t="s">
        <v>18510</v>
      </c>
      <c r="B9319" s="1">
        <v>3</v>
      </c>
      <c r="C9319" s="3">
        <v>44536.840277777781</v>
      </c>
      <c r="D9319" s="1" t="s">
        <v>18511</v>
      </c>
      <c r="E9319" s="1" t="str">
        <f ca="1">IFERROR(__xludf.DUMMYFUNCTION("GOOGLETRANSLATE(A6118 , ""tr"" , ""en"")"),"@drfahrettinkoca Thank you very much to the Mr. General President @kilicdarogluk who earned our voice. Attempt in health ... https://t.co/zi8w9dxcmw")</f>
        <v>@drfahrettinkoca Thank you very much to the Mr. General President @kilicdarogluk who earned our voice. Attempt in health ... https://t.co/zi8w9dxcmw</v>
      </c>
    </row>
    <row r="9320" spans="1:5" ht="15" customHeight="1" x14ac:dyDescent="0.2">
      <c r="A9320" s="1" t="s">
        <v>18512</v>
      </c>
      <c r="B9320" s="1">
        <v>0</v>
      </c>
      <c r="C9320" s="3">
        <v>44536.840150462966</v>
      </c>
      <c r="D9320" s="1" t="s">
        <v>18513</v>
      </c>
      <c r="E9320" s="1" t="str">
        <f ca="1">IFERROR(__xludf.DUMMYFUNCTION("GOOGLETRANSLATE(A6119 , ""tr"" , ""en"")"),"@drfahrettinkoca Late these ⏭")</f>
        <v>@drfahrettinkoca Late these ⏭</v>
      </c>
    </row>
    <row r="9321" spans="1:5" ht="15" customHeight="1" x14ac:dyDescent="0.2">
      <c r="A9321" s="1" t="s">
        <v>18514</v>
      </c>
      <c r="B9321" s="1">
        <v>0</v>
      </c>
      <c r="C9321" s="3">
        <v>44536.840150462966</v>
      </c>
      <c r="D9321" s="1" t="s">
        <v>18515</v>
      </c>
      <c r="E9321" s="1" t="str">
        <f ca="1">IFERROR(__xludf.DUMMYFUNCTION("GOOGLETRANSLATE(A6120 , ""tr"" , ""en"")"),"@drfahrettinkoca What is the absence of serious increases what your tastedios")</f>
        <v>@drfahrettinkoca What is the absence of serious increases what your tastedios</v>
      </c>
    </row>
    <row r="9322" spans="1:5" ht="15" customHeight="1" x14ac:dyDescent="0.2">
      <c r="A9322" s="1" t="s">
        <v>18516</v>
      </c>
      <c r="B9322" s="1">
        <v>2</v>
      </c>
      <c r="C9322" s="3">
        <v>44536.84003472222</v>
      </c>
      <c r="D9322" s="1" t="s">
        <v>18517</v>
      </c>
      <c r="E9322" s="1" t="str">
        <f ca="1">IFERROR(__xludf.DUMMYFUNCTION("GOOGLETRANSLATE(A6121 , ""tr"" , ""en"")"),"@drfahrettinkoca Global Devili Top Mind Feed Human Enemy Look at the news on the media! Mask is not fitted ... https://t.co/Ivskst2ysr")</f>
        <v>@drfahrettinkoca Global Devili Top Mind Feed Human Enemy Look at the news on the media! Mask is not fitted ... https://t.co/Ivskst2ysr</v>
      </c>
    </row>
    <row r="9323" spans="1:5" ht="15" customHeight="1" x14ac:dyDescent="0.2">
      <c r="A9323" s="1" t="s">
        <v>18518</v>
      </c>
      <c r="B9323" s="1">
        <v>2</v>
      </c>
      <c r="C9323" s="3">
        <v>44536.839965277781</v>
      </c>
      <c r="D9323" s="1" t="s">
        <v>18519</v>
      </c>
      <c r="E9323" s="1" t="str">
        <f ca="1">IFERROR(__xludf.DUMMYFUNCTION("GOOGLETRANSLATE(A6122 , ""tr"" , ""en"")"),"@drfahrettinkoca teeny master you don't have the story for clots overlooking")</f>
        <v>@drfahrettinkoca teeny master you don't have the story for clots overlooking</v>
      </c>
    </row>
    <row r="9324" spans="1:5" ht="15" customHeight="1" x14ac:dyDescent="0.2">
      <c r="A9324" s="1" t="s">
        <v>18520</v>
      </c>
      <c r="B9324" s="1">
        <v>35</v>
      </c>
      <c r="C9324" s="3">
        <v>44536.839247685188</v>
      </c>
      <c r="D9324" s="1" t="s">
        <v>18521</v>
      </c>
      <c r="E9324" s="1" t="str">
        <f ca="1">IFERROR(__xludf.DUMMYFUNCTION("GOOGLETRANSLATE(A6123 , ""tr"" , ""en"")"),"@drfahrettinkoca is very thankful, this will decrease this better days. Because how much sussa are they around ... https://t.co/eg5fg0agfa")</f>
        <v>@drfahrettinkoca is very thankful, this will decrease this better days. Because how much sussa are they around ... https://t.co/eg5fg0agfa</v>
      </c>
    </row>
    <row r="9325" spans="1:5" ht="15" customHeight="1" x14ac:dyDescent="0.2">
      <c r="A9325" s="1" t="s">
        <v>18522</v>
      </c>
      <c r="B9325" s="1">
        <v>3</v>
      </c>
      <c r="C9325" s="3">
        <v>44536.839155092595</v>
      </c>
      <c r="D9325" s="1" t="s">
        <v>18523</v>
      </c>
      <c r="E9325" s="1" t="str">
        <f ca="1">IFERROR(__xludf.DUMMYFUNCTION("GOOGLETRANSLATE(A6124 , ""tr"" , ""en"")"),"@drfahrettinkoca I hear in my surroundings 3. Our kinky relative is a 75-year-old male biontech after the vaccine is science ... https://t.co/i1cocmavff")</f>
        <v>@drfahrettinkoca I hear in my surroundings 3. Our kinky relative is a 75-year-old male biontech after the vaccine is science ... https://t.co/i1cocmavff</v>
      </c>
    </row>
    <row r="9326" spans="1:5" ht="15" customHeight="1" x14ac:dyDescent="0.2">
      <c r="A9326" s="1" t="s">
        <v>18524</v>
      </c>
      <c r="B9326" s="1">
        <v>0</v>
      </c>
      <c r="C9326" s="3">
        <v>44536.837754629632</v>
      </c>
      <c r="D9326" s="1" t="s">
        <v>18525</v>
      </c>
      <c r="E9326" s="1" t="str">
        <f ca="1">IFERROR(__xludf.DUMMYFUNCTION("GOOGLETRANSLATE(A6125 , ""tr"" , ""en"")"),"@drfahrettinka https://t.co/49lo19uevx")</f>
        <v>@drfahrettinka https://t.co/49lo19uevx</v>
      </c>
    </row>
    <row r="9327" spans="1:5" ht="15" customHeight="1" x14ac:dyDescent="0.2">
      <c r="A9327" s="1" t="s">
        <v>18526</v>
      </c>
      <c r="B9327" s="1">
        <v>0</v>
      </c>
      <c r="C9327" s="3">
        <v>44536.837673611109</v>
      </c>
      <c r="D9327" s="1" t="s">
        <v>18527</v>
      </c>
      <c r="E9327" s="1" t="str">
        <f ca="1">IFERROR(__xludf.DUMMYFUNCTION("GOOGLETRANSLATE(A6126 , ""tr"" , ""en"")"),"@drfahrettinka https://t.co/azphkgnsma")</f>
        <v>@drfahrettinka https://t.co/azphkgnsma</v>
      </c>
    </row>
    <row r="9328" spans="1:5" ht="15" customHeight="1" x14ac:dyDescent="0.2">
      <c r="A9328" s="1" t="s">
        <v>18528</v>
      </c>
      <c r="B9328" s="1">
        <v>0</v>
      </c>
      <c r="C9328" s="3">
        <v>44536.837673611109</v>
      </c>
      <c r="D9328" s="1" t="s">
        <v>18529</v>
      </c>
      <c r="E9328" s="1" t="str">
        <f ca="1">IFERROR(__xludf.DUMMYFUNCTION("GOOGLETRANSLATE(A6127 , ""tr"" , ""en"")"),"@drfahrettinkoca Stay on the rest of the needle twists, continue from where you left off, every day there is vaccine and medicine scandal ... https://t.co/zxogahutuf")</f>
        <v>@drfahrettinkoca Stay on the rest of the needle twists, continue from where you left off, every day there is vaccine and medicine scandal ... https://t.co/zxogahutuf</v>
      </c>
    </row>
    <row r="9329" spans="1:5" ht="15" customHeight="1" x14ac:dyDescent="0.2">
      <c r="A9329" s="1" t="s">
        <v>18530</v>
      </c>
      <c r="B9329" s="1">
        <v>1</v>
      </c>
      <c r="C9329" s="3">
        <v>44536.837500000001</v>
      </c>
      <c r="D9329" s="1" t="s">
        <v>18531</v>
      </c>
      <c r="E9329" s="1" t="str">
        <f ca="1">IFERROR(__xludf.DUMMYFUNCTION("GOOGLETRANSLATE(A6128 , ""tr"" , ""en"")"),"@drfahrettinka https://t.co/o2dki3u3v3")</f>
        <v>@drfahrettinka https://t.co/o2dki3u3v3</v>
      </c>
    </row>
    <row r="9330" spans="1:5" ht="15" customHeight="1" x14ac:dyDescent="0.2">
      <c r="A9330" s="1" t="s">
        <v>18532</v>
      </c>
      <c r="B9330" s="1">
        <v>1</v>
      </c>
      <c r="C9330" s="3">
        <v>44536.837372685186</v>
      </c>
      <c r="D9330" s="1" t="s">
        <v>18533</v>
      </c>
      <c r="E9330" s="1" t="str">
        <f ca="1">IFERROR(__xludf.DUMMYFUNCTION("GOOGLETRANSLATE(A6129 , ""tr"" , ""en"")"),"@drfahrettinka https://t.co/9rjc3b1f6w")</f>
        <v>@drfahrettinka https://t.co/9rjc3b1f6w</v>
      </c>
    </row>
    <row r="9331" spans="1:5" ht="15" customHeight="1" x14ac:dyDescent="0.2">
      <c r="A9331" s="1" t="s">
        <v>18534</v>
      </c>
      <c r="B9331" s="1">
        <v>1</v>
      </c>
      <c r="C9331" s="3">
        <v>44536.837210648147</v>
      </c>
      <c r="D9331" s="1" t="s">
        <v>18535</v>
      </c>
      <c r="E9331" s="1" t="str">
        <f ca="1">IFERROR(__xludf.DUMMYFUNCTION("GOOGLETRANSLATE(A6130 , ""tr"" , ""en"")"),"@drfahrettinka https://t.co/dvmxbpy0q3")</f>
        <v>@drfahrettinka https://t.co/dvmxbpy0q3</v>
      </c>
    </row>
    <row r="9332" spans="1:5" ht="15" customHeight="1" x14ac:dyDescent="0.2">
      <c r="A9332" s="1" t="s">
        <v>18536</v>
      </c>
      <c r="B9332" s="1">
        <v>0</v>
      </c>
      <c r="C9332" s="3">
        <v>44536.837175925924</v>
      </c>
      <c r="D9332" s="1" t="s">
        <v>18537</v>
      </c>
      <c r="E9332" s="1" t="str">
        <f ca="1">IFERROR(__xludf.DUMMYFUNCTION("GOOGLETRANSLATE(A6131 , ""tr"" , ""en"")"),"@drfahrettinkoca camera where you keep hand. https://t.co/h3errlfhkq")</f>
        <v>@drfahrettinkoca camera where you keep hand. https://t.co/h3errlfhkq</v>
      </c>
    </row>
    <row r="9333" spans="1:5" ht="15" customHeight="1" x14ac:dyDescent="0.2">
      <c r="A9333" s="1" t="s">
        <v>18538</v>
      </c>
      <c r="B9333" s="1">
        <v>20</v>
      </c>
      <c r="C9333" s="3">
        <v>44536.837175925924</v>
      </c>
      <c r="D9333" s="1" t="s">
        <v>18539</v>
      </c>
      <c r="E9333" s="1" t="str">
        <f ca="1">IFERROR(__xludf.DUMMYFUNCTION("GOOGLETRANSLATE(A6132 , ""tr"" , ""en"")"),"@drfahrettinkoca you don't finish your essay, non-licensed, producer even no responsibility to liquids 1. Ci dozd ... https://t.co/D8C6BBYP4L")</f>
        <v>@drfahrettinkoca you don't finish your essay, non-licensed, producer even no responsibility to liquids 1. Ci dozd ... https://t.co/D8C6BBYP4L</v>
      </c>
    </row>
    <row r="9334" spans="1:5" ht="15" customHeight="1" x14ac:dyDescent="0.2">
      <c r="A9334" s="1" t="s">
        <v>18540</v>
      </c>
      <c r="B9334" s="1">
        <v>0</v>
      </c>
      <c r="C9334" s="3">
        <v>44536.837129629632</v>
      </c>
      <c r="D9334" s="1" t="s">
        <v>18541</v>
      </c>
      <c r="E9334" s="1" t="str">
        <f ca="1">IFERROR(__xludf.DUMMYFUNCTION("GOOGLETRANSLATE(A6133 , ""tr"" , ""en"")"),"@drfahrettinka https://t.co/y0e9eoy3hc")</f>
        <v>@drfahrettinka https://t.co/y0e9eoy3hc</v>
      </c>
    </row>
    <row r="9335" spans="1:5" ht="15" customHeight="1" x14ac:dyDescent="0.2">
      <c r="A9335" s="1" t="s">
        <v>18542</v>
      </c>
      <c r="B9335" s="1">
        <v>0</v>
      </c>
      <c r="C9335" s="3">
        <v>44536.837037037039</v>
      </c>
      <c r="D9335" s="1" t="s">
        <v>18543</v>
      </c>
      <c r="E9335" s="1" t="str">
        <f ca="1">IFERROR(__xludf.DUMMYFUNCTION("GOOGLETRANSLATE(A6134 , ""tr"" , ""en"")"),"@drfahrettinka https://t.co/wos139s24e")</f>
        <v>@drfahrettinka https://t.co/wos139s24e</v>
      </c>
    </row>
    <row r="9336" spans="1:5" ht="15" customHeight="1" x14ac:dyDescent="0.2">
      <c r="A9336" s="1" t="s">
        <v>18544</v>
      </c>
      <c r="B9336" s="1">
        <v>3</v>
      </c>
      <c r="C9336" s="3">
        <v>44536.837025462963</v>
      </c>
      <c r="D9336" s="1" t="s">
        <v>18545</v>
      </c>
      <c r="E9336" s="1" t="str">
        <f ca="1">IFERROR(__xludf.DUMMYFUNCTION("GOOGLETRANSLATE(A6135 , ""tr"" , ""en"")"),"@drfahrettinkoca you stubborn vaccination is the vaccine vaccination is enough to be in the vaccination Everything is dying.")</f>
        <v>@drfahrettinkoca you stubborn vaccination is the vaccine vaccination is enough to be in the vaccination Everything is dying.</v>
      </c>
    </row>
    <row r="9337" spans="1:5" ht="15" customHeight="1" x14ac:dyDescent="0.2">
      <c r="A9337" s="1" t="s">
        <v>18546</v>
      </c>
      <c r="B9337" s="1">
        <v>1</v>
      </c>
      <c r="C9337" s="3">
        <v>44536.836967592593</v>
      </c>
      <c r="D9337" s="1" t="s">
        <v>18547</v>
      </c>
      <c r="E9337" s="1" t="str">
        <f ca="1">IFERROR(__xludf.DUMMYFUNCTION("GOOGLETRANSLATE(A6136 , ""tr"" , ""en"")"),"@drfahrettinka https://t.co/pfh2olj3pa")</f>
        <v>@drfahrettinka https://t.co/pfh2olj3pa</v>
      </c>
    </row>
    <row r="9338" spans="1:5" ht="15" customHeight="1" x14ac:dyDescent="0.2">
      <c r="A9338" s="1" t="s">
        <v>18548</v>
      </c>
      <c r="B9338" s="1">
        <v>1</v>
      </c>
      <c r="C9338" s="3">
        <v>44536.836921296293</v>
      </c>
      <c r="D9338" s="1" t="s">
        <v>18549</v>
      </c>
      <c r="E9338" s="1" t="str">
        <f ca="1">IFERROR(__xludf.DUMMYFUNCTION("GOOGLETRANSLATE(A6137 , ""tr"" , ""en"")"),"@drfahrettinka https://t.co/gvmcbpiqv4")</f>
        <v>@drfahrettinka https://t.co/gvmcbpiqv4</v>
      </c>
    </row>
    <row r="9339" spans="1:5" ht="15" customHeight="1" x14ac:dyDescent="0.2">
      <c r="A9339" s="1" t="s">
        <v>18550</v>
      </c>
      <c r="B9339" s="1">
        <v>3</v>
      </c>
      <c r="C9339" s="3">
        <v>44536.836909722224</v>
      </c>
      <c r="D9339" s="1" t="s">
        <v>18551</v>
      </c>
      <c r="E9339" s="1" t="str">
        <f ca="1">IFERROR(__xludf.DUMMYFUNCTION("GOOGLETRANSLATE(A6138 , ""tr"" , ""en"")"),"@drfahrettinkoca says that we are the purposes of the following. The vaccine is the vaccine that it does not know the results, so that is ... https://t.co/wflkczpehl")</f>
        <v>@drfahrettinkoca says that we are the purposes of the following. The vaccine is the vaccine that it does not know the results, so that is ... https://t.co/wflkczpehl</v>
      </c>
    </row>
    <row r="9340" spans="1:5" ht="15" customHeight="1" x14ac:dyDescent="0.2">
      <c r="A9340" s="1" t="s">
        <v>18552</v>
      </c>
      <c r="B9340" s="1">
        <v>1</v>
      </c>
      <c r="C9340" s="3">
        <v>44536.836875000001</v>
      </c>
      <c r="D9340" s="1" t="s">
        <v>18553</v>
      </c>
      <c r="E9340" s="1" t="str">
        <f ca="1">IFERROR(__xludf.DUMMYFUNCTION("GOOGLETRANSLATE(A6139 , ""tr"" , ""en"")"),"@drfahrettinkoca https://t.co/rlsuqolbcq")</f>
        <v>@drfahrettinkoca https://t.co/rlsuqolbcq</v>
      </c>
    </row>
    <row r="9341" spans="1:5" ht="15" customHeight="1" x14ac:dyDescent="0.2">
      <c r="A9341" s="1" t="s">
        <v>18554</v>
      </c>
      <c r="B9341" s="1">
        <v>3</v>
      </c>
      <c r="C9341" s="3">
        <v>44536.836701388886</v>
      </c>
      <c r="D9341" s="1" t="s">
        <v>18555</v>
      </c>
      <c r="E9341" s="1" t="str">
        <f ca="1">IFERROR(__xludf.DUMMYFUNCTION("GOOGLETRANSLATE(A6140 , ""tr"" , ""en"")"),"@drfahrettinkoca Teachers even when you have little grib, I returned to the nerve when they send the children to school. What does it mean ... https://t.co/x3grwxv6jj")</f>
        <v>@drfahrettinkoca Teachers even when you have little grib, I returned to the nerve when they send the children to school. What does it mean ... https://t.co/x3grwxv6jj</v>
      </c>
    </row>
    <row r="9342" spans="1:5" ht="15" customHeight="1" x14ac:dyDescent="0.2">
      <c r="A9342" s="1" t="s">
        <v>18556</v>
      </c>
      <c r="B9342" s="1">
        <v>0</v>
      </c>
      <c r="C9342" s="3">
        <v>44536.836435185185</v>
      </c>
      <c r="D9342" s="1" t="s">
        <v>18557</v>
      </c>
      <c r="E9342" s="1" t="str">
        <f ca="1">IFERROR(__xludf.DUMMYFUNCTION("GOOGLETRANSLATE(A6141 , ""tr"" , ""en"")"),"@drfahrettinkoca false crooks you. The people who are liquid are pouring the robberyms are you halá liquid, ka ... https://t.co/hnufbaou9j")</f>
        <v>@drfahrettinkoca false crooks you. The people who are liquid are pouring the robberyms are you halá liquid, ka ... https://t.co/hnufbaou9j</v>
      </c>
    </row>
    <row r="9343" spans="1:5" ht="15" customHeight="1" x14ac:dyDescent="0.2">
      <c r="A9343" s="1" t="s">
        <v>18558</v>
      </c>
      <c r="B9343" s="1">
        <v>0</v>
      </c>
      <c r="C9343" s="3">
        <v>44536.836412037039</v>
      </c>
      <c r="D9343" s="1" t="s">
        <v>18559</v>
      </c>
      <c r="E9343" s="1" t="str">
        <f ca="1">IFERROR(__xludf.DUMMYFUNCTION("GOOGLETRANSLATE(A6142 , ""tr"" , ""en"")"),"@drfahrettinkoca Describe me. I go to the morning early in the morning. https://t.co/hb46aqvy1o")</f>
        <v>@drfahrettinkoca Describe me. I go to the morning early in the morning. https://t.co/hb46aqvy1o</v>
      </c>
    </row>
    <row r="9344" spans="1:5" ht="15" customHeight="1" x14ac:dyDescent="0.2">
      <c r="A9344" s="1" t="s">
        <v>18560</v>
      </c>
      <c r="B9344" s="1">
        <v>0</v>
      </c>
      <c r="C9344" s="3">
        <v>44536.836388888885</v>
      </c>
      <c r="D9344" s="1" t="s">
        <v>18561</v>
      </c>
      <c r="E9344" s="1" t="str">
        <f ca="1">IFERROR(__xludf.DUMMYFUNCTION("GOOGLETRANSLATE(A6143 , ""tr"" , ""en"")"),"@drfahrettinkoca clots are more dangerous")</f>
        <v>@drfahrettinkoca clots are more dangerous</v>
      </c>
    </row>
    <row r="9345" spans="1:5" ht="15" customHeight="1" x14ac:dyDescent="0.2">
      <c r="A9345" s="1" t="s">
        <v>18562</v>
      </c>
      <c r="B9345" s="1">
        <v>2</v>
      </c>
      <c r="C9345" s="3">
        <v>44536.836226851854</v>
      </c>
      <c r="D9345" s="1" t="s">
        <v>18563</v>
      </c>
      <c r="E9345" s="1" t="str">
        <f ca="1">IFERROR(__xludf.DUMMYFUNCTION("GOOGLETRANSLATE(A6144 , ""tr"" , ""en"")"),"@drfahrettinkoca How is the importance of A $ I? 2 dose A $ I have been a person who has been to the Cor-to him in what happens, Hungry ... https://t.co/zgztzpaqsx")</f>
        <v>@drfahrettinkoca How is the importance of A $ I? 2 dose A $ I have been a person who has been to the Cor-to him in what happens, Hungry ... https://t.co/zgztzpaqsx</v>
      </c>
    </row>
    <row r="9346" spans="1:5" ht="15" customHeight="1" x14ac:dyDescent="0.2">
      <c r="A9346" s="1" t="s">
        <v>18564</v>
      </c>
      <c r="B9346" s="1">
        <v>0</v>
      </c>
      <c r="C9346" s="3">
        <v>44536.835023148145</v>
      </c>
      <c r="D9346" s="1" t="s">
        <v>18565</v>
      </c>
      <c r="E9346" s="1" t="str">
        <f ca="1">IFERROR(__xludf.DUMMYFUNCTION("GOOGLETRANSLATE(A6145 , ""tr"" , ""en"")"),"@drfahrettinkoca must be vaccinated lutfen")</f>
        <v>@drfahrettinkoca must be vaccinated lutfen</v>
      </c>
    </row>
    <row r="9347" spans="1:5" ht="15" customHeight="1" x14ac:dyDescent="0.2">
      <c r="A9347" s="1" t="s">
        <v>18566</v>
      </c>
      <c r="B9347" s="1">
        <v>0</v>
      </c>
      <c r="C9347" s="3">
        <v>44536.834999999999</v>
      </c>
      <c r="D9347" s="1" t="s">
        <v>18567</v>
      </c>
      <c r="E9347" s="1" t="str">
        <f ca="1">IFERROR(__xludf.DUMMYFUNCTION("GOOGLETRANSLATE(A6146 , ""tr"" , ""en"")"),"@drfahrettinkoca twit to throw sec. Did you get permission from the President?")</f>
        <v>@drfahrettinkoca twit to throw sec. Did you get permission from the President?</v>
      </c>
    </row>
    <row r="9348" spans="1:5" ht="15" customHeight="1" x14ac:dyDescent="0.2">
      <c r="A9348" s="1" t="s">
        <v>18568</v>
      </c>
      <c r="B9348" s="1">
        <v>0</v>
      </c>
      <c r="C9348" s="3">
        <v>44536.834722222222</v>
      </c>
      <c r="D9348" s="1" t="s">
        <v>18569</v>
      </c>
      <c r="E9348" s="1" t="str">
        <f ca="1">IFERROR(__xludf.DUMMYFUNCTION("GOOGLETRANSLATE(A6147 , ""tr"" , ""en"")"),"@drfahrettinkoca eager fahrictin, characterless fahrettin, selling honor for seats, yakaka fahrettin give resigns out disproportionate dude")</f>
        <v>@drfahrettinkoca eager fahrictin, characterless fahrettin, selling honor for seats, yakaka fahrettin give resigns out disproportionate dude</v>
      </c>
    </row>
    <row r="9349" spans="1:5" ht="15" customHeight="1" x14ac:dyDescent="0.2">
      <c r="A9349" s="1" t="s">
        <v>18570</v>
      </c>
      <c r="B9349" s="1">
        <v>14</v>
      </c>
      <c r="C9349" s="3">
        <v>44536.834675925929</v>
      </c>
      <c r="D9349" s="1" t="s">
        <v>18571</v>
      </c>
      <c r="E9349" s="1" t="str">
        <f ca="1">IFERROR(__xludf.DUMMYFUNCTION("GOOGLETRANSLATE(A6148 , ""tr"" , ""en"")"),"@drfahrettinkoca today had meeting in the classroom with masked parents in the same setting in the same setting with 2 ... https://t.co/mgmzywjgoz")</f>
        <v>@drfahrettinkoca today had meeting in the classroom with masked parents in the same setting in the same setting with 2 ... https://t.co/mgmzywjgoz</v>
      </c>
    </row>
    <row r="9350" spans="1:5" ht="15" customHeight="1" x14ac:dyDescent="0.2">
      <c r="A9350" s="1" t="s">
        <v>18572</v>
      </c>
      <c r="B9350" s="1">
        <v>0</v>
      </c>
      <c r="C9350" s="3">
        <v>44536.834421296298</v>
      </c>
      <c r="D9350" s="1" t="s">
        <v>18573</v>
      </c>
      <c r="E9350" s="1" t="str">
        <f ca="1">IFERROR(__xludf.DUMMYFUNCTION("GOOGLETRANSLATE(A6149 , ""tr"" , ""en"")"),"@drfahrettinkoca If I don't remember the second dose ok.")</f>
        <v>@drfahrettinkoca If I don't remember the second dose ok.</v>
      </c>
    </row>
    <row r="9351" spans="1:5" ht="15" customHeight="1" x14ac:dyDescent="0.2">
      <c r="A9351" s="1" t="s">
        <v>18574</v>
      </c>
      <c r="B9351" s="1">
        <v>0</v>
      </c>
      <c r="C9351" s="3">
        <v>44536.83388888889</v>
      </c>
      <c r="D9351" s="1" t="s">
        <v>18575</v>
      </c>
      <c r="E9351" s="1" t="str">
        <f ca="1">IFERROR(__xludf.DUMMYFUNCTION("GOOGLETRANSLATE(A6150 , ""tr"" , ""en"")"),"@drfahrettinka say why measures are loosened in the provinces why they are working with 9 hours mask riot he ... https://t.co/tm0wwo78aq")</f>
        <v>@drfahrettinka say why measures are loosened in the provinces why they are working with 9 hours mask riot he ... https://t.co/tm0wwo78aq</v>
      </c>
    </row>
    <row r="9352" spans="1:5" ht="15" customHeight="1" x14ac:dyDescent="0.2">
      <c r="A9352" s="1" t="s">
        <v>18576</v>
      </c>
      <c r="B9352" s="1">
        <v>0</v>
      </c>
      <c r="C9352" s="3">
        <v>44536.833865740744</v>
      </c>
      <c r="D9352" s="1" t="s">
        <v>18577</v>
      </c>
      <c r="E9352" s="1" t="str">
        <f ca="1">IFERROR(__xludf.DUMMYFUNCTION("GOOGLETRANSLATE(A6151 , ""tr"" , ""en"")"),"Why @drfahrettinka is the test kit in 2017? https://t.co/stmtr9cı76")</f>
        <v>Why @drfahrettinka is the test kit in 2017? https://t.co/stmtr9cı76</v>
      </c>
    </row>
    <row r="9353" spans="1:5" ht="15" customHeight="1" x14ac:dyDescent="0.2">
      <c r="A9353" s="1" t="s">
        <v>18578</v>
      </c>
      <c r="B9353" s="1">
        <v>0</v>
      </c>
      <c r="C9353" s="3">
        <v>44536.833807870367</v>
      </c>
      <c r="D9353" s="1" t="s">
        <v>18579</v>
      </c>
      <c r="E9353" s="1" t="str">
        <f ca="1">IFERROR(__xludf.DUMMYFUNCTION("GOOGLETRANSLATE(A6152 , ""tr"" , ""en"")"),"@drfahrettinka you are writing in uppercase letters or I'm writing too, we will not be familiar with us.")</f>
        <v>@drfahrettinka you are writing in uppercase letters or I'm writing too, we will not be familiar with us.</v>
      </c>
    </row>
    <row r="9354" spans="1:5" ht="15" customHeight="1" x14ac:dyDescent="0.2">
      <c r="A9354" s="1" t="s">
        <v>18580</v>
      </c>
      <c r="B9354" s="1">
        <v>1</v>
      </c>
      <c r="C9354" s="3">
        <v>44536.833796296298</v>
      </c>
      <c r="D9354" s="1" t="s">
        <v>18581</v>
      </c>
      <c r="E9354" s="1" t="str">
        <f ca="1">IFERROR(__xludf.DUMMYFUNCTION("GOOGLETRANSLATE(A6153 , ""tr"" , ""en"")"),"@drfahrettinkoca vaccination As the cases are rocketing Mr. Minister. Hani Sinovac was working, Hanti Happe ... https://t.co/u1qpqggfgmk")</f>
        <v>@drfahrettinkoca vaccination As the cases are rocketing Mr. Minister. Hani Sinovac was working, Hanti Happe ... https://t.co/u1qpqggfgmk</v>
      </c>
    </row>
    <row r="9355" spans="1:5" ht="15" customHeight="1" x14ac:dyDescent="0.2">
      <c r="A9355" s="1" t="s">
        <v>18582</v>
      </c>
      <c r="B9355" s="1">
        <v>0</v>
      </c>
      <c r="C9355" s="3">
        <v>44536.833645833336</v>
      </c>
      <c r="D9355" s="1" t="s">
        <v>18583</v>
      </c>
      <c r="E9355" s="1" t="str">
        <f ca="1">IFERROR(__xludf.DUMMYFUNCTION("GOOGLETRANSLATE(A6154 , ""tr"" , ""en"")"),"@drfahrettinkoca virus exit an attitude more characters than you honor your honor")</f>
        <v>@drfahrettinkoca virus exit an attitude more characters than you honor your honor</v>
      </c>
    </row>
    <row r="9356" spans="1:5" ht="15" customHeight="1" x14ac:dyDescent="0.2">
      <c r="A9356" s="1" t="s">
        <v>18584</v>
      </c>
      <c r="B9356" s="1">
        <v>0</v>
      </c>
      <c r="C9356" s="3">
        <v>44536.833587962959</v>
      </c>
      <c r="D9356" s="1" t="s">
        <v>18585</v>
      </c>
      <c r="E9356" s="1" t="str">
        <f ca="1">IFERROR(__xludf.DUMMYFUNCTION("GOOGLETRANSLATE(A6155 , ""tr"" , ""en"")"),"@drfahrettinka https://t.co/zkp9syssu0h")</f>
        <v>@drfahrettinka https://t.co/zkp9syssu0h</v>
      </c>
    </row>
    <row r="9357" spans="1:5" ht="15" customHeight="1" x14ac:dyDescent="0.2">
      <c r="A9357" s="1" t="s">
        <v>18586</v>
      </c>
      <c r="B9357" s="1">
        <v>0</v>
      </c>
      <c r="C9357" s="3">
        <v>44536.833194444444</v>
      </c>
      <c r="D9357" s="1" t="s">
        <v>18587</v>
      </c>
      <c r="E9357" s="1" t="str">
        <f ca="1">IFERROR(__xludf.DUMMYFUNCTION("GOOGLETRANSLATE(A6156 , ""tr"" , ""en"")"),"@drfahrettinkoca yoooo")</f>
        <v>@drfahrettinkoca yoooo</v>
      </c>
    </row>
    <row r="9358" spans="1:5" ht="15" customHeight="1" x14ac:dyDescent="0.2">
      <c r="A9358" s="1" t="s">
        <v>18588</v>
      </c>
      <c r="B9358" s="1">
        <v>92</v>
      </c>
      <c r="C9358" s="3">
        <v>44536.831689814811</v>
      </c>
      <c r="D9358" s="1" t="s">
        <v>18589</v>
      </c>
      <c r="E9358" s="1" t="str">
        <f ca="1">IFERROR(__xludf.DUMMYFUNCTION("GOOGLETRANSLATE(A6157 , ""tr"" , ""en"")"),"@drfahrettinka you are also right. Now in some of the society, such cute hypertensive responses, sweet rhythm ... https://t.co/oxlzjlfbp5")</f>
        <v>@drfahrettinka you are also right. Now in some of the society, such cute hypertensive responses, sweet rhythm ... https://t.co/oxlzjlfbp5</v>
      </c>
    </row>
    <row r="9359" spans="1:5" ht="15" customHeight="1" x14ac:dyDescent="0.2">
      <c r="A9359" s="1" t="s">
        <v>18590</v>
      </c>
      <c r="B9359" s="1">
        <v>1</v>
      </c>
      <c r="C9359" s="3">
        <v>44536.830810185187</v>
      </c>
      <c r="D9359" s="1" t="s">
        <v>18591</v>
      </c>
      <c r="E9359" s="1" t="str">
        <f ca="1">IFERROR(__xludf.DUMMYFUNCTION("GOOGLETRANSLATE(A6158 , ""tr"" , ""en"")"),"@drfahrettinkoca what to rejoice! He has no healthy people in the country because of the liquids. We're so sorry. Seven you are just you.")</f>
        <v>@drfahrettinkoca what to rejoice! He has no healthy people in the country because of the liquids. We're so sorry. Seven you are just you.</v>
      </c>
    </row>
    <row r="9360" spans="1:5" ht="15" customHeight="1" x14ac:dyDescent="0.2">
      <c r="A9360" s="1" t="s">
        <v>18592</v>
      </c>
      <c r="B9360" s="1">
        <v>0</v>
      </c>
      <c r="C9360" s="3">
        <v>44536.83048611111</v>
      </c>
      <c r="D9360" s="1" t="s">
        <v>18593</v>
      </c>
      <c r="E9360" s="1" t="str">
        <f ca="1">IFERROR(__xludf.DUMMYFUNCTION("GOOGLETRANSLATE(A6159 , ""tr"" , ""en"")"),"@drfahrettinkoca AAAAA I wonder why ???")</f>
        <v>@drfahrettinkoca AAAAA I wonder why ???</v>
      </c>
    </row>
    <row r="9361" spans="1:5" ht="15" customHeight="1" x14ac:dyDescent="0.2">
      <c r="A9361" s="1" t="s">
        <v>18594</v>
      </c>
      <c r="B9361" s="1">
        <v>2</v>
      </c>
      <c r="C9361" s="3">
        <v>44536.830046296294</v>
      </c>
      <c r="D9361" s="1" t="s">
        <v>18595</v>
      </c>
      <c r="E9361" s="1" t="str">
        <f ca="1">IFERROR(__xludf.DUMMYFUNCTION("GOOGLETRANSLATE(A6160 , ""tr"" , ""en"")"),"@drfahrettinkoca I think the blissful folks saw your discrepancies everyday that you are lied to your nation ... https://t.co/mfjwsyyyfo")</f>
        <v>@drfahrettinkoca I think the blissful folks saw your discrepancies everyday that you are lied to your nation ... https://t.co/mfjwsyyyfo</v>
      </c>
    </row>
    <row r="9362" spans="1:5" ht="15" customHeight="1" x14ac:dyDescent="0.2">
      <c r="A9362" s="1" t="s">
        <v>18596</v>
      </c>
      <c r="B9362" s="1">
        <v>0</v>
      </c>
      <c r="C9362" s="3">
        <v>44536.829687500001</v>
      </c>
      <c r="D9362" s="1" t="s">
        <v>18597</v>
      </c>
      <c r="E9362" s="1" t="str">
        <f ca="1">IFERROR(__xludf.DUMMYFUNCTION("GOOGLETRANSLATE(A6161 , ""tr"" , ""en"")"),"@drfahrettinkca would compile them in elementary school turns, they would compile your arm, they would make the vaccine, we would know what the vaccination, n ... https://t.co/cr4xlfmqsp")</f>
        <v>@drfahrettinkca would compile them in elementary school turns, they would compile your arm, they would make the vaccine, we would know what the vaccination, n ... https://t.co/cr4xlfmqsp</v>
      </c>
    </row>
    <row r="9363" spans="1:5" ht="15" customHeight="1" x14ac:dyDescent="0.2">
      <c r="A9363" s="1" t="s">
        <v>18598</v>
      </c>
      <c r="B9363" s="1">
        <v>0</v>
      </c>
      <c r="C9363" s="3">
        <v>44536.829502314817</v>
      </c>
      <c r="D9363" s="1" t="s">
        <v>18599</v>
      </c>
      <c r="E9363" s="1" t="str">
        <f ca="1">IFERROR(__xludf.DUMMYFUNCTION("GOOGLETRANSLATE(A6162 , ""tr"" , ""en"")"),"@drfahrettinkoca Would I be vaccinated without allowing? Your love is.")</f>
        <v>@drfahrettinkoca Would I be vaccinated without allowing? Your love is.</v>
      </c>
    </row>
    <row r="9364" spans="1:5" ht="15" customHeight="1" x14ac:dyDescent="0.2">
      <c r="A9364" s="1" t="s">
        <v>18600</v>
      </c>
      <c r="B9364" s="1">
        <v>0</v>
      </c>
      <c r="C9364" s="3">
        <v>44536.829201388886</v>
      </c>
      <c r="D9364" s="1" t="s">
        <v>18601</v>
      </c>
      <c r="E9364" s="1" t="str">
        <f ca="1">IFERROR(__xludf.DUMMYFUNCTION("GOOGLETRANSLATE(A6163 , ""tr"" , ""en"")"),"@drfahrettinkoca Madem is so important to this very important accord ?? You have no place to bed, you have been to your crap road ... https://t.co/ijs3zszuzc")</f>
        <v>@drfahrettinkoca Madem is so important to this very important accord ?? You have no place to bed, you have been to your crap road ... https://t.co/ijs3zszuzc</v>
      </c>
    </row>
    <row r="9365" spans="1:5" ht="15" customHeight="1" x14ac:dyDescent="0.2">
      <c r="A9365" s="1" t="s">
        <v>18602</v>
      </c>
      <c r="B9365" s="1">
        <v>2</v>
      </c>
      <c r="C9365" s="3">
        <v>44536.828692129631</v>
      </c>
      <c r="D9365" s="1" t="s">
        <v>18603</v>
      </c>
      <c r="E9365" s="1" t="str">
        <f ca="1">IFERROR(__xludf.DUMMYFUNCTION("GOOGLETRANSLATE(A6164 , ""tr"" , ""en"")"),"@drfahrettinkoca #kabinezkusagionlineline")</f>
        <v>@drfahrettinkoca #kabinezkusagionlineline</v>
      </c>
    </row>
    <row r="9366" spans="1:5" ht="15" customHeight="1" x14ac:dyDescent="0.2">
      <c r="A9366" s="1" t="s">
        <v>18604</v>
      </c>
      <c r="B9366" s="1">
        <v>0</v>
      </c>
      <c r="C9366" s="3">
        <v>44536.828599537039</v>
      </c>
      <c r="D9366" s="1" t="s">
        <v>18605</v>
      </c>
      <c r="E9366" s="1" t="str">
        <f ca="1">IFERROR(__xludf.DUMMYFUNCTION("GOOGLETRANSLATE(A6165 , ""tr"" , ""en"")"),"@drfahrettinkoca la tavle vela force illabillahulazim !!!!")</f>
        <v>@drfahrettinkoca la tavle vela force illabillahulazim !!!!</v>
      </c>
    </row>
    <row r="9367" spans="1:5" ht="15" customHeight="1" x14ac:dyDescent="0.2">
      <c r="A9367" s="1" t="s">
        <v>18606</v>
      </c>
      <c r="B9367" s="1">
        <v>0</v>
      </c>
      <c r="C9367" s="3">
        <v>44536.828425925924</v>
      </c>
      <c r="D9367" s="1" t="s">
        <v>18607</v>
      </c>
      <c r="E9367" s="1" t="str">
        <f ca="1">IFERROR(__xludf.DUMMYFUNCTION("GOOGLETRANSLATE(A6166 , ""tr"" , ""en"")"),"@drfahrettinkoca So I think you mean the vaccine bi shit won't hurt")</f>
        <v>@drfahrettinkoca So I think you mean the vaccine bi shit won't hurt</v>
      </c>
    </row>
    <row r="9368" spans="1:5" ht="15" customHeight="1" x14ac:dyDescent="0.2">
      <c r="A9368" s="1" t="s">
        <v>18608</v>
      </c>
      <c r="B9368" s="1">
        <v>0</v>
      </c>
      <c r="C9368" s="3">
        <v>44536.828206018516</v>
      </c>
      <c r="D9368" s="1" t="s">
        <v>18609</v>
      </c>
      <c r="E9368" s="1" t="str">
        <f ca="1">IFERROR(__xludf.DUMMYFUNCTION("GOOGLETRANSLATE(A6167 , ""tr"" , ""en"")"),"@drfahrettinkoca is enough but started in the vaccine also the maskin da ha ... leaving people a comfortable what is this imposition ... https://t.co/av8cgq4r8s")</f>
        <v>@drfahrettinkoca is enough but started in the vaccine also the maskin da ha ... leaving people a comfortable what is this imposition ... https://t.co/av8cgq4r8s</v>
      </c>
    </row>
    <row r="9369" spans="1:5" ht="15" customHeight="1" x14ac:dyDescent="0.2">
      <c r="A9369" s="1" t="s">
        <v>18610</v>
      </c>
      <c r="B9369" s="1">
        <v>0</v>
      </c>
      <c r="C9369" s="3">
        <v>44536.827650462961</v>
      </c>
      <c r="D9369" s="1" t="s">
        <v>18611</v>
      </c>
      <c r="E9369" s="1" t="str">
        <f ca="1">IFERROR(__xludf.DUMMYFUNCTION("GOOGLETRANSLATE(A6168 , ""tr"" , ""en"")"),"@drfahrettinka vaccine The importance of the devil fluid you say is only in your mind. The folks awoke good to you.")</f>
        <v>@drfahrettinka vaccine The importance of the devil fluid you say is only in your mind. The folks awoke good to you.</v>
      </c>
    </row>
    <row r="9370" spans="1:5" ht="15" customHeight="1" x14ac:dyDescent="0.2">
      <c r="A9370" s="1" t="s">
        <v>18612</v>
      </c>
      <c r="B9370" s="1">
        <v>0</v>
      </c>
      <c r="C9370" s="3">
        <v>44536.827314814815</v>
      </c>
      <c r="D9370" s="1" t="s">
        <v>18613</v>
      </c>
      <c r="E9370" s="1" t="str">
        <f ca="1">IFERROR(__xludf.DUMMYFUNCTION("GOOGLETRANSLATE(A6169 , ""tr"" , ""en"")"),"@drfahrettinkoca Bari Our 3rd dose is pulled forward, if we are our vaccination. The individual is looking at the citizen no longer. I've been the Coach N ... https://t.co/r5czxwftfa")</f>
        <v>@drfahrettinkoca Bari Our 3rd dose is pulled forward, if we are our vaccination. The individual is looking at the citizen no longer. I've been the Coach N ... https://t.co/r5czxwftfa</v>
      </c>
    </row>
    <row r="9371" spans="1:5" ht="15" customHeight="1" x14ac:dyDescent="0.2">
      <c r="A9371" s="1" t="s">
        <v>18614</v>
      </c>
      <c r="B9371" s="1">
        <v>1</v>
      </c>
      <c r="C9371" s="3">
        <v>44536.826562499999</v>
      </c>
      <c r="D9371" s="1" t="s">
        <v>18615</v>
      </c>
      <c r="E9371" s="1" t="str">
        <f ca="1">IFERROR(__xludf.DUMMYFUNCTION("GOOGLETRANSLATE(A6170 , ""tr"" , ""en"")"),"@drfahrettinka https://t.co/hyzobarad1")</f>
        <v>@drfahrettinka https://t.co/hyzobarad1</v>
      </c>
    </row>
    <row r="9372" spans="1:5" ht="15" customHeight="1" x14ac:dyDescent="0.2">
      <c r="A9372" s="1" t="s">
        <v>18616</v>
      </c>
      <c r="B9372" s="1">
        <v>0</v>
      </c>
      <c r="C9372" s="3">
        <v>44536.826354166667</v>
      </c>
      <c r="D9372" s="1" t="s">
        <v>18617</v>
      </c>
      <c r="E9372" s="1" t="str">
        <f ca="1">IFERROR(__xludf.DUMMYFUNCTION("GOOGLETRANSLATE(A6171 , ""tr"" , ""en"")"),"@drfahrettinka https://t.co/bx7v9nqlag")</f>
        <v>@drfahrettinka https://t.co/bx7v9nqlag</v>
      </c>
    </row>
    <row r="9373" spans="1:5" ht="15" customHeight="1" x14ac:dyDescent="0.2">
      <c r="A9373" s="1" t="s">
        <v>18618</v>
      </c>
      <c r="B9373" s="1">
        <v>1</v>
      </c>
      <c r="C9373" s="3">
        <v>44536.825509259259</v>
      </c>
      <c r="D9373" s="1" t="s">
        <v>18619</v>
      </c>
      <c r="E9373" s="1" t="str">
        <f ca="1">IFERROR(__xludf.DUMMYFUNCTION("GOOGLETRANSLATE(A6172 , ""tr"" , ""en"")"),"@drfahrettinkoca didn't have school yesterday 20k leftti case bungun school was again 20k again https://t.co/pdtqvfiqn")</f>
        <v>@drfahrettinkoca didn't have school yesterday 20k leftti case bungun school was again 20k again https://t.co/pdtqvfiqn</v>
      </c>
    </row>
    <row r="9374" spans="1:5" ht="15" customHeight="1" x14ac:dyDescent="0.2">
      <c r="A9374" s="1" t="s">
        <v>18620</v>
      </c>
      <c r="B9374" s="1">
        <v>1</v>
      </c>
      <c r="C9374" s="3">
        <v>44536.825243055559</v>
      </c>
      <c r="D9374" s="1" t="s">
        <v>18621</v>
      </c>
      <c r="E9374" s="1" t="str">
        <f ca="1">IFERROR(__xludf.DUMMYFUNCTION("GOOGLETRANSLATE(A6173 , ""tr"" , ""en"")"),"@drfahrettinkoca # 40binatamayiyapkilicdaroglu Assignment we want to be tired of waiting @drfahrettinkoca")</f>
        <v>@drfahrettinkoca # 40binatamayiyapkilicdaroglu Assignment we want to be tired of waiting @drfahrettinkoca</v>
      </c>
    </row>
    <row r="9375" spans="1:5" ht="15" customHeight="1" x14ac:dyDescent="0.2">
      <c r="A9375" s="1" t="s">
        <v>18622</v>
      </c>
      <c r="B9375" s="1">
        <v>1</v>
      </c>
      <c r="C9375" s="3">
        <v>44536.824479166666</v>
      </c>
      <c r="D9375" s="1" t="s">
        <v>18623</v>
      </c>
      <c r="E9375" s="1" t="str">
        <f ca="1">IFERROR(__xludf.DUMMYFUNCTION("GOOGLETRANSLATE(A6174 , ""tr"" , ""en"")"),"@drfahrettinkoca 🖕")</f>
        <v>@drfahrettinkoca 🖕</v>
      </c>
    </row>
    <row r="9376" spans="1:5" ht="15" customHeight="1" x14ac:dyDescent="0.2">
      <c r="A9376" s="1" t="s">
        <v>18624</v>
      </c>
      <c r="B9376" s="1">
        <v>26</v>
      </c>
      <c r="C9376" s="3">
        <v>44536.823263888888</v>
      </c>
      <c r="D9376" s="1" t="s">
        <v>18625</v>
      </c>
      <c r="E9376" s="1" t="str">
        <f ca="1">IFERROR(__xludf.DUMMYFUNCTION("GOOGLETRANSLATE(A6175 , ""tr"" , ""en"")"),"@drfahrettinkoca What will be a passenger matter outgoing from Tunisia to Tunisi? He contacted who has contacted who is in Turkey ... https://t.co/r279zu3ICJ")</f>
        <v>@drfahrettinkoca What will be a passenger matter outgoing from Tunisia to Tunisi? He contacted who has contacted who is in Turkey ... https://t.co/r279zu3ICJ</v>
      </c>
    </row>
    <row r="9377" spans="1:5" ht="15" customHeight="1" x14ac:dyDescent="0.2">
      <c r="A9377" s="1" t="s">
        <v>18626</v>
      </c>
      <c r="B9377" s="1">
        <v>10</v>
      </c>
      <c r="C9377" s="3">
        <v>44536.822766203702</v>
      </c>
      <c r="D9377" s="1" t="s">
        <v>18627</v>
      </c>
      <c r="E9377" s="1" t="str">
        <f ca="1">IFERROR(__xludf.DUMMYFUNCTION("GOOGLETRANSLATE(A6176 , ""tr"" , ""en"")"),"@drfahrettinkoca you still don't even have a single explanation about schools. Our children in a measured manner outside the mask ... https://t.co/cwfmwxIMM2")</f>
        <v>@drfahrettinkoca you still don't even have a single explanation about schools. Our children in a measured manner outside the mask ... https://t.co/cwfmwxIMM2</v>
      </c>
    </row>
    <row r="9378" spans="1:5" ht="15" customHeight="1" x14ac:dyDescent="0.2">
      <c r="A9378" s="1" t="s">
        <v>18628</v>
      </c>
      <c r="B9378" s="1">
        <v>0</v>
      </c>
      <c r="C9378" s="3">
        <v>44536.821956018517</v>
      </c>
      <c r="D9378" s="1" t="s">
        <v>18629</v>
      </c>
      <c r="E9378" s="1" t="str">
        <f ca="1">IFERROR(__xludf.DUMMYFUNCTION("GOOGLETRANSLATE(A6177 , ""tr"" , ""en"")"),"@drfahrettinkoca Mr. Mr. Own Adina Talk to my own Adina if I had the vaccine I had the vaccine I didn't sign the consent to anyone ... https://t.co/xwciijcnw8")</f>
        <v>@drfahrettinkoca Mr. Mr. Own Adina Talk to my own Adina if I had the vaccine I had the vaccine I didn't sign the consent to anyone ... https://t.co/xwciijcnw8</v>
      </c>
    </row>
    <row r="9379" spans="1:5" ht="15" customHeight="1" x14ac:dyDescent="0.2">
      <c r="A9379" s="1" t="s">
        <v>18630</v>
      </c>
      <c r="B9379" s="1">
        <v>0</v>
      </c>
      <c r="C9379" s="3">
        <v>44536.821909722225</v>
      </c>
      <c r="D9379" s="1" t="s">
        <v>18631</v>
      </c>
      <c r="E9379" s="1" t="str">
        <f ca="1">IFERROR(__xludf.DUMMYFUNCTION("GOOGLETRANSLATE(A6178 , ""tr"" , ""en"")"),"@drfahrettinkoca is how to significance the vaccine that protects the vaccine increases contrainage, contrast")</f>
        <v>@drfahrettinkoca is how to significance the vaccine that protects the vaccine increases contrainage, contrast</v>
      </c>
    </row>
    <row r="9380" spans="1:5" ht="15" customHeight="1" x14ac:dyDescent="0.2">
      <c r="A9380" s="1" t="s">
        <v>18632</v>
      </c>
      <c r="B9380" s="1">
        <v>4</v>
      </c>
      <c r="C9380" s="3">
        <v>44536.820729166669</v>
      </c>
      <c r="D9380" s="1" t="s">
        <v>18633</v>
      </c>
      <c r="E9380" s="1" t="str">
        <f ca="1">IFERROR(__xludf.DUMMYFUNCTION("GOOGLETRANSLATE(A6179 , ""tr"" , ""en"")"),"@drfahrettinkoca 187 DEFATE AZ? 20 thousand cases less? Let's lower the bride, read ONLINE TRAINING How to fall on how to fall ... https://t.co/2")</f>
        <v>@drfahrettinkoca 187 DEFATE AZ? 20 thousand cases less? Let's lower the bride, read ONLINE TRAINING How to fall on how to fall ... https://t.co/2</v>
      </c>
    </row>
    <row r="9381" spans="1:5" ht="15" customHeight="1" x14ac:dyDescent="0.2">
      <c r="A9381" s="1" t="s">
        <v>18634</v>
      </c>
      <c r="B9381" s="1">
        <v>0</v>
      </c>
      <c r="C9381" s="3">
        <v>44536.820509259262</v>
      </c>
      <c r="D9381" s="1" t="s">
        <v>18635</v>
      </c>
      <c r="E9381" s="1" t="str">
        <f ca="1">IFERROR(__xludf.DUMMYFUNCTION("GOOGLETRANSLATE(A6180 , ""tr"" , ""en"")"),"@drfahrettinka https://t.co/mebuo6htb7")</f>
        <v>@drfahrettinka https://t.co/mebuo6htb7</v>
      </c>
    </row>
    <row r="9382" spans="1:5" ht="15" customHeight="1" x14ac:dyDescent="0.2">
      <c r="A9382" s="1" t="s">
        <v>18636</v>
      </c>
      <c r="B9382" s="1">
        <v>1</v>
      </c>
      <c r="C9382" s="3">
        <v>44536.819490740738</v>
      </c>
      <c r="D9382" s="1" t="s">
        <v>18637</v>
      </c>
      <c r="E9382" s="1" t="str">
        <f ca="1">IFERROR(__xludf.DUMMYFUNCTION("GOOGLETRANSLATE(A6181 , ""tr"" , ""en"")"),"@drfahrettinkoca healthcareists guide waiting @kilicdarogluk @drfahrettinkoca # 40binatamayiyapkilicdaroglu")</f>
        <v>@drfahrettinkoca healthcareists guide waiting @kilicdarogluk @drfahrettinkoca # 40binatamayiyapkilicdaroglu</v>
      </c>
    </row>
    <row r="9383" spans="1:5" ht="15" customHeight="1" x14ac:dyDescent="0.2">
      <c r="A9383" s="1" t="s">
        <v>18638</v>
      </c>
      <c r="B9383" s="1">
        <v>3</v>
      </c>
      <c r="C9383" s="3">
        <v>44536.819340277776</v>
      </c>
      <c r="D9383" s="1" t="s">
        <v>18639</v>
      </c>
      <c r="E9383" s="1" t="str">
        <f ca="1">IFERROR(__xludf.DUMMYFUNCTION("GOOGLETRANSLATE(A6182 , ""tr"" , ""en"")"),"@drfahrettinka make school online")</f>
        <v>@drfahrettinka make school online</v>
      </c>
    </row>
    <row r="9384" spans="1:5" ht="15" customHeight="1" x14ac:dyDescent="0.2">
      <c r="A9384" s="1" t="s">
        <v>18640</v>
      </c>
      <c r="B9384" s="1">
        <v>14</v>
      </c>
      <c r="C9384" s="3">
        <v>44536.819004629629</v>
      </c>
      <c r="D9384" s="1" t="s">
        <v>18641</v>
      </c>
      <c r="E9384" s="1" t="str">
        <f ca="1">IFERROR(__xludf.DUMMYFUNCTION("GOOGLETRANSLATE(A6183 , ""tr"" , ""en"")"),"@drfahrettinkoca I can't breathe 8 lessons at school 2021 There are still 8 lessons because it is very inefficient because more and g ... https://t.co/fmttfjonnk")</f>
        <v>@drfahrettinkoca I can't breathe 8 lessons at school 2021 There are still 8 lessons because it is very inefficient because more and g ... https://t.co/fmttfjonnk</v>
      </c>
    </row>
    <row r="9385" spans="1:5" ht="15" customHeight="1" x14ac:dyDescent="0.2">
      <c r="A9385" s="1" t="s">
        <v>18642</v>
      </c>
      <c r="B9385" s="1">
        <v>0</v>
      </c>
      <c r="C9385" s="3">
        <v>44536.818784722222</v>
      </c>
      <c r="D9385" s="1" t="s">
        <v>18643</v>
      </c>
      <c r="E9385" s="1" t="str">
        <f ca="1">IFERROR(__xludf.DUMMYFUNCTION("GOOGLETRANSLATE(A6184 , ""tr"" , ""en"")"),"@drfahrettinkoca anymore the following vaccination rate lets see the truth in all nufusa")</f>
        <v>@drfahrettinkoca anymore the following vaccination rate lets see the truth in all nufusa</v>
      </c>
    </row>
    <row r="9386" spans="1:5" ht="15" customHeight="1" x14ac:dyDescent="0.2">
      <c r="A9386" s="1" t="s">
        <v>18644</v>
      </c>
      <c r="B9386" s="1">
        <v>21</v>
      </c>
      <c r="C9386" s="3">
        <v>44536.817685185182</v>
      </c>
      <c r="D9386" s="1" t="s">
        <v>18645</v>
      </c>
      <c r="E9386" s="1" t="str">
        <f ca="1">IFERROR(__xludf.DUMMYFUNCTION("GOOGLETRANSLATE(A6185 , ""tr"" , ""en"")"),"@drfahrettinkoca I can't breathe 8 lessons there is Yahu! We're Derdo We can't focus thoroughly this year # CabineUZAKTANDITUMSART")</f>
        <v>@drfahrettinkoca I can't breathe 8 lessons there is Yahu! We're Derdo We can't focus thoroughly this year # CabineUZAKTANDITUMSART</v>
      </c>
    </row>
    <row r="9387" spans="1:5" ht="15" customHeight="1" x14ac:dyDescent="0.2">
      <c r="A9387" s="1" t="s">
        <v>16035</v>
      </c>
      <c r="B9387" s="1">
        <v>0</v>
      </c>
      <c r="C9387" s="3">
        <v>44536.817673611113</v>
      </c>
      <c r="D9387" s="1" t="s">
        <v>18646</v>
      </c>
      <c r="E9387" s="1" t="str">
        <f ca="1">IFERROR(__xludf.DUMMYFUNCTION("GOOGLETRANSLATE(A6186 , ""tr"" , ""en"")"),"@drfahrettinkoca geese ate their new feed with appetite. https://t.co/3aiihmqbzgr")</f>
        <v>@drfahrettinkoca geese ate their new feed with appetite. https://t.co/3aiihmqbzgr</v>
      </c>
    </row>
    <row r="9388" spans="1:5" ht="15" customHeight="1" x14ac:dyDescent="0.2">
      <c r="A9388" s="1" t="s">
        <v>18647</v>
      </c>
      <c r="B9388" s="1">
        <v>9</v>
      </c>
      <c r="C9388" s="3">
        <v>44536.816990740743</v>
      </c>
      <c r="D9388" s="1" t="s">
        <v>18648</v>
      </c>
      <c r="E9388" s="1" t="str">
        <f ca="1">IFERROR(__xludf.DUMMYFUNCTION("GOOGLETRANSLATE(A6187 , ""tr"" , ""en"")"),"@drfahrettinkoca If you see our tag, give a signal, are you there? We've been Derdo, I was two months, I'd say every day ... https://t.co/kpnfjmnnjl")</f>
        <v>@drfahrettinkoca If you see our tag, give a signal, are you there? We've been Derdo, I was two months, I'd say every day ... https://t.co/kpnfjmnnjl</v>
      </c>
    </row>
    <row r="9389" spans="1:5" ht="15" customHeight="1" x14ac:dyDescent="0.2">
      <c r="A9389" s="1" t="s">
        <v>18649</v>
      </c>
      <c r="B9389" s="1">
        <v>0</v>
      </c>
      <c r="C9389" s="3">
        <v>44536.816377314812</v>
      </c>
      <c r="D9389" s="1" t="s">
        <v>18650</v>
      </c>
      <c r="E9389" s="1" t="str">
        <f ca="1">IFERROR(__xludf.DUMMYFUNCTION("GOOGLETRANSLATE(A6188 , ""tr"" , ""en"")"),"@drfahrettinkoca Sn.Bakan is flying the current health system. Report from the filion team as a contact and PCR ... https://t.co/t01xoxxz7j")</f>
        <v>@drfahrettinkoca Sn.Bakan is flying the current health system. Report from the filion team as a contact and PCR ... https://t.co/t01xoxxz7j</v>
      </c>
    </row>
    <row r="9390" spans="1:5" ht="15" customHeight="1" x14ac:dyDescent="0.2">
      <c r="A9390" s="1" t="s">
        <v>18651</v>
      </c>
      <c r="B9390" s="1">
        <v>11</v>
      </c>
      <c r="C9390" s="3">
        <v>44536.815000000002</v>
      </c>
      <c r="D9390" s="1" t="s">
        <v>18652</v>
      </c>
      <c r="E9390" s="1" t="str">
        <f ca="1">IFERROR(__xludf.DUMMYFUNCTION("GOOGLETRANSLATE(A6189 , ""tr"" , ""en"")"),"@drfahrettinka 2023E We will wait to expect this online training What do you expect from the Ministers that don't see us? # Kabineuzakaktanıştimştimşart")</f>
        <v>@drfahrettinka 2023E We will wait to expect this online training What do you expect from the Ministers that don't see us? # Kabineuzakaktanıştimştimşart</v>
      </c>
    </row>
    <row r="9391" spans="1:5" ht="15" customHeight="1" x14ac:dyDescent="0.2">
      <c r="A9391" s="1" t="s">
        <v>18653</v>
      </c>
      <c r="B9391" s="1">
        <v>0</v>
      </c>
      <c r="C9391" s="3">
        <v>44536.81490740741</v>
      </c>
      <c r="D9391" s="1" t="s">
        <v>18654</v>
      </c>
      <c r="E9391" s="1" t="str">
        <f ca="1">IFERROR(__xludf.DUMMYFUNCTION("GOOGLETRANSLATE(A6190 , ""tr"" , ""en"")"),"@drfahrettinkoca Yap Bi Beauty If not at all, last mask nonsense ...")</f>
        <v>@drfahrettinkoca Yap Bi Beauty If not at all, last mask nonsense ...</v>
      </c>
    </row>
    <row r="9392" spans="1:5" ht="15" customHeight="1" x14ac:dyDescent="0.2">
      <c r="A9392" s="1" t="s">
        <v>18655</v>
      </c>
      <c r="B9392" s="1">
        <v>0</v>
      </c>
      <c r="C9392" s="3">
        <v>44536.814872685187</v>
      </c>
      <c r="D9392" s="1" t="s">
        <v>18656</v>
      </c>
      <c r="E9392" s="1" t="str">
        <f ca="1">IFERROR(__xludf.DUMMYFUNCTION("GOOGLETRANSLATE(A6191 , ""tr"" , ""en"")"),"@drfahrettinkoca has no measures but this is speech and impudence to give the account of those who died.")</f>
        <v>@drfahrettinkoca has no measures but this is speech and impudence to give the account of those who died.</v>
      </c>
    </row>
    <row r="9393" spans="1:5" ht="15" customHeight="1" x14ac:dyDescent="0.2">
      <c r="A9393" s="1" t="s">
        <v>18657</v>
      </c>
      <c r="B9393" s="1">
        <v>2</v>
      </c>
      <c r="C9393" s="3">
        <v>44536.814803240741</v>
      </c>
      <c r="D9393" s="1" t="s">
        <v>18658</v>
      </c>
      <c r="E9393" s="1" t="str">
        <f ca="1">IFERROR(__xludf.DUMMYFUNCTION("GOOGLETRANSLATE(A6192 , ""tr"" , ""en"")"),"@drfahrettinka vaccination rate is still very high. There are so many people who don't wake up still. To understand that it doesn't work n ... https://t.co/umhbtr5sro")</f>
        <v>@drfahrettinka vaccination rate is still very high. There are so many people who don't wake up still. To understand that it doesn't work n ... https://t.co/umhbtr5sro</v>
      </c>
    </row>
    <row r="9394" spans="1:5" ht="15" customHeight="1" x14ac:dyDescent="0.2">
      <c r="A9394" s="1" t="s">
        <v>18659</v>
      </c>
      <c r="B9394" s="1">
        <v>1</v>
      </c>
      <c r="C9394" s="3">
        <v>44536.814467592594</v>
      </c>
      <c r="D9394" s="1" t="s">
        <v>18660</v>
      </c>
      <c r="E9394" s="1" t="str">
        <f ca="1">IFERROR(__xludf.DUMMYFUNCTION("GOOGLETRANSLATE(A6193 , ""tr"" , ""en"")"),"@drfahrettinka months even for years of labor, only hope that you do not assign the sadness, HEV ... https://t.co/j4lbouvfld")</f>
        <v>@drfahrettinka months even for years of labor, only hope that you do not assign the sadness, HEV ... https://t.co/j4lbouvfld</v>
      </c>
    </row>
    <row r="9395" spans="1:5" ht="15" customHeight="1" x14ac:dyDescent="0.2">
      <c r="A9395" s="1" t="s">
        <v>18661</v>
      </c>
      <c r="B9395" s="1">
        <v>0</v>
      </c>
      <c r="C9395" s="3">
        <v>44536.814375000002</v>
      </c>
      <c r="D9395" s="1" t="s">
        <v>18662</v>
      </c>
      <c r="E9395" s="1" t="str">
        <f ca="1">IFERROR(__xludf.DUMMYFUNCTION("GOOGLETRANSLATE(A6194 , ""tr"" , ""en"")"),"@drfahrettinkoca guide we want @drfahrettinkoca # 40binatamayiyapkilicdaroglu")</f>
        <v>@drfahrettinkoca guide we want @drfahrettinkoca # 40binatamayiyapkilicdaroglu</v>
      </c>
    </row>
    <row r="9396" spans="1:5" ht="15" customHeight="1" x14ac:dyDescent="0.2">
      <c r="A9396" s="1" t="s">
        <v>18663</v>
      </c>
      <c r="B9396" s="1">
        <v>4</v>
      </c>
      <c r="C9396" s="3">
        <v>44536.814270833333</v>
      </c>
      <c r="D9396" s="1" t="s">
        <v>18664</v>
      </c>
      <c r="E9396" s="1" t="str">
        <f ca="1">IFERROR(__xludf.DUMMYFUNCTION("GOOGLETRANSLATE(A6195 , ""tr"" , ""en"")"),"@drfahrettinkoca very thankful folks have begun to wake up")</f>
        <v>@drfahrettinkoca very thankful folks have begun to wake up</v>
      </c>
    </row>
    <row r="9397" spans="1:5" ht="15" customHeight="1" x14ac:dyDescent="0.2">
      <c r="A9397" s="1" t="s">
        <v>18665</v>
      </c>
      <c r="B9397" s="1">
        <v>1</v>
      </c>
      <c r="C9397" s="3">
        <v>44536.813726851855</v>
      </c>
      <c r="D9397" s="1" t="s">
        <v>18666</v>
      </c>
      <c r="E9397" s="1" t="str">
        <f ca="1">IFERROR(__xludf.DUMMYFUNCTION("GOOGLETRANSLATE(A6196 , ""tr"" , ""en"")"),"@drfahrettinkoca means that folks have begun to awaken from corona hypnosis ...")</f>
        <v>@drfahrettinkoca means that folks have begun to awaken from corona hypnosis ...</v>
      </c>
    </row>
    <row r="9398" spans="1:5" ht="15" customHeight="1" x14ac:dyDescent="0.2">
      <c r="A9398" s="1" t="s">
        <v>18667</v>
      </c>
      <c r="B9398" s="1">
        <v>8</v>
      </c>
      <c r="C9398" s="3">
        <v>44536.812615740739</v>
      </c>
      <c r="D9398" s="1" t="s">
        <v>18668</v>
      </c>
      <c r="E9398" s="1" t="str">
        <f ca="1">IFERROR(__xludf.DUMMYFUNCTION("GOOGLETRANSLATE(A6197 , ""tr"" , ""en"")"),"@drfahrettinkoca When will I be doing my profession? # 40binatamayiyapkilicdaroglu")</f>
        <v>@drfahrettinkoca When will I be doing my profession? # 40binatamayiyapkilicdaroglu</v>
      </c>
    </row>
    <row r="9399" spans="1:5" ht="15" customHeight="1" x14ac:dyDescent="0.2">
      <c r="A9399" s="1" t="s">
        <v>18669</v>
      </c>
      <c r="B9399" s="1">
        <v>0</v>
      </c>
      <c r="C9399" s="3">
        <v>44536.812407407408</v>
      </c>
      <c r="D9399" s="1" t="s">
        <v>18670</v>
      </c>
      <c r="E9399" s="1" t="str">
        <f ca="1">IFERROR(__xludf.DUMMYFUNCTION("GOOGLETRANSLATE(A6198 , ""tr"" , ""en"")"),"@drfahrettinkoca Ajidan then some people say we are encountering such surprise. Does it lie to lie? ... https://t.co/5eq07w5NI8")</f>
        <v>@drfahrettinkoca Ajidan then some people say we are encountering such surprise. Does it lie to lie? ... https://t.co/5eq07w5NI8</v>
      </c>
    </row>
    <row r="9400" spans="1:5" ht="15" customHeight="1" x14ac:dyDescent="0.2">
      <c r="A9400" s="1" t="s">
        <v>18671</v>
      </c>
      <c r="B9400" s="1">
        <v>0</v>
      </c>
      <c r="C9400" s="3">
        <v>44536.812094907407</v>
      </c>
      <c r="D9400" s="1" t="s">
        <v>18672</v>
      </c>
      <c r="E9400" s="1" t="str">
        <f ca="1">IFERROR(__xludf.DUMMYFUNCTION("GOOGLETRANSLATE(A6199 , ""tr"" , ""en"")"),"@drfahrettinka https://t.co/QZJH9BIES")</f>
        <v>@drfahrettinka https://t.co/QZJH9BIES</v>
      </c>
    </row>
    <row r="9401" spans="1:5" ht="15" customHeight="1" x14ac:dyDescent="0.2">
      <c r="A9401" s="1" t="s">
        <v>18673</v>
      </c>
      <c r="B9401" s="1">
        <v>7</v>
      </c>
      <c r="C9401" s="3">
        <v>44536.811736111114</v>
      </c>
      <c r="D9401" s="1" t="s">
        <v>18674</v>
      </c>
      <c r="E9401" s="1" t="str">
        <f ca="1">IFERROR(__xludf.DUMMYFUNCTION("GOOGLETRANSLATE(A6200 , ""tr"" , ""en"")"),"@drfahrettinka follow your doctors please .. Human life who is HTTPS://T.CO/XCP72ZIBOY in the hands of")</f>
        <v>@drfahrettinka follow your doctors please .. Human life who is HTTPS://T.CO/XCP72ZIBOY in the hands of</v>
      </c>
    </row>
    <row r="9402" spans="1:5" ht="15" customHeight="1" x14ac:dyDescent="0.2">
      <c r="A9402" s="1" t="s">
        <v>18675</v>
      </c>
      <c r="B9402" s="1">
        <v>8</v>
      </c>
      <c r="C9402" s="3">
        <v>44536.811620370368</v>
      </c>
      <c r="D9402" s="1" t="s">
        <v>18676</v>
      </c>
      <c r="E9402" s="1" t="str">
        <f ca="1">IFERROR(__xludf.DUMMYFUNCTION("GOOGLETRANSLATE(A6201 , ""tr"" , ""en"")"),"@drfahrettinkoca Minister Are you never see these tags? At all? NONE? NONE?? # kabineuzaktanıditimşarteArt")</f>
        <v>@drfahrettinkoca Minister Are you never see these tags? At all? NONE? NONE?? # kabineuzaktanıditimşarteArt</v>
      </c>
    </row>
    <row r="9403" spans="1:5" ht="15" customHeight="1" x14ac:dyDescent="0.2">
      <c r="A9403" s="1" t="s">
        <v>18677</v>
      </c>
      <c r="B9403" s="1">
        <v>0</v>
      </c>
      <c r="C9403" s="3">
        <v>44536.811307870368</v>
      </c>
      <c r="D9403" s="1" t="s">
        <v>18678</v>
      </c>
      <c r="E9403" s="1" t="str">
        <f ca="1">IFERROR(__xludf.DUMMYFUNCTION("GOOGLETRANSLATE(A6202 , ""tr"" , ""en"")"),"@drfahrettinkoca character is not found in each individual .... citizen is because of you ... I'm suplining you ... https://t.co/to8I2bqzji")</f>
        <v>@drfahrettinkoca character is not found in each individual .... citizen is because of you ... I'm suplining you ... https://t.co/to8I2bqzji</v>
      </c>
    </row>
    <row r="9404" spans="1:5" ht="15" customHeight="1" x14ac:dyDescent="0.2">
      <c r="A9404" s="1" t="s">
        <v>18679</v>
      </c>
      <c r="B9404" s="1">
        <v>0</v>
      </c>
      <c r="C9404" s="3">
        <v>44536.810798611114</v>
      </c>
      <c r="D9404" s="1" t="s">
        <v>18680</v>
      </c>
      <c r="E9404" s="1" t="str">
        <f ca="1">IFERROR(__xludf.DUMMYFUNCTION("GOOGLETRANSLATE(A6203 , ""tr"" , ""en"")"),"@drfahrettinkca I need to think the cue")</f>
        <v>@drfahrettinkca I need to think the cue</v>
      </c>
    </row>
    <row r="9405" spans="1:5" ht="15" customHeight="1" x14ac:dyDescent="0.2">
      <c r="A9405" s="1" t="s">
        <v>18681</v>
      </c>
      <c r="B9405" s="1">
        <v>0</v>
      </c>
      <c r="C9405" s="3">
        <v>44536.810613425929</v>
      </c>
      <c r="D9405" s="1" t="s">
        <v>18682</v>
      </c>
      <c r="E9405" s="1" t="str">
        <f ca="1">IFERROR(__xludf.DUMMYFUNCTION("GOOGLETRANSLATE(A6204 , ""tr"" , ""en"")"),"@drfahrettinkoca you are keeping your lie.")</f>
        <v>@drfahrettinkoca you are keeping your lie.</v>
      </c>
    </row>
    <row r="9406" spans="1:5" ht="15" customHeight="1" x14ac:dyDescent="0.2">
      <c r="A9406" s="1" t="s">
        <v>18683</v>
      </c>
      <c r="B9406" s="1">
        <v>0</v>
      </c>
      <c r="C9406" s="3">
        <v>44536.810497685183</v>
      </c>
      <c r="D9406" s="1" t="s">
        <v>18684</v>
      </c>
      <c r="E9406" s="1" t="str">
        <f ca="1">IFERROR(__xludf.DUMMYFUNCTION("GOOGLETRANSLATE(A6205 , ""tr"" , ""en"")"),"@drfahrettinkoca look at the coincidence you. The rate of death as the rate of vaccination falls as it has fallen to fall.")</f>
        <v>@drfahrettinkoca look at the coincidence you. The rate of death as the rate of vaccination falls as it has fallen to fall.</v>
      </c>
    </row>
    <row r="9407" spans="1:5" ht="15" customHeight="1" x14ac:dyDescent="0.2">
      <c r="A9407" s="1" t="s">
        <v>18685</v>
      </c>
      <c r="B9407" s="1">
        <v>0</v>
      </c>
      <c r="C9407" s="3">
        <v>44536.810208333336</v>
      </c>
      <c r="D9407" s="1" t="s">
        <v>18686</v>
      </c>
      <c r="E9407" s="1" t="str">
        <f ca="1">IFERROR(__xludf.DUMMYFUNCTION("GOOGLETRANSLATE(A6206 , ""tr"" , ""en"")"),"@drfahrettinkoca @drfahrettinkoca you will not say ""vaccine"", you will say ""Vaccination Island""")</f>
        <v>@drfahrettinkoca @drfahrettinkoca you will not say "vaccine", you will say "Vaccination Island"</v>
      </c>
    </row>
    <row r="9408" spans="1:5" ht="15" customHeight="1" x14ac:dyDescent="0.2">
      <c r="A9408" s="1" t="s">
        <v>18687</v>
      </c>
      <c r="B9408" s="1">
        <v>13</v>
      </c>
      <c r="C9408" s="3">
        <v>44536.809745370374</v>
      </c>
      <c r="D9408" s="1" t="s">
        <v>18688</v>
      </c>
      <c r="E9408" s="1" t="str">
        <f ca="1">IFERROR(__xludf.DUMMYFUNCTION("GOOGLETRANSLATE(A6207 , ""tr"" , ""en"")"),"@drfahrettinkoca I can't breathe in school Measure measure ONLINE training !!!!!! URGENT! # kabineuzaktanıditimşarteArt")</f>
        <v>@drfahrettinkoca I can't breathe in school Measure measure ONLINE training !!!!!! URGENT! # kabineuzaktanıditimşarteArt</v>
      </c>
    </row>
    <row r="9409" spans="1:5" ht="15" customHeight="1" x14ac:dyDescent="0.2">
      <c r="A9409" s="1" t="s">
        <v>18689</v>
      </c>
      <c r="B9409" s="1">
        <v>6</v>
      </c>
      <c r="C9409" s="3">
        <v>44536.809282407405</v>
      </c>
      <c r="D9409" s="1" t="s">
        <v>18690</v>
      </c>
      <c r="E9409" s="1" t="str">
        <f ca="1">IFERROR(__xludf.DUMMYFUNCTION("GOOGLETRANSLATE(A6208 , ""tr"" , ""en"")"),"@drfahrettinkoca I can't breathe in school HELP! # kabineuzaktanıditimşarteArt")</f>
        <v>@drfahrettinkoca I can't breathe in school HELP! # kabineuzaktanıditimşarteArt</v>
      </c>
    </row>
    <row r="9410" spans="1:5" ht="15" customHeight="1" x14ac:dyDescent="0.2">
      <c r="A9410" s="1" t="s">
        <v>18691</v>
      </c>
      <c r="B9410" s="1">
        <v>0</v>
      </c>
      <c r="C9410" s="3">
        <v>44536.809131944443</v>
      </c>
      <c r="D9410" s="1" t="s">
        <v>18692</v>
      </c>
      <c r="E9410" s="1" t="str">
        <f ca="1">IFERROR(__xludf.DUMMYFUNCTION("GOOGLETRANSLATE(A6209 , ""tr"" , ""en"")"),"@drfahrettinkoca https://t.co/yajd3u4rlu")</f>
        <v>@drfahrettinkoca https://t.co/yajd3u4rlu</v>
      </c>
    </row>
    <row r="9411" spans="1:5" ht="15" customHeight="1" x14ac:dyDescent="0.2">
      <c r="A9411" s="1" t="s">
        <v>18693</v>
      </c>
      <c r="B9411" s="1">
        <v>1</v>
      </c>
      <c r="C9411" s="3">
        <v>44536.809039351851</v>
      </c>
      <c r="D9411" s="1" t="s">
        <v>18694</v>
      </c>
      <c r="E9411" s="1" t="str">
        <f ca="1">IFERROR(__xludf.DUMMYFUNCTION("GOOGLETRANSLATE(A6210 , ""tr"" , ""en"")"),"@drfahrettinka 81% of the population over 18 years of age grafted HLAA 20bin Case 187 The number of deaths is explained. Estimated vaccines are the benefit if NZMAN :)")</f>
        <v>@drfahrettinka 81% of the population over 18 years of age grafted HLAA 20bin Case 187 The number of deaths is explained. Estimated vaccines are the benefit if NZMAN :)</v>
      </c>
    </row>
    <row r="9412" spans="1:5" ht="15" customHeight="1" x14ac:dyDescent="0.2">
      <c r="A9412" s="1" t="s">
        <v>18695</v>
      </c>
      <c r="B9412" s="1">
        <v>20</v>
      </c>
      <c r="C9412" s="3">
        <v>44536.809004629627</v>
      </c>
      <c r="D9412" s="1" t="s">
        <v>18696</v>
      </c>
      <c r="E9412" s="1" t="str">
        <f ca="1">IFERROR(__xludf.DUMMYFUNCTION("GOOGLETRANSLATE(A6211 , ""tr"" , ""en"")"),"@drfahrettinkoca I can't breathe at school # Kabineuzakaktanıtitemşartart")</f>
        <v>@drfahrettinkoca I can't breathe at school # Kabineuzakaktanıtitemşartart</v>
      </c>
    </row>
    <row r="9413" spans="1:5" ht="15" customHeight="1" x14ac:dyDescent="0.2">
      <c r="A9413" s="1" t="s">
        <v>18697</v>
      </c>
      <c r="B9413" s="1">
        <v>0</v>
      </c>
      <c r="C9413" s="3">
        <v>44536.808831018519</v>
      </c>
      <c r="D9413" s="1" t="s">
        <v>18698</v>
      </c>
      <c r="E9413" s="1" t="str">
        <f ca="1">IFERROR(__xludf.DUMMYFUNCTION("GOOGLETRANSLATE(A6212 , ""tr"" , ""en"")"),"@drfahrettinka Adam son starts to grow by absorbing raw milk. Salg ... https://t.co/dbap0zaq2t")</f>
        <v>@drfahrettinka Adam son starts to grow by absorbing raw milk. Salg ... https://t.co/dbap0zaq2t</v>
      </c>
    </row>
    <row r="9414" spans="1:5" ht="15" customHeight="1" x14ac:dyDescent="0.2">
      <c r="A9414" s="1" t="s">
        <v>12691</v>
      </c>
      <c r="B9414" s="1">
        <v>0</v>
      </c>
      <c r="C9414" s="3">
        <v>44536.808819444443</v>
      </c>
      <c r="D9414" s="1" t="s">
        <v>18699</v>
      </c>
      <c r="E9414" s="1" t="str">
        <f ca="1">IFERROR(__xludf.DUMMYFUNCTION("GOOGLETRANSLATE(A6213 , ""tr"" , ""en"")"),"@drfahrettinkoca Guide Mr. Minister")</f>
        <v>@drfahrettinkoca Guide Mr. Minister</v>
      </c>
    </row>
    <row r="9415" spans="1:5" ht="15" customHeight="1" x14ac:dyDescent="0.2">
      <c r="A9415" s="1" t="s">
        <v>18700</v>
      </c>
      <c r="B9415" s="1">
        <v>1</v>
      </c>
      <c r="C9415" s="3">
        <v>44536.808761574073</v>
      </c>
      <c r="D9415" s="1" t="s">
        <v>18701</v>
      </c>
      <c r="E9415" s="1" t="str">
        <f ca="1">IFERROR(__xludf.DUMMYFUNCTION("GOOGLETRANSLATE(A6214 , ""tr"" , ""en"")"),"@drfahrettinka Vaccine Minister Bey Nation Hungry Hungry Sevonim Notify Nation Nation Needs What To Feed With Vaccine DO ... https://t.co/dqktg7hpar")</f>
        <v>@drfahrettinka Vaccine Minister Bey Nation Hungry Hungry Sevonim Notify Nation Nation Needs What To Feed With Vaccine DO ... https://t.co/dqktg7hpar</v>
      </c>
    </row>
    <row r="9416" spans="1:5" ht="15" customHeight="1" x14ac:dyDescent="0.2">
      <c r="A9416" s="1" t="s">
        <v>18702</v>
      </c>
      <c r="B9416" s="1">
        <v>30</v>
      </c>
      <c r="C9416" s="3">
        <v>44536.807685185187</v>
      </c>
      <c r="D9416" s="1" t="s">
        <v>18703</v>
      </c>
      <c r="E9416" s="1" t="str">
        <f ca="1">IFERROR(__xludf.DUMMYFUNCTION("GOOGLETRANSLATE(A6215 , ""tr"" , ""en"")"),"@drfahrettinkoca If this is true you really get pity https://t.co/hr5kxgksba")</f>
        <v>@drfahrettinkoca If this is true you really get pity https://t.co/hr5kxgksba</v>
      </c>
    </row>
    <row r="9417" spans="1:5" ht="15" customHeight="1" x14ac:dyDescent="0.2">
      <c r="A9417" s="1" t="s">
        <v>18704</v>
      </c>
      <c r="B9417" s="1">
        <v>1</v>
      </c>
      <c r="C9417" s="3">
        <v>44536.807511574072</v>
      </c>
      <c r="D9417" s="1" t="s">
        <v>18705</v>
      </c>
      <c r="E9417" s="1" t="str">
        <f ca="1">IFERROR(__xludf.DUMMYFUNCTION("GOOGLETRANSLATE(A6216 , ""tr"" , ""en"")"),"@drfahrettinkoca World Health Complex You've ruined schools Schools open when you are opening 20 thousand who believes in a shame or nation ... https://t.co/t1yr7cfwsk")</f>
        <v>@drfahrettinkoca World Health Complex You've ruined schools Schools open when you are opening 20 thousand who believes in a shame or nation ... https://t.co/t1yr7cfwsk</v>
      </c>
    </row>
    <row r="9418" spans="1:5" ht="15" customHeight="1" x14ac:dyDescent="0.2">
      <c r="A9418" s="1" t="s">
        <v>18706</v>
      </c>
      <c r="B9418" s="1">
        <v>2</v>
      </c>
      <c r="C9418" s="3">
        <v>44536.807511574072</v>
      </c>
      <c r="D9418" s="1" t="s">
        <v>18707</v>
      </c>
      <c r="E9418" s="1" t="str">
        <f ca="1">IFERROR(__xludf.DUMMYFUNCTION("GOOGLETRANSLATE(A6217 , ""tr"" , ""en"")"),"@drfahrettinkoca protects the such way? https://t.co/4s5o6zyzad")</f>
        <v>@drfahrettinkoca protects the such way? https://t.co/4s5o6zyzad</v>
      </c>
    </row>
    <row r="9419" spans="1:5" ht="15" customHeight="1" x14ac:dyDescent="0.2">
      <c r="A9419" s="1" t="s">
        <v>18708</v>
      </c>
      <c r="B9419" s="1">
        <v>0</v>
      </c>
      <c r="C9419" s="3">
        <v>44536.806979166664</v>
      </c>
      <c r="D9419" s="1" t="s">
        <v>18709</v>
      </c>
      <c r="E9419" s="1" t="str">
        <f ca="1">IFERROR(__xludf.DUMMYFUNCTION("GOOGLETRANSLATE(A6218 , ""tr"" , ""en"")"),"@drfahrettinkoca We will get rid of that, if it is so vaccinated, things are being said to normal ... HTTPS://T.CO/IAALZ4YGAP")</f>
        <v>@drfahrettinkoca We will get rid of that, if it is so vaccinated, things are being said to normal ... HTTPS://T.CO/IAALZ4YGAP</v>
      </c>
    </row>
    <row r="9420" spans="1:5" ht="15" customHeight="1" x14ac:dyDescent="0.2">
      <c r="A9420" s="1" t="s">
        <v>18710</v>
      </c>
      <c r="B9420" s="1">
        <v>30</v>
      </c>
      <c r="C9420" s="3">
        <v>44536.806828703702</v>
      </c>
      <c r="D9420" s="1" t="s">
        <v>18711</v>
      </c>
      <c r="E9420" s="1" t="str">
        <f ca="1">IFERROR(__xludf.DUMMYFUNCTION("GOOGLETRANSLATE(A6219 , ""tr"" , ""en"")"),"@drfahrettinka Force, threatening the nation with the bread, you've hit the vaccine with PCR torture. Your own data be blue ... https://t.co/yervwelytb")</f>
        <v>@drfahrettinka Force, threatening the nation with the bread, you've hit the vaccine with PCR torture. Your own data be blue ... https://t.co/yervwelytb</v>
      </c>
    </row>
    <row r="9421" spans="1:5" ht="15" customHeight="1" x14ac:dyDescent="0.2">
      <c r="A9421" s="1" t="s">
        <v>18712</v>
      </c>
      <c r="B9421" s="1">
        <v>5</v>
      </c>
      <c r="C9421" s="3">
        <v>44536.80678240741</v>
      </c>
      <c r="D9421" s="1" t="s">
        <v>18713</v>
      </c>
      <c r="E9421" s="1" t="str">
        <f ca="1">IFERROR(__xludf.DUMMYFUNCTION("GOOGLETRANSLATE(A6220 , ""tr"" , ""en"")"),"@drfahrettinka you guys are available to solve the problems of this nation, we are nationally you are our proxy sovereign ... https://t.co/2ggyrsy9tu")</f>
        <v>@drfahrettinka you guys are available to solve the problems of this nation, we are nationally you are our proxy sovereign ... https://t.co/2ggyrsy9tu</v>
      </c>
    </row>
    <row r="9422" spans="1:5" ht="15" customHeight="1" x14ac:dyDescent="0.2">
      <c r="A9422" s="1" t="s">
        <v>18714</v>
      </c>
      <c r="B9422" s="1">
        <v>0</v>
      </c>
      <c r="C9422" s="3">
        <v>44536.806284722225</v>
      </c>
      <c r="D9422" s="1" t="s">
        <v>18715</v>
      </c>
      <c r="E9422" s="1" t="str">
        <f ca="1">IFERROR(__xludf.DUMMYFUNCTION("GOOGLETRANSLATE(A6221 , ""tr"" , ""en"")"),"@drfahrettinkoca HERE up to no other vaccinated village peasant eyes opened his eyes")</f>
        <v>@drfahrettinkoca HERE up to no other vaccinated village peasant eyes opened his eyes</v>
      </c>
    </row>
    <row r="9423" spans="1:5" ht="15" customHeight="1" x14ac:dyDescent="0.2">
      <c r="A9423" s="1" t="s">
        <v>18716</v>
      </c>
      <c r="B9423" s="1">
        <v>0</v>
      </c>
      <c r="C9423" s="3">
        <v>44536.80572916667</v>
      </c>
      <c r="D9423" s="1" t="s">
        <v>18717</v>
      </c>
      <c r="E9423" s="1" t="str">
        <f ca="1">IFERROR(__xludf.DUMMYFUNCTION("GOOGLETRANSLATE(A6222 , ""tr"" , ""en"")"),"@drfahrettinkoca @saglikbakanli You know people with the damages of vaccines. An instant with Pfizer ... https://t.co/hpuaj4rshs")</f>
        <v>@drfahrettinkoca @saglikbakanli You know people with the damages of vaccines. An instant with Pfizer ... https://t.co/hpuaj4rshs</v>
      </c>
    </row>
    <row r="9424" spans="1:5" ht="15" customHeight="1" x14ac:dyDescent="0.2">
      <c r="A9424" s="1" t="s">
        <v>18718</v>
      </c>
      <c r="B9424" s="1">
        <v>6</v>
      </c>
      <c r="C9424" s="3">
        <v>44536.805706018517</v>
      </c>
      <c r="D9424" s="1" t="s">
        <v>18719</v>
      </c>
      <c r="E9424" s="1" t="str">
        <f ca="1">IFERROR(__xludf.DUMMYFUNCTION("GOOGLETRANSLATE(A6223 , ""tr"" , ""en"")"),"@drfahrettinkoca We've got you. you don't wear us at all # kabineuzaktanılitimşarte")</f>
        <v>@drfahrettinkoca We've got you. you don't wear us at all # kabineuzaktanılitimşarte</v>
      </c>
    </row>
    <row r="9425" spans="1:5" ht="15" customHeight="1" x14ac:dyDescent="0.2">
      <c r="A9425" s="1" t="s">
        <v>18720</v>
      </c>
      <c r="B9425" s="1">
        <v>1</v>
      </c>
      <c r="C9425" s="3">
        <v>44536.805706018517</v>
      </c>
      <c r="D9425" s="1" t="s">
        <v>18721</v>
      </c>
      <c r="E9425" s="1" t="str">
        <f ca="1">IFERROR(__xludf.DUMMYFUNCTION("GOOGLETRANSLATE(A6224 , ""tr"" , ""en"")"),"@drfahrettinkoca Close School")</f>
        <v>@drfahrettinkoca Close School</v>
      </c>
    </row>
    <row r="9426" spans="1:5" ht="15" customHeight="1" x14ac:dyDescent="0.2">
      <c r="A9426" s="1" t="s">
        <v>18722</v>
      </c>
      <c r="B9426" s="1">
        <v>12</v>
      </c>
      <c r="C9426" s="3">
        <v>44536.805335648147</v>
      </c>
      <c r="D9426" s="1" t="s">
        <v>18723</v>
      </c>
      <c r="E9426" s="1" t="str">
        <f ca="1">IFERROR(__xludf.DUMMYFUNCTION("GOOGLETRANSLATE(A6225 , ""tr"" , ""en"")"),"@drfahrettinkoca you don't wear us at all # kabineuzaktanılitimşartart")</f>
        <v>@drfahrettinkoca you don't wear us at all # kabineuzaktanılitimşartart</v>
      </c>
    </row>
    <row r="9427" spans="1:5" ht="15" customHeight="1" x14ac:dyDescent="0.2">
      <c r="A9427" s="1" t="s">
        <v>18724</v>
      </c>
      <c r="B9427" s="1">
        <v>0</v>
      </c>
      <c r="C9427" s="3">
        <v>44536.805196759262</v>
      </c>
      <c r="D9427" s="1" t="s">
        <v>18725</v>
      </c>
      <c r="E9427" s="1" t="str">
        <f ca="1">IFERROR(__xludf.DUMMYFUNCTION("GOOGLETRANSLATE(A6226 , ""tr"" , ""en"")"),"@drfahrettinkoca @saglikbakanli You know people with the damages of vaccines. PFizer with an ... https://t.co/dpyipaxphx")</f>
        <v>@drfahrettinkoca @saglikbakanli You know people with the damages of vaccines. PFizer with an ... https://t.co/dpyipaxphx</v>
      </c>
    </row>
    <row r="9428" spans="1:5" ht="15" customHeight="1" x14ac:dyDescent="0.2">
      <c r="A9428" s="1" t="s">
        <v>18726</v>
      </c>
      <c r="B9428" s="1">
        <v>24</v>
      </c>
      <c r="C9428" s="3">
        <v>44536.804918981485</v>
      </c>
      <c r="D9428" s="1" t="s">
        <v>18727</v>
      </c>
      <c r="E9428" s="1" t="str">
        <f ca="1">IFERROR(__xludf.DUMMYFUNCTION("GOOGLETRANSLATE(A6227 , ""tr"" , ""en"")"),"@drfahrettinkoca is very glad to these rates and Turkey is very glad 👍👍👍 very thankful folks began to wake up, the nemstone ... https://t.co/ozdbvu5ech")</f>
        <v>@drfahrettinkoca is very glad to these rates and Turkey is very glad 👍👍👍 very thankful folks began to wake up, the nemstone ... https://t.co/ozdbvu5ech</v>
      </c>
    </row>
    <row r="9429" spans="1:5" ht="15" customHeight="1" x14ac:dyDescent="0.2">
      <c r="A9429" s="1" t="s">
        <v>18728</v>
      </c>
      <c r="B9429" s="1">
        <v>0</v>
      </c>
      <c r="C9429" s="3">
        <v>44536.804918981485</v>
      </c>
      <c r="D9429" s="1" t="s">
        <v>18729</v>
      </c>
      <c r="E9429" s="1" t="str">
        <f ca="1">IFERROR(__xludf.DUMMYFUNCTION("GOOGLETRANSLATE(A6228 , ""tr"" , ""en"")"),"@drfahrettinkoca Why should you look in the mirror? You ask the wrong address?")</f>
        <v>@drfahrettinkoca Why should you look in the mirror? You ask the wrong address?</v>
      </c>
    </row>
    <row r="9430" spans="1:5" ht="15" customHeight="1" x14ac:dyDescent="0.2">
      <c r="A9430" s="1" t="s">
        <v>18730</v>
      </c>
      <c r="B9430" s="1">
        <v>2</v>
      </c>
      <c r="C9430" s="3">
        <v>44536.803900462961</v>
      </c>
      <c r="D9430" s="1" t="s">
        <v>18731</v>
      </c>
      <c r="E9430" s="1" t="str">
        <f ca="1">IFERROR(__xludf.DUMMYFUNCTION("GOOGLETRANSLATE(A6229 , ""tr"" , ""en"")"),"@drfahrettinkoca I was the first dose to not lose my job, I will go to the second dose, I will go to test, 48 hours, i ... https://t.co/qxf5rtmsxw")</f>
        <v>@drfahrettinkoca I was the first dose to not lose my job, I will go to the second dose, I will go to test, 48 hours, i ... https://t.co/qxf5rtmsxw</v>
      </c>
    </row>
    <row r="9431" spans="1:5" ht="15" customHeight="1" x14ac:dyDescent="0.2">
      <c r="A9431" s="1" t="s">
        <v>18732</v>
      </c>
      <c r="B9431" s="1">
        <v>1</v>
      </c>
      <c r="C9431" s="3">
        <v>44536.802800925929</v>
      </c>
      <c r="D9431" s="1" t="s">
        <v>18733</v>
      </c>
      <c r="E9431" s="1" t="str">
        <f ca="1">IFERROR(__xludf.DUMMYFUNCTION("GOOGLETRANSLATE(A6230 , ""tr"" , ""en"")"),"@drfahrettinkoca Protects the momentity of the moment? Duuu")</f>
        <v>@drfahrettinkoca Protects the momentity of the moment? Duuu</v>
      </c>
    </row>
    <row r="9432" spans="1:5" ht="15" customHeight="1" x14ac:dyDescent="0.2">
      <c r="A9432" s="1" t="s">
        <v>18734</v>
      </c>
      <c r="B9432" s="1">
        <v>0</v>
      </c>
      <c r="C9432" s="3">
        <v>44536.802384259259</v>
      </c>
      <c r="D9432" s="1" t="s">
        <v>18735</v>
      </c>
      <c r="E9432" s="1" t="str">
        <f ca="1">IFERROR(__xludf.DUMMYFUNCTION("GOOGLETRANSLATE(A6231 , ""tr"" , ""en"")"),"@drfahrettinkoca Minister Bey Justified, Although 3 dose is grafted, I was not removed from cough in a week. If there was no out of space ... https://t.co/pvkd9pvf9y")</f>
        <v>@drfahrettinkoca Minister Bey Justified, Although 3 dose is grafted, I was not removed from cough in a week. If there was no out of space ... https://t.co/pvkd9pvf9y</v>
      </c>
    </row>
    <row r="9433" spans="1:5" ht="15" customHeight="1" x14ac:dyDescent="0.2">
      <c r="A9433" s="1" t="s">
        <v>18736</v>
      </c>
      <c r="B9433" s="1">
        <v>0</v>
      </c>
      <c r="C9433" s="3">
        <v>44536.801944444444</v>
      </c>
      <c r="D9433" s="1" t="s">
        <v>18737</v>
      </c>
      <c r="E9433" s="1" t="str">
        <f ca="1">IFERROR(__xludf.DUMMYFUNCTION("GOOGLETRANSLATE(A6232 , ""tr"" , ""en"")"),"What will be 100% when @drfahrettinkoca 2 or 3 dose is 100% ... will be finished? You can tell the Quran by hand pressing the job .... pt")</f>
        <v>What will be 100% when @drfahrettinkoca 2 or 3 dose is 100% ... will be finished? You can tell the Quran by hand pressing the job .... pt</v>
      </c>
    </row>
    <row r="9434" spans="1:5" ht="15" customHeight="1" x14ac:dyDescent="0.2">
      <c r="A9434" s="1" t="s">
        <v>18738</v>
      </c>
      <c r="B9434" s="1">
        <v>0</v>
      </c>
      <c r="C9434" s="3">
        <v>44536.801840277774</v>
      </c>
      <c r="D9434" s="1" t="s">
        <v>18739</v>
      </c>
      <c r="E9434" s="1" t="str">
        <f ca="1">IFERROR(__xludf.DUMMYFUNCTION("GOOGLETRANSLATE(A6233 , ""tr"" , ""en"")"),"@drfahrettinkoca @saglikbakanligi that vaccine ungrudging experimental fluids are happy to ""all"" who (s) a ... https://t.co/p5xx0w3bfr")</f>
        <v>@drfahrettinkoca @saglikbakanligi that vaccine ungrudging experimental fluids are happy to "all" who (s) a ... https://t.co/p5xx0w3bfr</v>
      </c>
    </row>
    <row r="9435" spans="1:5" ht="15" customHeight="1" x14ac:dyDescent="0.2">
      <c r="A9435" s="1" t="s">
        <v>18740</v>
      </c>
      <c r="B9435" s="1">
        <v>0</v>
      </c>
      <c r="C9435" s="3">
        <v>44536.801388888889</v>
      </c>
      <c r="D9435" s="1" t="s">
        <v>18741</v>
      </c>
      <c r="E9435" s="1" t="str">
        <f ca="1">IFERROR(__xludf.DUMMYFUNCTION("GOOGLETRANSLATE(A6234 , ""tr"" , ""en"")"),"@drfahrettinkoca workplaces even lifted masks, grafts do not even get caught in hospitals even if you don't even get caught. ... https://t.co/yw6wxvac3l")</f>
        <v>@drfahrettinkoca workplaces even lifted masks, grafts do not even get caught in hospitals even if you don't even get caught. ... https://t.co/yw6wxvac3l</v>
      </c>
    </row>
    <row r="9436" spans="1:5" ht="15" customHeight="1" x14ac:dyDescent="0.2">
      <c r="A9436" s="1" t="s">
        <v>18742</v>
      </c>
      <c r="B9436" s="1">
        <v>0</v>
      </c>
      <c r="C9436" s="3">
        <v>44536.801145833335</v>
      </c>
      <c r="D9436" s="1" t="s">
        <v>18743</v>
      </c>
      <c r="E9436" s="1" t="str">
        <f ca="1">IFERROR(__xludf.DUMMYFUNCTION("GOOGLETRANSLATE(A6235 , ""tr"" , ""en"")"),"@drfahrettinkoca we had no longer numb.")</f>
        <v>@drfahrettinkoca we had no longer numb.</v>
      </c>
    </row>
    <row r="9437" spans="1:5" ht="15" customHeight="1" x14ac:dyDescent="0.2">
      <c r="A9437" s="1" t="s">
        <v>18744</v>
      </c>
      <c r="B9437" s="1">
        <v>2</v>
      </c>
      <c r="C9437" s="3">
        <v>44536.799872685187</v>
      </c>
      <c r="D9437" s="1" t="s">
        <v>18745</v>
      </c>
      <c r="E9437" s="1" t="str">
        <f ca="1">IFERROR(__xludf.DUMMYFUNCTION("GOOGLETRANSLATE(A6236 , ""tr"" , ""en"")"),"@drfahrettinkoca is enough anymore everyone is tired of the mask every day go to school every day and tired of complying with it 3 every day yen ... https://t.co/nodtfwge1s")</f>
        <v>@drfahrettinkoca is enough anymore everyone is tired of the mask every day go to school every day and tired of complying with it 3 every day yen ... https://t.co/nodtfwge1s</v>
      </c>
    </row>
    <row r="9438" spans="1:5" ht="15" customHeight="1" x14ac:dyDescent="0.2">
      <c r="A9438" s="1" t="s">
        <v>18746</v>
      </c>
      <c r="B9438" s="1">
        <v>0</v>
      </c>
      <c r="C9438" s="3">
        <v>44536.79928240741</v>
      </c>
      <c r="D9438" s="1" t="s">
        <v>18747</v>
      </c>
      <c r="E9438" s="1" t="str">
        <f ca="1">IFERROR(__xludf.DUMMYFUNCTION("GOOGLETRANSLATE(A6237 , ""tr"" , ""en"")"),"@drfahrettinkoca Universities Online Training Online Training # CabineUZAKTanEducationArt")</f>
        <v>@drfahrettinkoca Universities Online Training Online Training # CabineUZAKTanEducationArt</v>
      </c>
    </row>
    <row r="9439" spans="1:5" ht="15" customHeight="1" x14ac:dyDescent="0.2">
      <c r="A9439" s="1" t="s">
        <v>18748</v>
      </c>
      <c r="B9439" s="1">
        <v>0</v>
      </c>
      <c r="C9439" s="3">
        <v>44536.798981481479</v>
      </c>
      <c r="D9439" s="1" t="s">
        <v>18749</v>
      </c>
      <c r="E9439" s="1" t="str">
        <f ca="1">IFERROR(__xludf.DUMMYFUNCTION("GOOGLETRANSLATE(A6238 , ""tr"" , ""en"")"),"@drfahrettinka Give us about us, 3. Open the overdose vaccines!")</f>
        <v>@drfahrettinka Give us about us, 3. Open the overdose vaccines!</v>
      </c>
    </row>
    <row r="9440" spans="1:5" ht="15" customHeight="1" x14ac:dyDescent="0.2">
      <c r="A9440" s="1" t="s">
        <v>18750</v>
      </c>
      <c r="B9440" s="1">
        <v>2</v>
      </c>
      <c r="C9440" s="3">
        <v>44536.79891203704</v>
      </c>
      <c r="D9440" s="1" t="s">
        <v>18751</v>
      </c>
      <c r="E9440" s="1" t="str">
        <f ca="1">IFERROR(__xludf.DUMMYFUNCTION("GOOGLETRANSLATE(A6239 , ""tr"" , ""en"")"),"@drfahrettinkoca God Human Hope. Cases are increasing as they make vaccination. Hani would be 60 percent asylanincian immunity.")</f>
        <v>@drfahrettinkoca God Human Hope. Cases are increasing as they make vaccination. Hani would be 60 percent asylanincian immunity.</v>
      </c>
    </row>
    <row r="9441" spans="1:5" ht="15" customHeight="1" x14ac:dyDescent="0.2">
      <c r="A9441" s="1" t="s">
        <v>18752</v>
      </c>
      <c r="B9441" s="1">
        <v>0</v>
      </c>
      <c r="C9441" s="3">
        <v>44536.798726851855</v>
      </c>
      <c r="D9441" s="1" t="s">
        <v>18753</v>
      </c>
      <c r="E9441" s="1" t="str">
        <f ca="1">IFERROR(__xludf.DUMMYFUNCTION("GOOGLETRANSLATE(A6240 , ""tr"" , ""en"")"),"@drfahrettinkoca 3. Open our vaccine appointments now")</f>
        <v>@drfahrettinkoca 3. Open our vaccine appointments now</v>
      </c>
    </row>
    <row r="9442" spans="1:5" ht="15" customHeight="1" x14ac:dyDescent="0.2">
      <c r="A9442" s="1" t="s">
        <v>18754</v>
      </c>
      <c r="B9442" s="1">
        <v>5</v>
      </c>
      <c r="C9442" s="3">
        <v>44536.798634259256</v>
      </c>
      <c r="D9442" s="1" t="s">
        <v>18755</v>
      </c>
      <c r="E9442" s="1" t="str">
        <f ca="1">IFERROR(__xludf.DUMMYFUNCTION("GOOGLETRANSLATE(A6241 , ""tr"" , ""en"")"),"@drfahrettinkoca Mr. @drfahrettinkoca for two years, you have been making my cue to medical haze firms. 2020 and 2021 a ... https://t.co/5s5r69kzxw")</f>
        <v>@drfahrettinkoca Mr. @drfahrettinkoca for two years, you have been making my cue to medical haze firms. 2020 and 2021 a ... https://t.co/5s5r69kzxw</v>
      </c>
    </row>
    <row r="9443" spans="1:5" ht="15" customHeight="1" x14ac:dyDescent="0.2">
      <c r="A9443" s="1" t="s">
        <v>18756</v>
      </c>
      <c r="B9443" s="1">
        <v>2</v>
      </c>
      <c r="C9443" s="3">
        <v>44536.798576388886</v>
      </c>
      <c r="D9443" s="1" t="s">
        <v>18757</v>
      </c>
      <c r="E9443" s="1" t="str">
        <f ca="1">IFERROR(__xludf.DUMMYFUNCTION("GOOGLETRANSLATE(A6242 , ""tr"" , ""en"")"),"@drfahrettinkoca yaaa I swear the head of the head is why you don't understand the ordeal that is seen in this REVA don't make the minister ... https://t.co/xlklbnıpoc")</f>
        <v>@drfahrettinkoca yaaa I swear the head of the head is why you don't understand the ordeal that is seen in this REVA don't make the minister ... https://t.co/xlklbnıpoc</v>
      </c>
    </row>
    <row r="9444" spans="1:5" ht="15" customHeight="1" x14ac:dyDescent="0.2">
      <c r="A9444" s="1" t="s">
        <v>18758</v>
      </c>
      <c r="B9444" s="1">
        <v>0</v>
      </c>
      <c r="C9444" s="3">
        <v>44536.798518518517</v>
      </c>
      <c r="D9444" s="1" t="s">
        <v>18759</v>
      </c>
      <c r="E9444" s="1" t="str">
        <f ca="1">IFERROR(__xludf.DUMMYFUNCTION("GOOGLETRANSLATE(A6243 , ""tr"" , ""en"")"),"@drfahrettinkoca 3. Why don't you open our vaccination appointments? OPEN! May those who want to be their vaccinations. enough")</f>
        <v>@drfahrettinkoca 3. Why don't you open our vaccination appointments? OPEN! May those who want to be their vaccinations. enough</v>
      </c>
    </row>
    <row r="9445" spans="1:5" ht="15" customHeight="1" x14ac:dyDescent="0.2">
      <c r="A9445" s="1" t="s">
        <v>18760</v>
      </c>
      <c r="B9445" s="1">
        <v>18</v>
      </c>
      <c r="C9445" s="3">
        <v>44536.797719907408</v>
      </c>
      <c r="D9445" s="1" t="s">
        <v>18761</v>
      </c>
      <c r="E9445" s="1" t="str">
        <f ca="1">IFERROR(__xludf.DUMMYFUNCTION("GOOGLETRANSLATE(A6244 , ""tr"" , ""en"")"),"@drfahrettinkoca omicron We have not gone in our country You said loosely ruled in the meadow you behaved in school No one mask in schools ... https://t.co/dpnpsquqtg")</f>
        <v>@drfahrettinkoca omicron We have not gone in our country You said loosely ruled in the meadow you behaved in school No one mask in schools ... https://t.co/dpnpsquqtg</v>
      </c>
    </row>
    <row r="9446" spans="1:5" ht="15" customHeight="1" x14ac:dyDescent="0.2">
      <c r="A9446" s="1" t="s">
        <v>18762</v>
      </c>
      <c r="B9446" s="1">
        <v>2</v>
      </c>
      <c r="C9446" s="3">
        <v>44536.797719907408</v>
      </c>
      <c r="D9446" s="1" t="s">
        <v>18763</v>
      </c>
      <c r="E9446" s="1" t="str">
        <f ca="1">IFERROR(__xludf.DUMMYFUNCTION("GOOGLETRANSLATE(A6245 , ""tr"" , ""en"")"),"@drfahrettinkoca Talk to your own name. What we are glad to be, neither are we feel sorry to be now.")</f>
        <v>@drfahrettinkoca Talk to your own name. What we are glad to be, neither are we feel sorry to be now.</v>
      </c>
    </row>
    <row r="9447" spans="1:5" ht="15" customHeight="1" x14ac:dyDescent="0.2">
      <c r="A9447" s="1" t="s">
        <v>18764</v>
      </c>
      <c r="B9447" s="1">
        <v>6</v>
      </c>
      <c r="C9447" s="3">
        <v>44536.796018518522</v>
      </c>
      <c r="D9447" s="1" t="s">
        <v>18765</v>
      </c>
      <c r="E9447" s="1" t="str">
        <f ca="1">IFERROR(__xludf.DUMMYFUNCTION("GOOGLETRANSLATE(A6246 , ""tr"" , ""en"")"),"@drfahrettinkoca Ministers Alooo # CabineUZAKTanEditimsart")</f>
        <v>@drfahrettinkoca Ministers Alooo # CabineUZAKTanEditimsart</v>
      </c>
    </row>
    <row r="9448" spans="1:5" ht="15" customHeight="1" x14ac:dyDescent="0.2">
      <c r="A9448" s="1" t="s">
        <v>18766</v>
      </c>
      <c r="B9448" s="1">
        <v>0</v>
      </c>
      <c r="C9448" s="3">
        <v>44536.795914351853</v>
      </c>
      <c r="D9448" s="1" t="s">
        <v>18767</v>
      </c>
      <c r="E9448" s="1" t="str">
        <f ca="1">IFERROR(__xludf.DUMMYFUNCTION("GOOGLETRANSLATE(A6247 , ""tr"" , ""en"")"),"@drfahrettinkoca @saglikbakanli like no pandemia! Https://t.co/csohbzezfb to the emergency department of Kayseri City Hospital ... https://t.co/csohbzezfb")</f>
        <v>@drfahrettinkoca @saglikbakanli like no pandemia! Https://t.co/csohbzezfb to the emergency department of Kayseri City Hospital ... https://t.co/csohbzezfb</v>
      </c>
    </row>
    <row r="9449" spans="1:5" ht="15" customHeight="1" x14ac:dyDescent="0.2">
      <c r="A9449" s="1" t="s">
        <v>18768</v>
      </c>
      <c r="B9449" s="1">
        <v>0</v>
      </c>
      <c r="C9449" s="3">
        <v>44536.795590277776</v>
      </c>
      <c r="D9449" s="1" t="s">
        <v>18769</v>
      </c>
      <c r="E9449" s="1" t="str">
        <f ca="1">IFERROR(__xludf.DUMMYFUNCTION("GOOGLETRANSLATE(A6248 , ""tr"" , ""en"")"),"@drfahrettinkoca turkiyedah nursing homes with a thousands of biontech raves waiting for your acid ... https://t.co/aqqp048dhw")</f>
        <v>@drfahrettinkoca turkiyedah nursing homes with a thousands of biontech raves waiting for your acid ... https://t.co/aqqp048dhw</v>
      </c>
    </row>
    <row r="9450" spans="1:5" ht="15" customHeight="1" x14ac:dyDescent="0.2">
      <c r="A9450" s="1" t="s">
        <v>18770</v>
      </c>
      <c r="B9450" s="1">
        <v>3</v>
      </c>
      <c r="C9450" s="3">
        <v>44536.795532407406</v>
      </c>
      <c r="D9450" s="1" t="s">
        <v>18771</v>
      </c>
      <c r="E9450" s="1" t="str">
        <f ca="1">IFERROR(__xludf.DUMMYFUNCTION("GOOGLETRANSLATE(A6249 , ""tr"" , ""en"")"),"@drfahrettinkoca Channel D Vaccines made ineffectual description against Omicron and vaccine passport from each country ... https://t.co/f7z9mgu4gn")</f>
        <v>@drfahrettinkoca Channel D Vaccines made ineffectual description against Omicron and vaccine passport from each country ... https://t.co/f7z9mgu4gn</v>
      </c>
    </row>
    <row r="9451" spans="1:5" ht="15" customHeight="1" x14ac:dyDescent="0.2">
      <c r="A9451" s="1" t="s">
        <v>18772</v>
      </c>
      <c r="B9451" s="1">
        <v>0</v>
      </c>
      <c r="C9451" s="3">
        <v>44536.795208333337</v>
      </c>
      <c r="D9451" s="1" t="s">
        <v>18773</v>
      </c>
      <c r="E9451" s="1" t="str">
        <f ca="1">IFERROR(__xludf.DUMMYFUNCTION("GOOGLETRANSLATE(A6250 , ""tr"" , ""en"")"),"@drfahrettinka stop making fun of the nation's mind anymore")</f>
        <v>@drfahrettinka stop making fun of the nation's mind anymore</v>
      </c>
    </row>
    <row r="9452" spans="1:5" ht="15" customHeight="1" x14ac:dyDescent="0.2">
      <c r="A9452" s="1" t="s">
        <v>18774</v>
      </c>
      <c r="B9452" s="1">
        <v>4</v>
      </c>
      <c r="C9452" s="3">
        <v>44536.794745370367</v>
      </c>
      <c r="D9452" s="1" t="s">
        <v>18775</v>
      </c>
      <c r="E9452" s="1" t="str">
        <f ca="1">IFERROR(__xludf.DUMMYFUNCTION("GOOGLETRANSLATE(A6251 , ""tr"" , ""en"")"),"@drfahrettinka open vaccine appointments then what do you stand? No online training, no vaccines, no ventilation !!!! Ö ... https://t.co/z61cfi3sdm")</f>
        <v>@drfahrettinka open vaccine appointments then what do you stand? No online training, no vaccines, no ventilation !!!! Ö ... https://t.co/z61cfi3sdm</v>
      </c>
    </row>
    <row r="9453" spans="1:5" ht="15" customHeight="1" x14ac:dyDescent="0.2">
      <c r="A9453" s="1" t="s">
        <v>18776</v>
      </c>
      <c r="B9453" s="1">
        <v>3</v>
      </c>
      <c r="C9453" s="3">
        <v>44536.793819444443</v>
      </c>
      <c r="D9453" s="1" t="s">
        <v>18777</v>
      </c>
      <c r="E9453" s="1" t="str">
        <f ca="1">IFERROR(__xludf.DUMMYFUNCTION("GOOGLETRANSLATE(A6252 , ""tr"" , ""en"")"),"@drfahrettinkoca is shaken by secret vaccine documents that they have to disclose the world's press by court decision ... https://t.co/qbz6dd8ayh")</f>
        <v>@drfahrettinkoca is shaken by secret vaccine documents that they have to disclose the world's press by court decision ... https://t.co/qbz6dd8ayh</v>
      </c>
    </row>
    <row r="9454" spans="1:5" ht="15" customHeight="1" x14ac:dyDescent="0.2">
      <c r="A9454" s="1" t="s">
        <v>18778</v>
      </c>
      <c r="B9454" s="1">
        <v>41</v>
      </c>
      <c r="C9454" s="3">
        <v>44536.793622685182</v>
      </c>
      <c r="D9454" s="1" t="s">
        <v>18779</v>
      </c>
      <c r="E9454" s="1" t="str">
        <f ca="1">IFERROR(__xludf.DUMMYFUNCTION("GOOGLETRANSLATE(A6253 , ""tr"" , ""en"")"),"@drfahrettinkoca is no need to be sad. Everyone reaps the sowing. It is not, we are upset. Child because of imprudents ... https://t.co/046ks1ypmk")</f>
        <v>@drfahrettinkoca is no need to be sad. Everyone reaps the sowing. It is not, we are upset. Child because of imprudents ... https://t.co/046ks1ypmk</v>
      </c>
    </row>
    <row r="9455" spans="1:5" ht="15" customHeight="1" x14ac:dyDescent="0.2">
      <c r="A9455" s="1" t="s">
        <v>18780</v>
      </c>
      <c r="B9455" s="1">
        <v>10</v>
      </c>
      <c r="C9455" s="3">
        <v>44536.79310185185</v>
      </c>
      <c r="D9455" s="1" t="s">
        <v>18781</v>
      </c>
      <c r="E9455" s="1" t="str">
        <f ca="1">IFERROR(__xludf.DUMMYFUNCTION("GOOGLETRANSLATE(A6254 , ""tr"" , ""en"")"),"@drfahrettinkoca Today I had a very bad shortness of breath. 8 lessons, plus the bus drowns with 10 hours mask a day ... https://t.co/yzoqgo0pwt")</f>
        <v>@drfahrettinkoca Today I had a very bad shortness of breath. 8 lessons, plus the bus drowns with 10 hours mask a day ... https://t.co/yzoqgo0pwt</v>
      </c>
    </row>
    <row r="9456" spans="1:5" ht="15" customHeight="1" x14ac:dyDescent="0.2">
      <c r="A9456" s="1" t="s">
        <v>18782</v>
      </c>
      <c r="B9456" s="1">
        <v>0</v>
      </c>
      <c r="C9456" s="3">
        <v>44536.792858796296</v>
      </c>
      <c r="D9456" s="1" t="s">
        <v>18783</v>
      </c>
      <c r="E9456" s="1" t="str">
        <f ca="1">IFERROR(__xludf.DUMMYFUNCTION("GOOGLETRANSLATE(A6255 , ""tr"" , ""en"")"),"@drfahrettinkoca you don't make the correct information")</f>
        <v>@drfahrettinkoca you don't make the correct information</v>
      </c>
    </row>
    <row r="9457" spans="1:5" ht="15" customHeight="1" x14ac:dyDescent="0.2">
      <c r="A9457" s="1" t="s">
        <v>18784</v>
      </c>
      <c r="B9457" s="1">
        <v>2</v>
      </c>
      <c r="C9457" s="3">
        <v>44536.792685185188</v>
      </c>
      <c r="D9457" s="1" t="s">
        <v>18785</v>
      </c>
      <c r="E9457" s="1" t="str">
        <f ca="1">IFERROR(__xludf.DUMMYFUNCTION("GOOGLETRANSLATE(A6256 , ""tr"" , ""en"")"),"@drfahrettinkoca pihticik neoldu 🤣")</f>
        <v>@drfahrettinkoca pihticik neoldu 🤣</v>
      </c>
    </row>
    <row r="9458" spans="1:5" ht="15" customHeight="1" x14ac:dyDescent="0.2">
      <c r="A9458" s="1" t="s">
        <v>18786</v>
      </c>
      <c r="B9458" s="1">
        <v>0</v>
      </c>
      <c r="C9458" s="3">
        <v>44536.792442129627</v>
      </c>
      <c r="D9458" s="1" t="s">
        <v>18787</v>
      </c>
      <c r="E9458" s="1" t="str">
        <f ca="1">IFERROR(__xludf.DUMMYFUNCTION("GOOGLETRANSLATE(A6257 , ""tr"" , ""en"")"),"@drfahrettinkoca good news, people are waking up !!")</f>
        <v>@drfahrettinkoca good news, people are waking up !!</v>
      </c>
    </row>
    <row r="9459" spans="1:5" ht="15" customHeight="1" x14ac:dyDescent="0.2">
      <c r="A9459" s="1" t="s">
        <v>18788</v>
      </c>
      <c r="B9459" s="1">
        <v>0</v>
      </c>
      <c r="C9459" s="3">
        <v>44536.792326388888</v>
      </c>
      <c r="D9459" s="1" t="s">
        <v>18789</v>
      </c>
      <c r="E9459" s="1" t="str">
        <f ca="1">IFERROR(__xludf.DUMMYFUNCTION("GOOGLETRANSLATE(A6258 , ""tr"" , ""en"")"),"@drfahrettinkoca making no longer left my minister to the following vaccine business why do you insist this much so that you insist on why ... https://t.co/22yvtcjghq")</f>
        <v>@drfahrettinkoca making no longer left my minister to the following vaccine business why do you insist this much so that you insist on why ... https://t.co/22yvtcjghq</v>
      </c>
    </row>
    <row r="9460" spans="1:5" ht="15" customHeight="1" x14ac:dyDescent="0.2">
      <c r="A9460" s="1" t="s">
        <v>18790</v>
      </c>
      <c r="B9460" s="1">
        <v>1</v>
      </c>
      <c r="C9460" s="3">
        <v>44536.792210648149</v>
      </c>
      <c r="D9460" s="1" t="s">
        <v>18791</v>
      </c>
      <c r="E9460" s="1" t="str">
        <f ca="1">IFERROR(__xludf.DUMMYFUNCTION("GOOGLETRANSLATE(A6259 , ""tr"" , ""en"")"),"@drfahrettinkoca vaccine rate increases, why the case rate is increasing or caused by less grafted provinces less in the case rate ... https://t.co/zkvzu4y327")</f>
        <v>@drfahrettinkoca vaccine rate increases, why the case rate is increasing or caused by less grafted provinces less in the case rate ... https://t.co/zkvzu4y327</v>
      </c>
    </row>
    <row r="9461" spans="1:5" ht="15" customHeight="1" x14ac:dyDescent="0.2">
      <c r="A9461" s="1" t="s">
        <v>18792</v>
      </c>
      <c r="B9461" s="1">
        <v>0</v>
      </c>
      <c r="C9461" s="3">
        <v>44536.79215277778</v>
      </c>
      <c r="D9461" s="1" t="s">
        <v>18793</v>
      </c>
      <c r="E9461" s="1" t="str">
        <f ca="1">IFERROR(__xludf.DUMMYFUNCTION("GOOGLETRANSLATE(A6260 , ""tr"" , ""en"")"),"@drfahrettinkoca not to lose our work is hard to make the fucking bar in our nose every week you say every week ... https://t.co/TI3vkq6und")</f>
        <v>@drfahrettinkoca not to lose our work is hard to make the fucking bar in our nose every week you say every week ... https://t.co/TI3vkq6und</v>
      </c>
    </row>
    <row r="9462" spans="1:5" ht="15" customHeight="1" x14ac:dyDescent="0.2">
      <c r="A9462" s="1" t="s">
        <v>18794</v>
      </c>
      <c r="B9462" s="1">
        <v>0</v>
      </c>
      <c r="C9462" s="3">
        <v>44536.791979166665</v>
      </c>
      <c r="D9462" s="1" t="s">
        <v>18795</v>
      </c>
      <c r="E9462" s="1" t="str">
        <f ca="1">IFERROR(__xludf.DUMMYFUNCTION("GOOGLETRANSLATE(A6261 , ""tr"" , ""en"")"),"@drfahrettinkoca is not getting tweeting tweet every evening")</f>
        <v>@drfahrettinkoca is not getting tweeting tweet every evening</v>
      </c>
    </row>
    <row r="9463" spans="1:5" ht="15" customHeight="1" x14ac:dyDescent="0.2">
      <c r="A9463" s="1" t="s">
        <v>18796</v>
      </c>
      <c r="B9463" s="1">
        <v>12</v>
      </c>
      <c r="C9463" s="3">
        <v>44536.79178240741</v>
      </c>
      <c r="D9463" s="1" t="s">
        <v>18797</v>
      </c>
      <c r="E9463" s="1" t="str">
        <f ca="1">IFERROR(__xludf.DUMMYFUNCTION("GOOGLETRANSLATE(A6262 , ""tr"" , ""en"")"),"@drfahrettinkoca people we are humanely living in the conditions we have tered to death")</f>
        <v>@drfahrettinkoca people we are humanely living in the conditions we have tered to death</v>
      </c>
    </row>
    <row r="9464" spans="1:5" ht="15" customHeight="1" x14ac:dyDescent="0.2">
      <c r="A9464" s="1" t="s">
        <v>18798</v>
      </c>
      <c r="B9464" s="1">
        <v>1</v>
      </c>
      <c r="C9464" s="3">
        <v>44536.79105324074</v>
      </c>
      <c r="D9464" s="1" t="s">
        <v>18799</v>
      </c>
      <c r="E9464" s="1" t="str">
        <f ca="1">IFERROR(__xludf.DUMMYFUNCTION("GOOGLETRANSLATE(A6263 , ""tr"" , ""en"")"),"@drfahrettinkoca fahrettin husband's liar")</f>
        <v>@drfahrettinkoca fahrettin husband's liar</v>
      </c>
    </row>
    <row r="9465" spans="1:5" ht="15" customHeight="1" x14ac:dyDescent="0.2">
      <c r="A9465" s="1" t="s">
        <v>18800</v>
      </c>
      <c r="B9465" s="1">
        <v>1</v>
      </c>
      <c r="C9465" s="3">
        <v>44536.790671296294</v>
      </c>
      <c r="D9465" s="1" t="s">
        <v>18801</v>
      </c>
      <c r="E9465" s="1" t="str">
        <f ca="1">IFERROR(__xludf.DUMMYFUNCTION("GOOGLETRANSLATE(A6264 , ""tr"" , ""en"")"),"@drfahrettinkoca No 6 December 2020 Vaccine! Number of tests: 174,761 Cases: 30.402 Number of patients: 6,093 Death: 195 6 Range ... https://t.co/ypkca7cidd")</f>
        <v>@drfahrettinkoca No 6 December 2020 Vaccine! Number of tests: 174,761 Cases: 30.402 Number of patients: 6,093 Death: 195 6 Range ... https://t.co/ypkca7cidd</v>
      </c>
    </row>
    <row r="9466" spans="1:5" ht="15" customHeight="1" x14ac:dyDescent="0.2">
      <c r="A9466" s="1" t="s">
        <v>18802</v>
      </c>
      <c r="B9466" s="1">
        <v>0</v>
      </c>
      <c r="C9466" s="3">
        <v>44536.790555555555</v>
      </c>
      <c r="D9466" s="1" t="s">
        <v>18803</v>
      </c>
      <c r="E9466" s="1" t="str">
        <f ca="1">IFERROR(__xludf.DUMMYFUNCTION("GOOGLETRANSLATE(A6265 , ""tr"" , ""en"")"),"@drfahrettinka Well Mr. Ministry I need to wonder if the opposition is not contaminated in the ruling party of the opposition ... https://t.co/XL46OHWI95")</f>
        <v>@drfahrettinka Well Mr. Ministry I need to wonder if the opposition is not contaminated in the ruling party of the opposition ... https://t.co/XL46OHWI95</v>
      </c>
    </row>
    <row r="9467" spans="1:5" ht="15" customHeight="1" x14ac:dyDescent="0.2">
      <c r="A9467" s="1" t="s">
        <v>18804</v>
      </c>
      <c r="B9467" s="1">
        <v>0</v>
      </c>
      <c r="C9467" s="3">
        <v>44536.790289351855</v>
      </c>
      <c r="D9467" s="1" t="s">
        <v>18805</v>
      </c>
      <c r="E9467" s="1" t="str">
        <f ca="1">IFERROR(__xludf.DUMMYFUNCTION("GOOGLETRANSLATE(A6266 , ""tr"" , ""en"")"),"@drfahrettinkoca sec. My Ministry Unfortunately I will forward the only sentence that left me in amazement today. ""H ... https://t.co/inwcc11emi")</f>
        <v>@drfahrettinkoca sec. My Ministry Unfortunately I will forward the only sentence that left me in amazement today. "H ... https://t.co/inwcc11emi</v>
      </c>
    </row>
    <row r="9468" spans="1:5" ht="15" customHeight="1" x14ac:dyDescent="0.2">
      <c r="A9468" s="1" t="s">
        <v>18806</v>
      </c>
      <c r="B9468" s="1">
        <v>21</v>
      </c>
      <c r="C9468" s="3">
        <v>44536.790173611109</v>
      </c>
      <c r="D9468" s="1" t="s">
        <v>18807</v>
      </c>
      <c r="E9468" s="1" t="str">
        <f ca="1">IFERROR(__xludf.DUMMYFUNCTION("GOOGLETRANSLATE(A6267 , ""tr"" , ""en"")"),"@drfahrettinkoca Turkey What a lovely membrane is a beautiful membrane.")</f>
        <v>@drfahrettinkoca Turkey What a lovely membrane is a beautiful membrane.</v>
      </c>
    </row>
    <row r="9469" spans="1:5" ht="15" customHeight="1" x14ac:dyDescent="0.2">
      <c r="A9469" s="1" t="s">
        <v>18808</v>
      </c>
      <c r="B9469" s="1">
        <v>0</v>
      </c>
      <c r="C9469" s="3">
        <v>44536.789502314816</v>
      </c>
      <c r="D9469" s="1" t="s">
        <v>18809</v>
      </c>
      <c r="E9469" s="1" t="str">
        <f ca="1">IFERROR(__xludf.DUMMYFUNCTION("GOOGLETRANSLATE(A6268 , ""tr"" , ""en"")"),"@drfahrettinkoca Don't happen when you don't be at work, never mind. Elvalim's says, he stretched my style, nickname.")</f>
        <v>@drfahrettinkoca Don't happen when you don't be at work, never mind. Elvalim's says, he stretched my style, nickname.</v>
      </c>
    </row>
    <row r="9470" spans="1:5" ht="15" customHeight="1" x14ac:dyDescent="0.2">
      <c r="A9470" s="1" t="s">
        <v>18810</v>
      </c>
      <c r="B9470" s="1">
        <v>8</v>
      </c>
      <c r="C9470" s="3">
        <v>44536.789490740739</v>
      </c>
      <c r="D9470" s="1" t="s">
        <v>18811</v>
      </c>
      <c r="E9470" s="1" t="str">
        <f ca="1">IFERROR(__xludf.DUMMYFUNCTION("GOOGLETRANSLATE(A6269 , ""tr"" , ""en"")"),"@drfahrettinkoca Where is the vaccination? 3. Turn on 3. Do dose not enough vaccines, no online education decision There is no grade ventilation yo ... https://t.co/2s0gizlopz")</f>
        <v>@drfahrettinkoca Where is the vaccination? 3. Turn on 3. Do dose not enough vaccines, no online education decision There is no grade ventilation yo ... https://t.co/2s0gizlopz</v>
      </c>
    </row>
    <row r="9471" spans="1:5" ht="15" customHeight="1" x14ac:dyDescent="0.2">
      <c r="A9471" s="1" t="s">
        <v>18812</v>
      </c>
      <c r="B9471" s="1">
        <v>0</v>
      </c>
      <c r="C9471" s="3">
        <v>44536.788993055554</v>
      </c>
      <c r="D9471" s="1" t="s">
        <v>18813</v>
      </c>
      <c r="E9471" s="1" t="str">
        <f ca="1">IFERROR(__xludf.DUMMYFUNCTION("GOOGLETRANSLATE(A6270 , ""tr"" , ""en"")"),"@drfahrettinkoca With more people, you have to be aware that you are happy to be aware that you are happy to be a vaccine!")</f>
        <v>@drfahrettinkoca With more people, you have to be aware that you are happy to be aware that you are happy to be a vaccine!</v>
      </c>
    </row>
    <row r="9472" spans="1:5" ht="15" customHeight="1" x14ac:dyDescent="0.2">
      <c r="A9472" s="1" t="s">
        <v>18814</v>
      </c>
      <c r="B9472" s="1">
        <v>1</v>
      </c>
      <c r="C9472" s="3">
        <v>44536.788287037038</v>
      </c>
      <c r="D9472" s="1" t="s">
        <v>18815</v>
      </c>
      <c r="E9472" s="1" t="str">
        <f ca="1">IFERROR(__xludf.DUMMYFUNCTION("GOOGLETRANSLATE(A6271 , ""tr"" , ""en"")"),"@drfahrettinka vaccine has never been more important than dopal beaming only people vaccine representations ... https://t.co/S9IHCV7Jin")</f>
        <v>@drfahrettinka vaccine has never been more important than dopal beaming only people vaccine representations ... https://t.co/S9IHCV7Jin</v>
      </c>
    </row>
    <row r="9473" spans="1:5" ht="15" customHeight="1" x14ac:dyDescent="0.2">
      <c r="A9473" s="1" t="s">
        <v>18816</v>
      </c>
      <c r="B9473" s="1">
        <v>20</v>
      </c>
      <c r="C9473" s="3">
        <v>44536.787766203706</v>
      </c>
      <c r="D9473" s="1" t="s">
        <v>18817</v>
      </c>
      <c r="E9473" s="1" t="str">
        <f ca="1">IFERROR(__xludf.DUMMYFUNCTION("GOOGLETRANSLATE(A6272 , ""tr"" , ""en"")"),"@drfahrettinkoca I will get compensation my lung if my patient will have to mule 8 lesson mask! People we believe in ... https://t.co/0fdyq3vpzu")</f>
        <v>@drfahrettinkoca I will get compensation my lung if my patient will have to mule 8 lesson mask! People we believe in ... https://t.co/0fdyq3vpzu</v>
      </c>
    </row>
    <row r="9474" spans="1:5" ht="15" customHeight="1" x14ac:dyDescent="0.2">
      <c r="A9474" s="1" t="s">
        <v>18818</v>
      </c>
      <c r="B9474" s="1">
        <v>0</v>
      </c>
      <c r="C9474" s="3">
        <v>44536.787638888891</v>
      </c>
      <c r="D9474" s="1" t="s">
        <v>18819</v>
      </c>
      <c r="E9474" s="1" t="str">
        <f ca="1">IFERROR(__xludf.DUMMYFUNCTION("GOOGLETRANSLATE(A6273 , ""tr"" , ""en"")"),"@drfahrettinka I celebrate our 30% provinces of 75%. Don't be fooled with this man's lies")</f>
        <v>@drfahrettinka I celebrate our 30% provinces of 75%. Don't be fooled with this man's lies</v>
      </c>
    </row>
    <row r="9475" spans="1:5" ht="15" customHeight="1" x14ac:dyDescent="0.2">
      <c r="A9475" s="1" t="s">
        <v>18820</v>
      </c>
      <c r="B9475" s="1">
        <v>0</v>
      </c>
      <c r="C9475" s="3">
        <v>44536.786828703705</v>
      </c>
      <c r="D9475" s="1" t="s">
        <v>18821</v>
      </c>
      <c r="E9475" s="1" t="str">
        <f ca="1">IFERROR(__xludf.DUMMYFUNCTION("GOOGLETRANSLATE(A6274 , ""tr"" , ""en"")"),"@drfahrettinkoca Minister Wake up")</f>
        <v>@drfahrettinkoca Minister Wake up</v>
      </c>
    </row>
    <row r="9476" spans="1:5" ht="15" customHeight="1" x14ac:dyDescent="0.2">
      <c r="A9476" s="1" t="s">
        <v>18822</v>
      </c>
      <c r="B9476" s="1">
        <v>0</v>
      </c>
      <c r="C9476" s="3">
        <v>44536.786724537036</v>
      </c>
      <c r="D9476" s="1" t="s">
        <v>18823</v>
      </c>
      <c r="E9476" s="1" t="str">
        <f ca="1">IFERROR(__xludf.DUMMYFUNCTION("GOOGLETRANSLATE(A6275 , ""tr"" , ""en"")"),"@drfahrettinka why do you do 4 dose of overdose ???")</f>
        <v>@drfahrettinka why do you do 4 dose of overdose ???</v>
      </c>
    </row>
    <row r="9477" spans="1:5" ht="15" customHeight="1" x14ac:dyDescent="0.2">
      <c r="A9477" s="1" t="s">
        <v>18824</v>
      </c>
      <c r="B9477" s="1">
        <v>0</v>
      </c>
      <c r="C9477" s="3">
        <v>44536.785925925928</v>
      </c>
      <c r="D9477" s="1" t="s">
        <v>18825</v>
      </c>
      <c r="E9477" s="1" t="str">
        <f ca="1">IFERROR(__xludf.DUMMYFUNCTION("GOOGLETRANSLATE(A6276 , ""tr"" , ""en"")"),"@drfahrettinkoca he he dr hee ..")</f>
        <v>@drfahrettinkoca he he dr hee ..</v>
      </c>
    </row>
    <row r="9478" spans="1:5" ht="15" customHeight="1" x14ac:dyDescent="0.2">
      <c r="A9478" s="1" t="s">
        <v>18826</v>
      </c>
      <c r="B9478" s="1">
        <v>0</v>
      </c>
      <c r="C9478" s="3">
        <v>44536.785902777781</v>
      </c>
      <c r="D9478" s="1" t="s">
        <v>18827</v>
      </c>
      <c r="E9478" s="1" t="str">
        <f ca="1">IFERROR(__xludf.DUMMYFUNCTION("GOOGLETRANSLATE(A6277 , ""tr"" , ""en"")"),"@drfahrettinkoca Simmdi Severe ARCHITECTIONSHIZES MUST MANAGEMENT Yazımis 😒")</f>
        <v>@drfahrettinkoca Simmdi Severe ARCHITECTIONSHIZES MUST MANAGEMENT Yazımis 😒</v>
      </c>
    </row>
    <row r="9479" spans="1:5" ht="15" customHeight="1" x14ac:dyDescent="0.2">
      <c r="A9479" s="1" t="s">
        <v>18828</v>
      </c>
      <c r="B9479" s="1">
        <v>11</v>
      </c>
      <c r="C9479" s="3">
        <v>44536.785671296297</v>
      </c>
      <c r="D9479" s="1" t="s">
        <v>18829</v>
      </c>
      <c r="E9479" s="1" t="str">
        <f ca="1">IFERROR(__xludf.DUMMYFUNCTION("GOOGLETRANSLATE(A6278 , ""tr"" , ""en"")"),"@drfahrettinkoca you still keep the vaccine protects the vaccine without measure without measure never understand what more your vaccine ... https://t.co/1l7oczpeyb")</f>
        <v>@drfahrettinkoca you still keep the vaccine protects the vaccine without measure without measure never understand what more your vaccine ... https://t.co/1l7oczpeyb</v>
      </c>
    </row>
    <row r="9480" spans="1:5" ht="15" customHeight="1" x14ac:dyDescent="0.2">
      <c r="A9480" s="1" t="s">
        <v>18830</v>
      </c>
      <c r="B9480" s="1">
        <v>0</v>
      </c>
      <c r="C9480" s="3">
        <v>44536.785208333335</v>
      </c>
      <c r="D9480" s="1" t="s">
        <v>18831</v>
      </c>
      <c r="E9480" s="1" t="str">
        <f ca="1">IFERROR(__xludf.DUMMYFUNCTION("GOOGLETRANSLATE(A6279 , ""tr"" , ""en"")"),"@drfahrettinkoca Haydin to another door. No concessions to marketers !!!")</f>
        <v>@drfahrettinkoca Haydin to another door. No concessions to marketers !!!</v>
      </c>
    </row>
    <row r="9481" spans="1:5" ht="15" customHeight="1" x14ac:dyDescent="0.2">
      <c r="A9481" s="1" t="s">
        <v>18832</v>
      </c>
      <c r="B9481" s="1">
        <v>2</v>
      </c>
      <c r="C9481" s="3">
        <v>44536.784849537034</v>
      </c>
      <c r="D9481" s="1" t="s">
        <v>18833</v>
      </c>
      <c r="E9481" s="1" t="str">
        <f ca="1">IFERROR(__xludf.DUMMYFUNCTION("GOOGLETRANSLATE(A6280 , ""tr"" , ""en"")"),"@drfahrettinka Mr. Minister I don't believe you. I was kicked out of my job because of the vaccination and PCR imposing.")</f>
        <v>@drfahrettinka Mr. Minister I don't believe you. I was kicked out of my job because of the vaccination and PCR imposing.</v>
      </c>
    </row>
    <row r="9482" spans="1:5" ht="15" customHeight="1" x14ac:dyDescent="0.2">
      <c r="A9482" s="1" t="s">
        <v>18834</v>
      </c>
      <c r="B9482" s="1">
        <v>0</v>
      </c>
      <c r="C9482" s="3">
        <v>44536.784768518519</v>
      </c>
      <c r="D9482" s="1" t="s">
        <v>18835</v>
      </c>
      <c r="E9482" s="1" t="str">
        <f ca="1">IFERROR(__xludf.DUMMYFUNCTION("GOOGLETRANSLATE(A6281 , ""tr"" , ""en"")"),"@drfahrettinka ÂŞI Unable to protect the vaccines that all of the vaccines are all heavy to hope that they do not have something to those who have a vaccine")</f>
        <v>@drfahrettinka ÂŞI Unable to protect the vaccines that all of the vaccines are all heavy to hope that they do not have something to those who have a vaccine</v>
      </c>
    </row>
    <row r="9483" spans="1:5" ht="15" customHeight="1" x14ac:dyDescent="0.2">
      <c r="A9483" s="1" t="s">
        <v>18836</v>
      </c>
      <c r="B9483" s="1">
        <v>25</v>
      </c>
      <c r="C9483" s="3">
        <v>44536.784675925926</v>
      </c>
      <c r="D9483" s="1" t="s">
        <v>18837</v>
      </c>
      <c r="E9483" s="1" t="str">
        <f ca="1">IFERROR(__xludf.DUMMYFUNCTION("GOOGLETRANSLATE(A6282 , ""tr"" , ""en"")"),"@drfahrettinkoca stop vaccination. Remove masks. If the cases do not fall, I promise I'm in the vaccine.")</f>
        <v>@drfahrettinkoca stop vaccination. Remove masks. If the cases do not fall, I promise I'm in the vaccine.</v>
      </c>
    </row>
    <row r="9484" spans="1:5" ht="15" customHeight="1" x14ac:dyDescent="0.2">
      <c r="A9484" s="1" t="s">
        <v>18838</v>
      </c>
      <c r="B9484" s="1">
        <v>0</v>
      </c>
      <c r="C9484" s="3">
        <v>44536.784062500003</v>
      </c>
      <c r="D9484" s="1" t="s">
        <v>18839</v>
      </c>
      <c r="E9484" s="1" t="str">
        <f ca="1">IFERROR(__xludf.DUMMYFUNCTION("GOOGLETRANSLATE(A6283 , ""tr"" , ""en"")"),"@drfahrettinkoca #kronikhastalarıidariizin @saglikbakanligi @sagliklicozum @meb @mebimdestek @tc_icisleri")</f>
        <v>@drfahrettinkoca #kronikhastalarıidariizin @saglikbakanligi @sagliklicozum @meb @mebimdestek @tc_icisleri</v>
      </c>
    </row>
    <row r="9485" spans="1:5" ht="15" customHeight="1" x14ac:dyDescent="0.2">
      <c r="A9485" s="1" t="s">
        <v>18840</v>
      </c>
      <c r="B9485" s="1">
        <v>0</v>
      </c>
      <c r="C9485" s="3">
        <v>44536.783738425926</v>
      </c>
      <c r="D9485" s="1" t="s">
        <v>18841</v>
      </c>
      <c r="E9485" s="1" t="str">
        <f ca="1">IFERROR(__xludf.DUMMYFUNCTION("GOOGLETRANSLATE(A6284 , ""tr"" , ""en"")"),"@drfahrettinkoca TURKEY TEST TEST ie Mutation Test Rate in 10,000 5 This rate in the UK2626 in our Mut ... https://t.co/g61aiI8bhm")</f>
        <v>@drfahrettinkoca TURKEY TEST TEST ie Mutation Test Rate in 10,000 5 This rate in the UK2626 in our Mut ... https://t.co/g61aiI8bhm</v>
      </c>
    </row>
    <row r="9486" spans="1:5" ht="15" customHeight="1" x14ac:dyDescent="0.2">
      <c r="A9486" s="1" t="s">
        <v>18842</v>
      </c>
      <c r="B9486" s="1">
        <v>1</v>
      </c>
      <c r="C9486" s="3">
        <v>44536.783437500002</v>
      </c>
      <c r="D9486" s="1" t="s">
        <v>18843</v>
      </c>
      <c r="E9486" s="1" t="str">
        <f ca="1">IFERROR(__xludf.DUMMYFUNCTION("GOOGLETRANSLATE(A6285 , ""tr"" , ""en"")"),"@drfahrettinkoca is falling in vacation, as if the cases of the cases you want to decrease. What more do you want. I'm not coming to your work.")</f>
        <v>@drfahrettinkoca is falling in vacation, as if the cases of the cases you want to decrease. What more do you want. I'm not coming to your work.</v>
      </c>
    </row>
    <row r="9487" spans="1:5" ht="15" customHeight="1" x14ac:dyDescent="0.2">
      <c r="A9487" s="1" t="s">
        <v>18844</v>
      </c>
      <c r="B9487" s="1">
        <v>0</v>
      </c>
      <c r="C9487" s="3">
        <v>44536.782395833332</v>
      </c>
      <c r="D9487" s="1" t="s">
        <v>18845</v>
      </c>
      <c r="E9487" s="1" t="str">
        <f ca="1">IFERROR(__xludf.DUMMYFUNCTION("GOOGLETRANSLATE(A6286 , ""tr"" , ""en"")"),"@drfahrettinkoca mask scrambling lice is no longer wounding a groove of the fear of the fear of the fear only")</f>
        <v>@drfahrettinkoca mask scrambling lice is no longer wounding a groove of the fear of the fear of the fear only</v>
      </c>
    </row>
    <row r="9488" spans="1:5" ht="15" customHeight="1" x14ac:dyDescent="0.2">
      <c r="A9488" s="1" t="s">
        <v>18846</v>
      </c>
      <c r="B9488" s="1">
        <v>0</v>
      </c>
      <c r="C9488" s="3">
        <v>44536.78197916667</v>
      </c>
      <c r="D9488" s="1" t="s">
        <v>18847</v>
      </c>
      <c r="E9488" s="1" t="str">
        <f ca="1">IFERROR(__xludf.DUMMYFUNCTION("GOOGLETRANSLATE(A6287 , ""tr"" , ""en"")"),"@drfahrettinkoca Mr. Mining 30-40B of the people in a day.")</f>
        <v>@drfahrettinkoca Mr. Mining 30-40B of the people in a day.</v>
      </c>
    </row>
    <row r="9489" spans="1:5" ht="15" customHeight="1" x14ac:dyDescent="0.2">
      <c r="A9489" s="1" t="s">
        <v>18848</v>
      </c>
      <c r="B9489" s="1">
        <v>1</v>
      </c>
      <c r="C9489" s="3">
        <v>44536.781956018516</v>
      </c>
      <c r="D9489" s="1" t="s">
        <v>18849</v>
      </c>
      <c r="E9489" s="1" t="str">
        <f ca="1">IFERROR(__xludf.DUMMYFUNCTION("GOOGLETRANSLATE(A6288 , ""tr"" , ""en"")"),"@drfahrettinkoca who believes in you every word is a lie. Your everything is the film windmill.")</f>
        <v>@drfahrettinkoca who believes in you every word is a lie. Your everything is the film windmill.</v>
      </c>
    </row>
    <row r="9490" spans="1:5" ht="15" customHeight="1" x14ac:dyDescent="0.2">
      <c r="A9490" s="1" t="s">
        <v>18850</v>
      </c>
      <c r="B9490" s="1">
        <v>0</v>
      </c>
      <c r="C9490" s="3">
        <v>44536.781631944446</v>
      </c>
      <c r="D9490" s="1" t="s">
        <v>18851</v>
      </c>
      <c r="E9490" s="1" t="str">
        <f ca="1">IFERROR(__xludf.DUMMYFUNCTION("GOOGLETRANSLATE(A6289 , ""tr"" , ""en"")"),"@drfahrettinkoca is now the absence of severe increases in vaccination, finally the coin fell")</f>
        <v>@drfahrettinkoca is now the absence of severe increases in vaccination, finally the coin fell</v>
      </c>
    </row>
    <row r="9491" spans="1:5" ht="15" customHeight="1" x14ac:dyDescent="0.2">
      <c r="A9491" s="1" t="s">
        <v>18852</v>
      </c>
      <c r="B9491" s="1">
        <v>0</v>
      </c>
      <c r="C9491" s="3">
        <v>44536.781053240738</v>
      </c>
      <c r="D9491" s="1" t="s">
        <v>18853</v>
      </c>
      <c r="E9491" s="1" t="str">
        <f ca="1">IFERROR(__xludf.DUMMYFUNCTION("GOOGLETRANSLATE(A6290 , ""tr"" , ""en"")"),"@drfahrettinkoca Don't play Covid game over the old people who are never a symptom of the elderly or never play Covid game B ... https://t.co/roy667tjbx")</f>
        <v>@drfahrettinkoca Don't play Covid game over the old people who are never a symptom of the elderly or never play Covid game B ... https://t.co/roy667tjbx</v>
      </c>
    </row>
    <row r="9492" spans="1:5" ht="15" customHeight="1" x14ac:dyDescent="0.2">
      <c r="A9492" s="1" t="s">
        <v>18854</v>
      </c>
      <c r="B9492" s="1">
        <v>1</v>
      </c>
      <c r="C9492" s="3">
        <v>44536.779456018521</v>
      </c>
      <c r="D9492" s="1" t="s">
        <v>18855</v>
      </c>
      <c r="E9492" s="1" t="str">
        <f ca="1">IFERROR(__xludf.DUMMYFUNCTION("GOOGLETRANSLATE(A6291 , ""tr"" , ""en"")"),"@drfahrettinkoca so-called Science Board Bengicik Public Wave Gengiyo. Vaccine tiny minnurn pitilants can throw myocarditis ... https://t.co/mbq5zr15sv")</f>
        <v>@drfahrettinkoca so-called Science Board Bengicik Public Wave Gengiyo. Vaccine tiny minnurn pitilants can throw myocarditis ... https://t.co/mbq5zr15sv</v>
      </c>
    </row>
    <row r="9493" spans="1:5" ht="15" customHeight="1" x14ac:dyDescent="0.2">
      <c r="A9493" s="1" t="s">
        <v>18856</v>
      </c>
      <c r="B9493" s="1">
        <v>0</v>
      </c>
      <c r="C9493" s="3">
        <v>44536.779363425929</v>
      </c>
      <c r="D9493" s="1" t="s">
        <v>18857</v>
      </c>
      <c r="E9493" s="1" t="str">
        <f ca="1">IFERROR(__xludf.DUMMYFUNCTION("GOOGLETRANSLATE(A6292 , ""tr"" , ""en"")"),"@drfahrettinkoca Lying Minister A question is afraid to get to television to get answers enough global puppies Allah k ... https://t.co/pae7lmwptg")</f>
        <v>@drfahrettinkoca Lying Minister A question is afraid to get to television to get answers enough global puppies Allah k ... https://t.co/pae7lmwptg</v>
      </c>
    </row>
    <row r="9494" spans="1:5" ht="15" customHeight="1" x14ac:dyDescent="0.2">
      <c r="A9494" s="1" t="s">
        <v>18858</v>
      </c>
      <c r="B9494" s="1">
        <v>2</v>
      </c>
      <c r="C9494" s="3">
        <v>44536.778912037036</v>
      </c>
      <c r="D9494" s="1" t="s">
        <v>18859</v>
      </c>
      <c r="E9494" s="1" t="str">
        <f ca="1">IFERROR(__xludf.DUMMYFUNCTION("GOOGLETRANSLATE(A6293 , ""tr"" , ""en"")"),"@drfahrettinkoca Burdan All I'm calling to Turkey is all the vaccinations of all of you can get rid of the Nolur from the following legislation. Let's move on to the assignment job 😂")</f>
        <v>@drfahrettinkoca Burdan All I'm calling to Turkey is all the vaccinations of all of you can get rid of the Nolur from the following legislation. Let's move on to the assignment job 😂</v>
      </c>
    </row>
    <row r="9495" spans="1:5" ht="15" customHeight="1" x14ac:dyDescent="0.2">
      <c r="A9495" s="1" t="s">
        <v>14239</v>
      </c>
      <c r="B9495" s="1">
        <v>0</v>
      </c>
      <c r="C9495" s="3">
        <v>44536.778587962966</v>
      </c>
      <c r="D9495" s="1" t="s">
        <v>18860</v>
      </c>
      <c r="E9495" s="1" t="str">
        <f ca="1">IFERROR(__xludf.DUMMYFUNCTION("GOOGLETRANSLATE(A6294 , ""tr"" , ""en"")"),"@drfahrettinka https://t.co/l9FIJIJLFR")</f>
        <v>@drfahrettinka https://t.co/l9FIJIJLFR</v>
      </c>
    </row>
    <row r="9496" spans="1:5" ht="15" customHeight="1" x14ac:dyDescent="0.2">
      <c r="A9496" s="1" t="s">
        <v>18861</v>
      </c>
      <c r="B9496" s="1">
        <v>9</v>
      </c>
      <c r="C9496" s="3">
        <v>44536.77853009259</v>
      </c>
      <c r="D9496" s="1" t="s">
        <v>18862</v>
      </c>
      <c r="E9496" s="1" t="str">
        <f ca="1">IFERROR(__xludf.DUMMYFUNCTION("GOOGLETRANSLATE(A6295 , ""tr"" , ""en"")"),"@drfahrettinkoca You're not afraid of 80 million people as you fear an Erdogan, didn't you honor? I wish that sound ... https://t.co/IS63QSMSFL")</f>
        <v>@drfahrettinkoca You're not afraid of 80 million people as you fear an Erdogan, didn't you honor? I wish that sound ... https://t.co/IS63QSMSFL</v>
      </c>
    </row>
    <row r="9497" spans="1:5" ht="15" customHeight="1" x14ac:dyDescent="0.2">
      <c r="A9497" s="1" t="s">
        <v>18863</v>
      </c>
      <c r="B9497" s="1">
        <v>0</v>
      </c>
      <c r="C9497" s="3">
        <v>44536.778333333335</v>
      </c>
      <c r="D9497" s="1" t="s">
        <v>18864</v>
      </c>
      <c r="E9497" s="1" t="str">
        <f ca="1">IFERROR(__xludf.DUMMYFUNCTION("GOOGLETRANSLATE(A6296 , ""tr"" , ""en"")"),"@drfahrettinkoca We have a minister who has not heard of us unfortunately one month has passed over a month of purchase still a silence")</f>
        <v>@drfahrettinkoca We have a minister who has not heard of us unfortunately one month has passed over a month of purchase still a silence</v>
      </c>
    </row>
    <row r="9498" spans="1:5" ht="15" customHeight="1" x14ac:dyDescent="0.2">
      <c r="A9498" s="1" t="s">
        <v>18865</v>
      </c>
      <c r="B9498" s="1">
        <v>0</v>
      </c>
      <c r="C9498" s="3">
        <v>44536.778263888889</v>
      </c>
      <c r="D9498" s="1" t="s">
        <v>18866</v>
      </c>
      <c r="E9498" s="1" t="str">
        <f ca="1">IFERROR(__xludf.DUMMYFUNCTION("GOOGLETRANSLATE(A6297 , ""tr"" , ""en"")"),"@drfahrettinkoca Mr. @kilicdarogluk heard us you have not heard @drfahrettinkoca @gozdekirisciogl @halis_aygun @halis_aygun")</f>
        <v>@drfahrettinkoca Mr. @kilicdarogluk heard us you have not heard @drfahrettinkoca @gozdekirisciogl @halis_aygun @halis_aygun</v>
      </c>
    </row>
    <row r="9499" spans="1:5" ht="15" customHeight="1" x14ac:dyDescent="0.2">
      <c r="A9499" s="1" t="s">
        <v>18867</v>
      </c>
      <c r="B9499" s="1">
        <v>0</v>
      </c>
      <c r="C9499" s="3">
        <v>44536.778101851851</v>
      </c>
      <c r="D9499" s="1" t="s">
        <v>18868</v>
      </c>
      <c r="E9499" s="1" t="str">
        <f ca="1">IFERROR(__xludf.DUMMYFUNCTION("GOOGLETRANSLATE(A6298 , ""tr"" , ""en"")"),"@drfahrettinkoca pendemi we want online training throughout sureco")</f>
        <v>@drfahrettinkoca pendemi we want online training throughout sureco</v>
      </c>
    </row>
    <row r="9500" spans="1:5" ht="15" customHeight="1" x14ac:dyDescent="0.2">
      <c r="A9500" s="1" t="s">
        <v>18869</v>
      </c>
      <c r="B9500" s="1">
        <v>5</v>
      </c>
      <c r="C9500" s="3">
        <v>44536.778032407405</v>
      </c>
      <c r="D9500" s="1" t="s">
        <v>18870</v>
      </c>
      <c r="E9500" s="1" t="str">
        <f ca="1">IFERROR(__xludf.DUMMYFUNCTION("GOOGLETRANSLATE(A6299 , ""tr"" , ""en"")"),"@drfahrettinka auzef exams get online cases too")</f>
        <v>@drfahrettinka auzef exams get online cases too</v>
      </c>
    </row>
    <row r="9501" spans="1:5" ht="15" customHeight="1" x14ac:dyDescent="0.2">
      <c r="A9501" s="1" t="s">
        <v>18871</v>
      </c>
      <c r="B9501" s="1">
        <v>0</v>
      </c>
      <c r="C9501" s="3">
        <v>44536.777951388889</v>
      </c>
      <c r="D9501" s="1" t="s">
        <v>18872</v>
      </c>
      <c r="E9501" s="1" t="str">
        <f ca="1">IFERROR(__xludf.DUMMYFUNCTION("GOOGLETRANSLATE(A6300 , ""tr"" , ""en"")"),"@drfahrettinkoca I have never been vaccinated. Covido I haven't been too or Superman?")</f>
        <v>@drfahrettinkoca I have never been vaccinated. Covido I haven't been too or Superman?</v>
      </c>
    </row>
    <row r="9502" spans="1:5" ht="15" customHeight="1" x14ac:dyDescent="0.2">
      <c r="A9502" s="1" t="s">
        <v>18873</v>
      </c>
      <c r="B9502" s="1">
        <v>1</v>
      </c>
      <c r="C9502" s="3">
        <v>44536.777928240743</v>
      </c>
      <c r="D9502" s="1" t="s">
        <v>18874</v>
      </c>
      <c r="E9502" s="1" t="str">
        <f ca="1">IFERROR(__xludf.DUMMYFUNCTION("GOOGLETRANSLATE(A6301 , ""tr"" , ""en"")"),"@drfahrettinka vaccine If you are injecting water, I swear more contribution. Lots of schools ... https://t.co/ddnpsohczh")</f>
        <v>@drfahrettinka vaccine If you are injecting water, I swear more contribution. Lots of schools ... https://t.co/ddnpsohczh</v>
      </c>
    </row>
    <row r="9503" spans="1:5" ht="15" customHeight="1" x14ac:dyDescent="0.2">
      <c r="A9503" s="1" t="s">
        <v>18875</v>
      </c>
      <c r="B9503" s="1">
        <v>0</v>
      </c>
      <c r="C9503" s="3">
        <v>44536.777916666666</v>
      </c>
      <c r="D9503" s="1" t="s">
        <v>18876</v>
      </c>
      <c r="E9503" s="1" t="str">
        <f ca="1">IFERROR(__xludf.DUMMYFUNCTION("GOOGLETRANSLATE(A6302 , ""tr"" , ""en"")"),"@drfahrettinka vaccine opponents be the bride this time man and the vaccine is a proof that the vaccine killed people ... https://t.co/lyo4venIQ2")</f>
        <v>@drfahrettinka vaccine opponents be the bride this time man and the vaccine is a proof that the vaccine killed people ... https://t.co/lyo4venIQ2</v>
      </c>
    </row>
    <row r="9504" spans="1:5" ht="15" customHeight="1" x14ac:dyDescent="0.2">
      <c r="A9504" s="1" t="s">
        <v>18877</v>
      </c>
      <c r="B9504" s="1">
        <v>0</v>
      </c>
      <c r="C9504" s="3">
        <v>44536.777916666666</v>
      </c>
      <c r="D9504" s="1" t="s">
        <v>18878</v>
      </c>
      <c r="E9504" s="1" t="str">
        <f ca="1">IFERROR(__xludf.DUMMYFUNCTION("GOOGLETRANSLATE(A6303 , ""tr"" , ""en"")"),"@drfahrettinkoca but cases also decreases when the vaccination speed is reduced? Is this not better, Mr. Minister? Or the original a ... https://t.co/txpghyhfsv")</f>
        <v>@drfahrettinkoca but cases also decreases when the vaccination speed is reduced? Is this not better, Mr. Minister? Or the original a ... https://t.co/txpghyhfsv</v>
      </c>
    </row>
    <row r="9505" spans="1:5" ht="15" customHeight="1" x14ac:dyDescent="0.2">
      <c r="A9505" s="1" t="s">
        <v>18879</v>
      </c>
      <c r="B9505" s="1">
        <v>0</v>
      </c>
      <c r="C9505" s="3">
        <v>44536.777731481481</v>
      </c>
      <c r="D9505" s="1" t="s">
        <v>18880</v>
      </c>
      <c r="E9505" s="1" t="str">
        <f ca="1">IFERROR(__xludf.DUMMYFUNCTION("GOOGLETRANSLATE(A6304 , ""tr"" , ""en"")"),"@drfahrettinkoca We want our online education")</f>
        <v>@drfahrettinkoca We want our online education</v>
      </c>
    </row>
    <row r="9506" spans="1:5" ht="15" customHeight="1" x14ac:dyDescent="0.2">
      <c r="A9506" s="1" t="s">
        <v>18881</v>
      </c>
      <c r="B9506" s="1">
        <v>1</v>
      </c>
      <c r="C9506" s="3">
        <v>44536.777615740742</v>
      </c>
      <c r="D9506" s="1" t="s">
        <v>18882</v>
      </c>
      <c r="E9506" s="1" t="str">
        <f ca="1">IFERROR(__xludf.DUMMYFUNCTION("GOOGLETRANSLATE(A6305 , ""tr"" , ""en"")"),"@drfahrettinkoca Lutfen We are asking to the Granny of the Cheerki Real")</f>
        <v>@drfahrettinkoca Lutfen We are asking to the Granny of the Cheerki Real</v>
      </c>
    </row>
    <row r="9507" spans="1:5" ht="15" customHeight="1" x14ac:dyDescent="0.2">
      <c r="A9507" s="1" t="s">
        <v>18883</v>
      </c>
      <c r="B9507" s="1">
        <v>1</v>
      </c>
      <c r="C9507" s="3">
        <v>44536.777557870373</v>
      </c>
      <c r="D9507" s="1" t="s">
        <v>18884</v>
      </c>
      <c r="E9507" s="1" t="str">
        <f ca="1">IFERROR(__xludf.DUMMYFUNCTION("GOOGLETRANSLATE(A6306 , ""tr"" , ""en"")"),"@drfahrettinkoca BI You have not been able to attack Sagilikcilar Hawps on the side of the healthman who believes in the side of the Https://t.co/15rspzm2bh")</f>
        <v>@drfahrettinkoca BI You have not been able to attack Sagilikcilar Hawps on the side of the healthman who believes in the side of the Https://t.co/15rspzm2bh</v>
      </c>
    </row>
    <row r="9508" spans="1:5" ht="15" customHeight="1" x14ac:dyDescent="0.2">
      <c r="A9508" s="1" t="s">
        <v>18885</v>
      </c>
      <c r="B9508" s="1">
        <v>3</v>
      </c>
      <c r="C9508" s="3">
        <v>44536.77753472222</v>
      </c>
      <c r="D9508" s="1" t="s">
        <v>18886</v>
      </c>
      <c r="E9508" s="1" t="str">
        <f ca="1">IFERROR(__xludf.DUMMYFUNCTION("GOOGLETRANSLATE(A6307 , ""tr"" , ""en"")"),"@drfahrettinkoca Omicron, Omicron U heard? Countries do you have an email closing one by one? Measure and Restraint ... https://t.co/ctyvs6uja6")</f>
        <v>@drfahrettinkoca Omicron, Omicron U heard? Countries do you have an email closing one by one? Measure and Restraint ... https://t.co/ctyvs6uja6</v>
      </c>
    </row>
    <row r="9509" spans="1:5" ht="15" customHeight="1" x14ac:dyDescent="0.2">
      <c r="A9509" s="1" t="s">
        <v>18887</v>
      </c>
      <c r="B9509" s="1">
        <v>0</v>
      </c>
      <c r="C9509" s="3">
        <v>44536.777499999997</v>
      </c>
      <c r="D9509" s="1" t="s">
        <v>18888</v>
      </c>
      <c r="E9509" s="1" t="str">
        <f ca="1">IFERROR(__xludf.DUMMYFUNCTION("GOOGLETRANSLATE(A6308 , ""tr"" , ""en"")"),"@drfahrettinkoca Book your Guide Branch Distribution Mr Minister .. # ÖSYM #halis_aygun")</f>
        <v>@drfahrettinkoca Book your Guide Branch Distribution Mr Minister .. # ÖSYM #halis_aygun</v>
      </c>
    </row>
    <row r="9510" spans="1:5" ht="15" customHeight="1" x14ac:dyDescent="0.2">
      <c r="A9510" s="1" t="s">
        <v>18889</v>
      </c>
      <c r="B9510" s="1">
        <v>1</v>
      </c>
      <c r="C9510" s="3">
        <v>44536.777222222219</v>
      </c>
      <c r="D9510" s="1" t="s">
        <v>18890</v>
      </c>
      <c r="E9510" s="1" t="str">
        <f ca="1">IFERROR(__xludf.DUMMYFUNCTION("GOOGLETRANSLATE(A6309 , ""tr"" , ""en"")"),"@drfahrettinkoca Dear Minister Hear the voice of students. # CabineticsLineline")</f>
        <v>@drfahrettinkoca Dear Minister Hear the voice of students. # CabineticsLineline</v>
      </c>
    </row>
    <row r="9511" spans="1:5" ht="15" customHeight="1" x14ac:dyDescent="0.2">
      <c r="A9511" s="1" t="s">
        <v>18891</v>
      </c>
      <c r="B9511" s="1">
        <v>0</v>
      </c>
      <c r="C9511" s="3">
        <v>44536.775810185187</v>
      </c>
      <c r="D9511" s="1" t="s">
        <v>18892</v>
      </c>
      <c r="E9511" s="1" t="str">
        <f ca="1">IFERROR(__xludf.DUMMYFUNCTION("GOOGLETRANSLATE(A6310 , ""tr"" , ""en"")"),"@drfahrettinkoca consider a health minister and the most remote authority to politics. She is no longer being trusted even.")</f>
        <v>@drfahrettinkoca consider a health minister and the most remote authority to politics. She is no longer being trusted even.</v>
      </c>
    </row>
    <row r="9512" spans="1:5" ht="15" customHeight="1" x14ac:dyDescent="0.2">
      <c r="A9512" s="1" t="s">
        <v>18893</v>
      </c>
      <c r="B9512" s="1">
        <v>0</v>
      </c>
      <c r="C9512" s="3">
        <v>44536.775810185187</v>
      </c>
      <c r="D9512" s="1" t="s">
        <v>18894</v>
      </c>
      <c r="E9512" s="1" t="str">
        <f ca="1">IFERROR(__xludf.DUMMYFUNCTION("GOOGLETRANSLATE(A6311 , ""tr"" , ""en"")"),"@drfahrettinkoca ?????")</f>
        <v>@drfahrettinkoca ?????</v>
      </c>
    </row>
    <row r="9513" spans="1:5" ht="15" customHeight="1" x14ac:dyDescent="0.2">
      <c r="A9513" s="1" t="s">
        <v>18895</v>
      </c>
      <c r="B9513" s="1">
        <v>0</v>
      </c>
      <c r="C9513" s="3">
        <v>44536.775578703702</v>
      </c>
      <c r="D9513" s="1" t="s">
        <v>18896</v>
      </c>
      <c r="E9513" s="1" t="str">
        <f ca="1">IFERROR(__xludf.DUMMYFUNCTION("GOOGLETRANSLATE(A6312 , ""tr"" , ""en"")"),"@drfahrettinkoca lan bi fikturgit")</f>
        <v>@drfahrettinkoca lan bi fikturgit</v>
      </c>
    </row>
    <row r="9514" spans="1:5" ht="15" customHeight="1" x14ac:dyDescent="0.2">
      <c r="A9514" s="1" t="s">
        <v>18897</v>
      </c>
      <c r="B9514" s="1">
        <v>6</v>
      </c>
      <c r="C9514" s="3">
        <v>44536.775358796294</v>
      </c>
      <c r="D9514" s="1" t="s">
        <v>18898</v>
      </c>
      <c r="E9514" s="1" t="str">
        <f ca="1">IFERROR(__xludf.DUMMYFUNCTION("GOOGLETRANSLATE(A6313 , ""tr"" , ""en"")"),"@drfahrettinka you and your Typical never trust https://t.co/ck0uyu67fo")</f>
        <v>@drfahrettinka you and your Typical never trust https://t.co/ck0uyu67fo</v>
      </c>
    </row>
    <row r="9515" spans="1:5" ht="15" customHeight="1" x14ac:dyDescent="0.2">
      <c r="A9515" s="1" t="s">
        <v>18899</v>
      </c>
      <c r="B9515" s="1">
        <v>6</v>
      </c>
      <c r="C9515" s="3">
        <v>44536.775069444448</v>
      </c>
      <c r="D9515" s="1" t="s">
        <v>18900</v>
      </c>
      <c r="E9515" s="1" t="str">
        <f ca="1">IFERROR(__xludf.DUMMYFUNCTION("GOOGLETRANSLATE(A6314 , ""tr"" , ""en"")"),"@drfahrettinkoca yoo I have never heard of happiness. I was sad to the contrary, then the construction I was saying I'm wrong.")</f>
        <v>@drfahrettinkoca yoo I have never heard of happiness. I was sad to the contrary, then the construction I was saying I'm wrong.</v>
      </c>
    </row>
    <row r="9516" spans="1:5" ht="15" customHeight="1" x14ac:dyDescent="0.2">
      <c r="A9516" s="1" t="s">
        <v>18901</v>
      </c>
      <c r="B9516" s="1">
        <v>0</v>
      </c>
      <c r="C9516" s="3">
        <v>44536.774976851855</v>
      </c>
      <c r="D9516" s="1" t="s">
        <v>18902</v>
      </c>
      <c r="E9516" s="1" t="str">
        <f ca="1">IFERROR(__xludf.DUMMYFUNCTION("GOOGLETRANSLATE(A6315 , ""tr"" , ""en"")"),"@drfahrettinkoca thing minister # Since there is healthcyclargret, the rate of vaccination may fall a little")</f>
        <v>@drfahrettinkoca thing minister # Since there is healthcyclargret, the rate of vaccination may fall a little</v>
      </c>
    </row>
    <row r="9517" spans="1:5" ht="15" customHeight="1" x14ac:dyDescent="0.2">
      <c r="A9517" s="1" t="s">
        <v>18903</v>
      </c>
      <c r="B9517" s="1">
        <v>1</v>
      </c>
      <c r="C9517" s="3">
        <v>44536.774675925924</v>
      </c>
      <c r="D9517" s="1" t="s">
        <v>18904</v>
      </c>
      <c r="E9517" s="1" t="str">
        <f ca="1">IFERROR(__xludf.DUMMYFUNCTION("GOOGLETRANSLATE(A6316 , ""tr"" , ""en"")"),"@drfahrettinkoca single vaccine ... If the vaccine keeps so much why do you do online meeting? Don't protect the vaccine ... https://t.co/sdlidbyayb")</f>
        <v>@drfahrettinkoca single vaccine ... If the vaccine keeps so much why do you do online meeting? Don't protect the vaccine ... https://t.co/sdlidbyayb</v>
      </c>
    </row>
    <row r="9518" spans="1:5" ht="15" customHeight="1" x14ac:dyDescent="0.2">
      <c r="A9518" s="1" t="s">
        <v>18905</v>
      </c>
      <c r="B9518" s="1">
        <v>0</v>
      </c>
      <c r="C9518" s="3">
        <v>44536.774629629632</v>
      </c>
      <c r="D9518" s="1" t="s">
        <v>18906</v>
      </c>
      <c r="E9518" s="1" t="str">
        <f ca="1">IFERROR(__xludf.DUMMYFUNCTION("GOOGLETRANSLATE(A6317 , ""tr"" , ""en"")"),"@drfahrettinkoca Dear Ministry of Nurses Stay separately from children in the period of nurses, tackled with guirty patients ... https://t.co/fkrt42ieqp")</f>
        <v>@drfahrettinkoca Dear Ministry of Nurses Stay separately from children in the period of nurses, tackled with guirty patients ... https://t.co/fkrt42ieqp</v>
      </c>
    </row>
    <row r="9519" spans="1:5" ht="15" customHeight="1" x14ac:dyDescent="0.2">
      <c r="A9519" s="1" t="s">
        <v>18907</v>
      </c>
      <c r="B9519" s="1">
        <v>0</v>
      </c>
      <c r="C9519" s="3">
        <v>44536.774606481478</v>
      </c>
      <c r="D9519" s="1" t="s">
        <v>18908</v>
      </c>
      <c r="E9519" s="1" t="str">
        <f ca="1">IFERROR(__xludf.DUMMYFUNCTION("GOOGLETRANSLATE(A6318 , ""tr"" , ""en"")"),"@drfahrettinkoca guya thousands of test Hergun where and who do you are doing HiCli logic this counts D ... HTTPS://T.CO/QOIOphkodw")</f>
        <v>@drfahrettinkoca guya thousands of test Hergun where and who do you are doing HiCli logic this counts D ... HTTPS://T.CO/QOIOphkodw</v>
      </c>
    </row>
    <row r="9520" spans="1:5" ht="15" customHeight="1" x14ac:dyDescent="0.2">
      <c r="A9520" s="1" t="s">
        <v>18909</v>
      </c>
      <c r="B9520" s="1">
        <v>9</v>
      </c>
      <c r="C9520" s="3">
        <v>44536.774548611109</v>
      </c>
      <c r="D9520" s="1" t="s">
        <v>18910</v>
      </c>
      <c r="E9520" s="1" t="str">
        <f ca="1">IFERROR(__xludf.DUMMYFUNCTION("GOOGLETRANSLATE(A6319 , ""tr"" , ""en"")"),"@drfahrettinka past the weekend went on twenties again")</f>
        <v>@drfahrettinka past the weekend went on twenties again</v>
      </c>
    </row>
    <row r="9521" spans="1:5" ht="15" customHeight="1" x14ac:dyDescent="0.2">
      <c r="A9521" s="1" t="s">
        <v>16832</v>
      </c>
      <c r="B9521" s="1">
        <v>3</v>
      </c>
      <c r="C9521" s="3">
        <v>44536.774340277778</v>
      </c>
      <c r="D9521" s="1" t="s">
        <v>18911</v>
      </c>
      <c r="E9521" s="1" t="str">
        <f ca="1">IFERROR(__xludf.DUMMYFUNCTION("GOOGLETRANSLATE(A6320 , ""tr"" , ""en"")"),"@drfahrettinkoca # kabineuzaktanılitimsart")</f>
        <v>@drfahrettinkoca # kabineuzaktanılitimsart</v>
      </c>
    </row>
    <row r="9522" spans="1:5" ht="15" customHeight="1" x14ac:dyDescent="0.2">
      <c r="A9522" s="1" t="s">
        <v>18912</v>
      </c>
      <c r="B9522" s="1">
        <v>1</v>
      </c>
      <c r="C9522" s="3">
        <v>44536.77416666667</v>
      </c>
      <c r="D9522" s="1" t="s">
        <v>18913</v>
      </c>
      <c r="E9522" s="1" t="str">
        <f ca="1">IFERROR(__xludf.DUMMYFUNCTION("GOOGLETRANSLATE(A6321 , ""tr"" , ""en"")"),"@drfahrettinkoca Folk PCR You don't go to the country of interest, while you are putting out of turtle-free touristy to the country? https://t.co/jddjwkovbo")</f>
        <v>@drfahrettinkoca Folk PCR You don't go to the country of interest, while you are putting out of turtle-free touristy to the country? https://t.co/jddjwkovbo</v>
      </c>
    </row>
    <row r="9523" spans="1:5" ht="15" customHeight="1" x14ac:dyDescent="0.2">
      <c r="A9523" s="1" t="s">
        <v>18914</v>
      </c>
      <c r="B9523" s="1">
        <v>0</v>
      </c>
      <c r="C9523" s="3">
        <v>44536.774004629631</v>
      </c>
      <c r="D9523" s="1" t="s">
        <v>18915</v>
      </c>
      <c r="E9523" s="1" t="str">
        <f ca="1">IFERROR(__xludf.DUMMYFUNCTION("GOOGLETRANSLATE(A6322 , ""tr"" , ""en"")"),"@drfahrettinkoca Fahrettin husband. When you become aware of the vaccination rate, the number of deaths decreases. Vaccine and PCR ... https://t.co/knarexvc3v")</f>
        <v>@drfahrettinkoca Fahrettin husband. When you become aware of the vaccination rate, the number of deaths decreases. Vaccine and PCR ... https://t.co/knarexvc3v</v>
      </c>
    </row>
    <row r="9524" spans="1:5" ht="15" customHeight="1" x14ac:dyDescent="0.2">
      <c r="A9524" s="1" t="s">
        <v>18916</v>
      </c>
      <c r="B9524" s="1">
        <v>0</v>
      </c>
      <c r="C9524" s="3">
        <v>44536.773796296293</v>
      </c>
      <c r="D9524" s="1" t="s">
        <v>18917</v>
      </c>
      <c r="E9524" s="1" t="str">
        <f ca="1">IFERROR(__xludf.DUMMYFUNCTION("GOOGLETRANSLATE(A6323 , ""tr"" , ""en"")"),"@drfahrettinka you are not domestic.")</f>
        <v>@drfahrettinka you are not domestic.</v>
      </c>
    </row>
    <row r="9525" spans="1:5" ht="15" customHeight="1" x14ac:dyDescent="0.2">
      <c r="A9525" s="1" t="s">
        <v>18918</v>
      </c>
      <c r="B9525" s="1">
        <v>0</v>
      </c>
      <c r="C9525" s="3">
        <v>44536.772268518522</v>
      </c>
      <c r="D9525" s="1" t="s">
        <v>18919</v>
      </c>
      <c r="E9525" s="1" t="str">
        <f ca="1">IFERROR(__xludf.DUMMYFUNCTION("GOOGLETRANSLATE(A6324 , ""tr"" , ""en"")"),"@drfahrettinkoca # 40binatamayiyapkilicdaroglu @drfahrettinkoca")</f>
        <v>@drfahrettinkoca # 40binatamayiyapkilicdaroglu @drfahrettinkoca</v>
      </c>
    </row>
    <row r="9526" spans="1:5" ht="15" customHeight="1" x14ac:dyDescent="0.2">
      <c r="A9526" s="1" t="s">
        <v>18920</v>
      </c>
      <c r="B9526" s="1">
        <v>0</v>
      </c>
      <c r="C9526" s="3">
        <v>44536.772141203706</v>
      </c>
      <c r="D9526" s="1" t="s">
        <v>18921</v>
      </c>
      <c r="E9526" s="1" t="str">
        <f ca="1">IFERROR(__xludf.DUMMYFUNCTION("GOOGLETRANSLATE(A6325 , ""tr"" , ""en"")"),"@drfahrettinkoca vaccine to work if the case number would be zero, the vaccine does not work that the case numbers are increasing")</f>
        <v>@drfahrettinkoca vaccine to work if the case number would be zero, the vaccine does not work that the case numbers are increasing</v>
      </c>
    </row>
    <row r="9527" spans="1:5" ht="15" customHeight="1" x14ac:dyDescent="0.2">
      <c r="A9527" s="1" t="s">
        <v>18922</v>
      </c>
      <c r="B9527" s="1">
        <v>1</v>
      </c>
      <c r="C9527" s="3">
        <v>44536.772118055553</v>
      </c>
      <c r="D9527" s="1" t="s">
        <v>18923</v>
      </c>
      <c r="E9527" s="1" t="str">
        <f ca="1">IFERROR(__xludf.DUMMYFUNCTION("GOOGLETRANSLATE(A6326 , ""tr"" , ""en"")"),"@drfahrettinkoca waiting forward to the end of Allah CC permission to be praying by believing by belive in the power you believe in us ... https://t.co/pdppvfqbj5")</f>
        <v>@drfahrettinkoca waiting forward to the end of Allah CC permission to be praying by believing by belive in the power you believe in us ... https://t.co/pdppvfqbj5</v>
      </c>
    </row>
    <row r="9528" spans="1:5" ht="15" customHeight="1" x14ac:dyDescent="0.2">
      <c r="A9528" s="1" t="s">
        <v>18924</v>
      </c>
      <c r="B9528" s="1">
        <v>113</v>
      </c>
      <c r="C9528" s="3">
        <v>44536.771863425929</v>
      </c>
      <c r="D9528" s="1" t="s">
        <v>18925</v>
      </c>
      <c r="E9528" s="1" t="str">
        <f ca="1">IFERROR(__xludf.DUMMYFUNCTION("GOOGLETRANSLATE(A6327 , ""tr"" , ""en"")"),"@drfahrettinka is not task to be inoculated !!!! Exit of the mouth of the ears to hear the Mr. Minister, the individual's society against the society ... https://t.co/fc8hn1cwwd")</f>
        <v>@drfahrettinka is not task to be inoculated !!!! Exit of the mouth of the ears to hear the Mr. Minister, the individual's society against the society ... https://t.co/fc8hn1cwwd</v>
      </c>
    </row>
    <row r="9529" spans="1:5" ht="15" customHeight="1" x14ac:dyDescent="0.2">
      <c r="A9529" s="1" t="s">
        <v>18926</v>
      </c>
      <c r="B9529" s="1">
        <v>0</v>
      </c>
      <c r="C9529" s="3">
        <v>44536.771620370368</v>
      </c>
      <c r="D9529" s="1" t="s">
        <v>18927</v>
      </c>
      <c r="E9529" s="1" t="str">
        <f ca="1">IFERROR(__xludf.DUMMYFUNCTION("GOOGLETRANSLATE(A6328 , ""tr"" , ""en"")"),"@drfahrettinka vaccine is also double dose vaccine and how to work from home from home to the field to the field to the field to the field ... https://t.co/OS1GITQSYS")</f>
        <v>@drfahrettinka vaccine is also double dose vaccine and how to work from home from home to the field to the field to the field to the field ... https://t.co/OS1GITQSYS</v>
      </c>
    </row>
    <row r="9530" spans="1:5" ht="15" customHeight="1" x14ac:dyDescent="0.2">
      <c r="A9530" s="1" t="s">
        <v>18928</v>
      </c>
      <c r="B9530" s="1">
        <v>0</v>
      </c>
      <c r="C9530" s="3">
        <v>44536.771620370368</v>
      </c>
      <c r="D9530" s="1" t="s">
        <v>18929</v>
      </c>
      <c r="E9530" s="1" t="str">
        <f ca="1">IFERROR(__xludf.DUMMYFUNCTION("GOOGLETRANSLATE(A6329 , ""tr"" , ""en"")"),"@drfahrettinkoca Based on the water's boiling HADI insallahhh")</f>
        <v>@drfahrettinkoca Based on the water's boiling HADI insallahhh</v>
      </c>
    </row>
    <row r="9531" spans="1:5" ht="15" customHeight="1" x14ac:dyDescent="0.2">
      <c r="A9531" s="1" t="s">
        <v>18930</v>
      </c>
      <c r="B9531" s="1">
        <v>0</v>
      </c>
      <c r="C9531" s="3">
        <v>44536.771597222221</v>
      </c>
      <c r="D9531" s="1" t="s">
        <v>18931</v>
      </c>
      <c r="E9531" s="1" t="str">
        <f ca="1">IFERROR(__xludf.DUMMYFUNCTION("GOOGLETRANSLATE(A6330 , ""tr"" , ""en"")"),"@drfahrettinkoca Thanks to my eye open new digan I don't make my babe even rebellious I wish I was making 11 years ago Health Minister ... https://t.co/tjjk0oppot")</f>
        <v>@drfahrettinkoca Thanks to my eye open new digan I don't make my babe even rebellious I wish I was making 11 years ago Health Minister ... https://t.co/tjjk0oppot</v>
      </c>
    </row>
    <row r="9532" spans="1:5" ht="15" customHeight="1" x14ac:dyDescent="0.2">
      <c r="A9532" s="1" t="s">
        <v>18932</v>
      </c>
      <c r="B9532" s="1">
        <v>0</v>
      </c>
      <c r="C9532" s="3">
        <v>44536.77071759259</v>
      </c>
      <c r="D9532" s="1" t="s">
        <v>18933</v>
      </c>
      <c r="E9532" s="1" t="str">
        <f ca="1">IFERROR(__xludf.DUMMYFUNCTION("GOOGLETRANSLATE(A6331 , ""tr"" , ""en"")"),"@drfahrettinka https://t.co/zqohIfrwn3")</f>
        <v>@drfahrettinka https://t.co/zqohIfrwn3</v>
      </c>
    </row>
    <row r="9533" spans="1:5" ht="15" customHeight="1" x14ac:dyDescent="0.2">
      <c r="A9533" s="1" t="s">
        <v>18934</v>
      </c>
      <c r="B9533" s="1">
        <v>0</v>
      </c>
      <c r="C9533" s="3">
        <v>44536.770520833335</v>
      </c>
      <c r="D9533" s="1" t="s">
        <v>18935</v>
      </c>
      <c r="E9533" s="1" t="str">
        <f ca="1">IFERROR(__xludf.DUMMYFUNCTION("GOOGLETRANSLATE(A6332 , ""tr"" , ""en"")"),"@drfahrettinkoca What did you say now? Did you tell me about the money stamp? The Ministry of Health ...")</f>
        <v>@drfahrettinkoca What did you say now? Did you tell me about the money stamp? The Ministry of Health ...</v>
      </c>
    </row>
    <row r="9534" spans="1:5" ht="15" customHeight="1" x14ac:dyDescent="0.2">
      <c r="A9534" s="1" t="s">
        <v>18936</v>
      </c>
      <c r="B9534" s="1">
        <v>3</v>
      </c>
      <c r="C9534" s="3">
        <v>44536.770428240743</v>
      </c>
      <c r="D9534" s="1" t="s">
        <v>18937</v>
      </c>
      <c r="E9534" s="1" t="str">
        <f ca="1">IFERROR(__xludf.DUMMYFUNCTION("GOOGLETRANSLATE(A6333 , ""tr"" , ""en"")"),"@drfahrettinka vaccine not a liquid vaccine that you have used people as subjects and no responsibility ... https://t.co/4z04y8xbcn")</f>
        <v>@drfahrettinka vaccine not a liquid vaccine that you have used people as subjects and no responsibility ... https://t.co/4z04y8xbcn</v>
      </c>
    </row>
    <row r="9535" spans="1:5" ht="15" customHeight="1" x14ac:dyDescent="0.2">
      <c r="A9535" s="1" t="s">
        <v>18938</v>
      </c>
      <c r="B9535" s="1">
        <v>17</v>
      </c>
      <c r="C9535" s="3">
        <v>44536.770011574074</v>
      </c>
      <c r="D9535" s="1" t="s">
        <v>18939</v>
      </c>
      <c r="E9535" s="1" t="str">
        <f ca="1">IFERROR(__xludf.DUMMYFUNCTION("GOOGLETRANSLATE(A6334 , ""tr"" , ""en"")"),"@drfahrettinkoca came to vaccination stopping point parallel case and death numbers also decreased.")</f>
        <v>@drfahrettinkoca came to vaccination stopping point parallel case and death numbers also decreased.</v>
      </c>
    </row>
    <row r="9536" spans="1:5" ht="15" customHeight="1" x14ac:dyDescent="0.2">
      <c r="A9536" s="1" t="s">
        <v>18940</v>
      </c>
      <c r="B9536" s="1">
        <v>0</v>
      </c>
      <c r="C9536" s="3">
        <v>44536.77</v>
      </c>
      <c r="D9536" s="1" t="s">
        <v>18941</v>
      </c>
      <c r="E9536" s="1" t="str">
        <f ca="1">IFERROR(__xludf.DUMMYFUNCTION("GOOGLETRANSLATE(A6335 , ""tr"" , ""en"")"),"@drfahrettinkoca find out the cases, leave the disease this game is now feeding out of what you are feeding !!!!!")</f>
        <v>@drfahrettinkoca find out the cases, leave the disease this game is now feeding out of what you are feeding !!!!!</v>
      </c>
    </row>
    <row r="9537" spans="1:5" ht="15" customHeight="1" x14ac:dyDescent="0.2">
      <c r="A9537" s="1" t="s">
        <v>18942</v>
      </c>
      <c r="B9537" s="1">
        <v>3</v>
      </c>
      <c r="C9537" s="3">
        <v>44536.769699074073</v>
      </c>
      <c r="D9537" s="1" t="s">
        <v>18943</v>
      </c>
      <c r="E9537" s="1" t="str">
        <f ca="1">IFERROR(__xludf.DUMMYFUNCTION("GOOGLETRANSLATE(A6336 , ""tr"" , ""en"")"),"@drfahrettinkoca is either not saying vaccines in one day, say vaccine when there is so many side effects. You were not the Minister of Health?")</f>
        <v>@drfahrettinkoca is either not saying vaccines in one day, say vaccine when there is so many side effects. You were not the Minister of Health?</v>
      </c>
    </row>
    <row r="9538" spans="1:5" ht="15" customHeight="1" x14ac:dyDescent="0.2">
      <c r="A9538" s="1" t="s">
        <v>18944</v>
      </c>
      <c r="B9538" s="1">
        <v>7</v>
      </c>
      <c r="C9538" s="3">
        <v>44536.769699074073</v>
      </c>
      <c r="D9538" s="1" t="s">
        <v>18945</v>
      </c>
      <c r="E9538" s="1" t="str">
        <f ca="1">IFERROR(__xludf.DUMMYFUNCTION("GOOGLETRANSLATE(A6337 , ""tr"" , ""en"")"),"@drfahrettinka still protects the importance of virus! You cannot wash out the problems of the country's economy to the students. Shutdown ... https://t.co/ldazxzlmdv")</f>
        <v>@drfahrettinka still protects the importance of virus! You cannot wash out the problems of the country's economy to the students. Shutdown ... https://t.co/ldazxzlmdv</v>
      </c>
    </row>
    <row r="9539" spans="1:5" ht="15" customHeight="1" x14ac:dyDescent="0.2">
      <c r="A9539" s="1" t="s">
        <v>18946</v>
      </c>
      <c r="B9539" s="1">
        <v>3</v>
      </c>
      <c r="C9539" s="3">
        <v>44536.769444444442</v>
      </c>
      <c r="D9539" s="1" t="s">
        <v>18947</v>
      </c>
      <c r="E9539" s="1" t="str">
        <f ca="1">IFERROR(__xludf.DUMMYFUNCTION("GOOGLETRANSLATE(A6338 , ""tr"" , ""en"")"),"@drfahrettinkoca doctors, healthparties get news on strike. The Ministry of Health is not ""Covid Vaccine Center"".")</f>
        <v>@drfahrettinkoca doctors, healthparties get news on strike. The Ministry of Health is not "Covid Vaccine Center".</v>
      </c>
    </row>
    <row r="9540" spans="1:5" ht="15" customHeight="1" x14ac:dyDescent="0.2">
      <c r="A9540" s="1" t="s">
        <v>16832</v>
      </c>
      <c r="B9540" s="1">
        <v>1</v>
      </c>
      <c r="C9540" s="3">
        <v>44536.769050925926</v>
      </c>
      <c r="D9540" s="1" t="s">
        <v>18948</v>
      </c>
      <c r="E9540" s="1" t="str">
        <f ca="1">IFERROR(__xludf.DUMMYFUNCTION("GOOGLETRANSLATE(A6339 , ""tr"" , ""en"")"),"@drfahrettinkoca # kabineuzaktanılitimsart")</f>
        <v>@drfahrettinkoca # kabineuzaktanılitimsart</v>
      </c>
    </row>
    <row r="9541" spans="1:5" ht="15" customHeight="1" x14ac:dyDescent="0.2">
      <c r="A9541" s="1" t="s">
        <v>18949</v>
      </c>
      <c r="B9541" s="1">
        <v>0</v>
      </c>
      <c r="C9541" s="3">
        <v>44536.768935185188</v>
      </c>
      <c r="D9541" s="1" t="s">
        <v>18950</v>
      </c>
      <c r="E9541" s="1" t="str">
        <f ca="1">IFERROR(__xludf.DUMMYFUNCTION("GOOGLETRANSLATE(A6340 , ""tr"" , ""en"")"),"@drfahrettinkoca You were happy to be happy to the Keymen and Atabay drug companies, Noldu Jobs Kesat Heralde?")</f>
        <v>@drfahrettinkoca You were happy to be happy to the Keymen and Atabay drug companies, Noldu Jobs Kesat Heralde?</v>
      </c>
    </row>
    <row r="9542" spans="1:5" ht="15" customHeight="1" x14ac:dyDescent="0.2">
      <c r="A9542" s="1" t="s">
        <v>18951</v>
      </c>
      <c r="B9542" s="1">
        <v>80</v>
      </c>
      <c r="C9542" s="3">
        <v>44536.768645833334</v>
      </c>
      <c r="D9542" s="1" t="s">
        <v>18952</v>
      </c>
      <c r="E9542" s="1" t="str">
        <f ca="1">IFERROR(__xludf.DUMMYFUNCTION("GOOGLETRANSLATE(A6341 , ""tr"" , ""en"")"),"@drfahrettinkoca A $ I, A $ I protect the importance when protecting the ones in protecting the importance of our minister's assistant😅")</f>
        <v>@drfahrettinkoca A $ I, A $ I protect the importance when protecting the ones in protecting the importance of our minister's assistant😅</v>
      </c>
    </row>
    <row r="9543" spans="1:5" ht="15" customHeight="1" x14ac:dyDescent="0.2">
      <c r="A9543" s="1" t="s">
        <v>18953</v>
      </c>
      <c r="B9543" s="1">
        <v>2</v>
      </c>
      <c r="C9543" s="3">
        <v>44536.768495370372</v>
      </c>
      <c r="D9543" s="1" t="s">
        <v>18954</v>
      </c>
      <c r="E9543" s="1" t="str">
        <f ca="1">IFERROR(__xludf.DUMMYFUNCTION("GOOGLETRANSLATE(A6342 , ""tr"" , ""en"")"),"@drfahrettinkoca Guide Nerdeee? Answer Bi Now either the Valla was patience stones though")</f>
        <v>@drfahrettinkoca Guide Nerdeee? Answer Bi Now either the Valla was patience stones though</v>
      </c>
    </row>
    <row r="9544" spans="1:5" ht="15" customHeight="1" x14ac:dyDescent="0.2">
      <c r="A9544" s="1" t="s">
        <v>18955</v>
      </c>
      <c r="B9544" s="1">
        <v>2</v>
      </c>
      <c r="C9544" s="3">
        <v>44536.768483796295</v>
      </c>
      <c r="D9544" s="1" t="s">
        <v>18956</v>
      </c>
      <c r="E9544" s="1" t="str">
        <f ca="1">IFERROR(__xludf.DUMMYFUNCTION("GOOGLETRANSLATE(A6343 , ""tr"" , ""en"")"),"@drfahrettinkoca If you get the vaccination reliant on the TV, the TV with different ideas dr. Sits on the face. They ask ... https://t.co/jisswglj2c")</f>
        <v>@drfahrettinkoca If you get the vaccination reliant on the TV, the TV with different ideas dr. Sits on the face. They ask ... https://t.co/jisswglj2c</v>
      </c>
    </row>
    <row r="9545" spans="1:5" ht="15" customHeight="1" x14ac:dyDescent="0.2">
      <c r="A9545" s="1" t="s">
        <v>18957</v>
      </c>
      <c r="B9545" s="1">
        <v>7</v>
      </c>
      <c r="C9545" s="3">
        <v>44536.768090277779</v>
      </c>
      <c r="D9545" s="1" t="s">
        <v>18958</v>
      </c>
      <c r="E9545" s="1" t="str">
        <f ca="1">IFERROR(__xludf.DUMMYFUNCTION("GOOGLETRANSLATE(A6344 , ""tr"" , ""en"")"),"@drfahrettinkoca you have in our own omicron has been input to enter the guest you still have nothing really pes! # kabineuzaktanılitimsart")</f>
        <v>@drfahrettinkoca you have in our own omicron has been input to enter the guest you still have nothing really pes! # kabineuzaktanılitimsart</v>
      </c>
    </row>
    <row r="9546" spans="1:5" ht="15" customHeight="1" x14ac:dyDescent="0.2">
      <c r="A9546" s="1" t="s">
        <v>18959</v>
      </c>
      <c r="B9546" s="1">
        <v>0</v>
      </c>
      <c r="C9546" s="3">
        <v>44536.767893518518</v>
      </c>
      <c r="D9546" s="1" t="s">
        <v>18960</v>
      </c>
      <c r="E9546" s="1" t="str">
        <f ca="1">IFERROR(__xludf.DUMMYFUNCTION("GOOGLETRANSLATE(A6345 , ""tr"" , ""en"")"),"@drfahrettinkoca is a person's fittings family and responsibility to him and Gorevres. Don't even be a single dose ... https://t.co/ex9wh82ksb")</f>
        <v>@drfahrettinkoca is a person's fittings family and responsibility to him and Gorevres. Don't even be a single dose ... https://t.co/ex9wh82ksb</v>
      </c>
    </row>
    <row r="9547" spans="1:5" ht="15" customHeight="1" x14ac:dyDescent="0.2">
      <c r="A9547" s="1" t="s">
        <v>18961</v>
      </c>
      <c r="B9547" s="1">
        <v>2</v>
      </c>
      <c r="C9547" s="3">
        <v>44536.767870370371</v>
      </c>
      <c r="D9547" s="1" t="s">
        <v>18962</v>
      </c>
      <c r="E9547" s="1" t="str">
        <f ca="1">IFERROR(__xludf.DUMMYFUNCTION("GOOGLETRANSLATE(A6346 , ""tr"" , ""en"")"),"@drfahrettinkoca @saglikbakanligi # CabineUZAKTanEducationArt")</f>
        <v>@drfahrettinkoca @saglikbakanligi # CabineUZAKTanEducationArt</v>
      </c>
    </row>
    <row r="9548" spans="1:5" ht="15" customHeight="1" x14ac:dyDescent="0.2">
      <c r="A9548" s="1" t="s">
        <v>18963</v>
      </c>
      <c r="B9548" s="1">
        <v>0</v>
      </c>
      <c r="C9548" s="3">
        <v>44536.767592592594</v>
      </c>
      <c r="D9548" s="1" t="s">
        <v>18964</v>
      </c>
      <c r="E9548" s="1" t="str">
        <f ca="1">IFERROR(__xludf.DUMMYFUNCTION("GOOGLETRANSLATE(A6347 , ""tr"" , ""en"")"),"@drfahrettinkoca Mr. Mr. Minister Vaccination Virus is very little in places")</f>
        <v>@drfahrettinkoca Mr. Mr. Minister Vaccination Virus is very little in places</v>
      </c>
    </row>
    <row r="9549" spans="1:5" ht="15" customHeight="1" x14ac:dyDescent="0.2">
      <c r="A9549" s="1" t="s">
        <v>18965</v>
      </c>
      <c r="B9549" s="1">
        <v>31</v>
      </c>
      <c r="C9549" s="3">
        <v>44536.766898148147</v>
      </c>
      <c r="D9549" s="1" t="s">
        <v>18966</v>
      </c>
      <c r="E9549" s="1" t="str">
        <f ca="1">IFERROR(__xludf.DUMMYFUNCTION("GOOGLETRANSLATE(A6348 , ""tr"" , ""en"")"),"@drfahrettinkoca people dying from heart crisis robbery dying to heart crisis You know that vaccines are caused by ... https://t.co/zpawx2oyrz")</f>
        <v>@drfahrettinkoca people dying from heart crisis robbery dying to heart crisis You know that vaccines are caused by ... https://t.co/zpawx2oyrz</v>
      </c>
    </row>
    <row r="9550" spans="1:5" ht="15" customHeight="1" x14ac:dyDescent="0.2">
      <c r="A9550" s="1" t="s">
        <v>18967</v>
      </c>
      <c r="B9550" s="1">
        <v>14</v>
      </c>
      <c r="C9550" s="3">
        <v>44536.766226851854</v>
      </c>
      <c r="D9550" s="1" t="s">
        <v>18968</v>
      </c>
      <c r="E9550" s="1" t="str">
        <f ca="1">IFERROR(__xludf.DUMMYFUNCTION("GOOGLETRANSLATE(A6349 , ""tr"" , ""en"")"),"@drfahrettinkoca yahu single dose finishes 70% job, did not finish, 2 dose 75% Ok said 50 il 75 i passed 50 years ago ... https://t.co/nrlaj7MPI0")</f>
        <v>@drfahrettinkoca yahu single dose finishes 70% job, did not finish, 2 dose 75% Ok said 50 il 75 i passed 50 years ago ... https://t.co/nrlaj7MPI0</v>
      </c>
    </row>
    <row r="9551" spans="1:5" ht="15" customHeight="1" x14ac:dyDescent="0.2">
      <c r="A9551" s="1" t="s">
        <v>18969</v>
      </c>
      <c r="B9551" s="1">
        <v>54</v>
      </c>
      <c r="C9551" s="3">
        <v>44536.766215277778</v>
      </c>
      <c r="D9551" s="1" t="s">
        <v>18970</v>
      </c>
      <c r="E9551" s="1" t="str">
        <f ca="1">IFERROR(__xludf.DUMMYFUNCTION("GOOGLETRANSLATE(A6350 , ""tr"" , ""en"")"),"@drfahrettinka is 34 years old that you have a myokrestiff and be happy with myocarditis. Bridal ... https://t.co/hlm4w2dtgu")</f>
        <v>@drfahrettinka is 34 years old that you have a myokrestiff and be happy with myocarditis. Bridal ... https://t.co/hlm4w2dtgu</v>
      </c>
    </row>
    <row r="9552" spans="1:5" ht="15" customHeight="1" x14ac:dyDescent="0.2">
      <c r="A9552" s="1" t="s">
        <v>18971</v>
      </c>
      <c r="B9552" s="1">
        <v>0</v>
      </c>
      <c r="C9552" s="3">
        <v>44536.765902777777</v>
      </c>
      <c r="D9552" s="1" t="s">
        <v>18972</v>
      </c>
      <c r="E9552" s="1" t="str">
        <f ca="1">IFERROR(__xludf.DUMMYFUNCTION("GOOGLETRANSLATE(A6351 , ""tr"" , ""en"")"),"@drfahrettinka https://t.co/ladavtaneb")</f>
        <v>@drfahrettinka https://t.co/ladavtaneb</v>
      </c>
    </row>
    <row r="9553" spans="1:5" ht="15" customHeight="1" x14ac:dyDescent="0.2">
      <c r="A9553" s="1" t="s">
        <v>18973</v>
      </c>
      <c r="B9553" s="1">
        <v>0</v>
      </c>
      <c r="C9553" s="3">
        <v>44536.765729166669</v>
      </c>
      <c r="D9553" s="1" t="s">
        <v>18974</v>
      </c>
      <c r="E9553" s="1" t="str">
        <f ca="1">IFERROR(__xludf.DUMMYFUNCTION("GOOGLETRANSLATE(A6352 , ""tr"" , ""en"")"),"@drfahrettinkoca you look like that is like that 😀😃 https://t.co/4uv2n5upmm")</f>
        <v>@drfahrettinkoca you look like that is like that 😀😃 https://t.co/4uv2n5upmm</v>
      </c>
    </row>
    <row r="9554" spans="1:5" ht="15" customHeight="1" x14ac:dyDescent="0.2">
      <c r="A9554" s="1" t="s">
        <v>18975</v>
      </c>
      <c r="B9554" s="1">
        <v>8</v>
      </c>
      <c r="C9554" s="3">
        <v>44536.765370370369</v>
      </c>
      <c r="D9554" s="1" t="s">
        <v>18976</v>
      </c>
      <c r="E9554" s="1" t="str">
        <f ca="1">IFERROR(__xludf.DUMMYFUNCTION("GOOGLETRANSLATE(A6353 , ""tr"" , ""en"")"),"@drfahrettinkoca is violent to my healthcareyarryrrrrrRRRR 666 Honors Here are some of your healthiers ... https://t.co/gccgwt792I")</f>
        <v>@drfahrettinkoca is violent to my healthcareyarryrrrrrRRRR 666 Honors Here are some of your healthiers ... https://t.co/gccgwt792I</v>
      </c>
    </row>
    <row r="9555" spans="1:5" ht="15" customHeight="1" x14ac:dyDescent="0.2">
      <c r="A9555" s="1" t="s">
        <v>17697</v>
      </c>
      <c r="B9555" s="1">
        <v>0</v>
      </c>
      <c r="C9555" s="3">
        <v>44536.764687499999</v>
      </c>
      <c r="D9555" s="1" t="s">
        <v>18977</v>
      </c>
      <c r="E9555" s="1" t="str">
        <f ca="1">IFERROR(__xludf.DUMMYFUNCTION("GOOGLETRANSLATE(A6354 , ""tr"" , ""en"")"),"@drfahrettinkoca Schools Kapping")</f>
        <v>@drfahrettinkoca Schools Kapping</v>
      </c>
    </row>
    <row r="9556" spans="1:5" ht="15" customHeight="1" x14ac:dyDescent="0.2">
      <c r="A9556" s="1" t="s">
        <v>18978</v>
      </c>
      <c r="B9556" s="1">
        <v>1</v>
      </c>
      <c r="C9556" s="3">
        <v>44536.764537037037</v>
      </c>
      <c r="D9556" s="1" t="s">
        <v>18979</v>
      </c>
      <c r="E9556" s="1" t="str">
        <f ca="1">IFERROR(__xludf.DUMMYFUNCTION("GOOGLETRANSLATE(A6355 , ""tr"" , ""en"")"),"@drfahrettinka https://t.co/gyleppggnt")</f>
        <v>@drfahrettinka https://t.co/gyleppggnt</v>
      </c>
    </row>
    <row r="9557" spans="1:5" ht="15" customHeight="1" x14ac:dyDescent="0.2">
      <c r="A9557" s="1" t="s">
        <v>18980</v>
      </c>
      <c r="B9557" s="1">
        <v>5</v>
      </c>
      <c r="C9557" s="3">
        <v>44536.764178240737</v>
      </c>
      <c r="D9557" s="1" t="s">
        <v>18981</v>
      </c>
      <c r="E9557" s="1" t="str">
        <f ca="1">IFERROR(__xludf.DUMMYFUNCTION("GOOGLETRANSLATE(A6356 , ""tr"" , ""en"")"),"@drfahrettinkoca ate at the horse we had already he # kabineuzakaktanetimsart")</f>
        <v>@drfahrettinkoca ate at the horse we had already he # kabineuzakaktanetimsart</v>
      </c>
    </row>
    <row r="9558" spans="1:5" ht="15" customHeight="1" x14ac:dyDescent="0.2">
      <c r="A9558" s="1" t="s">
        <v>18982</v>
      </c>
      <c r="B9558" s="1">
        <v>5</v>
      </c>
      <c r="C9558" s="3">
        <v>44536.763923611114</v>
      </c>
      <c r="D9558" s="1" t="s">
        <v>18983</v>
      </c>
      <c r="E9558" s="1" t="str">
        <f ca="1">IFERROR(__xludf.DUMMYFUNCTION("GOOGLETRANSLATE(A6357 , ""tr"" , ""en"")"),"@drfahrettinka vaccine is not necessarily if they are not mandatory why do they have work off work? There are threats PCR not accepting f ... https://t.co/vrmntdz8uz")</f>
        <v>@drfahrettinka vaccine is not necessarily if they are not mandatory why do they have work off work? There are threats PCR not accepting f ... https://t.co/vrmntdz8uz</v>
      </c>
    </row>
    <row r="9559" spans="1:5" ht="15" customHeight="1" x14ac:dyDescent="0.2">
      <c r="A9559" s="1" t="s">
        <v>18984</v>
      </c>
      <c r="B9559" s="1">
        <v>3</v>
      </c>
      <c r="C9559" s="3">
        <v>44536.763773148145</v>
      </c>
      <c r="D9559" s="1" t="s">
        <v>18985</v>
      </c>
      <c r="E9559" s="1" t="str">
        <f ca="1">IFERROR(__xludf.DUMMYFUNCTION("GOOGLETRANSLATE(A6358 , ""tr"" , ""en"")"),"@drfahrettinkoca TV Decisions transcendation? Why don't they wear a mask? The grafted folk is still putting maceke? https://t.co/ehdwce6rqp")</f>
        <v>@drfahrettinkoca TV Decisions transcendation? Why don't they wear a mask? The grafted folk is still putting maceke? https://t.co/ehdwce6rqp</v>
      </c>
    </row>
    <row r="9560" spans="1:5" ht="15" customHeight="1" x14ac:dyDescent="0.2">
      <c r="A9560" s="1" t="s">
        <v>18986</v>
      </c>
      <c r="B9560" s="1">
        <v>0</v>
      </c>
      <c r="C9560" s="3">
        <v>44536.763553240744</v>
      </c>
      <c r="D9560" s="1" t="s">
        <v>18987</v>
      </c>
      <c r="E9560" s="1" t="str">
        <f ca="1">IFERROR(__xludf.DUMMYFUNCTION("GOOGLETRANSLATE(A6359 , ""tr"" , ""en"")"),"@drfahrettinkoca Fahrettin BI Essegi if we sit in that seat more successful profiles exhibits in your ears long but success sifir")</f>
        <v>@drfahrettinkoca Fahrettin BI Essegi if we sit in that seat more successful profiles exhibits in your ears long but success sifir</v>
      </c>
    </row>
    <row r="9561" spans="1:5" ht="15" customHeight="1" x14ac:dyDescent="0.2">
      <c r="A9561" s="1" t="s">
        <v>18988</v>
      </c>
      <c r="B9561" s="1">
        <v>0</v>
      </c>
      <c r="C9561" s="3">
        <v>44536.763310185182</v>
      </c>
      <c r="D9561" s="1" t="s">
        <v>18989</v>
      </c>
      <c r="E9561" s="1" t="str">
        <f ca="1">IFERROR(__xludf.DUMMYFUNCTION("GOOGLETRANSLATE(A6360 , ""tr"" , ""en"")"),"@drfahrettinkoca We will not be Fareddincim ... More messages are when you fluttered")</f>
        <v>@drfahrettinkoca We will not be Fareddincim ... More messages are when you fluttered</v>
      </c>
    </row>
    <row r="9562" spans="1:5" ht="15" customHeight="1" x14ac:dyDescent="0.2">
      <c r="A9562" s="1" t="s">
        <v>18990</v>
      </c>
      <c r="B9562" s="1">
        <v>0</v>
      </c>
      <c r="C9562" s="3">
        <v>44536.763275462959</v>
      </c>
      <c r="D9562" s="1" t="s">
        <v>18991</v>
      </c>
      <c r="E9562" s="1" t="str">
        <f ca="1">IFERROR(__xludf.DUMMYFUNCTION("GOOGLETRANSLATE(A6361 , ""tr"" , ""en"")"),"Where are the lack of fluids that do not prevent @drfahrettinkoca disease and infectiveness HIO?")</f>
        <v>Where are the lack of fluids that do not prevent @drfahrettinkoca disease and infectiveness HIO?</v>
      </c>
    </row>
    <row r="9563" spans="1:5" ht="15" customHeight="1" x14ac:dyDescent="0.2">
      <c r="A9563" s="1" t="s">
        <v>18992</v>
      </c>
      <c r="B9563" s="1">
        <v>0</v>
      </c>
      <c r="C9563" s="3">
        <v>44536.76326388889</v>
      </c>
      <c r="D9563" s="1" t="s">
        <v>18993</v>
      </c>
      <c r="E9563" s="1" t="str">
        <f ca="1">IFERROR(__xludf.DUMMYFUNCTION("GOOGLETRANSLATE(A6362 , ""tr"" , ""en"")"),"How do you evaluate the Şanlıurfa vaccine status with the Minister of Mr. Minister? The amount of vaccines that matter to you?")</f>
        <v>How do you evaluate the Şanlıurfa vaccine status with the Minister of Mr. Minister? The amount of vaccines that matter to you?</v>
      </c>
    </row>
    <row r="9564" spans="1:5" ht="15" customHeight="1" x14ac:dyDescent="0.2">
      <c r="A9564" s="1" t="s">
        <v>18994</v>
      </c>
      <c r="B9564" s="1">
        <v>0</v>
      </c>
      <c r="C9564" s="3">
        <v>44536.763171296298</v>
      </c>
      <c r="D9564" s="1" t="s">
        <v>18995</v>
      </c>
      <c r="E9564" s="1" t="str">
        <f ca="1">IFERROR(__xludf.DUMMYFUNCTION("GOOGLETRANSLATE(A6363 , ""tr"" , ""en"")"),"@drfahrettinkoca Briefly Millatin is no longer left to you and your vaccine. Nation is in the skin of Vaccine's vaccine. In between ... https://t.co/0rprdjnyrg")</f>
        <v>@drfahrettinkoca Briefly Millatin is no longer left to you and your vaccine. Nation is in the skin of Vaccine's vaccine. In between ... https://t.co/0rprdjnyrg</v>
      </c>
    </row>
    <row r="9565" spans="1:5" ht="15" customHeight="1" x14ac:dyDescent="0.2">
      <c r="A9565" s="1" t="s">
        <v>18996</v>
      </c>
      <c r="B9565" s="1">
        <v>0</v>
      </c>
      <c r="C9565" s="3">
        <v>44536.763159722221</v>
      </c>
      <c r="D9565" s="1" t="s">
        <v>18997</v>
      </c>
      <c r="E9565" s="1" t="str">
        <f ca="1">IFERROR(__xludf.DUMMYFUNCTION("GOOGLETRANSLATE(A6364 , ""tr"" , ""en"")"),"@drfahrettinkoca subject to Bank Bey Keeps a lot of Okiiiiiii who are deceiving to the experimental network name on pardonn what protection")</f>
        <v>@drfahrettinkoca subject to Bank Bey Keeps a lot of Okiiiiiii who are deceiving to the experimental network name on pardonn what protection</v>
      </c>
    </row>
    <row r="9566" spans="1:5" ht="15" customHeight="1" x14ac:dyDescent="0.2">
      <c r="A9566" s="1" t="s">
        <v>18998</v>
      </c>
      <c r="B9566" s="1">
        <v>0</v>
      </c>
      <c r="C9566" s="3">
        <v>44536.763113425928</v>
      </c>
      <c r="D9566" s="1" t="s">
        <v>18999</v>
      </c>
      <c r="E9566" s="1" t="str">
        <f ca="1">IFERROR(__xludf.DUMMYFUNCTION("GOOGLETRANSLATE(A6365 , ""tr"" , ""en"")"),"@drfahrettinkoca Vallaha Halal May the same region as the Ottomanian resistance of Karamanoğullas resist the vaccine. ... https://t.co/0zmw2bw0bh")</f>
        <v>@drfahrettinkoca Vallaha Halal May the same region as the Ottomanian resistance of Karamanoğullas resist the vaccine. ... https://t.co/0zmw2bw0bh</v>
      </c>
    </row>
    <row r="9567" spans="1:5" ht="15" customHeight="1" x14ac:dyDescent="0.2">
      <c r="A9567" s="1" t="s">
        <v>19000</v>
      </c>
      <c r="B9567" s="1">
        <v>0</v>
      </c>
      <c r="C9567" s="3">
        <v>44536.763090277775</v>
      </c>
      <c r="D9567" s="1" t="s">
        <v>19001</v>
      </c>
      <c r="E9567" s="1" t="str">
        <f ca="1">IFERROR(__xludf.DUMMYFUNCTION("GOOGLETRANSLATE(A6366 , ""tr"" , ""en"")"),"@drfahrettinkoca please give the following guide please give the following guide now please give the guide please give the guide anymore ... https://t.co/vxafqctkfg")</f>
        <v>@drfahrettinkoca please give the following guide please give the following guide now please give the guide please give the guide anymore ... https://t.co/vxafqctkfg</v>
      </c>
    </row>
    <row r="9568" spans="1:5" ht="15" customHeight="1" x14ac:dyDescent="0.2">
      <c r="A9568" s="1" t="s">
        <v>19002</v>
      </c>
      <c r="B9568" s="1">
        <v>0</v>
      </c>
      <c r="C9568" s="3">
        <v>44536.762638888889</v>
      </c>
      <c r="D9568" s="1" t="s">
        <v>19003</v>
      </c>
      <c r="E9568" s="1" t="str">
        <f ca="1">IFERROR(__xludf.DUMMYFUNCTION("GOOGLETRANSLATE(A6367 , ""tr"" , ""en"")"),"@drfahrettinka Mr. Ministry I wonder if our new Variant Omicron country was detected? What is not shared for if it was detected?")</f>
        <v>@drfahrettinka Mr. Ministry I wonder if our new Variant Omicron country was detected? What is not shared for if it was detected?</v>
      </c>
    </row>
    <row r="9569" spans="1:5" ht="15" customHeight="1" x14ac:dyDescent="0.2">
      <c r="A9569" s="1" t="s">
        <v>19004</v>
      </c>
      <c r="B9569" s="1">
        <v>0</v>
      </c>
      <c r="C9569" s="3">
        <v>44536.762523148151</v>
      </c>
      <c r="D9569" s="1" t="s">
        <v>19005</v>
      </c>
      <c r="E9569" s="1" t="str">
        <f ca="1">IFERROR(__xludf.DUMMYFUNCTION("GOOGLETRANSLATE(A6368 , ""tr"" , ""en"")"),"@drfahrettinkoca Data is the AQ of the system that makes you who are missing up to your honor")</f>
        <v>@drfahrettinkoca Data is the AQ of the system that makes you who are missing up to your honor</v>
      </c>
    </row>
    <row r="9570" spans="1:5" ht="15" customHeight="1" x14ac:dyDescent="0.2">
      <c r="A9570" s="1" t="s">
        <v>19006</v>
      </c>
      <c r="B9570" s="1">
        <v>44</v>
      </c>
      <c r="C9570" s="3">
        <v>44536.762349537035</v>
      </c>
      <c r="D9570" s="1" t="s">
        <v>19007</v>
      </c>
      <c r="E9570" s="1" t="str">
        <f ca="1">IFERROR(__xludf.DUMMYFUNCTION("GOOGLETRANSLATE(A6369 , ""tr"" , ""en"")"),"@drfahrettinkoca Twit contains extreme joy .. ""The absence of severe increases in the vaccine is the sadness of the health care ... HTTPS://T.CO/EJIPD3VM9Q")</f>
        <v>@drfahrettinkoca Twit contains extreme joy .. "The absence of severe increases in the vaccine is the sadness of the health care ... HTTPS://T.CO/EJIPD3VM9Q</v>
      </c>
    </row>
    <row r="9571" spans="1:5" ht="15" customHeight="1" x14ac:dyDescent="0.2">
      <c r="A9571" s="1" t="s">
        <v>19008</v>
      </c>
      <c r="B9571" s="1">
        <v>1</v>
      </c>
      <c r="C9571" s="3">
        <v>44536.761886574073</v>
      </c>
      <c r="D9571" s="1" t="s">
        <v>19009</v>
      </c>
      <c r="E9571" s="1" t="str">
        <f ca="1">IFERROR(__xludf.DUMMYFUNCTION("GOOGLETRANSLATE(A6370 , ""tr"" , ""en"")"),"@drfahrettinkoca we want to assign to health management please do the minister https://t.co/lr07fhjy3z")</f>
        <v>@drfahrettinkoca we want to assign to health management please do the minister https://t.co/lr07fhjy3z</v>
      </c>
    </row>
    <row r="9572" spans="1:5" ht="15" customHeight="1" x14ac:dyDescent="0.2">
      <c r="A9572" s="1" t="s">
        <v>19010</v>
      </c>
      <c r="B9572" s="1">
        <v>0</v>
      </c>
      <c r="C9572" s="3">
        <v>44536.76152777778</v>
      </c>
      <c r="D9572" s="1" t="s">
        <v>19011</v>
      </c>
      <c r="E9572" s="1" t="str">
        <f ca="1">IFERROR(__xludf.DUMMYFUNCTION("GOOGLETRANSLATE(A6371 , ""tr"" , ""en"")"),"@drfahrettinkoca is the importance of sickening?")</f>
        <v>@drfahrettinkoca is the importance of sickening?</v>
      </c>
    </row>
    <row r="9573" spans="1:5" ht="15" customHeight="1" x14ac:dyDescent="0.2">
      <c r="A9573" s="1" t="s">
        <v>19012</v>
      </c>
      <c r="B9573" s="1">
        <v>0</v>
      </c>
      <c r="C9573" s="3">
        <v>44536.761296296296</v>
      </c>
      <c r="D9573" s="1" t="s">
        <v>19013</v>
      </c>
      <c r="E9573" s="1" t="str">
        <f ca="1">IFERROR(__xludf.DUMMYFUNCTION("GOOGLETRANSLATE(A6372 , ""tr"" , ""en"")"),"@drfahrettinkoca Minister Bey You didn't say once in the sun so that the vitamin D in the sun, bun oil, thyme oil ... https://t.co/7uxfomtacl")</f>
        <v>@drfahrettinkoca Minister Bey You didn't say once in the sun so that the vitamin D in the sun, bun oil, thyme oil ... https://t.co/7uxfomtacl</v>
      </c>
    </row>
    <row r="9574" spans="1:5" ht="15" customHeight="1" x14ac:dyDescent="0.2">
      <c r="A9574" s="1" t="s">
        <v>19014</v>
      </c>
      <c r="B9574" s="1">
        <v>0</v>
      </c>
      <c r="C9574" s="3">
        <v>44536.761284722219</v>
      </c>
      <c r="D9574" s="1" t="s">
        <v>19015</v>
      </c>
      <c r="E9574" s="1" t="str">
        <f ca="1">IFERROR(__xludf.DUMMYFUNCTION("GOOGLETRANSLATE(A6373 , ""tr"" , ""en"")"),"@drfahrettinkoca Ministry of Guarrel")</f>
        <v>@drfahrettinkoca Ministry of Guarrel</v>
      </c>
    </row>
    <row r="9575" spans="1:5" ht="15" customHeight="1" x14ac:dyDescent="0.2">
      <c r="A9575" s="1" t="s">
        <v>19016</v>
      </c>
      <c r="B9575" s="1">
        <v>0</v>
      </c>
      <c r="C9575" s="3">
        <v>44536.761030092595</v>
      </c>
      <c r="D9575" s="1" t="s">
        <v>19017</v>
      </c>
      <c r="E9575" s="1" t="str">
        <f ca="1">IFERROR(__xludf.DUMMYFUNCTION("GOOGLETRANSLATE(A6374 , ""tr"" , ""en"")"),"@drfahrettinkoca Friends Talking Vaccine Bey")</f>
        <v>@drfahrettinkoca Friends Talking Vaccine Bey</v>
      </c>
    </row>
    <row r="9576" spans="1:5" ht="15" customHeight="1" x14ac:dyDescent="0.2">
      <c r="A9576" s="1" t="s">
        <v>19018</v>
      </c>
      <c r="B9576" s="1">
        <v>0</v>
      </c>
      <c r="C9576" s="3">
        <v>44536.761006944442</v>
      </c>
      <c r="D9576" s="1" t="s">
        <v>19019</v>
      </c>
      <c r="E9576" s="1" t="str">
        <f ca="1">IFERROR(__xludf.DUMMYFUNCTION("GOOGLETRANSLATE(A6375 , ""tr"" , ""en"")"),"@drfahrettinkoca is enough https://t.co/qxm6nbwcal when you will be saturated?")</f>
        <v>@drfahrettinkoca is enough https://t.co/qxm6nbwcal when you will be saturated?</v>
      </c>
    </row>
    <row r="9577" spans="1:5" ht="15" customHeight="1" x14ac:dyDescent="0.2">
      <c r="A9577" s="1" t="s">
        <v>19020</v>
      </c>
      <c r="B9577" s="1">
        <v>0</v>
      </c>
      <c r="C9577" s="3">
        <v>44536.760995370372</v>
      </c>
      <c r="D9577" s="1" t="s">
        <v>19021</v>
      </c>
      <c r="E9577" s="1" t="str">
        <f ca="1">IFERROR(__xludf.DUMMYFUNCTION("GOOGLETRANSLATE(A6376 , ""tr"" , ""en"")"),"@drfahrettinkoca Health Management Graduates as Alumni As Mr. Minister https://t.co/fjk3azy8mu")</f>
        <v>@drfahrettinkoca Health Management Graduates as Alumni As Mr. Minister https://t.co/fjk3azy8mu</v>
      </c>
    </row>
    <row r="9578" spans="1:5" ht="15" customHeight="1" x14ac:dyDescent="0.2">
      <c r="A9578" s="1" t="s">
        <v>19022</v>
      </c>
      <c r="B9578" s="1">
        <v>0</v>
      </c>
      <c r="C9578" s="3">
        <v>44536.760729166665</v>
      </c>
      <c r="D9578" s="1" t="s">
        <v>19023</v>
      </c>
      <c r="E9578" s="1" t="str">
        <f ca="1">IFERROR(__xludf.DUMMYFUNCTION("GOOGLETRANSLATE(A6377 , ""tr"" , ""en"")"),"@drfahrettinkoca Ministry of Guide, we also have happiness")</f>
        <v>@drfahrettinkoca Ministry of Guide, we also have happiness</v>
      </c>
    </row>
    <row r="9579" spans="1:5" ht="15" customHeight="1" x14ac:dyDescent="0.2">
      <c r="A9579" s="1" t="s">
        <v>19024</v>
      </c>
      <c r="B9579" s="1">
        <v>0</v>
      </c>
      <c r="C9579" s="3">
        <v>44536.760613425926</v>
      </c>
      <c r="D9579" s="1" t="s">
        <v>19025</v>
      </c>
      <c r="E9579" s="1" t="str">
        <f ca="1">IFERROR(__xludf.DUMMYFUNCTION("GOOGLETRANSLATE(A6378 , ""tr"" , ""en"")"),"@drfahrettinka is reflected in the rate and death rates of the vaccination rate in Europe. Case and death numbers are also increasing.")</f>
        <v>@drfahrettinka is reflected in the rate and death rates of the vaccination rate in Europe. Case and death numbers are also increasing.</v>
      </c>
    </row>
    <row r="9580" spans="1:5" ht="15" customHeight="1" x14ac:dyDescent="0.2">
      <c r="A9580" s="1" t="s">
        <v>19026</v>
      </c>
      <c r="B9580" s="1">
        <v>4</v>
      </c>
      <c r="C9580" s="3">
        <v>44536.760555555556</v>
      </c>
      <c r="D9580" s="1" t="s">
        <v>19027</v>
      </c>
      <c r="E9580" s="1" t="str">
        <f ca="1">IFERROR(__xludf.DUMMYFUNCTION("GOOGLETRANSLATE(A6379 , ""tr"" , ""en"")"),"@drfahrettinkoca Liquid Do Not Did Liquid Diaggy With Small Cogists Diode 666 Fahri https://t.co/rfn4rts6oC")</f>
        <v>@drfahrettinkoca Liquid Do Not Did Liquid Diaggy With Small Cogists Diode 666 Fahri https://t.co/rfn4rts6oC</v>
      </c>
    </row>
    <row r="9581" spans="1:5" ht="15" customHeight="1" x14ac:dyDescent="0.2">
      <c r="A9581" s="1" t="s">
        <v>19028</v>
      </c>
      <c r="B9581" s="1">
        <v>1</v>
      </c>
      <c r="C9581" s="3">
        <v>44536.760439814818</v>
      </c>
      <c r="D9581" s="1" t="s">
        <v>19029</v>
      </c>
      <c r="E9581" s="1" t="str">
        <f ca="1">IFERROR(__xludf.DUMMYFUNCTION("GOOGLETRANSLATE(A6380 , ""tr"" , ""en"")"),"@drfahrettinka https://t.co/zqg1f47xga")</f>
        <v>@drfahrettinka https://t.co/zqg1f47xga</v>
      </c>
    </row>
    <row r="9582" spans="1:5" ht="15" customHeight="1" x14ac:dyDescent="0.2">
      <c r="A9582" s="1" t="s">
        <v>19030</v>
      </c>
      <c r="B9582" s="1">
        <v>0</v>
      </c>
      <c r="C9582" s="3">
        <v>44536.760277777779</v>
      </c>
      <c r="D9582" s="1" t="s">
        <v>19031</v>
      </c>
      <c r="E9582" s="1" t="str">
        <f ca="1">IFERROR(__xludf.DUMMYFUNCTION("GOOGLETRANSLATE(A6381 , ""tr"" , ""en"")"),"Case rate is low where high vaccine rate is low where @drfahrettinkca vaccine rate is high ... https://t.co/amxjomur7f")</f>
        <v>Case rate is low where high vaccine rate is low where @drfahrettinkca vaccine rate is high ... https://t.co/amxjomur7f</v>
      </c>
    </row>
    <row r="9583" spans="1:5" ht="15" customHeight="1" x14ac:dyDescent="0.2">
      <c r="A9583" s="1" t="s">
        <v>19032</v>
      </c>
      <c r="B9583" s="1">
        <v>0</v>
      </c>
      <c r="C9583" s="3">
        <v>44536.760231481479</v>
      </c>
      <c r="D9583" s="1" t="s">
        <v>19033</v>
      </c>
      <c r="E9583" s="1" t="str">
        <f ca="1">IFERROR(__xludf.DUMMYFUNCTION("GOOGLETRANSLATE(A6382 , ""tr"" , ""en"")"),"@drfahrettinkoca We are doing duty at the Hospital Mr. Minister Mom Cancer Treatment Muş Devl ... HTTPS://T.CO/YLQYIJVPWF")</f>
        <v>@drfahrettinkoca We are doing duty at the Hospital Mr. Minister Mom Cancer Treatment Muş Devl ... HTTPS://T.CO/YLQYIJVPWF</v>
      </c>
    </row>
    <row r="9584" spans="1:5" ht="15" customHeight="1" x14ac:dyDescent="0.2">
      <c r="A9584" s="1" t="s">
        <v>19034</v>
      </c>
      <c r="B9584" s="1">
        <v>0</v>
      </c>
      <c r="C9584" s="3">
        <v>44536.760150462964</v>
      </c>
      <c r="D9584" s="1" t="s">
        <v>19035</v>
      </c>
      <c r="E9584" s="1" t="str">
        <f ca="1">IFERROR(__xludf.DUMMYFUNCTION("GOOGLETRANSLATE(A6383 , ""tr"" , ""en"")"),"@drfahrettinkoca Squad to Health Management Render Now Enough https://t.co/tmhk4jwceo")</f>
        <v>@drfahrettinkoca Squad to Health Management Render Now Enough https://t.co/tmhk4jwceo</v>
      </c>
    </row>
    <row r="9585" spans="1:5" ht="15" customHeight="1" x14ac:dyDescent="0.2">
      <c r="A9585" s="1" t="s">
        <v>19036</v>
      </c>
      <c r="B9585" s="1">
        <v>0</v>
      </c>
      <c r="C9585" s="3">
        <v>44536.760127314818</v>
      </c>
      <c r="D9585" s="1" t="s">
        <v>19037</v>
      </c>
      <c r="E9585" s="1" t="str">
        <f ca="1">IFERROR(__xludf.DUMMYFUNCTION("GOOGLETRANSLATE(A6384 , ""tr"" , ""en"")"),"@drfahrettinkoca You have a very interesting government While closures started while the cases overlooking the Mr. Minister World While closures started ... https://t.co/ze6wf7s6er")</f>
        <v>@drfahrettinkoca You have a very interesting government While closures started while the cases overlooking the Mr. Minister World While closures started ... https://t.co/ze6wf7s6er</v>
      </c>
    </row>
    <row r="9586" spans="1:5" ht="15" customHeight="1" x14ac:dyDescent="0.2">
      <c r="A9586" s="1" t="s">
        <v>19038</v>
      </c>
      <c r="B9586" s="1">
        <v>0</v>
      </c>
      <c r="C9586" s="3">
        <v>44536.759953703702</v>
      </c>
      <c r="D9586" s="1" t="s">
        <v>19039</v>
      </c>
      <c r="E9586" s="1" t="str">
        <f ca="1">IFERROR(__xludf.DUMMYFUNCTION("GOOGLETRANSLATE(A6385 , ""tr"" , ""en"")"),"Leave @drfahrettinkoca You are now on the healthpieces of Covidi.13 months.")</f>
        <v>Leave @drfahrettinkoca You are now on the healthpieces of Covidi.13 months.</v>
      </c>
    </row>
    <row r="9587" spans="1:5" ht="15" customHeight="1" x14ac:dyDescent="0.2">
      <c r="A9587" s="1" t="s">
        <v>19040</v>
      </c>
      <c r="B9587" s="1">
        <v>15</v>
      </c>
      <c r="C9587" s="3">
        <v>44536.759745370371</v>
      </c>
      <c r="D9587" s="1" t="s">
        <v>19041</v>
      </c>
      <c r="E9587" s="1" t="str">
        <f ca="1">IFERROR(__xludf.DUMMYFUNCTION("GOOGLETRANSLATE(A6386 , ""tr"" , ""en"")"),"@drfahrettinkoca is not such as small tiny or something, because of severe side effects or grafted ... https://t.co/nqd8avlxmf")</f>
        <v>@drfahrettinkoca is not such as small tiny or something, because of severe side effects or grafted ... https://t.co/nqd8avlxmf</v>
      </c>
    </row>
    <row r="9588" spans="1:5" ht="15" customHeight="1" x14ac:dyDescent="0.2">
      <c r="A9588" s="1" t="s">
        <v>19042</v>
      </c>
      <c r="B9588" s="1">
        <v>0</v>
      </c>
      <c r="C9588" s="3">
        <v>44536.759710648148</v>
      </c>
      <c r="D9588" s="1" t="s">
        <v>19043</v>
      </c>
      <c r="E9588" s="1" t="str">
        <f ca="1">IFERROR(__xludf.DUMMYFUNCTION("GOOGLETRANSLATE(A6387 , ""tr"" , ""en"")"),"@drfahrettinka https://t.co/qhyz2JIVOY")</f>
        <v>@drfahrettinka https://t.co/qhyz2JIVOY</v>
      </c>
    </row>
    <row r="9589" spans="1:5" ht="15" customHeight="1" x14ac:dyDescent="0.2">
      <c r="A9589" s="1" t="s">
        <v>19044</v>
      </c>
      <c r="B9589" s="1">
        <v>3</v>
      </c>
      <c r="C9589" s="3">
        <v>44536.759560185186</v>
      </c>
      <c r="D9589" s="1" t="s">
        <v>19045</v>
      </c>
      <c r="E9589" s="1" t="str">
        <f ca="1">IFERROR(__xludf.DUMMYFUNCTION("GOOGLETRANSLATE(A6388 , ""tr"" , ""en"")"),"@drfahrettinkoca Only Covid_19 Minister of Table # Healthcare")</f>
        <v>@drfahrettinkoca Only Covid_19 Minister of Table # Healthcare</v>
      </c>
    </row>
    <row r="9590" spans="1:5" ht="15" customHeight="1" x14ac:dyDescent="0.2">
      <c r="A9590" s="1" t="s">
        <v>19046</v>
      </c>
      <c r="B9590" s="1">
        <v>1</v>
      </c>
      <c r="C9590" s="3">
        <v>44536.759375000001</v>
      </c>
      <c r="D9590" s="1" t="s">
        <v>19047</v>
      </c>
      <c r="E9590" s="1" t="str">
        <f ca="1">IFERROR(__xludf.DUMMYFUNCTION("GOOGLETRANSLATE(A6389 , ""tr"" , ""en"")"),"@drfahrettinkoca I don't halal my right to you and other institutions that cause me to work KPSS again. 80+ PU ... https://t.co/vmp4uowhli")</f>
        <v>@drfahrettinkoca I don't halal my right to you and other institutions that cause me to work KPSS again. 80+ PU ... https://t.co/vmp4uowhli</v>
      </c>
    </row>
    <row r="9591" spans="1:5" ht="15" customHeight="1" x14ac:dyDescent="0.2">
      <c r="A9591" s="1" t="s">
        <v>19048</v>
      </c>
      <c r="B9591" s="1">
        <v>0</v>
      </c>
      <c r="C9591" s="3">
        <v>44536.759340277778</v>
      </c>
      <c r="D9591" s="1" t="s">
        <v>19049</v>
      </c>
      <c r="E9591" s="1" t="str">
        <f ca="1">IFERROR(__xludf.DUMMYFUNCTION("GOOGLETRANSLATE(A6390 , ""tr"" , ""en"")"),"@drfahrettinkoca eee neighbor is running out what the case is running out what deaths ..")</f>
        <v>@drfahrettinkoca eee neighbor is running out what the case is running out what deaths ..</v>
      </c>
    </row>
    <row r="9592" spans="1:5" ht="15" customHeight="1" x14ac:dyDescent="0.2">
      <c r="A9592" s="1" t="s">
        <v>19050</v>
      </c>
      <c r="B9592" s="1">
        <v>0</v>
      </c>
      <c r="C9592" s="3">
        <v>44536.759259259263</v>
      </c>
      <c r="D9592" s="1" t="s">
        <v>19051</v>
      </c>
      <c r="E9592" s="1" t="str">
        <f ca="1">IFERROR(__xludf.DUMMYFUNCTION("GOOGLETRANSLATE(A6391 , ""tr"" , ""en"")"),"@drfahrettinkoca Health Management Graduates Want Merit Merit Mr. Ministry https://t.co/e0l7os98mn")</f>
        <v>@drfahrettinkoca Health Management Graduates Want Merit Merit Mr. Ministry https://t.co/e0l7os98mn</v>
      </c>
    </row>
    <row r="9593" spans="1:5" ht="15" customHeight="1" x14ac:dyDescent="0.2">
      <c r="A9593" s="1" t="s">
        <v>19052</v>
      </c>
      <c r="B9593" s="1">
        <v>0</v>
      </c>
      <c r="C9593" s="3">
        <v>44536.759062500001</v>
      </c>
      <c r="D9593" s="1" t="s">
        <v>19053</v>
      </c>
      <c r="E9593" s="1" t="str">
        <f ca="1">IFERROR(__xludf.DUMMYFUNCTION("GOOGLETRANSLATE(A6392 , ""tr"" , ""en"")"),"@drfahrettinkoca I wish you were quick and easy to block you on our lives as fast as to block on Twitter. But Nap ... https://t.co/c7hmbehwh2")</f>
        <v>@drfahrettinkoca I wish you were quick and easy to block you on our lives as fast as to block on Twitter. But Nap ... https://t.co/c7hmbehwh2</v>
      </c>
    </row>
    <row r="9594" spans="1:5" ht="15" customHeight="1" x14ac:dyDescent="0.2">
      <c r="A9594" s="1" t="s">
        <v>19054</v>
      </c>
      <c r="B9594" s="1">
        <v>1</v>
      </c>
      <c r="C9594" s="3">
        <v>44536.759004629632</v>
      </c>
      <c r="D9594" s="1" t="s">
        <v>19055</v>
      </c>
      <c r="E9594" s="1" t="str">
        <f ca="1">IFERROR(__xludf.DUMMYFUNCTION("GOOGLETRANSLATE(A6393 , ""tr"" , ""en"")"),"@drfahrettinkoca This vaccine is a very valuable person who believes in the reasons for ridiculous and non-vaccines ... https://t.co/s7z7qwdn49")</f>
        <v>@drfahrettinkoca This vaccine is a very valuable person who believes in the reasons for ridiculous and non-vaccines ... https://t.co/s7z7qwdn49</v>
      </c>
    </row>
    <row r="9595" spans="1:5" ht="15" customHeight="1" x14ac:dyDescent="0.2">
      <c r="A9595" s="1" t="s">
        <v>19056</v>
      </c>
      <c r="B9595" s="1">
        <v>1</v>
      </c>
      <c r="C9595" s="3">
        <v>44536.75886574074</v>
      </c>
      <c r="D9595" s="1" t="s">
        <v>19057</v>
      </c>
      <c r="E9595" s="1" t="str">
        <f ca="1">IFERROR(__xludf.DUMMYFUNCTION("GOOGLETRANSLATE(A6394 , ""tr"" , ""en"")"),"@drfahrettinka is the middle of the rocks # Sagliklarlargrevde. We have asked for 1 year, you didn't see us. Sometimes on Mars ... https://t.co/epraI0u54w")</f>
        <v>@drfahrettinka is the middle of the rocks # Sagliklarlargrevde. We have asked for 1 year, you didn't see us. Sometimes on Mars ... https://t.co/epraI0u54w</v>
      </c>
    </row>
    <row r="9596" spans="1:5" ht="15" customHeight="1" x14ac:dyDescent="0.2">
      <c r="A9596" s="1" t="s">
        <v>19058</v>
      </c>
      <c r="B9596" s="1">
        <v>0</v>
      </c>
      <c r="C9596" s="3">
        <v>44536.758796296293</v>
      </c>
      <c r="D9596" s="1" t="s">
        <v>19059</v>
      </c>
      <c r="E9596" s="1" t="str">
        <f ca="1">IFERROR(__xludf.DUMMYFUNCTION("GOOGLETRANSLATE(A6395 , ""tr"" , ""en"")"),"@drfahrettinka watch well this video https://t.co/twmv7j4h8r")</f>
        <v>@drfahrettinka watch well this video https://t.co/twmv7j4h8r</v>
      </c>
    </row>
    <row r="9597" spans="1:5" ht="15" customHeight="1" x14ac:dyDescent="0.2">
      <c r="A9597" s="1" t="s">
        <v>19060</v>
      </c>
      <c r="B9597" s="1">
        <v>1</v>
      </c>
      <c r="C9597" s="3">
        <v>44536.758530092593</v>
      </c>
      <c r="D9597" s="1" t="s">
        <v>19061</v>
      </c>
      <c r="E9597" s="1" t="str">
        <f ca="1">IFERROR(__xludf.DUMMYFUNCTION("GOOGLETRANSLATE(A6396 , ""tr"" , ""en"")"),"@drfahrettinkoca Hani Justice Hani Assignment to Health Management Mr. Minister")</f>
        <v>@drfahrettinkoca Hani Justice Hani Assignment to Health Management Mr. Minister</v>
      </c>
    </row>
    <row r="9598" spans="1:5" ht="15" customHeight="1" x14ac:dyDescent="0.2">
      <c r="A9598" s="1" t="s">
        <v>19062</v>
      </c>
      <c r="B9598" s="1">
        <v>0</v>
      </c>
      <c r="C9598" s="3">
        <v>44536.758460648147</v>
      </c>
      <c r="D9598" s="1" t="s">
        <v>19063</v>
      </c>
      <c r="E9598" s="1" t="str">
        <f ca="1">IFERROR(__xludf.DUMMYFUNCTION("GOOGLETRANSLATE(A6397 , ""tr"" , ""en"")"),"@drfahrettinkoca May Allow Your Hell's Health Our Health Destroyed Our Soul of Our Health")</f>
        <v>@drfahrettinkoca May Allow Your Hell's Health Our Health Destroyed Our Soul of Our Health</v>
      </c>
    </row>
    <row r="9599" spans="1:5" ht="15" customHeight="1" x14ac:dyDescent="0.2">
      <c r="A9599" s="1" t="s">
        <v>19064</v>
      </c>
      <c r="B9599" s="1">
        <v>2</v>
      </c>
      <c r="C9599" s="3">
        <v>44536.758368055554</v>
      </c>
      <c r="D9599" s="1" t="s">
        <v>19065</v>
      </c>
      <c r="E9599" s="1" t="str">
        <f ca="1">IFERROR(__xludf.DUMMYFUNCTION("GOOGLETRANSLATE(A6398 , ""tr"" , ""en"")"),"@drfahrettinkoca I'm more happy with me. I'm dying the tiny clot or I listen to the depressants if I listen to myself.")</f>
        <v>@drfahrettinkoca I'm more happy with me. I'm dying the tiny clot or I listen to the depressants if I listen to myself.</v>
      </c>
    </row>
    <row r="9600" spans="1:5" ht="15" customHeight="1" x14ac:dyDescent="0.2">
      <c r="A9600" s="1" t="s">
        <v>19066</v>
      </c>
      <c r="B9600" s="1">
        <v>1</v>
      </c>
      <c r="C9600" s="3">
        <v>44536.758321759262</v>
      </c>
      <c r="D9600" s="1" t="s">
        <v>19067</v>
      </c>
      <c r="E9600" s="1" t="str">
        <f ca="1">IFERROR(__xludf.DUMMYFUNCTION("GOOGLETRANSLATE(A6399 , ""tr"" , ""en"")"),"@drfahrettinkoca 5-11 When to start the rebellion of mourning")</f>
        <v>@drfahrettinkoca 5-11 When to start the rebellion of mourning</v>
      </c>
    </row>
    <row r="9601" spans="1:5" ht="15" customHeight="1" x14ac:dyDescent="0.2">
      <c r="A9601" s="1" t="s">
        <v>19068</v>
      </c>
      <c r="B9601" s="1">
        <v>1</v>
      </c>
      <c r="C9601" s="3">
        <v>44536.758287037039</v>
      </c>
      <c r="D9601" s="1" t="s">
        <v>19069</v>
      </c>
      <c r="E9601" s="1" t="str">
        <f ca="1">IFERROR(__xludf.DUMMYFUNCTION("GOOGLETRANSLATE(A6400 , ""tr"" , ""en"")"),"@drfahrettinkoca grafts are wearing a mask of masks.")</f>
        <v>@drfahrettinkoca grafts are wearing a mask of masks.</v>
      </c>
    </row>
    <row r="9602" spans="1:5" ht="15" customHeight="1" x14ac:dyDescent="0.2">
      <c r="A9602" s="1" t="s">
        <v>19070</v>
      </c>
      <c r="B9602" s="1">
        <v>0</v>
      </c>
      <c r="C9602" s="3">
        <v>44536.758101851854</v>
      </c>
      <c r="D9602" s="1" t="s">
        <v>19071</v>
      </c>
      <c r="E9602" s="1" t="str">
        <f ca="1">IFERROR(__xludf.DUMMYFUNCTION("GOOGLETRANSLATE(A6401 , ""tr"" , ""en"")"),"@drfahrettinkoca you are not the Minister of Health, your Ministry of Lies is anyone who knows it anymore and explain all ... Https://t.co/e8nxjcw9il")</f>
        <v>@drfahrettinkoca you are not the Minister of Health, your Ministry of Lies is anyone who knows it anymore and explain all ... Https://t.co/e8nxjcw9il</v>
      </c>
    </row>
    <row r="9603" spans="1:5" ht="15" customHeight="1" x14ac:dyDescent="0.2">
      <c r="A9603" s="1" t="s">
        <v>19072</v>
      </c>
      <c r="B9603" s="1">
        <v>1</v>
      </c>
      <c r="C9603" s="3">
        <v>44536.758020833331</v>
      </c>
      <c r="D9603" s="1" t="s">
        <v>19073</v>
      </c>
      <c r="E9603" s="1" t="str">
        <f ca="1">IFERROR(__xludf.DUMMYFUNCTION("GOOGLETRANSLATE(A6402 , ""tr"" , ""en"")"),"Assign Assign Assign Assign Assign Assign Assign Assign Assign Assign Assign Assign Assign Assign Assign Assign Assign Assign Assign Assign Assign Assign Assign Assign Assign Assign Assign Assign Assign Assign Assign Assign Assign Assign Assign Assign Ass"&amp;"ignment")</f>
        <v>Assign Assign Assign Assign Assign Assign Assign Assign Assign Assign Assign Assign Assign Assign Assign Assign Assign Assign Assign Assign Assign Assign Assign Assign Assign Assign Assign Assign Assign Assign Assign Assign Assign Assign Assign Assign Assignment</v>
      </c>
    </row>
    <row r="9604" spans="1:5" ht="15" customHeight="1" x14ac:dyDescent="0.2">
      <c r="A9604" s="1" t="s">
        <v>19074</v>
      </c>
      <c r="B9604" s="1">
        <v>3</v>
      </c>
      <c r="C9604" s="3">
        <v>44536.757696759261</v>
      </c>
      <c r="D9604" s="1" t="s">
        <v>19075</v>
      </c>
      <c r="E9604" s="1" t="str">
        <f ca="1">IFERROR(__xludf.DUMMYFUNCTION("GOOGLETRANSLATE(A6403 , ""tr"" , ""en"")"),"@drfahrettinkoca Minister Still I'm looking very surprised to hear I heard you want to see and sees @ kilicdarogluk ... https://t.co/w73lrltqp5")</f>
        <v>@drfahrettinkoca Minister Still I'm looking very surprised to hear I heard you want to see and sees @ kilicdarogluk ... https://t.co/w73lrltqp5</v>
      </c>
    </row>
    <row r="9605" spans="1:5" ht="15" customHeight="1" x14ac:dyDescent="0.2">
      <c r="A9605" s="1" t="s">
        <v>19076</v>
      </c>
      <c r="B9605" s="1">
        <v>0</v>
      </c>
      <c r="C9605" s="3">
        <v>44536.757291666669</v>
      </c>
      <c r="D9605" s="1" t="s">
        <v>19077</v>
      </c>
      <c r="E9605" s="1" t="str">
        <f ca="1">IFERROR(__xludf.DUMMYFUNCTION("GOOGLETRANSLATE(A6404 , ""tr"" , ""en"")"),"@drfahrettinkoca @saglikbakanligi You, all of you really make fun of us. # Fahrettinkocaistifa ... https://t.co/eupeqnwl5b")</f>
        <v>@drfahrettinkoca @saglikbakanligi You, all of you really make fun of us. # Fahrettinkocaistifa ... https://t.co/eupeqnwl5b</v>
      </c>
    </row>
    <row r="9606" spans="1:5" ht="15" customHeight="1" x14ac:dyDescent="0.2">
      <c r="A9606" s="1" t="s">
        <v>19078</v>
      </c>
      <c r="B9606" s="1">
        <v>3</v>
      </c>
      <c r="C9606" s="3">
        <v>44536.757268518515</v>
      </c>
      <c r="D9606" s="1" t="s">
        <v>19079</v>
      </c>
      <c r="E9606" s="1" t="str">
        <f ca="1">IFERROR(__xludf.DUMMYFUNCTION("GOOGLETRANSLATE(A6405 , ""tr"" , ""en"")"),"@drfahrettinka you are sorry about why? Because the liquids don't work? The folks are no longer to believe you? Already ... https://t.co/z9JH1Ialsy")</f>
        <v>@drfahrettinka you are sorry about why? Because the liquids don't work? The folks are no longer to believe you? Already ... https://t.co/z9JH1Ialsy</v>
      </c>
    </row>
    <row r="9607" spans="1:5" ht="15" customHeight="1" x14ac:dyDescent="0.2">
      <c r="A9607" s="1" t="s">
        <v>19080</v>
      </c>
      <c r="B9607" s="1">
        <v>0</v>
      </c>
      <c r="C9607" s="3">
        <v>44536.757141203707</v>
      </c>
      <c r="D9607" s="1" t="s">
        <v>19081</v>
      </c>
      <c r="E9607" s="1" t="str">
        <f ca="1">IFERROR(__xludf.DUMMYFUNCTION("GOOGLETRANSLATE(A6406 , ""tr"" , ""en"")"),"@drfahrettinkoca no ya hidden certificate of the pfiser is published by a healthcare we have been the liar we have been aware of everything ... https://t.co/hlux1z5yip")</f>
        <v>@drfahrettinkoca no ya hidden certificate of the pfiser is published by a healthcare we have been the liar we have been aware of everything ... https://t.co/hlux1z5yip</v>
      </c>
    </row>
    <row r="9608" spans="1:5" ht="15" customHeight="1" x14ac:dyDescent="0.2">
      <c r="A9608" s="1" t="s">
        <v>19082</v>
      </c>
      <c r="B9608" s="1">
        <v>3</v>
      </c>
      <c r="C9608" s="3">
        <v>44536.75708333333</v>
      </c>
      <c r="D9608" s="1" t="s">
        <v>19083</v>
      </c>
      <c r="E9608" s="1" t="str">
        <f ca="1">IFERROR(__xludf.DUMMYFUNCTION("GOOGLETRANSLATE(A6407 , ""tr"" , ""en"")"),"@drfahrettinkoca Health Management What Assign Assign Assign Assign Assign Assign Assign Assign Assign Assign Assign Assign Assign Assign Assign Assign Assign Assign Assign Assign Assign Assign Assign Assign Assign Assignment")</f>
        <v>@drfahrettinkoca Health Management What Assign Assign Assign Assign Assign Assign Assign Assign Assign Assign Assign Assign Assign Assign Assign Assign Assign Assign Assign Assign Assign Assign Assign Assign Assign Assignment</v>
      </c>
    </row>
    <row r="9609" spans="1:5" ht="15" customHeight="1" x14ac:dyDescent="0.2">
      <c r="A9609" s="1" t="s">
        <v>19084</v>
      </c>
      <c r="B9609" s="1">
        <v>0</v>
      </c>
      <c r="C9609" s="3">
        <v>44536.75677083333</v>
      </c>
      <c r="D9609" s="1" t="s">
        <v>19085</v>
      </c>
      <c r="E9609" s="1" t="str">
        <f ca="1">IFERROR(__xludf.DUMMYFUNCTION("GOOGLETRANSLATE(A6408 , ""tr"" , ""en"")"),"@drfahrettinkoca you were so cropped give us the guide now. And we aren't Halal of the right to you ...")</f>
        <v>@drfahrettinkoca you were so cropped give us the guide now. And we aren't Halal of the right to you ...</v>
      </c>
    </row>
    <row r="9610" spans="1:5" ht="15" customHeight="1" x14ac:dyDescent="0.2">
      <c r="A9610" s="1" t="s">
        <v>19086</v>
      </c>
      <c r="B9610" s="1">
        <v>0</v>
      </c>
      <c r="C9610" s="3">
        <v>44536.756724537037</v>
      </c>
      <c r="D9610" s="1" t="s">
        <v>19087</v>
      </c>
      <c r="E9610" s="1" t="str">
        <f ca="1">IFERROR(__xludf.DUMMYFUNCTION("GOOGLETRANSLATE(A6409 , ""tr"" , ""en"")"),"@drfahrettinkoca Turkey what is it becoming, you are a vaccine problem who are you? What are you happy to")</f>
        <v>@drfahrettinkoca Turkey what is it becoming, you are a vaccine problem who are you? What are you happy to</v>
      </c>
    </row>
    <row r="9611" spans="1:5" ht="15" customHeight="1" x14ac:dyDescent="0.2">
      <c r="A9611" s="1" t="s">
        <v>19088</v>
      </c>
      <c r="B9611" s="1">
        <v>0</v>
      </c>
      <c r="C9611" s="3">
        <v>44536.756307870368</v>
      </c>
      <c r="D9611" s="1" t="s">
        <v>19089</v>
      </c>
      <c r="E9611" s="1" t="str">
        <f ca="1">IFERROR(__xludf.DUMMYFUNCTION("GOOGLETRANSLATE(A6410 , ""tr"" , ""en"")"),"@drfahrettinkoca Health Minister How active Twitter user")</f>
        <v>@drfahrettinkoca Health Minister How active Twitter user</v>
      </c>
    </row>
    <row r="9612" spans="1:5" ht="15" customHeight="1" x14ac:dyDescent="0.2">
      <c r="A9612" s="1" t="s">
        <v>19090</v>
      </c>
      <c r="B9612" s="1">
        <v>0</v>
      </c>
      <c r="C9612" s="3">
        <v>44536.756064814814</v>
      </c>
      <c r="D9612" s="1" t="s">
        <v>19091</v>
      </c>
      <c r="E9612" s="1" t="str">
        <f ca="1">IFERROR(__xludf.DUMMYFUNCTION("GOOGLETRANSLATE(A6411 , ""tr"" , ""en"")"),"See @drfahrettinkoca see health management graduates now Mr. Ministry https://t.co/grgs04e9dc")</f>
        <v>See @drfahrettinkoca see health management graduates now Mr. Ministry https://t.co/grgs04e9dc</v>
      </c>
    </row>
    <row r="9613" spans="1:5" ht="15" customHeight="1" x14ac:dyDescent="0.2">
      <c r="A9613" s="1" t="s">
        <v>19092</v>
      </c>
      <c r="B9613" s="1">
        <v>0</v>
      </c>
      <c r="C9613" s="3">
        <v>44536.756041666667</v>
      </c>
      <c r="D9613" s="1" t="s">
        <v>19093</v>
      </c>
      <c r="E9613" s="1" t="str">
        <f ca="1">IFERROR(__xludf.DUMMYFUNCTION("GOOGLETRANSLATE(A6412 , ""tr"" , ""en"")"),"@drfahrettinkoca sn.koca, if only you specify sadness, the rate of vaccination increased. Introdities in the enclosed environments ... https://t.co/c46b75kydl")</f>
        <v>@drfahrettinkoca sn.koca, if only you specify sadness, the rate of vaccination increased. Introdities in the enclosed environments ... https://t.co/c46b75kydl</v>
      </c>
    </row>
    <row r="9614" spans="1:5" ht="15" customHeight="1" x14ac:dyDescent="0.2">
      <c r="A9614" s="1" t="s">
        <v>19094</v>
      </c>
      <c r="B9614" s="1">
        <v>0</v>
      </c>
      <c r="C9614" s="3">
        <v>44536.755960648145</v>
      </c>
      <c r="D9614" s="1" t="s">
        <v>19095</v>
      </c>
      <c r="E9614" s="1" t="str">
        <f ca="1">IFERROR(__xludf.DUMMYFUNCTION("GOOGLETRANSLATE(A6413 , ""tr"" , ""en"")"),"@drfahrettinka Mr. Minister! The facts about Pfizer fell to the internet. It's still a vaccine that doesn't work ... https://t.co/5zbfsamuzp")</f>
        <v>@drfahrettinka Mr. Minister! The facts about Pfizer fell to the internet. It's still a vaccine that doesn't work ... https://t.co/5zbfsamuzp</v>
      </c>
    </row>
    <row r="9615" spans="1:5" ht="15" customHeight="1" x14ac:dyDescent="0.2">
      <c r="A9615" s="1" t="s">
        <v>19096</v>
      </c>
      <c r="B9615" s="1">
        <v>0</v>
      </c>
      <c r="C9615" s="3">
        <v>44536.75582175926</v>
      </c>
      <c r="D9615" s="1" t="s">
        <v>19097</v>
      </c>
      <c r="E9615" s="1" t="str">
        <f ca="1">IFERROR(__xludf.DUMMYFUNCTION("GOOGLETRANSLATE(A6414 , ""tr"" , ""en"")"),"@drfahrettinka Shout out to orange provinces before")</f>
        <v>@drfahrettinka Shout out to orange provinces before</v>
      </c>
    </row>
    <row r="9616" spans="1:5" ht="15" customHeight="1" x14ac:dyDescent="0.2">
      <c r="A9616" s="1" t="s">
        <v>19098</v>
      </c>
      <c r="B9616" s="1">
        <v>3</v>
      </c>
      <c r="C9616" s="3">
        <v>44536.75582175926</v>
      </c>
      <c r="D9616" s="1" t="s">
        <v>19099</v>
      </c>
      <c r="E9616" s="1" t="str">
        <f ca="1">IFERROR(__xludf.DUMMYFUNCTION("GOOGLETRANSLATE(A6415 , ""tr"" , ""en"")"),"@drfahrettinka maintains the importance of vaccine you have lost everything. You also give us sadness to us")</f>
        <v>@drfahrettinka maintains the importance of vaccine you have lost everything. You also give us sadness to us</v>
      </c>
    </row>
    <row r="9617" spans="1:5" ht="15" customHeight="1" x14ac:dyDescent="0.2">
      <c r="A9617" s="1" t="s">
        <v>19100</v>
      </c>
      <c r="B9617" s="1">
        <v>1</v>
      </c>
      <c r="C9617" s="3">
        <v>44536.755740740744</v>
      </c>
      <c r="D9617" s="1" t="s">
        <v>19101</v>
      </c>
      <c r="E9617" s="1" t="str">
        <f ca="1">IFERROR(__xludf.DUMMYFUNCTION("GOOGLETRANSLATE(A6416 , ""tr"" , ""en"")"),"@drfahrettinka Mr. Ministry 13 months Assignment is welcomed to assign the guide immediately our patience has not left now # 40binatamayiyapkilicdaroglu")</f>
        <v>@drfahrettinka Mr. Ministry 13 months Assignment is welcomed to assign the guide immediately our patience has not left now # 40binatamayiyapkilicdaroglu</v>
      </c>
    </row>
    <row r="9618" spans="1:5" ht="15" customHeight="1" x14ac:dyDescent="0.2">
      <c r="A9618" s="1" t="s">
        <v>19102</v>
      </c>
      <c r="B9618" s="1">
        <v>7</v>
      </c>
      <c r="C9618" s="3">
        <v>44536.755624999998</v>
      </c>
      <c r="D9618" s="1" t="s">
        <v>19103</v>
      </c>
      <c r="E9618" s="1" t="str">
        <f ca="1">IFERROR(__xludf.DUMMYFUNCTION("GOOGLETRANSLATE(A6417 , ""tr"" , ""en"")"),"@drfahrettinkoca anymore if you get the purchase tweet # 40binatamayiapkilicdaroglu")</f>
        <v>@drfahrettinkoca anymore if you get the purchase tweet # 40binatamayiapkilicdaroglu</v>
      </c>
    </row>
    <row r="9619" spans="1:5" ht="15" customHeight="1" x14ac:dyDescent="0.2">
      <c r="A9619" s="1" t="s">
        <v>19104</v>
      </c>
      <c r="B9619" s="1">
        <v>0</v>
      </c>
      <c r="C9619" s="3">
        <v>44536.755613425928</v>
      </c>
      <c r="D9619" s="1" t="s">
        <v>19105</v>
      </c>
      <c r="E9619" s="1" t="str">
        <f ca="1">IFERROR(__xludf.DUMMYFUNCTION("GOOGLETRANSLATE(A6418 , ""tr"" , ""en"")"),"A single and clear phrase is enough about @drfahrettinkoca manuscript. Rest is a lie")</f>
        <v>A single and clear phrase is enough about @drfahrettinkoca manuscript. Rest is a lie</v>
      </c>
    </row>
    <row r="9620" spans="1:5" ht="15" customHeight="1" x14ac:dyDescent="0.2">
      <c r="A9620" s="1" t="s">
        <v>19106</v>
      </c>
      <c r="B9620" s="1">
        <v>1</v>
      </c>
      <c r="C9620" s="3">
        <v>44536.755543981482</v>
      </c>
      <c r="D9620" s="1" t="s">
        <v>19107</v>
      </c>
      <c r="E9620" s="1" t="str">
        <f ca="1">IFERROR(__xludf.DUMMYFUNCTION("GOOGLETRANSLATE(A6419 , ""tr"" , ""en"")"),"@drfahrettinkoca #the cabinenonlineee")</f>
        <v>@drfahrettinkoca #the cabinenonlineee</v>
      </c>
    </row>
    <row r="9621" spans="1:5" ht="15" customHeight="1" x14ac:dyDescent="0.2">
      <c r="A9621" s="1" t="s">
        <v>19108</v>
      </c>
      <c r="B9621" s="1">
        <v>1</v>
      </c>
      <c r="C9621" s="3">
        <v>44536.755509259259</v>
      </c>
      <c r="D9621" s="1" t="s">
        <v>19109</v>
      </c>
      <c r="E9621" s="1" t="str">
        <f ca="1">IFERROR(__xludf.DUMMYFUNCTION("GOOGLETRANSLATE(A6420 , ""tr"" , ""en"")"),"@drfahrettinkoca Health Management Graduates wants to assign the right to assign the right to assignment Mr. Ministry https://t.co/1Iblvvktoy")</f>
        <v>@drfahrettinkoca Health Management Graduates wants to assign the right to assign the right to assignment Mr. Ministry https://t.co/1Iblvvktoy</v>
      </c>
    </row>
    <row r="9622" spans="1:5" ht="15" customHeight="1" x14ac:dyDescent="0.2">
      <c r="A9622" s="1" t="s">
        <v>19110</v>
      </c>
      <c r="B9622" s="1">
        <v>2</v>
      </c>
      <c r="C9622" s="3">
        <v>44536.755486111113</v>
      </c>
      <c r="D9622" s="1" t="s">
        <v>19111</v>
      </c>
      <c r="E9622" s="1" t="str">
        <f ca="1">IFERROR(__xludf.DUMMYFUNCTION("GOOGLETRANSLATE(A6421 , ""tr"" , ""en"")"),"@drfahrettinkoca is more important to explain the guide is more important than I'm on my fight with Corona I didn't stay at my strength")</f>
        <v>@drfahrettinkoca is more important to explain the guide is more important than I'm on my fight with Corona I didn't stay at my strength</v>
      </c>
    </row>
    <row r="9623" spans="1:5" ht="15" customHeight="1" x14ac:dyDescent="0.2">
      <c r="A9623" s="1" t="s">
        <v>19112</v>
      </c>
      <c r="B9623" s="1">
        <v>1</v>
      </c>
      <c r="C9623" s="3">
        <v>44536.755486111113</v>
      </c>
      <c r="D9623" s="1" t="s">
        <v>19113</v>
      </c>
      <c r="E9623" s="1" t="str">
        <f ca="1">IFERROR(__xludf.DUMMYFUNCTION("GOOGLETRANSLATE(A6422 , ""tr"" , ""en"")"),"@drfahrettinkoca (80% of the 3rd and 48% of the doses to be in the 3rd and 80% of the rates of being vaccinated, can be captured ... https://t.co/4zhsg4eruo")</f>
        <v>@drfahrettinkoca (80% of the 3rd and 48% of the doses to be in the 3rd and 80% of the rates of being vaccinated, can be captured ... https://t.co/4zhsg4eruo</v>
      </c>
    </row>
    <row r="9624" spans="1:5" ht="15" customHeight="1" x14ac:dyDescent="0.2">
      <c r="A9624" s="1" t="s">
        <v>19114</v>
      </c>
      <c r="B9624" s="1">
        <v>2</v>
      </c>
      <c r="C9624" s="3">
        <v>44536.755370370367</v>
      </c>
      <c r="D9624" s="1" t="s">
        <v>19115</v>
      </c>
      <c r="E9624" s="1" t="str">
        <f ca="1">IFERROR(__xludf.DUMMYFUNCTION("GOOGLETRANSLATE(A6423 , ""tr"" , ""en"")"),"@drfahrettinkoca to believe that the ones in the case of believing those who do such as those who make it external to you and trust your words ... https://t.co/af0xjaoeat")</f>
        <v>@drfahrettinkoca to believe that the ones in the case of believing those who do such as those who make it external to you and trust your words ... https://t.co/af0xjaoeat</v>
      </c>
    </row>
    <row r="9625" spans="1:5" ht="15" customHeight="1" x14ac:dyDescent="0.2">
      <c r="A9625" s="1" t="s">
        <v>19116</v>
      </c>
      <c r="B9625" s="1">
        <v>0</v>
      </c>
      <c r="C9625" s="3">
        <v>44536.755370370367</v>
      </c>
      <c r="D9625" s="1" t="s">
        <v>19117</v>
      </c>
      <c r="E9625" s="1" t="str">
        <f ca="1">IFERROR(__xludf.DUMMYFUNCTION("GOOGLETRANSLATE(A6424 , ""tr"" , ""en"")"),"@drfahrettinka you are just a bakan of thinking your own pocket and hospitals")</f>
        <v>@drfahrettinka you are just a bakan of thinking your own pocket and hospitals</v>
      </c>
    </row>
    <row r="9626" spans="1:5" ht="15" customHeight="1" x14ac:dyDescent="0.2">
      <c r="A9626" s="1" t="s">
        <v>19118</v>
      </c>
      <c r="B9626" s="1">
        <v>0</v>
      </c>
      <c r="C9626" s="3">
        <v>44536.755370370367</v>
      </c>
      <c r="D9626" s="1" t="s">
        <v>19119</v>
      </c>
      <c r="E9626" s="1" t="str">
        <f ca="1">IFERROR(__xludf.DUMMYFUNCTION("GOOGLETRANSLATE(A6425 , ""tr"" , ""en"")"),"@drfahrettinkoca Do not be ashamed of who they are actually begging for the assignment they even answer us ... https://t.co/lwddeqh4rx")</f>
        <v>@drfahrettinkoca Do not be ashamed of who they are actually begging for the assignment they even answer us ... https://t.co/lwddeqh4rx</v>
      </c>
    </row>
    <row r="9627" spans="1:5" ht="15" customHeight="1" x14ac:dyDescent="0.2">
      <c r="A9627" s="1" t="s">
        <v>19120</v>
      </c>
      <c r="B9627" s="1">
        <v>0</v>
      </c>
      <c r="C9627" s="3">
        <v>44536.755358796298</v>
      </c>
      <c r="D9627" s="1" t="s">
        <v>19121</v>
      </c>
      <c r="E9627" s="1" t="str">
        <f ca="1">IFERROR(__xludf.DUMMYFUNCTION("GOOGLETRANSLATE(A6426 , ""tr"" , ""en"")"),"@drfahrettinkoca hassssssssbinSSSSBINALLAH")</f>
        <v>@drfahrettinkoca hassssssssbinSSSSBINALLAH</v>
      </c>
    </row>
    <row r="9628" spans="1:5" ht="15" customHeight="1" x14ac:dyDescent="0.2">
      <c r="A9628" s="1" t="s">
        <v>19122</v>
      </c>
      <c r="B9628" s="1">
        <v>1</v>
      </c>
      <c r="C9628" s="3">
        <v>44536.755347222221</v>
      </c>
      <c r="D9628" s="1" t="s">
        <v>19123</v>
      </c>
      <c r="E9628" s="1" t="str">
        <f ca="1">IFERROR(__xludf.DUMMYFUNCTION("GOOGLETRANSLATE(A6427 , ""tr"" , ""en"")"),"@drfahrettinka In small places there are no vaccines when 6 people are completed. We will call you on the gumerus ... https://t.co/ftohtqkwgh")</f>
        <v>@drfahrettinka In small places there are no vaccines when 6 people are completed. We will call you on the gumerus ... https://t.co/ftohtqkwgh</v>
      </c>
    </row>
    <row r="9629" spans="1:5" ht="15" customHeight="1" x14ac:dyDescent="0.2">
      <c r="A9629" s="1" t="s">
        <v>19124</v>
      </c>
      <c r="B9629" s="1">
        <v>0</v>
      </c>
      <c r="C9629" s="3">
        <v>44536.755324074074</v>
      </c>
      <c r="D9629" s="1" t="s">
        <v>19125</v>
      </c>
      <c r="E9629" s="1" t="str">
        <f ca="1">IFERROR(__xludf.DUMMYFUNCTION("GOOGLETRANSLATE(A6428 , ""tr"" , ""en"")"),"@drfahrettinkoca please see us assign us please # 40binatamayiapkilicdaroglu")</f>
        <v>@drfahrettinkoca please see us assign us please # 40binatamayiapkilicdaroglu</v>
      </c>
    </row>
    <row r="9630" spans="1:5" ht="15" customHeight="1" x14ac:dyDescent="0.2">
      <c r="A9630" s="1" t="s">
        <v>19126</v>
      </c>
      <c r="B9630" s="1">
        <v>0</v>
      </c>
      <c r="C9630" s="3">
        <v>44536.755289351851</v>
      </c>
      <c r="D9630" s="1" t="s">
        <v>19127</v>
      </c>
      <c r="E9630" s="1" t="str">
        <f ca="1">IFERROR(__xludf.DUMMYFUNCTION("GOOGLETRANSLATE(A6429 , ""tr"" , ""en"")"),"@drfahrettinkoca Excle Uncle Fahrettin People Wake Up No Bookmark Even Your Table Even in Your Own Table ... https://t.co/ulfehuyfy9")</f>
        <v>@drfahrettinkoca Excle Uncle Fahrettin People Wake Up No Bookmark Even Your Table Even in Your Own Table ... https://t.co/ulfehuyfy9</v>
      </c>
    </row>
    <row r="9631" spans="1:5" ht="15" customHeight="1" x14ac:dyDescent="0.2">
      <c r="A9631" s="1" t="s">
        <v>19128</v>
      </c>
      <c r="B9631" s="1">
        <v>0</v>
      </c>
      <c r="C9631" s="3">
        <v>44536.755196759259</v>
      </c>
      <c r="D9631" s="1" t="s">
        <v>19129</v>
      </c>
      <c r="E9631" s="1" t="str">
        <f ca="1">IFERROR(__xludf.DUMMYFUNCTION("GOOGLETRANSLATE(A6430 , ""tr"" , ""en"")"),"@drfahrettinkoca 28 years old life to establish the future, waiting for this assignment and no longer patience left")</f>
        <v>@drfahrettinkoca 28 years old life to establish the future, waiting for this assignment and no longer patience left</v>
      </c>
    </row>
    <row r="9632" spans="1:5" ht="15" customHeight="1" x14ac:dyDescent="0.2">
      <c r="A9632" s="1" t="s">
        <v>19130</v>
      </c>
      <c r="B9632" s="1">
        <v>1</v>
      </c>
      <c r="C9632" s="3">
        <v>44536.755057870374</v>
      </c>
      <c r="D9632" s="1" t="s">
        <v>19131</v>
      </c>
      <c r="E9632" s="1" t="str">
        <f ca="1">IFERROR(__xludf.DUMMYFUNCTION("GOOGLETRANSLATE(A6431 , ""tr"" , ""en"")"),"@drfahrettinkoca what to mean..Happy people walked on foot with casket .. Why. 666 Payments to component ... https://t.co/qre6jn7qox")</f>
        <v>@drfahrettinkoca what to mean..Happy people walked on foot with casket .. Why. 666 Payments to component ... https://t.co/qre6jn7qox</v>
      </c>
    </row>
    <row r="9633" spans="1:5" ht="15" customHeight="1" x14ac:dyDescent="0.2">
      <c r="A9633" s="1" t="s">
        <v>19132</v>
      </c>
      <c r="B9633" s="1">
        <v>0</v>
      </c>
      <c r="C9633" s="3">
        <v>44536.754988425928</v>
      </c>
      <c r="D9633" s="1" t="s">
        <v>19133</v>
      </c>
      <c r="E9633" s="1" t="str">
        <f ca="1">IFERROR(__xludf.DUMMYFUNCTION("GOOGLETRANSLATE(A6432 , ""tr"" , ""en"")"),"@drfahrettinkoca seriously I'm serious, please don't make fun of my kind of blood.")</f>
        <v>@drfahrettinkoca seriously I'm serious, please don't make fun of my kind of blood.</v>
      </c>
    </row>
    <row r="9634" spans="1:5" ht="15" customHeight="1" x14ac:dyDescent="0.2">
      <c r="A9634" s="1" t="s">
        <v>19134</v>
      </c>
      <c r="B9634" s="1">
        <v>0</v>
      </c>
      <c r="C9634" s="3">
        <v>44536.754814814813</v>
      </c>
      <c r="D9634" s="1" t="s">
        <v>19135</v>
      </c>
      <c r="E9634" s="1" t="str">
        <f ca="1">IFERROR(__xludf.DUMMYFUNCTION("GOOGLETRANSLATE(A6433 , ""tr"" , ""en"")"),"@drfahrettinka is enough everyday everyday everyday we were tired of you wanting to have the one about us. Clasks U Verrrrrrr")</f>
        <v>@drfahrettinka is enough everyday everyday everyday we were tired of you wanting to have the one about us. Clasks U Verrrrrrr</v>
      </c>
    </row>
    <row r="9635" spans="1:5" ht="15" customHeight="1" x14ac:dyDescent="0.2">
      <c r="A9635" s="1" t="s">
        <v>19136</v>
      </c>
      <c r="B9635" s="1">
        <v>0</v>
      </c>
      <c r="C9635" s="3">
        <v>44536.754699074074</v>
      </c>
      <c r="D9635" s="1" t="s">
        <v>19137</v>
      </c>
      <c r="E9635" s="1" t="str">
        <f ca="1">IFERROR(__xludf.DUMMYFUNCTION("GOOGLETRANSLATE(A6434 , ""tr"" , ""en"")"),"Where @drfahrettinkoca vaccine is at least why the provinces are the least seen of the case?")</f>
        <v>Where @drfahrettinkoca vaccine is at least why the provinces are the least seen of the case?</v>
      </c>
    </row>
    <row r="9636" spans="1:5" ht="15" customHeight="1" x14ac:dyDescent="0.2">
      <c r="A9636" s="1" t="s">
        <v>19138</v>
      </c>
      <c r="B9636" s="1">
        <v>0</v>
      </c>
      <c r="C9636" s="3">
        <v>44536.754363425927</v>
      </c>
      <c r="D9636" s="1" t="s">
        <v>19139</v>
      </c>
      <c r="E9636" s="1" t="str">
        <f ca="1">IFERROR(__xludf.DUMMYFUNCTION("GOOGLETRANSLATE(A6435 , ""tr"" , ""en"")"),"@drfahrettinkoca If you insist a bit about K. Marash, you will be very good if you jam the managers")</f>
        <v>@drfahrettinkoca If you insist a bit about K. Marash, you will be very good if you jam the managers</v>
      </c>
    </row>
    <row r="9637" spans="1:5" ht="15" customHeight="1" x14ac:dyDescent="0.2">
      <c r="A9637" s="1" t="s">
        <v>19140</v>
      </c>
      <c r="B9637" s="1">
        <v>0</v>
      </c>
      <c r="C9637" s="3">
        <v>44536.754247685189</v>
      </c>
      <c r="D9637" s="1" t="s">
        <v>19141</v>
      </c>
      <c r="E9637" s="1" t="str">
        <f ca="1">IFERROR(__xludf.DUMMYFUNCTION("GOOGLETRANSLATE(A6436 , ""tr"" , ""en"")"),"@drfahrettinkoca vaccine than the vaccine than the vaccine is the minister to the minister for the months of tissue that has a thousands of teenagers today call tomorrow ... https://t.co/thi0kulf3h")</f>
        <v>@drfahrettinkoca vaccine than the vaccine than the vaccine is the minister to the minister for the months of tissue that has a thousands of teenagers today call tomorrow ... https://t.co/thi0kulf3h</v>
      </c>
    </row>
    <row r="9638" spans="1:5" ht="15" customHeight="1" x14ac:dyDescent="0.2">
      <c r="A9638" s="1" t="s">
        <v>19142</v>
      </c>
      <c r="B9638" s="1">
        <v>0</v>
      </c>
      <c r="C9638" s="3">
        <v>44536.754143518519</v>
      </c>
      <c r="D9638" s="1" t="s">
        <v>19143</v>
      </c>
      <c r="E9638" s="1" t="str">
        <f ca="1">IFERROR(__xludf.DUMMYFUNCTION("GOOGLETRANSLATE(A6437 , ""tr"" , ""en"")"),"@drfahrettinkoca stress than unable to be assigned from anxiety, health problems began us no longer ignore us")</f>
        <v>@drfahrettinkoca stress than unable to be assigned from anxiety, health problems began us no longer ignore us</v>
      </c>
    </row>
    <row r="9639" spans="1:5" ht="15" customHeight="1" x14ac:dyDescent="0.2">
      <c r="A9639" s="1" t="s">
        <v>19144</v>
      </c>
      <c r="B9639" s="1">
        <v>18</v>
      </c>
      <c r="C9639" s="3">
        <v>44536.754143518519</v>
      </c>
      <c r="D9639" s="1" t="s">
        <v>19145</v>
      </c>
      <c r="E9639" s="1" t="str">
        <f ca="1">IFERROR(__xludf.DUMMYFUNCTION("GOOGLETRANSLATE(A6438 , ""tr"" , ""en"")"),"@drfahrettinkoca I didn't feel so worthless in my life. A few hours of meeting online, 8 lessons per week ... https://t.co/ftjrtdvkun")</f>
        <v>@drfahrettinkoca I didn't feel so worthless in my life. A few hours of meeting online, 8 lessons per week ... https://t.co/ftjrtdvkun</v>
      </c>
    </row>
    <row r="9640" spans="1:5" ht="15" customHeight="1" x14ac:dyDescent="0.2">
      <c r="A9640" s="1" t="s">
        <v>19146</v>
      </c>
      <c r="B9640" s="1">
        <v>30</v>
      </c>
      <c r="C9640" s="3">
        <v>44536.75409722222</v>
      </c>
      <c r="D9640" s="1" t="s">
        <v>19147</v>
      </c>
      <c r="E9640" s="1" t="str">
        <f ca="1">IFERROR(__xludf.DUMMYFUNCTION("GOOGLETRANSLATE(A6439 , ""tr"" , ""en"")"),"@drfahrettinkoca case numbers do not reflect the truth, please let us know anymore remote training # CabineUZAKTanEducation")</f>
        <v>@drfahrettinkoca case numbers do not reflect the truth, please let us know anymore remote training # CabineUZAKTanEducation</v>
      </c>
    </row>
    <row r="9641" spans="1:5" ht="15" customHeight="1" x14ac:dyDescent="0.2">
      <c r="A9641" s="1" t="s">
        <v>14057</v>
      </c>
      <c r="B9641" s="1">
        <v>0</v>
      </c>
      <c r="C9641" s="3">
        <v>44536.75408564815</v>
      </c>
      <c r="D9641" s="1" t="s">
        <v>19148</v>
      </c>
      <c r="E9641" s="1" t="str">
        <f ca="1">IFERROR(__xludf.DUMMYFUNCTION("GOOGLETRANSLATE(A6440 , ""tr"" , ""en"")"),"@drfahrettinka https://t.co/slyuxhb97x")</f>
        <v>@drfahrettinka https://t.co/slyuxhb97x</v>
      </c>
    </row>
    <row r="9642" spans="1:5" ht="15" customHeight="1" x14ac:dyDescent="0.2">
      <c r="A9642" s="1" t="s">
        <v>19149</v>
      </c>
      <c r="B9642" s="1">
        <v>0</v>
      </c>
      <c r="C9642" s="3">
        <v>44536.75403935185</v>
      </c>
      <c r="D9642" s="1" t="s">
        <v>19150</v>
      </c>
      <c r="E9642" s="1" t="str">
        <f ca="1">IFERROR(__xludf.DUMMYFUNCTION("GOOGLETRANSLATE(A6441 , ""tr"" , ""en"")"),"@drfahrettinkoca how much vaccine is the vaccine death")</f>
        <v>@drfahrettinkoca how much vaccine is the vaccine death</v>
      </c>
    </row>
    <row r="9643" spans="1:5" ht="15" customHeight="1" x14ac:dyDescent="0.2">
      <c r="A9643" s="1" t="s">
        <v>7770</v>
      </c>
      <c r="B9643" s="1">
        <v>0</v>
      </c>
      <c r="C9643" s="3">
        <v>44536.753981481481</v>
      </c>
      <c r="D9643" s="1" t="s">
        <v>19151</v>
      </c>
      <c r="E9643" s="1" t="str">
        <f ca="1">IFERROR(__xludf.DUMMYFUNCTION("GOOGLETRANSLATE(A6442 , ""tr"" , ""en"")"),"@drfahrettinkoca dietitians are welcomed to assign the assignment to the dietitians Sayin Minister 91 Score of Cardiacy Still Acikta")</f>
        <v>@drfahrettinkoca dietitians are welcomed to assign the assignment to the dietitians Sayin Minister 91 Score of Cardiacy Still Acikta</v>
      </c>
    </row>
    <row r="9644" spans="1:5" ht="15" customHeight="1" x14ac:dyDescent="0.2">
      <c r="A9644" s="1" t="s">
        <v>19152</v>
      </c>
      <c r="B9644" s="1">
        <v>26</v>
      </c>
      <c r="C9644" s="3">
        <v>44536.753958333335</v>
      </c>
      <c r="D9644" s="1" t="s">
        <v>19153</v>
      </c>
      <c r="E9644" s="1" t="str">
        <f ca="1">IFERROR(__xludf.DUMMYFUNCTION("GOOGLETRANSLATE(A6443 , ""tr"" , ""en"")"),"@drfahrettinkoca One day out of the vaccination is another day of the cleaning rules of the cleaning rules of the mask from the enclosure ... https://t.co/b7qphhhowq")</f>
        <v>@drfahrettinkoca One day out of the vaccination is another day of the cleaning rules of the cleaning rules of the mask from the enclosure ... https://t.co/b7qphhhowq</v>
      </c>
    </row>
    <row r="9645" spans="1:5" ht="15" customHeight="1" x14ac:dyDescent="0.2">
      <c r="A9645" s="1" t="s">
        <v>19154</v>
      </c>
      <c r="B9645" s="1">
        <v>0</v>
      </c>
      <c r="C9645" s="3">
        <v>44536.753888888888</v>
      </c>
      <c r="D9645" s="1" t="s">
        <v>19155</v>
      </c>
      <c r="E9645" s="1" t="str">
        <f ca="1">IFERROR(__xludf.DUMMYFUNCTION("GOOGLETRANSLATE(A6444 , ""tr"" , ""en"")"),"@drfahrettinka Well biseys are not made for increasing the number of rebels. Are you planning an extension of Uzuleek?")</f>
        <v>@drfahrettinka Well biseys are not made for increasing the number of rebels. Are you planning an extension of Uzuleek?</v>
      </c>
    </row>
    <row r="9646" spans="1:5" ht="15" customHeight="1" x14ac:dyDescent="0.2">
      <c r="A9646" s="1" t="s">
        <v>19156</v>
      </c>
      <c r="B9646" s="1">
        <v>0</v>
      </c>
      <c r="C9646" s="3">
        <v>44536.753854166665</v>
      </c>
      <c r="D9646" s="1" t="s">
        <v>19157</v>
      </c>
      <c r="E9646" s="1" t="str">
        <f ca="1">IFERROR(__xludf.DUMMYFUNCTION("GOOGLETRANSLATE(A6445 , ""tr"" , ""en"")"),"@drfahrettinka https://t.co/oixq4uprut https://t.co/sr0kgheeooj https://t.co/d9x3a5maym https://t.co/41aj1ybb7q... https://t.co/mlnkedk9n8")</f>
        <v>@drfahrettinka https://t.co/oixq4uprut https://t.co/sr0kgheeooj https://t.co/d9x3a5maym https://t.co/41aj1ybb7q... https://t.co/mlnkedk9n8</v>
      </c>
    </row>
    <row r="9647" spans="1:5" ht="15" customHeight="1" x14ac:dyDescent="0.2">
      <c r="A9647" s="1" t="s">
        <v>19158</v>
      </c>
      <c r="B9647" s="1">
        <v>0</v>
      </c>
      <c r="C9647" s="3">
        <v>44536.753738425927</v>
      </c>
      <c r="D9647" s="1" t="s">
        <v>19159</v>
      </c>
      <c r="E9647" s="1" t="str">
        <f ca="1">IFERROR(__xludf.DUMMYFUNCTION("GOOGLETRANSLATE(A6446 , ""tr"" , ""en"")"),"@drfahrettinkoca https://t.co/oixq4uprut https://t.co/sr0kgheeooj https://t.co/d9x3a5maym https://t.co/41aj1ybb7q... https://t.co/okln61digb")</f>
        <v>@drfahrettinkoca https://t.co/oixq4uprut https://t.co/sr0kgheeooj https://t.co/d9x3a5maym https://t.co/41aj1ybb7q... https://t.co/okln61digb</v>
      </c>
    </row>
    <row r="9648" spans="1:5" ht="15" customHeight="1" x14ac:dyDescent="0.2">
      <c r="A9648" s="1" t="s">
        <v>19160</v>
      </c>
      <c r="B9648" s="1">
        <v>0</v>
      </c>
      <c r="C9648" s="3">
        <v>44536.753703703704</v>
      </c>
      <c r="D9648" s="1" t="s">
        <v>19161</v>
      </c>
      <c r="E9648" s="1" t="str">
        <f ca="1">IFERROR(__xludf.DUMMYFUNCTION("GOOGLETRANSLATE(A6447 , ""tr"" , ""en"")"),"@drfahrettinkoca Mr. Minister If you can't improperly mistake the exclusive vaccine, the number of vaccines does not increase ... https://t.co/bfdgyiyuxi")</f>
        <v>@drfahrettinkoca Mr. Minister If you can't improperly mistake the exclusive vaccine, the number of vaccines does not increase ... https://t.co/bfdgyiyuxi</v>
      </c>
    </row>
    <row r="9649" spans="1:5" ht="15" customHeight="1" x14ac:dyDescent="0.2">
      <c r="A9649" s="1" t="s">
        <v>19162</v>
      </c>
      <c r="B9649" s="1">
        <v>4</v>
      </c>
      <c r="C9649" s="3">
        <v>44536.753587962965</v>
      </c>
      <c r="D9649" s="1" t="s">
        <v>19163</v>
      </c>
      <c r="E9649" s="1" t="str">
        <f ca="1">IFERROR(__xludf.DUMMYFUNCTION("GOOGLETRANSLATE(A6448 , ""tr"" , ""en"")"),"@drfahrettinkoca is the problem of the problem of yourself Mr. Minister. Because the end of the vaccines will not come to the double grapes ... https://t.co/kfzr26bsqo")</f>
        <v>@drfahrettinkoca is the problem of the problem of yourself Mr. Minister. Because the end of the vaccines will not come to the double grapes ... https://t.co/kfzr26bsqo</v>
      </c>
    </row>
    <row r="9650" spans="1:5" ht="15" customHeight="1" x14ac:dyDescent="0.2">
      <c r="A9650" s="1" t="s">
        <v>19164</v>
      </c>
      <c r="B9650" s="1">
        <v>0</v>
      </c>
      <c r="C9650" s="3">
        <v>44536.753587962965</v>
      </c>
      <c r="D9650" s="1" t="s">
        <v>19165</v>
      </c>
      <c r="E9650" s="1" t="str">
        <f ca="1">IFERROR(__xludf.DUMMYFUNCTION("GOOGLETRANSLATE(A6449 , ""tr"" , ""en"")"),"@drfahrettinkoca 40 Bin of Health Management Department in Billet Purchase Mr. Minister https://t.co/grtyboif2l")</f>
        <v>@drfahrettinkoca 40 Bin of Health Management Department in Billet Purchase Mr. Minister https://t.co/grtyboif2l</v>
      </c>
    </row>
    <row r="9651" spans="1:5" ht="15" customHeight="1" x14ac:dyDescent="0.2">
      <c r="A9651" s="1" t="s">
        <v>19166</v>
      </c>
      <c r="B9651" s="1">
        <v>0</v>
      </c>
      <c r="C9651" s="3">
        <v>44536.753483796296</v>
      </c>
      <c r="D9651" s="1" t="s">
        <v>19167</v>
      </c>
      <c r="E9651" s="1" t="str">
        <f ca="1">IFERROR(__xludf.DUMMYFUNCTION("GOOGLETRANSLATE(A6450 , ""tr"" , ""en"")"),"@drfahrettinka https://t.co/oixq4uprut https://t.co/sr0kgheeooj https://t.co/d9x3a5maym https://t.co/41aj1ybb7q... https://t.co/4pes03pjhu")</f>
        <v>@drfahrettinka https://t.co/oixq4uprut https://t.co/sr0kgheeooj https://t.co/d9x3a5maym https://t.co/41aj1ybb7q... https://t.co/4pes03pjhu</v>
      </c>
    </row>
    <row r="9652" spans="1:5" ht="15" customHeight="1" x14ac:dyDescent="0.2">
      <c r="A9652" s="1" t="s">
        <v>19168</v>
      </c>
      <c r="B9652" s="1">
        <v>1</v>
      </c>
      <c r="C9652" s="3">
        <v>44536.753449074073</v>
      </c>
      <c r="D9652" s="1" t="s">
        <v>19169</v>
      </c>
      <c r="E9652" s="1" t="str">
        <f ca="1">IFERROR(__xludf.DUMMYFUNCTION("GOOGLETRANSLATE(A6451 , ""tr"" , ""en"")"),"@drfahrettinkoca what protects from inflation Dear husband Husband protects 5 hikes Kis coming on a little frosty like a little frosty")</f>
        <v>@drfahrettinkoca what protects from inflation Dear husband Husband protects 5 hikes Kis coming on a little frosty like a little frosty</v>
      </c>
    </row>
    <row r="9653" spans="1:5" ht="15" customHeight="1" x14ac:dyDescent="0.2">
      <c r="A9653" s="1" t="s">
        <v>19170</v>
      </c>
      <c r="B9653" s="1">
        <v>0</v>
      </c>
      <c r="C9653" s="3">
        <v>44536.753391203703</v>
      </c>
      <c r="D9653" s="1" t="s">
        <v>19171</v>
      </c>
      <c r="E9653" s="1" t="str">
        <f ca="1">IFERROR(__xludf.DUMMYFUNCTION("GOOGLETRANSLATE(A6452 , ""tr"" , ""en"")"),"@drfahrettinkoca https://t.co/oixq4uprut https://t.co/sr0kgheeooj https://t.co/d9x3a5maym https://t.co/41aj1ybb7q... https://t.co/9e22nequpf")</f>
        <v>@drfahrettinkoca https://t.co/oixq4uprut https://t.co/sr0kgheeooj https://t.co/d9x3a5maym https://t.co/41aj1ybb7q... https://t.co/9e22nequpf</v>
      </c>
    </row>
    <row r="9654" spans="1:5" ht="15" customHeight="1" x14ac:dyDescent="0.2">
      <c r="A9654" s="1" t="s">
        <v>19172</v>
      </c>
      <c r="B9654" s="1">
        <v>6</v>
      </c>
      <c r="C9654" s="3">
        <v>44536.753333333334</v>
      </c>
      <c r="D9654" s="1" t="s">
        <v>19173</v>
      </c>
      <c r="E9654" s="1" t="str">
        <f ca="1">IFERROR(__xludf.DUMMYFUNCTION("GOOGLETRANSLATE(A6453 , ""tr"" , ""en"")"),"@drfahrettinkoca # medical haze #theyarikdurkurı Did you care ?????")</f>
        <v>@drfahrettinkoca # medical haze #theyarikdurkurı Did you care ?????</v>
      </c>
    </row>
    <row r="9655" spans="1:5" ht="15" customHeight="1" x14ac:dyDescent="0.2">
      <c r="A9655" s="1" t="s">
        <v>19174</v>
      </c>
      <c r="B9655" s="1">
        <v>0</v>
      </c>
      <c r="C9655" s="3">
        <v>44536.753298611111</v>
      </c>
      <c r="D9655" s="1" t="s">
        <v>19175</v>
      </c>
      <c r="E9655" s="1" t="str">
        <f ca="1">IFERROR(__xludf.DUMMYFUNCTION("GOOGLETRANSLATE(A6454 , ""tr"" , ""en"")"),"@drfahrettinkoca https://t.co/sr0kgheeooj https://t.co/d9x3a5maym https://t.co/41AJ1YBB7Q HTTPS://T.CO/W7RZ1FVILK... https://t.co/xdvbtuuvxw")</f>
        <v>@drfahrettinkoca https://t.co/sr0kgheeooj https://t.co/d9x3a5maym https://t.co/41AJ1YBB7Q HTTPS://T.CO/W7RZ1FVILK... https://t.co/xdvbtuuvxw</v>
      </c>
    </row>
    <row r="9656" spans="1:5" ht="15" customHeight="1" x14ac:dyDescent="0.2">
      <c r="A9656" s="1" t="s">
        <v>19176</v>
      </c>
      <c r="B9656" s="1">
        <v>3</v>
      </c>
      <c r="C9656" s="3">
        <v>44536.753275462965</v>
      </c>
      <c r="D9656" s="1" t="s">
        <v>19177</v>
      </c>
      <c r="E9656" s="1" t="str">
        <f ca="1">IFERROR(__xludf.DUMMYFUNCTION("GOOGLETRANSLATE(A6455 , ""tr"" , ""en"")"),"@drfahrettinkoca Sabgredin for assignment, you said that you were sorry to be sabgredin Dear Minister Will wait for more @ drfahrettinkoca ... https://t.co/2mzc7srpcp")</f>
        <v>@drfahrettinkoca Sabgredin for assignment, you said that you were sorry to be sabgredin Dear Minister Will wait for more @ drfahrettinkoca ... https://t.co/2mzc7srpcp</v>
      </c>
    </row>
    <row r="9657" spans="1:5" ht="15" customHeight="1" x14ac:dyDescent="0.2">
      <c r="A9657" s="1" t="s">
        <v>19178</v>
      </c>
      <c r="B9657" s="1">
        <v>0</v>
      </c>
      <c r="C9657" s="3">
        <v>44536.753217592595</v>
      </c>
      <c r="D9657" s="1" t="s">
        <v>19179</v>
      </c>
      <c r="E9657" s="1" t="str">
        <f ca="1">IFERROR(__xludf.DUMMYFUNCTION("GOOGLETRANSLATE(A6456 , ""tr"" , ""en"")"),"@drfahrettinkoca is more difficult to wait for this assignment than to study ..")</f>
        <v>@drfahrettinkoca is more difficult to wait for this assignment than to study ..</v>
      </c>
    </row>
    <row r="9658" spans="1:5" ht="15" customHeight="1" x14ac:dyDescent="0.2">
      <c r="A9658" s="1" t="s">
        <v>19180</v>
      </c>
      <c r="B9658" s="1">
        <v>1</v>
      </c>
      <c r="C9658" s="3">
        <v>44536.753125000003</v>
      </c>
      <c r="D9658" s="1" t="s">
        <v>19181</v>
      </c>
      <c r="E9658" s="1" t="str">
        <f ca="1">IFERROR(__xludf.DUMMYFUNCTION("GOOGLETRANSLATE(A6457 , ""tr"" , ""en"")"),"@drfahrettinkoca 40 Bin of Health Management Department in Bin Health Management Department Mr. Ministry https://t.co/kirvnduolt")</f>
        <v>@drfahrettinkoca 40 Bin of Health Management Department in Bin Health Management Department Mr. Ministry https://t.co/kirvnduolt</v>
      </c>
    </row>
    <row r="9659" spans="1:5" ht="15" customHeight="1" x14ac:dyDescent="0.2">
      <c r="A9659" s="1" t="s">
        <v>19182</v>
      </c>
      <c r="B9659" s="1">
        <v>1</v>
      </c>
      <c r="C9659" s="3">
        <v>44536.752916666665</v>
      </c>
      <c r="D9659" s="1" t="s">
        <v>19183</v>
      </c>
      <c r="E9659" s="1" t="str">
        <f ca="1">IFERROR(__xludf.DUMMYFUNCTION("GOOGLETRANSLATE(A6458 , ""tr"" , ""en"")"),"@drfahrettinka nearby hospitals will also cook that when you will lie to Nasil")</f>
        <v>@drfahrettinka nearby hospitals will also cook that when you will lie to Nasil</v>
      </c>
    </row>
    <row r="9660" spans="1:5" ht="15" customHeight="1" x14ac:dyDescent="0.2">
      <c r="A9660" s="1" t="s">
        <v>19184</v>
      </c>
      <c r="B9660" s="1">
        <v>0</v>
      </c>
      <c r="C9660" s="3">
        <v>44536.752870370372</v>
      </c>
      <c r="D9660" s="1" t="s">
        <v>19185</v>
      </c>
      <c r="E9660" s="1" t="str">
        <f ca="1">IFERROR(__xludf.DUMMYFUNCTION("GOOGLETRANSLATE(A6459 , ""tr"" , ""en"")"),"@drfahrettinkoca filim board with science board cooked 😀😃 😉 https://t.co/gelmqnf5rd")</f>
        <v>@drfahrettinkoca filim board with science board cooked 😀😃 😉 https://t.co/gelmqnf5rd</v>
      </c>
    </row>
    <row r="9661" spans="1:5" ht="15" customHeight="1" x14ac:dyDescent="0.2">
      <c r="A9661" s="1" t="s">
        <v>19186</v>
      </c>
      <c r="B9661" s="1">
        <v>0</v>
      </c>
      <c r="C9661" s="3">
        <v>44536.752858796295</v>
      </c>
      <c r="D9661" s="1" t="s">
        <v>19187</v>
      </c>
      <c r="E9661" s="1" t="str">
        <f ca="1">IFERROR(__xludf.DUMMYFUNCTION("GOOGLETRANSLATE(A6460 , ""tr"" , ""en"")"),"@drfahrettinka vaccine protecting the importance is that by whom? according to what? Yes a cut that is the importance of this job Kim wealth ... https://t.co/fot9k4x0rg")</f>
        <v>@drfahrettinka vaccine protecting the importance is that by whom? according to what? Yes a cut that is the importance of this job Kim wealth ... https://t.co/fot9k4x0rg</v>
      </c>
    </row>
    <row r="9662" spans="1:5" ht="15" customHeight="1" x14ac:dyDescent="0.2">
      <c r="A9662" s="1" t="s">
        <v>19188</v>
      </c>
      <c r="B9662" s="1">
        <v>10</v>
      </c>
      <c r="C9662" s="3">
        <v>44536.752847222226</v>
      </c>
      <c r="D9662" s="1" t="s">
        <v>19189</v>
      </c>
      <c r="E9662" s="1" t="str">
        <f ca="1">IFERROR(__xludf.DUMMYFUNCTION("GOOGLETRANSLATE(A6461 , ""tr"" , ""en"")"),"@drfahrettinkoca you will not say that you will be burning in this story")</f>
        <v>@drfahrettinkoca you will not say that you will be burning in this story</v>
      </c>
    </row>
    <row r="9663" spans="1:5" ht="15" customHeight="1" x14ac:dyDescent="0.2">
      <c r="A9663" s="1" t="s">
        <v>19190</v>
      </c>
      <c r="B9663" s="1">
        <v>0</v>
      </c>
      <c r="C9663" s="3">
        <v>44536.752800925926</v>
      </c>
      <c r="D9663" s="1" t="s">
        <v>19191</v>
      </c>
      <c r="E9663" s="1" t="str">
        <f ca="1">IFERROR(__xludf.DUMMYFUNCTION("GOOGLETRANSLATE(A6462 , ""tr"" , ""en"")"),"@drfahrettinkoca nations Wake up https://t.co/QXEIIZTJR")</f>
        <v>@drfahrettinkoca nations Wake up https://t.co/QXEIIZTJR</v>
      </c>
    </row>
    <row r="9664" spans="1:5" ht="15" customHeight="1" x14ac:dyDescent="0.2">
      <c r="A9664" s="1" t="s">
        <v>19192</v>
      </c>
      <c r="B9664" s="1">
        <v>0</v>
      </c>
      <c r="C9664" s="3">
        <v>44536.752685185187</v>
      </c>
      <c r="D9664" s="1" t="s">
        <v>19193</v>
      </c>
      <c r="E9664" s="1" t="str">
        <f ca="1">IFERROR(__xludf.DUMMYFUNCTION("GOOGLETRANSLATE(A6463 , ""tr"" , ""en"")"),"@drfahrettinkoca Guide Published Young people Don't go out")</f>
        <v>@drfahrettinkoca Guide Published Young people Don't go out</v>
      </c>
    </row>
    <row r="9665" spans="1:5" ht="15" customHeight="1" x14ac:dyDescent="0.2">
      <c r="A9665" s="1" t="s">
        <v>19194</v>
      </c>
      <c r="B9665" s="1">
        <v>0</v>
      </c>
      <c r="C9665" s="3">
        <v>44536.752662037034</v>
      </c>
      <c r="D9665" s="1" t="s">
        <v>19195</v>
      </c>
      <c r="E9665" s="1" t="str">
        <f ca="1">IFERROR(__xludf.DUMMYFUNCTION("GOOGLETRANSLATE(A6464 , ""tr"" , ""en"")"),"@drfahrettinkoca 40 Bin of Health Management Department in Buyuklik Alma Mr. Minister https://t.co/qvs4bfmfy4")</f>
        <v>@drfahrettinkoca 40 Bin of Health Management Department in Buyuklik Alma Mr. Minister https://t.co/qvs4bfmfy4</v>
      </c>
    </row>
    <row r="9666" spans="1:5" ht="15" customHeight="1" x14ac:dyDescent="0.2">
      <c r="A9666" s="1" t="s">
        <v>19196</v>
      </c>
      <c r="B9666" s="1">
        <v>0</v>
      </c>
      <c r="C9666" s="3">
        <v>44536.752662037034</v>
      </c>
      <c r="D9666" s="1" t="s">
        <v>19197</v>
      </c>
      <c r="E9666" s="1" t="str">
        <f ca="1">IFERROR(__xludf.DUMMYFUNCTION("GOOGLETRANSLATE(A6465 , ""tr"" , ""en"")"),"@drfahrettinkoca Hospital HEYS computing personnel currently the staff is still the staff. All y in hospitals ... https://t.co/8tzbweklcg")</f>
        <v>@drfahrettinkoca Hospital HEYS computing personnel currently the staff is still the staff. All y in hospitals ... https://t.co/8tzbweklcg</v>
      </c>
    </row>
    <row r="9667" spans="1:5" ht="15" customHeight="1" x14ac:dyDescent="0.2">
      <c r="A9667" s="1" t="s">
        <v>19198</v>
      </c>
      <c r="B9667" s="1">
        <v>1</v>
      </c>
      <c r="C9667" s="3">
        <v>44536.752638888887</v>
      </c>
      <c r="D9667" s="1" t="s">
        <v>19199</v>
      </c>
      <c r="E9667" s="1" t="str">
        <f ca="1">IFERROR(__xludf.DUMMYFUNCTION("GOOGLETRANSLATE(A6466 , ""tr"" , ""en"")"),"@drfahrettinkoca are you essay with the figures of the ardic")</f>
        <v>@drfahrettinkoca are you essay with the figures of the ardic</v>
      </c>
    </row>
    <row r="9668" spans="1:5" ht="15" customHeight="1" x14ac:dyDescent="0.2">
      <c r="A9668" s="1" t="s">
        <v>19200</v>
      </c>
      <c r="B9668" s="1">
        <v>1</v>
      </c>
      <c r="C9668" s="3">
        <v>44536.752615740741</v>
      </c>
      <c r="D9668" s="1" t="s">
        <v>19201</v>
      </c>
      <c r="E9668" s="1" t="str">
        <f ca="1">IFERROR(__xludf.DUMMYFUNCTION("GOOGLETRANSLATE(A6467 , ""tr"" , ""en"")"),"@drfahrettinkoca Dear Mr. If I'm going to be Minister Why don't you stay in the Bungun closed environments until the hands of the cocuk ... https://t.co/dks0bkkxe6")</f>
        <v>@drfahrettinkoca Dear Mr. If I'm going to be Minister Why don't you stay in the Bungun closed environments until the hands of the cocuk ... https://t.co/dks0bkkxe6</v>
      </c>
    </row>
    <row r="9669" spans="1:5" ht="15" customHeight="1" x14ac:dyDescent="0.2">
      <c r="A9669" s="1" t="s">
        <v>19202</v>
      </c>
      <c r="B9669" s="1">
        <v>0</v>
      </c>
      <c r="C9669" s="3">
        <v>44536.752476851849</v>
      </c>
      <c r="D9669" s="1" t="s">
        <v>19203</v>
      </c>
      <c r="E9669" s="1" t="str">
        <f ca="1">IFERROR(__xludf.DUMMYFUNCTION("GOOGLETRANSLATE(A6468 , ""tr"" , ""en"")"),"@drfahrettinkoca bi error-making. People dying no measures https://t.co/mas9wfkm8u")</f>
        <v>@drfahrettinkoca bi error-making. People dying no measures https://t.co/mas9wfkm8u</v>
      </c>
    </row>
    <row r="9670" spans="1:5" ht="15" customHeight="1" x14ac:dyDescent="0.2">
      <c r="A9670" s="1" t="s">
        <v>17125</v>
      </c>
      <c r="B9670" s="1">
        <v>4</v>
      </c>
      <c r="C9670" s="3">
        <v>44536.752395833333</v>
      </c>
      <c r="D9670" s="1" t="s">
        <v>19204</v>
      </c>
      <c r="E9670" s="1" t="str">
        <f ca="1">IFERROR(__xludf.DUMMYFUNCTION("GOOGLETRANSLATE(A6469 , ""tr"" , ""en"")"),"@drfahrettinka 5-11 years old children expect vaccination order.")</f>
        <v>@drfahrettinka 5-11 years old children expect vaccination order.</v>
      </c>
    </row>
    <row r="9671" spans="1:5" ht="15" customHeight="1" x14ac:dyDescent="0.2">
      <c r="A9671" s="1" t="s">
        <v>19205</v>
      </c>
      <c r="B9671" s="1">
        <v>1</v>
      </c>
      <c r="C9671" s="3">
        <v>44536.75236111111</v>
      </c>
      <c r="D9671" s="1" t="s">
        <v>19206</v>
      </c>
      <c r="E9671" s="1" t="str">
        <f ca="1">IFERROR(__xludf.DUMMYFUNCTION("GOOGLETRANSLATE(A6470 , ""tr"" , ""en"")"),"@drfahrettinkoca publish assignment guide @drfahrettinkoca # 40binatamayiyapkilicdaroglu")</f>
        <v>@drfahrettinkoca publish assignment guide @drfahrettinkoca # 40binatamayiyapkilicdaroglu</v>
      </c>
    </row>
    <row r="9672" spans="1:5" ht="15" customHeight="1" x14ac:dyDescent="0.2">
      <c r="A9672" s="1" t="s">
        <v>19207</v>
      </c>
      <c r="B9672" s="1">
        <v>0</v>
      </c>
      <c r="C9672" s="3">
        <v>44536.752291666664</v>
      </c>
      <c r="D9672" s="1" t="s">
        <v>19208</v>
      </c>
      <c r="E9672" s="1" t="str">
        <f ca="1">IFERROR(__xludf.DUMMYFUNCTION("GOOGLETRANSLATE(A6471 , ""tr"" , ""en"")"),"@drfahrettinkoca 40 Place of Health Management Department in Bin Labor Degree Mr. Ministry HTTPS://T.CO/IRFCV7AR4V")</f>
        <v>@drfahrettinkoca 40 Place of Health Management Department in Bin Labor Degree Mr. Ministry HTTPS://T.CO/IRFCV7AR4V</v>
      </c>
    </row>
    <row r="9673" spans="1:5" ht="15" customHeight="1" x14ac:dyDescent="0.2">
      <c r="A9673" s="1" t="s">
        <v>19209</v>
      </c>
      <c r="B9673" s="1">
        <v>39</v>
      </c>
      <c r="C9673" s="3">
        <v>44536.752175925925</v>
      </c>
      <c r="D9673" s="1" t="s">
        <v>19210</v>
      </c>
      <c r="E9673" s="1" t="str">
        <f ca="1">IFERROR(__xludf.DUMMYFUNCTION("GOOGLETRANSLATE(A6472 , ""tr"" , ""en"")"),"@drfahrettinka has at least 60 thousand these cases. # kabineuzaktanıditimşarteArt")</f>
        <v>@drfahrettinka has at least 60 thousand these cases. # kabineuzaktanıditimşarteArt</v>
      </c>
    </row>
    <row r="9674" spans="1:5" ht="15" customHeight="1" x14ac:dyDescent="0.2">
      <c r="A9674" s="1" t="s">
        <v>19211</v>
      </c>
      <c r="B9674" s="1">
        <v>0</v>
      </c>
      <c r="C9674" s="3">
        <v>44536.752141203702</v>
      </c>
      <c r="D9674" s="1" t="s">
        <v>19212</v>
      </c>
      <c r="E9674" s="1" t="str">
        <f ca="1">IFERROR(__xludf.DUMMYFUNCTION("GOOGLETRANSLATE(A6473 , ""tr"" , ""en"")"),"@drfahrettinkoca laughing voice. Opened Pfizer files are important to people what the fluid is important ... https://t.co/fuetr6lxnx")</f>
        <v>@drfahrettinkoca laughing voice. Opened Pfizer files are important to people what the fluid is important ... https://t.co/fuetr6lxnx</v>
      </c>
    </row>
    <row r="9675" spans="1:5" ht="15" customHeight="1" x14ac:dyDescent="0.2">
      <c r="A9675" s="1" t="s">
        <v>19213</v>
      </c>
      <c r="B9675" s="1">
        <v>0</v>
      </c>
      <c r="C9675" s="3">
        <v>44536.75204861111</v>
      </c>
      <c r="D9675" s="1" t="s">
        <v>19214</v>
      </c>
      <c r="E9675" s="1" t="str">
        <f ca="1">IFERROR(__xludf.DUMMYFUNCTION("GOOGLETRANSLATE(A6474 , ""tr"" , ""en"")"),"@drfahrettinkoca thousands of people even hearing of these people with their families, how to hear the fell of these people ... https://t.co/lmtx6exh7a")</f>
        <v>@drfahrettinkoca thousands of people even hearing of these people with their families, how to hear the fell of these people ... https://t.co/lmtx6exh7a</v>
      </c>
    </row>
    <row r="9676" spans="1:5" ht="15" customHeight="1" x14ac:dyDescent="0.2">
      <c r="A9676" s="1" t="s">
        <v>14069</v>
      </c>
      <c r="B9676" s="1">
        <v>0</v>
      </c>
      <c r="C9676" s="3">
        <v>44536.75204861111</v>
      </c>
      <c r="D9676" s="1" t="s">
        <v>19215</v>
      </c>
      <c r="E9676" s="1" t="str">
        <f ca="1">IFERROR(__xludf.DUMMYFUNCTION("GOOGLETRANSLATE(A6475 , ""tr"" , ""en"")"),"@drfahrettinka https://t.co/anrgdyxlbq")</f>
        <v>@drfahrettinka https://t.co/anrgdyxlbq</v>
      </c>
    </row>
    <row r="9677" spans="1:5" ht="15" customHeight="1" x14ac:dyDescent="0.2">
      <c r="A9677" s="1" t="s">
        <v>19216</v>
      </c>
      <c r="B9677" s="1">
        <v>0</v>
      </c>
      <c r="C9677" s="3">
        <v>44536.75199074074</v>
      </c>
      <c r="D9677" s="1" t="s">
        <v>19217</v>
      </c>
      <c r="E9677" s="1" t="str">
        <f ca="1">IFERROR(__xludf.DUMMYFUNCTION("GOOGLETRANSLATE(A6476 , ""tr"" , ""en"")"),"@drfahrettinkoca publish assignment guide @drfahrettinkoca # 40binatamayiyapkilicdaroglu")</f>
        <v>@drfahrettinkoca publish assignment guide @drfahrettinkoca # 40binatamayiyapkilicdaroglu</v>
      </c>
    </row>
    <row r="9678" spans="1:5" ht="15" customHeight="1" x14ac:dyDescent="0.2">
      <c r="A9678" s="1" t="s">
        <v>19218</v>
      </c>
      <c r="B9678" s="1">
        <v>0</v>
      </c>
      <c r="C9678" s="3">
        <v>44536.751944444448</v>
      </c>
      <c r="D9678" s="1" t="s">
        <v>19219</v>
      </c>
      <c r="E9678" s="1" t="str">
        <f ca="1">IFERROR(__xludf.DUMMYFUNCTION("GOOGLETRANSLATE(A6477 , ""tr"" , ""en"")"),"@drfahrettinkoca 40 Place of Health Management Department in Bin Take The Minister Https://t.co/ikmz0navja")</f>
        <v>@drfahrettinkoca 40 Place of Health Management Department in Bin Take The Minister Https://t.co/ikmz0navja</v>
      </c>
    </row>
    <row r="9679" spans="1:5" ht="15" customHeight="1" x14ac:dyDescent="0.2">
      <c r="A9679" s="1" t="s">
        <v>19220</v>
      </c>
      <c r="B9679" s="1">
        <v>0</v>
      </c>
      <c r="C9679" s="3">
        <v>44536.751875000002</v>
      </c>
      <c r="D9679" s="1" t="s">
        <v>19221</v>
      </c>
      <c r="E9679" s="1" t="str">
        <f ca="1">IFERROR(__xludf.DUMMYFUNCTION("GOOGLETRANSLATE(A6478 , ""tr"" , ""en"")"),"@drfahrettinkoca I forgot to write, it is the source of joy for us. Long time, you are upset with this nation too.")</f>
        <v>@drfahrettinkoca I forgot to write, it is the source of joy for us. Long time, you are upset with this nation too.</v>
      </c>
    </row>
    <row r="9680" spans="1:5" ht="15" customHeight="1" x14ac:dyDescent="0.2">
      <c r="A9680" s="1" t="s">
        <v>19222</v>
      </c>
      <c r="B9680" s="1">
        <v>0</v>
      </c>
      <c r="C9680" s="3">
        <v>44536.751840277779</v>
      </c>
      <c r="D9680" s="1" t="s">
        <v>19223</v>
      </c>
      <c r="E9680" s="1" t="str">
        <f ca="1">IFERROR(__xludf.DUMMYFUNCTION("GOOGLETRANSLATE(A6479 , ""tr"" , ""en"")"),"@drfahrettinkoca Mr. Overlooking Today I took my Mum to the Government Hospital Neurology Department.")</f>
        <v>@drfahrettinkoca Mr. Overlooking Today I took my Mum to the Government Hospital Neurology Department.</v>
      </c>
    </row>
    <row r="9681" spans="1:5" ht="15" customHeight="1" x14ac:dyDescent="0.2">
      <c r="A9681" s="1" t="s">
        <v>16832</v>
      </c>
      <c r="B9681" s="1">
        <v>7</v>
      </c>
      <c r="C9681" s="3">
        <v>44536.751712962963</v>
      </c>
      <c r="D9681" s="1" t="s">
        <v>19224</v>
      </c>
      <c r="E9681" s="1" t="str">
        <f ca="1">IFERROR(__xludf.DUMMYFUNCTION("GOOGLETRANSLATE(A6480 , ""tr"" , ""en"")"),"@drfahrettinkoca # kabineuzaktanılitimsart")</f>
        <v>@drfahrettinkoca # kabineuzaktanılitimsart</v>
      </c>
    </row>
    <row r="9682" spans="1:5" ht="15" customHeight="1" x14ac:dyDescent="0.2">
      <c r="A9682" s="1" t="s">
        <v>14067</v>
      </c>
      <c r="B9682" s="1">
        <v>0</v>
      </c>
      <c r="C9682" s="3">
        <v>44536.75167824074</v>
      </c>
      <c r="D9682" s="1" t="s">
        <v>19225</v>
      </c>
      <c r="E9682" s="1" t="str">
        <f ca="1">IFERROR(__xludf.DUMMYFUNCTION("GOOGLETRANSLATE(A6481 , ""tr"" , ""en"")"),"@drfahrettinka https://t.co/wjbkygqxvs")</f>
        <v>@drfahrettinka https://t.co/wjbkygqxvs</v>
      </c>
    </row>
    <row r="9683" spans="1:5" ht="15" customHeight="1" x14ac:dyDescent="0.2">
      <c r="A9683" s="1" t="s">
        <v>19226</v>
      </c>
      <c r="B9683" s="1">
        <v>0</v>
      </c>
      <c r="C9683" s="3">
        <v>44536.751608796294</v>
      </c>
      <c r="D9683" s="1" t="s">
        <v>19227</v>
      </c>
      <c r="E9683" s="1" t="str">
        <f ca="1">IFERROR(__xludf.DUMMYFUNCTION("GOOGLETRANSLATE(A6482 , ""tr"" , ""en"")"),"@drfahrettinka 3.Dozu Early Pull Omicron is spreading .. !!")</f>
        <v>@drfahrettinka 3.Dozu Early Pull Omicron is spreading .. !!</v>
      </c>
    </row>
    <row r="9684" spans="1:5" ht="15" customHeight="1" x14ac:dyDescent="0.2">
      <c r="A9684" s="1" t="s">
        <v>19216</v>
      </c>
      <c r="B9684" s="1">
        <v>1</v>
      </c>
      <c r="C9684" s="3">
        <v>44536.751608796294</v>
      </c>
      <c r="D9684" s="1" t="s">
        <v>19228</v>
      </c>
      <c r="E9684" s="1" t="str">
        <f ca="1">IFERROR(__xludf.DUMMYFUNCTION("GOOGLETRANSLATE(A6483 , ""tr"" , ""en"")"),"@drfahrettinkoca publish assignment guide @drfahrettinkoca # 40binatamayiyapkilicdaroglu")</f>
        <v>@drfahrettinkoca publish assignment guide @drfahrettinkoca # 40binatamayiyapkilicdaroglu</v>
      </c>
    </row>
    <row r="9685" spans="1:5" ht="15" customHeight="1" x14ac:dyDescent="0.2">
      <c r="A9685" s="1" t="s">
        <v>19229</v>
      </c>
      <c r="B9685" s="1">
        <v>1</v>
      </c>
      <c r="C9685" s="3">
        <v>44536.751597222225</v>
      </c>
      <c r="D9685" s="1" t="s">
        <v>19230</v>
      </c>
      <c r="E9685" s="1" t="str">
        <f ca="1">IFERROR(__xludf.DUMMYFUNCTION("GOOGLETRANSLATE(A6484 , ""tr"" , ""en"")"),"@drfahrettinka 82% of the age of 18 are two dose grafted and still protecting the importance of vaccine :)")</f>
        <v>@drfahrettinka 82% of the age of 18 are two dose grafted and still protecting the importance of vaccine :)</v>
      </c>
    </row>
    <row r="9686" spans="1:5" ht="15" customHeight="1" x14ac:dyDescent="0.2">
      <c r="A9686" s="1" t="s">
        <v>19231</v>
      </c>
      <c r="B9686" s="1">
        <v>0</v>
      </c>
      <c r="C9686" s="3">
        <v>44536.751550925925</v>
      </c>
      <c r="D9686" s="1" t="s">
        <v>19232</v>
      </c>
      <c r="E9686" s="1" t="str">
        <f ca="1">IFERROR(__xludf.DUMMYFUNCTION("GOOGLETRANSLATE(A6485 , ""tr"" , ""en"")"),"@drfahrettinkoca Mr. Minister V Youth ruined this uncertainty in the days ahead of the central center, onl ... https://t.co/gdkr8mns7w")</f>
        <v>@drfahrettinkoca Mr. Minister V Youth ruined this uncertainty in the days ahead of the central center, onl ... https://t.co/gdkr8mns7w</v>
      </c>
    </row>
    <row r="9687" spans="1:5" ht="15" customHeight="1" x14ac:dyDescent="0.2">
      <c r="A9687" s="1" t="s">
        <v>19233</v>
      </c>
      <c r="B9687" s="1">
        <v>0</v>
      </c>
      <c r="C9687" s="3">
        <v>44536.751539351855</v>
      </c>
      <c r="D9687" s="1" t="s">
        <v>19234</v>
      </c>
      <c r="E9687" s="1" t="str">
        <f ca="1">IFERROR(__xludf.DUMMYFUNCTION("GOOGLETRANSLATE(A6486 , ""tr"" , ""en"")"),"@drfahrettinkoca nation You will give you the hesao you will give hesao ...")</f>
        <v>@drfahrettinkoca nation You will give you the hesao you will give hesao ...</v>
      </c>
    </row>
    <row r="9688" spans="1:5" ht="15" customHeight="1" x14ac:dyDescent="0.2">
      <c r="A9688" s="1" t="s">
        <v>19235</v>
      </c>
      <c r="B9688" s="1">
        <v>1</v>
      </c>
      <c r="C9688" s="3">
        <v>44536.751469907409</v>
      </c>
      <c r="D9688" s="1" t="s">
        <v>19236</v>
      </c>
      <c r="E9688" s="1" t="str">
        <f ca="1">IFERROR(__xludf.DUMMYFUNCTION("GOOGLETRANSLATE(A6487 , ""tr"" , ""en"")"),"@drfahrettinkoca 40 Bin of Health Management Department of Health Administration Dear Minister Https://t.co/voqsa74ca8")</f>
        <v>@drfahrettinkoca 40 Bin of Health Management Department of Health Administration Dear Minister Https://t.co/voqsa74ca8</v>
      </c>
    </row>
    <row r="9689" spans="1:5" ht="15" customHeight="1" x14ac:dyDescent="0.2">
      <c r="A9689" s="1" t="s">
        <v>19216</v>
      </c>
      <c r="B9689" s="1">
        <v>1</v>
      </c>
      <c r="C9689" s="3">
        <v>44536.751284722224</v>
      </c>
      <c r="D9689" s="1" t="s">
        <v>19237</v>
      </c>
      <c r="E9689" s="1" t="str">
        <f ca="1">IFERROR(__xludf.DUMMYFUNCTION("GOOGLETRANSLATE(A6488 , ""tr"" , ""en"")"),"@drfahrettinkoca publish assignment guide @drfahrettinkoca # 40binatamayiyapkilicdaroglu")</f>
        <v>@drfahrettinkoca publish assignment guide @drfahrettinkoca # 40binatamayiyapkilicdaroglu</v>
      </c>
    </row>
    <row r="9690" spans="1:5" ht="15" customHeight="1" x14ac:dyDescent="0.2">
      <c r="A9690" s="1" t="s">
        <v>19238</v>
      </c>
      <c r="B9690" s="1">
        <v>0</v>
      </c>
      <c r="C9690" s="3">
        <v>44536.751273148147</v>
      </c>
      <c r="D9690" s="1" t="s">
        <v>19239</v>
      </c>
      <c r="E9690" s="1" t="str">
        <f ca="1">IFERROR(__xludf.DUMMYFUNCTION("GOOGLETRANSLATE(A6489 , ""tr"" , ""en"")"),"@drfahrettinkoca why are you happy. Or are you commissioning for each vaccine.")</f>
        <v>@drfahrettinkoca why are you happy. Or are you commissioning for each vaccine.</v>
      </c>
    </row>
    <row r="9691" spans="1:5" ht="15" customHeight="1" x14ac:dyDescent="0.2">
      <c r="A9691" s="1" t="s">
        <v>19240</v>
      </c>
      <c r="B9691" s="1">
        <v>1</v>
      </c>
      <c r="C9691" s="3">
        <v>44536.751076388886</v>
      </c>
      <c r="D9691" s="1" t="s">
        <v>19241</v>
      </c>
      <c r="E9691" s="1" t="str">
        <f ca="1">IFERROR(__xludf.DUMMYFUNCTION("GOOGLETRANSLATE(A6490 , ""tr"" , ""en"")"),"@drfahrettinkoca 40 Place of Health Management Department in Bin Health Administration Dear Minister Https://t.co/yrxcxuskjm")</f>
        <v>@drfahrettinkoca 40 Place of Health Management Department in Bin Health Administration Dear Minister Https://t.co/yrxcxuskjm</v>
      </c>
    </row>
    <row r="9692" spans="1:5" ht="15" customHeight="1" x14ac:dyDescent="0.2">
      <c r="A9692" s="1" t="s">
        <v>19242</v>
      </c>
      <c r="B9692" s="1">
        <v>1</v>
      </c>
      <c r="C9692" s="3">
        <v>44536.750937500001</v>
      </c>
      <c r="D9692" s="1" t="s">
        <v>19243</v>
      </c>
      <c r="E9692" s="1" t="str">
        <f ca="1">IFERROR(__xludf.DUMMYFUNCTION("GOOGLETRANSLATE(A6491 , ""tr"" , ""en"")"),"@drfahrettinkoca Healthiers waiting for assignment guidance More Don't wait @drfahrettinkoca # 40binatamayiyapkilicdaroglu")</f>
        <v>@drfahrettinkoca Healthiers waiting for assignment guidance More Don't wait @drfahrettinkoca # 40binatamayiyapkilicdaroglu</v>
      </c>
    </row>
    <row r="9693" spans="1:5" ht="15" customHeight="1" x14ac:dyDescent="0.2">
      <c r="A9693" s="1" t="s">
        <v>19244</v>
      </c>
      <c r="B9693" s="1">
        <v>2</v>
      </c>
      <c r="C9693" s="3">
        <v>44536.750914351855</v>
      </c>
      <c r="D9693" s="1" t="s">
        <v>19245</v>
      </c>
      <c r="E9693" s="1" t="str">
        <f ca="1">IFERROR(__xludf.DUMMYFUNCTION("GOOGLETRANSLATE(A6492 , ""tr"" , ""en"")"),"@drfahrettinkoca Hide cases Hide New Varyu Hide Online Meeting Make your own college Online Option right Sun ... https://t.co/i9skf4asgh")</f>
        <v>@drfahrettinkoca Hide cases Hide New Varyu Hide Online Meeting Make your own college Online Option right Sun ... https://t.co/i9skf4asgh</v>
      </c>
    </row>
    <row r="9694" spans="1:5" ht="15" customHeight="1" x14ac:dyDescent="0.2">
      <c r="A9694" s="1" t="s">
        <v>19246</v>
      </c>
      <c r="B9694" s="1">
        <v>0</v>
      </c>
      <c r="C9694" s="3">
        <v>44536.750844907408</v>
      </c>
      <c r="D9694" s="1" t="s">
        <v>19247</v>
      </c>
      <c r="E9694" s="1" t="str">
        <f ca="1">IFERROR(__xludf.DUMMYFUNCTION("GOOGLETRANSLATE(A6493 , ""tr"" , ""en"")"),"@drfahrettinkoca Sayin Minister I've been to 2 Asimida June. I've been in July of July.")</f>
        <v>@drfahrettinkoca Sayin Minister I've been to 2 Asimida June. I've been in July of July.</v>
      </c>
    </row>
    <row r="9695" spans="1:5" ht="15" customHeight="1" x14ac:dyDescent="0.2">
      <c r="A9695" s="1" t="s">
        <v>19248</v>
      </c>
      <c r="B9695" s="1">
        <v>0</v>
      </c>
      <c r="C9695" s="3">
        <v>44536.750694444447</v>
      </c>
      <c r="D9695" s="1" t="s">
        <v>19249</v>
      </c>
      <c r="E9695" s="1" t="str">
        <f ca="1">IFERROR(__xludf.DUMMYFUNCTION("GOOGLETRANSLATE(A6494 , ""tr"" , ""en"")"),"Why @drfahrettinka why don't you bring vaccine code app instead of stump, hes code? You know you are obliged to ... https://t.co/xauvvms7o9")</f>
        <v>Why @drfahrettinka why don't you bring vaccine code app instead of stump, hes code? You know you are obliged to ... https://t.co/xauvvms7o9</v>
      </c>
    </row>
    <row r="9696" spans="1:5" ht="15" customHeight="1" x14ac:dyDescent="0.2">
      <c r="A9696" s="1" t="s">
        <v>19250</v>
      </c>
      <c r="B9696" s="1">
        <v>0</v>
      </c>
      <c r="C9696" s="3">
        <v>44536.750613425924</v>
      </c>
      <c r="D9696" s="1" t="s">
        <v>19251</v>
      </c>
      <c r="E9696" s="1" t="str">
        <f ca="1">IFERROR(__xludf.DUMMYFUNCTION("GOOGLETRANSLATE(A6495 , ""tr"" , ""en"")"),"@drfahrettinkoca 40 premises in the 10-premium acquisition part of the Health Management Department Mr. Minister https://t.co/x6meqa46MP")</f>
        <v>@drfahrettinkoca 40 premises in the 10-premium acquisition part of the Health Management Department Mr. Minister https://t.co/x6meqa46MP</v>
      </c>
    </row>
    <row r="9697" spans="1:5" ht="15" customHeight="1" x14ac:dyDescent="0.2">
      <c r="A9697" s="1" t="s">
        <v>19252</v>
      </c>
      <c r="B9697" s="1">
        <v>1</v>
      </c>
      <c r="C9697" s="3">
        <v>44536.750590277778</v>
      </c>
      <c r="D9697" s="1" t="s">
        <v>19253</v>
      </c>
      <c r="E9697" s="1" t="str">
        <f ca="1">IFERROR(__xludf.DUMMYFUNCTION("GOOGLETRANSLATE(A6496 , ""tr"" , ""en"")"),"@drfahrettinkoca After so many saibes and even the science board is even woke up when you break the job all the way to you ... https://t.co/9g46ks5hqf")</f>
        <v>@drfahrettinkoca After so many saibes and even the science board is even woke up when you break the job all the way to you ... https://t.co/9g46ks5hqf</v>
      </c>
    </row>
    <row r="9698" spans="1:5" ht="15" customHeight="1" x14ac:dyDescent="0.2">
      <c r="A9698" s="1" t="s">
        <v>19254</v>
      </c>
      <c r="B9698" s="1">
        <v>1</v>
      </c>
      <c r="C9698" s="3">
        <v>44536.750567129631</v>
      </c>
      <c r="D9698" s="1" t="s">
        <v>19255</v>
      </c>
      <c r="E9698" s="1" t="str">
        <f ca="1">IFERROR(__xludf.DUMMYFUNCTION("GOOGLETRANSLATE(A6497 , ""tr"" , ""en"")"),"@drfahrettinkoca @saglikbakanligi is the guy to be the vaccine? All of what you fool your nation without opening the eye ... https://t.co/oa2mfqsxvm")</f>
        <v>@drfahrettinkoca @saglikbakanligi is the guy to be the vaccine? All of what you fool your nation without opening the eye ... https://t.co/oa2mfqsxvm</v>
      </c>
    </row>
    <row r="9699" spans="1:5" ht="15" customHeight="1" x14ac:dyDescent="0.2">
      <c r="A9699" s="1" t="s">
        <v>19256</v>
      </c>
      <c r="B9699" s="1">
        <v>1</v>
      </c>
      <c r="C9699" s="3">
        <v>44536.750543981485</v>
      </c>
      <c r="D9699" s="1" t="s">
        <v>19257</v>
      </c>
      <c r="E9699" s="1" t="str">
        <f ca="1">IFERROR(__xludf.DUMMYFUNCTION("GOOGLETRANSLATE(A6498 , ""tr"" , ""en"")"),"think of @drfahrettinkoca nation's collar now..What trust of the nor have the belief nor belief in your outbreak")</f>
        <v>think of @drfahrettinkoca nation's collar now..What trust of the nor have the belief nor belief in your outbreak</v>
      </c>
    </row>
    <row r="9700" spans="1:5" ht="15" customHeight="1" x14ac:dyDescent="0.2">
      <c r="A9700" s="1" t="s">
        <v>19258</v>
      </c>
      <c r="B9700" s="1">
        <v>38</v>
      </c>
      <c r="C9700" s="3">
        <v>44536.750520833331</v>
      </c>
      <c r="D9700" s="1" t="s">
        <v>19259</v>
      </c>
      <c r="E9700" s="1" t="str">
        <f ca="1">IFERROR(__xludf.DUMMYFUNCTION("GOOGLETRANSLATE(A6499 , ""tr"" , ""en"")"),"@drfahrettinkoca If you don't want to be high blood pressure sick, let your heart or brain take tiny tiny clots ... https://t.co/kxd6doae8y")</f>
        <v>@drfahrettinkoca If you don't want to be high blood pressure sick, let your heart or brain take tiny tiny clots ... https://t.co/kxd6doae8y</v>
      </c>
    </row>
    <row r="9701" spans="1:5" ht="15" customHeight="1" x14ac:dyDescent="0.2">
      <c r="A9701" s="1" t="s">
        <v>19205</v>
      </c>
      <c r="B9701" s="1">
        <v>2</v>
      </c>
      <c r="C9701" s="3">
        <v>44536.750428240739</v>
      </c>
      <c r="D9701" s="1" t="s">
        <v>19260</v>
      </c>
      <c r="E9701" s="1" t="str">
        <f ca="1">IFERROR(__xludf.DUMMYFUNCTION("GOOGLETRANSLATE(A6500 , ""tr"" , ""en"")"),"@drfahrettinkoca publish assignment guide @drfahrettinkoca # 40binatamayiyapkilicdaroglu")</f>
        <v>@drfahrettinkoca publish assignment guide @drfahrettinkoca # 40binatamayiyapkilicdaroglu</v>
      </c>
    </row>
    <row r="9702" spans="1:5" ht="15" customHeight="1" x14ac:dyDescent="0.2">
      <c r="A9702" s="1" t="s">
        <v>19261</v>
      </c>
      <c r="B9702" s="1">
        <v>1</v>
      </c>
      <c r="C9702" s="3">
        <v>44536.750393518516</v>
      </c>
      <c r="D9702" s="1" t="s">
        <v>19262</v>
      </c>
      <c r="E9702" s="1" t="str">
        <f ca="1">IFERROR(__xludf.DUMMYFUNCTION("GOOGLETRANSLATE(A6501 , ""tr"" , ""en"")"),"What about @drfahrettinka what about ??")</f>
        <v>What about @drfahrettinka what about ??</v>
      </c>
    </row>
    <row r="9703" spans="1:5" ht="15" customHeight="1" x14ac:dyDescent="0.2">
      <c r="A9703" s="1" t="s">
        <v>19263</v>
      </c>
      <c r="B9703" s="1">
        <v>0</v>
      </c>
      <c r="C9703" s="3">
        <v>44536.750185185185</v>
      </c>
      <c r="D9703" s="1" t="s">
        <v>19264</v>
      </c>
      <c r="E9703" s="1" t="str">
        <f ca="1">IFERROR(__xludf.DUMMYFUNCTION("GOOGLETRANSLATE(A6502 , ""tr"" , ""en"")"),"@drfahrettinkoca 40 Place of Health Management Department in Billet Purchase Mr. Minister https://t.co/v7wkno92bu")</f>
        <v>@drfahrettinkoca 40 Place of Health Management Department in Billet Purchase Mr. Minister https://t.co/v7wkno92bu</v>
      </c>
    </row>
    <row r="9704" spans="1:5" ht="15" customHeight="1" x14ac:dyDescent="0.2">
      <c r="A9704" s="1" t="s">
        <v>19265</v>
      </c>
      <c r="B9704" s="1">
        <v>2</v>
      </c>
      <c r="C9704" s="3">
        <v>44536.750138888892</v>
      </c>
      <c r="D9704" s="1" t="s">
        <v>19266</v>
      </c>
      <c r="E9704" s="1" t="str">
        <f ca="1">IFERROR(__xludf.DUMMYFUNCTION("GOOGLETRANSLATE(A6503 , ""tr"" , ""en"")"),"@drfahrettinka https://t.co/g4z5kc8gjp")</f>
        <v>@drfahrettinka https://t.co/g4z5kc8gjp</v>
      </c>
    </row>
    <row r="9705" spans="1:5" ht="15" customHeight="1" x14ac:dyDescent="0.2">
      <c r="A9705" s="1" t="s">
        <v>19205</v>
      </c>
      <c r="B9705" s="1">
        <v>0</v>
      </c>
      <c r="C9705" s="3">
        <v>44536.750057870369</v>
      </c>
      <c r="D9705" s="1" t="s">
        <v>19267</v>
      </c>
      <c r="E9705" s="1" t="str">
        <f ca="1">IFERROR(__xludf.DUMMYFUNCTION("GOOGLETRANSLATE(A6504 , ""tr"" , ""en"")"),"@drfahrettinkoca publish assignment guide @drfahrettinkoca # 40binatamayiyapkilicdaroglu")</f>
        <v>@drfahrettinkoca publish assignment guide @drfahrettinkoca # 40binatamayiyapkilicdaroglu</v>
      </c>
    </row>
    <row r="9706" spans="1:5" ht="15" customHeight="1" x14ac:dyDescent="0.2">
      <c r="A9706" s="1" t="s">
        <v>19268</v>
      </c>
      <c r="B9706" s="1">
        <v>22</v>
      </c>
      <c r="C9706" s="3">
        <v>44536.750034722223</v>
      </c>
      <c r="D9706" s="1" t="s">
        <v>19269</v>
      </c>
      <c r="E9706" s="1" t="str">
        <f ca="1">IFERROR(__xludf.DUMMYFUNCTION("GOOGLETRANSLATE(A6505 , ""tr"" , ""en"")"),"@drfahrettinkoca experiment we lost our friends at all we have never been happy when we have friends. How is this ... https://t.co/ugtngqqumz")</f>
        <v>@drfahrettinkoca experiment we lost our friends at all we have never been happy when we have friends. How is this ... https://t.co/ugtngqqumz</v>
      </c>
    </row>
    <row r="9707" spans="1:5" ht="15" customHeight="1" x14ac:dyDescent="0.2">
      <c r="A9707" s="1" t="s">
        <v>19270</v>
      </c>
      <c r="B9707" s="1">
        <v>0</v>
      </c>
      <c r="C9707" s="3">
        <v>44536.749849537038</v>
      </c>
      <c r="D9707" s="1" t="s">
        <v>19271</v>
      </c>
      <c r="E9707" s="1" t="str">
        <f ca="1">IFERROR(__xludf.DUMMYFUNCTION("GOOGLETRANSLATE(A6506 , ""tr"" , ""en"")"),"@drfahrettinkoca days are the assignment guide when you are getting so unresponsive in how you get the agenda please do so please make a beauty anymore")</f>
        <v>@drfahrettinkoca days are the assignment guide when you are getting so unresponsive in how you get the agenda please do so please make a beauty anymore</v>
      </c>
    </row>
    <row r="9708" spans="1:5" ht="15" customHeight="1" x14ac:dyDescent="0.2">
      <c r="A9708" s="1" t="s">
        <v>19272</v>
      </c>
      <c r="B9708" s="1">
        <v>10</v>
      </c>
      <c r="C9708" s="3">
        <v>44536.749780092592</v>
      </c>
      <c r="D9708" s="1" t="s">
        <v>19273</v>
      </c>
      <c r="E9708" s="1" t="str">
        <f ca="1">IFERROR(__xludf.DUMMYFUNCTION("GOOGLETRANSLATE(A6507 , ""tr"" , ""en"")"),"@drfahrettinkoca #Drfahrettinkoca #TrfArdudd Mr. Non-Looking Months # Non-Hitting the Name of Medical House Sector ... https://t.coheyr7d1kv")</f>
        <v>@drfahrettinkoca #Drfahrettinkoca #TrfArdudd Mr. Non-Looking Months # Non-Hitting the Name of Medical House Sector ... https://t.coheyr7d1kv</v>
      </c>
    </row>
    <row r="9709" spans="1:5" ht="15" customHeight="1" x14ac:dyDescent="0.2">
      <c r="A9709" s="1" t="s">
        <v>19274</v>
      </c>
      <c r="B9709" s="1">
        <v>0</v>
      </c>
      <c r="C9709" s="3">
        <v>44536.749768518515</v>
      </c>
      <c r="D9709" s="1" t="s">
        <v>19275</v>
      </c>
      <c r="E9709" s="1" t="str">
        <f ca="1">IFERROR(__xludf.DUMMYFUNCTION("GOOGLETRANSLATE(A6508 , ""tr"" , ""en"")"),"@drfahrettinkoca 40 Bin of Health Management Department in Billinity Also Mr. Minister https://t.co/zsbhkf2tea")</f>
        <v>@drfahrettinkoca 40 Bin of Health Management Department in Billinity Also Mr. Minister https://t.co/zsbhkf2tea</v>
      </c>
    </row>
    <row r="9710" spans="1:5" ht="15" customHeight="1" x14ac:dyDescent="0.2">
      <c r="A9710" s="1" t="s">
        <v>19276</v>
      </c>
      <c r="B9710" s="1">
        <v>6</v>
      </c>
      <c r="C9710" s="3">
        <v>44536.749745370369</v>
      </c>
      <c r="D9710" s="1" t="s">
        <v>19277</v>
      </c>
      <c r="E9710" s="1" t="str">
        <f ca="1">IFERROR(__xludf.DUMMYFUNCTION("GOOGLETRANSLATE(A6509 , ""tr"" , ""en"")"),"@drfahrettinkoca always came in Ha, I say to the future but even it's too broke now, there is no longer in the middle and GE ... https://t.co/nqig3xpkxn")</f>
        <v>@drfahrettinkoca always came in Ha, I say to the future but even it's too broke now, there is no longer in the middle and GE ... https://t.co/nqig3xpkxn</v>
      </c>
    </row>
    <row r="9711" spans="1:5" ht="15" customHeight="1" x14ac:dyDescent="0.2">
      <c r="A9711" s="1" t="s">
        <v>19278</v>
      </c>
      <c r="B9711" s="1">
        <v>0</v>
      </c>
      <c r="C9711" s="3">
        <v>44536.7496875</v>
      </c>
      <c r="D9711" s="1" t="s">
        <v>19279</v>
      </c>
      <c r="E9711" s="1" t="str">
        <f ca="1">IFERROR(__xludf.DUMMYFUNCTION("GOOGLETRANSLATE(A6510 , ""tr"" , ""en"")"),"@drfahrettinkoca Posts Assignment Guide @drfahrettinkoca # 40binatamayiyapkilicdaroglu")</f>
        <v>@drfahrettinkoca Posts Assignment Guide @drfahrettinkoca # 40binatamayiyapkilicdaroglu</v>
      </c>
    </row>
    <row r="9712" spans="1:5" ht="15" customHeight="1" x14ac:dyDescent="0.2">
      <c r="A9712" s="1" t="s">
        <v>19280</v>
      </c>
      <c r="B9712" s="1">
        <v>0</v>
      </c>
      <c r="C9712" s="3">
        <v>44536.749560185184</v>
      </c>
      <c r="D9712" s="1" t="s">
        <v>19281</v>
      </c>
      <c r="E9712" s="1" t="str">
        <f ca="1">IFERROR(__xludf.DUMMYFUNCTION("GOOGLETRANSLATE(A6511 , ""tr"" , ""en"")"),"@drfahrettinkoca I wonder if the numbers are certain to explain the manual so that it is so hard to look up. Nerve patient's nation.")</f>
        <v>@drfahrettinkoca I wonder if the numbers are certain to explain the manual so that it is so hard to look up. Nerve patient's nation.</v>
      </c>
    </row>
    <row r="9713" spans="1:5" ht="15" customHeight="1" x14ac:dyDescent="0.2">
      <c r="A9713" s="1" t="s">
        <v>19282</v>
      </c>
      <c r="B9713" s="1">
        <v>0</v>
      </c>
      <c r="C9713" s="3">
        <v>44536.749502314815</v>
      </c>
      <c r="D9713" s="1" t="s">
        <v>19283</v>
      </c>
      <c r="E9713" s="1" t="str">
        <f ca="1">IFERROR(__xludf.DUMMYFUNCTION("GOOGLETRANSLATE(A6512 , ""tr"" , ""en"")"),"@drfahrettinkoca claved?")</f>
        <v>@drfahrettinkoca claved?</v>
      </c>
    </row>
    <row r="9714" spans="1:5" ht="15" customHeight="1" x14ac:dyDescent="0.2">
      <c r="A9714" s="1" t="s">
        <v>19284</v>
      </c>
      <c r="B9714" s="1">
        <v>24</v>
      </c>
      <c r="C9714" s="3">
        <v>44536.749479166669</v>
      </c>
      <c r="D9714" s="1" t="s">
        <v>19285</v>
      </c>
      <c r="E9714" s="1" t="str">
        <f ca="1">IFERROR(__xludf.DUMMYFUNCTION("GOOGLETRANSLATE(A6513 , ""tr"" , ""en"")"),"@drfahrettinkoca Europe is similar to us with us, almost completed their vaccines and measures in countries ... https://t.co/rt37qhjjes")</f>
        <v>@drfahrettinkoca Europe is similar to us with us, almost completed their vaccines and measures in countries ... https://t.co/rt37qhjjes</v>
      </c>
    </row>
    <row r="9715" spans="1:5" ht="15" customHeight="1" x14ac:dyDescent="0.2">
      <c r="A9715" s="1" t="s">
        <v>19286</v>
      </c>
      <c r="B9715" s="1">
        <v>3</v>
      </c>
      <c r="C9715" s="3">
        <v>44536.749432870369</v>
      </c>
      <c r="D9715" s="1" t="s">
        <v>19287</v>
      </c>
      <c r="E9715" s="1" t="str">
        <f ca="1">IFERROR(__xludf.DUMMYFUNCTION("GOOGLETRANSLATE(A6514 , ""tr"" , ""en"")"),"@drfahrettinkoca 40 Bin of Health Management Department in Billet Altine Dear Minister Https://t.co/bdxokmfldz")</f>
        <v>@drfahrettinkoca 40 Bin of Health Management Department in Billet Altine Dear Minister Https://t.co/bdxokmfldz</v>
      </c>
    </row>
    <row r="9716" spans="1:5" ht="15" customHeight="1" x14ac:dyDescent="0.2">
      <c r="A9716" s="1" t="s">
        <v>19288</v>
      </c>
      <c r="B9716" s="1">
        <v>0</v>
      </c>
      <c r="C9716" s="3">
        <v>44536.749374999999</v>
      </c>
      <c r="D9716" s="1" t="s">
        <v>19289</v>
      </c>
      <c r="E9716" s="1" t="str">
        <f ca="1">IFERROR(__xludf.DUMMYFUNCTION("GOOGLETRANSLATE(A6515 , ""tr"" , ""en"")"),"@drfahrettinkoca EVISION Vaccine protects the importance. 2025 TURKEY POPULATION What Planned Gormakes ... https://t.co/wt8glcyjgw")</f>
        <v>@drfahrettinkoca EVISION Vaccine protects the importance. 2025 TURKEY POPULATION What Planned Gormakes ... https://t.co/wt8glcyjgw</v>
      </c>
    </row>
    <row r="9717" spans="1:5" ht="15" customHeight="1" x14ac:dyDescent="0.2">
      <c r="A9717" s="1" t="s">
        <v>19290</v>
      </c>
      <c r="B9717" s="1">
        <v>1</v>
      </c>
      <c r="C9717" s="3">
        <v>44536.749282407407</v>
      </c>
      <c r="D9717" s="1" t="s">
        <v>19291</v>
      </c>
      <c r="E9717" s="1" t="str">
        <f ca="1">IFERROR(__xludf.DUMMYFUNCTION("GOOGLETRANSLATE(A6516 , ""tr"" , ""en"")"),"@drfahrettinkoca allah that damn you version version cropping as you are crawling of us")</f>
        <v>@drfahrettinkoca allah that damn you version version cropping as you are crawling of us</v>
      </c>
    </row>
    <row r="9718" spans="1:5" ht="15" customHeight="1" x14ac:dyDescent="0.2">
      <c r="A9718" s="1" t="s">
        <v>19292</v>
      </c>
      <c r="B9718" s="1">
        <v>0</v>
      </c>
      <c r="C9718" s="3">
        <v>44536.749259259261</v>
      </c>
      <c r="D9718" s="1" t="s">
        <v>19293</v>
      </c>
      <c r="E9718" s="1" t="str">
        <f ca="1">IFERROR(__xludf.DUMMYFUNCTION("GOOGLETRANSLATE(A6517 , ""tr"" , ""en"")"),"@drfahrettinkoca Madem cases are so low so low these numbers to these numbers then remove the mask obligation ... https://t.co/wcemxewqlq")</f>
        <v>@drfahrettinkoca Madem cases are so low so low these numbers to these numbers then remove the mask obligation ... https://t.co/wcemxewqlq</v>
      </c>
    </row>
    <row r="9719" spans="1:5" ht="15" customHeight="1" x14ac:dyDescent="0.2">
      <c r="A9719" s="1" t="s">
        <v>19294</v>
      </c>
      <c r="B9719" s="1">
        <v>35</v>
      </c>
      <c r="C9719" s="3">
        <v>44536.749224537038</v>
      </c>
      <c r="D9719" s="1" t="s">
        <v>19295</v>
      </c>
      <c r="E9719" s="1" t="str">
        <f ca="1">IFERROR(__xludf.DUMMYFUNCTION("GOOGLETRANSLATE(A6518 , ""tr"" , ""en"")"),"@drfahrettinkoca # kabineuzaktanevitimşaşart We are dying to hear us anymorekkkkk !!!!!!")</f>
        <v>@drfahrettinkoca # kabineuzaktanevitimşaşart We are dying to hear us anymorekkkkk !!!!!!</v>
      </c>
    </row>
    <row r="9720" spans="1:5" ht="15" customHeight="1" x14ac:dyDescent="0.2">
      <c r="A9720" s="1" t="s">
        <v>19296</v>
      </c>
      <c r="B9720" s="1">
        <v>11</v>
      </c>
      <c r="C9720" s="3">
        <v>44536.749143518522</v>
      </c>
      <c r="D9720" s="1" t="s">
        <v>19297</v>
      </c>
      <c r="E9720" s="1" t="str">
        <f ca="1">IFERROR(__xludf.DUMMYFUNCTION("GOOGLETRANSLATE(A6519 , ""tr"" , ""en"")"),"@drfahrettinkoca Nation Do not blame at all What is the epidemic management in Europe, what is received and measures taken in Europe ... https://t.co/d9udxrsezs")</f>
        <v>@drfahrettinkoca Nation Do not blame at all What is the epidemic management in Europe, what is received and measures taken in Europe ... https://t.co/d9udxrsezs</v>
      </c>
    </row>
    <row r="9721" spans="1:5" ht="15" customHeight="1" x14ac:dyDescent="0.2">
      <c r="A9721" s="1" t="s">
        <v>19298</v>
      </c>
      <c r="B9721" s="1">
        <v>3</v>
      </c>
      <c r="C9721" s="3">
        <v>44536.749131944445</v>
      </c>
      <c r="D9721" s="1" t="s">
        <v>19299</v>
      </c>
      <c r="E9721" s="1" t="str">
        <f ca="1">IFERROR(__xludf.DUMMYFUNCTION("GOOGLETRANSLATE(A6520 , ""tr"" , ""en"")"),"@drfahrettinkoca Mr. Minister Let's go with you and we will be from the same vaccine in the same vaccine, at least agree to be the advertisement of the vaccine")</f>
        <v>@drfahrettinkoca Mr. Minister Let's go with you and we will be from the same vaccine in the same vaccine, at least agree to be the advertisement of the vaccine</v>
      </c>
    </row>
    <row r="9722" spans="1:5" ht="15" customHeight="1" x14ac:dyDescent="0.2">
      <c r="A9722" s="1" t="s">
        <v>19300</v>
      </c>
      <c r="B9722" s="1">
        <v>1</v>
      </c>
      <c r="C9722" s="3">
        <v>44536.749050925922</v>
      </c>
      <c r="D9722" s="1" t="s">
        <v>19301</v>
      </c>
      <c r="E9722" s="1" t="str">
        <f ca="1">IFERROR(__xludf.DUMMYFUNCTION("GOOGLETRANSLATE(A6521 , ""tr"" , ""en"")"),"@drfahrettinkoca 40 Bin of Health Management Department in Billet Purchase Mr. Minister https://t.co/oxfy9c8agt")</f>
        <v>@drfahrettinkoca 40 Bin of Health Management Department in Billet Purchase Mr. Minister https://t.co/oxfy9c8agt</v>
      </c>
    </row>
    <row r="9723" spans="1:5" ht="15" customHeight="1" x14ac:dyDescent="0.2">
      <c r="A9723" s="1" t="s">
        <v>19302</v>
      </c>
      <c r="B9723" s="1">
        <v>0</v>
      </c>
      <c r="C9723" s="3">
        <v>44536.748923611114</v>
      </c>
      <c r="D9723" s="1" t="s">
        <v>19303</v>
      </c>
      <c r="E9723" s="1" t="str">
        <f ca="1">IFERROR(__xludf.DUMMYFUNCTION("GOOGLETRANSLATE(A6522 , ""tr"" , ""en"")"),"@drfahrettinkoca firing new cikmis lying table OH Mis Citir Citir is eaten")</f>
        <v>@drfahrettinkoca firing new cikmis lying table OH Mis Citir Citir is eaten</v>
      </c>
    </row>
    <row r="9724" spans="1:5" ht="15" customHeight="1" x14ac:dyDescent="0.2">
      <c r="A9724" s="1" t="s">
        <v>19304</v>
      </c>
      <c r="B9724" s="1">
        <v>0</v>
      </c>
      <c r="C9724" s="3">
        <v>44536.748900462961</v>
      </c>
      <c r="D9724" s="1" t="s">
        <v>19305</v>
      </c>
      <c r="E9724" s="1" t="str">
        <f ca="1">IFERROR(__xludf.DUMMYFUNCTION("GOOGLETRANSLATE(A6523 , ""tr"" , ""en"")"),"@drfahrettinkoca From the mouth of the manual with the manual, you will quit Mr.")</f>
        <v>@drfahrettinkoca From the mouth of the manual with the manual, you will quit Mr.</v>
      </c>
    </row>
    <row r="9725" spans="1:5" ht="15" customHeight="1" x14ac:dyDescent="0.2">
      <c r="A9725" s="1" t="s">
        <v>19306</v>
      </c>
      <c r="B9725" s="1">
        <v>0</v>
      </c>
      <c r="C9725" s="3">
        <v>44536.748680555553</v>
      </c>
      <c r="D9725" s="1" t="s">
        <v>19307</v>
      </c>
      <c r="E9725" s="1" t="str">
        <f ca="1">IFERROR(__xludf.DUMMYFUNCTION("GOOGLETRANSLATE(A6524 , ""tr"" , ""en"")"),"@drfahrettinkoca kids where the covid can be the test. Why can't kids be Covid test in all of the hospitals made Covid test?")</f>
        <v>@drfahrettinkoca kids where the covid can be the test. Why can't kids be Covid test in all of the hospitals made Covid test?</v>
      </c>
    </row>
    <row r="9726" spans="1:5" ht="15" customHeight="1" x14ac:dyDescent="0.2">
      <c r="A9726" s="1" t="s">
        <v>19308</v>
      </c>
      <c r="B9726" s="1">
        <v>0</v>
      </c>
      <c r="C9726" s="3">
        <v>44536.748645833337</v>
      </c>
      <c r="D9726" s="1" t="s">
        <v>19309</v>
      </c>
      <c r="E9726" s="1" t="str">
        <f ca="1">IFERROR(__xludf.DUMMYFUNCTION("GOOGLETRANSLATE(A6525 , ""tr"" , ""en"")"),"@drfahrettinkoca is a reasonable explanation of the case numbers in the provinces where the vaccination is high, you have a sensible explanation of the fact that there are high numbers.")</f>
        <v>@drfahrettinkoca is a reasonable explanation of the case numbers in the provinces where the vaccination is high, you have a sensible explanation of the fact that there are high numbers.</v>
      </c>
    </row>
    <row r="9727" spans="1:5" ht="15" customHeight="1" x14ac:dyDescent="0.2">
      <c r="A9727" s="1" t="s">
        <v>19310</v>
      </c>
      <c r="B9727" s="1">
        <v>1</v>
      </c>
      <c r="C9727" s="3">
        <v>44536.748622685183</v>
      </c>
      <c r="D9727" s="1" t="s">
        <v>19311</v>
      </c>
      <c r="E9727" s="1" t="str">
        <f ca="1">IFERROR(__xludf.DUMMYFUNCTION("GOOGLETRANSLATE(A6526 , ""tr"" , ""en"")"),"@drfahrettinkoca 40 Bin of Health Management Department in Billet Tract Dear Minister Https://t.co/emzqjtfrlv")</f>
        <v>@drfahrettinkoca 40 Bin of Health Management Department in Billet Tract Dear Minister Https://t.co/emzqjtfrlv</v>
      </c>
    </row>
    <row r="9728" spans="1:5" ht="15" customHeight="1" x14ac:dyDescent="0.2">
      <c r="A9728" s="1" t="s">
        <v>19312</v>
      </c>
      <c r="B9728" s="1">
        <v>0</v>
      </c>
      <c r="C9728" s="3">
        <v>44536.748611111114</v>
      </c>
      <c r="D9728" s="1" t="s">
        <v>19313</v>
      </c>
      <c r="E9728" s="1" t="str">
        <f ca="1">IFERROR(__xludf.DUMMYFUNCTION("GOOGLETRANSLATE(A6527 , ""tr"" , ""en"")"),"@drfahrettinka https://t.co/idgdchkykn")</f>
        <v>@drfahrettinka https://t.co/idgdchkykn</v>
      </c>
    </row>
    <row r="9729" spans="1:5" ht="15" customHeight="1" x14ac:dyDescent="0.2">
      <c r="A9729" s="1" t="s">
        <v>19314</v>
      </c>
      <c r="B9729" s="1">
        <v>1</v>
      </c>
      <c r="C9729" s="3">
        <v>44536.748287037037</v>
      </c>
      <c r="D9729" s="1" t="s">
        <v>19315</v>
      </c>
      <c r="E9729" s="1" t="str">
        <f ca="1">IFERROR(__xludf.DUMMYFUNCTION("GOOGLETRANSLATE(A6528 , ""tr"" , ""en"")"),"@drfahrettinkoca 40 Bin of Health Management Department in Billet Tract Dear Minister Https://t.co/md03bewliu")</f>
        <v>@drfahrettinkoca 40 Bin of Health Management Department in Billet Tract Dear Minister Https://t.co/md03bewliu</v>
      </c>
    </row>
    <row r="9730" spans="1:5" ht="15" customHeight="1" x14ac:dyDescent="0.2">
      <c r="A9730" s="1" t="s">
        <v>19316</v>
      </c>
      <c r="B9730" s="1">
        <v>0</v>
      </c>
      <c r="C9730" s="3">
        <v>44536.748078703706</v>
      </c>
      <c r="D9730" s="1" t="s">
        <v>19317</v>
      </c>
      <c r="E9730" s="1" t="str">
        <f ca="1">IFERROR(__xludf.DUMMYFUNCTION("GOOGLETRANSLATE(A6529 , ""tr"" , ""en"")"),"@drfahrettinkoca don't call it everyday for allah consent and make vaccination. Wouldn't be stated that would be wanting. Psychology in humans have no longer left.")</f>
        <v>@drfahrettinkoca don't call it everyday for allah consent and make vaccination. Wouldn't be stated that would be wanting. Psychology in humans have no longer left.</v>
      </c>
    </row>
    <row r="9731" spans="1:5" ht="15" customHeight="1" x14ac:dyDescent="0.2">
      <c r="A9731" s="1" t="s">
        <v>19318</v>
      </c>
      <c r="B9731" s="1">
        <v>66</v>
      </c>
      <c r="C9731" s="3">
        <v>44536.748020833336</v>
      </c>
      <c r="D9731" s="1" t="s">
        <v>19319</v>
      </c>
      <c r="E9731" s="1" t="str">
        <f ca="1">IFERROR(__xludf.DUMMYFUNCTION("GOOGLETRANSLATE(A6530 , ""tr"" , ""en"")"),"@drfahrettinkoca Temcit Pilaf, such as vaccine.")</f>
        <v>@drfahrettinkoca Temcit Pilaf, such as vaccine.</v>
      </c>
    </row>
    <row r="9732" spans="1:5" ht="15" customHeight="1" x14ac:dyDescent="0.2">
      <c r="A9732" s="1" t="s">
        <v>19320</v>
      </c>
      <c r="B9732" s="1">
        <v>1</v>
      </c>
      <c r="C9732" s="3">
        <v>44536.747974537036</v>
      </c>
      <c r="D9732" s="1" t="s">
        <v>19321</v>
      </c>
      <c r="E9732" s="1" t="str">
        <f ca="1">IFERROR(__xludf.DUMMYFUNCTION("GOOGLETRANSLATE(A6531 , ""tr"" , ""en"")"),"@drfahrettinkoca is the most welcoming winners of the money in this work iliba. Before you first publish the side effects of the vaccine and the report of their deaths.")</f>
        <v>@drfahrettinkoca is the most welcoming winners of the money in this work iliba. Before you first publish the side effects of the vaccine and the report of their deaths.</v>
      </c>
    </row>
    <row r="9733" spans="1:5" ht="15" customHeight="1" x14ac:dyDescent="0.2">
      <c r="A9733" s="1" t="s">
        <v>19322</v>
      </c>
      <c r="B9733" s="1">
        <v>0</v>
      </c>
      <c r="C9733" s="3">
        <v>44536.747847222221</v>
      </c>
      <c r="D9733" s="1" t="s">
        <v>19323</v>
      </c>
      <c r="E9733" s="1" t="str">
        <f ca="1">IFERROR(__xludf.DUMMYFUNCTION("GOOGLETRANSLATE(A6532 , ""tr"" , ""en"")"),"@drfahrettinkoca 40 Place of Health Management Department in Bin Labor Degree Mr. Ministry https://t.co/tqxh2i6f2k")</f>
        <v>@drfahrettinkoca 40 Place of Health Management Department in Bin Labor Degree Mr. Ministry https://t.co/tqxh2i6f2k</v>
      </c>
    </row>
    <row r="9734" spans="1:5" ht="15" customHeight="1" x14ac:dyDescent="0.2">
      <c r="A9734" s="1" t="s">
        <v>19324</v>
      </c>
      <c r="B9734" s="1">
        <v>0</v>
      </c>
      <c r="C9734" s="3">
        <v>44536.747708333336</v>
      </c>
      <c r="D9734" s="1" t="s">
        <v>19325</v>
      </c>
      <c r="E9734" s="1" t="str">
        <f ca="1">IFERROR(__xludf.DUMMYFUNCTION("GOOGLETRANSLATE(A6533 , ""tr"" , ""en"")"),"@drfahrettinkoca then hit all itself be happy be keeping you")</f>
        <v>@drfahrettinkoca then hit all itself be happy be keeping you</v>
      </c>
    </row>
    <row r="9735" spans="1:5" ht="15" customHeight="1" x14ac:dyDescent="0.2">
      <c r="A9735" s="1" t="s">
        <v>19326</v>
      </c>
      <c r="B9735" s="1">
        <v>0</v>
      </c>
      <c r="C9735" s="3">
        <v>44536.747696759259</v>
      </c>
      <c r="D9735" s="1" t="s">
        <v>19327</v>
      </c>
      <c r="E9735" s="1" t="str">
        <f ca="1">IFERROR(__xludf.DUMMYFUNCTION("GOOGLETRANSLATE(A6534 , ""tr"" , ""en"")"),"@drfahrettinkoca yes vaccine keeps the importance 😀😃 https://t.co/rzkvtaxpmr")</f>
        <v>@drfahrettinkoca yes vaccine keeps the importance 😀😃 https://t.co/rzkvtaxpmr</v>
      </c>
    </row>
    <row r="9736" spans="1:5" ht="15" customHeight="1" x14ac:dyDescent="0.2">
      <c r="A9736" s="1" t="s">
        <v>19328</v>
      </c>
      <c r="B9736" s="1">
        <v>0</v>
      </c>
      <c r="C9736" s="3">
        <v>44536.747685185182</v>
      </c>
      <c r="D9736" s="1" t="s">
        <v>19329</v>
      </c>
      <c r="E9736" s="1" t="str">
        <f ca="1">IFERROR(__xludf.DUMMYFUNCTION("GOOGLETRANSLATE(A6535 , ""tr"" , ""en"")"),"@drfahrettinkoca desire not believing in your lies this vaccination from the love of this vaccine")</f>
        <v>@drfahrettinkoca desire not believing in your lies this vaccination from the love of this vaccine</v>
      </c>
    </row>
    <row r="9737" spans="1:5" ht="15" customHeight="1" x14ac:dyDescent="0.2">
      <c r="A9737" s="1" t="s">
        <v>19330</v>
      </c>
      <c r="B9737" s="1">
        <v>0</v>
      </c>
      <c r="C9737" s="3">
        <v>44536.747673611113</v>
      </c>
      <c r="D9737" s="1" t="s">
        <v>19331</v>
      </c>
      <c r="E9737" s="1" t="str">
        <f ca="1">IFERROR(__xludf.DUMMYFUNCTION("GOOGLETRANSLATE(A6536 , ""tr"" , ""en"")"),"@drfahrettinkoca The reason why you don't have serious increases what you think it could be nobody benefit from the liquids, did not benefit from the y ... https://t.co/AVN1RZRWIG")</f>
        <v>@drfahrettinkoca The reason why you don't have serious increases what you think it could be nobody benefit from the liquids, did not benefit from the y ... https://t.co/AVN1RZRWIG</v>
      </c>
    </row>
    <row r="9738" spans="1:5" ht="15" customHeight="1" x14ac:dyDescent="0.2">
      <c r="A9738" s="1" t="s">
        <v>19332</v>
      </c>
      <c r="B9738" s="1">
        <v>0</v>
      </c>
      <c r="C9738" s="3">
        <v>44536.747604166667</v>
      </c>
      <c r="D9738" s="1" t="s">
        <v>19333</v>
      </c>
      <c r="E9738" s="1" t="str">
        <f ca="1">IFERROR(__xludf.DUMMYFUNCTION("GOOGLETRANSLATE(A6537 , ""tr"" , ""en"")"),"@drfahrettinkoca Mr. Minister, 1.Doshamer who has been 90 percent of those who are still not finished? Or the vaccines work ... https://t.co/evutuwwouh")</f>
        <v>@drfahrettinkoca Mr. Minister, 1.Doshamer who has been 90 percent of those who are still not finished? Or the vaccines work ... https://t.co/evutuwwouh</v>
      </c>
    </row>
    <row r="9739" spans="1:5" ht="15" customHeight="1" x14ac:dyDescent="0.2">
      <c r="A9739" s="1" t="s">
        <v>19334</v>
      </c>
      <c r="B9739" s="1">
        <v>0</v>
      </c>
      <c r="C9739" s="3">
        <v>44536.747581018521</v>
      </c>
      <c r="D9739" s="1" t="s">
        <v>19335</v>
      </c>
      <c r="E9739" s="1" t="str">
        <f ca="1">IFERROR(__xludf.DUMMYFUNCTION("GOOGLETRANSLATE(A6538 , ""tr"" , ""en"")"),"@drfahrettinka has been better than what you solve the vaccine was still better than Hersey.")</f>
        <v>@drfahrettinka has been better than what you solve the vaccine was still better than Hersey.</v>
      </c>
    </row>
    <row r="9740" spans="1:5" ht="15" customHeight="1" x14ac:dyDescent="0.2">
      <c r="A9740" s="1" t="s">
        <v>19336</v>
      </c>
      <c r="B9740" s="1">
        <v>2</v>
      </c>
      <c r="C9740" s="3">
        <v>44536.747546296298</v>
      </c>
      <c r="D9740" s="1" t="s">
        <v>19337</v>
      </c>
      <c r="E9740" s="1" t="str">
        <f ca="1">IFERROR(__xludf.DUMMYFUNCTION("GOOGLETRANSLATE(A6539 , ""tr"" , ""en"")"),"@drfahrettinkoca Faferin Anla is now hell with your lies no longer fitting the spearbook. Wrong treatment ... https://t.co/pt8uvxb4yl")</f>
        <v>@drfahrettinkoca Faferin Anla is now hell with your lies no longer fitting the spearbook. Wrong treatment ... https://t.co/pt8uvxb4yl</v>
      </c>
    </row>
    <row r="9741" spans="1:5" ht="15" customHeight="1" x14ac:dyDescent="0.2">
      <c r="A9741" s="1" t="s">
        <v>19338</v>
      </c>
      <c r="B9741" s="1">
        <v>0</v>
      </c>
      <c r="C9741" s="3">
        <v>44536.747534722221</v>
      </c>
      <c r="D9741" s="1" t="s">
        <v>19339</v>
      </c>
      <c r="E9741" s="1" t="str">
        <f ca="1">IFERROR(__xludf.DUMMYFUNCTION("GOOGLETRANSLATE(A6540 , ""tr"" , ""en"")"),"@drfahrettinkoca 40 Place of Health Management Department in Buyukli Almatı Mr. Minister https://t.co/ystnmsxgwz")</f>
        <v>@drfahrettinkoca 40 Place of Health Management Department in Buyukli Almatı Mr. Minister https://t.co/ystnmsxgwz</v>
      </c>
    </row>
    <row r="9742" spans="1:5" ht="15" customHeight="1" x14ac:dyDescent="0.2">
      <c r="A9742" s="1" t="s">
        <v>19340</v>
      </c>
      <c r="B9742" s="1">
        <v>0</v>
      </c>
      <c r="C9742" s="3">
        <v>44536.747523148151</v>
      </c>
      <c r="D9742" s="1" t="s">
        <v>19341</v>
      </c>
      <c r="E9742" s="1" t="str">
        <f ca="1">IFERROR(__xludf.DUMMYFUNCTION("GOOGLETRANSLATE(A6541 , ""tr"" , ""en"")"),"@drfahrettinkoca is waiting for assignment. Our eye is in your ear. When will this speech to end? @drfahrettinkoca")</f>
        <v>@drfahrettinkoca is waiting for assignment. Our eye is in your ear. When will this speech to end? @drfahrettinkoca</v>
      </c>
    </row>
    <row r="9743" spans="1:5" ht="15" customHeight="1" x14ac:dyDescent="0.2">
      <c r="A9743" s="1" t="s">
        <v>19342</v>
      </c>
      <c r="B9743" s="1">
        <v>1</v>
      </c>
      <c r="C9743" s="3">
        <v>44536.747488425928</v>
      </c>
      <c r="D9743" s="1" t="s">
        <v>19343</v>
      </c>
      <c r="E9743" s="1" t="str">
        <f ca="1">IFERROR(__xludf.DUMMYFUNCTION("GOOGLETRANSLATE(A6542 , ""tr"" , ""en"")"),"@drfahrettinkoca This gifi assignment is coming to the bottom of each post 🤣 I guess that a variant variant has been contamed to me 😅 https://t.co/1koe7j5ztp")</f>
        <v>@drfahrettinkoca This gifi assignment is coming to the bottom of each post 🤣 I guess that a variant variant has been contamed to me 😅 https://t.co/1koe7j5ztp</v>
      </c>
    </row>
    <row r="9744" spans="1:5" ht="15" customHeight="1" x14ac:dyDescent="0.2">
      <c r="A9744" s="1" t="s">
        <v>19344</v>
      </c>
      <c r="B9744" s="1">
        <v>0</v>
      </c>
      <c r="C9744" s="3">
        <v>44536.747164351851</v>
      </c>
      <c r="D9744" s="1" t="s">
        <v>19345</v>
      </c>
      <c r="E9744" s="1" t="str">
        <f ca="1">IFERROR(__xludf.DUMMYFUNCTION("GOOGLETRANSLATE(A6543 , ""tr"" , ""en"")"),"@drfahrettinkoca mountain heard stones heard you don't hear us .. @drfahrettinkoca")</f>
        <v>@drfahrettinkoca mountain heard stones heard you don't hear us .. @drfahrettinkoca</v>
      </c>
    </row>
    <row r="9745" spans="1:5" ht="15" customHeight="1" x14ac:dyDescent="0.2">
      <c r="A9745" s="1" t="s">
        <v>19346</v>
      </c>
      <c r="B9745" s="1">
        <v>0</v>
      </c>
      <c r="C9745" s="3">
        <v>44536.747164351851</v>
      </c>
      <c r="D9745" s="1" t="s">
        <v>19347</v>
      </c>
      <c r="E9745" s="1" t="str">
        <f ca="1">IFERROR(__xludf.DUMMYFUNCTION("GOOGLETRANSLATE(A6544 , ""tr"" , ""en"")"),"@drfahrettinka guide to the Uncle Council of Minister Bey who left you no need.")</f>
        <v>@drfahrettinka guide to the Uncle Council of Minister Bey who left you no need.</v>
      </c>
    </row>
    <row r="9746" spans="1:5" ht="15" customHeight="1" x14ac:dyDescent="0.2">
      <c r="A9746" s="1" t="s">
        <v>19348</v>
      </c>
      <c r="B9746" s="1">
        <v>0</v>
      </c>
      <c r="C9746" s="3">
        <v>44536.747152777774</v>
      </c>
      <c r="D9746" s="1" t="s">
        <v>19349</v>
      </c>
      <c r="E9746" s="1" t="str">
        <f ca="1">IFERROR(__xludf.DUMMYFUNCTION("GOOGLETRANSLATE(A6545 , ""tr"" , ""en"")"),"@drfahrettinkoca fully expect guide for 1 month !!!")</f>
        <v>@drfahrettinkoca fully expect guide for 1 month !!!</v>
      </c>
    </row>
    <row r="9747" spans="1:5" ht="15" customHeight="1" x14ac:dyDescent="0.2">
      <c r="A9747" s="1" t="s">
        <v>19350</v>
      </c>
      <c r="B9747" s="1">
        <v>0</v>
      </c>
      <c r="C9747" s="3">
        <v>44536.747141203705</v>
      </c>
      <c r="D9747" s="1" t="s">
        <v>19351</v>
      </c>
      <c r="E9747" s="1" t="str">
        <f ca="1">IFERROR(__xludf.DUMMYFUNCTION("GOOGLETRANSLATE(A6546 , ""tr"" , ""en"")"),"@drfahrettinka after becoming vaccine, they started to form troubles in my heart, you are responsible for ...")</f>
        <v>@drfahrettinka after becoming vaccine, they started to form troubles in my heart, you are responsible for ...</v>
      </c>
    </row>
    <row r="9748" spans="1:5" ht="15" customHeight="1" x14ac:dyDescent="0.2">
      <c r="A9748" s="1" t="s">
        <v>19352</v>
      </c>
      <c r="B9748" s="1">
        <v>0</v>
      </c>
      <c r="C9748" s="3">
        <v>44536.746979166666</v>
      </c>
      <c r="D9748" s="1" t="s">
        <v>19353</v>
      </c>
      <c r="E9748" s="1" t="str">
        <f ca="1">IFERROR(__xludf.DUMMYFUNCTION("GOOGLETRANSLATE(A6547 , ""tr"" , ""en"")"),"@drfahrettinkoca 40 premises also take place in health management as well as Mr. Minister https://t.co/byngfumfrb")</f>
        <v>@drfahrettinkoca 40 premises also take place in health management as well as Mr. Minister https://t.co/byngfumfrb</v>
      </c>
    </row>
    <row r="9749" spans="1:5" ht="15" customHeight="1" x14ac:dyDescent="0.2">
      <c r="A9749" s="1" t="s">
        <v>19354</v>
      </c>
      <c r="B9749" s="1">
        <v>0</v>
      </c>
      <c r="C9749" s="3">
        <v>44536.74690972222</v>
      </c>
      <c r="D9749" s="1" t="s">
        <v>19355</v>
      </c>
      <c r="E9749" s="1" t="str">
        <f ca="1">IFERROR(__xludf.DUMMYFUNCTION("GOOGLETRANSLATE(A6548 , ""tr"" , ""en"")"),"@drfahrettinkoca @drfahrettinkoca Hani you said you have given 40k assignment 3 times you have promised ... https://t.co/imzkaslcl6")</f>
        <v>@drfahrettinkoca @drfahrettinkoca Hani you said you have given 40k assignment 3 times you have promised ... https://t.co/imzkaslcl6</v>
      </c>
    </row>
    <row r="9750" spans="1:5" ht="15" customHeight="1" x14ac:dyDescent="0.2">
      <c r="A9750" s="1" t="s">
        <v>19356</v>
      </c>
      <c r="B9750" s="1">
        <v>11</v>
      </c>
      <c r="C9750" s="3">
        <v>44536.746874999997</v>
      </c>
      <c r="D9750" s="1" t="s">
        <v>19357</v>
      </c>
      <c r="E9750" s="1" t="str">
        <f ca="1">IFERROR(__xludf.DUMMYFUNCTION("GOOGLETRANSLATE(A6549 , ""tr"" , ""en"")"),"@drfahrettinkoca I crossed to be frustrated now, so far offended too. Thousands of people are trying to announce our voice months ... https://t.co/eoznjftex8")</f>
        <v>@drfahrettinkoca I crossed to be frustrated now, so far offended too. Thousands of people are trying to announce our voice months ... https://t.co/eoznjftex8</v>
      </c>
    </row>
    <row r="9751" spans="1:5" ht="15" customHeight="1" x14ac:dyDescent="0.2">
      <c r="A9751" s="1" t="s">
        <v>19358</v>
      </c>
      <c r="B9751" s="1">
        <v>1</v>
      </c>
      <c r="C9751" s="3">
        <v>44536.746874999997</v>
      </c>
      <c r="D9751" s="1" t="s">
        <v>19359</v>
      </c>
      <c r="E9751" s="1" t="str">
        <f ca="1">IFERROR(__xludf.DUMMYFUNCTION("GOOGLETRANSLATE(A6550 , ""tr"" , ""en"")"),"@drfahrettinkoca Wake up HTTPS://T.CO/9AEI2FU0pn")</f>
        <v>@drfahrettinkoca Wake up HTTPS://T.CO/9AEI2FU0pn</v>
      </c>
    </row>
    <row r="9752" spans="1:5" ht="15" customHeight="1" x14ac:dyDescent="0.2">
      <c r="A9752" s="1" t="s">
        <v>19360</v>
      </c>
      <c r="B9752" s="1">
        <v>0</v>
      </c>
      <c r="C9752" s="3">
        <v>44536.746851851851</v>
      </c>
      <c r="D9752" s="1" t="s">
        <v>19361</v>
      </c>
      <c r="E9752" s="1" t="str">
        <f ca="1">IFERROR(__xludf.DUMMYFUNCTION("GOOGLETRANSLATE(A6551 , ""tr"" , ""en"")"),"@drfahrettinkoca pandemia")</f>
        <v>@drfahrettinkoca pandemia</v>
      </c>
    </row>
    <row r="9753" spans="1:5" ht="15" customHeight="1" x14ac:dyDescent="0.2">
      <c r="A9753" s="1" t="s">
        <v>19362</v>
      </c>
      <c r="B9753" s="1">
        <v>0</v>
      </c>
      <c r="C9753" s="3">
        <v>44536.746793981481</v>
      </c>
      <c r="D9753" s="1" t="s">
        <v>19363</v>
      </c>
      <c r="E9753" s="1" t="str">
        <f ca="1">IFERROR(__xludf.DUMMYFUNCTION("GOOGLETRANSLATE(A6552 , ""tr"" , ""en"")"),"@drfahrettinkoca sadeci one presentation acknowledge case 20 thousand ken how 25 thousand ilesen oluyo")</f>
        <v>@drfahrettinkoca sadeci one presentation acknowledge case 20 thousand ken how 25 thousand ilesen oluyo</v>
      </c>
    </row>
    <row r="9754" spans="1:5" ht="15" customHeight="1" x14ac:dyDescent="0.2">
      <c r="A9754" s="1" t="s">
        <v>19364</v>
      </c>
      <c r="B9754" s="1">
        <v>2</v>
      </c>
      <c r="C9754" s="3">
        <v>44536.746782407405</v>
      </c>
      <c r="D9754" s="1" t="s">
        <v>19365</v>
      </c>
      <c r="E9754" s="1" t="str">
        <f ca="1">IFERROR(__xludf.DUMMYFUNCTION("GOOGLETRANSLATE(A6553 , ""tr"" , ""en"")"),"@drfahrettinkoca vaccine We don't have as much value or users to be pity @drfahrettinkoca")</f>
        <v>@drfahrettinkoca vaccine We don't have as much value or users to be pity @drfahrettinkoca</v>
      </c>
    </row>
    <row r="9755" spans="1:5" ht="15" customHeight="1" x14ac:dyDescent="0.2">
      <c r="A9755" s="1" t="s">
        <v>19366</v>
      </c>
      <c r="B9755" s="1">
        <v>1</v>
      </c>
      <c r="C9755" s="3">
        <v>44536.746759259258</v>
      </c>
      <c r="D9755" s="1" t="s">
        <v>19367</v>
      </c>
      <c r="E9755" s="1" t="str">
        <f ca="1">IFERROR(__xludf.DUMMYFUNCTION("GOOGLETRANSLATE(A6554 , ""tr"" , ""en"")"),"@drfahrettinkoca HE Meanwhile I have been from your face. Two jihands will be on your hand side. More T ... https://t.co/jjsyzg3s1x")</f>
        <v>@drfahrettinkoca HE Meanwhile I have been from your face. Two jihands will be on your hand side. More T ... https://t.co/jjsyzg3s1x</v>
      </c>
    </row>
    <row r="9756" spans="1:5" ht="15" customHeight="1" x14ac:dyDescent="0.2">
      <c r="A9756" s="1" t="s">
        <v>19368</v>
      </c>
      <c r="B9756" s="1">
        <v>0</v>
      </c>
      <c r="C9756" s="3">
        <v>44536.746712962966</v>
      </c>
      <c r="D9756" s="1" t="s">
        <v>19369</v>
      </c>
      <c r="E9756" s="1" t="str">
        <f ca="1">IFERROR(__xludf.DUMMYFUNCTION("GOOGLETRANSLATE(A6555 , ""tr"" , ""en"")"),"@drfahrettinkoca is an indefinitely waiting for 4b.liler staff")</f>
        <v>@drfahrettinkoca is an indefinitely waiting for 4b.liler staff</v>
      </c>
    </row>
    <row r="9757" spans="1:5" ht="15" customHeight="1" x14ac:dyDescent="0.2">
      <c r="A9757" s="1" t="s">
        <v>19370</v>
      </c>
      <c r="B9757" s="1">
        <v>15</v>
      </c>
      <c r="C9757" s="3">
        <v>44536.746678240743</v>
      </c>
      <c r="D9757" s="1" t="s">
        <v>19371</v>
      </c>
      <c r="E9757" s="1" t="str">
        <f ca="1">IFERROR(__xludf.DUMMYFUNCTION("GOOGLETRANSLATE(A6556 , ""tr"" , ""en"")"),"@drfahrettinkoca Wake up to our neurons with the bio devices why and why to think of the tiedards https://t.co/rlzex7VIHH")</f>
        <v>@drfahrettinkoca Wake up to our neurons with the bio devices why and why to think of the tiedards https://t.co/rlzex7VIHH</v>
      </c>
    </row>
    <row r="9758" spans="1:5" ht="15" customHeight="1" x14ac:dyDescent="0.2">
      <c r="A9758" s="1" t="s">
        <v>19372</v>
      </c>
      <c r="B9758" s="1">
        <v>4</v>
      </c>
      <c r="C9758" s="3">
        <v>44536.74664351852</v>
      </c>
      <c r="D9758" s="1" t="s">
        <v>19373</v>
      </c>
      <c r="E9758" s="1" t="str">
        <f ca="1">IFERROR(__xludf.DUMMYFUNCTION("GOOGLETRANSLATE(A6557 , ""tr"" , ""en"")"),"@drfahrettinkoca do you think of cases and death numbers Omicron Variant Omicron Variant came too I think GE ... https://t.co/kwnhı8jumb")</f>
        <v>@drfahrettinkoca do you think of cases and death numbers Omicron Variant Omicron Variant came too I think GE ... https://t.co/kwnhı8jumb</v>
      </c>
    </row>
    <row r="9759" spans="1:5" ht="15" customHeight="1" x14ac:dyDescent="0.2">
      <c r="A9759" s="1" t="s">
        <v>19374</v>
      </c>
      <c r="B9759" s="1">
        <v>0</v>
      </c>
      <c r="C9759" s="3">
        <v>44536.746550925927</v>
      </c>
      <c r="D9759" s="1" t="s">
        <v>19375</v>
      </c>
      <c r="E9759" s="1" t="str">
        <f ca="1">IFERROR(__xludf.DUMMYFUNCTION("GOOGLETRANSLATE(A6558 , ""tr"" , ""en"")"),"Why @drfahrettinkoca Health Management Department is a 58-year-rooted episode, although there is a rooted section Mr. Baka ... https://t.co/hphvegjbyq")</f>
        <v>Why @drfahrettinkoca Health Management Department is a 58-year-rooted episode, although there is a rooted section Mr. Baka ... https://t.co/hphvegjbyq</v>
      </c>
    </row>
    <row r="9760" spans="1:5" ht="15" customHeight="1" x14ac:dyDescent="0.2">
      <c r="A9760" s="1" t="s">
        <v>19376</v>
      </c>
      <c r="B9760" s="1">
        <v>0</v>
      </c>
      <c r="C9760" s="3">
        <v>44536.746539351851</v>
      </c>
      <c r="D9760" s="1" t="s">
        <v>19377</v>
      </c>
      <c r="E9760" s="1" t="str">
        <f ca="1">IFERROR(__xludf.DUMMYFUNCTION("GOOGLETRANSLATE(A6559 , ""tr"" , ""en"")"),"@drfahrettinkoca If you give the death figures on the basis of provinces? Some of the lowest provinces in the Şanlmaurfa but Case ... https://t.co/e1g7kihsı2")</f>
        <v>@drfahrettinkoca If you give the death figures on the basis of provinces? Some of the lowest provinces in the Şanlmaurfa but Case ... https://t.co/e1g7kihsı2</v>
      </c>
    </row>
    <row r="9761" spans="1:5" ht="15" customHeight="1" x14ac:dyDescent="0.2">
      <c r="A9761" s="1" t="s">
        <v>19378</v>
      </c>
      <c r="B9761" s="1">
        <v>0</v>
      </c>
      <c r="C9761" s="3">
        <v>44536.746238425927</v>
      </c>
      <c r="D9761" s="1" t="s">
        <v>19379</v>
      </c>
      <c r="E9761" s="1" t="str">
        <f ca="1">IFERROR(__xludf.DUMMYFUNCTION("GOOGLETRANSLATE(A6560 , ""tr"" , ""en"")"),"@drfahrettinkoca vaccine Minister I'm not 1. I'm not already 😂😂😂 😂😂😂")</f>
        <v>@drfahrettinkoca vaccine Minister I'm not 1. I'm not already 😂😂😂 😂😂😂</v>
      </c>
    </row>
    <row r="9762" spans="1:5" ht="15" customHeight="1" x14ac:dyDescent="0.2">
      <c r="A9762" s="1" t="s">
        <v>19380</v>
      </c>
      <c r="B9762" s="1">
        <v>0</v>
      </c>
      <c r="C9762" s="3">
        <v>44536.746145833335</v>
      </c>
      <c r="D9762" s="1" t="s">
        <v>19381</v>
      </c>
      <c r="E9762" s="1" t="str">
        <f ca="1">IFERROR(__xludf.DUMMYFUNCTION("GOOGLETRANSLATE(A6561 , ""tr"" , ""en"")"),"@drfahrettinkoca Do not assign !!! We have no hurry")</f>
        <v>@drfahrettinkoca Do not assign !!! We have no hurry</v>
      </c>
    </row>
    <row r="9763" spans="1:5" ht="15" customHeight="1" x14ac:dyDescent="0.2">
      <c r="A9763" s="1" t="s">
        <v>19382</v>
      </c>
      <c r="B9763" s="1">
        <v>0</v>
      </c>
      <c r="C9763" s="3">
        <v>44536.746111111112</v>
      </c>
      <c r="D9763" s="1" t="s">
        <v>19383</v>
      </c>
      <c r="E9763" s="1" t="str">
        <f ca="1">IFERROR(__xludf.DUMMYFUNCTION("GOOGLETRANSLATE(A6562 , ""tr"" , ""en"")"),"@drfahrettinkoca Mr. Ministry of Minister You cannot risk it in such imprudence, as there is a sheer vaccine ... https://t.co/njut6rdzom")</f>
        <v>@drfahrettinkoca Mr. Ministry of Minister You cannot risk it in such imprudence, as there is a sheer vaccine ... https://t.co/njut6rdzom</v>
      </c>
    </row>
    <row r="9764" spans="1:5" ht="15" customHeight="1" x14ac:dyDescent="0.2">
      <c r="A9764" s="1" t="s">
        <v>19384</v>
      </c>
      <c r="B9764" s="1">
        <v>8</v>
      </c>
      <c r="C9764" s="3">
        <v>44536.746111111112</v>
      </c>
      <c r="D9764" s="1" t="s">
        <v>19385</v>
      </c>
      <c r="E9764" s="1" t="str">
        <f ca="1">IFERROR(__xludf.DUMMYFUNCTION("GOOGLETRANSLATE(A6563 , ""tr"" , ""en"")"),"@drfahrettinkoca geyefendi 20-30bin death of 180-210 deaths were stable so that it is facilitating to control i ... https://t.co/t7gralmrlb")</f>
        <v>@drfahrettinkoca geyefendi 20-30bin death of 180-210 deaths were stable so that it is facilitating to control i ... https://t.co/t7gralmrlb</v>
      </c>
    </row>
    <row r="9765" spans="1:5" ht="15" customHeight="1" x14ac:dyDescent="0.2">
      <c r="A9765" s="1" t="s">
        <v>19386</v>
      </c>
      <c r="B9765" s="1">
        <v>0</v>
      </c>
      <c r="C9765" s="3">
        <v>44536.746099537035</v>
      </c>
      <c r="D9765" s="1" t="s">
        <v>19387</v>
      </c>
      <c r="E9765" s="1" t="str">
        <f ca="1">IFERROR(__xludf.DUMMYFUNCTION("GOOGLETRANSLATE(A6564 , ""tr"" , ""en"")"),"@drfahrettinkoca ditto in a lie")</f>
        <v>@drfahrettinkoca ditto in a lie</v>
      </c>
    </row>
    <row r="9766" spans="1:5" ht="15" customHeight="1" x14ac:dyDescent="0.2">
      <c r="A9766" s="1" t="s">
        <v>19388</v>
      </c>
      <c r="B9766" s="1">
        <v>0</v>
      </c>
      <c r="C9766" s="3">
        <v>44536.746064814812</v>
      </c>
      <c r="D9766" s="1" t="s">
        <v>19389</v>
      </c>
      <c r="E9766" s="1" t="str">
        <f ca="1">IFERROR(__xludf.DUMMYFUNCTION("GOOGLETRANSLATE(A6565 , ""tr"" , ""en"")"),"@drfahrettinka has no influence on the abrasion What you were up to the Minister, you would answer if we were left cenah.")</f>
        <v>@drfahrettinka has no influence on the abrasion What you were up to the Minister, you would answer if we were left cenah.</v>
      </c>
    </row>
    <row r="9767" spans="1:5" ht="15" customHeight="1" x14ac:dyDescent="0.2">
      <c r="A9767" s="1" t="s">
        <v>19390</v>
      </c>
      <c r="B9767" s="1">
        <v>0</v>
      </c>
      <c r="C9767" s="3">
        <v>44536.746053240742</v>
      </c>
      <c r="D9767" s="1" t="s">
        <v>19391</v>
      </c>
      <c r="E9767" s="1" t="str">
        <f ca="1">IFERROR(__xludf.DUMMYFUNCTION("GOOGLETRANSLATE(A6566 , ""tr"" , ""en"")"),"@drfahrettinkoca Bi Don't Over ... Ripe epidemic is to the country to the country, grind,")</f>
        <v>@drfahrettinkoca Bi Don't Over ... Ripe epidemic is to the country to the country, grind,</v>
      </c>
    </row>
    <row r="9768" spans="1:5" ht="15" customHeight="1" x14ac:dyDescent="0.2">
      <c r="A9768" s="1" t="s">
        <v>19392</v>
      </c>
      <c r="B9768" s="1">
        <v>8</v>
      </c>
      <c r="C9768" s="3">
        <v>44536.745567129627</v>
      </c>
      <c r="D9768" s="1" t="s">
        <v>19393</v>
      </c>
      <c r="E9768" s="1" t="str">
        <f ca="1">IFERROR(__xludf.DUMMYFUNCTION("GOOGLETRANSLATE(A6567 , ""tr"" , ""en"")"),"@drfahrettinkoca hocam we were to be happy with the time you maintain children.")</f>
        <v>@drfahrettinkoca hocam we were to be happy with the time you maintain children.</v>
      </c>
    </row>
    <row r="9769" spans="1:5" ht="15" customHeight="1" x14ac:dyDescent="0.2">
      <c r="A9769" s="1" t="s">
        <v>19394</v>
      </c>
      <c r="B9769" s="1">
        <v>19</v>
      </c>
      <c r="C9769" s="3">
        <v>44536.745347222219</v>
      </c>
      <c r="D9769" s="1" t="s">
        <v>19395</v>
      </c>
      <c r="E9769" s="1" t="str">
        <f ca="1">IFERROR(__xludf.DUMMYFUNCTION("GOOGLETRANSLATE(A6568 , ""tr"" , ""en"")"),"@drfahrettinkoca omicron have omicron schools closed closed locations closed now they are sick")</f>
        <v>@drfahrettinkoca omicron have omicron schools closed closed locations closed now they are sick</v>
      </c>
    </row>
    <row r="9770" spans="1:5" ht="15" customHeight="1" x14ac:dyDescent="0.2">
      <c r="A9770" s="1" t="s">
        <v>19396</v>
      </c>
      <c r="B9770" s="1">
        <v>1</v>
      </c>
      <c r="C9770" s="3">
        <v>44536.745347222219</v>
      </c>
      <c r="D9770" s="1" t="s">
        <v>19397</v>
      </c>
      <c r="E9770" s="1" t="str">
        <f ca="1">IFERROR(__xludf.DUMMYFUNCTION("GOOGLETRANSLATE(A6569 , ""tr"" , ""en"")"),"@drfahrettinkoca Mr. Mr. Maintenance Don't Hear Gear DON'T DON'T DON'T DON'T DON'T DO YOU SHOULD MAKE DON'T DON'T MAKE PSIKOLOGY DO NOT DISPLAY")</f>
        <v>@drfahrettinkoca Mr. Mr. Maintenance Don't Hear Gear DON'T DON'T DON'T DON'T DON'T DO YOU SHOULD MAKE DON'T DON'T MAKE PSIKOLOGY DO NOT DISPLAY</v>
      </c>
    </row>
    <row r="9771" spans="1:5" ht="15" customHeight="1" x14ac:dyDescent="0.2">
      <c r="A9771" s="1" t="s">
        <v>19398</v>
      </c>
      <c r="B9771" s="1">
        <v>2</v>
      </c>
      <c r="C9771" s="3">
        <v>44536.74523148148</v>
      </c>
      <c r="D9771" s="1" t="s">
        <v>19399</v>
      </c>
      <c r="E9771" s="1" t="str">
        <f ca="1">IFERROR(__xludf.DUMMYFUNCTION("GOOGLETRANSLATE(A6570 , ""tr"" , ""en"")"),"@drfahrettinka has seen the people that the vaccines don't work. You already know. ?????????")</f>
        <v>@drfahrettinka has seen the people that the vaccines don't work. You already know. ?????????</v>
      </c>
    </row>
    <row r="9772" spans="1:5" ht="15" customHeight="1" x14ac:dyDescent="0.2">
      <c r="A9772" s="1" t="s">
        <v>19400</v>
      </c>
      <c r="B9772" s="1">
        <v>0</v>
      </c>
      <c r="C9772" s="3">
        <v>44536.745219907411</v>
      </c>
      <c r="D9772" s="1" t="s">
        <v>19401</v>
      </c>
      <c r="E9772" s="1" t="str">
        <f ca="1">IFERROR(__xludf.DUMMYFUNCTION("GOOGLETRANSLATE(A6571 , ""tr"" , ""en"")"),"@drfahrettinkoca Apparatus Jobs Cross. I'm sorry on your behalf")</f>
        <v>@drfahrettinkoca Apparatus Jobs Cross. I'm sorry on your behalf</v>
      </c>
    </row>
    <row r="9773" spans="1:5" ht="15" customHeight="1" x14ac:dyDescent="0.2">
      <c r="A9773" s="1" t="s">
        <v>19402</v>
      </c>
      <c r="B9773" s="1">
        <v>7</v>
      </c>
      <c r="C9773" s="3">
        <v>44536.745023148149</v>
      </c>
      <c r="D9773" s="1" t="s">
        <v>19403</v>
      </c>
      <c r="E9773" s="1" t="str">
        <f ca="1">IFERROR(__xludf.DUMMYFUNCTION("GOOGLETRANSLATE(A6572 , ""tr"" , ""en"")"),"@drfahrettinkoca Certain Variant Waiting for the first spread as you are currently in the same fear in the country ... https://t.co/8fzxxlvpd7")</f>
        <v>@drfahrettinkoca Certain Variant Waiting for the first spread as you are currently in the same fear in the country ... https://t.co/8fzxxlvpd7</v>
      </c>
    </row>
    <row r="9774" spans="1:5" ht="15" customHeight="1" x14ac:dyDescent="0.2">
      <c r="A9774" s="1" t="s">
        <v>19404</v>
      </c>
      <c r="B9774" s="1">
        <v>24</v>
      </c>
      <c r="C9774" s="3">
        <v>44536.745011574072</v>
      </c>
      <c r="D9774" s="1" t="s">
        <v>19405</v>
      </c>
      <c r="E9774" s="1" t="str">
        <f ca="1">IFERROR(__xludf.DUMMYFUNCTION("GOOGLETRANSLATE(A6573 , ""tr"" , ""en"")"),"@drfahrettinkoca Acquires the vaccine right to children aged 5-11. The test count is insufficient, still the data in transparent ... https://t.co/tjgjravpxp")</f>
        <v>@drfahrettinkoca Acquires the vaccine right to children aged 5-11. The test count is insufficient, still the data in transparent ... https://t.co/tjgjravpxp</v>
      </c>
    </row>
    <row r="9775" spans="1:5" ht="15" customHeight="1" x14ac:dyDescent="0.2">
      <c r="A9775" s="1" t="s">
        <v>19406</v>
      </c>
      <c r="B9775" s="1">
        <v>4</v>
      </c>
      <c r="C9775" s="3">
        <v>44536.744988425926</v>
      </c>
      <c r="D9775" s="1" t="s">
        <v>19407</v>
      </c>
      <c r="E9775" s="1" t="str">
        <f ca="1">IFERROR(__xludf.DUMMYFUNCTION("GOOGLETRANSLATE(A6574 , ""tr"" , ""en"")"),"@drfahrettinka https://t.co/uzyedklknr")</f>
        <v>@drfahrettinka https://t.co/uzyedklknr</v>
      </c>
    </row>
    <row r="9776" spans="1:5" ht="15" customHeight="1" x14ac:dyDescent="0.2">
      <c r="A9776" s="1" t="s">
        <v>19408</v>
      </c>
      <c r="B9776" s="1">
        <v>0</v>
      </c>
      <c r="C9776" s="3">
        <v>44536.744953703703</v>
      </c>
      <c r="D9776" s="1" t="s">
        <v>19409</v>
      </c>
      <c r="E9776" s="1" t="str">
        <f ca="1">IFERROR(__xludf.DUMMYFUNCTION("GOOGLETRANSLATE(A6575 , ""tr"" , ""en"")"),"@drfahrettinkoca guide we want guide we want guide we want guide we want guide guide you want guide ... https://t.co/I0uhkdwthg")</f>
        <v>@drfahrettinkoca guide we want guide we want guide we want guide we want guide guide you want guide ... https://t.co/I0uhkdwthg</v>
      </c>
    </row>
    <row r="9777" spans="1:5" ht="15" customHeight="1" x14ac:dyDescent="0.2">
      <c r="A9777" s="1" t="s">
        <v>19410</v>
      </c>
      <c r="B9777" s="1">
        <v>1</v>
      </c>
      <c r="C9777" s="3">
        <v>44536.744895833333</v>
      </c>
      <c r="D9777" s="1" t="s">
        <v>19411</v>
      </c>
      <c r="E9777" s="1" t="str">
        <f ca="1">IFERROR(__xludf.DUMMYFUNCTION("GOOGLETRANSLATE(A6576 , ""tr"" , ""en"")"),"What will you change if @drfahrettinka vaccine? It is spreading again. Again affected by affected. If there is no measure, the vaccine does not see the job.")</f>
        <v>What will you change if @drfahrettinka vaccine? It is spreading again. Again affected by affected. If there is no measure, the vaccine does not see the job.</v>
      </c>
    </row>
    <row r="9778" spans="1:5" ht="15" customHeight="1" x14ac:dyDescent="0.2">
      <c r="A9778" s="1" t="s">
        <v>19412</v>
      </c>
      <c r="B9778" s="1">
        <v>1</v>
      </c>
      <c r="C9778" s="3">
        <v>44536.744872685187</v>
      </c>
      <c r="D9778" s="1" t="s">
        <v>19413</v>
      </c>
      <c r="E9778" s="1" t="str">
        <f ca="1">IFERROR(__xludf.DUMMYFUNCTION("GOOGLETRANSLATE(A6577 , ""tr"" , ""en"")"),"@drfahrettinkoca we are getting vaccine, we continue with the mask if we can strip off the side effects and survive. Coron ... https://t.co/tmmqxgserp")</f>
        <v>@drfahrettinkoca we are getting vaccine, we continue with the mask if we can strip off the side effects and survive. Coron ... https://t.co/tmmqxgserp</v>
      </c>
    </row>
    <row r="9779" spans="1:5" ht="15" customHeight="1" x14ac:dyDescent="0.2">
      <c r="A9779" s="1" t="s">
        <v>19414</v>
      </c>
      <c r="B9779" s="1">
        <v>0</v>
      </c>
      <c r="C9779" s="3">
        <v>44536.744849537034</v>
      </c>
      <c r="D9779" s="1" t="s">
        <v>19415</v>
      </c>
      <c r="E9779" s="1" t="str">
        <f ca="1">IFERROR(__xludf.DUMMYFUNCTION("GOOGLETRANSLATE(A6578 , ""tr"" , ""en"")"),"@drfahrettinkoca Minister The Devil's Battle against human beings Wake up the Devil's Last Flights You Hal ... https://t.co/rmzgl7nelf")</f>
        <v>@drfahrettinkoca Minister The Devil's Battle against human beings Wake up the Devil's Last Flights You Hal ... https://t.co/rmzgl7nelf</v>
      </c>
    </row>
    <row r="9780" spans="1:5" ht="15" customHeight="1" x14ac:dyDescent="0.2">
      <c r="A9780" s="1" t="s">
        <v>19416</v>
      </c>
      <c r="B9780" s="1">
        <v>261</v>
      </c>
      <c r="C9780" s="3">
        <v>44536.744837962964</v>
      </c>
      <c r="D9780" s="1" t="s">
        <v>19417</v>
      </c>
      <c r="E9780" s="1" t="str">
        <f ca="1">IFERROR(__xludf.DUMMYFUNCTION("GOOGLETRANSLATE(A6579 , ""tr"" , ""en"")"),"@drfahrettinkoca Anadolu irfani Galip future .. !! Folks don't believe you anymore .. !!")</f>
        <v>@drfahrettinkoca Anadolu irfani Galip future .. !! Folks don't believe you anymore .. !!</v>
      </c>
    </row>
    <row r="9781" spans="1:5" ht="15" customHeight="1" x14ac:dyDescent="0.2">
      <c r="A9781" s="1" t="s">
        <v>19418</v>
      </c>
      <c r="B9781" s="1">
        <v>1</v>
      </c>
      <c r="C9781" s="3">
        <v>44536.744699074072</v>
      </c>
      <c r="D9781" s="1" t="s">
        <v>19419</v>
      </c>
      <c r="E9781" s="1" t="str">
        <f ca="1">IFERROR(__xludf.DUMMYFUNCTION("GOOGLETRANSLATE(A6580 , ""tr"" , ""en"")"),"@drfahrettinkoca is the minister that doesn't ignore so much")</f>
        <v>@drfahrettinkoca is the minister that doesn't ignore so much</v>
      </c>
    </row>
    <row r="9782" spans="1:5" ht="15" customHeight="1" x14ac:dyDescent="0.2">
      <c r="A9782" s="1" t="s">
        <v>19420</v>
      </c>
      <c r="B9782" s="1">
        <v>0</v>
      </c>
      <c r="C9782" s="3">
        <v>44536.744687500002</v>
      </c>
      <c r="D9782" s="1" t="s">
        <v>19421</v>
      </c>
      <c r="E9782" s="1" t="str">
        <f ca="1">IFERROR(__xludf.DUMMYFUNCTION("GOOGLETRANSLATE(A6581 , ""tr"" , ""en"")"),"@drfahrettinka 3. Dose 12 m Da Kaldigina Gore this job is over.")</f>
        <v>@drfahrettinka 3. Dose 12 m Da Kaldigina Gore this job is over.</v>
      </c>
    </row>
    <row r="9783" spans="1:5" ht="15" customHeight="1" x14ac:dyDescent="0.2">
      <c r="A9783" s="1" t="s">
        <v>19422</v>
      </c>
      <c r="B9783" s="1">
        <v>0</v>
      </c>
      <c r="C9783" s="3">
        <v>44536.744641203702</v>
      </c>
      <c r="D9783" s="1" t="s">
        <v>19423</v>
      </c>
      <c r="E9783" s="1" t="str">
        <f ca="1">IFERROR(__xludf.DUMMYFUNCTION("GOOGLETRANSLATE(A6582 , ""tr"" , ""en"")"),"@drfahrettinkoca you forgot to publish the guide but you have passed 1 year of the last guide you may have a little power to remember from the top of the last guide")</f>
        <v>@drfahrettinkoca you forgot to publish the guide but you have passed 1 year of the last guide you may have a little power to remember from the top of the last guide</v>
      </c>
    </row>
    <row r="9784" spans="1:5" ht="15" customHeight="1" x14ac:dyDescent="0.2">
      <c r="A9784" s="1" t="s">
        <v>19424</v>
      </c>
      <c r="B9784" s="1">
        <v>15</v>
      </c>
      <c r="C9784" s="3">
        <v>44536.744618055556</v>
      </c>
      <c r="D9784" s="1" t="s">
        <v>19425</v>
      </c>
      <c r="E9784" s="1" t="str">
        <f ca="1">IFERROR(__xludf.DUMMYFUNCTION("GOOGLETRANSLATE(A6583 , ""tr"" , ""en"")"),"@drfahrettinkoca vaccine significance. The lack of increases is due to the awakening of humanity.")</f>
        <v>@drfahrettinkoca vaccine significance. The lack of increases is due to the awakening of humanity.</v>
      </c>
    </row>
    <row r="9785" spans="1:5" ht="15" customHeight="1" x14ac:dyDescent="0.2">
      <c r="A9785" s="1" t="s">
        <v>19426</v>
      </c>
      <c r="B9785" s="1">
        <v>1</v>
      </c>
      <c r="C9785" s="3">
        <v>44536.74459490741</v>
      </c>
      <c r="D9785" s="1" t="s">
        <v>19427</v>
      </c>
      <c r="E9785" s="1" t="str">
        <f ca="1">IFERROR(__xludf.DUMMYFUNCTION("GOOGLETRANSLATE(A6584 , ""tr"" , ""en"")"),"@drfahrettinkoca or I can't believe I wish we could be assigned to another bi period, so we could be appointed without trying so much ... Https://t.co/xag2npjul7")</f>
        <v>@drfahrettinkoca or I can't believe I wish we could be assigned to another bi period, so we could be appointed without trying so much ... Https://t.co/xag2npjul7</v>
      </c>
    </row>
    <row r="9786" spans="1:5" ht="15" customHeight="1" x14ac:dyDescent="0.2">
      <c r="A9786" s="1" t="s">
        <v>19428</v>
      </c>
      <c r="B9786" s="1">
        <v>1</v>
      </c>
      <c r="C9786" s="3">
        <v>44536.744513888887</v>
      </c>
      <c r="D9786" s="1" t="s">
        <v>19429</v>
      </c>
      <c r="E9786" s="1" t="str">
        <f ca="1">IFERROR(__xludf.DUMMYFUNCTION("GOOGLETRANSLATE(A6585 , ""tr"" , ""en"")"),"@drfahrettinka for years people maintain the health of grooming folks bread BULAMIYO people die from heart crisis ... https://t.co/rgxexympnz")</f>
        <v>@drfahrettinka for years people maintain the health of grooming folks bread BULAMIYO people die from heart crisis ... https://t.co/rgxexympnz</v>
      </c>
    </row>
    <row r="9787" spans="1:5" ht="15" customHeight="1" x14ac:dyDescent="0.2">
      <c r="A9787" s="1" t="s">
        <v>19430</v>
      </c>
      <c r="B9787" s="1">
        <v>19</v>
      </c>
      <c r="C9787" s="3">
        <v>44536.744490740741</v>
      </c>
      <c r="D9787" s="1" t="s">
        <v>19431</v>
      </c>
      <c r="E9787" s="1" t="str">
        <f ca="1">IFERROR(__xludf.DUMMYFUNCTION("GOOGLETRANSLATE(A6586 , ""tr"" , ""en"")"),"@drfahrettinka is going to school not to death !!! # kabineuzaktanılitimsart")</f>
        <v>@drfahrettinka is going to school not to death !!! # kabineuzaktanılitimsart</v>
      </c>
    </row>
    <row r="9788" spans="1:5" ht="15" customHeight="1" x14ac:dyDescent="0.2">
      <c r="A9788" s="1" t="s">
        <v>19432</v>
      </c>
      <c r="B9788" s="1">
        <v>2</v>
      </c>
      <c r="C9788" s="3">
        <v>44536.744456018518</v>
      </c>
      <c r="D9788" s="1" t="s">
        <v>19433</v>
      </c>
      <c r="E9788" s="1" t="str">
        <f ca="1">IFERROR(__xludf.DUMMYFUNCTION("GOOGLETRANSLATE(A6587 , ""tr"" , ""en"")"),"@drfahrettinkoca you will be sad to more honor")</f>
        <v>@drfahrettinkoca you will be sad to more honor</v>
      </c>
    </row>
    <row r="9789" spans="1:5" ht="15" customHeight="1" x14ac:dyDescent="0.2">
      <c r="A9789" s="1" t="s">
        <v>19434</v>
      </c>
      <c r="B9789" s="1">
        <v>6</v>
      </c>
      <c r="C9789" s="3">
        <v>44536.744375000002</v>
      </c>
      <c r="D9789" s="1" t="s">
        <v>19435</v>
      </c>
      <c r="E9789" s="1" t="str">
        <f ca="1">IFERROR(__xludf.DUMMYFUNCTION("GOOGLETRANSLATE(A6588 , ""tr"" , ""en"")"),"@drfahrettinkoca we will get what we are")</f>
        <v>@drfahrettinkoca we will get what we are</v>
      </c>
    </row>
    <row r="9790" spans="1:5" ht="15" customHeight="1" x14ac:dyDescent="0.2">
      <c r="A9790" s="1" t="s">
        <v>19436</v>
      </c>
      <c r="B9790" s="1">
        <v>1</v>
      </c>
      <c r="C9790" s="3">
        <v>44536.744363425925</v>
      </c>
      <c r="D9790" s="1" t="s">
        <v>19437</v>
      </c>
      <c r="E9790" s="1" t="str">
        <f ca="1">IFERROR(__xludf.DUMMYFUNCTION("GOOGLETRANSLATE(A6589 , ""tr"" , ""en"")"),"@drfahrettinka https://t.co/qxeaIj0ryz")</f>
        <v>@drfahrettinka https://t.co/qxeaIj0ryz</v>
      </c>
    </row>
    <row r="9791" spans="1:5" ht="15" customHeight="1" x14ac:dyDescent="0.2">
      <c r="A9791" s="1" t="s">
        <v>19438</v>
      </c>
      <c r="B9791" s="1">
        <v>7</v>
      </c>
      <c r="C9791" s="3">
        <v>44536.74423611111</v>
      </c>
      <c r="D9791" s="1" t="s">
        <v>19439</v>
      </c>
      <c r="E9791" s="1" t="str">
        <f ca="1">IFERROR(__xludf.DUMMYFUNCTION("GOOGLETRANSLATE(A6590 , ""tr"" , ""en"")"),"@drfahrettinkoca Seriously you are now published. They say, the statements of the description. I seriously feel sorry anymore case ... https://t.co/d1bxgj9bw2")</f>
        <v>@drfahrettinkoca Seriously you are now published. They say, the statements of the description. I seriously feel sorry anymore case ... https://t.co/d1bxgj9bw2</v>
      </c>
    </row>
    <row r="9792" spans="1:5" ht="15" customHeight="1" x14ac:dyDescent="0.2">
      <c r="A9792" s="1" t="s">
        <v>19440</v>
      </c>
      <c r="B9792" s="1">
        <v>0</v>
      </c>
      <c r="C9792" s="3">
        <v>44536.74422453704</v>
      </c>
      <c r="D9792" s="1" t="s">
        <v>19441</v>
      </c>
      <c r="E9792" s="1" t="str">
        <f ca="1">IFERROR(__xludf.DUMMYFUNCTION("GOOGLETRANSLATE(A6591 , ""tr"" , ""en"")"),"@drfahrettinkoca we are on the agenda every day but the agenda we are not what we are unfortunately @rfahrettinkoca @rterdogan @kilicdarogluk # 40binatamayiyapkilicdaroglu")</f>
        <v>@drfahrettinkoca we are on the agenda every day but the agenda we are not what we are unfortunately @rfahrettinkoca @rterdogan @kilicdarogluk # 40binatamayiyapkilicdaroglu</v>
      </c>
    </row>
    <row r="9793" spans="1:5" ht="15" customHeight="1" x14ac:dyDescent="0.2">
      <c r="A9793" s="1" t="s">
        <v>19442</v>
      </c>
      <c r="B9793" s="1">
        <v>0</v>
      </c>
      <c r="C9793" s="3">
        <v>44536.744131944448</v>
      </c>
      <c r="D9793" s="1" t="s">
        <v>19443</v>
      </c>
      <c r="E9793" s="1" t="str">
        <f ca="1">IFERROR(__xludf.DUMMYFUNCTION("GOOGLETRANSLATE(A6592 , ""tr"" , ""en"")"),"@drfahrettinkoca where is the guide")</f>
        <v>@drfahrettinkoca where is the guide</v>
      </c>
    </row>
    <row r="9794" spans="1:5" ht="15" customHeight="1" x14ac:dyDescent="0.2">
      <c r="A9794" s="1" t="s">
        <v>19444</v>
      </c>
      <c r="B9794" s="1">
        <v>1</v>
      </c>
      <c r="C9794" s="3">
        <v>44536.744108796294</v>
      </c>
      <c r="D9794" s="1" t="s">
        <v>19445</v>
      </c>
      <c r="E9794" s="1" t="str">
        <f ca="1">IFERROR(__xludf.DUMMYFUNCTION("GOOGLETRANSLATE(A6593 , ""tr"" , ""en"")"),"@drfahrettinkoca Everyday I use public transport Every place is very crowded school outlets of the school ... https://t.co/ax1mloushq")</f>
        <v>@drfahrettinkoca Everyday I use public transport Every place is very crowded school outlets of the school ... https://t.co/ax1mloushq</v>
      </c>
    </row>
    <row r="9795" spans="1:5" ht="15" customHeight="1" x14ac:dyDescent="0.2">
      <c r="A9795" s="1" t="s">
        <v>19446</v>
      </c>
      <c r="B9795" s="1">
        <v>0</v>
      </c>
      <c r="C9795" s="3">
        <v>44536.744074074071</v>
      </c>
      <c r="D9795" s="1" t="s">
        <v>19447</v>
      </c>
      <c r="E9795" s="1" t="str">
        <f ca="1">IFERROR(__xludf.DUMMYFUNCTION("GOOGLETRANSLATE(A6594 , ""tr"" , ""en"")"),"@drfahrettinkoca How're you sold?")</f>
        <v>@drfahrettinkoca How're you sold?</v>
      </c>
    </row>
    <row r="9796" spans="1:5" ht="15" customHeight="1" x14ac:dyDescent="0.2">
      <c r="A9796" s="1" t="s">
        <v>19448</v>
      </c>
      <c r="B9796" s="1">
        <v>8</v>
      </c>
      <c r="C9796" s="3">
        <v>44536.744039351855</v>
      </c>
      <c r="D9796" s="1" t="s">
        <v>19449</v>
      </c>
      <c r="E9796" s="1" t="str">
        <f ca="1">IFERROR(__xludf.DUMMYFUNCTION("GOOGLETRANSLATE(A6595 , ""tr"" , ""en"")"),"@drfahrettinkoca vaccine = Fund you will be happy not to be subjected to the health or so we lost Funds, not the fund that we lost")</f>
        <v>@drfahrettinkoca vaccine = Fund you will be happy not to be subjected to the health or so we lost Funds, not the fund that we lost</v>
      </c>
    </row>
    <row r="9797" spans="1:5" ht="15" customHeight="1" x14ac:dyDescent="0.2">
      <c r="A9797" s="1" t="s">
        <v>19450</v>
      </c>
      <c r="B9797" s="1">
        <v>0</v>
      </c>
      <c r="C9797" s="3">
        <v>44536.744004629632</v>
      </c>
      <c r="D9797" s="1" t="s">
        <v>19451</v>
      </c>
      <c r="E9797" s="1" t="str">
        <f ca="1">IFERROR(__xludf.DUMMYFUNCTION("GOOGLETRANSLATE(A6596 , ""tr"" , ""en"")"),"@drfahrettinkoca where guide")</f>
        <v>@drfahrettinkoca where guide</v>
      </c>
    </row>
    <row r="9798" spans="1:5" ht="15" customHeight="1" x14ac:dyDescent="0.2">
      <c r="A9798" s="1" t="s">
        <v>19452</v>
      </c>
      <c r="B9798" s="1">
        <v>0</v>
      </c>
      <c r="C9798" s="3">
        <v>44536.743969907409</v>
      </c>
      <c r="D9798" s="1" t="s">
        <v>19453</v>
      </c>
      <c r="E9798" s="1" t="str">
        <f ca="1">IFERROR(__xludf.DUMMYFUNCTION("GOOGLETRANSLATE(A6597 , ""tr"" , ""en"")"),"@drfahrettinka https://t.co/dxddkunfq6")</f>
        <v>@drfahrettinka https://t.co/dxddkunfq6</v>
      </c>
    </row>
    <row r="9799" spans="1:5" ht="15" customHeight="1" x14ac:dyDescent="0.2">
      <c r="A9799" s="1" t="s">
        <v>10058</v>
      </c>
      <c r="B9799" s="1">
        <v>0</v>
      </c>
      <c r="C9799" s="3">
        <v>44536.743923611109</v>
      </c>
      <c r="D9799" s="1" t="s">
        <v>19454</v>
      </c>
      <c r="E9799" s="1" t="str">
        <f ca="1">IFERROR(__xludf.DUMMYFUNCTION("GOOGLETRANSLATE(A6598 , ""tr"" , ""en"")"),"@drfahrettinkoca Guide")</f>
        <v>@drfahrettinkoca Guide</v>
      </c>
    </row>
    <row r="9800" spans="1:5" ht="15" customHeight="1" x14ac:dyDescent="0.2">
      <c r="A9800" s="1" t="s">
        <v>19455</v>
      </c>
      <c r="B9800" s="1">
        <v>4</v>
      </c>
      <c r="C9800" s="3">
        <v>44536.743900462963</v>
      </c>
      <c r="D9800" s="1" t="s">
        <v>19456</v>
      </c>
      <c r="E9800" s="1" t="str">
        <f ca="1">IFERROR(__xludf.DUMMYFUNCTION("GOOGLETRANSLATE(A6599 , ""tr"" , ""en"")"),"@drfahrettinkoca imdaaaaat I would like to shout guide where to @drfahrettinkoca")</f>
        <v>@drfahrettinkoca imdaaaaat I would like to shout guide where to @drfahrettinkoca</v>
      </c>
    </row>
    <row r="9801" spans="1:5" ht="15" customHeight="1" x14ac:dyDescent="0.2">
      <c r="A9801" s="1" t="s">
        <v>19457</v>
      </c>
      <c r="B9801" s="1">
        <v>0</v>
      </c>
      <c r="C9801" s="3">
        <v>44536.743854166663</v>
      </c>
      <c r="D9801" s="1" t="s">
        <v>19458</v>
      </c>
      <c r="E9801" s="1" t="str">
        <f ca="1">IFERROR(__xludf.DUMMYFUNCTION("GOOGLETRANSLATE(A6600 , ""tr"" , ""en"")"),"@drfahrettinkoca we are on the agenda every day. Twitter would explain the exact guide instantly if the health minister was. # 40binatamayiyapkilicdaroglu")</f>
        <v>@drfahrettinkoca we are on the agenda every day. Twitter would explain the exact guide instantly if the health minister was. # 40binatamayiyapkilicdaroglu</v>
      </c>
    </row>
    <row r="9802" spans="1:5" ht="15" customHeight="1" x14ac:dyDescent="0.2">
      <c r="A9802" s="1" t="s">
        <v>19459</v>
      </c>
      <c r="B9802" s="1">
        <v>1</v>
      </c>
      <c r="C9802" s="3">
        <v>44536.743842592594</v>
      </c>
      <c r="D9802" s="1" t="s">
        <v>19460</v>
      </c>
      <c r="E9802" s="1" t="str">
        <f ca="1">IFERROR(__xludf.DUMMYFUNCTION("GOOGLETRANSLATE(A6601 , ""tr"" , ""en"")"),"@drfahrettinkoca either guide guide guide")</f>
        <v>@drfahrettinkoca either guide guide guide</v>
      </c>
    </row>
    <row r="9803" spans="1:5" ht="15" customHeight="1" x14ac:dyDescent="0.2">
      <c r="A9803" s="1" t="s">
        <v>19461</v>
      </c>
      <c r="B9803" s="1">
        <v>2</v>
      </c>
      <c r="C9803" s="3">
        <v>44536.743784722225</v>
      </c>
      <c r="D9803" s="1" t="s">
        <v>19462</v>
      </c>
      <c r="E9803" s="1" t="str">
        <f ca="1">IFERROR(__xludf.DUMMYFUNCTION("GOOGLETRANSLATE(A6602 , ""tr"" , ""en"")"),"@drfahrettinkoca Ministry I wonder how many people will ignore more people in your own space. We are waiting for the guide for 1 month !!!")</f>
        <v>@drfahrettinkoca Ministry I wonder how many people will ignore more people in your own space. We are waiting for the guide for 1 month !!!</v>
      </c>
    </row>
    <row r="9804" spans="1:5" ht="15" customHeight="1" x14ac:dyDescent="0.2">
      <c r="A9804" s="1" t="s">
        <v>19463</v>
      </c>
      <c r="B9804" s="1">
        <v>0</v>
      </c>
      <c r="C9804" s="3">
        <v>44536.743761574071</v>
      </c>
      <c r="D9804" s="1" t="s">
        <v>19464</v>
      </c>
      <c r="E9804" s="1" t="str">
        <f ca="1">IFERROR(__xludf.DUMMYFUNCTION("GOOGLETRANSLATE(A6603 , ""tr"" , ""en"")"),"@drfahrettinkoca vaccine is the effective one such as tetanos that you say, are called effective like rabies #Churchkuruluoehrencilerones")</f>
        <v>@drfahrettinkoca vaccine is the effective one such as tetanos that you say, are called effective like rabies #Churchkuruluoehrencilerones</v>
      </c>
    </row>
    <row r="9805" spans="1:5" ht="15" customHeight="1" x14ac:dyDescent="0.2">
      <c r="A9805" s="1" t="s">
        <v>19465</v>
      </c>
      <c r="B9805" s="1">
        <v>50</v>
      </c>
      <c r="C9805" s="3">
        <v>44536.743761574071</v>
      </c>
      <c r="D9805" s="1" t="s">
        <v>19466</v>
      </c>
      <c r="E9805" s="1" t="str">
        <f ca="1">IFERROR(__xludf.DUMMYFUNCTION("GOOGLETRANSLATE(A6604 , ""tr"" , ""en"")"),"@drfahrettinka If you know one thousandth of the importance you give to the vaccine in my healthyness. # 40binatamayiyapkilicdaroglu")</f>
        <v>@drfahrettinka If you know one thousandth of the importance you give to the vaccine in my healthyness. # 40binatamayiyapkilicdaroglu</v>
      </c>
    </row>
    <row r="9806" spans="1:5" ht="15" customHeight="1" x14ac:dyDescent="0.2">
      <c r="A9806" s="1" t="s">
        <v>19467</v>
      </c>
      <c r="B9806" s="1">
        <v>0</v>
      </c>
      <c r="C9806" s="3">
        <v>44536.743703703702</v>
      </c>
      <c r="D9806" s="1" t="s">
        <v>19468</v>
      </c>
      <c r="E9806" s="1" t="str">
        <f ca="1">IFERROR(__xludf.DUMMYFUNCTION("GOOGLETRANSLATE(A6605 , ""tr"" , ""en"")"),"@drfahrettinkoca 1 month guide is expected to be the minister in mind insaf # 40binatamayiyapkilicdaroglu")</f>
        <v>@drfahrettinkoca 1 month guide is expected to be the minister in mind insaf # 40binatamayiyapkilicdaroglu</v>
      </c>
    </row>
    <row r="9807" spans="1:5" ht="15" customHeight="1" x14ac:dyDescent="0.2">
      <c r="A9807" s="1" t="s">
        <v>19469</v>
      </c>
      <c r="B9807" s="1">
        <v>40</v>
      </c>
      <c r="C9807" s="3">
        <v>44536.743668981479</v>
      </c>
      <c r="D9807" s="1" t="s">
        <v>19470</v>
      </c>
      <c r="E9807" s="1" t="str">
        <f ca="1">IFERROR(__xludf.DUMMYFUNCTION("GOOGLETRANSLATE(A6606 , ""tr"" , ""en"")"),"@drfahrettinka save us from this swamp anymore # kabineuzaktanetitimsart https://t.co/3sasmd82s9")</f>
        <v>@drfahrettinka save us from this swamp anymore # kabineuzaktanetitimsart https://t.co/3sasmd82s9</v>
      </c>
    </row>
    <row r="9808" spans="1:5" ht="15" customHeight="1" x14ac:dyDescent="0.2">
      <c r="A9808" s="1" t="s">
        <v>19471</v>
      </c>
      <c r="B9808" s="1">
        <v>73</v>
      </c>
      <c r="C9808" s="3">
        <v>44536.743668981479</v>
      </c>
      <c r="D9808" s="1" t="s">
        <v>19472</v>
      </c>
      <c r="E9808" s="1" t="str">
        <f ca="1">IFERROR(__xludf.DUMMYFUNCTION("GOOGLETRANSLATE(A6607 , ""tr"" , ""en"")"),"@drfahrettinkoca pandemide should not be obliged to continue #abineuzaktanıtitimşarthart https://t.co/wypls0bpdb")</f>
        <v>@drfahrettinkoca pandemide should not be obliged to continue #abineuzaktanıtitimşarthart https://t.co/wypls0bpdb</v>
      </c>
    </row>
    <row r="9809" spans="1:5" ht="15" customHeight="1" x14ac:dyDescent="0.2">
      <c r="A9809" s="1" t="s">
        <v>19473</v>
      </c>
      <c r="B9809" s="1">
        <v>2</v>
      </c>
      <c r="C9809" s="3">
        <v>44536.743657407409</v>
      </c>
      <c r="D9809" s="1" t="s">
        <v>19474</v>
      </c>
      <c r="E9809" s="1" t="str">
        <f ca="1">IFERROR(__xludf.DUMMYFUNCTION("GOOGLETRANSLATE(A6608 , ""tr"" , ""en"")"),"@drfahrettinka you will see those cases to increase further")</f>
        <v>@drfahrettinka you will see those cases to increase further</v>
      </c>
    </row>
    <row r="9810" spans="1:5" ht="15" customHeight="1" x14ac:dyDescent="0.2">
      <c r="A9810" s="1" t="s">
        <v>19475</v>
      </c>
      <c r="B9810" s="1">
        <v>0</v>
      </c>
      <c r="C9810" s="3">
        <v>44536.743645833332</v>
      </c>
      <c r="D9810" s="1" t="s">
        <v>19476</v>
      </c>
      <c r="E9810" s="1" t="str">
        <f ca="1">IFERROR(__xludf.DUMMYFUNCTION("GOOGLETRANSLATE(A6609 , ""tr"" , ""en"")"),"@drfahrettinkoca Assignment Assigning Thousands of healthcare, waiting for assignment for 1 year to start the task. Verits very times ... https://t.co/ymg1wp3IYP")</f>
        <v>@drfahrettinkoca Assignment Assigning Thousands of healthcare, waiting for assignment for 1 year to start the task. Verits very times ... https://t.co/ymg1wp3IYP</v>
      </c>
    </row>
    <row r="9811" spans="1:5" ht="15" customHeight="1" x14ac:dyDescent="0.2">
      <c r="A9811" s="1" t="s">
        <v>19477</v>
      </c>
      <c r="B9811" s="1">
        <v>1</v>
      </c>
      <c r="C9811" s="3">
        <v>44536.743634259263</v>
      </c>
      <c r="D9811" s="1" t="s">
        <v>19478</v>
      </c>
      <c r="E9811" s="1" t="str">
        <f ca="1">IFERROR(__xludf.DUMMYFUNCTION("GOOGLETRANSLATE(A6610 , ""tr"" , ""en"")"),"@drfahrettinka people but you will be judge of the day with experimental fluids who are poisoning.")</f>
        <v>@drfahrettinka people but you will be judge of the day with experimental fluids who are poisoning.</v>
      </c>
    </row>
    <row r="9812" spans="1:5" ht="15" customHeight="1" x14ac:dyDescent="0.2">
      <c r="A9812" s="1" t="s">
        <v>19479</v>
      </c>
      <c r="B9812" s="1">
        <v>2</v>
      </c>
      <c r="C9812" s="3">
        <v>44536.743611111109</v>
      </c>
      <c r="D9812" s="1" t="s">
        <v>19480</v>
      </c>
      <c r="E9812" s="1" t="str">
        <f ca="1">IFERROR(__xludf.DUMMYFUNCTION("GOOGLETRANSLATE(A6611 , ""tr"" , ""en"")"),"If @drfahrettinka vaccine was for virus what the disease would be what variant would still have the nation if you are still put in the fulfillment of what the taste of work has escaped ..")</f>
        <v>If @drfahrettinka vaccine was for virus what the disease would be what variant would still have the nation if you are still put in the fulfillment of what the taste of work has escaped ..</v>
      </c>
    </row>
    <row r="9813" spans="1:5" ht="15" customHeight="1" x14ac:dyDescent="0.2">
      <c r="A9813" s="1" t="s">
        <v>19481</v>
      </c>
      <c r="B9813" s="1">
        <v>0</v>
      </c>
      <c r="C9813" s="3">
        <v>44536.743587962963</v>
      </c>
      <c r="D9813" s="1" t="s">
        <v>19482</v>
      </c>
      <c r="E9813" s="1" t="str">
        <f ca="1">IFERROR(__xludf.DUMMYFUNCTION("GOOGLETRANSLATE(A6612 , ""tr"" , ""en"")"),"@drfahrettinkoca Mr. Ministry, eagerly expect to learn the changes to the Specialist Exam in Medicine. Respects")</f>
        <v>@drfahrettinkoca Mr. Ministry, eagerly expect to learn the changes to the Specialist Exam in Medicine. Respects</v>
      </c>
    </row>
    <row r="9814" spans="1:5" ht="15" customHeight="1" x14ac:dyDescent="0.2">
      <c r="A9814" s="1" t="s">
        <v>19483</v>
      </c>
      <c r="B9814" s="1">
        <v>13</v>
      </c>
      <c r="C9814" s="3">
        <v>44536.743530092594</v>
      </c>
      <c r="D9814" s="1" t="s">
        <v>19484</v>
      </c>
      <c r="E9814" s="1" t="str">
        <f ca="1">IFERROR(__xludf.DUMMYFUNCTION("GOOGLETRANSLATE(A6613 , ""tr"" , ""en"")"),"@drfahrettinkoca what is the reason for making optional on your own school other students want online")</f>
        <v>@drfahrettinkoca what is the reason for making optional on your own school other students want online</v>
      </c>
    </row>
    <row r="9815" spans="1:5" ht="15" customHeight="1" x14ac:dyDescent="0.2">
      <c r="A9815" s="1" t="s">
        <v>19485</v>
      </c>
      <c r="B9815" s="1">
        <v>0</v>
      </c>
      <c r="C9815" s="3">
        <v>44536.743518518517</v>
      </c>
      <c r="D9815" s="1" t="s">
        <v>19486</v>
      </c>
      <c r="E9815" s="1" t="str">
        <f ca="1">IFERROR(__xludf.DUMMYFUNCTION("GOOGLETRANSLATE(A6614 , ""tr"" , ""en"")"),"@drfahrettinkoca This day today has been our own hope that has finished our life @ drfahrettinkoca ... https://t.co/yp5ormlkk4")</f>
        <v>@drfahrettinkoca This day today has been our own hope that has finished our life @ drfahrettinkoca ... https://t.co/yp5ormlkk4</v>
      </c>
    </row>
    <row r="9816" spans="1:5" ht="15" customHeight="1" x14ac:dyDescent="0.2">
      <c r="A9816" s="1" t="s">
        <v>19487</v>
      </c>
      <c r="B9816" s="1">
        <v>59</v>
      </c>
      <c r="C9816" s="3">
        <v>44536.743506944447</v>
      </c>
      <c r="D9816" s="1" t="s">
        <v>19488</v>
      </c>
      <c r="E9816" s="1" t="str">
        <f ca="1">IFERROR(__xludf.DUMMYFUNCTION("GOOGLETRANSLATE(A6615 , ""tr"" , ""en"")"),"@drfahrettinkoca We know that your ray is not health The new world layout is not epidemic in the insalnic control ... https://t.co/tl9bjg92re")</f>
        <v>@drfahrettinkoca We know that your ray is not health The new world layout is not epidemic in the insalnic control ... https://t.co/tl9bjg92re</v>
      </c>
    </row>
    <row r="9817" spans="1:5" ht="15" customHeight="1" x14ac:dyDescent="0.2">
      <c r="A9817" s="1" t="s">
        <v>19489</v>
      </c>
      <c r="B9817" s="1">
        <v>3</v>
      </c>
      <c r="C9817" s="3">
        <v>44536.743472222224</v>
      </c>
      <c r="D9817" s="1" t="s">
        <v>19490</v>
      </c>
      <c r="E9817" s="1" t="str">
        <f ca="1">IFERROR(__xludf.DUMMYFUNCTION("GOOGLETRANSLATE(A6616 , ""tr"" , ""en"")"),"@drfahrettinkoca Suan is also in the case of at least 10 kisses Covid in my own. I can't come to myself 1 week ... https://t.co/0jg5upxqjb")</f>
        <v>@drfahrettinkoca Suan is also in the case of at least 10 kisses Covid in my own. I can't come to myself 1 week ... https://t.co/0jg5upxqjb</v>
      </c>
    </row>
    <row r="9818" spans="1:5" ht="15" customHeight="1" x14ac:dyDescent="0.2">
      <c r="A9818" s="1" t="s">
        <v>19491</v>
      </c>
      <c r="B9818" s="1">
        <v>52</v>
      </c>
      <c r="C9818" s="3">
        <v>44536.743449074071</v>
      </c>
      <c r="D9818" s="1" t="s">
        <v>19492</v>
      </c>
      <c r="E9818" s="1" t="str">
        <f ca="1">IFERROR(__xludf.DUMMYFUNCTION("GOOGLETRANSLATE(A6617 , ""tr"" , ""en"")"),"@drfahrettinkoca you can't find if you don't find out of course you leave us stupid replacement # kabineuzaktaniştanetimşarthart https://t.co/vw5xh2fwe6")</f>
        <v>@drfahrettinkoca you can't find if you don't find out of course you leave us stupid replacement # kabineuzaktaniştanetimşarthart https://t.co/vw5xh2fwe6</v>
      </c>
    </row>
    <row r="9819" spans="1:5" ht="15" customHeight="1" x14ac:dyDescent="0.2">
      <c r="A9819" s="1" t="s">
        <v>19493</v>
      </c>
      <c r="B9819" s="1">
        <v>87</v>
      </c>
      <c r="C9819" s="3">
        <v>44536.743449074071</v>
      </c>
      <c r="D9819" s="1" t="s">
        <v>19494</v>
      </c>
      <c r="E9819" s="1" t="str">
        <f ca="1">IFERROR(__xludf.DUMMYFUNCTION("GOOGLETRANSLATE(A6618 , ""tr"" , ""en"")"),"Make @drfahrettinka vaccine, die from mini clots, minicilial heart crisis, have a minicilial brain paralysis. https://t.co/2cig6v7o74")</f>
        <v>Make @drfahrettinka vaccine, die from mini clots, minicilial heart crisis, have a minicilial brain paralysis. https://t.co/2cig6v7o74</v>
      </c>
    </row>
    <row r="9820" spans="1:5" ht="15" customHeight="1" x14ac:dyDescent="0.2">
      <c r="A9820" s="1" t="s">
        <v>19495</v>
      </c>
      <c r="B9820" s="1">
        <v>1</v>
      </c>
      <c r="C9820" s="3">
        <v>44536.743113425924</v>
      </c>
      <c r="D9820" s="1" t="s">
        <v>19496</v>
      </c>
      <c r="E9820" s="1" t="str">
        <f ca="1">IFERROR(__xludf.DUMMYFUNCTION("GOOGLETRANSLATE(A6619 , ""tr"" , ""en"")"),"@drfahrettinkoca is a nebze to say that someone is hearing about us to say that it is a nebze, it is a nebze ... https://t.co/qvwqybyzyz")</f>
        <v>@drfahrettinkoca is a nebze to say that someone is hearing about us to say that it is a nebze, it is a nebze ... https://t.co/qvwqybyzyz</v>
      </c>
    </row>
    <row r="9821" spans="1:5" ht="15" customHeight="1" x14ac:dyDescent="0.2">
      <c r="A9821" s="1" t="s">
        <v>19497</v>
      </c>
      <c r="B9821" s="1">
        <v>0</v>
      </c>
      <c r="C9821" s="3">
        <v>44536.743020833332</v>
      </c>
      <c r="D9821" s="1" t="s">
        <v>19498</v>
      </c>
      <c r="E9821" s="1" t="str">
        <f ca="1">IFERROR(__xludf.DUMMYFUNCTION("GOOGLETRANSLATE(A6620 , ""tr"" , ""en"")"),"@drfahrettinka you are still talking about what you are talking about is the naughty bin the nation and stop stopping")</f>
        <v>@drfahrettinka you are still talking about what you are talking about is the naughty bin the nation and stop stopping</v>
      </c>
    </row>
    <row r="9822" spans="1:5" ht="15" customHeight="1" x14ac:dyDescent="0.2">
      <c r="A9822" s="1" t="s">
        <v>19499</v>
      </c>
      <c r="B9822" s="1">
        <v>300</v>
      </c>
      <c r="C9822" s="3">
        <v>44536.742997685185</v>
      </c>
      <c r="D9822" s="1" t="s">
        <v>19500</v>
      </c>
      <c r="E9822" s="1" t="str">
        <f ca="1">IFERROR(__xludf.DUMMYFUNCTION("GOOGLETRANSLATE(A6621 , ""tr"" , ""en"")"),"@drfahrettinkoca Talk to your own, we are not happy we are happy .. You are sorry.")</f>
        <v>@drfahrettinkoca Talk to your own, we are not happy we are happy .. You are sorry.</v>
      </c>
    </row>
    <row r="9823" spans="1:5" ht="15" customHeight="1" x14ac:dyDescent="0.2">
      <c r="A9823" s="1" t="s">
        <v>19501</v>
      </c>
      <c r="B9823" s="1">
        <v>10</v>
      </c>
      <c r="C9823" s="3">
        <v>44536.742905092593</v>
      </c>
      <c r="D9823" s="1" t="s">
        <v>19502</v>
      </c>
      <c r="E9823" s="1" t="str">
        <f ca="1">IFERROR(__xludf.DUMMYFUNCTION("GOOGLETRANSLATE(A6622 , ""tr"" , ""en"")"),"@drfahrettinkoca you are talking about a lie. We've never been happy, we curse or even do it. After that, this fucking ... https://t.co/ux7m1zjgjj")</f>
        <v>@drfahrettinkoca you are talking about a lie. We've never been happy, we curse or even do it. After that, this fucking ... https://t.co/ux7m1zjgjj</v>
      </c>
    </row>
    <row r="9824" spans="1:5" ht="15" customHeight="1" x14ac:dyDescent="0.2">
      <c r="A9824" s="1" t="s">
        <v>19503</v>
      </c>
      <c r="B9824" s="1">
        <v>0</v>
      </c>
      <c r="C9824" s="3">
        <v>44536.742905092593</v>
      </c>
      <c r="D9824" s="1" t="s">
        <v>19504</v>
      </c>
      <c r="E9824" s="1" t="str">
        <f ca="1">IFERROR(__xludf.DUMMYFUNCTION("GOOGLETRANSLATE(A6623 , ""tr"" , ""en"")"),"@drfahrettinkoca @saglikbakanligoca Preserves the importance of vaccine, the number of cases in the eastern provinces is the lowest in the eastern provinces is lowest?")</f>
        <v>@drfahrettinkoca @saglikbakanligoca Preserves the importance of vaccine, the number of cases in the eastern provinces is the lowest in the eastern provinces is lowest?</v>
      </c>
    </row>
    <row r="9825" spans="1:5" ht="15" customHeight="1" x14ac:dyDescent="0.2">
      <c r="A9825" s="1" t="s">
        <v>19505</v>
      </c>
      <c r="B9825" s="1">
        <v>5</v>
      </c>
      <c r="C9825" s="3">
        <v>44536.74287037037</v>
      </c>
      <c r="D9825" s="1" t="s">
        <v>19506</v>
      </c>
      <c r="E9825" s="1" t="str">
        <f ca="1">IFERROR(__xludf.DUMMYFUNCTION("GOOGLETRANSLATE(A6624 , ""tr"" , ""en"")"),"@drfahrettinkoca corona test do not detect omicron they say explain")</f>
        <v>@drfahrettinkoca corona test do not detect omicron they say explain</v>
      </c>
    </row>
    <row r="9826" spans="1:5" ht="15" customHeight="1" x14ac:dyDescent="0.2">
      <c r="A9826" s="1" t="s">
        <v>19507</v>
      </c>
      <c r="B9826" s="1">
        <v>1</v>
      </c>
      <c r="C9826" s="3">
        <v>44536.742812500001</v>
      </c>
      <c r="D9826" s="1" t="s">
        <v>19508</v>
      </c>
      <c r="E9826" s="1" t="str">
        <f ca="1">IFERROR(__xludf.DUMMYFUNCTION("GOOGLETRANSLATE(A6625 , ""tr"" , ""en"")"),"@drfahrettinkoca What came to the manusal of the manusal did you seriously wonder when Ediyom died @ drfahrettinkoca ... https://t.co/xltqefer6p")</f>
        <v>@drfahrettinkoca What came to the manusal of the manusal did you seriously wonder when Ediyom died @ drfahrettinkoca ... https://t.co/xltqefer6p</v>
      </c>
    </row>
    <row r="9827" spans="1:5" ht="15" customHeight="1" x14ac:dyDescent="0.2">
      <c r="A9827" s="1" t="s">
        <v>19509</v>
      </c>
      <c r="B9827" s="1">
        <v>1</v>
      </c>
      <c r="C9827" s="3">
        <v>44536.742777777778</v>
      </c>
      <c r="D9827" s="1" t="s">
        <v>19510</v>
      </c>
      <c r="E9827" s="1" t="str">
        <f ca="1">IFERROR(__xludf.DUMMYFUNCTION("GOOGLETRANSLATE(A6626 , ""tr"" , ""en"")"),"@drfahrettinkoca Again the same story SN overlooking the Late now Sharing State Level After the vaccination is now the right ... https://t.co/pqlrdlft2u")</f>
        <v>@drfahrettinkoca Again the same story SN overlooking the Late now Sharing State Level After the vaccination is now the right ... https://t.co/pqlrdlft2u</v>
      </c>
    </row>
    <row r="9828" spans="1:5" ht="15" customHeight="1" x14ac:dyDescent="0.2">
      <c r="A9828" s="1" t="s">
        <v>19511</v>
      </c>
      <c r="B9828" s="1">
        <v>0</v>
      </c>
      <c r="C9828" s="3">
        <v>44536.742754629631</v>
      </c>
      <c r="D9828" s="1" t="s">
        <v>19512</v>
      </c>
      <c r="E9828" s="1" t="str">
        <f ca="1">IFERROR(__xludf.DUMMYFUNCTION("GOOGLETRANSLATE(A6627 , ""tr"" , ""en"")"),"@drfahrettinkoca We were happy that we had the Health of our Health. Now your kids and you don't care about us sadness.")</f>
        <v>@drfahrettinkoca We were happy that we had the Health of our Health. Now your kids and you don't care about us sadness.</v>
      </c>
    </row>
    <row r="9829" spans="1:5" ht="15" customHeight="1" x14ac:dyDescent="0.2">
      <c r="A9829" s="1" t="s">
        <v>19513</v>
      </c>
      <c r="B9829" s="1">
        <v>4</v>
      </c>
      <c r="C9829" s="3">
        <v>44536.742696759262</v>
      </c>
      <c r="D9829" s="1" t="s">
        <v>19514</v>
      </c>
      <c r="E9829" s="1" t="str">
        <f ca="1">IFERROR(__xludf.DUMMYFUNCTION("GOOGLETRANSLATE(A6628 , ""tr"" , ""en"")"),"@drfahrettinka https://t.co/pvhkrth8qy")</f>
        <v>@drfahrettinka https://t.co/pvhkrth8qy</v>
      </c>
    </row>
    <row r="9830" spans="1:5" ht="15" customHeight="1" x14ac:dyDescent="0.2">
      <c r="A9830" s="1" t="s">
        <v>19515</v>
      </c>
      <c r="B9830" s="1">
        <v>2</v>
      </c>
      <c r="C9830" s="3">
        <v>44536.742673611108</v>
      </c>
      <c r="D9830" s="1" t="s">
        <v>19516</v>
      </c>
      <c r="E9830" s="1" t="str">
        <f ca="1">IFERROR(__xludf.DUMMYFUNCTION("GOOGLETRANSLATE(A6629 , ""tr"" , ""en"")"),"@drfahrettinkoca is now over our occupation and relieve the burden of the fields.")</f>
        <v>@drfahrettinkoca is now over our occupation and relieve the burden of the fields.</v>
      </c>
    </row>
    <row r="9831" spans="1:5" ht="15" customHeight="1" x14ac:dyDescent="0.2">
      <c r="A9831" s="1" t="s">
        <v>19517</v>
      </c>
      <c r="B9831" s="1">
        <v>14</v>
      </c>
      <c r="C9831" s="3">
        <v>44536.742638888885</v>
      </c>
      <c r="D9831" s="1" t="s">
        <v>19518</v>
      </c>
      <c r="E9831" s="1" t="str">
        <f ca="1">IFERROR(__xludf.DUMMYFUNCTION("GOOGLETRANSLATE(A6630 , ""tr"" , ""en"")"),"@drfahrettinkoca How weird is the most prudent disciplinary countries even even more than the Omicron virus ... https://t.co/p7deserewp")</f>
        <v>@drfahrettinkoca How weird is the most prudent disciplinary countries even even more than the Omicron virus ... https://t.co/p7deserewp</v>
      </c>
    </row>
    <row r="9832" spans="1:5" ht="15" customHeight="1" x14ac:dyDescent="0.2">
      <c r="A9832" s="1" t="s">
        <v>19519</v>
      </c>
      <c r="B9832" s="1">
        <v>0</v>
      </c>
      <c r="C9832" s="3">
        <v>44536.742615740739</v>
      </c>
      <c r="D9832" s="1" t="s">
        <v>19520</v>
      </c>
      <c r="E9832" s="1" t="str">
        <f ca="1">IFERROR(__xludf.DUMMYFUNCTION("GOOGLETRANSLATE(A6631 , ""tr"" , ""en"")"),"@drfahrettinkoca I hated this system from this system.")</f>
        <v>@drfahrettinkoca I hated this system from this system.</v>
      </c>
    </row>
    <row r="9833" spans="1:5" ht="15" customHeight="1" x14ac:dyDescent="0.2">
      <c r="A9833" s="1" t="s">
        <v>19521</v>
      </c>
      <c r="B9833" s="1">
        <v>0</v>
      </c>
      <c r="C9833" s="3">
        <v>44536.742604166669</v>
      </c>
      <c r="D9833" s="1" t="s">
        <v>19522</v>
      </c>
      <c r="E9833" s="1" t="str">
        <f ca="1">IFERROR(__xludf.DUMMYFUNCTION("GOOGLETRANSLATE(A6632 , ""tr"" , ""en"")"),"@drfahrettinkoca If you are thinking of my Lord, my minister is unemployed I give me business then I really do me ... https://t.co/1lycch3d3d")</f>
        <v>@drfahrettinkoca If you are thinking of my Lord, my minister is unemployed I give me business then I really do me ... https://t.co/1lycch3d3d</v>
      </c>
    </row>
    <row r="9834" spans="1:5" ht="15" customHeight="1" x14ac:dyDescent="0.2">
      <c r="A9834" s="1" t="s">
        <v>19523</v>
      </c>
      <c r="B9834" s="1">
        <v>3</v>
      </c>
      <c r="C9834" s="3">
        <v>44536.74255787037</v>
      </c>
      <c r="D9834" s="1" t="s">
        <v>19524</v>
      </c>
      <c r="E9834" s="1" t="str">
        <f ca="1">IFERROR(__xludf.DUMMYFUNCTION("GOOGLETRANSLATE(A6633 , ""tr"" , ""en"")"),"@drfahrettinka ""Can I tell you without permission sir"" # 40binatamayiyapkilicdaroglu")</f>
        <v>@drfahrettinka "Can I tell you without permission sir" # 40binatamayiyapkilicdaroglu</v>
      </c>
    </row>
    <row r="9835" spans="1:5" ht="15" customHeight="1" x14ac:dyDescent="0.2">
      <c r="A9835" s="1" t="s">
        <v>19525</v>
      </c>
      <c r="B9835" s="1">
        <v>1</v>
      </c>
      <c r="C9835" s="3">
        <v>44536.742546296293</v>
      </c>
      <c r="D9835" s="1" t="s">
        <v>19526</v>
      </c>
      <c r="E9835" s="1" t="str">
        <f ca="1">IFERROR(__xludf.DUMMYFUNCTION("GOOGLETRANSLATE(A6634 , ""tr"" , ""en"")"),"@drfahrettinka https://t.co/vymraha1jt")</f>
        <v>@drfahrettinka https://t.co/vymraha1jt</v>
      </c>
    </row>
    <row r="9836" spans="1:5" ht="15" customHeight="1" x14ac:dyDescent="0.2">
      <c r="A9836" s="1" t="s">
        <v>19527</v>
      </c>
      <c r="B9836" s="1">
        <v>1</v>
      </c>
      <c r="C9836" s="3">
        <v>44536.742534722223</v>
      </c>
      <c r="D9836" s="1" t="s">
        <v>19528</v>
      </c>
      <c r="E9836" s="1" t="str">
        <f ca="1">IFERROR(__xludf.DUMMYFUNCTION("GOOGLETRANSLATE(A6635 , ""tr"" , ""en"")"),"@drfahrettinkoca Stop on your word Make the appointment that you promise to be promised this year")</f>
        <v>@drfahrettinkoca Stop on your word Make the appointment that you promise to be promised this year</v>
      </c>
    </row>
    <row r="9837" spans="1:5" ht="15" customHeight="1" x14ac:dyDescent="0.2">
      <c r="A9837" s="1" t="s">
        <v>19529</v>
      </c>
      <c r="B9837" s="1">
        <v>1</v>
      </c>
      <c r="C9837" s="3">
        <v>44536.742511574077</v>
      </c>
      <c r="D9837" s="1" t="s">
        <v>19530</v>
      </c>
      <c r="E9837" s="1" t="str">
        <f ca="1">IFERROR(__xludf.DUMMYFUNCTION("GOOGLETRANSLATE(A6636 , ""tr"" , ""en"")"),"@drfahrettinkoca We want to guide. We want a clear statement. We have been waiting for 1 year. Really waiting for all assignment ... https://t.co/uqcv10q33u")</f>
        <v>@drfahrettinkoca We want to guide. We want a clear statement. We have been waiting for 1 year. Really waiting for all assignment ... https://t.co/uqcv10q33u</v>
      </c>
    </row>
    <row r="9838" spans="1:5" ht="15" customHeight="1" x14ac:dyDescent="0.2">
      <c r="A9838" s="1" t="s">
        <v>19531</v>
      </c>
      <c r="B9838" s="1">
        <v>0</v>
      </c>
      <c r="C9838" s="3">
        <v>44536.7425</v>
      </c>
      <c r="D9838" s="1" t="s">
        <v>19532</v>
      </c>
      <c r="E9838" s="1" t="str">
        <f ca="1">IFERROR(__xludf.DUMMYFUNCTION("GOOGLETRANSLATE(A6637 , ""tr"" , ""en"")"),"@drfahrettinkoca is the dense care exchange rate increase in the absence of fence increases in good, if there is no increase in death increase ... https://t.co/fghjwggdevv")</f>
        <v>@drfahrettinkoca is the dense care exchange rate increase in the absence of fence increases in good, if there is no increase in death increase ... https://t.co/fghjwggdevv</v>
      </c>
    </row>
    <row r="9839" spans="1:5" ht="15" customHeight="1" x14ac:dyDescent="0.2">
      <c r="A9839" s="1" t="s">
        <v>19533</v>
      </c>
      <c r="B9839" s="1">
        <v>2</v>
      </c>
      <c r="C9839" s="3">
        <v>44536.742476851854</v>
      </c>
      <c r="D9839" s="1" t="s">
        <v>19534</v>
      </c>
      <c r="E9839" s="1" t="str">
        <f ca="1">IFERROR(__xludf.DUMMYFUNCTION("GOOGLETRANSLATE(A6638 , ""tr"" , ""en"")"),"@drfahrettinkoca 5 min 196 Reviews guideuuu")</f>
        <v>@drfahrettinkoca 5 min 196 Reviews guideuuu</v>
      </c>
    </row>
    <row r="9840" spans="1:5" ht="15" customHeight="1" x14ac:dyDescent="0.2">
      <c r="A9840" s="1" t="s">
        <v>19535</v>
      </c>
      <c r="B9840" s="1">
        <v>79</v>
      </c>
      <c r="C9840" s="3">
        <v>44536.742280092592</v>
      </c>
      <c r="D9840" s="1" t="s">
        <v>19536</v>
      </c>
      <c r="E9840" s="1" t="str">
        <f ca="1">IFERROR(__xludf.DUMMYFUNCTION("GOOGLETRANSLATE(A6639 , ""tr"" , ""en"")"),"@drfahrettinkoca so can it be? https://t.co/engqcduqna")</f>
        <v>@drfahrettinkoca so can it be? https://t.co/engqcduqna</v>
      </c>
    </row>
    <row r="9841" spans="1:5" ht="15" customHeight="1" x14ac:dyDescent="0.2">
      <c r="A9841" s="1" t="s">
        <v>19537</v>
      </c>
      <c r="B9841" s="1">
        <v>4</v>
      </c>
      <c r="C9841" s="3">
        <v>44536.742256944446</v>
      </c>
      <c r="D9841" s="1" t="s">
        <v>19538</v>
      </c>
      <c r="E9841" s="1" t="str">
        <f ca="1">IFERROR(__xludf.DUMMYFUNCTION("GOOGLETRANSLATE(A6640 , ""tr"" , ""en"")"),"@drfahrettinkoca leave us comfortable #abineuzaktanılitimsart")</f>
        <v>@drfahrettinkoca leave us comfortable #abineuzaktanılitimsart</v>
      </c>
    </row>
    <row r="9842" spans="1:5" ht="15" customHeight="1" x14ac:dyDescent="0.2">
      <c r="A9842" s="1" t="s">
        <v>19539</v>
      </c>
      <c r="B9842" s="1">
        <v>15</v>
      </c>
      <c r="C9842" s="3">
        <v>44536.742245370369</v>
      </c>
      <c r="D9842" s="1" t="s">
        <v>19540</v>
      </c>
      <c r="E9842" s="1" t="str">
        <f ca="1">IFERROR(__xludf.DUMMYFUNCTION("GOOGLETRANSLATE(A6641 , ""tr"" , ""en"")"),"@drfahrettinkoca is online for Allah. #kabinedenonlinesart # CabineUZAKTANDITUREMART")</f>
        <v>@drfahrettinkoca is online for Allah. #kabinedenonlinesart # CabineUZAKTANDITUREMART</v>
      </c>
    </row>
    <row r="9843" spans="1:5" ht="15" customHeight="1" x14ac:dyDescent="0.2">
      <c r="A9843" s="1" t="s">
        <v>19541</v>
      </c>
      <c r="B9843" s="1">
        <v>0</v>
      </c>
      <c r="C9843" s="3">
        <v>44536.742199074077</v>
      </c>
      <c r="D9843" s="1" t="s">
        <v>19542</v>
      </c>
      <c r="E9843" s="1" t="str">
        <f ca="1">IFERROR(__xludf.DUMMYFUNCTION("GOOGLETRANSLATE(A6642 , ""tr"" , ""en"")"),"@drfahrettinkoca Give your guide this week # 40binatamayiyapkilicdaroglu")</f>
        <v>@drfahrettinkoca Give your guide this week # 40binatamayiyapkilicdaroglu</v>
      </c>
    </row>
    <row r="9844" spans="1:5" ht="15" customHeight="1" x14ac:dyDescent="0.2">
      <c r="A9844" s="1" t="s">
        <v>19543</v>
      </c>
      <c r="B9844" s="1">
        <v>9</v>
      </c>
      <c r="C9844" s="3">
        <v>44536.742164351854</v>
      </c>
      <c r="D9844" s="1" t="s">
        <v>19544</v>
      </c>
      <c r="E9844" s="1" t="str">
        <f ca="1">IFERROR(__xludf.DUMMYFUNCTION("GOOGLETRANSLATE(A6643 , ""tr"" , ""en"")"),"@drfahrettinkoca sheep in the canray, butcher in the butcher meat tray.")</f>
        <v>@drfahrettinkoca sheep in the canray, butcher in the butcher meat tray.</v>
      </c>
    </row>
    <row r="9845" spans="1:5" ht="15" customHeight="1" x14ac:dyDescent="0.2">
      <c r="A9845" s="1" t="s">
        <v>19545</v>
      </c>
      <c r="B9845" s="1">
        <v>2</v>
      </c>
      <c r="C9845" s="3">
        <v>44536.742164351854</v>
      </c>
      <c r="D9845" s="1" t="s">
        <v>19546</v>
      </c>
      <c r="E9845" s="1" t="str">
        <f ca="1">IFERROR(__xludf.DUMMYFUNCTION("GOOGLETRANSLATE(A6644 , ""tr"" , ""en"")"),"@drfahrettinkoca Mr. Minister Make now the following assignment to the psychologists in the salaries you will receive after this time ... https://t.co/7ouquu0euw")</f>
        <v>@drfahrettinkoca Mr. Minister Make now the following assignment to the psychologists in the salaries you will receive after this time ... https://t.co/7ouquu0euw</v>
      </c>
    </row>
    <row r="9846" spans="1:5" ht="15" customHeight="1" x14ac:dyDescent="0.2">
      <c r="A9846" s="1" t="s">
        <v>19547</v>
      </c>
      <c r="B9846" s="1">
        <v>1</v>
      </c>
      <c r="C9846" s="3">
        <v>44536.742083333331</v>
      </c>
      <c r="D9846" s="1" t="s">
        <v>19548</v>
      </c>
      <c r="E9846" s="1" t="str">
        <f ca="1">IFERROR(__xludf.DUMMYFUNCTION("GOOGLETRANSLATE(A6645 , ""tr"" , ""en"")"),"@drfahrettinkoca hocam you have our healthy hear our voice have come to the point of exhaustion the guide ar ... https://t.co/tqtxduubde")</f>
        <v>@drfahrettinkoca hocam you have our healthy hear our voice have come to the point of exhaustion the guide ar ... https://t.co/tqtxduubde</v>
      </c>
    </row>
    <row r="9847" spans="1:5" ht="15" customHeight="1" x14ac:dyDescent="0.2">
      <c r="A9847" s="1" t="s">
        <v>19549</v>
      </c>
      <c r="B9847" s="1">
        <v>0</v>
      </c>
      <c r="C9847" s="3">
        <v>44536.742060185185</v>
      </c>
      <c r="D9847" s="1" t="s">
        <v>19550</v>
      </c>
      <c r="E9847" s="1" t="str">
        <f ca="1">IFERROR(__xludf.DUMMYFUNCTION("GOOGLETRANSLATE(A6646 , ""tr"" , ""en"")"),"@drfahrettinkoca no")</f>
        <v>@drfahrettinkoca no</v>
      </c>
    </row>
    <row r="9848" spans="1:5" ht="15" customHeight="1" x14ac:dyDescent="0.2">
      <c r="A9848" s="1" t="s">
        <v>19551</v>
      </c>
      <c r="B9848" s="1">
        <v>2</v>
      </c>
      <c r="C9848" s="3">
        <v>44536.742048611108</v>
      </c>
      <c r="D9848" s="1" t="s">
        <v>19552</v>
      </c>
      <c r="E9848" s="1" t="str">
        <f ca="1">IFERROR(__xludf.DUMMYFUNCTION("GOOGLETRANSLATE(A6647 , ""tr"" , ""en"")"),"@drfahrettinkoca anymore in your gundem we say we say @drfahrettinkca is a little assigning a bit of healthcare ... https://t.co/sfj7o4eIPY")</f>
        <v>@drfahrettinkoca anymore in your gundem we say we say @drfahrettinkca is a little assigning a bit of healthcare ... https://t.co/sfj7o4eIPY</v>
      </c>
    </row>
    <row r="9849" spans="1:5" ht="15" customHeight="1" x14ac:dyDescent="0.2">
      <c r="A9849" s="1" t="s">
        <v>19553</v>
      </c>
      <c r="B9849" s="1">
        <v>12</v>
      </c>
      <c r="C9849" s="3">
        <v>44536.742025462961</v>
      </c>
      <c r="D9849" s="1" t="s">
        <v>19554</v>
      </c>
      <c r="E9849" s="1" t="str">
        <f ca="1">IFERROR(__xludf.DUMMYFUNCTION("GOOGLETRANSLATE(A6648 , ""tr"" , ""en"")"),"@drfahrettinkoca I'm looking at the cabinet before the cabinet and at the end of the cabin always have figures close to each other")</f>
        <v>@drfahrettinkoca I'm looking at the cabinet before the cabinet and at the end of the cabin always have figures close to each other</v>
      </c>
    </row>
    <row r="9850" spans="1:5" ht="15" customHeight="1" x14ac:dyDescent="0.2">
      <c r="A9850" s="1" t="s">
        <v>19555</v>
      </c>
      <c r="B9850" s="1">
        <v>0</v>
      </c>
      <c r="C9850" s="3">
        <v>44536.742025462961</v>
      </c>
      <c r="D9850" s="1" t="s">
        <v>19556</v>
      </c>
      <c r="E9850" s="1" t="str">
        <f ca="1">IFERROR(__xludf.DUMMYFUNCTION("GOOGLETRANSLATE(A6649 , ""tr"" , ""en"")"),"@drfahrettinkoca lets see the guide this week")</f>
        <v>@drfahrettinkoca lets see the guide this week</v>
      </c>
    </row>
    <row r="9851" spans="1:5" ht="15" customHeight="1" x14ac:dyDescent="0.2">
      <c r="A9851" s="1" t="s">
        <v>19557</v>
      </c>
      <c r="B9851" s="1">
        <v>8</v>
      </c>
      <c r="C9851" s="3">
        <v>44536.741851851853</v>
      </c>
      <c r="D9851" s="1" t="s">
        <v>19558</v>
      </c>
      <c r="E9851" s="1" t="str">
        <f ca="1">IFERROR(__xludf.DUMMYFUNCTION("GOOGLETRANSLATE(A6650 , ""tr"" , ""en"")"),"@drfahrettinkoca We're here until we get what we want. # kabineuzaktanılitimsart")</f>
        <v>@drfahrettinkoca We're here until we get what we want. # kabineuzaktanılitimsart</v>
      </c>
    </row>
    <row r="9852" spans="1:5" ht="15" customHeight="1" x14ac:dyDescent="0.2">
      <c r="A9852" s="1" t="s">
        <v>19559</v>
      </c>
      <c r="B9852" s="1">
        <v>9</v>
      </c>
      <c r="C9852" s="3">
        <v>44536.741793981484</v>
      </c>
      <c r="D9852" s="1" t="s">
        <v>19560</v>
      </c>
      <c r="E9852" s="1" t="str">
        <f ca="1">IFERROR(__xludf.DUMMYFUNCTION("GOOGLETRANSLATE(A6651 , ""tr"" , ""en"")"),"@drfahrettinkoca Europe Bass Bass Yells Against Omicron Vaccine Sea.Biotench Ciosu I need a new vaccine ... https://t.co/m1f3uldks4")</f>
        <v>@drfahrettinkoca Europe Bass Bass Yells Against Omicron Vaccine Sea.Biotench Ciosu I need a new vaccine ... https://t.co/m1f3uldks4</v>
      </c>
    </row>
    <row r="9853" spans="1:5" ht="15" customHeight="1" x14ac:dyDescent="0.2">
      <c r="A9853" s="1" t="s">
        <v>19561</v>
      </c>
      <c r="B9853" s="1">
        <v>0</v>
      </c>
      <c r="C9853" s="3">
        <v>44536.741793981484</v>
      </c>
      <c r="D9853" s="1" t="s">
        <v>19562</v>
      </c>
      <c r="E9853" s="1" t="str">
        <f ca="1">IFERROR(__xludf.DUMMYFUNCTION("GOOGLETRANSLATE(A6652 , ""tr"" , ""en"")"),"@drfahrettinkoca I'm not happy see the number of cases of the Case of the Case of the Army in one of the fewer vaccines. ... https://t.co/pofvsvo2sh")</f>
        <v>@drfahrettinkoca I'm not happy see the number of cases of the Case of the Case of the Army in one of the fewer vaccines. ... https://t.co/pofvsvo2sh</v>
      </c>
    </row>
    <row r="9854" spans="1:5" ht="15" customHeight="1" x14ac:dyDescent="0.2">
      <c r="A9854" s="1" t="s">
        <v>19563</v>
      </c>
      <c r="B9854" s="1">
        <v>37</v>
      </c>
      <c r="C9854" s="3">
        <v>44536.741770833331</v>
      </c>
      <c r="D9854" s="1" t="s">
        <v>19564</v>
      </c>
      <c r="E9854" s="1" t="str">
        <f ca="1">IFERROR(__xludf.DUMMYFUNCTION("GOOGLETRANSLATE(A6653 , ""tr"" , ""en"")"),"@drfahrettinkoca you are hiding everything omichones, cases, deaths do not be ashamed of any kind of transparent transparent ... https://t.co/dxjvpayble")</f>
        <v>@drfahrettinkoca you are hiding everything omichones, cases, deaths do not be ashamed of any kind of transparent transparent ... https://t.co/dxjvpayble</v>
      </c>
    </row>
    <row r="9855" spans="1:5" ht="15" customHeight="1" x14ac:dyDescent="0.2">
      <c r="A9855" s="1" t="s">
        <v>19565</v>
      </c>
      <c r="B9855" s="1">
        <v>6</v>
      </c>
      <c r="C9855" s="3">
        <v>44536.741759259261</v>
      </c>
      <c r="D9855" s="1" t="s">
        <v>19566</v>
      </c>
      <c r="E9855" s="1" t="str">
        <f ca="1">IFERROR(__xludf.DUMMYFUNCTION("GOOGLETRANSLATE(A6654 , ""tr"" , ""en"")"),"@drfahrettinkoca #tbmm make health check https://t.co/BKIEW3XRCB")</f>
        <v>@drfahrettinkoca #tbmm make health check https://t.co/BKIEW3XRCB</v>
      </c>
    </row>
    <row r="9856" spans="1:5" ht="15" customHeight="1" x14ac:dyDescent="0.2">
      <c r="A9856" s="1" t="s">
        <v>19567</v>
      </c>
      <c r="B9856" s="1">
        <v>3</v>
      </c>
      <c r="C9856" s="3">
        <v>44536.741678240738</v>
      </c>
      <c r="D9856" s="1" t="s">
        <v>19568</v>
      </c>
      <c r="E9856" s="1" t="str">
        <f ca="1">IFERROR(__xludf.DUMMYFUNCTION("GOOGLETRANSLATE(A6655 , ""tr"" , ""en"")"),"@drfahrettinkoca all of us are all wholesale relax either #kabinedenonlinesart")</f>
        <v>@drfahrettinkoca all of us are all wholesale relax either #kabinedenonlinesart</v>
      </c>
    </row>
    <row r="9857" spans="1:5" ht="15" customHeight="1" x14ac:dyDescent="0.2">
      <c r="A9857" s="1" t="s">
        <v>19569</v>
      </c>
      <c r="B9857" s="1">
        <v>0</v>
      </c>
      <c r="C9857" s="3">
        <v>44536.741631944446</v>
      </c>
      <c r="D9857" s="1" t="s">
        <v>19570</v>
      </c>
      <c r="E9857" s="1" t="str">
        <f ca="1">IFERROR(__xludf.DUMMYFUNCTION("GOOGLETRANSLATE(A6656 , ""tr"" , ""en"")"),"@drfahrettinkoca is again a number of figures written in 30, 2, 75 or something ... did he appear in Reis ensen ""Did the figure v ... Https://t.co/wteumhsqeg")</f>
        <v>@drfahrettinkoca is again a number of figures written in 30, 2, 75 or something ... did he appear in Reis ensen "Did the figure v ... Https://t.co/wteumhsqeg</v>
      </c>
    </row>
    <row r="9858" spans="1:5" ht="15" customHeight="1" x14ac:dyDescent="0.2">
      <c r="A9858" s="1" t="s">
        <v>19571</v>
      </c>
      <c r="B9858" s="1">
        <v>0</v>
      </c>
      <c r="C9858" s="3">
        <v>44536.741620370369</v>
      </c>
      <c r="D9858" s="1" t="s">
        <v>19572</v>
      </c>
      <c r="E9858" s="1" t="str">
        <f ca="1">IFERROR(__xludf.DUMMYFUNCTION("GOOGLETRANSLATE(A6657 , ""tr"" , ""en"")"),"@drfahrettinkoca Leave the vaccine Mr. Minister, 20 months Why do you not pay the medical device to pay @ drfahrettinkoca ... https://t.co/yb3tu4m3xx")</f>
        <v>@drfahrettinkoca Leave the vaccine Mr. Minister, 20 months Why do you not pay the medical device to pay @ drfahrettinkoca ... https://t.co/yb3tu4m3xx</v>
      </c>
    </row>
    <row r="9859" spans="1:5" ht="15" customHeight="1" x14ac:dyDescent="0.2">
      <c r="A9859" s="1" t="s">
        <v>16832</v>
      </c>
      <c r="B9859" s="1">
        <v>16</v>
      </c>
      <c r="C9859" s="3">
        <v>44536.741597222222</v>
      </c>
      <c r="D9859" s="1" t="s">
        <v>19573</v>
      </c>
      <c r="E9859" s="1" t="str">
        <f ca="1">IFERROR(__xludf.DUMMYFUNCTION("GOOGLETRANSLATE(A6658 , ""tr"" , ""en"")"),"@drfahrettinkoca # kabineuzaktanılitimsart")</f>
        <v>@drfahrettinkoca # kabineuzaktanılitimsart</v>
      </c>
    </row>
    <row r="9860" spans="1:5" ht="15" customHeight="1" x14ac:dyDescent="0.2">
      <c r="A9860" s="1" t="s">
        <v>19574</v>
      </c>
      <c r="B9860" s="1">
        <v>0</v>
      </c>
      <c r="C9860" s="3">
        <v>44536.741469907407</v>
      </c>
      <c r="D9860" s="1" t="s">
        <v>19575</v>
      </c>
      <c r="E9860" s="1" t="str">
        <f ca="1">IFERROR(__xludf.DUMMYFUNCTION("GOOGLETRANSLATE(A6659 , ""tr"" , ""en"")"),"@drfahrettinkoca nobody is going on .. The course is bad ..")</f>
        <v>@drfahrettinkoca nobody is going on .. The course is bad ..</v>
      </c>
    </row>
    <row r="9861" spans="1:5" ht="15" customHeight="1" x14ac:dyDescent="0.2">
      <c r="A9861" s="1" t="s">
        <v>19576</v>
      </c>
      <c r="B9861" s="1">
        <v>0</v>
      </c>
      <c r="C9861" s="3">
        <v>44536.74145833333</v>
      </c>
      <c r="D9861" s="1" t="s">
        <v>19577</v>
      </c>
      <c r="E9861" s="1" t="str">
        <f ca="1">IFERROR(__xludf.DUMMYFUNCTION("GOOGLETRANSLATE(A6660 , ""tr"" , ""en"")"),"@drfahrettinka Mr. Overlooking I'm tired of reading these teenagers aren't tired of writing. Ata also make young people relax.")</f>
        <v>@drfahrettinka Mr. Overlooking I'm tired of reading these teenagers aren't tired of writing. Ata also make young people relax.</v>
      </c>
    </row>
    <row r="9862" spans="1:5" ht="15" customHeight="1" x14ac:dyDescent="0.2">
      <c r="A9862" s="1" t="s">
        <v>19578</v>
      </c>
      <c r="B9862" s="1">
        <v>0</v>
      </c>
      <c r="C9862" s="3">
        <v>44536.741446759261</v>
      </c>
      <c r="D9862" s="1" t="s">
        <v>19579</v>
      </c>
      <c r="E9862" s="1" t="str">
        <f ca="1">IFERROR(__xludf.DUMMYFUNCTION("GOOGLETRANSLATE(A6661 , ""tr"" , ""en"")"),"@drfahrettinka minister please do you post guide")</f>
        <v>@drfahrettinka minister please do you post guide</v>
      </c>
    </row>
    <row r="9863" spans="1:5" ht="15" customHeight="1" x14ac:dyDescent="0.2">
      <c r="A9863" s="1" t="s">
        <v>19580</v>
      </c>
      <c r="B9863" s="1">
        <v>0</v>
      </c>
      <c r="C9863" s="3">
        <v>44536.741446759261</v>
      </c>
      <c r="D9863" s="1" t="s">
        <v>19581</v>
      </c>
      <c r="E9863" s="1" t="str">
        <f ca="1">IFERROR(__xludf.DUMMYFUNCTION("GOOGLETRANSLATE(A6662 , ""tr"" , ""en"")"),"@drfahrettinkoca # Wake up Wake Up Wake Up Wake Up Read Read Retweet Get Retweet Consider Https://t.co/POFUFCCI5A")</f>
        <v>@drfahrettinkoca # Wake up Wake Up Wake Up Wake Up Read Read Retweet Get Retweet Consider Https://t.co/POFUFCCI5A</v>
      </c>
    </row>
    <row r="9864" spans="1:5" ht="15" customHeight="1" x14ac:dyDescent="0.2">
      <c r="A9864" s="1" t="s">
        <v>19582</v>
      </c>
      <c r="B9864" s="1">
        <v>0</v>
      </c>
      <c r="C9864" s="3">
        <v>44536.741400462961</v>
      </c>
      <c r="D9864" s="1" t="s">
        <v>19583</v>
      </c>
      <c r="E9864" s="1" t="str">
        <f ca="1">IFERROR(__xludf.DUMMYFUNCTION("GOOGLETRANSLATE(A6663 , ""tr"" , ""en"")"),"@drfahrettinkoca prohibits gelin schools hybrid training or weekend training system 40 people in a class n ... https://t.co/syoekapdua")</f>
        <v>@drfahrettinkoca prohibits gelin schools hybrid training or weekend training system 40 people in a class n ... https://t.co/syoekapdua</v>
      </c>
    </row>
    <row r="9865" spans="1:5" ht="15" customHeight="1" x14ac:dyDescent="0.2">
      <c r="A9865" s="1" t="s">
        <v>19584</v>
      </c>
      <c r="B9865" s="1">
        <v>0</v>
      </c>
      <c r="C9865" s="3">
        <v>44536.741342592592</v>
      </c>
      <c r="D9865" s="1" t="s">
        <v>19585</v>
      </c>
      <c r="E9865" s="1" t="str">
        <f ca="1">IFERROR(__xludf.DUMMYFUNCTION("GOOGLETRANSLATE(A6664 , ""tr"" , ""en"")"),"@drfahrettinkoca help for Allah consent please very hard in case I'm at the end of my finute Noluram Home ... https://t.co/pamr87cynx")</f>
        <v>@drfahrettinkoca help for Allah consent please very hard in case I'm at the end of my finute Noluram Home ... https://t.co/pamr87cynx</v>
      </c>
    </row>
    <row r="9866" spans="1:5" ht="15" customHeight="1" x14ac:dyDescent="0.2">
      <c r="A9866" s="1" t="s">
        <v>19586</v>
      </c>
      <c r="B9866" s="1">
        <v>0</v>
      </c>
      <c r="C9866" s="3">
        <v>44536.741296296299</v>
      </c>
      <c r="D9866" s="1" t="s">
        <v>19587</v>
      </c>
      <c r="E9866" s="1" t="str">
        <f ca="1">IFERROR(__xludf.DUMMYFUNCTION("GOOGLETRANSLATE(A6665 , ""tr"" , ""en"")"),"@drfahrettinkoca We are infamous in dorms and you are not able to see this")</f>
        <v>@drfahrettinkoca We are infamous in dorms and you are not able to see this</v>
      </c>
    </row>
    <row r="9867" spans="1:5" ht="15" customHeight="1" x14ac:dyDescent="0.2">
      <c r="A9867" s="1" t="s">
        <v>19588</v>
      </c>
      <c r="B9867" s="1">
        <v>0</v>
      </c>
      <c r="C9867" s="3">
        <v>44536.741296296299</v>
      </c>
      <c r="D9867" s="1" t="s">
        <v>19589</v>
      </c>
      <c r="E9867" s="1" t="str">
        <f ca="1">IFERROR(__xludf.DUMMYFUNCTION("GOOGLETRANSLATE(A6666 , ""tr"" , ""en"")"),"@drfahrettinkoca Minister What are we looking forward to the guide for Allah's sake @drfahrettinkoca")</f>
        <v>@drfahrettinkoca Minister What are we looking forward to the guide for Allah's sake @drfahrettinkoca</v>
      </c>
    </row>
    <row r="9868" spans="1:5" ht="15" customHeight="1" x14ac:dyDescent="0.2">
      <c r="A9868" s="1" t="s">
        <v>19590</v>
      </c>
      <c r="B9868" s="1">
        <v>3</v>
      </c>
      <c r="C9868" s="3">
        <v>44536.741180555553</v>
      </c>
      <c r="D9868" s="1" t="s">
        <v>19591</v>
      </c>
      <c r="E9868" s="1" t="str">
        <f ca="1">IFERROR(__xludf.DUMMYFUNCTION("GOOGLETRANSLATE(A6667 , ""tr"" , ""en"")"),"@drfahrettinkoca Urfa is not in vaccination data falling as our pride ....")</f>
        <v>@drfahrettinkoca Urfa is not in vaccination data falling as our pride ....</v>
      </c>
    </row>
    <row r="9869" spans="1:5" ht="15" customHeight="1" x14ac:dyDescent="0.2">
      <c r="A9869" s="1" t="s">
        <v>19592</v>
      </c>
      <c r="B9869" s="1">
        <v>0</v>
      </c>
      <c r="C9869" s="3">
        <v>44536.741180555553</v>
      </c>
      <c r="D9869" s="1" t="s">
        <v>19593</v>
      </c>
      <c r="E9869" s="1" t="str">
        <f ca="1">IFERROR(__xludf.DUMMYFUNCTION("GOOGLETRANSLATE(A6668 , ""tr"" , ""en"")"),"Go @drfahrettinkoca mini mini clots Also go! Really coags!")</f>
        <v>Go @drfahrettinkoca mini mini clots Also go! Really coags!</v>
      </c>
    </row>
    <row r="9870" spans="1:5" ht="15" customHeight="1" x14ac:dyDescent="0.2">
      <c r="A9870" s="1" t="s">
        <v>19594</v>
      </c>
      <c r="B9870" s="1">
        <v>5</v>
      </c>
      <c r="C9870" s="3">
        <v>44536.741168981483</v>
      </c>
      <c r="D9870" s="1" t="s">
        <v>19595</v>
      </c>
      <c r="E9870" s="1" t="str">
        <f ca="1">IFERROR(__xludf.DUMMYFUNCTION("GOOGLETRANSLATE(A6669 , ""tr"" , ""en"")"),"@drfahrettinkoca is or you will make that decision")</f>
        <v>@drfahrettinkoca is or you will make that decision</v>
      </c>
    </row>
    <row r="9871" spans="1:5" ht="15" customHeight="1" x14ac:dyDescent="0.2">
      <c r="A9871" s="1" t="s">
        <v>19596</v>
      </c>
      <c r="B9871" s="1">
        <v>1</v>
      </c>
      <c r="C9871" s="3">
        <v>44536.74114583333</v>
      </c>
      <c r="D9871" s="1" t="s">
        <v>19597</v>
      </c>
      <c r="E9871" s="1" t="str">
        <f ca="1">IFERROR(__xludf.DUMMYFUNCTION("GOOGLETRANSLATE(A6670 , ""tr"" , ""en"")"),"@drfahrettinkoca 20k Case + How to normalize at least 200 deaths every day? Isn't your parents, but this rah ... https://t.co/bkqwoxbzhd")</f>
        <v>@drfahrettinkoca 20k Case + How to normalize at least 200 deaths every day? Isn't your parents, but this rah ... https://t.co/bkqwoxbzhd</v>
      </c>
    </row>
    <row r="9872" spans="1:5" ht="15" customHeight="1" x14ac:dyDescent="0.2">
      <c r="A9872" s="1" t="s">
        <v>19598</v>
      </c>
      <c r="B9872" s="1">
        <v>0</v>
      </c>
      <c r="C9872" s="3">
        <v>44536.74113425926</v>
      </c>
      <c r="D9872" s="1" t="s">
        <v>19599</v>
      </c>
      <c r="E9872" s="1" t="str">
        <f ca="1">IFERROR(__xludf.DUMMYFUNCTION("GOOGLETRANSLATE(A6671 , ""tr"" , ""en"")"),"@drfahrettinkoca # 40binatamayiyapkilicdaroglu,")</f>
        <v>@drfahrettinkoca # 40binatamayiyapkilicdaroglu,</v>
      </c>
    </row>
    <row r="9873" spans="1:5" ht="15" customHeight="1" x14ac:dyDescent="0.2">
      <c r="A9873" s="1" t="s">
        <v>19600</v>
      </c>
      <c r="B9873" s="1">
        <v>36</v>
      </c>
      <c r="C9873" s="3">
        <v>44536.74113425926</v>
      </c>
      <c r="D9873" s="1" t="s">
        <v>19601</v>
      </c>
      <c r="E9873" s="1" t="str">
        <f ca="1">IFERROR(__xludf.DUMMYFUNCTION("GOOGLETRANSLATE(A6672 , ""tr"" , ""en"")"),"@drfahrettinkoca is this Covid What Smartly Is Making 20 Thousand Case Every Day Mahallah # Kabineuzaktanişitimsart")</f>
        <v>@drfahrettinkoca is this Covid What Smartly Is Making 20 Thousand Case Every Day Mahallah # Kabineuzaktanişitimsart</v>
      </c>
    </row>
    <row r="9874" spans="1:5" ht="15" customHeight="1" x14ac:dyDescent="0.2">
      <c r="A9874" s="1" t="s">
        <v>19602</v>
      </c>
      <c r="B9874" s="1">
        <v>11</v>
      </c>
      <c r="C9874" s="3">
        <v>44536.741122685184</v>
      </c>
      <c r="D9874" s="1" t="s">
        <v>19603</v>
      </c>
      <c r="E9874" s="1" t="str">
        <f ca="1">IFERROR(__xludf.DUMMYFUNCTION("GOOGLETRANSLATE(A6673 , ""tr"" , ""en"")"),"@drfahrettinka Mr. Husband! Whereas you have set out a night time in transparency! At the point you arrive now ... https://t.co/uvv3adxals")</f>
        <v>@drfahrettinka Mr. Husband! Whereas you have set out a night time in transparency! At the point you arrive now ... https://t.co/uvv3adxals</v>
      </c>
    </row>
    <row r="9875" spans="1:5" ht="15" customHeight="1" x14ac:dyDescent="0.2">
      <c r="A9875" s="1" t="s">
        <v>19604</v>
      </c>
      <c r="B9875" s="1">
        <v>0</v>
      </c>
      <c r="C9875" s="3">
        <v>44536.741111111114</v>
      </c>
      <c r="D9875" s="1" t="s">
        <v>19605</v>
      </c>
      <c r="E9875" s="1" t="str">
        <f ca="1">IFERROR(__xludf.DUMMYFUNCTION("GOOGLETRANSLATE(A6674 , ""tr"" , ""en"")"),"@drfahrettinka I didn't have the vaccine I have never had tests I have never been Covid :)")</f>
        <v>@drfahrettinka I didn't have the vaccine I have never had tests I have never been Covid :)</v>
      </c>
    </row>
    <row r="9876" spans="1:5" ht="15" customHeight="1" x14ac:dyDescent="0.2">
      <c r="A9876" s="1" t="s">
        <v>19606</v>
      </c>
      <c r="B9876" s="1">
        <v>0</v>
      </c>
      <c r="C9876" s="3">
        <v>44536.741064814814</v>
      </c>
      <c r="D9876" s="1" t="s">
        <v>19607</v>
      </c>
      <c r="E9876" s="1" t="str">
        <f ca="1">IFERROR(__xludf.DUMMYFUNCTION("GOOGLETRANSLATE(A6675 , ""tr"" , ""en"")"),"@drfahrettinkoca When you say serious increases, you mean what is my minister. You do not have serious increases in the numbers of cases.")</f>
        <v>@drfahrettinkoca When you say serious increases, you mean what is my minister. You do not have serious increases in the numbers of cases.</v>
      </c>
    </row>
    <row r="9877" spans="1:5" ht="15" customHeight="1" x14ac:dyDescent="0.2">
      <c r="A9877" s="1" t="s">
        <v>17866</v>
      </c>
      <c r="B9877" s="1">
        <v>17</v>
      </c>
      <c r="C9877" s="3">
        <v>44536.741053240738</v>
      </c>
      <c r="D9877" s="1" t="s">
        <v>19608</v>
      </c>
      <c r="E9877" s="1" t="str">
        <f ca="1">IFERROR(__xludf.DUMMYFUNCTION("GOOGLETRANSLATE(A6676 , ""tr"" , ""en"")"),"@drfahrettinkoca # CabineUZAKTanEducationArt")</f>
        <v>@drfahrettinkoca # CabineUZAKTanEducationArt</v>
      </c>
    </row>
    <row r="9878" spans="1:5" ht="15" customHeight="1" x14ac:dyDescent="0.2">
      <c r="A9878" s="1" t="s">
        <v>19609</v>
      </c>
      <c r="B9878" s="1">
        <v>0</v>
      </c>
      <c r="C9878" s="3">
        <v>44536.741041666668</v>
      </c>
      <c r="D9878" s="1" t="s">
        <v>19610</v>
      </c>
      <c r="E9878" s="1" t="str">
        <f ca="1">IFERROR(__xludf.DUMMYFUNCTION("GOOGLETRANSLATE(A6677 , ""tr"" , ""en"")"),"@drfahrettinkoca Was this today's speech text?")</f>
        <v>@drfahrettinkoca Was this today's speech text?</v>
      </c>
    </row>
    <row r="9879" spans="1:5" ht="15" customHeight="1" x14ac:dyDescent="0.2">
      <c r="A9879" s="1" t="s">
        <v>19611</v>
      </c>
      <c r="B9879" s="1">
        <v>4</v>
      </c>
      <c r="C9879" s="3">
        <v>44536.741030092591</v>
      </c>
      <c r="D9879" s="1" t="s">
        <v>19612</v>
      </c>
      <c r="E9879" s="1" t="str">
        <f ca="1">IFERROR(__xludf.DUMMYFUNCTION("GOOGLETRANSLATE(A6678 , ""tr"" , ""en"")"),"@drfahrettinkoca does not apply to Omicron current vaccine. NAPICAZ ???? #kabinedenonlinesart")</f>
        <v>@drfahrettinkoca does not apply to Omicron current vaccine. NAPICAZ ???? #kabinedenonlinesart</v>
      </c>
    </row>
    <row r="9880" spans="1:5" ht="15" customHeight="1" x14ac:dyDescent="0.2">
      <c r="A9880" s="1" t="s">
        <v>19613</v>
      </c>
      <c r="B9880" s="1">
        <v>48</v>
      </c>
      <c r="C9880" s="3">
        <v>44536.741018518522</v>
      </c>
      <c r="D9880" s="1" t="s">
        <v>19614</v>
      </c>
      <c r="E9880" s="1" t="str">
        <f ca="1">IFERROR(__xludf.DUMMYFUNCTION("GOOGLETRANSLATE(A6679 , ""tr"" , ""en"")"),"@drfahrettinkoca What a lovely 20 thousand was 2nd but today went to the cabinet. Anyway my dear Sunday yin ... https://t.co/n8s4bbhhpf")</f>
        <v>@drfahrettinkoca What a lovely 20 thousand was 2nd but today went to the cabinet. Anyway my dear Sunday yin ... https://t.co/n8s4bbhhpf</v>
      </c>
    </row>
    <row r="9881" spans="1:5" ht="15" customHeight="1" x14ac:dyDescent="0.2">
      <c r="A9881" s="1" t="s">
        <v>19615</v>
      </c>
      <c r="B9881" s="1">
        <v>3</v>
      </c>
      <c r="C9881" s="3">
        <v>44536.741018518522</v>
      </c>
      <c r="D9881" s="1" t="s">
        <v>19616</v>
      </c>
      <c r="E9881" s="1" t="str">
        <f ca="1">IFERROR(__xludf.DUMMYFUNCTION("GOOGLETRANSLATE(A6680 , ""tr"" , ""en"")"),"@drfahrettinkoca We are clinging to you to announce you to hear your ears We are the future of the country Healthy Health ... https://t.co/9rtvlif1br")</f>
        <v>@drfahrettinkoca We are clinging to you to announce you to hear your ears We are the future of the country Healthy Health ... https://t.co/9rtvlif1br</v>
      </c>
    </row>
    <row r="9882" spans="1:5" ht="15" customHeight="1" x14ac:dyDescent="0.2">
      <c r="A9882" s="1" t="s">
        <v>10058</v>
      </c>
      <c r="B9882" s="1">
        <v>0</v>
      </c>
      <c r="C9882" s="3">
        <v>44536.740972222222</v>
      </c>
      <c r="D9882" s="1" t="s">
        <v>19617</v>
      </c>
      <c r="E9882" s="1" t="str">
        <f ca="1">IFERROR(__xludf.DUMMYFUNCTION("GOOGLETRANSLATE(A6681 , ""tr"" , ""en"")"),"@drfahrettinkoca Guide")</f>
        <v>@drfahrettinkoca Guide</v>
      </c>
    </row>
    <row r="9883" spans="1:5" ht="15" customHeight="1" x14ac:dyDescent="0.2">
      <c r="A9883" s="1" t="s">
        <v>19618</v>
      </c>
      <c r="B9883" s="1">
        <v>9</v>
      </c>
      <c r="C9883" s="3">
        <v>44536.740960648145</v>
      </c>
      <c r="D9883" s="1" t="s">
        <v>19619</v>
      </c>
      <c r="E9883" s="1" t="str">
        <f ca="1">IFERROR(__xludf.DUMMYFUNCTION("GOOGLETRANSLATE(A6682 , ""tr"" , ""en"")"),"@drfahrettinkoca seriously this mu min overlooking the country shaking is shaking what do you see so do you see us so see us")</f>
        <v>@drfahrettinkoca seriously this mu min overlooking the country shaking is shaking what do you see so do you see us so see us</v>
      </c>
    </row>
    <row r="9884" spans="1:5" ht="15" customHeight="1" x14ac:dyDescent="0.2">
      <c r="A9884" s="1" t="s">
        <v>19620</v>
      </c>
      <c r="B9884" s="1">
        <v>0</v>
      </c>
      <c r="C9884" s="3">
        <v>44536.740914351853</v>
      </c>
      <c r="D9884" s="1" t="s">
        <v>19621</v>
      </c>
      <c r="E9884" s="1" t="str">
        <f ca="1">IFERROR(__xludf.DUMMYFUNCTION("GOOGLETRANSLATE(A6683 , ""tr"" , ""en"")"),"@drfahrettinkoca @drfahrettinkoca Aids with aidship of aids and you earn the court after giving death 1 mi ... https://t.co/07fylpeedm")</f>
        <v>@drfahrettinkoca @drfahrettinkoca Aids with aidship of aids and you earn the court after giving death 1 mi ... https://t.co/07fylpeedm</v>
      </c>
    </row>
    <row r="9885" spans="1:5" ht="15" customHeight="1" x14ac:dyDescent="0.2">
      <c r="A9885" s="1" t="s">
        <v>19622</v>
      </c>
      <c r="B9885" s="1">
        <v>7</v>
      </c>
      <c r="C9885" s="3">
        <v>44536.740902777776</v>
      </c>
      <c r="D9885" s="1" t="s">
        <v>19623</v>
      </c>
      <c r="E9885" s="1" t="str">
        <f ca="1">IFERROR(__xludf.DUMMYFUNCTION("GOOGLETRANSLATE(A6684 , ""tr"" , ""en"")"),"@drfahrettinkoca so many people are the days to do what you say is the days to do twit to beat the world you even heard the overloe ... https://t.co/yevfnnIeww")</f>
        <v>@drfahrettinkoca so many people are the days to do what you say is the days to do twit to beat the world you even heard the overloe ... https://t.co/yevfnnIeww</v>
      </c>
    </row>
    <row r="9886" spans="1:5" ht="15" customHeight="1" x14ac:dyDescent="0.2">
      <c r="A9886" s="1" t="s">
        <v>19624</v>
      </c>
      <c r="B9886" s="1">
        <v>0</v>
      </c>
      <c r="C9886" s="3">
        <v>44536.740902777776</v>
      </c>
      <c r="D9886" s="1" t="s">
        <v>19625</v>
      </c>
      <c r="E9886" s="1" t="str">
        <f ca="1">IFERROR(__xludf.DUMMYFUNCTION("GOOGLETRANSLATE(A6685 , ""tr"" , ""en"")"),"@drfahrettinkoca how you haven't hit you last year overlooking this year different bi are human being wow")</f>
        <v>@drfahrettinkoca how you haven't hit you last year overlooking this year different bi are human being wow</v>
      </c>
    </row>
    <row r="9887" spans="1:5" ht="15" customHeight="1" x14ac:dyDescent="0.2">
      <c r="A9887" s="1" t="s">
        <v>19626</v>
      </c>
      <c r="B9887" s="1">
        <v>0</v>
      </c>
      <c r="C9887" s="3">
        <v>44536.740891203706</v>
      </c>
      <c r="D9887" s="1" t="s">
        <v>19627</v>
      </c>
      <c r="E9887" s="1" t="str">
        <f ca="1">IFERROR(__xludf.DUMMYFUNCTION("GOOGLETRANSLATE(A6686 , ""tr"" , ""en"")"),"@drfahrettinkoca when will the clavy come when")</f>
        <v>@drfahrettinkoca when will the clavy come when</v>
      </c>
    </row>
    <row r="9888" spans="1:5" ht="15" customHeight="1" x14ac:dyDescent="0.2">
      <c r="A9888" s="1" t="s">
        <v>19628</v>
      </c>
      <c r="B9888" s="1">
        <v>10</v>
      </c>
      <c r="C9888" s="3">
        <v>44536.740787037037</v>
      </c>
      <c r="D9888" s="1" t="s">
        <v>19629</v>
      </c>
      <c r="E9888" s="1" t="str">
        <f ca="1">IFERROR(__xludf.DUMMYFUNCTION("GOOGLETRANSLATE(A6687 , ""tr"" , ""en"")"),"@drfahrettinkoca we are not at all. We go to bed on Twitter and get up. It is enough")</f>
        <v>@drfahrettinkoca we are not at all. We go to bed on Twitter and get up. It is enough</v>
      </c>
    </row>
    <row r="9889" spans="1:5" ht="15" customHeight="1" x14ac:dyDescent="0.2">
      <c r="A9889" s="1" t="s">
        <v>19630</v>
      </c>
      <c r="B9889" s="1">
        <v>1</v>
      </c>
      <c r="C9889" s="3">
        <v>44536.740752314814</v>
      </c>
      <c r="D9889" s="1" t="s">
        <v>19631</v>
      </c>
      <c r="E9889" s="1" t="str">
        <f ca="1">IFERROR(__xludf.DUMMYFUNCTION("GOOGLETRANSLATE(A6688 , ""tr"" , ""en"")"),"Wake up to @drfahrettinkoca Wake up to Milleet 666 Lucifers Wake up without captive HTTPS://T.CO/ACPYMTXWZQ")</f>
        <v>Wake up to @drfahrettinkoca Wake up to Milleet 666 Lucifers Wake up without captive HTTPS://T.CO/ACPYMTXWZQ</v>
      </c>
    </row>
    <row r="9890" spans="1:5" ht="15" customHeight="1" x14ac:dyDescent="0.2">
      <c r="A9890" s="1" t="s">
        <v>19632</v>
      </c>
      <c r="B9890" s="1">
        <v>22</v>
      </c>
      <c r="C9890" s="3">
        <v>44536.740682870368</v>
      </c>
      <c r="D9890" s="1" t="s">
        <v>19633</v>
      </c>
      <c r="E9890" s="1" t="str">
        <f ca="1">IFERROR(__xludf.DUMMYFUNCTION("GOOGLETRANSLATE(A6689 , ""tr"" , ""en"")"),"@drfahrettinkoca TCK 77 There is no timeout within the scope of crimes against humanity ... Allah is great ... 🇹🇷🇹🇷🇹")</f>
        <v>@drfahrettinkoca TCK 77 There is no timeout within the scope of crimes against humanity ... Allah is great ... 🇹🇷🇹🇷🇹</v>
      </c>
    </row>
    <row r="9891" spans="1:5" ht="15" customHeight="1" x14ac:dyDescent="0.2">
      <c r="A9891" s="1" t="s">
        <v>19634</v>
      </c>
      <c r="B9891" s="1">
        <v>0</v>
      </c>
      <c r="C9891" s="3">
        <v>44536.740682870368</v>
      </c>
      <c r="D9891" s="1" t="s">
        <v>19635</v>
      </c>
      <c r="E9891" s="1" t="str">
        <f ca="1">IFERROR(__xludf.DUMMYFUNCTION("GOOGLETRANSLATE(A6690 , ""tr"" , ""en"")"),"@drfahrettinkoca we want it now")</f>
        <v>@drfahrettinkoca we want it now</v>
      </c>
    </row>
    <row r="9892" spans="1:5" ht="15" customHeight="1" x14ac:dyDescent="0.2">
      <c r="A9892" s="1" t="s">
        <v>19636</v>
      </c>
      <c r="B9892" s="1">
        <v>2</v>
      </c>
      <c r="C9892" s="3">
        <v>44536.740613425929</v>
      </c>
      <c r="D9892" s="1" t="s">
        <v>19637</v>
      </c>
      <c r="E9892" s="1" t="str">
        <f ca="1">IFERROR(__xludf.DUMMYFUNCTION("GOOGLETRANSLATE(A6691 , ""tr"" , ""en"")"),"@drfahrettinkoca # 40binatamayiyapkilicdaroglu")</f>
        <v>@drfahrettinkoca # 40binatamayiyapkilicdaroglu</v>
      </c>
    </row>
    <row r="9893" spans="1:5" ht="15" customHeight="1" x14ac:dyDescent="0.2">
      <c r="A9893" s="1" t="s">
        <v>19638</v>
      </c>
      <c r="B9893" s="1">
        <v>43</v>
      </c>
      <c r="C9893" s="3">
        <v>44536.740613425929</v>
      </c>
      <c r="D9893" s="1" t="s">
        <v>19639</v>
      </c>
      <c r="E9893" s="1" t="str">
        <f ca="1">IFERROR(__xludf.DUMMYFUNCTION("GOOGLETRANSLATE(A6692 , ""tr"" , ""en"")"),"@drfahrettinkoca We want to educate our online education Enough # Kabineuzakaktanetimsart")</f>
        <v>@drfahrettinkoca We want to educate our online education Enough # Kabineuzakaktanetimsart</v>
      </c>
    </row>
    <row r="9894" spans="1:5" ht="15" customHeight="1" x14ac:dyDescent="0.2">
      <c r="A9894" s="1" t="s">
        <v>19640</v>
      </c>
      <c r="B9894" s="1">
        <v>20</v>
      </c>
      <c r="C9894" s="3">
        <v>44536.740532407406</v>
      </c>
      <c r="D9894" s="1" t="s">
        <v>19641</v>
      </c>
      <c r="E9894" s="1" t="str">
        <f ca="1">IFERROR(__xludf.DUMMYFUNCTION("GOOGLETRANSLATE(A6693 , ""tr"" , ""en"")"),"@drfahrettinkoca Remove the necessity # Kabineuzaktanıştimşeht")</f>
        <v>@drfahrettinkoca Remove the necessity # Kabineuzaktanıştimşeht</v>
      </c>
    </row>
    <row r="9895" spans="1:5" ht="15" customHeight="1" x14ac:dyDescent="0.2">
      <c r="A9895" s="1" t="s">
        <v>19642</v>
      </c>
      <c r="B9895" s="1">
        <v>0</v>
      </c>
      <c r="C9895" s="3">
        <v>44536.740416666667</v>
      </c>
      <c r="D9895" s="1" t="s">
        <v>19643</v>
      </c>
      <c r="E9895" s="1" t="str">
        <f ca="1">IFERROR(__xludf.DUMMYFUNCTION("GOOGLETRANSLATE(A6694 , ""tr"" , ""en"")"),"@drfahrettinkoca is not as easy as laughing for you to lie? https://t.co/ocy3ymbw8y")</f>
        <v>@drfahrettinkoca is not as easy as laughing for you to lie? https://t.co/ocy3ymbw8y</v>
      </c>
    </row>
    <row r="9896" spans="1:5" ht="15" customHeight="1" x14ac:dyDescent="0.2">
      <c r="A9896" s="1" t="s">
        <v>19644</v>
      </c>
      <c r="B9896" s="1">
        <v>5</v>
      </c>
      <c r="C9896" s="3">
        <v>44536.740381944444</v>
      </c>
      <c r="D9896" s="1" t="s">
        <v>19645</v>
      </c>
      <c r="E9896" s="1" t="str">
        <f ca="1">IFERROR(__xludf.DUMMYFUNCTION("GOOGLETRANSLATE(A6695 , ""tr"" , ""en"")"),"@drfahrettinkoca What are you up to? We are dying we are here. There is no hearing")</f>
        <v>@drfahrettinkoca What are you up to? We are dying we are here. There is no hearing</v>
      </c>
    </row>
    <row r="9897" spans="1:5" ht="15" customHeight="1" x14ac:dyDescent="0.2">
      <c r="A9897" s="1" t="s">
        <v>19646</v>
      </c>
      <c r="B9897" s="1">
        <v>0</v>
      </c>
      <c r="C9897" s="3">
        <v>44536.740381944444</v>
      </c>
      <c r="D9897" s="1" t="s">
        <v>19647</v>
      </c>
      <c r="E9897" s="1" t="str">
        <f ca="1">IFERROR(__xludf.DUMMYFUNCTION("GOOGLETRANSLATE(A6696 , ""tr"" , ""en"")"),"@drfahrettinkoca Event Your Twites Unvolutioned the beggars on the begging side of the begging ...")</f>
        <v>@drfahrettinkoca Event Your Twites Unvolutioned the beggars on the begging side of the begging ...</v>
      </c>
    </row>
    <row r="9898" spans="1:5" ht="15" customHeight="1" x14ac:dyDescent="0.2">
      <c r="A9898" s="1" t="s">
        <v>19648</v>
      </c>
      <c r="B9898" s="1">
        <v>0</v>
      </c>
      <c r="C9898" s="3">
        <v>44536.740347222221</v>
      </c>
      <c r="D9898" s="1" t="s">
        <v>19649</v>
      </c>
      <c r="E9898" s="1" t="str">
        <f ca="1">IFERROR(__xludf.DUMMYFUNCTION("GOOGLETRANSLATE(A6697 , ""tr"" , ""en"")"),"@drfahrettinkoca Mr. Minister is what is not assigning to you?")</f>
        <v>@drfahrettinkoca Mr. Minister is what is not assigning to you?</v>
      </c>
    </row>
    <row r="9899" spans="1:5" ht="15" customHeight="1" x14ac:dyDescent="0.2">
      <c r="A9899" s="1" t="s">
        <v>19650</v>
      </c>
      <c r="B9899" s="1">
        <v>0</v>
      </c>
      <c r="C9899" s="3">
        <v>44536.740219907406</v>
      </c>
      <c r="D9899" s="1" t="s">
        <v>19651</v>
      </c>
      <c r="E9899" s="1" t="str">
        <f ca="1">IFERROR(__xludf.DUMMYFUNCTION("GOOGLETRANSLATE(A6698 , ""tr"" , ""en"")"),"@drfahrettinkoca Allah My Guide is Nolur")</f>
        <v>@drfahrettinkoca Allah My Guide is Nolur</v>
      </c>
    </row>
    <row r="9900" spans="1:5" ht="15" customHeight="1" x14ac:dyDescent="0.2">
      <c r="A9900" s="1" t="s">
        <v>19652</v>
      </c>
      <c r="B9900" s="1">
        <v>15</v>
      </c>
      <c r="C9900" s="3">
        <v>44536.74019675926</v>
      </c>
      <c r="D9900" s="1" t="s">
        <v>19653</v>
      </c>
      <c r="E9900" s="1" t="str">
        <f ca="1">IFERROR(__xludf.DUMMYFUNCTION("GOOGLETRANSLATE(A6699 , ""tr"" , ""en"")"),"@drfahrettinkoca #onlineegitimtaleps")</f>
        <v>@drfahrettinkoca #onlineegitimtaleps</v>
      </c>
    </row>
    <row r="9901" spans="1:5" ht="15" customHeight="1" x14ac:dyDescent="0.2">
      <c r="A9901" s="1" t="s">
        <v>19654</v>
      </c>
      <c r="B9901" s="1">
        <v>8</v>
      </c>
      <c r="C9901" s="3">
        <v>44536.74015046296</v>
      </c>
      <c r="D9901" s="1" t="s">
        <v>19655</v>
      </c>
      <c r="E9901" s="1" t="str">
        <f ca="1">IFERROR(__xludf.DUMMYFUNCTION("GOOGLETRANSLATE(A6700 , ""tr"" , ""en"")"),"@drfahrettinka give online training or take precautions, enough be enough.")</f>
        <v>@drfahrettinka give online training or take precautions, enough be enough.</v>
      </c>
    </row>
    <row r="9902" spans="1:5" ht="15" customHeight="1" x14ac:dyDescent="0.2">
      <c r="A9902" s="1" t="s">
        <v>19656</v>
      </c>
      <c r="B9902" s="1">
        <v>0</v>
      </c>
      <c r="C9902" s="3">
        <v>44536.740115740744</v>
      </c>
      <c r="D9902" s="1" t="s">
        <v>19657</v>
      </c>
      <c r="E9902" s="1" t="str">
        <f ca="1">IFERROR(__xludf.DUMMYFUNCTION("GOOGLETRANSLATE(A6701 , ""tr"" , ""en"")"),"@drfahrettinkoca vaccine vaccine vaccine enough Allah vaccine to assign the vaccine no longer assign the assignment @kilicdarogluk")</f>
        <v>@drfahrettinkoca vaccine vaccine vaccine enough Allah vaccine to assign the vaccine no longer assign the assignment @kilicdarogluk</v>
      </c>
    </row>
    <row r="9903" spans="1:5" ht="15" customHeight="1" x14ac:dyDescent="0.2">
      <c r="A9903" s="1" t="s">
        <v>19658</v>
      </c>
      <c r="B9903" s="1">
        <v>17</v>
      </c>
      <c r="C9903" s="3">
        <v>44536.740046296298</v>
      </c>
      <c r="D9903" s="1" t="s">
        <v>19659</v>
      </c>
      <c r="E9903" s="1" t="str">
        <f ca="1">IFERROR(__xludf.DUMMYFUNCTION("GOOGLETRANSLATE(A6702 , ""tr"" , ""en"")"),"@drfahrettinkoca anymore people don't believe in your lies? Hani Malum Htt I Drive 8 Eri ... https://t.co/pqtb0mb4vw")</f>
        <v>@drfahrettinkoca anymore people don't believe in your lies? Hani Malum Htt I Drive 8 Eri ... https://t.co/pqtb0mb4vw</v>
      </c>
    </row>
    <row r="9904" spans="1:5" ht="15" customHeight="1" x14ac:dyDescent="0.2">
      <c r="A9904" s="1" t="s">
        <v>19660</v>
      </c>
      <c r="B9904" s="1">
        <v>3</v>
      </c>
      <c r="C9904" s="3">
        <v>44536.739953703705</v>
      </c>
      <c r="D9904" s="1" t="s">
        <v>19661</v>
      </c>
      <c r="E9904" s="1" t="str">
        <f ca="1">IFERROR(__xludf.DUMMYFUNCTION("GOOGLETRANSLATE(A6703 , ""tr"" , ""en"")"),"@drfahrettinkoca get five thousand physiotherapist reception to the public residual minister")</f>
        <v>@drfahrettinkoca get five thousand physiotherapist reception to the public residual minister</v>
      </c>
    </row>
    <row r="9905" spans="1:5" ht="15" customHeight="1" x14ac:dyDescent="0.2">
      <c r="A9905" s="1" t="s">
        <v>19662</v>
      </c>
      <c r="B9905" s="1">
        <v>17</v>
      </c>
      <c r="C9905" s="3">
        <v>44536.739930555559</v>
      </c>
      <c r="D9905" s="1" t="s">
        <v>19663</v>
      </c>
      <c r="E9905" s="1" t="str">
        <f ca="1">IFERROR(__xludf.DUMMYFUNCTION("GOOGLETRANSLATE(A6704 , ""tr"" , ""en"")"),"@drfahrettinka https://t.co/at3puu3hxw")</f>
        <v>@drfahrettinka https://t.co/at3puu3hxw</v>
      </c>
    </row>
    <row r="9906" spans="1:5" ht="15" customHeight="1" x14ac:dyDescent="0.2">
      <c r="A9906" s="1" t="s">
        <v>19664</v>
      </c>
      <c r="B9906" s="1">
        <v>4</v>
      </c>
      <c r="C9906" s="3">
        <v>44536.739930555559</v>
      </c>
      <c r="D9906" s="1" t="s">
        <v>19665</v>
      </c>
      <c r="E9906" s="1" t="str">
        <f ca="1">IFERROR(__xludf.DUMMYFUNCTION("GOOGLETRANSLATE(A6705 , ""tr"" , ""en"")"),"@drfahrettinka say stop this plus")</f>
        <v>@drfahrettinka say stop this plus</v>
      </c>
    </row>
    <row r="9907" spans="1:5" ht="15" customHeight="1" x14ac:dyDescent="0.2">
      <c r="A9907" s="1" t="s">
        <v>19666</v>
      </c>
      <c r="B9907" s="1">
        <v>1</v>
      </c>
      <c r="C9907" s="3">
        <v>44536.739930555559</v>
      </c>
      <c r="D9907" s="1" t="s">
        <v>19667</v>
      </c>
      <c r="E9907" s="1" t="str">
        <f ca="1">IFERROR(__xludf.DUMMYFUNCTION("GOOGLETRANSLATE(A6706 , ""tr"" , ""en"")"),"@drfahrettinkoca assignment husband was a lie guide where are you aware that you have time for 9 days for the guide you shut up?")</f>
        <v>@drfahrettinkoca assignment husband was a lie guide where are you aware that you have time for 9 days for the guide you shut up?</v>
      </c>
    </row>
    <row r="9908" spans="1:5" ht="15" customHeight="1" x14ac:dyDescent="0.2">
      <c r="A9908" s="1" t="s">
        <v>19668</v>
      </c>
      <c r="B9908" s="1">
        <v>37</v>
      </c>
      <c r="C9908" s="3">
        <v>44536.739872685182</v>
      </c>
      <c r="D9908" s="1" t="s">
        <v>19669</v>
      </c>
      <c r="E9908" s="1" t="str">
        <f ca="1">IFERROR(__xludf.DUMMYFUNCTION("GOOGLETRANSLATE(A6707 , ""tr"" , ""en"")"),"@drfahrettinkoca As usual today you have not heard about us.")</f>
        <v>@drfahrettinkoca As usual today you have not heard about us.</v>
      </c>
    </row>
    <row r="9909" spans="1:5" ht="15" customHeight="1" x14ac:dyDescent="0.2">
      <c r="A9909" s="1" t="s">
        <v>19670</v>
      </c>
      <c r="B9909" s="1">
        <v>1</v>
      </c>
      <c r="C9909" s="3">
        <v>44536.739849537036</v>
      </c>
      <c r="D9909" s="1" t="s">
        <v>19671</v>
      </c>
      <c r="E9909" s="1" t="str">
        <f ca="1">IFERROR(__xludf.DUMMYFUNCTION("GOOGLETRANSLATE(A6708 , ""tr"" , ""en"")"),"@drfahrettinkoca Minister Again you have thrown very creative Tweets # 40BinatamayiaPkilicDaroglu")</f>
        <v>@drfahrettinkoca Minister Again you have thrown very creative Tweets # 40BinatamayiaPkilicDaroglu</v>
      </c>
    </row>
    <row r="9910" spans="1:5" ht="15" customHeight="1" x14ac:dyDescent="0.2">
      <c r="A9910" s="1" t="s">
        <v>19672</v>
      </c>
      <c r="B9910" s="1">
        <v>6</v>
      </c>
      <c r="C9910" s="3">
        <v>44536.739849537036</v>
      </c>
      <c r="D9910" s="1" t="s">
        <v>19673</v>
      </c>
      <c r="E9910" s="1" t="str">
        <f ca="1">IFERROR(__xludf.DUMMYFUNCTION("GOOGLETRANSLATE(A6709 , ""tr"" , ""en"")"),"@drfahrettinkoca Minister Please Come Guide Please")</f>
        <v>@drfahrettinkoca Minister Please Come Guide Please</v>
      </c>
    </row>
    <row r="9911" spans="1:5" ht="15" customHeight="1" x14ac:dyDescent="0.2">
      <c r="A9911" s="1" t="s">
        <v>19674</v>
      </c>
      <c r="B9911" s="1">
        <v>2</v>
      </c>
      <c r="C9911" s="3">
        <v>44536.739837962959</v>
      </c>
      <c r="D9911" s="1" t="s">
        <v>19675</v>
      </c>
      <c r="E9911" s="1" t="str">
        <f ca="1">IFERROR(__xludf.DUMMYFUNCTION("GOOGLETRANSLATE(A6710 , ""tr"" , ""en"")"),"@drfahrettinkoca guide you come # 40binatamayiyapkilicdaroglu")</f>
        <v>@drfahrettinkoca guide you come # 40binatamayiyapkilicdaroglu</v>
      </c>
    </row>
    <row r="9912" spans="1:5" ht="15" customHeight="1" x14ac:dyDescent="0.2">
      <c r="A9912" s="1" t="s">
        <v>19676</v>
      </c>
      <c r="B9912" s="1">
        <v>0</v>
      </c>
      <c r="C9912" s="3">
        <v>44536.73982638889</v>
      </c>
      <c r="D9912" s="1" t="s">
        <v>19677</v>
      </c>
      <c r="E9912" s="1" t="str">
        <f ca="1">IFERROR(__xludf.DUMMYFUNCTION("GOOGLETRANSLATE(A6711 , ""tr"" , ""en"")"),"@drfahrettinkoca who didn't get to be happy so I didn't")</f>
        <v>@drfahrettinkoca who didn't get to be happy so I didn't</v>
      </c>
    </row>
    <row r="9913" spans="1:5" ht="15" customHeight="1" x14ac:dyDescent="0.2">
      <c r="A9913" s="1" t="s">
        <v>19678</v>
      </c>
      <c r="B9913" s="1">
        <v>7</v>
      </c>
      <c r="C9913" s="3">
        <v>44536.739814814813</v>
      </c>
      <c r="D9913" s="1" t="s">
        <v>19679</v>
      </c>
      <c r="E9913" s="1" t="str">
        <f ca="1">IFERROR(__xludf.DUMMYFUNCTION("GOOGLETRANSLATE(A6712 , ""tr"" , ""en"")"),"@drfahrettinkoca Olen Kisi number is up to an ½")</f>
        <v>@drfahrettinkoca Olen Kisi number is up to an ½</v>
      </c>
    </row>
    <row r="9914" spans="1:5" ht="15" customHeight="1" x14ac:dyDescent="0.2">
      <c r="A9914" s="1" t="s">
        <v>19680</v>
      </c>
      <c r="B9914" s="1">
        <v>0</v>
      </c>
      <c r="C9914" s="3">
        <v>44536.739803240744</v>
      </c>
      <c r="D9914" s="1" t="s">
        <v>19681</v>
      </c>
      <c r="E9914" s="1" t="str">
        <f ca="1">IFERROR(__xludf.DUMMYFUNCTION("GOOGLETRANSLATE(A6713 , ""tr"" , ""en"")"),"@drfahrettinkoca I believe")</f>
        <v>@drfahrettinkoca I believe</v>
      </c>
    </row>
    <row r="9915" spans="1:5" ht="15" customHeight="1" x14ac:dyDescent="0.2">
      <c r="A9915" s="1" t="s">
        <v>19636</v>
      </c>
      <c r="B9915" s="1">
        <v>6</v>
      </c>
      <c r="C9915" s="3">
        <v>44536.739756944444</v>
      </c>
      <c r="D9915" s="1" t="s">
        <v>19682</v>
      </c>
      <c r="E9915" s="1" t="str">
        <f ca="1">IFERROR(__xludf.DUMMYFUNCTION("GOOGLETRANSLATE(A6714 , ""tr"" , ""en"")"),"@drfahrettinkoca # 40binatamayiyapkilicdaroglu")</f>
        <v>@drfahrettinkoca # 40binatamayiyapkilicdaroglu</v>
      </c>
    </row>
    <row r="9916" spans="1:5" ht="15" customHeight="1" x14ac:dyDescent="0.2">
      <c r="A9916" s="1" t="s">
        <v>19683</v>
      </c>
      <c r="B9916" s="1">
        <v>51</v>
      </c>
      <c r="C9916" s="3">
        <v>44536.739722222221</v>
      </c>
      <c r="D9916" s="1" t="s">
        <v>19684</v>
      </c>
      <c r="E9916" s="1" t="str">
        <f ca="1">IFERROR(__xludf.DUMMYFUNCTION("GOOGLETRANSLATE(A6715 , ""tr"" , ""en"")"),"@drfahrettinkoca omicron Even our country Past Yaa # cabinetaKtantitimsart")</f>
        <v>@drfahrettinkoca omicron Even our country Past Yaa # cabinetaKtantitimsart</v>
      </c>
    </row>
    <row r="9917" spans="1:5" ht="15" customHeight="1" x14ac:dyDescent="0.2">
      <c r="A9917" s="1" t="s">
        <v>19685</v>
      </c>
      <c r="B9917" s="1">
        <v>1</v>
      </c>
      <c r="C9917" s="3">
        <v>44536.739629629628</v>
      </c>
      <c r="D9917" s="1" t="s">
        <v>19686</v>
      </c>
      <c r="E9917" s="1" t="str">
        <f ca="1">IFERROR(__xludf.DUMMYFUNCTION("GOOGLETRANSLATE(A6716 , ""tr"" , ""en"")"),"@drfahrettinkoca subject, subject to my dear ....")</f>
        <v>@drfahrettinkoca subject, subject to my dear ....</v>
      </c>
    </row>
    <row r="9918" spans="1:5" ht="15" customHeight="1" x14ac:dyDescent="0.2">
      <c r="A9918" s="1" t="s">
        <v>19687</v>
      </c>
      <c r="B9918" s="1">
        <v>1</v>
      </c>
      <c r="C9918" s="3">
        <v>44536.739606481482</v>
      </c>
      <c r="D9918" s="1" t="s">
        <v>19688</v>
      </c>
      <c r="E9918" s="1" t="str">
        <f ca="1">IFERROR(__xludf.DUMMYFUNCTION("GOOGLETRANSLATE(A6717 , ""tr"" , ""en"")"),"@drfahrettinkoca klavuzzzzzzzz")</f>
        <v>@drfahrettinkoca klavuzzzzzzzz</v>
      </c>
    </row>
    <row r="9919" spans="1:5" ht="15" customHeight="1" x14ac:dyDescent="0.2">
      <c r="A9919" s="1" t="s">
        <v>19689</v>
      </c>
      <c r="B9919" s="1">
        <v>5</v>
      </c>
      <c r="C9919" s="3">
        <v>44536.739583333336</v>
      </c>
      <c r="D9919" s="1" t="s">
        <v>19690</v>
      </c>
      <c r="E9919" s="1" t="str">
        <f ca="1">IFERROR(__xludf.DUMMYFUNCTION("GOOGLETRANSLATE(A6718 , ""tr"" , ""en"")"),"@drfahrettinkoca holiday is not online training we want # kabineuzaktanetimsart")</f>
        <v>@drfahrettinkoca holiday is not online training we want # kabineuzaktanetimsart</v>
      </c>
    </row>
    <row r="9920" spans="1:5" ht="15" customHeight="1" x14ac:dyDescent="0.2">
      <c r="A9920" s="1" t="s">
        <v>19691</v>
      </c>
      <c r="B9920" s="1">
        <v>0</v>
      </c>
      <c r="C9920" s="3">
        <v>44536.739560185182</v>
      </c>
      <c r="D9920" s="1" t="s">
        <v>19692</v>
      </c>
      <c r="E9920" s="1" t="str">
        <f ca="1">IFERROR(__xludf.DUMMYFUNCTION("GOOGLETRANSLATE(A6719 , ""tr"" , ""en"")"),"@drfahrettinkoca Come on Go Be")</f>
        <v>@drfahrettinkoca Come on Go Be</v>
      </c>
    </row>
    <row r="9921" spans="1:5" ht="15" customHeight="1" x14ac:dyDescent="0.2">
      <c r="A9921" s="1" t="s">
        <v>19693</v>
      </c>
      <c r="B9921" s="1">
        <v>1</v>
      </c>
      <c r="C9921" s="3">
        <v>44536.739560185182</v>
      </c>
      <c r="D9921" s="1" t="s">
        <v>19694</v>
      </c>
      <c r="E9921" s="1" t="str">
        <f ca="1">IFERROR(__xludf.DUMMYFUNCTION("GOOGLETRANSLATE(A6720 , ""tr"" , ""en"")"),"Assigning @drfahrettinkoca Did it lose importance?")</f>
        <v>Assigning @drfahrettinkoca Did it lose importance?</v>
      </c>
    </row>
    <row r="9922" spans="1:5" ht="15" customHeight="1" x14ac:dyDescent="0.2">
      <c r="A9922" s="1" t="s">
        <v>19695</v>
      </c>
      <c r="B9922" s="1">
        <v>1</v>
      </c>
      <c r="C9922" s="3">
        <v>44536.739548611113</v>
      </c>
      <c r="D9922" s="1" t="s">
        <v>19696</v>
      </c>
      <c r="E9922" s="1" t="str">
        <f ca="1">IFERROR(__xludf.DUMMYFUNCTION("GOOGLETRANSLATE(A6721 , ""tr"" , ""en"")"),"@drfahrettinkoca guide ??????")</f>
        <v>@drfahrettinkoca guide ??????</v>
      </c>
    </row>
    <row r="9923" spans="1:5" ht="15" customHeight="1" x14ac:dyDescent="0.2">
      <c r="A9923" s="1" t="s">
        <v>19697</v>
      </c>
      <c r="B9923" s="1">
        <v>0</v>
      </c>
      <c r="C9923" s="3">
        <v>44536.739525462966</v>
      </c>
      <c r="D9923" s="1" t="s">
        <v>19698</v>
      </c>
      <c r="E9923" s="1" t="str">
        <f ca="1">IFERROR(__xludf.DUMMYFUNCTION("GOOGLETRANSLATE(A6722 , ""tr"" , ""en"")"),"@drfahrettinka which disease is more people killed by https://t.co/j37qmne1ot")</f>
        <v>@drfahrettinka which disease is more people killed by https://t.co/j37qmne1ot</v>
      </c>
    </row>
    <row r="9924" spans="1:5" ht="15" customHeight="1" x14ac:dyDescent="0.2">
      <c r="A9924" s="1" t="s">
        <v>19699</v>
      </c>
      <c r="B9924" s="1">
        <v>0</v>
      </c>
      <c r="C9924" s="3">
        <v>44536.739525462966</v>
      </c>
      <c r="D9924" s="1" t="s">
        <v>19700</v>
      </c>
      <c r="E9924" s="1" t="str">
        <f ca="1">IFERROR(__xludf.DUMMYFUNCTION("GOOGLETRANSLATE(A6723 , ""tr"" , ""en"")"),"@drfahrettinkoca is someone else's vaccination no one is happy")</f>
        <v>@drfahrettinkoca is someone else's vaccination no one is happy</v>
      </c>
    </row>
    <row r="9925" spans="1:5" ht="15" customHeight="1" x14ac:dyDescent="0.2">
      <c r="A9925" s="1" t="s">
        <v>16832</v>
      </c>
      <c r="B9925" s="1">
        <v>38</v>
      </c>
      <c r="C9925" s="3">
        <v>44536.73951388889</v>
      </c>
      <c r="D9925" s="1" t="s">
        <v>19701</v>
      </c>
      <c r="E9925" s="1" t="str">
        <f ca="1">IFERROR(__xludf.DUMMYFUNCTION("GOOGLETRANSLATE(A6724 , ""tr"" , ""en"")"),"@drfahrettinkoca # kabineuzaktanılitimsart")</f>
        <v>@drfahrettinkoca # kabineuzaktanılitimsart</v>
      </c>
    </row>
    <row r="9926" spans="1:5" ht="15" customHeight="1" x14ac:dyDescent="0.2">
      <c r="A9926" s="1" t="s">
        <v>19702</v>
      </c>
      <c r="B9926" s="1">
        <v>4</v>
      </c>
      <c r="C9926" s="3">
        <v>44536.73951388889</v>
      </c>
      <c r="D9926" s="1" t="s">
        <v>19703</v>
      </c>
      <c r="E9926" s="1" t="str">
        <f ca="1">IFERROR(__xludf.DUMMYFUNCTION("GOOGLETRANSLATE(A6725 , ""tr"" , ""en"")"),"@drfahrettinkoca is in the sin")</f>
        <v>@drfahrettinkoca is in the sin</v>
      </c>
    </row>
    <row r="9927" spans="1:5" ht="15" customHeight="1" x14ac:dyDescent="0.2">
      <c r="A9927" s="1" t="s">
        <v>19704</v>
      </c>
      <c r="B9927" s="1">
        <v>3</v>
      </c>
      <c r="C9927" s="3">
        <v>44536.739502314813</v>
      </c>
      <c r="D9927" s="1" t="s">
        <v>19705</v>
      </c>
      <c r="E9927" s="1" t="str">
        <f ca="1">IFERROR(__xludf.DUMMYFUNCTION("GOOGLETRANSLATE(A6726 , ""tr"" , ""en"")"),"@drfahrettinkoca lying on our table where we've stayed in Mr. Minister, thanks :)")</f>
        <v>@drfahrettinkoca lying on our table where we've stayed in Mr. Minister, thanks :)</v>
      </c>
    </row>
    <row r="9928" spans="1:5" ht="15" customHeight="1" x14ac:dyDescent="0.2">
      <c r="A9928" s="1" t="s">
        <v>19706</v>
      </c>
      <c r="B9928" s="1">
        <v>0</v>
      </c>
      <c r="C9928" s="3">
        <v>44536.739490740743</v>
      </c>
      <c r="D9928" s="1" t="s">
        <v>19707</v>
      </c>
      <c r="E9928" s="1" t="str">
        <f ca="1">IFERROR(__xludf.DUMMYFUNCTION("GOOGLETRANSLATE(A6727 , ""tr"" , ""en"")"),"@drfahrettinkoca Kemal Kılıçdaroğlu HalleSece Guide I hope. Continue to text.")</f>
        <v>@drfahrettinkoca Kemal Kılıçdaroğlu HalleSece Guide I hope. Continue to text.</v>
      </c>
    </row>
    <row r="9929" spans="1:5" ht="15" customHeight="1" x14ac:dyDescent="0.2">
      <c r="A9929" s="1" t="s">
        <v>19708</v>
      </c>
      <c r="B9929" s="1">
        <v>2</v>
      </c>
      <c r="C9929" s="3">
        <v>44536.739490740743</v>
      </c>
      <c r="D9929" s="1" t="s">
        <v>19709</v>
      </c>
      <c r="E9929" s="1" t="str">
        <f ca="1">IFERROR(__xludf.DUMMYFUNCTION("GOOGLETRANSLATE(A6728 , ""tr"" , ""en"")"),"@drfahrettinkoca what sayed is the famous philosopher ibrahim desserts ""mention namottur.""")</f>
        <v>@drfahrettinkoca what sayed is the famous philosopher ibrahim desserts "mention namottur."</v>
      </c>
    </row>
    <row r="9930" spans="1:5" ht="15" customHeight="1" x14ac:dyDescent="0.2">
      <c r="A9930" s="1" t="s">
        <v>19710</v>
      </c>
      <c r="B9930" s="1">
        <v>0</v>
      </c>
      <c r="C9930" s="3">
        <v>44536.739490740743</v>
      </c>
      <c r="D9930" s="1" t="s">
        <v>19711</v>
      </c>
      <c r="E9930" s="1" t="str">
        <f ca="1">IFERROR(__xludf.DUMMYFUNCTION("GOOGLETRANSLATE(A6729 , ""tr"" , ""en"")"),"@drfahrettinkoca # healthcyclargrevde")</f>
        <v>@drfahrettinkoca # healthcyclargrevde</v>
      </c>
    </row>
    <row r="9931" spans="1:5" ht="15" customHeight="1" x14ac:dyDescent="0.2">
      <c r="A9931" s="1" t="s">
        <v>19712</v>
      </c>
      <c r="B9931" s="1">
        <v>0</v>
      </c>
      <c r="C9931" s="3">
        <v>44536.739421296297</v>
      </c>
      <c r="D9931" s="1" t="s">
        <v>19713</v>
      </c>
      <c r="E9931" s="1" t="str">
        <f ca="1">IFERROR(__xludf.DUMMYFUNCTION("GOOGLETRANSLATE(A6730 , ""tr"" , ""en"")"),"@drfahrettinkoca guide where count your minister")</f>
        <v>@drfahrettinkoca guide where count your minister</v>
      </c>
    </row>
    <row r="9932" spans="1:5" ht="15" customHeight="1" x14ac:dyDescent="0.2">
      <c r="A9932" s="1" t="s">
        <v>19714</v>
      </c>
      <c r="B9932" s="1">
        <v>16</v>
      </c>
      <c r="C9932" s="3">
        <v>44536.739421296297</v>
      </c>
      <c r="D9932" s="1" t="s">
        <v>19715</v>
      </c>
      <c r="E9932" s="1" t="str">
        <f ca="1">IFERROR(__xludf.DUMMYFUNCTION("GOOGLETRANSLATE(A6731 , ""tr"" , ""en"")"),"@drfahrettinkoca guide expect @drfahrettinkoca # 40binatamayiyapkilicdaroglu")</f>
        <v>@drfahrettinkoca guide expect @drfahrettinkoca # 40binatamayiyapkilicdaroglu</v>
      </c>
    </row>
    <row r="9933" spans="1:5" ht="15" customHeight="1" x14ac:dyDescent="0.2">
      <c r="A9933" s="1" t="s">
        <v>19716</v>
      </c>
      <c r="B9933" s="1">
        <v>4</v>
      </c>
      <c r="C9933" s="3">
        <v>44536.739374999997</v>
      </c>
      <c r="D9933" s="1" t="s">
        <v>19717</v>
      </c>
      <c r="E9933" s="1" t="str">
        <f ca="1">IFERROR(__xludf.DUMMYFUNCTION("GOOGLETRANSLATE(A6732 , ""tr"" , ""en"")"),"@drfahrettinkoca Either online or quit")</f>
        <v>@drfahrettinkoca Either online or quit</v>
      </c>
    </row>
    <row r="9934" spans="1:5" ht="15" customHeight="1" x14ac:dyDescent="0.2">
      <c r="A9934" s="1" t="s">
        <v>19718</v>
      </c>
      <c r="B9934" s="1">
        <v>0</v>
      </c>
      <c r="C9934" s="3">
        <v>44536.739340277774</v>
      </c>
      <c r="D9934" s="1" t="s">
        <v>19719</v>
      </c>
      <c r="E9934" s="1" t="str">
        <f ca="1">IFERROR(__xludf.DUMMYFUNCTION("GOOGLETRANSLATE(A6733 , ""tr"" , ""en"")"),"@drfahrettinka https://t.co/7scqt75t3f")</f>
        <v>@drfahrettinka https://t.co/7scqt75t3f</v>
      </c>
    </row>
    <row r="9935" spans="1:5" ht="15" customHeight="1" x14ac:dyDescent="0.2">
      <c r="A9935" s="1" t="s">
        <v>19720</v>
      </c>
      <c r="B9935" s="1">
        <v>1</v>
      </c>
      <c r="C9935" s="3">
        <v>44536.739305555559</v>
      </c>
      <c r="D9935" s="1" t="s">
        <v>19721</v>
      </c>
      <c r="E9935" s="1" t="str">
        <f ca="1">IFERROR(__xludf.DUMMYFUNCTION("GOOGLETRANSLATE(A6734 , ""tr"" , ""en"")"),"Assign @drfahrettinkoca make artickkk")</f>
        <v>Assign @drfahrettinkoca make artickkk</v>
      </c>
    </row>
    <row r="9936" spans="1:5" ht="15" customHeight="1" x14ac:dyDescent="0.2">
      <c r="A9936" s="1" t="s">
        <v>19722</v>
      </c>
      <c r="B9936" s="1">
        <v>0</v>
      </c>
      <c r="C9936" s="3">
        <v>44536.739305555559</v>
      </c>
      <c r="D9936" s="1" t="s">
        <v>19723</v>
      </c>
      <c r="E9936" s="1" t="str">
        <f ca="1">IFERROR(__xludf.DUMMYFUNCTION("GOOGLETRANSLATE(A6735 , ""tr"" , ""en"")"),"@drfahrettinkoca Healthcare Shops Guide is not a two-week husband waiting for a year,")</f>
        <v>@drfahrettinkoca Healthcare Shops Guide is not a two-week husband waiting for a year,</v>
      </c>
    </row>
    <row r="9937" spans="1:5" ht="15" customHeight="1" x14ac:dyDescent="0.2">
      <c r="A9937" s="1" t="s">
        <v>19724</v>
      </c>
      <c r="B9937" s="1">
        <v>19</v>
      </c>
      <c r="C9937" s="3">
        <v>44536.739282407405</v>
      </c>
      <c r="D9937" s="1" t="s">
        <v>19725</v>
      </c>
      <c r="E9937" s="1" t="str">
        <f ca="1">IFERROR(__xludf.DUMMYFUNCTION("GOOGLETRANSLATE(A6736 , ""tr"" , ""en"")"),"@drfahrettinka we go to be a virus not to school")</f>
        <v>@drfahrettinka we go to be a virus not to school</v>
      </c>
    </row>
    <row r="9938" spans="1:5" ht="15" customHeight="1" x14ac:dyDescent="0.2">
      <c r="A9938" s="1" t="s">
        <v>19726</v>
      </c>
      <c r="B9938" s="1">
        <v>0</v>
      </c>
      <c r="C9938" s="3">
        <v>44536.739270833335</v>
      </c>
      <c r="D9938" s="1" t="s">
        <v>19727</v>
      </c>
      <c r="E9938" s="1" t="str">
        <f ca="1">IFERROR(__xludf.DUMMYFUNCTION("GOOGLETRANSLATE(A6737 , ""tr"" , ""en"")"),"@drfahrettinkoca Healthparts Guide is a week, not a husband waiting for a year.")</f>
        <v>@drfahrettinkoca Healthparts Guide is a week, not a husband waiting for a year.</v>
      </c>
    </row>
    <row r="9939" spans="1:5" ht="15" customHeight="1" x14ac:dyDescent="0.2">
      <c r="A9939" s="1" t="s">
        <v>19728</v>
      </c>
      <c r="B9939" s="1">
        <v>16</v>
      </c>
      <c r="C9939" s="3">
        <v>44536.739236111112</v>
      </c>
      <c r="D9939" s="1" t="s">
        <v>19729</v>
      </c>
      <c r="E9939" s="1" t="str">
        <f ca="1">IFERROR(__xludf.DUMMYFUNCTION("GOOGLETRANSLATE(A6738 , ""tr"" , ""en"")"),"@drfahrettinkoca #kabinedenonlinesart")</f>
        <v>@drfahrettinkoca #kabinedenonlinesart</v>
      </c>
    </row>
    <row r="9940" spans="1:5" ht="15" customHeight="1" x14ac:dyDescent="0.2">
      <c r="A9940" s="1" t="s">
        <v>19730</v>
      </c>
      <c r="B9940" s="1">
        <v>41</v>
      </c>
      <c r="C9940" s="3">
        <v>44536.739236111112</v>
      </c>
      <c r="D9940" s="1" t="s">
        <v>19731</v>
      </c>
      <c r="E9940" s="1" t="str">
        <f ca="1">IFERROR(__xludf.DUMMYFUNCTION("GOOGLETRANSLATE(A6739 , ""tr"" , ""en"")"),"@drfahrettinkoca Madem is how to get the vaccine to the students in their own school so how is the idea how to get to face to face? # kabineuzaktanıditimşarteArt")</f>
        <v>@drfahrettinkoca Madem is how to get the vaccine to the students in their own school so how is the idea how to get to face to face? # kabineuzaktanıditimşarteArt</v>
      </c>
    </row>
    <row r="9941" spans="1:5" ht="15" customHeight="1" x14ac:dyDescent="0.2">
      <c r="A9941" s="1" t="s">
        <v>19732</v>
      </c>
      <c r="B9941" s="1">
        <v>0</v>
      </c>
      <c r="C9941" s="3">
        <v>44536.739224537036</v>
      </c>
      <c r="D9941" s="1" t="s">
        <v>19733</v>
      </c>
      <c r="E9941" s="1" t="str">
        <f ca="1">IFERROR(__xludf.DUMMYFUNCTION("GOOGLETRANSLATE(A6740 , ""tr"" , ""en"")"),"@drfahrettinkoca healthcare guide is a week not for a husband waiting for a year")</f>
        <v>@drfahrettinkoca healthcare guide is a week not for a husband waiting for a year</v>
      </c>
    </row>
    <row r="9942" spans="1:5" ht="15" customHeight="1" x14ac:dyDescent="0.2">
      <c r="A9942" s="1" t="s">
        <v>19734</v>
      </c>
      <c r="B9942" s="1">
        <v>0</v>
      </c>
      <c r="C9942" s="3">
        <v>44536.739201388889</v>
      </c>
      <c r="D9942" s="1" t="s">
        <v>19735</v>
      </c>
      <c r="E9942" s="1" t="str">
        <f ca="1">IFERROR(__xludf.DUMMYFUNCTION("GOOGLETRANSLATE(A6741 , ""tr"" , ""en"")"),"@drfahrettinkoca Guide Guide for Allah's Sake")</f>
        <v>@drfahrettinkoca Guide Guide for Allah's Sake</v>
      </c>
    </row>
    <row r="9943" spans="1:5" ht="15" customHeight="1" x14ac:dyDescent="0.2">
      <c r="A9943" s="1" t="s">
        <v>19736</v>
      </c>
      <c r="B9943" s="1">
        <v>1</v>
      </c>
      <c r="C9943" s="3">
        <v>44536.739155092589</v>
      </c>
      <c r="D9943" s="1" t="s">
        <v>19737</v>
      </c>
      <c r="E9943" s="1" t="str">
        <f ca="1">IFERROR(__xludf.DUMMYFUNCTION("GOOGLETRANSLATE(A6742 , ""tr"" , ""en"")"),"@drfahrettinkoca Please request a clear date when the guide is next. Get the road open to Democrat ... https://T.CO/YIENXKW8SC")</f>
        <v>@drfahrettinkoca Please request a clear date when the guide is next. Get the road open to Democrat ... https://T.CO/YIENXKW8SC</v>
      </c>
    </row>
    <row r="9944" spans="1:5" ht="15" customHeight="1" x14ac:dyDescent="0.2">
      <c r="A9944" s="1" t="s">
        <v>11151</v>
      </c>
      <c r="B9944" s="1">
        <v>0</v>
      </c>
      <c r="C9944" s="3">
        <v>44536.73914351852</v>
      </c>
      <c r="D9944" s="1" t="s">
        <v>19738</v>
      </c>
      <c r="E9944" s="1" t="str">
        <f ca="1">IFERROR(__xludf.DUMMYFUNCTION("GOOGLETRANSLATE(A6743 , ""tr"" , ""en"")"),"@drfahrettinkoca you are a liar")</f>
        <v>@drfahrettinkoca you are a liar</v>
      </c>
    </row>
    <row r="9945" spans="1:5" ht="15" customHeight="1" x14ac:dyDescent="0.2">
      <c r="A9945" s="1" t="s">
        <v>19739</v>
      </c>
      <c r="B9945" s="1">
        <v>33</v>
      </c>
      <c r="C9945" s="3">
        <v>44536.73914351852</v>
      </c>
      <c r="D9945" s="1" t="s">
        <v>19740</v>
      </c>
      <c r="E9945" s="1" t="str">
        <f ca="1">IFERROR(__xludf.DUMMYFUNCTION("GOOGLETRANSLATE(A6744 , ""tr"" , ""en"")"),"@drfahrettinkoca guide are welcome !! @drfahrettinkoca # 40binatamayiyapkilicdaroglu")</f>
        <v>@drfahrettinkoca guide are welcome !! @drfahrettinkoca # 40binatamayiyapkilicdaroglu</v>
      </c>
    </row>
    <row r="9946" spans="1:5" ht="15" customHeight="1" x14ac:dyDescent="0.2">
      <c r="A9946" s="1" t="s">
        <v>19741</v>
      </c>
      <c r="B9946" s="1">
        <v>0</v>
      </c>
      <c r="C9946" s="3">
        <v>44536.739131944443</v>
      </c>
      <c r="D9946" s="1" t="s">
        <v>19742</v>
      </c>
      <c r="E9946" s="1" t="str">
        <f ca="1">IFERROR(__xludf.DUMMYFUNCTION("GOOGLETRANSLATE(A6745 , ""tr"" , ""en"")"),"@drfahrettinkoca Thanks for the ear hang on our call. Over 800 thousand health departments Graduate Health Minister ... https://t.co/zqbl8z2nrm")</f>
        <v>@drfahrettinkoca Thanks for the ear hang on our call. Over 800 thousand health departments Graduate Health Minister ... https://t.co/zqbl8z2nrm</v>
      </c>
    </row>
    <row r="9947" spans="1:5" ht="15" customHeight="1" x14ac:dyDescent="0.2">
      <c r="A9947" s="1" t="s">
        <v>19467</v>
      </c>
      <c r="B9947" s="1">
        <v>45</v>
      </c>
      <c r="C9947" s="3">
        <v>44536.73909722222</v>
      </c>
      <c r="D9947" s="1" t="s">
        <v>19743</v>
      </c>
      <c r="E9947" s="1" t="str">
        <f ca="1">IFERROR(__xludf.DUMMYFUNCTION("GOOGLETRANSLATE(A6746 , ""tr"" , ""en"")"),"@drfahrettinkoca 1 month guide is expected to be the minister in mind insaf # 40binatamayiyapkilicdaroglu")</f>
        <v>@drfahrettinkoca 1 month guide is expected to be the minister in mind insaf # 40binatamayiyapkilicdaroglu</v>
      </c>
    </row>
    <row r="9948" spans="1:5" ht="15" customHeight="1" x14ac:dyDescent="0.2">
      <c r="A9948" s="1" t="s">
        <v>19744</v>
      </c>
      <c r="B9948" s="1">
        <v>112</v>
      </c>
      <c r="C9948" s="3">
        <v>44536.73909722222</v>
      </c>
      <c r="D9948" s="1" t="s">
        <v>19745</v>
      </c>
      <c r="E9948" s="1" t="str">
        <f ca="1">IFERROR(__xludf.DUMMYFUNCTION("GOOGLETRANSLATE(A6747 , ""tr"" , ""en"")"),"@drfahrettinkoca to punish citizens since they did not meet the vaccine instructions carried out by the state ... https://t.co/5b6dtosh0w")</f>
        <v>@drfahrettinkoca to punish citizens since they did not meet the vaccine instructions carried out by the state ... https://t.co/5b6dtosh0w</v>
      </c>
    </row>
    <row r="9949" spans="1:5" ht="15" customHeight="1" x14ac:dyDescent="0.2">
      <c r="A9949" s="1" t="s">
        <v>19746</v>
      </c>
      <c r="B9949" s="1">
        <v>3</v>
      </c>
      <c r="C9949" s="3">
        <v>44536.739062499997</v>
      </c>
      <c r="D9949" s="1" t="s">
        <v>19747</v>
      </c>
      <c r="E9949" s="1" t="str">
        <f ca="1">IFERROR(__xludf.DUMMYFUNCTION("GOOGLETRANSLATE(A6748 , ""tr"" , ""en"")"),"@drfahrettinkoca Publishing Lies Statement No one believes if you want no longer")</f>
        <v>@drfahrettinkoca Publishing Lies Statement No one believes if you want no longer</v>
      </c>
    </row>
    <row r="9950" spans="1:5" ht="15" customHeight="1" x14ac:dyDescent="0.2">
      <c r="A9950" s="1" t="s">
        <v>19748</v>
      </c>
      <c r="B9950" s="1">
        <v>3</v>
      </c>
      <c r="C9950" s="3">
        <v>44536.739050925928</v>
      </c>
      <c r="D9950" s="1" t="s">
        <v>19749</v>
      </c>
      <c r="E9950" s="1" t="str">
        <f ca="1">IFERROR(__xludf.DUMMYFUNCTION("GOOGLETRANSLATE(A6749 , ""tr"" , ""en"")"),"@drfahrettinkoca Please request a clear date when the guide is next. The road will get the uncle of Democrat ... https://t.co/kfncqdbjka")</f>
        <v>@drfahrettinkoca Please request a clear date when the guide is next. The road will get the uncle of Democrat ... https://t.co/kfncqdbjka</v>
      </c>
    </row>
    <row r="9951" spans="1:5" ht="15" customHeight="1" x14ac:dyDescent="0.2">
      <c r="A9951" s="1" t="s">
        <v>19750</v>
      </c>
      <c r="B9951" s="1">
        <v>9</v>
      </c>
      <c r="C9951" s="3">
        <v>44536.739050925928</v>
      </c>
      <c r="D9951" s="1" t="s">
        <v>19751</v>
      </c>
      <c r="E9951" s="1" t="str">
        <f ca="1">IFERROR(__xludf.DUMMYFUNCTION("GOOGLETRANSLATE(A6750 , ""tr"" , ""en"")"),"@drfahrettinkoca Cases ARTICAK IMDATTT")</f>
        <v>@drfahrettinkoca Cases ARTICAK IMDATTT</v>
      </c>
    </row>
    <row r="9952" spans="1:5" ht="15" customHeight="1" x14ac:dyDescent="0.2">
      <c r="A9952" s="1" t="s">
        <v>19752</v>
      </c>
      <c r="B9952" s="1">
        <v>1</v>
      </c>
      <c r="C9952" s="3">
        <v>44536.739050925928</v>
      </c>
      <c r="D9952" s="1" t="s">
        <v>19753</v>
      </c>
      <c r="E9952" s="1" t="str">
        <f ca="1">IFERROR(__xludf.DUMMYFUNCTION("GOOGLETRANSLATE(A6751 , ""tr"" , ""en"")"),"@drfahrettinkoca you didn't give you whatever we asked.")</f>
        <v>@drfahrettinkoca you didn't give you whatever we asked.</v>
      </c>
    </row>
    <row r="9953" spans="1:5" ht="15" customHeight="1" x14ac:dyDescent="0.2">
      <c r="A9953" s="1" t="s">
        <v>19754</v>
      </c>
      <c r="B9953" s="1">
        <v>0</v>
      </c>
      <c r="C9953" s="3">
        <v>44536.739027777781</v>
      </c>
      <c r="D9953" s="1" t="s">
        <v>19755</v>
      </c>
      <c r="E9953" s="1" t="str">
        <f ca="1">IFERROR(__xludf.DUMMYFUNCTION("GOOGLETRANSLATE(A6752 , ""tr"" , ""en"")"),"@drfahrettinkoca @saglikbakanligi you are experiencing")</f>
        <v>@drfahrettinkoca @saglikbakanligi you are experiencing</v>
      </c>
    </row>
    <row r="9954" spans="1:5" ht="15" customHeight="1" x14ac:dyDescent="0.2">
      <c r="A9954" s="1" t="s">
        <v>19756</v>
      </c>
      <c r="B9954" s="1">
        <v>1</v>
      </c>
      <c r="C9954" s="3">
        <v>44536.739016203705</v>
      </c>
      <c r="D9954" s="1" t="s">
        <v>19757</v>
      </c>
      <c r="E9954" s="1" t="str">
        <f ca="1">IFERROR(__xludf.DUMMYFUNCTION("GOOGLETRANSLATE(A6753 , ""tr"" , ""en"")"),"@drfahrettinka online training we would like to be the minister please")</f>
        <v>@drfahrettinka online training we would like to be the minister please</v>
      </c>
    </row>
    <row r="9955" spans="1:5" ht="15" customHeight="1" x14ac:dyDescent="0.2">
      <c r="A9955" s="1" t="s">
        <v>19758</v>
      </c>
      <c r="B9955" s="1">
        <v>6</v>
      </c>
      <c r="C9955" s="3">
        <v>44536.738993055558</v>
      </c>
      <c r="D9955" s="1" t="s">
        <v>19759</v>
      </c>
      <c r="E9955" s="1" t="str">
        <f ca="1">IFERROR(__xludf.DUMMYFUNCTION("GOOGLETRANSLATE(A6754 , ""tr"" , ""en"")"),"@drfahrettinkoca Public Five Thousand Physiotherapist Reception")</f>
        <v>@drfahrettinkoca Public Five Thousand Physiotherapist Reception</v>
      </c>
    </row>
    <row r="9956" spans="1:5" ht="15" customHeight="1" x14ac:dyDescent="0.2">
      <c r="A9956" s="1" t="s">
        <v>19760</v>
      </c>
      <c r="B9956" s="1">
        <v>0</v>
      </c>
      <c r="C9956" s="3">
        <v>44536.738969907405</v>
      </c>
      <c r="D9956" s="1" t="s">
        <v>19761</v>
      </c>
      <c r="E9956" s="1" t="str">
        <f ca="1">IFERROR(__xludf.DUMMYFUNCTION("GOOGLETRANSLATE(A6755 , ""tr"" , ""en"")"),"@drfahrettinkoca guide why don't you post the minister @drfahrettinkoca")</f>
        <v>@drfahrettinkoca guide why don't you post the minister @drfahrettinkoca</v>
      </c>
    </row>
    <row r="9957" spans="1:5" ht="15" customHeight="1" x14ac:dyDescent="0.2">
      <c r="A9957" s="1" t="s">
        <v>19762</v>
      </c>
      <c r="B9957" s="1">
        <v>0</v>
      </c>
      <c r="C9957" s="3">
        <v>44536.738969907405</v>
      </c>
      <c r="D9957" s="1" t="s">
        <v>19763</v>
      </c>
      <c r="E9957" s="1" t="str">
        <f ca="1">IFERROR(__xludf.DUMMYFUNCTION("GOOGLETRANSLATE(A6756 , ""tr"" , ""en"")"),"@drfahrettinkoca guide looking forward to a moment waiting for the minister")</f>
        <v>@drfahrettinkoca guide looking forward to a moment waiting for the minister</v>
      </c>
    </row>
    <row r="9958" spans="1:5" ht="15" customHeight="1" x14ac:dyDescent="0.2">
      <c r="A9958" s="1" t="s">
        <v>19764</v>
      </c>
      <c r="B9958" s="1">
        <v>0</v>
      </c>
      <c r="C9958" s="3">
        <v>44536.738923611112</v>
      </c>
      <c r="D9958" s="1" t="s">
        <v>19765</v>
      </c>
      <c r="E9958" s="1" t="str">
        <f ca="1">IFERROR(__xludf.DUMMYFUNCTION("GOOGLETRANSLATE(A6757 , ""tr"" , ""en"")"),"@drfahrettinkoca omicron varianti turkiye is also the Minister of Yözus.")</f>
        <v>@drfahrettinkoca omicron varianti turkiye is also the Minister of Yözus.</v>
      </c>
    </row>
    <row r="9959" spans="1:5" ht="15" customHeight="1" x14ac:dyDescent="0.2">
      <c r="A9959" s="1" t="s">
        <v>19766</v>
      </c>
      <c r="B9959" s="1">
        <v>1</v>
      </c>
      <c r="C9959" s="3">
        <v>44536.738912037035</v>
      </c>
      <c r="D9959" s="1" t="s">
        <v>19767</v>
      </c>
      <c r="E9959" s="1" t="str">
        <f ca="1">IFERROR(__xludf.DUMMYFUNCTION("GOOGLETRANSLATE(A6758 , ""tr"" , ""en"")"),"@drfahrettinkoca guide are welcome to the minister guided guide @drfahrettinkoca # 40binatamayiyapkilicdaroglu")</f>
        <v>@drfahrettinkoca guide are welcome to the minister guided guide @drfahrettinkoca # 40binatamayiyapkilicdaroglu</v>
      </c>
    </row>
    <row r="9960" spans="1:5" ht="15" customHeight="1" x14ac:dyDescent="0.2">
      <c r="A9960" s="1" t="s">
        <v>19768</v>
      </c>
      <c r="B9960" s="1">
        <v>16</v>
      </c>
      <c r="C9960" s="3">
        <v>44536.738912037035</v>
      </c>
      <c r="D9960" s="1" t="s">
        <v>19769</v>
      </c>
      <c r="E9960" s="1" t="str">
        <f ca="1">IFERROR(__xludf.DUMMYFUNCTION("GOOGLETRANSLATE(A6759 , ""tr"" , ""en"")"),"@drfahrettinka enough vaccine vaccine vaccine no longer expects the guide Mr. Ministry # 40BinatamayiaPkilicDaroglu")</f>
        <v>@drfahrettinka enough vaccine vaccine vaccine no longer expects the guide Mr. Ministry # 40BinatamayiaPkilicDaroglu</v>
      </c>
    </row>
    <row r="9961" spans="1:5" ht="15" customHeight="1" x14ac:dyDescent="0.2">
      <c r="A9961" s="1" t="s">
        <v>19770</v>
      </c>
      <c r="B9961" s="1">
        <v>3</v>
      </c>
      <c r="C9961" s="3">
        <v>44536.738900462966</v>
      </c>
      <c r="D9961" s="1" t="s">
        <v>19771</v>
      </c>
      <c r="E9961" s="1" t="str">
        <f ca="1">IFERROR(__xludf.DUMMYFUNCTION("GOOGLETRANSLATE(A6760 , ""tr"" , ""en"")"),"@drfahrettinkoca everyone heard bi you didn't hear! Where is the guide?")</f>
        <v>@drfahrettinkoca everyone heard bi you didn't hear! Where is the guide?</v>
      </c>
    </row>
    <row r="9962" spans="1:5" ht="15" customHeight="1" x14ac:dyDescent="0.2">
      <c r="A9962" s="1" t="s">
        <v>19772</v>
      </c>
      <c r="B9962" s="1">
        <v>0</v>
      </c>
      <c r="C9962" s="3">
        <v>44536.738900462966</v>
      </c>
      <c r="D9962" s="1" t="s">
        <v>19773</v>
      </c>
      <c r="E9962" s="1" t="str">
        <f ca="1">IFERROR(__xludf.DUMMYFUNCTION("GOOGLETRANSLATE(A6761 , ""tr"" , ""en"")"),"@drfahrettinkoca guide where is the minister")</f>
        <v>@drfahrettinkoca guide where is the minister</v>
      </c>
    </row>
    <row r="9963" spans="1:5" ht="15" customHeight="1" x14ac:dyDescent="0.2">
      <c r="A9963" s="1" t="s">
        <v>19774</v>
      </c>
      <c r="B9963" s="1">
        <v>93</v>
      </c>
      <c r="C9963" s="3">
        <v>44536.738877314812</v>
      </c>
      <c r="D9963" s="1" t="s">
        <v>19775</v>
      </c>
      <c r="E9963" s="1" t="str">
        <f ca="1">IFERROR(__xludf.DUMMYFUNCTION("GOOGLETRANSLATE(A6762 , ""tr"" , ""en"")"),"@drfahrettinkoca z generation looking at the table lying # kabineuzaktanıtitimsart https://t.co/vkfcaavqqf")</f>
        <v>@drfahrettinkoca z generation looking at the table lying # kabineuzaktanıtitimsart https://t.co/vkfcaavqqf</v>
      </c>
    </row>
    <row r="9964" spans="1:5" ht="15" customHeight="1" x14ac:dyDescent="0.2">
      <c r="A9964" s="1" t="s">
        <v>19776</v>
      </c>
      <c r="B9964" s="1">
        <v>0</v>
      </c>
      <c r="C9964" s="3">
        <v>44536.738865740743</v>
      </c>
      <c r="D9964" s="1" t="s">
        <v>19777</v>
      </c>
      <c r="E9964" s="1" t="str">
        <f ca="1">IFERROR(__xludf.DUMMYFUNCTION("GOOGLETRANSLATE(A6763 , ""tr"" , ""en"")"),"@drfahrettinkoca online training to universities")</f>
        <v>@drfahrettinkoca online training to universities</v>
      </c>
    </row>
    <row r="9965" spans="1:5" ht="15" customHeight="1" x14ac:dyDescent="0.2">
      <c r="A9965" s="1" t="s">
        <v>19778</v>
      </c>
      <c r="B9965" s="1">
        <v>10</v>
      </c>
      <c r="C9965" s="3">
        <v>44536.738854166666</v>
      </c>
      <c r="D9965" s="1" t="s">
        <v>19779</v>
      </c>
      <c r="E9965" s="1" t="str">
        <f ca="1">IFERROR(__xludf.DUMMYFUNCTION("GOOGLETRANSLATE(A6764 , ""tr"" , ""en"")"),"@drfahrettinkoca kılıçdaroğlu heard our voice # Katcaroğlu")</f>
        <v>@drfahrettinkoca kılıçdaroğlu heard our voice # Katcaroğlu</v>
      </c>
    </row>
    <row r="9966" spans="1:5" ht="15" customHeight="1" x14ac:dyDescent="0.2">
      <c r="A9966" s="1" t="s">
        <v>19780</v>
      </c>
      <c r="B9966" s="1">
        <v>158</v>
      </c>
      <c r="C9966" s="3">
        <v>44536.738854166666</v>
      </c>
      <c r="D9966" s="1" t="s">
        <v>19781</v>
      </c>
      <c r="E9966" s="1" t="str">
        <f ca="1">IFERROR(__xludf.DUMMYFUNCTION("GOOGLETRANSLATE(A6765 , ""tr"" , ""en"")"),"@drfahrettinkoca Satisfied to lose your reliability as the Minister of Health Don't really believe anyone ... https://t.co/a3havsxm9h")</f>
        <v>@drfahrettinkoca Satisfied to lose your reliability as the Minister of Health Don't really believe anyone ... https://t.co/a3havsxm9h</v>
      </c>
    </row>
    <row r="9967" spans="1:5" ht="15" customHeight="1" x14ac:dyDescent="0.2">
      <c r="A9967" s="1" t="s">
        <v>19782</v>
      </c>
      <c r="B9967" s="1">
        <v>29</v>
      </c>
      <c r="C9967" s="3">
        <v>44536.73883101852</v>
      </c>
      <c r="D9967" s="1" t="s">
        <v>19783</v>
      </c>
      <c r="E9967" s="1" t="str">
        <f ca="1">IFERROR(__xludf.DUMMYFUNCTION("GOOGLETRANSLATE(A6766 , ""tr"" , ""en"")"),"@drfahrettinka https://t.co/jlkiuxh2ie")</f>
        <v>@drfahrettinka https://t.co/jlkiuxh2ie</v>
      </c>
    </row>
    <row r="9968" spans="1:5" ht="15" customHeight="1" x14ac:dyDescent="0.2">
      <c r="A9968" s="1" t="s">
        <v>19784</v>
      </c>
      <c r="B9968" s="1">
        <v>0</v>
      </c>
      <c r="C9968" s="3">
        <v>44536.73883101852</v>
      </c>
      <c r="D9968" s="1" t="s">
        <v>19785</v>
      </c>
      <c r="E9968" s="1" t="str">
        <f ca="1">IFERROR(__xludf.DUMMYFUNCTION("GOOGLETRANSLATE(A6767 , ""tr"" , ""en"")"),"@drfahrettinkoca You can now view the water guide or what is not Araming with our family What is the Possibly psycholo ... https://t.co/cstv62crbq")</f>
        <v>@drfahrettinkoca You can now view the water guide or what is not Araming with our family What is the Possibly psycholo ... https://t.co/cstv62crbq</v>
      </c>
    </row>
    <row r="9969" spans="1:5" ht="15" customHeight="1" x14ac:dyDescent="0.2">
      <c r="A9969" s="1" t="s">
        <v>19786</v>
      </c>
      <c r="B9969" s="1">
        <v>67</v>
      </c>
      <c r="C9969" s="3">
        <v>44536.738761574074</v>
      </c>
      <c r="D9969" s="1" t="s">
        <v>19787</v>
      </c>
      <c r="E9969" s="1" t="str">
        <f ca="1">IFERROR(__xludf.DUMMYFUNCTION("GOOGLETRANSLATE(A6768 , ""tr"" , ""en"")"),"@drfahrettinkoca vaccine accept unable to work anymore # kabineuzaktanıtimştimşart")</f>
        <v>@drfahrettinkoca vaccine accept unable to work anymore # kabineuzaktanıtimştimşart</v>
      </c>
    </row>
    <row r="9970" spans="1:5" ht="15" customHeight="1" x14ac:dyDescent="0.2">
      <c r="A9970" s="1" t="s">
        <v>19788</v>
      </c>
      <c r="B9970" s="1">
        <v>1</v>
      </c>
      <c r="C9970" s="3">
        <v>44536.738749999997</v>
      </c>
      <c r="D9970" s="1" t="s">
        <v>19789</v>
      </c>
      <c r="E9970" s="1" t="str">
        <f ca="1">IFERROR(__xludf.DUMMYFUNCTION("GOOGLETRANSLATE(A6769 , ""tr"" , ""en"")"),"@drfahrettinkoca We are asking for distance education Mr. Ministry We get sick everyday")</f>
        <v>@drfahrettinkoca We are asking for distance education Mr. Ministry We get sick everyday</v>
      </c>
    </row>
    <row r="9971" spans="1:5" ht="15" customHeight="1" x14ac:dyDescent="0.2">
      <c r="A9971" s="1" t="s">
        <v>19790</v>
      </c>
      <c r="B9971" s="1">
        <v>0</v>
      </c>
      <c r="C9971" s="3">
        <v>44537.884062500001</v>
      </c>
      <c r="D9971" s="1" t="s">
        <v>19791</v>
      </c>
      <c r="E9971" s="1" t="str">
        <f ca="1">IFERROR(__xludf.DUMMYFUNCTION("GOOGLETRANSLATE(A6770 , ""tr"" , ""en"")"),"@drfahrettinkoca Dollar Judiceans Lifts RubberTo Weak Kılıçdaroğlu Come Colonial")</f>
        <v>@drfahrettinkoca Dollar Judiceans Lifts RubberTo Weak Kılıçdaroğlu Come Colonial</v>
      </c>
    </row>
    <row r="9972" spans="1:5" ht="15" customHeight="1" x14ac:dyDescent="0.2">
      <c r="A9972" s="1" t="s">
        <v>16850</v>
      </c>
      <c r="B9972" s="1">
        <v>0</v>
      </c>
      <c r="C9972" s="3">
        <v>44537.766944444447</v>
      </c>
      <c r="D9972" s="1" t="s">
        <v>19792</v>
      </c>
      <c r="E9972" s="1" t="str">
        <f ca="1">IFERROR(__xludf.DUMMYFUNCTION("GOOGLETRANSLATE(A6771 , ""tr"" , ""en"")"),"@drfahrettinkoca flu vaccine people cavid-19 a very quickly caught. Body should not fall out of strength.")</f>
        <v>@drfahrettinkoca flu vaccine people cavid-19 a very quickly caught. Body should not fall out of strength.</v>
      </c>
    </row>
    <row r="9973" spans="1:5" ht="15" customHeight="1" x14ac:dyDescent="0.2">
      <c r="A9973" s="1" t="s">
        <v>19793</v>
      </c>
      <c r="B9973" s="1">
        <v>1</v>
      </c>
      <c r="C9973" s="3">
        <v>44539.983738425923</v>
      </c>
      <c r="D9973" s="1" t="s">
        <v>19794</v>
      </c>
      <c r="E9973" s="1" t="str">
        <f ca="1">IFERROR(__xludf.DUMMYFUNCTION("GOOGLETRANSLATE(A6772 , ""tr"" , ""en"")"),"@drfahrettinkoca I am continuously private after you don't have an appointment of these numbers after loving money, no shows have no significance")</f>
        <v>@drfahrettinkoca I am continuously private after you don't have an appointment of these numbers after loving money, no shows have no significance</v>
      </c>
    </row>
    <row r="9974" spans="1:5" ht="15" customHeight="1" x14ac:dyDescent="0.2">
      <c r="A9974" s="1" t="s">
        <v>19795</v>
      </c>
      <c r="B9974" s="1">
        <v>0</v>
      </c>
      <c r="C9974" s="3">
        <v>44539.686423611114</v>
      </c>
      <c r="D9974" s="1" t="s">
        <v>19796</v>
      </c>
      <c r="E9974" s="1" t="str">
        <f ca="1">IFERROR(__xludf.DUMMYFUNCTION("GOOGLETRANSLATE(A6773 , ""tr"" , ""en"")"),"@drfahrettinkoca Paramedik What will be upgrading what will be going to be aggregated? We can't find work even in private hospital. Sa ... https://t.co/lpnldjtz6s")</f>
        <v>@drfahrettinkoca Paramedik What will be upgrading what will be going to be aggregated? We can't find work even in private hospital. Sa ... https://t.co/lpnldjtz6s</v>
      </c>
    </row>
    <row r="9975" spans="1:5" ht="15" customHeight="1" x14ac:dyDescent="0.2">
      <c r="A9975" s="1" t="s">
        <v>19797</v>
      </c>
      <c r="B9975" s="1">
        <v>1</v>
      </c>
      <c r="C9975" s="3">
        <v>44539.497349537036</v>
      </c>
      <c r="D9975" s="1" t="s">
        <v>19798</v>
      </c>
      <c r="E9975" s="1" t="str">
        <f ca="1">IFERROR(__xludf.DUMMYFUNCTION("GOOGLETRANSLATE(A6774 , ""tr"" , ""en"")"),"@drfahrettinka https://t.co/e6qy7g60mv")</f>
        <v>@drfahrettinka https://t.co/e6qy7g60mv</v>
      </c>
    </row>
    <row r="9976" spans="1:5" ht="15" customHeight="1" x14ac:dyDescent="0.2">
      <c r="A9976" s="1" t="s">
        <v>19799</v>
      </c>
      <c r="B9976" s="1">
        <v>1</v>
      </c>
      <c r="C9976" s="3">
        <v>44538.898842592593</v>
      </c>
      <c r="D9976" s="1" t="s">
        <v>19800</v>
      </c>
      <c r="E9976" s="1" t="str">
        <f ca="1">IFERROR(__xludf.DUMMYFUNCTION("GOOGLETRANSLATE(A6775 , ""tr"" , ""en"")"),"@drfahrettinkoca this is going that vehicles can not find physicians that patients can deliver patients #sonhexygit")</f>
        <v>@drfahrettinkoca this is going that vehicles can not find physicians that patients can deliver patients #sonhexygit</v>
      </c>
    </row>
    <row r="9977" spans="1:5" ht="15" customHeight="1" x14ac:dyDescent="0.2">
      <c r="A9977" s="1" t="s">
        <v>19801</v>
      </c>
      <c r="B9977" s="1">
        <v>0</v>
      </c>
      <c r="C9977" s="3">
        <v>44538.804965277777</v>
      </c>
      <c r="D9977" s="1" t="s">
        <v>19802</v>
      </c>
      <c r="E9977" s="1" t="str">
        <f ca="1">IFERROR(__xludf.DUMMYFUNCTION("GOOGLETRANSLATE(A6776 , ""tr"" , ""en"")"),"@drfahrettinkoca 38 Masallah Allah Germs to our state Insallah 🤲🏻")</f>
        <v>@drfahrettinkoca 38 Masallah Allah Germs to our state Insallah 🤲🏻</v>
      </c>
    </row>
    <row r="9978" spans="1:5" ht="15" customHeight="1" x14ac:dyDescent="0.2">
      <c r="A9978" s="1" t="s">
        <v>19803</v>
      </c>
      <c r="B9978" s="1">
        <v>0</v>
      </c>
      <c r="C9978" s="3">
        <v>44541.870057870372</v>
      </c>
      <c r="D9978" s="1" t="s">
        <v>19804</v>
      </c>
      <c r="E9978" s="1" t="str">
        <f ca="1">IFERROR(__xludf.DUMMYFUNCTION("GOOGLETRANSLATE(A6777 , ""tr"" , ""en"")"),"@drfahrettinkoca @drfahrettinkoca @drfahrettinkoca @rterdogan How do you guys black out our lives We are your youth our blood ... https://t.co/hw76muk3ya")</f>
        <v>@drfahrettinkoca @drfahrettinkoca @drfahrettinkoca @rterdogan How do you guys black out our lives We are your youth our blood ... https://t.co/hw76muk3ya</v>
      </c>
    </row>
    <row r="9979" spans="1:5" ht="15" customHeight="1" x14ac:dyDescent="0.2">
      <c r="A9979" s="1" t="s">
        <v>19805</v>
      </c>
      <c r="B9979" s="1">
        <v>2</v>
      </c>
      <c r="C9979" s="3">
        <v>44540.66609953704</v>
      </c>
      <c r="D9979" s="1" t="s">
        <v>19806</v>
      </c>
      <c r="E9979" s="1" t="str">
        <f ca="1">IFERROR(__xludf.DUMMYFUNCTION("GOOGLETRANSLATE(A6778 , ""tr"" , ""en"")"),"@drfahrettinkoca you have stolen my life for 1 year, you've got my days heba. I can answer what asks neither ... https://t.co/bntkkl8zih")</f>
        <v>@drfahrettinkoca you have stolen my life for 1 year, you've got my days heba. I can answer what asks neither ... https://t.co/bntkkl8zih</v>
      </c>
    </row>
    <row r="9980" spans="1:5" ht="15" customHeight="1" x14ac:dyDescent="0.2">
      <c r="A9980" s="1" t="s">
        <v>19807</v>
      </c>
      <c r="B9980" s="1">
        <v>0</v>
      </c>
      <c r="C9980" s="3">
        <v>44540.490127314813</v>
      </c>
      <c r="D9980" s="1" t="s">
        <v>19808</v>
      </c>
      <c r="E9980" s="1" t="str">
        <f ca="1">IFERROR(__xludf.DUMMYFUNCTION("GOOGLETRANSLATE(A6779 , ""tr"" , ""en"")"),"@drfahrettinkoca Disabled Healthcare 4Senedr Exam and Why No Receipts will be held Ekpss Assignment Ministries ... https://t.co/oqymdnqxld")</f>
        <v>@drfahrettinkoca Disabled Healthcare 4Senedr Exam and Why No Receipts will be held Ekpss Assignment Ministries ... https://t.co/oqymdnqxld</v>
      </c>
    </row>
    <row r="9981" spans="1:5" ht="15" customHeight="1" x14ac:dyDescent="0.2">
      <c r="A9981" s="1" t="s">
        <v>19809</v>
      </c>
      <c r="B9981" s="1">
        <v>0</v>
      </c>
      <c r="C9981" s="3">
        <v>44540.295381944445</v>
      </c>
      <c r="D9981" s="1" t="s">
        <v>19810</v>
      </c>
      <c r="E9981" s="1" t="str">
        <f ca="1">IFERROR(__xludf.DUMMYFUNCTION("GOOGLETRANSLATE(A6780 , ""tr"" , ""en"")"),"@drfahrettinkoca Dicle University Hospital Ultrasy at the ULTRASH 2ay after the day they are after day after 160 TL in the lower floor ... https://t.co/g92qsbqf6a")</f>
        <v>@drfahrettinkoca Dicle University Hospital Ultrasy at the ULTRASH 2ay after the day they are after day after 160 TL in the lower floor ... https://t.co/g92qsbqf6a</v>
      </c>
    </row>
    <row r="9982" spans="1:5" ht="15" customHeight="1" x14ac:dyDescent="0.2">
      <c r="A9982" s="1" t="s">
        <v>19811</v>
      </c>
      <c r="B9982" s="1">
        <v>5</v>
      </c>
      <c r="C9982" s="3">
        <v>44536.919363425928</v>
      </c>
      <c r="D9982" s="1" t="s">
        <v>19812</v>
      </c>
      <c r="E9982" s="1" t="str">
        <f ca="1">IFERROR(__xludf.DUMMYFUNCTION("GOOGLETRANSLATE(A6781 , ""tr"" , ""en"")"),"@drfahrettinkoca # bagkurtescilmagdurler 🇹🇷 We have been to the services of our country, we have been aged in our country, fall out of hand ... https://t.co/miaf3klugv")</f>
        <v>@drfahrettinkoca # bagkurtescilmagdurler 🇹🇷 We have been to the services of our country, we have been aged in our country, fall out of hand ... https://t.co/miaf3klugv</v>
      </c>
    </row>
    <row r="9983" spans="1:5" ht="15" customHeight="1" x14ac:dyDescent="0.2">
      <c r="A9983" s="1" t="s">
        <v>10058</v>
      </c>
      <c r="B9983" s="1">
        <v>0</v>
      </c>
      <c r="C9983" s="3">
        <v>44536.915856481479</v>
      </c>
      <c r="D9983" s="1" t="s">
        <v>19813</v>
      </c>
      <c r="E9983" s="1" t="str">
        <f ca="1">IFERROR(__xludf.DUMMYFUNCTION("GOOGLETRANSLATE(A6782 , ""tr"" , ""en"")"),"@drfahrettinkoca Guide")</f>
        <v>@drfahrettinkoca Guide</v>
      </c>
    </row>
    <row r="9984" spans="1:5" ht="15" customHeight="1" x14ac:dyDescent="0.2">
      <c r="A9984" s="1" t="s">
        <v>19814</v>
      </c>
      <c r="B9984" s="1">
        <v>1</v>
      </c>
      <c r="C9984" s="3">
        <v>44536.89570601852</v>
      </c>
      <c r="D9984" s="1" t="s">
        <v>19815</v>
      </c>
      <c r="E9984" s="1" t="str">
        <f ca="1">IFERROR(__xludf.DUMMYFUNCTION("GOOGLETRANSLATE(A6783 , ""tr"" , ""en"")"),"@drfahrettinkoca I hope to resign in them and do not go to these departures, a stop diyin is no longer")</f>
        <v>@drfahrettinkoca I hope to resign in them and do not go to these departures, a stop diyin is no longer</v>
      </c>
    </row>
    <row r="9985" spans="1:5" ht="15" customHeight="1" x14ac:dyDescent="0.2">
      <c r="A9985" s="1" t="s">
        <v>19816</v>
      </c>
      <c r="B9985" s="1">
        <v>0</v>
      </c>
      <c r="C9985" s="3">
        <v>44536.890057870369</v>
      </c>
      <c r="D9985" s="1" t="s">
        <v>19817</v>
      </c>
      <c r="E9985" s="1" t="str">
        <f ca="1">IFERROR(__xludf.DUMMYFUNCTION("GOOGLETRANSLATE(A6784 , ""tr"" , ""en"")"),"@drfahrettinka Mr. Minister @drfahrettinka I brought my mother ibn-i sina hospital to the emergency room. From the 8th of the morning ... https://t.co/60xvknunmy")</f>
        <v>@drfahrettinka Mr. Minister @drfahrettinka I brought my mother ibn-i sina hospital to the emergency room. From the 8th of the morning ... https://t.co/60xvknunmy</v>
      </c>
    </row>
    <row r="9986" spans="1:5" ht="15" customHeight="1" x14ac:dyDescent="0.2">
      <c r="A9986" s="1" t="s">
        <v>19818</v>
      </c>
      <c r="B9986" s="1">
        <v>0</v>
      </c>
      <c r="C9986" s="3">
        <v>44536.884305555555</v>
      </c>
      <c r="D9986" s="1" t="s">
        <v>19819</v>
      </c>
      <c r="E9986" s="1" t="str">
        <f ca="1">IFERROR(__xludf.DUMMYFUNCTION("GOOGLETRANSLATE(A6785 , ""tr"" , ""en"")"),"@drfahrettinka flying bird even twiti have the beeic but guide no guide is maddened officially bi-year appointment")</f>
        <v>@drfahrettinka flying bird even twiti have the beeic but guide no guide is maddened officially bi-year appointment</v>
      </c>
    </row>
    <row r="9987" spans="1:5" ht="15" customHeight="1" x14ac:dyDescent="0.2">
      <c r="A9987" s="1" t="s">
        <v>19820</v>
      </c>
      <c r="B9987" s="1">
        <v>0</v>
      </c>
      <c r="C9987" s="3">
        <v>44536.832175925927</v>
      </c>
      <c r="D9987" s="1" t="s">
        <v>19821</v>
      </c>
      <c r="E9987" s="1" t="str">
        <f ca="1">IFERROR(__xludf.DUMMYFUNCTION("GOOGLETRANSLATE(A6786 , ""tr"" , ""en"")"),"@drfahrettinka Your Bengi Baser Pi Pijet's Memet Ceyhanin and Scientist Called Taxes are carcur ... https://t.co/55IQVQCV1L")</f>
        <v>@drfahrettinka Your Bengi Baser Pi Pijet's Memet Ceyhanin and Scientist Called Taxes are carcur ... https://t.co/55IQVQCV1L</v>
      </c>
    </row>
    <row r="9988" spans="1:5" ht="15" customHeight="1" x14ac:dyDescent="0.2">
      <c r="A9988" s="1" t="s">
        <v>19822</v>
      </c>
      <c r="B9988" s="1">
        <v>0</v>
      </c>
      <c r="C9988" s="3">
        <v>44536.828159722223</v>
      </c>
      <c r="D9988" s="1" t="s">
        <v>19823</v>
      </c>
      <c r="E9988" s="1" t="str">
        <f ca="1">IFERROR(__xludf.DUMMYFUNCTION("GOOGLETRANSLATE(A6787 , ""tr"" , ""en"")"),"@drfahrettinkoca Guide Well")</f>
        <v>@drfahrettinkoca Guide Well</v>
      </c>
    </row>
    <row r="9989" spans="1:5" ht="15" customHeight="1" x14ac:dyDescent="0.2">
      <c r="A9989" s="1" t="s">
        <v>19824</v>
      </c>
      <c r="B9989" s="1">
        <v>0</v>
      </c>
      <c r="C9989" s="3">
        <v>44536.805405092593</v>
      </c>
      <c r="D9989" s="1" t="s">
        <v>19825</v>
      </c>
      <c r="E9989" s="1" t="str">
        <f ca="1">IFERROR(__xludf.DUMMYFUNCTION("GOOGLETRANSLATE(A6788 , ""tr"" , ""en"")"),"@drfahrettinkoca Disability The most announcement is that you are the Ministry of Ministry We are all of us to burn our scores ... https://t.co/czibxnm9bt")</f>
        <v>@drfahrettinkoca Disability The most announcement is that you are the Ministry of Ministry We are all of us to burn our scores ... https://t.co/czibxnm9bt</v>
      </c>
    </row>
    <row r="9990" spans="1:5" ht="15" customHeight="1" x14ac:dyDescent="0.2">
      <c r="A9990" s="1" t="s">
        <v>19826</v>
      </c>
      <c r="B9990" s="1">
        <v>0</v>
      </c>
      <c r="C9990" s="3">
        <v>44536.805046296293</v>
      </c>
      <c r="D9990" s="1" t="s">
        <v>19827</v>
      </c>
      <c r="E9990" s="1" t="str">
        <f ca="1">IFERROR(__xludf.DUMMYFUNCTION("GOOGLETRANSLATE(A6789 , ""tr"" , ""en"")"),"@drfahrettinkoca Disability The most insensitive is the Minister of Minister We are all whisking our high scores ... https://t.co/bx52ygrhfb")</f>
        <v>@drfahrettinkoca Disability The most insensitive is the Minister of Minister We are all whisking our high scores ... https://t.co/bx52ygrhfb</v>
      </c>
    </row>
    <row r="9991" spans="1:5" ht="15" customHeight="1" x14ac:dyDescent="0.2">
      <c r="A9991" s="1" t="s">
        <v>19828</v>
      </c>
      <c r="B9991" s="1">
        <v>1</v>
      </c>
      <c r="C9991" s="3">
        <v>44536.804907407408</v>
      </c>
      <c r="D9991" s="1" t="s">
        <v>19829</v>
      </c>
      <c r="E9991" s="1" t="str">
        <f ca="1">IFERROR(__xludf.DUMMYFUNCTION("GOOGLETRANSLATE(A6790 , ""tr"" , ""en"")"),"@drfahrettinkoca Disability You are the most insensitive man Minister We are all whisking our high scores ... https://t.co/xwom2fplft")</f>
        <v>@drfahrettinkoca Disability You are the most insensitive man Minister We are all whisking our high scores ... https://t.co/xwom2fplft</v>
      </c>
    </row>
    <row r="9992" spans="1:5" ht="15" customHeight="1" x14ac:dyDescent="0.2">
      <c r="A9992" s="1" t="s">
        <v>19830</v>
      </c>
      <c r="B9992" s="1">
        <v>0</v>
      </c>
      <c r="C9992" s="3">
        <v>44536.803159722222</v>
      </c>
      <c r="D9992" s="1" t="s">
        <v>19831</v>
      </c>
      <c r="E9992" s="1" t="str">
        <f ca="1">IFERROR(__xludf.DUMMYFUNCTION("GOOGLETRANSLATE(A6791 , ""tr"" , ""en"")"),"@drfahrettinkoca Hear Healthy Sound of Disabled Health Help You are expecting high scores for 4 years")</f>
        <v>@drfahrettinkoca Hear Healthy Sound of Disabled Health Help You are expecting high scores for 4 years</v>
      </c>
    </row>
    <row r="9993" spans="1:5" ht="15" customHeight="1" x14ac:dyDescent="0.2">
      <c r="A9993" s="1" t="s">
        <v>19832</v>
      </c>
      <c r="B9993" s="1">
        <v>0</v>
      </c>
      <c r="C9993" s="3">
        <v>44536.803101851852</v>
      </c>
      <c r="D9993" s="1" t="s">
        <v>19833</v>
      </c>
      <c r="E9993" s="1" t="str">
        <f ca="1">IFERROR(__xludf.DUMMYFUNCTION("GOOGLETRANSLATE(A6792 , ""tr"" , ""en"")"),"@drfahrettinkoca Hear Health Healthy Sound of Disabled Healthy Head With High Score Squads We Are Expecting Our Professions Y ... https://t.co/bvo7cdeock")</f>
        <v>@drfahrettinkoca Hear Health Healthy Sound of Disabled Healthy Head With High Score Squads We Are Expecting Our Professions Y ... https://t.co/bvo7cdeock</v>
      </c>
    </row>
    <row r="9994" spans="1:5" ht="15" customHeight="1" x14ac:dyDescent="0.2">
      <c r="A9994" s="1" t="s">
        <v>19834</v>
      </c>
      <c r="B9994" s="1">
        <v>0</v>
      </c>
      <c r="C9994" s="3">
        <v>44536.802997685183</v>
      </c>
      <c r="D9994" s="1" t="s">
        <v>19835</v>
      </c>
      <c r="E9994" s="1" t="str">
        <f ca="1">IFERROR(__xludf.DUMMYFUNCTION("GOOGLETRANSLATE(A6793 , ""tr"" , ""en"")"),"@drfahrettinkoca Hear Healthy Sound of Disabled Healthy Heart We Help Our High Score Staff Weld Our Profession Y ... Https://t.co/c60rq9rbmz")</f>
        <v>@drfahrettinkoca Hear Healthy Sound of Disabled Healthy Heart We Help Our High Score Staff Weld Our Profession Y ... Https://t.co/c60rq9rbmz</v>
      </c>
    </row>
    <row r="9995" spans="1:5" ht="15" customHeight="1" x14ac:dyDescent="0.2">
      <c r="A9995" s="1" t="s">
        <v>19836</v>
      </c>
      <c r="B9995" s="1">
        <v>12</v>
      </c>
      <c r="C9995" s="3">
        <v>44536.800636574073</v>
      </c>
      <c r="D9995" s="1" t="s">
        <v>19837</v>
      </c>
      <c r="E9995" s="1" t="str">
        <f ca="1">IFERROR(__xludf.DUMMYFUNCTION("GOOGLETRANSLATE(A6794 , ""tr"" , ""en"")"),"@drfahrettinkoca you will be in history as the ministers who do not pay the medical haze materials ... https://t.co/nciz6qwwgs")</f>
        <v>@drfahrettinkoca you will be in history as the ministers who do not pay the medical haze materials ... https://t.co/nciz6qwwgs</v>
      </c>
    </row>
    <row r="9996" spans="1:5" ht="15" customHeight="1" x14ac:dyDescent="0.2">
      <c r="A9996" s="1" t="s">
        <v>19838</v>
      </c>
      <c r="B9996" s="1">
        <v>7</v>
      </c>
      <c r="C9996" s="3">
        <v>44536.790659722225</v>
      </c>
      <c r="D9996" s="1" t="s">
        <v>19839</v>
      </c>
      <c r="E9996" s="1" t="str">
        <f ca="1">IFERROR(__xludf.DUMMYFUNCTION("GOOGLETRANSLATE(A6795 , ""tr"" , ""en"")"),"@drfahrettinkoca people we are !!! # kabineuzaktanıditimşarteArt")</f>
        <v>@drfahrettinkoca people we are !!! # kabineuzaktanıditimşarteArt</v>
      </c>
    </row>
    <row r="9997" spans="1:5" ht="15" customHeight="1" x14ac:dyDescent="0.2">
      <c r="A9997" s="1" t="s">
        <v>19840</v>
      </c>
      <c r="B9997" s="1">
        <v>1</v>
      </c>
      <c r="C9997" s="3">
        <v>44536.784004629626</v>
      </c>
      <c r="D9997" s="1" t="s">
        <v>19841</v>
      </c>
      <c r="E9997" s="1" t="str">
        <f ca="1">IFERROR(__xludf.DUMMYFUNCTION("GOOGLETRANSLATE(A6796 , ""tr"" , ""en"")"),"@drfahrettinkoca Assignment No @drfahrettinkoca")</f>
        <v>@drfahrettinkoca Assignment No @drfahrettinkoca</v>
      </c>
    </row>
    <row r="9998" spans="1:5" ht="15" customHeight="1" x14ac:dyDescent="0.2">
      <c r="A9998" s="1" t="s">
        <v>19842</v>
      </c>
      <c r="B9998" s="1">
        <v>0</v>
      </c>
      <c r="C9998" s="3">
        <v>44536.782013888886</v>
      </c>
      <c r="D9998" s="1" t="s">
        <v>19843</v>
      </c>
      <c r="E9998" s="1" t="str">
        <f ca="1">IFERROR(__xludf.DUMMYFUNCTION("GOOGLETRANSLATE(A6797 , ""tr"" , ""en"")"),"@drfahrettinkoca serious I'm serious, please don't make fun of my group.")</f>
        <v>@drfahrettinkoca serious I'm serious, please don't make fun of my group.</v>
      </c>
    </row>
    <row r="9999" spans="1:5" ht="15" customHeight="1" x14ac:dyDescent="0.2">
      <c r="A9999" s="1" t="s">
        <v>19844</v>
      </c>
      <c r="B9999" s="1">
        <v>5</v>
      </c>
      <c r="C9999" s="3">
        <v>44536.781956018516</v>
      </c>
      <c r="D9999" s="1" t="s">
        <v>19845</v>
      </c>
      <c r="E9999" s="1" t="str">
        <f ca="1">IFERROR(__xludf.DUMMYFUNCTION("GOOGLETRANSLATE(A6798 , ""tr"" , ""en"")"),"@drfahrettinkoca # medical haze that is not able to supply flying ambulances.")</f>
        <v>@drfahrettinkoca # medical haze that is not able to supply flying ambulances.</v>
      </c>
    </row>
    <row r="10000" spans="1:5" ht="15" customHeight="1" x14ac:dyDescent="0.2">
      <c r="A10000" s="1" t="s">
        <v>19846</v>
      </c>
      <c r="B10000" s="1">
        <v>0</v>
      </c>
      <c r="C10000" s="3">
        <v>44536.772997685184</v>
      </c>
      <c r="D10000" s="1" t="s">
        <v>19847</v>
      </c>
      <c r="E10000" s="1" t="str">
        <f ca="1">IFERROR(__xludf.DUMMYFUNCTION("GOOGLETRANSLATE(A6799 , ""tr"" , ""en"")"),"@drfahrettinkoca Kashmir Will Be Free By The Mercy of Allah Swt Before Ghazwa E Hind happens. Imam Al-Mahdi Will Sa ... https://t.co/kg8tgfhw48")</f>
        <v>@drfahrettinkoca Kashmir Will Be Free By The Mercy of Allah Swt Before Ghazwa E Hind happens. Imam Al-Mahdi Will Sa ... https://t.co/kg8tgfhw48</v>
      </c>
    </row>
    <row r="10001" spans="1:5" ht="15" customHeight="1" x14ac:dyDescent="0.2">
      <c r="A10001" s="1" t="s">
        <v>19848</v>
      </c>
      <c r="B10001" s="1">
        <v>0</v>
      </c>
      <c r="C10001" s="3">
        <v>44536.767152777778</v>
      </c>
      <c r="D10001" s="1" t="s">
        <v>19849</v>
      </c>
      <c r="E10001" s="1" t="str">
        <f ca="1">IFERROR(__xludf.DUMMYFUNCTION("GOOGLETRANSLATE(A6800 , ""tr"" , ""en"")"),"@drfahrettinkoca Dr. One child written to the pain, he did not pay the state, the pharmacy says 400 TL, asked the counterpart, ... https://t.co/d03vkx9fh4")</f>
        <v>@drfahrettinkoca Dr. One child written to the pain, he did not pay the state, the pharmacy says 400 TL, asked the counterpart, ... https://t.co/d03vkx9fh4</v>
      </c>
    </row>
    <row r="10002" spans="1:5" ht="15" customHeight="1" x14ac:dyDescent="0.2">
      <c r="A10002" s="1" t="s">
        <v>19850</v>
      </c>
      <c r="B10002" s="1">
        <v>0</v>
      </c>
      <c r="C10002" s="3">
        <v>44536.753472222219</v>
      </c>
      <c r="D10002" s="1" t="s">
        <v>19851</v>
      </c>
      <c r="E10002" s="1" t="str">
        <f ca="1">IFERROR(__xludf.DUMMYFUNCTION("GOOGLETRANSLATE(A6801 , ""tr"" , ""en"")"),"@drfahrettinka https://t.co/r9pp7wwntw")</f>
        <v>@drfahrettinka https://t.co/r9pp7wwntw</v>
      </c>
    </row>
    <row r="10003" spans="1:5" ht="15" customHeight="1" x14ac:dyDescent="0.2">
      <c r="A10003" s="1" t="s">
        <v>19852</v>
      </c>
      <c r="B10003" s="1">
        <v>0</v>
      </c>
      <c r="C10003" s="3">
        <v>44536.748726851853</v>
      </c>
      <c r="D10003" s="1" t="s">
        <v>19853</v>
      </c>
      <c r="E10003" s="1" t="str">
        <f ca="1">IFERROR(__xludf.DUMMYFUNCTION("GOOGLETRANSLATE(A6802 , ""tr"" , ""en"")"),"@drfahrettinkoca Congratulations President")</f>
        <v>@drfahrettinkoca Congratulations President</v>
      </c>
    </row>
    <row r="10004" spans="1:5" ht="15" customHeight="1" x14ac:dyDescent="0.2">
      <c r="A10004" s="1" t="s">
        <v>19854</v>
      </c>
      <c r="B10004" s="1">
        <v>14</v>
      </c>
      <c r="C10004" s="3">
        <v>44536.744340277779</v>
      </c>
      <c r="D10004" s="1" t="s">
        <v>19855</v>
      </c>
      <c r="E10004" s="1" t="str">
        <f ca="1">IFERROR(__xludf.DUMMYFUNCTION("GOOGLETRANSLATE(A6803 , ""tr"" , ""en"")"),"@drfahrettinka you, if you die from the pain, you have too honorable people who want to ask for an olive, more than those who have been tested with ... https://t.co/pm44qa3qoi")</f>
        <v>@drfahrettinka you, if you die from the pain, you have too honorable people who want to ask for an olive, more than those who have been tested with ... https://t.co/pm44qa3qoi</v>
      </c>
    </row>
    <row r="10005" spans="1:5" ht="15" customHeight="1" x14ac:dyDescent="0.2">
      <c r="A10005" s="1" t="s">
        <v>19856</v>
      </c>
      <c r="B10005" s="1">
        <v>2</v>
      </c>
      <c r="C10005" s="3">
        <v>44536.742731481485</v>
      </c>
      <c r="D10005" s="1" t="s">
        <v>19857</v>
      </c>
      <c r="E10005" s="1" t="str">
        <f ca="1">IFERROR(__xludf.DUMMYFUNCTION("GOOGLETRANSLATE(A6804 , ""tr"" , ""en"")"),"@drfahrettinkoca but #the budget does not remain on medical hall firms Mr. Minister")</f>
        <v>@drfahrettinkoca but #the budget does not remain on medical hall firms Mr. Minister</v>
      </c>
    </row>
    <row r="10006" spans="1:5" ht="15" customHeight="1" x14ac:dyDescent="0.2">
      <c r="A10006" s="1" t="s">
        <v>19858</v>
      </c>
      <c r="B10006" s="1">
        <v>1</v>
      </c>
      <c r="C10006" s="3">
        <v>44536.74181712963</v>
      </c>
      <c r="D10006" s="1" t="s">
        <v>19859</v>
      </c>
      <c r="E10006" s="1" t="str">
        <f ca="1">IFERROR(__xludf.DUMMYFUNCTION("GOOGLETRANSLATE(A6805 , ""tr"" , ""en"")"),"@drfahrettinkoca assignment we want # 40binatamayiapkilicdaroglu")</f>
        <v>@drfahrettinkoca assignment we want # 40binatamayiapkilicdaroglu</v>
      </c>
    </row>
    <row r="10007" spans="1:5" ht="15" customHeight="1" x14ac:dyDescent="0.2">
      <c r="A10007" s="1" t="s">
        <v>12074</v>
      </c>
      <c r="B10007" s="1">
        <v>0</v>
      </c>
      <c r="C10007" s="3">
        <v>44536.741643518515</v>
      </c>
      <c r="D10007" s="1" t="s">
        <v>19860</v>
      </c>
      <c r="E10007" s="1" t="str">
        <f ca="1">IFERROR(__xludf.DUMMYFUNCTION("GOOGLETRANSLATE(A6806 , ""tr"" , ""en"")"),"@drfahrettinkoca we want to assign")</f>
        <v>@drfahrettinkoca we want to assign</v>
      </c>
    </row>
    <row r="10008" spans="1:5" ht="15" customHeight="1" x14ac:dyDescent="0.2">
      <c r="A10008" s="1" t="s">
        <v>19861</v>
      </c>
      <c r="B10008" s="1">
        <v>1</v>
      </c>
      <c r="C10008" s="3">
        <v>44536.741550925923</v>
      </c>
      <c r="D10008" s="1" t="s">
        <v>19862</v>
      </c>
      <c r="E10008" s="1" t="str">
        <f ca="1">IFERROR(__xludf.DUMMYFUNCTION("GOOGLETRANSLATE(A6807 , ""tr"" , ""en"")"),"@drfahrettinkoca # 40binatamayiyapkilicdaroglu claved")</f>
        <v>@drfahrettinkoca # 40binatamayiyapkilicdaroglu claved</v>
      </c>
    </row>
    <row r="10009" spans="1:5" ht="15" customHeight="1" x14ac:dyDescent="0.2">
      <c r="A10009" s="1" t="s">
        <v>13312</v>
      </c>
      <c r="B10009" s="1">
        <v>0</v>
      </c>
      <c r="C10009" s="3">
        <v>44536.741249999999</v>
      </c>
      <c r="D10009" s="1" t="s">
        <v>19863</v>
      </c>
      <c r="E10009" s="1" t="str">
        <f ca="1">IFERROR(__xludf.DUMMYFUNCTION("GOOGLETRANSLATE(A6808 , ""tr"" , ""en"")"),"@drfahrettinkoca manuscript")</f>
        <v>@drfahrettinkoca manuscript</v>
      </c>
    </row>
    <row r="10010" spans="1:5" ht="15" customHeight="1" x14ac:dyDescent="0.2">
      <c r="A10010" s="1" t="s">
        <v>19864</v>
      </c>
      <c r="B10010" s="1">
        <v>0</v>
      </c>
      <c r="C10010" s="3">
        <v>44535.99591435185</v>
      </c>
      <c r="D10010" s="1" t="s">
        <v>19865</v>
      </c>
      <c r="E10010" s="1" t="str">
        <f ca="1">IFERROR(__xludf.DUMMYFUNCTION("GOOGLETRANSLATE(A6809 , ""tr"" , ""en"")"),"@drfahrettinkoca Dear Minister Appeal to Assignment")</f>
        <v>@drfahrettinkoca Dear Minister Appeal to Assignment</v>
      </c>
    </row>
    <row r="10011" spans="1:5" ht="15" customHeight="1" x14ac:dyDescent="0.2">
      <c r="A10011" s="1" t="s">
        <v>19866</v>
      </c>
      <c r="B10011" s="1">
        <v>0</v>
      </c>
      <c r="C10011" s="3">
        <v>44535.994004629632</v>
      </c>
      <c r="D10011" s="1" t="s">
        <v>19867</v>
      </c>
      <c r="E10011" s="1" t="str">
        <f ca="1">IFERROR(__xludf.DUMMYFUNCTION("GOOGLETRANSLATE(A6810 , ""tr"" , ""en"")"),"@drfahrettinkoca We are dying Mr. Husband")</f>
        <v>@drfahrettinkoca We are dying Mr. Husband</v>
      </c>
    </row>
    <row r="10012" spans="1:5" ht="15" customHeight="1" x14ac:dyDescent="0.2">
      <c r="A10012" s="1" t="s">
        <v>19868</v>
      </c>
      <c r="B10012" s="1">
        <v>0</v>
      </c>
      <c r="C10012" s="3">
        <v>44535.965578703705</v>
      </c>
      <c r="D10012" s="1" t="s">
        <v>19869</v>
      </c>
      <c r="E10012" s="1" t="str">
        <f ca="1">IFERROR(__xludf.DUMMYFUNCTION("GOOGLETRANSLATE(A6811 , ""tr"" , ""en"")"),"@drfahrettinka https://t.co/fsqufte3qt")</f>
        <v>@drfahrettinka https://t.co/fsqufte3qt</v>
      </c>
    </row>
    <row r="10013" spans="1:5" ht="15" customHeight="1" x14ac:dyDescent="0.2">
      <c r="A10013" s="1" t="s">
        <v>19870</v>
      </c>
      <c r="B10013" s="1">
        <v>0</v>
      </c>
      <c r="C10013" s="3">
        <v>44535.965451388889</v>
      </c>
      <c r="D10013" s="1" t="s">
        <v>19871</v>
      </c>
      <c r="E10013" s="1" t="str">
        <f ca="1">IFERROR(__xludf.DUMMYFUNCTION("GOOGLETRANSLATE(A6812 , ""tr"" , ""en"")"),"@drfahrettinka https://t.co/xwvhimziFN")</f>
        <v>@drfahrettinka https://t.co/xwvhimziFN</v>
      </c>
    </row>
    <row r="10014" spans="1:5" ht="15" customHeight="1" x14ac:dyDescent="0.2">
      <c r="A10014" s="1" t="s">
        <v>19872</v>
      </c>
      <c r="B10014" s="1">
        <v>0</v>
      </c>
      <c r="C10014" s="3">
        <v>44535.965381944443</v>
      </c>
      <c r="D10014" s="1" t="s">
        <v>19873</v>
      </c>
      <c r="E10014" s="1" t="str">
        <f ca="1">IFERROR(__xludf.DUMMYFUNCTION("GOOGLETRANSLATE(A6813 , ""tr"" , ""en"")"),"@drfahrettinka https://t.co/PIHFHZDUSO")</f>
        <v>@drfahrettinka https://t.co/PIHFHZDUSO</v>
      </c>
    </row>
    <row r="10015" spans="1:5" ht="15" customHeight="1" x14ac:dyDescent="0.2">
      <c r="A10015" s="1" t="s">
        <v>19874</v>
      </c>
      <c r="B10015" s="1">
        <v>0</v>
      </c>
      <c r="C10015" s="3">
        <v>44535.965324074074</v>
      </c>
      <c r="D10015" s="1" t="s">
        <v>19875</v>
      </c>
      <c r="E10015" s="1" t="str">
        <f ca="1">IFERROR(__xludf.DUMMYFUNCTION("GOOGLETRANSLATE(A6814 , ""tr"" , ""en"")"),"@drfahrettinka https://t.co/u94zhotjpa")</f>
        <v>@drfahrettinka https://t.co/u94zhotjpa</v>
      </c>
    </row>
    <row r="10016" spans="1:5" ht="15" customHeight="1" x14ac:dyDescent="0.2">
      <c r="A10016" s="1" t="s">
        <v>19876</v>
      </c>
      <c r="B10016" s="1">
        <v>0</v>
      </c>
      <c r="C10016" s="3">
        <v>44535.96466435185</v>
      </c>
      <c r="D10016" s="1" t="s">
        <v>19877</v>
      </c>
      <c r="E10016" s="1" t="str">
        <f ca="1">IFERROR(__xludf.DUMMYFUNCTION("GOOGLETRANSLATE(A6815 , ""tr"" , ""en"")"),"@drfahrettinkoca You still wake up tales !!! You are able to get your vaccine Self Protect the end of the work Remetting the work ... https://t.co/94zwk6o6en")</f>
        <v>@drfahrettinkoca You still wake up tales !!! You are able to get your vaccine Self Protect the end of the work Remetting the work ... https://t.co/94zwk6o6en</v>
      </c>
    </row>
    <row r="10017" spans="1:5" ht="15" customHeight="1" x14ac:dyDescent="0.2">
      <c r="A10017" s="1" t="s">
        <v>19878</v>
      </c>
      <c r="B10017" s="1">
        <v>1</v>
      </c>
      <c r="C10017" s="3">
        <v>44535.963622685187</v>
      </c>
      <c r="D10017" s="1" t="s">
        <v>19879</v>
      </c>
      <c r="E10017" s="1" t="str">
        <f ca="1">IFERROR(__xludf.DUMMYFUNCTION("GOOGLETRANSLATE(A6816 , ""tr"" , ""en"")"),"@drfahrettinka https://t.co/8aysjzfcm2")</f>
        <v>@drfahrettinka https://t.co/8aysjzfcm2</v>
      </c>
    </row>
    <row r="10018" spans="1:5" ht="15" customHeight="1" x14ac:dyDescent="0.2">
      <c r="A10018" s="1" t="s">
        <v>19880</v>
      </c>
      <c r="B10018" s="1">
        <v>0</v>
      </c>
      <c r="C10018" s="3">
        <v>44535.962824074071</v>
      </c>
      <c r="D10018" s="1" t="s">
        <v>19881</v>
      </c>
      <c r="E10018" s="1" t="str">
        <f ca="1">IFERROR(__xludf.DUMMYFUNCTION("GOOGLETRANSLATE(A6817 , ""tr"" , ""en"")"),"@drfahrettinka https://t.co/emk4znroIJ")</f>
        <v>@drfahrettinka https://t.co/emk4znroIJ</v>
      </c>
    </row>
    <row r="10019" spans="1:5" ht="15" customHeight="1" x14ac:dyDescent="0.2">
      <c r="A10019" s="1" t="s">
        <v>19882</v>
      </c>
      <c r="B10019" s="1">
        <v>1</v>
      </c>
      <c r="C10019" s="3">
        <v>44535.953715277778</v>
      </c>
      <c r="D10019" s="1" t="s">
        <v>19883</v>
      </c>
      <c r="E10019" s="1" t="str">
        <f ca="1">IFERROR(__xludf.DUMMYFUNCTION("GOOGLETRANSLATE(A6818 , ""tr"" , ""en"")"),"@drfahrettinkoca Heart attack, we want the number of daily cases !!! Kill your vaccinations from the heart crisis or brain bleed ... https://t.co/sjbc9uyyda")</f>
        <v>@drfahrettinkoca Heart attack, we want the number of daily cases !!! Kill your vaccinations from the heart crisis or brain bleed ... https://t.co/sjbc9uyyda</v>
      </c>
    </row>
    <row r="10020" spans="1:5" ht="15" customHeight="1" x14ac:dyDescent="0.2">
      <c r="A10020" s="1" t="s">
        <v>19884</v>
      </c>
      <c r="B10020" s="1">
        <v>0</v>
      </c>
      <c r="C10020" s="3">
        <v>44535.952824074076</v>
      </c>
      <c r="D10020" s="1" t="s">
        <v>19885</v>
      </c>
      <c r="E10020" s="1" t="str">
        <f ca="1">IFERROR(__xludf.DUMMYFUNCTION("GOOGLETRANSLATE(A6819 , ""tr"" , ""en"")"),"@drfahrettinkoca with young people who died from heart crisis, you are gained in the nest, if they are not coincident,")</f>
        <v>@drfahrettinkoca with young people who died from heart crisis, you are gained in the nest, if they are not coincident,</v>
      </c>
    </row>
    <row r="10021" spans="1:5" ht="15" customHeight="1" x14ac:dyDescent="0.2">
      <c r="A10021" s="1" t="s">
        <v>19886</v>
      </c>
      <c r="B10021" s="1">
        <v>0</v>
      </c>
      <c r="C10021" s="3">
        <v>44535.951157407406</v>
      </c>
      <c r="D10021" s="1" t="s">
        <v>19887</v>
      </c>
      <c r="E10021" s="1" t="str">
        <f ca="1">IFERROR(__xludf.DUMMYFUNCTION("GOOGLETRANSLATE(A6820 , ""tr"" , ""en"")"),"@drfahrettinkoca 5. Dose Nezaman X Pro Very has Gama n Gene I won't be the vaccine")</f>
        <v>@drfahrettinkoca 5. Dose Nezaman X Pro Very has Gama n Gene I won't be the vaccine</v>
      </c>
    </row>
    <row r="10022" spans="1:5" ht="15" customHeight="1" x14ac:dyDescent="0.2">
      <c r="A10022" s="1" t="s">
        <v>19888</v>
      </c>
      <c r="B10022" s="1">
        <v>0</v>
      </c>
      <c r="C10022" s="3">
        <v>44535.948449074072</v>
      </c>
      <c r="D10022" s="1" t="s">
        <v>19889</v>
      </c>
      <c r="E10022" s="1" t="str">
        <f ca="1">IFERROR(__xludf.DUMMYFUNCTION("GOOGLETRANSLATE(A6821 , ""tr"" , ""en"")"),"@drfahrettinka Mr. Minister Today you remind your PCR sampling procedure on your page Today's throat ... https://t.co/qd1jyn8bgn")</f>
        <v>@drfahrettinka Mr. Minister Today you remind your PCR sampling procedure on your page Today's throat ... https://t.co/qd1jyn8bgn</v>
      </c>
    </row>
    <row r="10023" spans="1:5" ht="15" customHeight="1" x14ac:dyDescent="0.2">
      <c r="A10023" s="1" t="s">
        <v>19890</v>
      </c>
      <c r="B10023" s="1">
        <v>0</v>
      </c>
      <c r="C10023" s="3">
        <v>44535.945601851854</v>
      </c>
      <c r="D10023" s="1" t="s">
        <v>19891</v>
      </c>
      <c r="E10023" s="1" t="str">
        <f ca="1">IFERROR(__xludf.DUMMYFUNCTION("GOOGLETRANSLATE(A6822 , ""tr"" , ""en"")"),"@drfahrettinkoca falls below 20,000 a success is discussed as if he is talking about 20 people")</f>
        <v>@drfahrettinkoca falls below 20,000 a success is discussed as if he is talking about 20 people</v>
      </c>
    </row>
    <row r="10024" spans="1:5" ht="15" customHeight="1" x14ac:dyDescent="0.2">
      <c r="A10024" s="1" t="s">
        <v>19892</v>
      </c>
      <c r="B10024" s="1">
        <v>0</v>
      </c>
      <c r="C10024" s="3">
        <v>44535.944560185184</v>
      </c>
      <c r="D10024" s="1" t="s">
        <v>19893</v>
      </c>
      <c r="E10024" s="1" t="str">
        <f ca="1">IFERROR(__xludf.DUMMYFUNCTION("GOOGLETRANSLATE(A6823 , ""tr"" , ""en"")"),"@drfahrettinkoca is very sensible I think it is worth the safe zone in the European Christmas holiday in 23 December.")</f>
        <v>@drfahrettinkoca is very sensible I think it is worth the safe zone in the European Christmas holiday in 23 December.</v>
      </c>
    </row>
    <row r="10025" spans="1:5" ht="15" customHeight="1" x14ac:dyDescent="0.2">
      <c r="A10025" s="1" t="s">
        <v>19894</v>
      </c>
      <c r="B10025" s="1">
        <v>0</v>
      </c>
      <c r="C10025" s="3">
        <v>44535.944398148145</v>
      </c>
      <c r="D10025" s="1" t="s">
        <v>19895</v>
      </c>
      <c r="E10025" s="1" t="str">
        <f ca="1">IFERROR(__xludf.DUMMYFUNCTION("GOOGLETRANSLATE(A6824 , ""tr"" , ""en"")"),"@drfahrettinkoca cases of cases falling as people are awakened and no longer becoming vaccinated.")</f>
        <v>@drfahrettinkoca cases of cases falling as people are awakened and no longer becoming vaccinated.</v>
      </c>
    </row>
    <row r="10026" spans="1:5" ht="15" customHeight="1" x14ac:dyDescent="0.2">
      <c r="A10026" s="1" t="s">
        <v>19896</v>
      </c>
      <c r="B10026" s="1">
        <v>0</v>
      </c>
      <c r="C10026" s="3">
        <v>44535.942314814813</v>
      </c>
      <c r="D10026" s="1" t="s">
        <v>19897</v>
      </c>
      <c r="E10026" s="1" t="str">
        <f ca="1">IFERROR(__xludf.DUMMYFUNCTION("GOOGLETRANSLATE(A6825 , ""tr"" , ""en"")"),"@drfahrettinkoca to be held under 20 bi 5 thousand testing less than the minister of the minister to follow the oil ... https://t.co/edjl0etowd")</f>
        <v>@drfahrettinkoca to be held under 20 bi 5 thousand testing less than the minister of the minister to follow the oil ... https://t.co/edjl0etowd</v>
      </c>
    </row>
    <row r="10027" spans="1:5" ht="15" customHeight="1" x14ac:dyDescent="0.2">
      <c r="A10027" s="1" t="s">
        <v>19898</v>
      </c>
      <c r="B10027" s="1">
        <v>0</v>
      </c>
      <c r="C10027" s="3">
        <v>44535.938981481479</v>
      </c>
      <c r="D10027" s="1" t="s">
        <v>19899</v>
      </c>
      <c r="E10027" s="1" t="str">
        <f ca="1">IFERROR(__xludf.DUMMYFUNCTION("GOOGLETRANSLATE(A6826 , ""tr"" , ""en"")"),"@drfahrettinkoca remove tests Case Match no")</f>
        <v>@drfahrettinkoca remove tests Case Match no</v>
      </c>
    </row>
    <row r="10028" spans="1:5" ht="15" customHeight="1" x14ac:dyDescent="0.2">
      <c r="A10028" s="1" t="s">
        <v>19900</v>
      </c>
      <c r="B10028" s="1">
        <v>0</v>
      </c>
      <c r="C10028" s="3">
        <v>44535.93886574074</v>
      </c>
      <c r="D10028" s="1" t="s">
        <v>19901</v>
      </c>
      <c r="E10028" s="1" t="str">
        <f ca="1">IFERROR(__xludf.DUMMYFUNCTION("GOOGLETRANSLATE(A6827 , ""tr"" , ""en"")"),"@drfahrettinkoca @drfahrettinkoca Dear President Someone who has been given in the health system in the health system ... Https://t.co/l1zjajek41")</f>
        <v>@drfahrettinkoca @drfahrettinkoca Dear President Someone who has been given in the health system in the health system ... Https://t.co/l1zjajek41</v>
      </c>
    </row>
    <row r="10029" spans="1:5" ht="15" customHeight="1" x14ac:dyDescent="0.2">
      <c r="A10029" s="1" t="s">
        <v>19902</v>
      </c>
      <c r="B10029" s="1">
        <v>0</v>
      </c>
      <c r="C10029" s="3">
        <v>44535.935682870368</v>
      </c>
      <c r="D10029" s="1" t="s">
        <v>19903</v>
      </c>
      <c r="E10029" s="1" t="str">
        <f ca="1">IFERROR(__xludf.DUMMYFUNCTION("GOOGLETRANSLATE(A6828 , ""tr"" , ""en"")"),"@drfahrettinka Mr. Ministry, my 14-month-old child's hand has burned ankara GATA Either emergency. B ... https://t.co/bajee03u2k")</f>
        <v>@drfahrettinka Mr. Ministry, my 14-month-old child's hand has burned ankara GATA Either emergency. B ... https://t.co/bajee03u2k</v>
      </c>
    </row>
    <row r="10030" spans="1:5" ht="15" customHeight="1" x14ac:dyDescent="0.2">
      <c r="A10030" s="1" t="s">
        <v>19904</v>
      </c>
      <c r="B10030" s="1">
        <v>0</v>
      </c>
      <c r="C10030" s="3">
        <v>44535.934155092589</v>
      </c>
      <c r="D10030" s="1" t="s">
        <v>19905</v>
      </c>
      <c r="E10030" s="1" t="str">
        <f ca="1">IFERROR(__xludf.DUMMYFUNCTION("GOOGLETRANSLATE(A6829 , ""tr"" , ""en"")"),"@drfahrettinkoca Allah first save from you before this nation has been the same Terane for 2 years")</f>
        <v>@drfahrettinkoca Allah first save from you before this nation has been the same Terane for 2 years</v>
      </c>
    </row>
    <row r="10031" spans="1:5" ht="15" customHeight="1" x14ac:dyDescent="0.2">
      <c r="A10031" s="1" t="s">
        <v>19906</v>
      </c>
      <c r="B10031" s="1">
        <v>0</v>
      </c>
      <c r="C10031" s="3">
        <v>44535.932233796295</v>
      </c>
      <c r="D10031" s="1" t="s">
        <v>19907</v>
      </c>
      <c r="E10031" s="1" t="str">
        <f ca="1">IFERROR(__xludf.DUMMYFUNCTION("GOOGLETRANSLATE(A6830 , ""tr"" , ""en"")"),"@drfahrettinkoca case numbers not with vaccines, but the bilacic vaccine, the insecurity to hospital and doctors, and ... https://t.co/jcefjr0wkf")</f>
        <v>@drfahrettinkoca case numbers not with vaccines, but the bilacic vaccine, the insecurity to hospital and doctors, and ... https://t.co/jcefjr0wkf</v>
      </c>
    </row>
    <row r="10032" spans="1:5" ht="15" customHeight="1" x14ac:dyDescent="0.2">
      <c r="A10032" s="1" t="s">
        <v>19908</v>
      </c>
      <c r="B10032" s="1">
        <v>0</v>
      </c>
      <c r="C10032" s="3">
        <v>44535.925763888888</v>
      </c>
      <c r="D10032" s="1" t="s">
        <v>19909</v>
      </c>
      <c r="E10032" s="1" t="str">
        <f ca="1">IFERROR(__xludf.DUMMYFUNCTION("GOOGLETRANSLATE(A6831 , ""tr"" , ""en"")"),"@drfahrettinkoca RTE What did he say to journalists What I'm Fahrettin 😂🤣 I'm I'm")</f>
        <v>@drfahrettinkoca RTE What did he say to journalists What I'm Fahrettin 😂🤣 I'm I'm</v>
      </c>
    </row>
    <row r="10033" spans="1:5" ht="15" customHeight="1" x14ac:dyDescent="0.2">
      <c r="A10033" s="1" t="s">
        <v>19910</v>
      </c>
      <c r="B10033" s="1">
        <v>4</v>
      </c>
      <c r="C10033" s="3">
        <v>44535.925428240742</v>
      </c>
      <c r="D10033" s="1" t="s">
        <v>19911</v>
      </c>
      <c r="E10033" s="1" t="str">
        <f ca="1">IFERROR(__xludf.DUMMYFUNCTION("GOOGLETRANSLATE(A6832 , ""tr"" , ""en"")"),"@drfahrettinkoca Your lie Batin https://t.co/KGSLMKAWIO")</f>
        <v>@drfahrettinkoca Your lie Batin https://t.co/KGSLMKAWIO</v>
      </c>
    </row>
    <row r="10034" spans="1:5" ht="15" customHeight="1" x14ac:dyDescent="0.2">
      <c r="A10034" s="1" t="s">
        <v>19912</v>
      </c>
      <c r="B10034" s="1">
        <v>9</v>
      </c>
      <c r="C10034" s="3">
        <v>44535.921053240738</v>
      </c>
      <c r="D10034" s="1" t="s">
        <v>19913</v>
      </c>
      <c r="E10034" s="1" t="str">
        <f ca="1">IFERROR(__xludf.DUMMYFUNCTION("GOOGLETRANSLATE(A6833 , ""tr"" , ""en"")"),"@drfahrettinka https://t.co/0lfyfsbdg5")</f>
        <v>@drfahrettinka https://t.co/0lfyfsbdg5</v>
      </c>
    </row>
    <row r="10035" spans="1:5" ht="15" customHeight="1" x14ac:dyDescent="0.2">
      <c r="A10035" s="1" t="s">
        <v>19914</v>
      </c>
      <c r="B10035" s="1">
        <v>0</v>
      </c>
      <c r="C10035" s="3">
        <v>44535.919548611113</v>
      </c>
      <c r="D10035" s="1" t="s">
        <v>19915</v>
      </c>
      <c r="E10035" s="1" t="str">
        <f ca="1">IFERROR(__xludf.DUMMYFUNCTION("GOOGLETRANSLATE(A6834 , ""tr"" , ""en"")"),"@drfahrettinkoca two weeks very important I think you will resend it anymore, within two weeks !!!")</f>
        <v>@drfahrettinkoca two weeks very important I think you will resend it anymore, within two weeks !!!</v>
      </c>
    </row>
    <row r="10036" spans="1:5" ht="15" customHeight="1" x14ac:dyDescent="0.2">
      <c r="A10036" s="1" t="s">
        <v>19916</v>
      </c>
      <c r="B10036" s="1">
        <v>2</v>
      </c>
      <c r="C10036" s="3">
        <v>44535.918854166666</v>
      </c>
      <c r="D10036" s="1" t="s">
        <v>19917</v>
      </c>
      <c r="E10036" s="1" t="str">
        <f ca="1">IFERROR(__xludf.DUMMYFUNCTION("GOOGLETRANSLATE(A6835 , ""tr"" , ""en"")"),"|")</f>
        <v>|</v>
      </c>
    </row>
    <row r="10037" spans="1:5" ht="15" customHeight="1" x14ac:dyDescent="0.2">
      <c r="A10037" s="1" t="s">
        <v>19918</v>
      </c>
      <c r="B10037" s="1">
        <v>2</v>
      </c>
      <c r="C10037" s="3">
        <v>44535.917002314818</v>
      </c>
      <c r="D10037" s="1" t="s">
        <v>19919</v>
      </c>
      <c r="E10037" s="1" t="str">
        <f ca="1">IFERROR(__xludf.DUMMYFUNCTION("GOOGLETRANSLATE(A6836 , ""tr"" , ""en"")"),"@drfahrettinkoca dietitians cannot be assigned to the minister what universities are taking in the ministry of health ... https://t.co/Iok5eybzil")</f>
        <v>@drfahrettinkoca dietitians cannot be assigned to the minister what universities are taking in the ministry of health ... https://t.co/Iok5eybzil</v>
      </c>
    </row>
    <row r="10038" spans="1:5" ht="15" customHeight="1" x14ac:dyDescent="0.2">
      <c r="A10038" s="1" t="s">
        <v>19920</v>
      </c>
      <c r="B10038" s="1">
        <v>0</v>
      </c>
      <c r="C10038" s="3">
        <v>44535.914652777778</v>
      </c>
      <c r="D10038" s="1" t="s">
        <v>19921</v>
      </c>
      <c r="E10038" s="1" t="str">
        <f ca="1">IFERROR(__xludf.DUMMYFUNCTION("GOOGLETRANSLATE(A6837 , ""tr"" , ""en"")"),"@drfahrettinka https://t.co/n5upxclhck")</f>
        <v>@drfahrettinka https://t.co/n5upxclhck</v>
      </c>
    </row>
    <row r="10039" spans="1:5" ht="15" customHeight="1" x14ac:dyDescent="0.2">
      <c r="A10039" s="1" t="s">
        <v>19922</v>
      </c>
      <c r="B10039" s="1">
        <v>0</v>
      </c>
      <c r="C10039" s="3">
        <v>44535.914351851854</v>
      </c>
      <c r="D10039" s="1" t="s">
        <v>19923</v>
      </c>
      <c r="E10039" s="1" t="str">
        <f ca="1">IFERROR(__xludf.DUMMYFUNCTION("GOOGLETRANSLATE(A6838 , ""tr"" , ""en"")"),"@drfahrettinkoca guanuzzzz")</f>
        <v>@drfahrettinkoca guanuzzzz</v>
      </c>
    </row>
    <row r="10040" spans="1:5" ht="15" customHeight="1" x14ac:dyDescent="0.2">
      <c r="A10040" s="1" t="s">
        <v>19924</v>
      </c>
      <c r="B10040" s="1">
        <v>1</v>
      </c>
      <c r="C10040" s="3">
        <v>44535.902175925927</v>
      </c>
      <c r="D10040" s="1" t="s">
        <v>19925</v>
      </c>
      <c r="E10040" s="1" t="str">
        <f ca="1">IFERROR(__xludf.DUMMYFUNCTION("GOOGLETRANSLATE(A6839 , ""tr"" , ""en"")"),"@drfahrettinkoca weather cooled. There is no ventilation in classes.")</f>
        <v>@drfahrettinkoca weather cooled. There is no ventilation in classes.</v>
      </c>
    </row>
    <row r="10041" spans="1:5" ht="15" customHeight="1" x14ac:dyDescent="0.2">
      <c r="A10041" s="1" t="s">
        <v>19926</v>
      </c>
      <c r="B10041" s="1">
        <v>0</v>
      </c>
      <c r="C10041" s="3">
        <v>44535.899722222224</v>
      </c>
      <c r="D10041" s="1" t="s">
        <v>19927</v>
      </c>
      <c r="E10041" s="1" t="str">
        <f ca="1">IFERROR(__xludf.DUMMYFUNCTION("GOOGLETRANSLATE(A6840 , ""tr"" , ""en"")"),"@drfahrettinkoca UK Health Minister This process will be a portion of our people, there will be a portion, a portion ... https://t.co/ybw8zjrcgc")</f>
        <v>@drfahrettinkoca UK Health Minister This process will be a portion of our people, there will be a portion, a portion ... https://t.co/ybw8zjrcgc</v>
      </c>
    </row>
    <row r="10042" spans="1:5" ht="15" customHeight="1" x14ac:dyDescent="0.2">
      <c r="A10042" s="1" t="s">
        <v>19928</v>
      </c>
      <c r="B10042" s="1">
        <v>0</v>
      </c>
      <c r="C10042" s="3">
        <v>44535.898657407408</v>
      </c>
      <c r="D10042" s="1" t="s">
        <v>19929</v>
      </c>
      <c r="E10042" s="1" t="str">
        <f ca="1">IFERROR(__xludf.DUMMYFUNCTION("GOOGLETRANSLATE(A6841 , ""tr"" , ""en"")"),"@drfahrettinkoca Which self-religious of the dealer you mention the minister.")</f>
        <v>@drfahrettinkoca Which self-religious of the dealer you mention the minister.</v>
      </c>
    </row>
    <row r="10043" spans="1:5" ht="15" customHeight="1" x14ac:dyDescent="0.2">
      <c r="A10043" s="1" t="s">
        <v>19930</v>
      </c>
      <c r="B10043" s="1">
        <v>0</v>
      </c>
      <c r="C10043" s="3">
        <v>44535.896111111113</v>
      </c>
      <c r="D10043" s="1" t="s">
        <v>19931</v>
      </c>
      <c r="E10043" s="1" t="str">
        <f ca="1">IFERROR(__xludf.DUMMYFUNCTION("GOOGLETRANSLATE(A6842 , ""tr"" , ""en"")"),"@drfahrettinkoca your liar is clear. You don't have bl ugras you are just lying on the info don't paint goose but the carin ... https://t.co/a0xrgqusbc")</f>
        <v>@drfahrettinkoca your liar is clear. You don't have bl ugras you are just lying on the info don't paint goose but the carin ... https://t.co/a0xrgqusbc</v>
      </c>
    </row>
    <row r="10044" spans="1:5" ht="15" customHeight="1" x14ac:dyDescent="0.2">
      <c r="A10044" s="1" t="s">
        <v>19932</v>
      </c>
      <c r="B10044" s="1">
        <v>0</v>
      </c>
      <c r="C10044" s="3">
        <v>44535.895671296297</v>
      </c>
      <c r="D10044" s="1" t="s">
        <v>19933</v>
      </c>
      <c r="E10044" s="1" t="str">
        <f ca="1">IFERROR(__xludf.DUMMYFUNCTION("GOOGLETRANSLATE(A6843 , ""tr"" , ""en"")"),"@drfahrettinkoca weather beautiful go, it's the date.")</f>
        <v>@drfahrettinkoca weather beautiful go, it's the date.</v>
      </c>
    </row>
    <row r="10045" spans="1:5" ht="15" customHeight="1" x14ac:dyDescent="0.2">
      <c r="A10045" s="1" t="s">
        <v>19934</v>
      </c>
      <c r="B10045" s="1">
        <v>0</v>
      </c>
      <c r="C10045" s="3">
        <v>44535.895370370374</v>
      </c>
      <c r="D10045" s="1" t="s">
        <v>19935</v>
      </c>
      <c r="E10045" s="1" t="str">
        <f ca="1">IFERROR(__xludf.DUMMYFUNCTION("GOOGLETRANSLATE(A6844 , ""tr"" , ""en"")"),"@drfahrettinkoca # Pfizers If you are partnered in those who are in common")</f>
        <v>@drfahrettinkoca # Pfizers If you are partnered in those who are in common</v>
      </c>
    </row>
    <row r="10046" spans="1:5" ht="15" customHeight="1" x14ac:dyDescent="0.2">
      <c r="A10046" s="1" t="s">
        <v>19936</v>
      </c>
      <c r="B10046" s="1">
        <v>0</v>
      </c>
      <c r="C10046" s="3">
        <v>44535.894479166665</v>
      </c>
      <c r="D10046" s="1" t="s">
        <v>19937</v>
      </c>
      <c r="E10046" s="1" t="str">
        <f ca="1">IFERROR(__xludf.DUMMYFUNCTION("GOOGLETRANSLATE(A6845 , ""tr"" , ""en"")"),"@drfahrettinkoca 2 children positif.Anne children who work at school.")</f>
        <v>@drfahrettinkoca 2 children positif.Anne children who work at school.</v>
      </c>
    </row>
    <row r="10047" spans="1:5" ht="15" customHeight="1" x14ac:dyDescent="0.2">
      <c r="A10047" s="1" t="s">
        <v>19938</v>
      </c>
      <c r="B10047" s="1">
        <v>0</v>
      </c>
      <c r="C10047" s="3">
        <v>44535.89403935185</v>
      </c>
      <c r="D10047" s="1" t="s">
        <v>19939</v>
      </c>
      <c r="E10047" s="1" t="str">
        <f ca="1">IFERROR(__xludf.DUMMYFUNCTION("GOOGLETRANSLATE(A6846 , ""tr"" , ""en"")"),"@drfahrettinkoca where is iMam Al-Mahvedi? Are We Not Living in The Times Mentioned by Prophet Muhammad Saw? The Time ... https://t.co/fwodw74ye6")</f>
        <v>@drfahrettinkoca where is iMam Al-Mahvedi? Are We Not Living in The Times Mentioned by Prophet Muhammad Saw? The Time ... https://t.co/fwodw74ye6</v>
      </c>
    </row>
    <row r="10048" spans="1:5" ht="15" customHeight="1" x14ac:dyDescent="0.2">
      <c r="A10048" s="1" t="s">
        <v>19940</v>
      </c>
      <c r="B10048" s="1">
        <v>0</v>
      </c>
      <c r="C10048" s="3">
        <v>44535.893020833333</v>
      </c>
      <c r="D10048" s="1" t="s">
        <v>19941</v>
      </c>
      <c r="E10048" s="1" t="str">
        <f ca="1">IFERROR(__xludf.DUMMYFUNCTION("GOOGLETRANSLATE(A6847 , ""tr"" , ""en"")"),"@drfahrettinka vaccine to be a contribution to the fact that the number of cases is also a contribution to the fact that there is no obstacle to the disease ... https://t.co/gn5jfvfqvv")</f>
        <v>@drfahrettinka vaccine to be a contribution to the fact that the number of cases is also a contribution to the fact that there is no obstacle to the disease ... https://t.co/gn5jfvfqvv</v>
      </c>
    </row>
    <row r="10049" spans="1:5" ht="15" customHeight="1" x14ac:dyDescent="0.2">
      <c r="A10049" s="1" t="s">
        <v>19942</v>
      </c>
      <c r="B10049" s="1">
        <v>0</v>
      </c>
      <c r="C10049" s="3">
        <v>44535.891574074078</v>
      </c>
      <c r="D10049" s="1" t="s">
        <v>19943</v>
      </c>
      <c r="E10049" s="1" t="str">
        <f ca="1">IFERROR(__xludf.DUMMYFUNCTION("GOOGLETRANSLATE(A6848 , ""tr"" , ""en"")"),"@drfahrettinka https://t.co/wmk4wawdg6")</f>
        <v>@drfahrettinka https://t.co/wmk4wawdg6</v>
      </c>
    </row>
    <row r="10050" spans="1:5" ht="15" customHeight="1" x14ac:dyDescent="0.2">
      <c r="A10050" s="1" t="s">
        <v>19944</v>
      </c>
      <c r="B10050" s="1">
        <v>1</v>
      </c>
      <c r="C10050" s="3">
        <v>44535.889432870368</v>
      </c>
      <c r="D10050" s="1" t="s">
        <v>19945</v>
      </c>
      <c r="E10050" s="1" t="str">
        <f ca="1">IFERROR(__xludf.DUMMYFUNCTION("GOOGLETRANSLATE(A6849 , ""tr"" , ""en"")"),"@drfahrettinkoca 1 2 3 4 has not been suffering every 15 days. SHIEVE COVIT ... https://t.co/bvhpds8vvd")</f>
        <v>@drfahrettinkoca 1 2 3 4 has not been suffering every 15 days. SHIEVE COVIT ... https://t.co/bvhpds8vvd</v>
      </c>
    </row>
    <row r="10051" spans="1:5" ht="15" customHeight="1" x14ac:dyDescent="0.2">
      <c r="A10051" s="1" t="s">
        <v>19946</v>
      </c>
      <c r="B10051" s="1">
        <v>0</v>
      </c>
      <c r="C10051" s="3">
        <v>44535.888298611113</v>
      </c>
      <c r="D10051" s="1" t="s">
        <v>19947</v>
      </c>
      <c r="E10051" s="1" t="str">
        <f ca="1">IFERROR(__xludf.DUMMYFUNCTION("GOOGLETRANSLATE(A6850 , ""tr"" , ""en"")"),"@drfahrettinkoca dollar 14.8 The minister is looking forward to the assignment that we are doing what we are doing our skillful assignment so human ... https://t.co/4u3rvlrxpd")</f>
        <v>@drfahrettinkoca dollar 14.8 The minister is looking forward to the assignment that we are doing what we are doing our skillful assignment so human ... https://t.co/4u3rvlrxpd</v>
      </c>
    </row>
    <row r="10052" spans="1:5" ht="15" customHeight="1" x14ac:dyDescent="0.2">
      <c r="A10052" s="1" t="s">
        <v>19948</v>
      </c>
      <c r="B10052" s="1">
        <v>0</v>
      </c>
      <c r="C10052" s="3">
        <v>44535.884247685186</v>
      </c>
      <c r="D10052" s="1" t="s">
        <v>19949</v>
      </c>
      <c r="E10052" s="1" t="str">
        <f ca="1">IFERROR(__xludf.DUMMYFUNCTION("GOOGLETRANSLATE(A6851 , ""tr"" , ""en"")"),"@drfahrettinka https://t.co/2wbx1wcb9c")</f>
        <v>@drfahrettinka https://t.co/2wbx1wcb9c</v>
      </c>
    </row>
    <row r="10053" spans="1:5" ht="15" customHeight="1" x14ac:dyDescent="0.2">
      <c r="A10053" s="1" t="s">
        <v>19950</v>
      </c>
      <c r="B10053" s="1">
        <v>0</v>
      </c>
      <c r="C10053" s="3">
        <v>44535.884085648147</v>
      </c>
      <c r="D10053" s="1" t="s">
        <v>19951</v>
      </c>
      <c r="E10053" s="1" t="str">
        <f ca="1">IFERROR(__xludf.DUMMYFUNCTION("GOOGLETRANSLATE(A6852 , ""tr"" , ""en"")"),"@drfahrettinkoca Type In vaccination Cases increasing, flu season winter time falls in contradiction")</f>
        <v>@drfahrettinkoca Type In vaccination Cases increasing, flu season winter time falls in contradiction</v>
      </c>
    </row>
    <row r="10054" spans="1:5" ht="15" customHeight="1" x14ac:dyDescent="0.2">
      <c r="A10054" s="1" t="s">
        <v>19952</v>
      </c>
      <c r="B10054" s="1">
        <v>1</v>
      </c>
      <c r="C10054" s="3">
        <v>44535.883263888885</v>
      </c>
      <c r="D10054" s="1" t="s">
        <v>19953</v>
      </c>
      <c r="E10054" s="1" t="str">
        <f ca="1">IFERROR(__xludf.DUMMYFUNCTION("GOOGLETRANSLATE(A6853 , ""tr"" , ""en"")"),"@drfahrettinkoca Allah im breeding If it is not possible, damn Kahhar's name")</f>
        <v>@drfahrettinkoca Allah im breeding If it is not possible, damn Kahhar's name</v>
      </c>
    </row>
    <row r="10055" spans="1:5" ht="15" customHeight="1" x14ac:dyDescent="0.2">
      <c r="A10055" s="1" t="s">
        <v>19954</v>
      </c>
      <c r="B10055" s="1">
        <v>0</v>
      </c>
      <c r="C10055" s="3">
        <v>44535.883148148147</v>
      </c>
      <c r="D10055" s="1" t="s">
        <v>19955</v>
      </c>
      <c r="E10055" s="1" t="str">
        <f ca="1">IFERROR(__xludf.DUMMYFUNCTION("GOOGLETRANSLATE(A6854 , ""tr"" , ""en"")"),"@drfahrettinkoca This situation is that there are no closures if there is no source of vaccination ... The process may be normal ...")</f>
        <v>@drfahrettinkoca This situation is that there are no closures if there is no source of vaccination ... The process may be normal ...</v>
      </c>
    </row>
    <row r="10056" spans="1:5" ht="15" customHeight="1" x14ac:dyDescent="0.2">
      <c r="A10056" s="1" t="s">
        <v>19956</v>
      </c>
      <c r="B10056" s="1">
        <v>13</v>
      </c>
      <c r="C10056" s="3">
        <v>44535.879641203705</v>
      </c>
      <c r="D10056" s="1" t="s">
        <v>19957</v>
      </c>
      <c r="E10056" s="1" t="str">
        <f ca="1">IFERROR(__xludf.DUMMYFUNCTION("GOOGLETRANSLATE(A6855 , ""tr"" , ""en"")"),"@drfahrettinkoca Ministry, no one is PCR due to the necessities of continuing in schools.")</f>
        <v>@drfahrettinkoca Ministry, no one is PCR due to the necessities of continuing in schools.</v>
      </c>
    </row>
    <row r="10057" spans="1:5" ht="15" customHeight="1" x14ac:dyDescent="0.2">
      <c r="A10057" s="1" t="s">
        <v>19958</v>
      </c>
      <c r="B10057" s="1">
        <v>0</v>
      </c>
      <c r="C10057" s="3">
        <v>44535.879050925927</v>
      </c>
      <c r="D10057" s="1" t="s">
        <v>19959</v>
      </c>
      <c r="E10057" s="1" t="str">
        <f ca="1">IFERROR(__xludf.DUMMYFUNCTION("GOOGLETRANSLATE(A6856 , ""tr"" , ""en"")"),"@drfahrettinkoca Your correct dios This success is only otherwise belonging to physicians (other health personnel) ever ... https://t.co/dp3ofulsxw")</f>
        <v>@drfahrettinkoca Your correct dios This success is only otherwise belonging to physicians (other health personnel) ever ... https://t.co/dp3ofulsxw</v>
      </c>
    </row>
    <row r="10058" spans="1:5" ht="15" customHeight="1" x14ac:dyDescent="0.2">
      <c r="A10058" s="1" t="s">
        <v>19960</v>
      </c>
      <c r="B10058" s="1">
        <v>0</v>
      </c>
      <c r="C10058" s="3">
        <v>44535.878750000003</v>
      </c>
      <c r="D10058" s="1" t="s">
        <v>19961</v>
      </c>
      <c r="E10058" s="1" t="str">
        <f ca="1">IFERROR(__xludf.DUMMYFUNCTION("GOOGLETRANSLATE(A6857 , ""tr"" , ""en"")"),"@drfahrettinkoca subject to my dear")</f>
        <v>@drfahrettinkoca subject to my dear</v>
      </c>
    </row>
    <row r="10059" spans="1:5" ht="15" customHeight="1" x14ac:dyDescent="0.2">
      <c r="A10059" s="1" t="s">
        <v>19962</v>
      </c>
      <c r="B10059" s="1">
        <v>1</v>
      </c>
      <c r="C10059" s="3">
        <v>44535.876736111109</v>
      </c>
      <c r="D10059" s="1" t="s">
        <v>19963</v>
      </c>
      <c r="E10059" s="1" t="str">
        <f ca="1">IFERROR(__xludf.DUMMYFUNCTION("GOOGLETRANSLATE(A6858 , ""tr"" , ""en"")"),"@drfahrettinkoca nolur Describe the guide today Describe Our Minister Nolur We have not stayed in our Psychology Our Psychology is a place to think about it")</f>
        <v>@drfahrettinkoca nolur Describe the guide today Describe Our Minister Nolur We have not stayed in our Psychology Our Psychology is a place to think about it</v>
      </c>
    </row>
    <row r="10060" spans="1:5" ht="15" customHeight="1" x14ac:dyDescent="0.2">
      <c r="A10060" s="1" t="s">
        <v>19964</v>
      </c>
      <c r="B10060" s="1">
        <v>0</v>
      </c>
      <c r="C10060" s="3">
        <v>44535.876631944448</v>
      </c>
      <c r="D10060" s="1" t="s">
        <v>19965</v>
      </c>
      <c r="E10060" s="1" t="str">
        <f ca="1">IFERROR(__xludf.DUMMYFUNCTION("GOOGLETRANSLATE(A6859 , ""tr"" , ""en"")"),"@drfahrettinkoca #birikteyizyasamadokuniz")</f>
        <v>@drfahrettinkoca #birikteyizyasamadokuniz</v>
      </c>
    </row>
    <row r="10061" spans="1:5" ht="15" customHeight="1" x14ac:dyDescent="0.2">
      <c r="A10061" s="1" t="s">
        <v>7770</v>
      </c>
      <c r="B10061" s="1">
        <v>0</v>
      </c>
      <c r="C10061" s="3">
        <v>44535.875879629632</v>
      </c>
      <c r="D10061" s="1" t="s">
        <v>19966</v>
      </c>
      <c r="E10061" s="1" t="str">
        <f ca="1">IFERROR(__xludf.DUMMYFUNCTION("GOOGLETRANSLATE(A6860 , ""tr"" , ""en"")"),"@drfahrettinkoca dietitians are welcomed to assign the assignment to the dietitians Sayin Minister 91 Score of Cardiacy Still Acikta")</f>
        <v>@drfahrettinkoca dietitians are welcomed to assign the assignment to the dietitians Sayin Minister 91 Score of Cardiacy Still Acikta</v>
      </c>
    </row>
    <row r="10062" spans="1:5" ht="15" customHeight="1" x14ac:dyDescent="0.2">
      <c r="A10062" s="1" t="s">
        <v>19967</v>
      </c>
      <c r="B10062" s="1">
        <v>0</v>
      </c>
      <c r="C10062" s="3">
        <v>44535.875740740739</v>
      </c>
      <c r="D10062" s="1" t="s">
        <v>19968</v>
      </c>
      <c r="E10062" s="1" t="str">
        <f ca="1">IFERROR(__xludf.DUMMYFUNCTION("GOOGLETRANSLATE(A6861 , ""tr"" , ""en"")"),"@drfahrettinkoca OFF BAHA BAKE IT'S HIGHTH")</f>
        <v>@drfahrettinkoca OFF BAHA BAKE IT'S HIGHTH</v>
      </c>
    </row>
    <row r="10063" spans="1:5" ht="15" customHeight="1" x14ac:dyDescent="0.2">
      <c r="A10063" s="1" t="s">
        <v>19969</v>
      </c>
      <c r="B10063" s="1">
        <v>0</v>
      </c>
      <c r="C10063" s="3">
        <v>44535.875393518516</v>
      </c>
      <c r="D10063" s="1" t="s">
        <v>19970</v>
      </c>
      <c r="E10063" s="1" t="str">
        <f ca="1">IFERROR(__xludf.DUMMYFUNCTION("GOOGLETRANSLATE(A6862 , ""tr"" , ""en"")"),"@drfahrettinkoca plow rate falls as if or people are consciously falling. If you didn't get into liquid work ... https://t.co/t7had3ajn7")</f>
        <v>@drfahrettinkoca plow rate falls as if or people are consciously falling. If you didn't get into liquid work ... https://t.co/t7had3ajn7</v>
      </c>
    </row>
    <row r="10064" spans="1:5" ht="15" customHeight="1" x14ac:dyDescent="0.2">
      <c r="A10064" s="1" t="s">
        <v>19971</v>
      </c>
      <c r="B10064" s="1">
        <v>0</v>
      </c>
      <c r="C10064" s="3">
        <v>44535.874224537038</v>
      </c>
      <c r="D10064" s="1" t="s">
        <v>19972</v>
      </c>
      <c r="E10064" s="1" t="str">
        <f ca="1">IFERROR(__xludf.DUMMYFUNCTION("GOOGLETRANSLATE(A6863 , ""tr"" , ""en"")"),"@drfahrettinkoca esila Fatal SMA Type1 Patient Treatment Fee 2.157,000 Campaign Governorate Governorate Governorate Governorate on ... https://t.co/os0btbs ://.co/os0btbsu6k")</f>
        <v>@drfahrettinkoca esila Fatal SMA Type1 Patient Treatment Fee 2.157,000 Campaign Governorate Governorate Governorate Governorate on ... https://t.co/os0btbs ://.co/os0btbsu6k</v>
      </c>
    </row>
    <row r="10065" spans="1:5" ht="15" customHeight="1" x14ac:dyDescent="0.2">
      <c r="A10065" s="1" t="s">
        <v>19973</v>
      </c>
      <c r="B10065" s="1">
        <v>0</v>
      </c>
      <c r="C10065" s="3">
        <v>44535.872106481482</v>
      </c>
      <c r="D10065" s="1" t="s">
        <v>19974</v>
      </c>
      <c r="E10065" s="1" t="str">
        <f ca="1">IFERROR(__xludf.DUMMYFUNCTION("GOOGLETRANSLATE(A6864 , ""tr"" , ""en"")"),"@drfahrettinkoca We believe in Dince 3 ""5""")</f>
        <v>@drfahrettinkoca We believe in Dince 3 "5"</v>
      </c>
    </row>
    <row r="10066" spans="1:5" ht="15" customHeight="1" x14ac:dyDescent="0.2">
      <c r="A10066" s="1" t="s">
        <v>19975</v>
      </c>
      <c r="B10066" s="1">
        <v>0</v>
      </c>
      <c r="C10066" s="3">
        <v>44535.871423611112</v>
      </c>
      <c r="D10066" s="1" t="s">
        <v>19976</v>
      </c>
      <c r="E10066" s="1" t="str">
        <f ca="1">IFERROR(__xludf.DUMMYFUNCTION("GOOGLETRANSLATE(A6865 , ""tr"" , ""en"")"),"@drfahrettinkoca 20bin patient are you deceiving normal or deceive us do you deceive us these passages will be what will be ... https://t.co/mr6hpckl7g")</f>
        <v>@drfahrettinkoca 20bin patient are you deceiving normal or deceive us do you deceive us these passages will be what will be ... https://t.co/mr6hpckl7g</v>
      </c>
    </row>
    <row r="10067" spans="1:5" ht="15" customHeight="1" x14ac:dyDescent="0.2">
      <c r="A10067" s="1" t="s">
        <v>19977</v>
      </c>
      <c r="B10067" s="1">
        <v>0</v>
      </c>
      <c r="C10067" s="3">
        <v>44535.868483796294</v>
      </c>
      <c r="D10067" s="1" t="s">
        <v>19978</v>
      </c>
      <c r="E10067" s="1" t="str">
        <f ca="1">IFERROR(__xludf.DUMMYFUNCTION("GOOGLETRANSLATE(A6866 , ""tr"" , ""en"")"),"@drfahrettinkoca everyday on TV channels in the press of the pseudo, doctors, doctors, doctors, doctors, doctors, Covid ... https://t.co/m1ttsxnpxd")</f>
        <v>@drfahrettinkoca everyday on TV channels in the press of the pseudo, doctors, doctors, doctors, doctors, doctors, Covid ... https://t.co/m1ttsxnpxd</v>
      </c>
    </row>
    <row r="10068" spans="1:5" ht="15" customHeight="1" x14ac:dyDescent="0.2">
      <c r="A10068" s="1" t="s">
        <v>19979</v>
      </c>
      <c r="B10068" s="1">
        <v>6</v>
      </c>
      <c r="C10068" s="3">
        <v>44535.868194444447</v>
      </c>
      <c r="D10068" s="1" t="s">
        <v>19980</v>
      </c>
      <c r="E10068" s="1" t="str">
        <f ca="1">IFERROR(__xludf.DUMMYFUNCTION("GOOGLETRANSLATE(A6867 , ""tr"" , ""en"")"),"@drfahrettinkca Nurses for health workers and all health professionals union for the health workers ... https://t.co/g0agmpnqkx")</f>
        <v>@drfahrettinkca Nurses for health workers and all health professionals union for the health workers ... https://t.co/g0agmpnqkx</v>
      </c>
    </row>
    <row r="10069" spans="1:5" ht="15" customHeight="1" x14ac:dyDescent="0.2">
      <c r="A10069" s="1" t="s">
        <v>19981</v>
      </c>
      <c r="B10069" s="1">
        <v>0</v>
      </c>
      <c r="C10069" s="3">
        <v>44535.868171296293</v>
      </c>
      <c r="D10069" s="1" t="s">
        <v>19982</v>
      </c>
      <c r="E10069" s="1" t="str">
        <f ca="1">IFERROR(__xludf.DUMMYFUNCTION("GOOGLETRANSLATE(A6868 , ""tr"" , ""en"")"),"@drfahrettinkoca baya realistic puhahah")</f>
        <v>@drfahrettinkoca baya realistic puhahah</v>
      </c>
    </row>
    <row r="10070" spans="1:5" ht="15" customHeight="1" x14ac:dyDescent="0.2">
      <c r="A10070" s="1" t="s">
        <v>19983</v>
      </c>
      <c r="B10070" s="1">
        <v>3</v>
      </c>
      <c r="C10070" s="3">
        <v>44535.867129629631</v>
      </c>
      <c r="D10070" s="1" t="s">
        <v>19984</v>
      </c>
      <c r="E10070" s="1" t="str">
        <f ca="1">IFERROR(__xludf.DUMMYFUNCTION("GOOGLETRANSLATE(A6869 , ""tr"" , ""en"")"),"@drfahrettinkoca bide What is the low cabinet before the cabinet of Hikmetse cabinet")</f>
        <v>@drfahrettinkoca bide What is the low cabinet before the cabinet of Hikmetse cabinet</v>
      </c>
    </row>
    <row r="10071" spans="1:5" ht="15" customHeight="1" x14ac:dyDescent="0.2">
      <c r="A10071" s="1" t="s">
        <v>19985</v>
      </c>
      <c r="B10071" s="1">
        <v>2</v>
      </c>
      <c r="C10071" s="3">
        <v>44535.866620370369</v>
      </c>
      <c r="D10071" s="1" t="s">
        <v>19986</v>
      </c>
      <c r="E10071" s="1" t="str">
        <f ca="1">IFERROR(__xludf.DUMMYFUNCTION("GOOGLETRANSLATE(A6870 , ""tr"" , ""en"")"),"@drfahrettinkoca yeah 15 minutes for it great for the big deal of your fercies you are your murderer so human rights Https://t.co/28p3xty99")</f>
        <v>@drfahrettinkoca yeah 15 minutes for it great for the big deal of your fercies you are your murderer so human rights Https://t.co/28p3xty99</v>
      </c>
    </row>
    <row r="10072" spans="1:5" ht="15" customHeight="1" x14ac:dyDescent="0.2">
      <c r="A10072" s="1" t="s">
        <v>19987</v>
      </c>
      <c r="B10072" s="1">
        <v>0</v>
      </c>
      <c r="C10072" s="3">
        <v>44535.866354166668</v>
      </c>
      <c r="D10072" s="1" t="s">
        <v>19988</v>
      </c>
      <c r="E10072" s="1" t="str">
        <f ca="1">IFERROR(__xludf.DUMMYFUNCTION("GOOGLETRANSLATE(A6871 , ""tr"" , ""en"")"),"@drfahrettinkoca Mr. Minister The physician's diploma is canceled to quit, read with the nation's taxes and m ... https://t.co/6j3ap2eokb")</f>
        <v>@drfahrettinkoca Mr. Minister The physician's diploma is canceled to quit, read with the nation's taxes and m ... https://t.co/6j3ap2eokb</v>
      </c>
    </row>
    <row r="10073" spans="1:5" ht="15" customHeight="1" x14ac:dyDescent="0.2">
      <c r="A10073" s="1" t="s">
        <v>19989</v>
      </c>
      <c r="B10073" s="1">
        <v>0</v>
      </c>
      <c r="C10073" s="3">
        <v>44535.865046296298</v>
      </c>
      <c r="D10073" s="1" t="s">
        <v>19990</v>
      </c>
      <c r="E10073" s="1" t="str">
        <f ca="1">IFERROR(__xludf.DUMMYFUNCTION("GOOGLETRANSLATE(A6872 , ""tr"" , ""en"")"),"@drfahrettinkoca @drfahrettinkoca Dear husband cases falling below 20 thousands;)")</f>
        <v>@drfahrettinkoca @drfahrettinkoca Dear husband cases falling below 20 thousands;)</v>
      </c>
    </row>
    <row r="10074" spans="1:5" ht="15" customHeight="1" x14ac:dyDescent="0.2">
      <c r="A10074" s="1" t="s">
        <v>19991</v>
      </c>
      <c r="B10074" s="1">
        <v>0</v>
      </c>
      <c r="C10074" s="3">
        <v>44535.864907407406</v>
      </c>
      <c r="D10074" s="1" t="s">
        <v>19992</v>
      </c>
      <c r="E10074" s="1" t="str">
        <f ca="1">IFERROR(__xludf.DUMMYFUNCTION("GOOGLETRANSLATE(A6873 , ""tr"" , ""en"")"),"@drfahrettinkoca Mr. Minister, you have not received any precautions in schools, children in 40-person classes in a row ... https://t.co/ap4pkuygsq")</f>
        <v>@drfahrettinkoca Mr. Minister, you have not received any precautions in schools, children in 40-person classes in a row ... https://t.co/ap4pkuygsq</v>
      </c>
    </row>
    <row r="10075" spans="1:5" ht="15" customHeight="1" x14ac:dyDescent="0.2">
      <c r="A10075" s="1" t="s">
        <v>19993</v>
      </c>
      <c r="B10075" s="1">
        <v>0</v>
      </c>
      <c r="C10075" s="3">
        <v>44535.86451388889</v>
      </c>
      <c r="D10075" s="1" t="s">
        <v>19994</v>
      </c>
      <c r="E10075" s="1" t="str">
        <f ca="1">IFERROR(__xludf.DUMMYFUNCTION("GOOGLETRANSLATE(A6874 , ""tr"" , ""en"")"),"@drfahrettinkoca because it is the market. It passes again tomorrow")</f>
        <v>@drfahrettinkoca because it is the market. It passes again tomorrow</v>
      </c>
    </row>
    <row r="10076" spans="1:5" ht="15" customHeight="1" x14ac:dyDescent="0.2">
      <c r="A10076" s="1" t="s">
        <v>19995</v>
      </c>
      <c r="B10076" s="1">
        <v>1</v>
      </c>
      <c r="C10076" s="3">
        <v>44535.864062499997</v>
      </c>
      <c r="D10076" s="1" t="s">
        <v>19996</v>
      </c>
      <c r="E10076" s="1" t="str">
        <f ca="1">IFERROR(__xludf.DUMMYFUNCTION("GOOGLETRANSLATE(A6875 , ""tr"" , ""en"")"),"@drfahrettinkoca don't do it or you are coming funny anymore")</f>
        <v>@drfahrettinkoca don't do it or you are coming funny anymore</v>
      </c>
    </row>
    <row r="10077" spans="1:5" ht="15" customHeight="1" x14ac:dyDescent="0.2">
      <c r="A10077" s="1" t="s">
        <v>19997</v>
      </c>
      <c r="B10077" s="1">
        <v>0</v>
      </c>
      <c r="C10077" s="3">
        <v>44535.864050925928</v>
      </c>
      <c r="D10077" s="1" t="s">
        <v>19998</v>
      </c>
      <c r="E10077" s="1" t="str">
        <f ca="1">IFERROR(__xludf.DUMMYFUNCTION("GOOGLETRANSLATE(A6876 , ""tr"" , ""en"")"),"@drfahrettinkoca lie. .")</f>
        <v>@drfahrettinkoca lie. .</v>
      </c>
    </row>
    <row r="10078" spans="1:5" ht="15" customHeight="1" x14ac:dyDescent="0.2">
      <c r="A10078" s="1" t="s">
        <v>19999</v>
      </c>
      <c r="B10078" s="1">
        <v>0</v>
      </c>
      <c r="C10078" s="3">
        <v>44535.862060185187</v>
      </c>
      <c r="D10078" s="1" t="s">
        <v>20000</v>
      </c>
      <c r="E10078" s="1" t="str">
        <f ca="1">IFERROR(__xludf.DUMMYFUNCTION("GOOGLETRANSLATE(A6877 , ""tr"" , ""en"")"),"@drfahrettinkoca #the physicians and you are still painting the map")</f>
        <v>@drfahrettinkoca #the physicians and you are still painting the map</v>
      </c>
    </row>
    <row r="10079" spans="1:5" ht="15" customHeight="1" x14ac:dyDescent="0.2">
      <c r="A10079" s="1" t="s">
        <v>20001</v>
      </c>
      <c r="B10079" s="1">
        <v>1</v>
      </c>
      <c r="C10079" s="3">
        <v>44535.86141203704</v>
      </c>
      <c r="D10079" s="1" t="s">
        <v>20002</v>
      </c>
      <c r="E10079" s="1" t="str">
        <f ca="1">IFERROR(__xludf.DUMMYFUNCTION("GOOGLETRANSLATE(A6878 , ""tr"" , ""en"")"),"@drfahrettinkoca #the ministers of physicians. If you can't find the Savasan physician against Covide if you still ignore us")</f>
        <v>@drfahrettinkoca #the ministers of physicians. If you can't find the Savasan physician against Covide if you still ignore us</v>
      </c>
    </row>
    <row r="10080" spans="1:5" ht="15" customHeight="1" x14ac:dyDescent="0.2">
      <c r="A10080" s="1" t="s">
        <v>20003</v>
      </c>
      <c r="B10080" s="1">
        <v>1</v>
      </c>
      <c r="C10080" s="3">
        <v>44535.860914351855</v>
      </c>
      <c r="D10080" s="1" t="s">
        <v>20004</v>
      </c>
      <c r="E10080" s="1" t="str">
        <f ca="1">IFERROR(__xludf.DUMMYFUNCTION("GOOGLETRANSLATE(A6879 , ""tr"" , ""en"")"),"@drfahrettinkoca SANLIURFA has the least grafting rate and the number of cases is only 37 in the number of cases but the army is 85% grafted ... https://t.co/5vyddm76s9")</f>
        <v>@drfahrettinkoca SANLIURFA has the least grafting rate and the number of cases is only 37 in the number of cases but the army is 85% grafted ... https://t.co/5vyddm76s9</v>
      </c>
    </row>
    <row r="10081" spans="1:5" ht="15" customHeight="1" x14ac:dyDescent="0.2">
      <c r="A10081" s="1" t="s">
        <v>20005</v>
      </c>
      <c r="B10081" s="1">
        <v>2</v>
      </c>
      <c r="C10081" s="3">
        <v>44535.860300925924</v>
      </c>
      <c r="D10081" s="1" t="s">
        <v>20006</v>
      </c>
      <c r="E10081" s="1" t="str">
        <f ca="1">IFERROR(__xludf.DUMMYFUNCTION("GOOGLETRANSLATE(A6880 , ""tr"" , ""en"")"),"@drfahrettinkoca Today, our Ministry ignores, worthless, and the dignified professions of our honorable professions: https://t.co/gtwqybeqbb")</f>
        <v>@drfahrettinkoca Today, our Ministry ignores, worthless, and the dignified professions of our honorable professions: https://t.co/gtwqybeqbb</v>
      </c>
    </row>
    <row r="10082" spans="1:5" ht="15" customHeight="1" x14ac:dyDescent="0.2">
      <c r="A10082" s="1" t="s">
        <v>20007</v>
      </c>
      <c r="B10082" s="1">
        <v>0</v>
      </c>
      <c r="C10082" s="3">
        <v>44535.860231481478</v>
      </c>
      <c r="D10082" s="1" t="s">
        <v>20008</v>
      </c>
      <c r="E10082" s="1" t="str">
        <f ca="1">IFERROR(__xludf.DUMMYFUNCTION("GOOGLETRANSLATE(A6881 , ""tr"" , ""en"")"),"@drfahrettinkoca @drfahrettinkoca @drfahrettinkoca @drfahrettinkoca @saglikbakanligi @ShobGlikbakanligi @tiobünkurulu_ @ttborgtr is grafted and dying of dies ... https://t.co/mznu9pwpzs")</f>
        <v>@drfahrettinkoca @drfahrettinkoca @drfahrettinkoca @drfahrettinkoca @saglikbakanligi @ShobGlikbakanligi @tiobünkurulu_ @ttborgtr is grafted and dying of dies ... https://t.co/mznu9pwpzs</v>
      </c>
    </row>
    <row r="10083" spans="1:5" ht="15" customHeight="1" x14ac:dyDescent="0.2">
      <c r="A10083" s="1" t="s">
        <v>20009</v>
      </c>
      <c r="B10083" s="1">
        <v>0</v>
      </c>
      <c r="C10083" s="3">
        <v>44535.858877314815</v>
      </c>
      <c r="D10083" s="1" t="s">
        <v>20010</v>
      </c>
      <c r="E10083" s="1" t="str">
        <f ca="1">IFERROR(__xludf.DUMMYFUNCTION("GOOGLETRANSLATE(A6882 , ""tr"" , ""en"")"),"@drfahrettinkoca guide had our bi but noldu?")</f>
        <v>@drfahrettinkoca guide had our bi but noldu?</v>
      </c>
    </row>
    <row r="10084" spans="1:5" ht="15" customHeight="1" x14ac:dyDescent="0.2">
      <c r="A10084" s="1" t="s">
        <v>20011</v>
      </c>
      <c r="B10084" s="1">
        <v>0</v>
      </c>
      <c r="C10084" s="3">
        <v>44535.857708333337</v>
      </c>
      <c r="D10084" s="1" t="s">
        <v>20012</v>
      </c>
      <c r="E10084" s="1" t="str">
        <f ca="1">IFERROR(__xludf.DUMMYFUNCTION("GOOGLETRANSLATE(A6883 , ""tr"" , ""en"")"),"@drfahrettinkoca Mr. Minister Let me not forget the days Sunday from the days to fall below 20 thousands normal to see the week to see the week ... https://t.co/kwfhlhz3nk")</f>
        <v>@drfahrettinkoca Mr. Minister Let me not forget the days Sunday from the days to fall below 20 thousands normal to see the week to see the week ... https://t.co/kwfhlhz3nk</v>
      </c>
    </row>
    <row r="10085" spans="1:5" ht="15" customHeight="1" x14ac:dyDescent="0.2">
      <c r="A10085" s="1" t="s">
        <v>20013</v>
      </c>
      <c r="B10085" s="1">
        <v>5</v>
      </c>
      <c r="C10085" s="3">
        <v>44535.857002314813</v>
      </c>
      <c r="D10085" s="1" t="s">
        <v>20014</v>
      </c>
      <c r="E10085" s="1" t="str">
        <f ca="1">IFERROR(__xludf.DUMMYFUNCTION("GOOGLETRANSLATE(A6884 , ""tr"" , ""en"")"),"@drfahrettinkoca Mr. Minister What happened while there is 1 case when there is 1 case and now the number of uncertain disease is on the middle of the middle ... https://t.co/qo4rfu0b6x")</f>
        <v>@drfahrettinkoca Mr. Minister What happened while there is 1 case when there is 1 case and now the number of uncertain disease is on the middle of the middle ... https://t.co/qo4rfu0b6x</v>
      </c>
    </row>
    <row r="10086" spans="1:5" ht="15" customHeight="1" x14ac:dyDescent="0.2">
      <c r="A10086" s="1" t="s">
        <v>20015</v>
      </c>
      <c r="B10086" s="1">
        <v>0</v>
      </c>
      <c r="C10086" s="3">
        <v>44535.856550925928</v>
      </c>
      <c r="D10086" s="1" t="s">
        <v>20016</v>
      </c>
      <c r="E10086" s="1" t="str">
        <f ca="1">IFERROR(__xludf.DUMMYFUNCTION("GOOGLETRANSLATE(A6885 , ""tr"" , ""en"")"),"@drfahrettinka https://t.co/x5nbsanqk6")</f>
        <v>@drfahrettinka https://t.co/x5nbsanqk6</v>
      </c>
    </row>
    <row r="10087" spans="1:5" ht="15" customHeight="1" x14ac:dyDescent="0.2">
      <c r="A10087" s="1" t="s">
        <v>20017</v>
      </c>
      <c r="B10087" s="1">
        <v>1</v>
      </c>
      <c r="C10087" s="3">
        <v>44535.854733796295</v>
      </c>
      <c r="D10087" s="1" t="s">
        <v>20018</v>
      </c>
      <c r="E10087" s="1" t="str">
        <f ca="1">IFERROR(__xludf.DUMMYFUNCTION("GOOGLETRANSLATE(A6886 , ""tr"" , ""en"")"),"@drfahrettinka these are not true or something")</f>
        <v>@drfahrettinka these are not true or something</v>
      </c>
    </row>
    <row r="10088" spans="1:5" ht="15" customHeight="1" x14ac:dyDescent="0.2">
      <c r="A10088" s="1" t="s">
        <v>20019</v>
      </c>
      <c r="B10088" s="1">
        <v>0</v>
      </c>
      <c r="C10088" s="3">
        <v>44535.847372685188</v>
      </c>
      <c r="D10088" s="1" t="s">
        <v>20020</v>
      </c>
      <c r="E10088" s="1" t="str">
        <f ca="1">IFERROR(__xludf.DUMMYFUNCTION("GOOGLETRANSLATE(A6887 , ""tr"" , ""en"")"),"@drfahrettinkoca in all developed countries everyone did not pay attention to the sick person in our country we didn't pay attention to the joke g ... https://t.co/tugssrprqo")</f>
        <v>@drfahrettinkoca in all developed countries everyone did not pay attention to the sick person in our country we didn't pay attention to the joke g ... https://t.co/tugssrprqo</v>
      </c>
    </row>
    <row r="10089" spans="1:5" ht="15" customHeight="1" x14ac:dyDescent="0.2">
      <c r="A10089" s="1" t="s">
        <v>20021</v>
      </c>
      <c r="B10089" s="1">
        <v>0</v>
      </c>
      <c r="C10089" s="3">
        <v>44535.847048611111</v>
      </c>
      <c r="D10089" s="1" t="s">
        <v>20022</v>
      </c>
      <c r="E10089" s="1" t="str">
        <f ca="1">IFERROR(__xludf.DUMMYFUNCTION("GOOGLETRANSLATE(A6888 , ""tr"" , ""en"")"),"@drfahrettinkoca Leave these bragles. Who believes")</f>
        <v>@drfahrettinkoca Leave these bragles. Who believes</v>
      </c>
    </row>
    <row r="10090" spans="1:5" ht="15" customHeight="1" x14ac:dyDescent="0.2">
      <c r="A10090" s="1" t="s">
        <v>20023</v>
      </c>
      <c r="B10090" s="1">
        <v>0</v>
      </c>
      <c r="C10090" s="3">
        <v>44535.845821759256</v>
      </c>
      <c r="D10090" s="1" t="s">
        <v>20024</v>
      </c>
      <c r="E10090" s="1" t="str">
        <f ca="1">IFERROR(__xludf.DUMMYFUNCTION("GOOGLETRANSLATE(A6889 , ""tr"" , ""en"")"),"@drfahrettinkoca Veliman First Sceniarges to the first school do not have any measures to be able to inspect our end")</f>
        <v>@drfahrettinkoca Veliman First Sceniarges to the first school do not have any measures to be able to inspect our end</v>
      </c>
    </row>
    <row r="10091" spans="1:5" ht="15" customHeight="1" x14ac:dyDescent="0.2">
      <c r="A10091" s="1" t="s">
        <v>20025</v>
      </c>
      <c r="B10091" s="1">
        <v>0</v>
      </c>
      <c r="C10091" s="3">
        <v>44535.84480324074</v>
      </c>
      <c r="D10091" s="1" t="s">
        <v>20026</v>
      </c>
      <c r="E10091" s="1" t="str">
        <f ca="1">IFERROR(__xludf.DUMMYFUNCTION("GOOGLETRANSLATE(A6890 , ""tr"" , ""en"")"),"@drfahrettinka Mr. Ministry I can't destroy such a health system I can't be a hospital at all Babademi ... https://t.co/6o1hnscgb")</f>
        <v>@drfahrettinka Mr. Ministry I can't destroy such a health system I can't be a hospital at all Babademi ... https://t.co/6o1hnscgb</v>
      </c>
    </row>
    <row r="10092" spans="1:5" ht="15" customHeight="1" x14ac:dyDescent="0.2">
      <c r="A10092" s="1" t="s">
        <v>20027</v>
      </c>
      <c r="B10092" s="1">
        <v>1</v>
      </c>
      <c r="C10092" s="3">
        <v>44535.844490740739</v>
      </c>
      <c r="D10092" s="1" t="s">
        <v>20028</v>
      </c>
      <c r="E10092" s="1" t="str">
        <f ca="1">IFERROR(__xludf.DUMMYFUNCTION("GOOGLETRANSLATE(A6891 , ""tr"" , ""en"")"),"@drfahrettinkoca @saglikbakanligi Physicians at the beginning of his task. Health you do not represent physicians. https://t.co/baswyupy9b")</f>
        <v>@drfahrettinkoca @saglikbakanligi Physicians at the beginning of his task. Health you do not represent physicians. https://t.co/baswyupy9b</v>
      </c>
    </row>
    <row r="10093" spans="1:5" ht="15" customHeight="1" x14ac:dyDescent="0.2">
      <c r="A10093" s="1" t="s">
        <v>20029</v>
      </c>
      <c r="B10093" s="1">
        <v>1</v>
      </c>
      <c r="C10093" s="3">
        <v>44535.843472222223</v>
      </c>
      <c r="D10093" s="1" t="s">
        <v>20030</v>
      </c>
      <c r="E10093" s="1" t="str">
        <f ca="1">IFERROR(__xludf.DUMMYFUNCTION("GOOGLETRANSLATE(A6892 , ""tr"" , ""en"")"),"@drfahrettinka is always low on weekends")</f>
        <v>@drfahrettinka is always low on weekends</v>
      </c>
    </row>
    <row r="10094" spans="1:5" ht="15" customHeight="1" x14ac:dyDescent="0.2">
      <c r="A10094" s="1" t="s">
        <v>20031</v>
      </c>
      <c r="B10094" s="1">
        <v>0</v>
      </c>
      <c r="C10094" s="3">
        <v>44535.841458333336</v>
      </c>
      <c r="D10094" s="1" t="s">
        <v>20032</v>
      </c>
      <c r="E10094" s="1" t="str">
        <f ca="1">IFERROR(__xludf.DUMMYFUNCTION("GOOGLETRANSLATE(A6893 , ""tr"" , ""en"")"),"@drfahrettinkoca summer get there 10 thousand who will call 😁")</f>
        <v>@drfahrettinkoca summer get there 10 thousand who will call 😁</v>
      </c>
    </row>
    <row r="10095" spans="1:5" ht="15" customHeight="1" x14ac:dyDescent="0.2">
      <c r="A10095" s="1" t="s">
        <v>20033</v>
      </c>
      <c r="B10095" s="1">
        <v>7</v>
      </c>
      <c r="C10095" s="3">
        <v>44535.840439814812</v>
      </c>
      <c r="D10095" s="1" t="s">
        <v>20034</v>
      </c>
      <c r="E10095" s="1" t="str">
        <f ca="1">IFERROR(__xludf.DUMMYFUNCTION("GOOGLETRANSLATE(A6894 , ""tr"" , ""en"")"),"@drfahrettinkoca You have no news from your leaked documents.")</f>
        <v>@drfahrettinkoca You have no news from your leaked documents.</v>
      </c>
    </row>
    <row r="10096" spans="1:5" ht="15" customHeight="1" x14ac:dyDescent="0.2">
      <c r="A10096" s="1" t="s">
        <v>20035</v>
      </c>
      <c r="B10096" s="1">
        <v>4</v>
      </c>
      <c r="C10096" s="3">
        <v>44535.840196759258</v>
      </c>
      <c r="D10096" s="1" t="s">
        <v>20036</v>
      </c>
      <c r="E10096" s="1" t="str">
        <f ca="1">IFERROR(__xludf.DUMMYFUNCTION("GOOGLETRANSLATE(A6895 , ""tr"" , ""en"")"),"@drfahrettinkoca Mr. Overlooking these two cani, will he still carry a doctor's diploma? If you are not part of this work ... https://t.co/l1qy2baaul")</f>
        <v>@drfahrettinkoca Mr. Overlooking these two cani, will he still carry a doctor's diploma? If you are not part of this work ... https://t.co/l1qy2baaul</v>
      </c>
    </row>
    <row r="10097" spans="1:5" ht="15" customHeight="1" x14ac:dyDescent="0.2">
      <c r="A10097" s="1" t="s">
        <v>20037</v>
      </c>
      <c r="B10097" s="1">
        <v>0</v>
      </c>
      <c r="C10097" s="3">
        <v>44535.839722222219</v>
      </c>
      <c r="D10097" s="1" t="s">
        <v>20038</v>
      </c>
      <c r="E10097" s="1" t="str">
        <f ca="1">IFERROR(__xludf.DUMMYFUNCTION("GOOGLETRANSLATE(A6896 , ""tr"" , ""en"")"),"@drfahrettinkoca Online")</f>
        <v>@drfahrettinkoca Online</v>
      </c>
    </row>
    <row r="10098" spans="1:5" ht="15" customHeight="1" x14ac:dyDescent="0.2">
      <c r="A10098" s="1" t="s">
        <v>20039</v>
      </c>
      <c r="B10098" s="1">
        <v>0</v>
      </c>
      <c r="C10098" s="3">
        <v>44535.838217592594</v>
      </c>
      <c r="D10098" s="1" t="s">
        <v>20040</v>
      </c>
      <c r="E10098" s="1" t="str">
        <f ca="1">IFERROR(__xludf.DUMMYFUNCTION("GOOGLETRANSLATE(A6897 , ""tr"" , ""en"")"),"@drfahrettinka https://t.co/pmsczjvxu8")</f>
        <v>@drfahrettinka https://t.co/pmsczjvxu8</v>
      </c>
    </row>
    <row r="10099" spans="1:5" ht="15" customHeight="1" x14ac:dyDescent="0.2">
      <c r="A10099" s="1" t="s">
        <v>20041</v>
      </c>
      <c r="B10099" s="1">
        <v>0</v>
      </c>
      <c r="C10099" s="3">
        <v>44535.837673611109</v>
      </c>
      <c r="D10099" s="1" t="s">
        <v>20042</v>
      </c>
      <c r="E10099" s="1" t="str">
        <f ca="1">IFERROR(__xludf.DUMMYFUNCTION("GOOGLETRANSLATE(A6898 , ""tr"" , ""en"")"),"@drfahrettinka https://t.co/2hox0pjaxj")</f>
        <v>@drfahrettinka https://t.co/2hox0pjaxj</v>
      </c>
    </row>
    <row r="10100" spans="1:5" ht="15" customHeight="1" x14ac:dyDescent="0.2">
      <c r="A10100" s="1" t="s">
        <v>20043</v>
      </c>
      <c r="B10100" s="1">
        <v>0</v>
      </c>
      <c r="C10100" s="3">
        <v>44535.837442129632</v>
      </c>
      <c r="D10100" s="1" t="s">
        <v>20044</v>
      </c>
      <c r="E10100" s="1" t="str">
        <f ca="1">IFERROR(__xludf.DUMMYFUNCTION("GOOGLETRANSLATE(A6899 , ""tr"" , ""en"")"),"@drfahrettinkoca ✨ tadbir ✨")</f>
        <v>@drfahrettinkoca ✨ tadbir ✨</v>
      </c>
    </row>
    <row r="10101" spans="1:5" ht="15" customHeight="1" x14ac:dyDescent="0.2">
      <c r="A10101" s="1" t="s">
        <v>20045</v>
      </c>
      <c r="B10101" s="1">
        <v>1</v>
      </c>
      <c r="C10101" s="3">
        <v>44535.835069444445</v>
      </c>
      <c r="D10101" s="1" t="s">
        <v>20046</v>
      </c>
      <c r="E10101" s="1" t="str">
        <f ca="1">IFERROR(__xludf.DUMMYFUNCTION("GOOGLETRANSLATE(A6900 , ""tr"" , ""en"")"),"@drfahrettinkoca We don't believe this table.")</f>
        <v>@drfahrettinkoca We don't believe this table.</v>
      </c>
    </row>
    <row r="10102" spans="1:5" ht="15" customHeight="1" x14ac:dyDescent="0.2">
      <c r="A10102" s="1" t="s">
        <v>20047</v>
      </c>
      <c r="B10102" s="1">
        <v>22</v>
      </c>
      <c r="C10102" s="3">
        <v>44535.834548611114</v>
      </c>
      <c r="D10102" s="1" t="s">
        <v>20048</v>
      </c>
      <c r="E10102" s="1" t="str">
        <f ca="1">IFERROR(__xludf.DUMMYFUNCTION("GOOGLETRANSLATE(A6901 , ""tr"" , ""en"")"),"@drfahrettinkoca you have ruined us how many life have you got in how many kids how many young children do not go down how i will fall in the middle ... https://t.co/n572tju51b")</f>
        <v>@drfahrettinkoca you have ruined us how many life have you got in how many kids how many young children do not go down how i will fall in the middle ... https://t.co/n572tju51b</v>
      </c>
    </row>
    <row r="10103" spans="1:5" ht="15" customHeight="1" x14ac:dyDescent="0.2">
      <c r="A10103" s="1" t="s">
        <v>20049</v>
      </c>
      <c r="B10103" s="1">
        <v>27</v>
      </c>
      <c r="C10103" s="3">
        <v>44535.834085648145</v>
      </c>
      <c r="D10103" s="1" t="s">
        <v>20050</v>
      </c>
      <c r="E10103" s="1" t="str">
        <f ca="1">IFERROR(__xludf.DUMMYFUNCTION("GOOGLETRANSLATE(A6902 , ""tr"" , ""en"")"),"@drfahrettinkoca We are listening to real professors on the side of the people of not the fluffles. Funds of vaccine companies ... https://t.co/s3gnduoqah")</f>
        <v>@drfahrettinkoca We are listening to real professors on the side of the people of not the fluffles. Funds of vaccine companies ... https://t.co/s3gnduoqah</v>
      </c>
    </row>
    <row r="10104" spans="1:5" ht="15" customHeight="1" x14ac:dyDescent="0.2">
      <c r="A10104" s="1" t="s">
        <v>20051</v>
      </c>
      <c r="B10104" s="1">
        <v>0</v>
      </c>
      <c r="C10104" s="3">
        <v>44535.833877314813</v>
      </c>
      <c r="D10104" s="1" t="s">
        <v>20052</v>
      </c>
      <c r="E10104" s="1" t="str">
        <f ca="1">IFERROR(__xludf.DUMMYFUNCTION("GOOGLETRANSLATE(A6903 , ""tr"" , ""en"")"),"@drfahrettinka pity you don't believe in science and data, yayd to the sake of two chars in social media ... https://t.co/RIJNSC52HS")</f>
        <v>@drfahrettinka pity you don't believe in science and data, yayd to the sake of two chars in social media ... https://t.co/RIJNSC52HS</v>
      </c>
    </row>
    <row r="10105" spans="1:5" ht="15" customHeight="1" x14ac:dyDescent="0.2">
      <c r="A10105" s="1" t="s">
        <v>20053</v>
      </c>
      <c r="B10105" s="1">
        <v>0</v>
      </c>
      <c r="C10105" s="3">
        <v>44535.833344907405</v>
      </c>
      <c r="D10105" s="1" t="s">
        <v>20054</v>
      </c>
      <c r="E10105" s="1" t="str">
        <f ca="1">IFERROR(__xludf.DUMMYFUNCTION("GOOGLETRANSLATE(A6904 , ""tr"" , ""en"")"),"@drfahrettinkoca Minister The time of renewal of the Artic Map arrived 70% of the country, let us finish this fear")</f>
        <v>@drfahrettinkoca Minister The time of renewal of the Artic Map arrived 70% of the country, let us finish this fear</v>
      </c>
    </row>
    <row r="10106" spans="1:5" ht="15" customHeight="1" x14ac:dyDescent="0.2">
      <c r="A10106" s="1" t="s">
        <v>20055</v>
      </c>
      <c r="B10106" s="1">
        <v>4</v>
      </c>
      <c r="C10106" s="3">
        <v>44535.832951388889</v>
      </c>
      <c r="D10106" s="1" t="s">
        <v>20056</v>
      </c>
      <c r="E10106" s="1" t="str">
        <f ca="1">IFERROR(__xludf.DUMMYFUNCTION("GOOGLETRANSLATE(A6905 , ""tr"" , ""en"")"),"@drfahrettinkoca # CabineticsLineline Https://t.co/gkyqnwhnur")</f>
        <v>@drfahrettinkoca # CabineticsLineline Https://t.co/gkyqnwhnur</v>
      </c>
    </row>
    <row r="10107" spans="1:5" ht="15" customHeight="1" x14ac:dyDescent="0.2">
      <c r="A10107" s="1" t="s">
        <v>20057</v>
      </c>
      <c r="B10107" s="1">
        <v>0</v>
      </c>
      <c r="C10107" s="3">
        <v>44535.832858796297</v>
      </c>
      <c r="D10107" s="1" t="s">
        <v>20058</v>
      </c>
      <c r="E10107" s="1" t="str">
        <f ca="1">IFERROR(__xludf.DUMMYFUNCTION("GOOGLETRANSLATE(A6906 , ""tr"" , ""en"")"),"@drfahrettinkoca Fahrettin Yawsagi Doguru Bilgelri Give Human Be")</f>
        <v>@drfahrettinkoca Fahrettin Yawsagi Doguru Bilgelri Give Human Be</v>
      </c>
    </row>
    <row r="10108" spans="1:5" ht="15" customHeight="1" x14ac:dyDescent="0.2">
      <c r="A10108" s="1" t="s">
        <v>20059</v>
      </c>
      <c r="B10108" s="1">
        <v>0</v>
      </c>
      <c r="C10108" s="3">
        <v>44535.832800925928</v>
      </c>
      <c r="D10108" s="1" t="s">
        <v>20060</v>
      </c>
      <c r="E10108" s="1" t="str">
        <f ca="1">IFERROR(__xludf.DUMMYFUNCTION("GOOGLETRANSLATE(A6907 , ""tr"" , ""en"")"),"@drfahrettinkoca Have you listened to Dollar Turkey? You can support as subscriber. https://t.co/witcox1pcj")</f>
        <v>@drfahrettinkoca Have you listened to Dollar Turkey? You can support as subscriber. https://t.co/witcox1pcj</v>
      </c>
    </row>
    <row r="10109" spans="1:5" ht="15" customHeight="1" x14ac:dyDescent="0.2">
      <c r="A10109" s="1" t="s">
        <v>20061</v>
      </c>
      <c r="B10109" s="1">
        <v>0</v>
      </c>
      <c r="C10109" s="3">
        <v>44535.831967592596</v>
      </c>
      <c r="D10109" s="1" t="s">
        <v>20062</v>
      </c>
      <c r="E10109" s="1" t="str">
        <f ca="1">IFERROR(__xludf.DUMMYFUNCTION("GOOGLETRANSLATE(A6908 , ""tr"" , ""en"")"),"@drfahrettinkoca is the more clearly understood from the case table that you explained in the case of money in the cases, it is clear that it is closed to not close ... https://t.co/yelwvkyaqh")</f>
        <v>@drfahrettinkoca is the more clearly understood from the case table that you explained in the case of money in the cases, it is clear that it is closed to not close ... https://t.co/yelwvkyaqh</v>
      </c>
    </row>
    <row r="10110" spans="1:5" ht="15" customHeight="1" x14ac:dyDescent="0.2">
      <c r="A10110" s="1" t="s">
        <v>20063</v>
      </c>
      <c r="B10110" s="1">
        <v>0</v>
      </c>
      <c r="C10110" s="3">
        <v>44535.831597222219</v>
      </c>
      <c r="D10110" s="1" t="s">
        <v>20064</v>
      </c>
      <c r="E10110" s="1" t="str">
        <f ca="1">IFERROR(__xludf.DUMMYFUNCTION("GOOGLETRANSLATE(A6909 , ""tr"" , ""en"")"),"@drfahrettinka https://t.co/39r1ydpznf")</f>
        <v>@drfahrettinka https://t.co/39r1ydpznf</v>
      </c>
    </row>
    <row r="10111" spans="1:5" ht="15" customHeight="1" x14ac:dyDescent="0.2">
      <c r="A10111" s="1" t="s">
        <v>20065</v>
      </c>
      <c r="B10111" s="1">
        <v>4</v>
      </c>
      <c r="C10111" s="3">
        <v>44535.829004629632</v>
      </c>
      <c r="D10111" s="1" t="s">
        <v>20066</v>
      </c>
      <c r="E10111" s="1" t="str">
        <f ca="1">IFERROR(__xludf.DUMMYFUNCTION("GOOGLETRANSLATE(A6910 , ""tr"" , ""en"")"),"@drfahrettinkoca Describe real case and death rates for 2 months cases and every day are the same this person testing the same, believe it")</f>
        <v>@drfahrettinkoca Describe real case and death rates for 2 months cases and every day are the same this person testing the same, believe it</v>
      </c>
    </row>
    <row r="10112" spans="1:5" ht="15" customHeight="1" x14ac:dyDescent="0.2">
      <c r="A10112" s="1" t="s">
        <v>14531</v>
      </c>
      <c r="B10112" s="1">
        <v>0</v>
      </c>
      <c r="C10112" s="3">
        <v>44535.828530092593</v>
      </c>
      <c r="D10112" s="1" t="s">
        <v>20067</v>
      </c>
      <c r="E10112" s="1" t="str">
        <f ca="1">IFERROR(__xludf.DUMMYFUNCTION("GOOGLETRANSLATE(A6911 , ""tr"" , ""en"")"),"@drfahrettinkoca tmm")</f>
        <v>@drfahrettinkoca tmm</v>
      </c>
    </row>
    <row r="10113" spans="1:5" ht="15" customHeight="1" x14ac:dyDescent="0.2">
      <c r="A10113" s="1" t="s">
        <v>20068</v>
      </c>
      <c r="B10113" s="1">
        <v>0</v>
      </c>
      <c r="C10113" s="3">
        <v>44535.825659722221</v>
      </c>
      <c r="D10113" s="1" t="s">
        <v>20069</v>
      </c>
      <c r="E10113" s="1" t="str">
        <f ca="1">IFERROR(__xludf.DUMMYFUNCTION("GOOGLETRANSLATE(A6912 , ""tr"" , ""en"")"),"@drfahrettinkoca Eyyyyy Germany tasting is jealous")</f>
        <v>@drfahrettinkoca Eyyyyy Germany tasting is jealous</v>
      </c>
    </row>
    <row r="10114" spans="1:5" ht="15" customHeight="1" x14ac:dyDescent="0.2">
      <c r="A10114" s="1" t="s">
        <v>20070</v>
      </c>
      <c r="B10114" s="1">
        <v>1</v>
      </c>
      <c r="C10114" s="3">
        <v>44535.825613425928</v>
      </c>
      <c r="D10114" s="1" t="s">
        <v>20071</v>
      </c>
      <c r="E10114" s="1" t="str">
        <f ca="1">IFERROR(__xludf.DUMMYFUNCTION("GOOGLETRANSLATE(A6913 , ""tr"" , ""en"")"),"@drfahrettinkoca know that they are due to death, and you are supporting people and you are supporting # Pfisers to account")</f>
        <v>@drfahrettinkoca know that they are due to death, and you are supporting people and you are supporting # Pfisers to account</v>
      </c>
    </row>
    <row r="10115" spans="1:5" ht="15" customHeight="1" x14ac:dyDescent="0.2">
      <c r="A10115" s="1" t="s">
        <v>20072</v>
      </c>
      <c r="B10115" s="1">
        <v>3</v>
      </c>
      <c r="C10115" s="3">
        <v>44535.825289351851</v>
      </c>
      <c r="D10115" s="1" t="s">
        <v>20073</v>
      </c>
      <c r="E10115" s="1" t="str">
        <f ca="1">IFERROR(__xludf.DUMMYFUNCTION("GOOGLETRANSLATE(A6914 , ""tr"" , ""en"")"),"@drfahrettinkoca # Cabinethousonline")</f>
        <v>@drfahrettinkoca # Cabinethousonline</v>
      </c>
    </row>
    <row r="10116" spans="1:5" ht="15" customHeight="1" x14ac:dyDescent="0.2">
      <c r="A10116" s="1" t="s">
        <v>20074</v>
      </c>
      <c r="B10116" s="1">
        <v>4</v>
      </c>
      <c r="C10116" s="3">
        <v>44535.824953703705</v>
      </c>
      <c r="D10116" s="1" t="s">
        <v>20075</v>
      </c>
      <c r="E10116" s="1" t="str">
        <f ca="1">IFERROR(__xludf.DUMMYFUNCTION("GOOGLETRANSLATE(A6915 , ""tr"" , ""en"")"),"@drfahrettinkoca Ministry of Assignment What was the clavy why didn't you come?")</f>
        <v>@drfahrettinkoca Ministry of Assignment What was the clavy why didn't you come?</v>
      </c>
    </row>
    <row r="10117" spans="1:5" ht="15" customHeight="1" x14ac:dyDescent="0.2">
      <c r="A10117" s="1" t="s">
        <v>20076</v>
      </c>
      <c r="B10117" s="1">
        <v>0</v>
      </c>
      <c r="C10117" s="3">
        <v>44535.823796296296</v>
      </c>
      <c r="D10117" s="1" t="s">
        <v>20077</v>
      </c>
      <c r="E10117" s="1" t="str">
        <f ca="1">IFERROR(__xludf.DUMMYFUNCTION("GOOGLETRANSLATE(A6916 , ""tr"" , ""en"")"),"@drfahrettinkoca Do you ridicule with the nation? Eat where the case density is the most intense in vaccination ... https://t.co/doc7f38pp2")</f>
        <v>@drfahrettinkoca Do you ridicule with the nation? Eat where the case density is the most intense in vaccination ... https://t.co/doc7f38pp2</v>
      </c>
    </row>
    <row r="10118" spans="1:5" ht="15" customHeight="1" x14ac:dyDescent="0.2">
      <c r="A10118" s="1" t="s">
        <v>20078</v>
      </c>
      <c r="B10118" s="1">
        <v>1</v>
      </c>
      <c r="C10118" s="3">
        <v>44535.821643518517</v>
      </c>
      <c r="D10118" s="1" t="s">
        <v>20079</v>
      </c>
      <c r="E10118" s="1" t="str">
        <f ca="1">IFERROR(__xludf.DUMMYFUNCTION("GOOGLETRANSLATE(A6917 , ""tr"" , ""en"")"),"@drfahrettinkoca cases are at least 100 thousand Herzzza Buluyo Chamber of Flying")</f>
        <v>@drfahrettinkoca cases are at least 100 thousand Herzzza Buluyo Chamber of Flying</v>
      </c>
    </row>
    <row r="10119" spans="1:5" ht="15" customHeight="1" x14ac:dyDescent="0.2">
      <c r="A10119" s="1" t="s">
        <v>20080</v>
      </c>
      <c r="B10119" s="1">
        <v>0</v>
      </c>
      <c r="C10119" s="3">
        <v>44535.820439814815</v>
      </c>
      <c r="D10119" s="1" t="s">
        <v>20081</v>
      </c>
      <c r="E10119" s="1" t="str">
        <f ca="1">IFERROR(__xludf.DUMMYFUNCTION("GOOGLETRANSLATE(A6918 , ""tr"" , ""en"")"),"@drfahrettinkoca If the disclaimers are coming, you're still sleepy .... https://t.co/kk8uotzwQI")</f>
        <v>@drfahrettinkoca If the disclaimers are coming, you're still sleepy .... https://t.co/kk8uotzwQI</v>
      </c>
    </row>
    <row r="10120" spans="1:5" ht="15" customHeight="1" x14ac:dyDescent="0.2">
      <c r="A10120" s="1" t="s">
        <v>20082</v>
      </c>
      <c r="B10120" s="1">
        <v>1</v>
      </c>
      <c r="C10120" s="3">
        <v>44535.819537037038</v>
      </c>
      <c r="D10120" s="1" t="s">
        <v>20083</v>
      </c>
      <c r="E10120" s="1" t="str">
        <f ca="1">IFERROR(__xludf.DUMMYFUNCTION("GOOGLETRANSLATE(A6919 , ""tr"" , ""en"")"),"@drfahrettinkoca I'm still wearing the mask although I'm still wearing the mask but in a lot of people who we had vaccinated the mask t ... https://t.co/9a8mjt5t7h")</f>
        <v>@drfahrettinkoca I'm still wearing the mask although I'm still wearing the mask but in a lot of people who we had vaccinated the mask t ... https://t.co/9a8mjt5t7h</v>
      </c>
    </row>
    <row r="10121" spans="1:5" ht="15" customHeight="1" x14ac:dyDescent="0.2">
      <c r="A10121" s="1" t="s">
        <v>20084</v>
      </c>
      <c r="B10121" s="1">
        <v>1</v>
      </c>
      <c r="C10121" s="3">
        <v>44535.819027777776</v>
      </c>
      <c r="D10121" s="1" t="s">
        <v>20085</v>
      </c>
      <c r="E10121" s="1" t="str">
        <f ca="1">IFERROR(__xludf.DUMMYFUNCTION("GOOGLETRANSLATE(A6920 , ""tr"" , ""en"")"),"@drfahrettinka is threatened to people without threats and do different practices in hospitals to death and injury Seb ... https://t.co/teyxzoqsgv")</f>
        <v>@drfahrettinka is threatened to people without threats and do different practices in hospitals to death and injury Seb ... https://t.co/teyxzoqsgv</v>
      </c>
    </row>
    <row r="10122" spans="1:5" ht="15" customHeight="1" x14ac:dyDescent="0.2">
      <c r="A10122" s="1" t="s">
        <v>20086</v>
      </c>
      <c r="B10122" s="1">
        <v>0</v>
      </c>
      <c r="C10122" s="3">
        <v>44535.81821759259</v>
      </c>
      <c r="D10122" s="1" t="s">
        <v>20087</v>
      </c>
      <c r="E10122" s="1" t="str">
        <f ca="1">IFERROR(__xludf.DUMMYFUNCTION("GOOGLETRANSLATE(A6921 , ""tr"" , ""en"")"),"@drfahrettinkoca is the 2 years of concessions, are not compromising friends. Come the procession, from that ... https://t.co/8p1BKVI1ys")</f>
        <v>@drfahrettinkoca is the 2 years of concessions, are not compromising friends. Come the procession, from that ... https://t.co/8p1BKVI1ys</v>
      </c>
    </row>
    <row r="10123" spans="1:5" ht="15" customHeight="1" x14ac:dyDescent="0.2">
      <c r="A10123" s="1" t="s">
        <v>20088</v>
      </c>
      <c r="B10123" s="1">
        <v>1</v>
      </c>
      <c r="C10123" s="3">
        <v>44535.815601851849</v>
      </c>
      <c r="D10123" s="1" t="s">
        <v>20089</v>
      </c>
      <c r="E10123" s="1" t="str">
        <f ca="1">IFERROR(__xludf.DUMMYFUNCTION("GOOGLETRANSLATE(A6922 , ""tr"" , ""en"")"),"@drfahrettinkoca is falling because the master is Sunday. That is tomorrow")</f>
        <v>@drfahrettinkoca is falling because the master is Sunday. That is tomorrow</v>
      </c>
    </row>
    <row r="10124" spans="1:5" ht="15" customHeight="1" x14ac:dyDescent="0.2">
      <c r="A10124" s="1" t="s">
        <v>20090</v>
      </c>
      <c r="B10124" s="1">
        <v>0</v>
      </c>
      <c r="C10124" s="3">
        <v>44535.815335648149</v>
      </c>
      <c r="D10124" s="1" t="s">
        <v>20091</v>
      </c>
      <c r="E10124" s="1" t="str">
        <f ca="1">IFERROR(__xludf.DUMMYFUNCTION("GOOGLETRANSLATE(A6923 , ""tr"" , ""en"")"),"@drfahrettinkoca Yaa Enough Leave Bi Leave this Nation's collar")</f>
        <v>@drfahrettinkoca Yaa Enough Leave Bi Leave this Nation's collar</v>
      </c>
    </row>
    <row r="10125" spans="1:5" ht="15" customHeight="1" x14ac:dyDescent="0.2">
      <c r="A10125" s="1" t="s">
        <v>20092</v>
      </c>
      <c r="B10125" s="1">
        <v>2</v>
      </c>
      <c r="C10125" s="3">
        <v>44535.815254629626</v>
      </c>
      <c r="D10125" s="1" t="s">
        <v>20093</v>
      </c>
      <c r="E10125" s="1" t="str">
        <f ca="1">IFERROR(__xludf.DUMMYFUNCTION("GOOGLETRANSLATE(A6924 , ""tr"" , ""en"")"),"@drfahrettinkoca Tadbir We give concessions but we do not give the measure ... that measure is also from the board and their misconduct ... https://t.co/66w4jvlwta")</f>
        <v>@drfahrettinkoca Tadbir We give concessions but we do not give the measure ... that measure is also from the board and their misconduct ... https://t.co/66w4jvlwta</v>
      </c>
    </row>
    <row r="10126" spans="1:5" ht="15" customHeight="1" x14ac:dyDescent="0.2">
      <c r="A10126" s="1" t="s">
        <v>20094</v>
      </c>
      <c r="B10126" s="1">
        <v>0</v>
      </c>
      <c r="C10126" s="3">
        <v>44535.81417824074</v>
      </c>
      <c r="D10126" s="1" t="s">
        <v>20095</v>
      </c>
      <c r="E10126" s="1" t="str">
        <f ca="1">IFERROR(__xludf.DUMMYFUNCTION("GOOGLETRANSLATE(A6925 , ""tr"" , ""en"")"),"@drfahrettinka If you see these in these goes you are going to you. Are your owners? https://t.co/u1mpbtkzb8")</f>
        <v>@drfahrettinka If you see these in these goes you are going to you. Are your owners? https://t.co/u1mpbtkzb8</v>
      </c>
    </row>
    <row r="10127" spans="1:5" ht="15" customHeight="1" x14ac:dyDescent="0.2">
      <c r="A10127" s="1" t="s">
        <v>20096</v>
      </c>
      <c r="B10127" s="1">
        <v>42</v>
      </c>
      <c r="C10127" s="3">
        <v>44535.813599537039</v>
      </c>
      <c r="D10127" s="1" t="s">
        <v>20097</v>
      </c>
      <c r="E10127" s="1" t="str">
        <f ca="1">IFERROR(__xludf.DUMMYFUNCTION("GOOGLETRANSLATE(A6926 , ""tr"" , ""en"")"),"!")</f>
        <v>!</v>
      </c>
    </row>
    <row r="10128" spans="1:5" ht="15" customHeight="1" x14ac:dyDescent="0.2">
      <c r="A10128" s="1" t="s">
        <v>20098</v>
      </c>
      <c r="B10128" s="1">
        <v>0</v>
      </c>
      <c r="C10128" s="3">
        <v>44535.813587962963</v>
      </c>
      <c r="D10128" s="1" t="s">
        <v>20099</v>
      </c>
      <c r="E10128" s="1" t="str">
        <f ca="1">IFERROR(__xludf.DUMMYFUNCTION("GOOGLETRANSLATE(A6927 , ""tr"" , ""en"")"),"@drfahrettinkoca # BirbionTEFALYAZ DIM; Fahrettin Kuddusi His His His His Https://t.co/0eyfxykrkl")</f>
        <v>@drfahrettinkoca # BirbionTEFALYAZ DIM; Fahrettin Kuddusi His His His His Https://t.co/0eyfxykrkl</v>
      </c>
    </row>
    <row r="10129" spans="1:5" ht="15" customHeight="1" x14ac:dyDescent="0.2">
      <c r="A10129" s="1" t="s">
        <v>20100</v>
      </c>
      <c r="B10129" s="1">
        <v>0</v>
      </c>
      <c r="C10129" s="3">
        <v>44535.813576388886</v>
      </c>
      <c r="D10129" s="1" t="s">
        <v>20101</v>
      </c>
      <c r="E10129" s="1" t="str">
        <f ca="1">IFERROR(__xludf.DUMMYFUNCTION("GOOGLETRANSLATE(A6928 , ""tr"" , ""en"")"),"@drfahrettinkoca allah trouble impasses")</f>
        <v>@drfahrettinkoca allah trouble impasses</v>
      </c>
    </row>
    <row r="10130" spans="1:5" ht="15" customHeight="1" x14ac:dyDescent="0.2">
      <c r="A10130" s="1" t="s">
        <v>20102</v>
      </c>
      <c r="B10130" s="1">
        <v>2</v>
      </c>
      <c r="C10130" s="3">
        <v>44535.81322916667</v>
      </c>
      <c r="D10130" s="1" t="s">
        <v>20103</v>
      </c>
      <c r="E10130" s="1" t="str">
        <f ca="1">IFERROR(__xludf.DUMMYFUNCTION("GOOGLETRANSLATE(A6929 , ""tr"" , ""en"")"),"What will be if we don't have @drfahrettinkoca? Notify him! Are you going to jail? Will you kill?")</f>
        <v>What will be if we don't have @drfahrettinkoca? Notify him! Are you going to jail? Will you kill?</v>
      </c>
    </row>
    <row r="10131" spans="1:5" ht="15" customHeight="1" x14ac:dyDescent="0.2">
      <c r="A10131" s="1" t="s">
        <v>20104</v>
      </c>
      <c r="B10131" s="1">
        <v>2</v>
      </c>
      <c r="C10131" s="3">
        <v>44535.809745370374</v>
      </c>
      <c r="D10131" s="1" t="s">
        <v>20105</v>
      </c>
      <c r="E10131" s="1" t="str">
        <f ca="1">IFERROR(__xludf.DUMMYFUNCTION("GOOGLETRANSLATE(A6930 , ""tr"" , ""en"")"),"@drfahrettinka Would you be able to publish the correct figures")</f>
        <v>@drfahrettinka Would you be able to publish the correct figures</v>
      </c>
    </row>
    <row r="10132" spans="1:5" ht="15" customHeight="1" x14ac:dyDescent="0.2">
      <c r="A10132" s="1" t="s">
        <v>20106</v>
      </c>
      <c r="B10132" s="1">
        <v>0</v>
      </c>
      <c r="C10132" s="3">
        <v>44535.808993055558</v>
      </c>
      <c r="D10132" s="1" t="s">
        <v>20107</v>
      </c>
      <c r="E10132" s="1" t="str">
        <f ca="1">IFERROR(__xludf.DUMMYFUNCTION("GOOGLETRANSLATE(A6931 , ""tr"" , ""en"")"),"@drfahrettinkoca I'm sick last week I went to Haatahane If I was going to Entube I've never done anything I've never done anything")</f>
        <v>@drfahrettinkoca I'm sick last week I went to Haatahane If I was going to Entube I've never done anything I've never done anything</v>
      </c>
    </row>
    <row r="10133" spans="1:5" ht="15" customHeight="1" x14ac:dyDescent="0.2">
      <c r="A10133" s="1" t="s">
        <v>20108</v>
      </c>
      <c r="B10133" s="1">
        <v>3</v>
      </c>
      <c r="C10133" s="3">
        <v>44535.808668981481</v>
      </c>
      <c r="D10133" s="1" t="s">
        <v>20109</v>
      </c>
      <c r="E10133" s="1" t="str">
        <f ca="1">IFERROR(__xludf.DUMMYFUNCTION("GOOGLETRANSLATE(A6932 , ""tr"" , ""en"")"),"@drfahrettinkoca Education The most priority line is called the schools as they have been opened, as if they have no epidemic in 2019 with the 2019 condition ... https://t.co/6mesprdj0c")</f>
        <v>@drfahrettinkoca Education The most priority line is called the schools as they have been opened, as if they have no epidemic in 2019 with the 2019 condition ... https://t.co/6mesprdj0c</v>
      </c>
    </row>
    <row r="10134" spans="1:5" ht="15" customHeight="1" x14ac:dyDescent="0.2">
      <c r="A10134" s="1" t="s">
        <v>20110</v>
      </c>
      <c r="B10134" s="1">
        <v>2</v>
      </c>
      <c r="C10134" s="3">
        <v>44535.808263888888</v>
      </c>
      <c r="D10134" s="1" t="s">
        <v>20111</v>
      </c>
      <c r="E10134" s="1" t="str">
        <f ca="1">IFERROR(__xludf.DUMMYFUNCTION("GOOGLETRANSLATE(A6933 , ""tr"" , ""en"")"),"@drfahrettinkoca Omicron Variant over the variant countries closing the limits, taking measures and precautions, curfew ... https://t.co/7r9o65xaqx")</f>
        <v>@drfahrettinkoca Omicron Variant over the variant countries closing the limits, taking measures and precautions, curfew ... https://t.co/7r9o65xaqx</v>
      </c>
    </row>
    <row r="10135" spans="1:5" ht="15" customHeight="1" x14ac:dyDescent="0.2">
      <c r="A10135" s="1" t="s">
        <v>20112</v>
      </c>
      <c r="B10135" s="1">
        <v>4</v>
      </c>
      <c r="C10135" s="3">
        <v>44535.806712962964</v>
      </c>
      <c r="D10135" s="1" t="s">
        <v>20113</v>
      </c>
      <c r="E10135" s="1" t="str">
        <f ca="1">IFERROR(__xludf.DUMMYFUNCTION("GOOGLETRANSLATE(A6934 , ""tr"" , ""en"")"),"@drfahrettinkoca artificial intelligence spoke to the artificial intelligence")</f>
        <v>@drfahrettinkoca artificial intelligence spoke to the artificial intelligence</v>
      </c>
    </row>
    <row r="10136" spans="1:5" ht="15" customHeight="1" x14ac:dyDescent="0.2">
      <c r="A10136" s="1" t="s">
        <v>20114</v>
      </c>
      <c r="B10136" s="1">
        <v>1</v>
      </c>
      <c r="C10136" s="3">
        <v>44535.806643518517</v>
      </c>
      <c r="D10136" s="1" t="s">
        <v>20115</v>
      </c>
      <c r="E10136" s="1" t="str">
        <f ca="1">IFERROR(__xludf.DUMMYFUNCTION("GOOGLETRANSLATE(A6935 , ""tr"" , ""en"")"),"@drfahrettinkoca eating us")</f>
        <v>@drfahrettinkoca eating us</v>
      </c>
    </row>
    <row r="10137" spans="1:5" ht="15" customHeight="1" x14ac:dyDescent="0.2">
      <c r="A10137" s="1" t="s">
        <v>20116</v>
      </c>
      <c r="B10137" s="1">
        <v>2</v>
      </c>
      <c r="C10137" s="3">
        <v>44535.80574074074</v>
      </c>
      <c r="D10137" s="1" t="s">
        <v>20117</v>
      </c>
      <c r="E10137" s="1" t="str">
        <f ca="1">IFERROR(__xludf.DUMMYFUNCTION("GOOGLETRANSLATE(A6936 , ""tr"" , ""en"")"),"@drfahrettinkoca huge man is lying unshamed, pity is a pity ..")</f>
        <v>@drfahrettinkoca huge man is lying unshamed, pity is a pity ..</v>
      </c>
    </row>
    <row r="10138" spans="1:5" ht="15" customHeight="1" x14ac:dyDescent="0.2">
      <c r="A10138" s="1" t="s">
        <v>20118</v>
      </c>
      <c r="B10138" s="1">
        <v>0</v>
      </c>
      <c r="C10138" s="3">
        <v>44535.805243055554</v>
      </c>
      <c r="D10138" s="1" t="s">
        <v>20119</v>
      </c>
      <c r="E10138" s="1" t="str">
        <f ca="1">IFERROR(__xludf.DUMMYFUNCTION("GOOGLETRANSLATE(A6937 , ""tr"" , ""en"")"),"@drfahrettinkoca Let's get the vaccination right away. Let's go from the heart. We have already found our friend on the street. Pfizer even the vaccine so ... https://t.co/I4dyenp3gq")</f>
        <v>@drfahrettinkoca Let's get the vaccination right away. Let's go from the heart. We have already found our friend on the street. Pfizer even the vaccine so ... https://t.co/I4dyenp3gq</v>
      </c>
    </row>
    <row r="10139" spans="1:5" ht="15" customHeight="1" x14ac:dyDescent="0.2">
      <c r="A10139" s="1" t="s">
        <v>20120</v>
      </c>
      <c r="B10139" s="1">
        <v>0</v>
      </c>
      <c r="C10139" s="3">
        <v>44535.804155092592</v>
      </c>
      <c r="D10139" s="1" t="s">
        <v>20121</v>
      </c>
      <c r="E10139" s="1" t="str">
        <f ca="1">IFERROR(__xludf.DUMMYFUNCTION("GOOGLETRANSLATE(A6938 , ""tr"" , ""en"")"),"@drfahrettinkoca vaccine Lari remove look cases Nasil falls")</f>
        <v>@drfahrettinkoca vaccine Lari remove look cases Nasil falls</v>
      </c>
    </row>
    <row r="10140" spans="1:5" ht="15" customHeight="1" x14ac:dyDescent="0.2">
      <c r="A10140" s="1" t="s">
        <v>20122</v>
      </c>
      <c r="B10140" s="1">
        <v>0</v>
      </c>
      <c r="C10140" s="3">
        <v>44535.801932870374</v>
      </c>
      <c r="D10140" s="1" t="s">
        <v>20123</v>
      </c>
      <c r="E10140" s="1" t="str">
        <f ca="1">IFERROR(__xludf.DUMMYFUNCTION("GOOGLETRANSLATE(A6939 , ""tr"" , ""en"")"),"@drfahrettinka vaccine work lie")</f>
        <v>@drfahrettinka vaccine work lie</v>
      </c>
    </row>
    <row r="10141" spans="1:5" ht="15" customHeight="1" x14ac:dyDescent="0.2">
      <c r="A10141" s="1" t="s">
        <v>20124</v>
      </c>
      <c r="B10141" s="1">
        <v>0</v>
      </c>
      <c r="C10141" s="3">
        <v>44535.801863425928</v>
      </c>
      <c r="D10141" s="1" t="s">
        <v>20125</v>
      </c>
      <c r="E10141" s="1" t="str">
        <f ca="1">IFERROR(__xludf.DUMMYFUNCTION("GOOGLETRANSLATE(A6940 , ""tr"" , ""en"")"),"@drfahrettinka guys wake up ladies. Safe or Science How to say. There is a course of tortologists. Boy to Ulutes ... https://t.co/ik8rlkn1zw")</f>
        <v>@drfahrettinka guys wake up ladies. Safe or Science How to say. There is a course of tortologists. Boy to Ulutes ... https://t.co/ik8rlkn1zw</v>
      </c>
    </row>
    <row r="10142" spans="1:5" ht="15" customHeight="1" x14ac:dyDescent="0.2">
      <c r="A10142" s="1" t="s">
        <v>20126</v>
      </c>
      <c r="B10142" s="1">
        <v>0</v>
      </c>
      <c r="C10142" s="3">
        <v>44535.801759259259</v>
      </c>
      <c r="D10142" s="1" t="s">
        <v>20127</v>
      </c>
      <c r="E10142" s="1" t="str">
        <f ca="1">IFERROR(__xludf.DUMMYFUNCTION("GOOGLETRANSLATE(A6941 , ""tr"" , ""en"")"),"@drfahrettinkoca I'm inandim Sahsen")</f>
        <v>@drfahrettinkoca I'm inandim Sahsen</v>
      </c>
    </row>
    <row r="10143" spans="1:5" ht="15" customHeight="1" x14ac:dyDescent="0.2">
      <c r="A10143" s="1" t="s">
        <v>20128</v>
      </c>
      <c r="B10143" s="1">
        <v>0</v>
      </c>
      <c r="C10143" s="3">
        <v>44535.801620370374</v>
      </c>
      <c r="D10143" s="1" t="s">
        <v>20129</v>
      </c>
      <c r="E10143" s="1" t="str">
        <f ca="1">IFERROR(__xludf.DUMMYFUNCTION("GOOGLETRANSLATE(A6942 , ""tr"" , ""en"")"),"@drfahrettinkoca Today is Sunday he continues with 20 thousand tomorrow")</f>
        <v>@drfahrettinkoca Today is Sunday he continues with 20 thousand tomorrow</v>
      </c>
    </row>
    <row r="10144" spans="1:5" ht="15" customHeight="1" x14ac:dyDescent="0.2">
      <c r="A10144" s="1" t="s">
        <v>20130</v>
      </c>
      <c r="B10144" s="1">
        <v>0</v>
      </c>
      <c r="C10144" s="3">
        <v>44535.801261574074</v>
      </c>
      <c r="D10144" s="1" t="s">
        <v>20131</v>
      </c>
      <c r="E10144" s="1" t="str">
        <f ca="1">IFERROR(__xludf.DUMMYFUNCTION("GOOGLETRANSLATE(A6943 , ""tr"" , ""en"")"),"@drfahrettinkoca liars ... .. 🤮🤮🤮🤮🤮🤮🤮")</f>
        <v>@drfahrettinkoca liars ... .. 🤮🤮🤮🤮🤮🤮🤮</v>
      </c>
    </row>
    <row r="10145" spans="1:5" ht="15" customHeight="1" x14ac:dyDescent="0.2">
      <c r="A10145" s="1" t="s">
        <v>20132</v>
      </c>
      <c r="B10145" s="1">
        <v>0</v>
      </c>
      <c r="C10145" s="3">
        <v>44535.801180555558</v>
      </c>
      <c r="D10145" s="1" t="s">
        <v>20133</v>
      </c>
      <c r="E10145" s="1" t="str">
        <f ca="1">IFERROR(__xludf.DUMMYFUNCTION("GOOGLETRANSLATE(A6944 , ""tr"" , ""en"")"),"@drfahrettinkoca Enter the bottom of the ground As your name Sand Your Name Sand You have finished the country that you have finished the country ... https://t.co/zpjo8ORYPY")</f>
        <v>@drfahrettinkoca Enter the bottom of the ground As your name Sand Your Name Sand You have finished the country that you have finished the country ... https://t.co/zpjo8ORYPY</v>
      </c>
    </row>
    <row r="10146" spans="1:5" ht="15" customHeight="1" x14ac:dyDescent="0.2">
      <c r="A10146" s="1" t="s">
        <v>20134</v>
      </c>
      <c r="B10146" s="1">
        <v>6</v>
      </c>
      <c r="C10146" s="3">
        <v>44535.800995370373</v>
      </c>
      <c r="D10146" s="1" t="s">
        <v>20135</v>
      </c>
      <c r="E10146" s="1" t="str">
        <f ca="1">IFERROR(__xludf.DUMMYFUNCTION("GOOGLETRANSLATE(A6945 , ""tr"" , ""en"")"),"@drfahrettinkoca foreign countries are jealous not jealous yes it is very jealous because they don't have such a health minister ... https://t.co/4j6xdwngol")</f>
        <v>@drfahrettinkoca foreign countries are jealous not jealous yes it is very jealous because they don't have such a health minister ... https://t.co/4j6xdwngol</v>
      </c>
    </row>
    <row r="10147" spans="1:5" ht="15" customHeight="1" x14ac:dyDescent="0.2">
      <c r="A10147" s="1" t="s">
        <v>20136</v>
      </c>
      <c r="B10147" s="1">
        <v>0</v>
      </c>
      <c r="C10147" s="3">
        <v>44535.800636574073</v>
      </c>
      <c r="D10147" s="1" t="s">
        <v>20137</v>
      </c>
      <c r="E10147" s="1" t="str">
        <f ca="1">IFERROR(__xludf.DUMMYFUNCTION("GOOGLETRANSLATE(A6946 , ""tr"" , ""en"")"),"@drfahrettinkoca If you believe in let's believe it")</f>
        <v>@drfahrettinkoca If you believe in let's believe it</v>
      </c>
    </row>
    <row r="10148" spans="1:5" ht="15" customHeight="1" x14ac:dyDescent="0.2">
      <c r="A10148" s="1" t="s">
        <v>20138</v>
      </c>
      <c r="B10148" s="1">
        <v>1</v>
      </c>
      <c r="C10148" s="3">
        <v>44535.800613425927</v>
      </c>
      <c r="D10148" s="1" t="s">
        <v>20139</v>
      </c>
      <c r="E10148" s="1" t="str">
        <f ca="1">IFERROR(__xludf.DUMMYFUNCTION("GOOGLETRANSLATE(A6947 , ""tr"" , ""en"")"),"@drfahrettinka Mr. Ministry.That levels are at these levels but other Bi virus or not noticeable Bi Vartanian s ... https://t.co/ios0zoadgs")</f>
        <v>@drfahrettinka Mr. Ministry.That levels are at these levels but other Bi virus or not noticeable Bi Vartanian s ... https://t.co/ios0zoadgs</v>
      </c>
    </row>
    <row r="10149" spans="1:5" ht="15" customHeight="1" x14ac:dyDescent="0.2">
      <c r="A10149" s="1" t="s">
        <v>20140</v>
      </c>
      <c r="B10149" s="1">
        <v>0</v>
      </c>
      <c r="C10149" s="3">
        <v>44535.800335648149</v>
      </c>
      <c r="D10149" s="1" t="s">
        <v>20141</v>
      </c>
      <c r="E10149" s="1" t="str">
        <f ca="1">IFERROR(__xludf.DUMMYFUNCTION("GOOGLETRANSLATE(A6948 , ""tr"" , ""en"")"),"?")</f>
        <v>?</v>
      </c>
    </row>
    <row r="10150" spans="1:5" ht="15" customHeight="1" x14ac:dyDescent="0.2">
      <c r="A10150" s="1" t="s">
        <v>20142</v>
      </c>
      <c r="B10150" s="1">
        <v>1</v>
      </c>
      <c r="C10150" s="3">
        <v>44535.800312500003</v>
      </c>
      <c r="D10150" s="1" t="s">
        <v>20143</v>
      </c>
      <c r="E10150" s="1" t="str">
        <f ca="1">IFERROR(__xludf.DUMMYFUNCTION("GOOGLETRANSLATE(A6949 , ""tr"" , ""en"")"),"@drfahrettinkoca 7/24 hours Twitter De Tiwit Do you receive salary to throw? Vaccine Vaccine Vaccine Television also News ... https://t.co/xfxsfdtcra")</f>
        <v>@drfahrettinkoca 7/24 hours Twitter De Tiwit Do you receive salary to throw? Vaccine Vaccine Vaccine Television also News ... https://t.co/xfxsfdtcra</v>
      </c>
    </row>
    <row r="10151" spans="1:5" ht="15" customHeight="1" x14ac:dyDescent="0.2">
      <c r="A10151" s="1" t="s">
        <v>20144</v>
      </c>
      <c r="B10151" s="1">
        <v>0</v>
      </c>
      <c r="C10151" s="3">
        <v>44535.800243055557</v>
      </c>
      <c r="D10151" s="1" t="s">
        <v>20145</v>
      </c>
      <c r="E10151" s="1" t="str">
        <f ca="1">IFERROR(__xludf.DUMMYFUNCTION("GOOGLETRANSLATE(A6950 , ""tr"" , ""en"")"),"@drfahrettinkoca KULA CLUDAGE Come Tövbe Meat Be Muslim")</f>
        <v>@drfahrettinkoca KULA CLUDAGE Come Tövbe Meat Be Muslim</v>
      </c>
    </row>
    <row r="10152" spans="1:5" ht="15" customHeight="1" x14ac:dyDescent="0.2">
      <c r="A10152" s="1" t="s">
        <v>20146</v>
      </c>
      <c r="B10152" s="1">
        <v>0</v>
      </c>
      <c r="C10152" s="3">
        <v>44535.80023148148</v>
      </c>
      <c r="D10152" s="1" t="s">
        <v>20147</v>
      </c>
      <c r="E10152" s="1" t="str">
        <f ca="1">IFERROR(__xludf.DUMMYFUNCTION("GOOGLETRANSLATE(A6951 , ""tr"" , ""en"")"),"@drfahrettinka say both rally and ""tadbir"". There is no world")</f>
        <v>@drfahrettinka say both rally and "tadbir". There is no world</v>
      </c>
    </row>
    <row r="10153" spans="1:5" ht="15" customHeight="1" x14ac:dyDescent="0.2">
      <c r="A10153" s="1" t="s">
        <v>20148</v>
      </c>
      <c r="B10153" s="1">
        <v>7</v>
      </c>
      <c r="C10153" s="3">
        <v>44535.799618055556</v>
      </c>
      <c r="D10153" s="1" t="s">
        <v>20149</v>
      </c>
      <c r="E10153" s="1" t="str">
        <f ca="1">IFERROR(__xludf.DUMMYFUNCTION("GOOGLETRANSLATE(A6952 , ""tr"" , ""en"")"),"@drfahrettinka you will make us more with us with kids more nexadar teasing you a moment to quit the Turkish ... https://t.co/mso35yxgc8")</f>
        <v>@drfahrettinka you will make us more with us with kids more nexadar teasing you a moment to quit the Turkish ... https://t.co/mso35yxgc8</v>
      </c>
    </row>
    <row r="10154" spans="1:5" ht="15" customHeight="1" x14ac:dyDescent="0.2">
      <c r="A10154" s="1" t="s">
        <v>20150</v>
      </c>
      <c r="B10154" s="1">
        <v>0</v>
      </c>
      <c r="C10154" s="3">
        <v>44535.798449074071</v>
      </c>
      <c r="D10154" s="1" t="s">
        <v>20151</v>
      </c>
      <c r="E10154" s="1" t="str">
        <f ca="1">IFERROR(__xludf.DUMMYFUNCTION("GOOGLETRANSLATE(A6953 , ""tr"" , ""en"")"),"@drfahrettinkoca people who know maths. This sacmaligi should have realized more Cabuk. But in the cogu populizmin sleep")</f>
        <v>@drfahrettinkoca people who know maths. This sacmaligi should have realized more Cabuk. But in the cogu populizmin sleep</v>
      </c>
    </row>
    <row r="10155" spans="1:5" ht="15" customHeight="1" x14ac:dyDescent="0.2">
      <c r="A10155" s="1" t="s">
        <v>20152</v>
      </c>
      <c r="B10155" s="1">
        <v>1</v>
      </c>
      <c r="C10155" s="3">
        <v>44535.798032407409</v>
      </c>
      <c r="D10155" s="1" t="s">
        <v>20153</v>
      </c>
      <c r="E10155" s="1" t="str">
        <f ca="1">IFERROR(__xludf.DUMMYFUNCTION("GOOGLETRANSLATE(A6954 , ""tr"" , ""en"")"),"@drfahrettinka Dear Minister Did you stay at the Power in Dear? A lot of things to reduce our mitivation ... https://t.co/uh1ekxruwa")</f>
        <v>@drfahrettinka Dear Minister Did you stay at the Power in Dear? A lot of things to reduce our mitivation ... https://t.co/uh1ekxruwa</v>
      </c>
    </row>
    <row r="10156" spans="1:5" ht="15" customHeight="1" x14ac:dyDescent="0.2">
      <c r="A10156" s="1" t="s">
        <v>20154</v>
      </c>
      <c r="B10156" s="1">
        <v>0</v>
      </c>
      <c r="C10156" s="3">
        <v>44535.797847222224</v>
      </c>
      <c r="D10156" s="1" t="s">
        <v>20155</v>
      </c>
      <c r="E10156" s="1" t="str">
        <f ca="1">IFERROR(__xludf.DUMMYFUNCTION("GOOGLETRANSLATE(A6955 , ""tr"" , ""en"")"),"@drfahrettinkoca LAN Bari Wear From Don't Get Boku Started From Don't Eject this job Or Get it")</f>
        <v>@drfahrettinkoca LAN Bari Wear From Don't Get Boku Started From Don't Eject this job Or Get it</v>
      </c>
    </row>
    <row r="10157" spans="1:5" ht="15" customHeight="1" x14ac:dyDescent="0.2">
      <c r="A10157" s="1" t="s">
        <v>20156</v>
      </c>
      <c r="B10157" s="1">
        <v>4</v>
      </c>
      <c r="C10157" s="3">
        <v>44535.797210648147</v>
      </c>
      <c r="D10157" s="1" t="s">
        <v>20157</v>
      </c>
      <c r="E10157" s="1" t="str">
        <f ca="1">IFERROR(__xludf.DUMMYFUNCTION("GOOGLETRANSLATE(A6956 , ""tr"" , ""en"")"),"@drfahrettinkoca Pfizer In USA has been published in the case.")</f>
        <v>@drfahrettinkoca Pfizer In USA has been published in the case.</v>
      </c>
    </row>
    <row r="10158" spans="1:5" ht="15" customHeight="1" x14ac:dyDescent="0.2">
      <c r="A10158" s="1" t="s">
        <v>20158</v>
      </c>
      <c r="B10158" s="1">
        <v>1</v>
      </c>
      <c r="C10158" s="3">
        <v>44535.796886574077</v>
      </c>
      <c r="D10158" s="1" t="s">
        <v>20159</v>
      </c>
      <c r="E10158" s="1" t="str">
        <f ca="1">IFERROR(__xludf.DUMMYFUNCTION("GOOGLETRANSLATE(A6957 , ""tr"" , ""en"")"),"@drfahrettinkoca: D")</f>
        <v>@drfahrettinkoca: D</v>
      </c>
    </row>
    <row r="10159" spans="1:5" ht="15" customHeight="1" x14ac:dyDescent="0.2">
      <c r="A10159" s="1" t="s">
        <v>18838</v>
      </c>
      <c r="B10159" s="1">
        <v>0</v>
      </c>
      <c r="C10159" s="3">
        <v>44535.79650462963</v>
      </c>
      <c r="D10159" s="1" t="s">
        <v>20160</v>
      </c>
      <c r="E10159" s="1" t="str">
        <f ca="1">IFERROR(__xludf.DUMMYFUNCTION("GOOGLETRANSLATE(A6958 , ""tr"" , ""en"")"),"@drfahrettinkoca #kronikhastalarıidariizin @saglikbakanligi @sagliklicozum @meb @mebimdestek @tc_icisleri")</f>
        <v>@drfahrettinkoca #kronikhastalarıidariizin @saglikbakanligi @sagliklicozum @meb @mebimdestek @tc_icisleri</v>
      </c>
    </row>
    <row r="10160" spans="1:5" ht="15" customHeight="1" x14ac:dyDescent="0.2">
      <c r="A10160" s="1" t="s">
        <v>20161</v>
      </c>
      <c r="B10160" s="1">
        <v>0</v>
      </c>
      <c r="C10160" s="3">
        <v>44535.79583333333</v>
      </c>
      <c r="D10160" s="1" t="s">
        <v>20162</v>
      </c>
      <c r="E10160" s="1" t="str">
        <f ca="1">IFERROR(__xludf.DUMMYFUNCTION("GOOGLETRANSLATE(A6959 , ""tr"" , ""en"")"),"@drfahrettinkoca vitia and humanity betrayal https://t.co/f7797j9pbn")</f>
        <v>@drfahrettinkoca vitia and humanity betrayal https://t.co/f7797j9pbn</v>
      </c>
    </row>
    <row r="10161" spans="1:5" ht="15" customHeight="1" x14ac:dyDescent="0.2">
      <c r="A10161" s="1" t="s">
        <v>20163</v>
      </c>
      <c r="B10161" s="1">
        <v>1</v>
      </c>
      <c r="C10161" s="3">
        <v>44535.795532407406</v>
      </c>
      <c r="D10161" s="1" t="s">
        <v>20164</v>
      </c>
      <c r="E10161" s="1" t="str">
        <f ca="1">IFERROR(__xludf.DUMMYFUNCTION("GOOGLETRANSLATE(A6960 , ""tr"" , ""en"")"),"@drfahrettinkoca Case Number of Case Number of Death Number of Death Number of Deaths.! The difference between 2 years is grafted ... https://t.co/kmwlrjeoil")</f>
        <v>@drfahrettinkoca Case Number of Case Number of Death Number of Death Number of Deaths.! The difference between 2 years is grafted ... https://t.co/kmwlrjeoil</v>
      </c>
    </row>
    <row r="10162" spans="1:5" ht="15" customHeight="1" x14ac:dyDescent="0.2">
      <c r="A10162" s="1" t="s">
        <v>20165</v>
      </c>
      <c r="B10162" s="1">
        <v>0</v>
      </c>
      <c r="C10162" s="3">
        <v>44535.795486111114</v>
      </c>
      <c r="D10162" s="1" t="s">
        <v>20166</v>
      </c>
      <c r="E10162" s="1" t="str">
        <f ca="1">IFERROR(__xludf.DUMMYFUNCTION("GOOGLETRANSLATE(A6961 , ""tr"" , ""en"")"),"@drfahrettinka https://t.co/mcqp2JSDUI")</f>
        <v>@drfahrettinka https://t.co/mcqp2JSDUI</v>
      </c>
    </row>
    <row r="10163" spans="1:5" ht="15" customHeight="1" x14ac:dyDescent="0.2">
      <c r="A10163" s="1" t="s">
        <v>20167</v>
      </c>
      <c r="B10163" s="1">
        <v>0</v>
      </c>
      <c r="C10163" s="3">
        <v>44535.795335648145</v>
      </c>
      <c r="D10163" s="1" t="s">
        <v>20168</v>
      </c>
      <c r="E10163" s="1" t="str">
        <f ca="1">IFERROR(__xludf.DUMMYFUNCTION("GOOGLETRANSLATE(A6962 , ""tr"" , ""en"")"),"@drfahrettinkoca every varianti why the same vaccine? Why do these be ineffective? What Dear Object is to Minister?")</f>
        <v>@drfahrettinkoca every varianti why the same vaccine? Why do these be ineffective? What Dear Object is to Minister?</v>
      </c>
    </row>
    <row r="10164" spans="1:5" ht="15" customHeight="1" x14ac:dyDescent="0.2">
      <c r="A10164" s="1" t="s">
        <v>20169</v>
      </c>
      <c r="B10164" s="1">
        <v>2</v>
      </c>
      <c r="C10164" s="3">
        <v>44535.795231481483</v>
      </c>
      <c r="D10164" s="1" t="s">
        <v>20170</v>
      </c>
      <c r="E10164" s="1" t="str">
        <f ca="1">IFERROR(__xludf.DUMMYFUNCTION("GOOGLETRANSLATE(A6963 , ""tr"" , ""en"")"),"@drfahrettinka https://t.co/p5lzjjrrxz")</f>
        <v>@drfahrettinka https://t.co/p5lzjjrrxz</v>
      </c>
    </row>
    <row r="10165" spans="1:5" ht="15" customHeight="1" x14ac:dyDescent="0.2">
      <c r="A10165" s="1" t="s">
        <v>20171</v>
      </c>
      <c r="B10165" s="1">
        <v>0</v>
      </c>
      <c r="C10165" s="3">
        <v>44535.794444444444</v>
      </c>
      <c r="D10165" s="1" t="s">
        <v>20172</v>
      </c>
      <c r="E10165" s="1" t="str">
        <f ca="1">IFERROR(__xludf.DUMMYFUNCTION("GOOGLETRANSLATE(A6964 , ""tr"" , ""en"")"),"@drfahrettinka 5 December 2020 No vaccine! Number of tests: 178,903 Cases: 31,896 Number of patients: 6.128 Death: 196 5 Range ... https://t.co/tajou0xab6")</f>
        <v>@drfahrettinka 5 December 2020 No vaccine! Number of tests: 178,903 Cases: 31,896 Number of patients: 6.128 Death: 196 5 Range ... https://t.co/tajou0xab6</v>
      </c>
    </row>
    <row r="10166" spans="1:5" ht="15" customHeight="1" x14ac:dyDescent="0.2">
      <c r="A10166" s="1" t="s">
        <v>20173</v>
      </c>
      <c r="B10166" s="1">
        <v>0</v>
      </c>
      <c r="C10166" s="3">
        <v>44535.792673611111</v>
      </c>
      <c r="D10166" s="1" t="s">
        <v>20174</v>
      </c>
      <c r="E10166" s="1" t="str">
        <f ca="1">IFERROR(__xludf.DUMMYFUNCTION("GOOGLETRANSLATE(A6965 , ""tr"" , ""en"")"),"@drfahrettinkoca lies table ...")</f>
        <v>@drfahrettinkoca lies table ...</v>
      </c>
    </row>
    <row r="10167" spans="1:5" ht="15" customHeight="1" x14ac:dyDescent="0.2">
      <c r="A10167" s="1" t="s">
        <v>20175</v>
      </c>
      <c r="B10167" s="1">
        <v>1</v>
      </c>
      <c r="C10167" s="3">
        <v>44535.790937500002</v>
      </c>
      <c r="D10167" s="1" t="s">
        <v>20176</v>
      </c>
      <c r="E10167" s="1" t="str">
        <f ca="1">IFERROR(__xludf.DUMMYFUNCTION("GOOGLETRANSLATE(A6966 , ""tr"" , ""en"")"),"@drfahrettinkoca deals with a rally last")</f>
        <v>@drfahrettinkoca deals with a rally last</v>
      </c>
    </row>
    <row r="10168" spans="1:5" ht="15" customHeight="1" x14ac:dyDescent="0.2">
      <c r="A10168" s="1" t="s">
        <v>20177</v>
      </c>
      <c r="B10168" s="1">
        <v>1</v>
      </c>
      <c r="C10168" s="3">
        <v>44535.789895833332</v>
      </c>
      <c r="D10168" s="1" t="s">
        <v>20178</v>
      </c>
      <c r="E10168" s="1" t="str">
        <f ca="1">IFERROR(__xludf.DUMMYFUNCTION("GOOGLETRANSLATE(A6967 , ""tr"" , ""en"")"),"@drfahrettinkoca The number of cases of the weekend falls, this is like a few months. Winter months to arrive, like the new variant ... https://t.co/oxqbjrdyyx")</f>
        <v>@drfahrettinkoca The number of cases of the weekend falls, this is like a few months. Winter months to arrive, like the new variant ... https://t.co/oxqbjrdyyx</v>
      </c>
    </row>
    <row r="10169" spans="1:5" ht="15" customHeight="1" x14ac:dyDescent="0.2">
      <c r="A10169" s="1" t="s">
        <v>20179</v>
      </c>
      <c r="B10169" s="1">
        <v>0</v>
      </c>
      <c r="C10169" s="3">
        <v>44535.789687500001</v>
      </c>
      <c r="D10169" s="1" t="s">
        <v>20180</v>
      </c>
      <c r="E10169" s="1" t="str">
        <f ca="1">IFERROR(__xludf.DUMMYFUNCTION("GOOGLETRANSLATE(A6968 , ""tr"" , ""en"")"),"@drfahrettinka Mr. Fahrettin Bey # You are all of us")</f>
        <v>@drfahrettinka Mr. Fahrettin Bey # You are all of us</v>
      </c>
    </row>
    <row r="10170" spans="1:5" ht="15" customHeight="1" x14ac:dyDescent="0.2">
      <c r="A10170" s="1" t="s">
        <v>20181</v>
      </c>
      <c r="B10170" s="1">
        <v>1</v>
      </c>
      <c r="C10170" s="3">
        <v>44535.789641203701</v>
      </c>
      <c r="D10170" s="1" t="s">
        <v>20182</v>
      </c>
      <c r="E10170" s="1" t="str">
        <f ca="1">IFERROR(__xludf.DUMMYFUNCTION("GOOGLETRANSLATE(A6969 , ""tr"" , ""en"")"),"@drfahrettinkoca Come on, don't believe that so much so that you don't believe that even if you don't believe it is now #abinezzoonlineline")</f>
        <v>@drfahrettinkoca Come on, don't believe that so much so that you don't believe that even if you don't believe it is now #abinezzoonlineline</v>
      </c>
    </row>
    <row r="10171" spans="1:5" ht="15" customHeight="1" x14ac:dyDescent="0.2">
      <c r="A10171" s="1" t="s">
        <v>20183</v>
      </c>
      <c r="B10171" s="1">
        <v>0</v>
      </c>
      <c r="C10171" s="3">
        <v>44535.789502314816</v>
      </c>
      <c r="D10171" s="1" t="s">
        <v>20184</v>
      </c>
      <c r="E10171" s="1" t="str">
        <f ca="1">IFERROR(__xludf.DUMMYFUNCTION("GOOGLETRANSLATE(A6970 , ""tr"" , ""en"")"),"@drfahrettinkoca is searching for a person who deals, I'm looking around me ....")</f>
        <v>@drfahrettinkoca is searching for a person who deals, I'm looking around me ....</v>
      </c>
    </row>
    <row r="10172" spans="1:5" ht="15" customHeight="1" x14ac:dyDescent="0.2">
      <c r="A10172" s="1" t="s">
        <v>20185</v>
      </c>
      <c r="B10172" s="1">
        <v>2</v>
      </c>
      <c r="C10172" s="3">
        <v>44535.789363425924</v>
      </c>
      <c r="D10172" s="1" t="s">
        <v>20186</v>
      </c>
      <c r="E10172" s="1" t="str">
        <f ca="1">IFERROR(__xludf.DUMMYFUNCTION("GOOGLETRANSLATE(A6971 , ""tr"" , ""en"")"),"@drfahrettinkoca nobody go to the test? Vahh vahh")</f>
        <v>@drfahrettinkoca nobody go to the test? Vahh vahh</v>
      </c>
    </row>
    <row r="10173" spans="1:5" ht="15" customHeight="1" x14ac:dyDescent="0.2">
      <c r="A10173" s="1" t="s">
        <v>20187</v>
      </c>
      <c r="B10173" s="1">
        <v>0</v>
      </c>
      <c r="C10173" s="3">
        <v>44535.789085648146</v>
      </c>
      <c r="D10173" s="1" t="s">
        <v>20188</v>
      </c>
      <c r="E10173" s="1" t="str">
        <f ca="1">IFERROR(__xludf.DUMMYFUNCTION("GOOGLETRANSLATE(A6972 , ""tr"" , ""en"")"),"@drfahrettinkoca Government is slowly trying to withdraw my Planemia. Currency attacks also a little global gang ... https://t.co/rd1bnmMIEM")</f>
        <v>@drfahrettinkoca Government is slowly trying to withdraw my Planemia. Currency attacks also a little global gang ... https://t.co/rd1bnmMIEM</v>
      </c>
    </row>
    <row r="10174" spans="1:5" ht="15" customHeight="1" x14ac:dyDescent="0.2">
      <c r="A10174" s="1" t="s">
        <v>20189</v>
      </c>
      <c r="B10174" s="1">
        <v>5</v>
      </c>
      <c r="C10174" s="3">
        <v>44535.788657407407</v>
      </c>
      <c r="D10174" s="1" t="s">
        <v>20190</v>
      </c>
      <c r="E10174" s="1" t="str">
        <f ca="1">IFERROR(__xludf.DUMMYFUNCTION("GOOGLETRANSLATE(A6973 , ""tr"" , ""en"")"),"@drfahrettinkoca yeah my fancement is subject to my dear is that he is my dear he")</f>
        <v>@drfahrettinkoca yeah my fancement is subject to my dear is that he is my dear he</v>
      </c>
    </row>
    <row r="10175" spans="1:5" ht="15" customHeight="1" x14ac:dyDescent="0.2">
      <c r="A10175" s="1" t="s">
        <v>20191</v>
      </c>
      <c r="B10175" s="1">
        <v>12</v>
      </c>
      <c r="C10175" s="3">
        <v>44535.788368055553</v>
      </c>
      <c r="D10175" s="1" t="s">
        <v>20192</v>
      </c>
      <c r="E10175" s="1" t="str">
        <f ca="1">IFERROR(__xludf.DUMMYFUNCTION("GOOGLETRANSLATE(A6974 , ""tr"" , ""en"")"),"@drfahrettinkoca we were waiting for you to drop below 20 thousand. We now understand #the cabinet linizing")</f>
        <v>@drfahrettinkoca we were waiting for you to drop below 20 thousand. We now understand #the cabinet linizing</v>
      </c>
    </row>
    <row r="10176" spans="1:5" ht="15" customHeight="1" x14ac:dyDescent="0.2">
      <c r="A10176" s="1" t="s">
        <v>20193</v>
      </c>
      <c r="B10176" s="1">
        <v>1</v>
      </c>
      <c r="C10176" s="3">
        <v>44535.788356481484</v>
      </c>
      <c r="D10176" s="1" t="s">
        <v>20194</v>
      </c>
      <c r="E10176" s="1" t="str">
        <f ca="1">IFERROR(__xludf.DUMMYFUNCTION("GOOGLETRANSLATE(A6975 , ""tr"" , ""en"")"),"@drfahrettinkoca is the minister that you have dropped. We don't eat anymore on the summer of the real cases there.")</f>
        <v>@drfahrettinkoca is the minister that you have dropped. We don't eat anymore on the summer of the real cases there.</v>
      </c>
    </row>
    <row r="10177" spans="1:5" ht="15" customHeight="1" x14ac:dyDescent="0.2">
      <c r="A10177" s="1" t="s">
        <v>20195</v>
      </c>
      <c r="B10177" s="1">
        <v>1</v>
      </c>
      <c r="C10177" s="3">
        <v>44535.788263888891</v>
      </c>
      <c r="D10177" s="1" t="s">
        <v>20196</v>
      </c>
      <c r="E10177" s="1" t="str">
        <f ca="1">IFERROR(__xludf.DUMMYFUNCTION("GOOGLETRANSLATE(A6976 , ""tr"" , ""en"")"),"@drfahrettinkoca What do we mean when you say big dealings? #December")</f>
        <v>@drfahrettinkoca What do we mean when you say big dealings? #December</v>
      </c>
    </row>
    <row r="10178" spans="1:5" ht="15" customHeight="1" x14ac:dyDescent="0.2">
      <c r="A10178" s="1" t="s">
        <v>20197</v>
      </c>
      <c r="B10178" s="1">
        <v>0</v>
      </c>
      <c r="C10178" s="3">
        <v>44535.788136574076</v>
      </c>
      <c r="D10178" s="1" t="s">
        <v>20198</v>
      </c>
      <c r="E10178" s="1" t="str">
        <f ca="1">IFERROR(__xludf.DUMMYFUNCTION("GOOGLETRANSLATE(A6977 , ""tr"" , ""en"")"),"@drfahrettinkoca I think we should close the entrances with the countries seen immediately and we should continue the measures! South ... https://t.co/sjpo3t2Iwl")</f>
        <v>@drfahrettinkoca I think we should close the entrances with the countries seen immediately and we should continue the measures! South ... https://t.co/sjpo3t2Iwl</v>
      </c>
    </row>
    <row r="10179" spans="1:5" ht="15" customHeight="1" x14ac:dyDescent="0.2">
      <c r="A10179" s="1" t="s">
        <v>20199</v>
      </c>
      <c r="B10179" s="1">
        <v>0</v>
      </c>
      <c r="C10179" s="3">
        <v>44535.788136574076</v>
      </c>
      <c r="D10179" s="1" t="s">
        <v>20200</v>
      </c>
      <c r="E10179" s="1" t="str">
        <f ca="1">IFERROR(__xludf.DUMMYFUNCTION("GOOGLETRANSLATE(A6978 , ""tr"" , ""en"")"),"@drfahrettinkoca 🙄🙄")</f>
        <v>@drfahrettinkoca 🙄🙄</v>
      </c>
    </row>
    <row r="10180" spans="1:5" ht="15" customHeight="1" x14ac:dyDescent="0.2">
      <c r="A10180" s="1" t="s">
        <v>20201</v>
      </c>
      <c r="B10180" s="1">
        <v>5</v>
      </c>
      <c r="C10180" s="3">
        <v>44535.788032407407</v>
      </c>
      <c r="D10180" s="1" t="s">
        <v>20202</v>
      </c>
      <c r="E10180" s="1" t="str">
        <f ca="1">IFERROR(__xludf.DUMMYFUNCTION("GOOGLETRANSLATE(A6979 , ""tr"" , ""en"")"),"@drfahrettinkoca bari get zero people get bits # cabinet lineliness")</f>
        <v>@drfahrettinkoca bari get zero people get bits # cabinet lineliness</v>
      </c>
    </row>
    <row r="10181" spans="1:5" ht="15" customHeight="1" x14ac:dyDescent="0.2">
      <c r="A10181" s="1" t="s">
        <v>20203</v>
      </c>
      <c r="B10181" s="1">
        <v>0</v>
      </c>
      <c r="C10181" s="3">
        <v>44535.787997685184</v>
      </c>
      <c r="D10181" s="1" t="s">
        <v>20204</v>
      </c>
      <c r="E10181" s="1" t="str">
        <f ca="1">IFERROR(__xludf.DUMMYFUNCTION("GOOGLETRANSLATE(A6980 , ""tr"" , ""en"")"),"@drfahrettinkoca Education The most priority line is called by schools, as if they have no epidemic in 2019, as if they have no epidemic ... https://t.co/eo3spv6sl1")</f>
        <v>@drfahrettinkoca Education The most priority line is called by schools, as if they have no epidemic in 2019, as if they have no epidemic ... https://t.co/eo3spv6sl1</v>
      </c>
    </row>
    <row r="10182" spans="1:5" ht="15" customHeight="1" x14ac:dyDescent="0.2">
      <c r="A10182" s="1" t="s">
        <v>20205</v>
      </c>
      <c r="B10182" s="1">
        <v>6</v>
      </c>
      <c r="C10182" s="3">
        <v>44535.787719907406</v>
      </c>
      <c r="D10182" s="1" t="s">
        <v>20206</v>
      </c>
      <c r="E10182" s="1" t="str">
        <f ca="1">IFERROR(__xludf.DUMMYFUNCTION("GOOGLETRANSLATE(A6981 , ""tr"" , ""en"")"),"@drfahrettinkoca you are dropping not falling # cabinet linizing")</f>
        <v>@drfahrettinkoca you are dropping not falling # cabinet linizing</v>
      </c>
    </row>
    <row r="10183" spans="1:5" ht="15" customHeight="1" x14ac:dyDescent="0.2">
      <c r="A10183" s="1" t="s">
        <v>20207</v>
      </c>
      <c r="B10183" s="1">
        <v>1</v>
      </c>
      <c r="C10183" s="3">
        <v>44535.786689814813</v>
      </c>
      <c r="D10183" s="1" t="s">
        <v>20208</v>
      </c>
      <c r="E10183" s="1" t="str">
        <f ca="1">IFERROR(__xludf.DUMMYFUNCTION("GOOGLETRANSLATE(A6982 , ""tr"" , ""en"")"),"@drfahrettinkoca is this in the Ašï Denenidk of Bebks in the Board of Denenidk, why you give political statements ... https://t.co/zwgesuja4o")</f>
        <v>@drfahrettinkoca is this in the Ašï Denenidk of Bebks in the Board of Denenidk, why you give political statements ... https://t.co/zwgesuja4o</v>
      </c>
    </row>
    <row r="10184" spans="1:5" ht="15" customHeight="1" x14ac:dyDescent="0.2">
      <c r="A10184" s="1" t="s">
        <v>20209</v>
      </c>
      <c r="B10184" s="1">
        <v>0</v>
      </c>
      <c r="C10184" s="3">
        <v>44535.785740740743</v>
      </c>
      <c r="D10184" s="1" t="s">
        <v>20210</v>
      </c>
      <c r="E10184" s="1" t="str">
        <f ca="1">IFERROR(__xludf.DUMMYFUNCTION("GOOGLETRANSLATE(A6983 , ""tr"" , ""en"")"),"@drfahrettinkoca ziyaaaaaaa")</f>
        <v>@drfahrettinkoca ziyaaaaaaa</v>
      </c>
    </row>
    <row r="10185" spans="1:5" ht="15" customHeight="1" x14ac:dyDescent="0.2">
      <c r="A10185" s="1" t="s">
        <v>20211</v>
      </c>
      <c r="B10185" s="1">
        <v>0</v>
      </c>
      <c r="C10185" s="3">
        <v>44535.785601851851</v>
      </c>
      <c r="D10185" s="1" t="s">
        <v>20212</v>
      </c>
      <c r="E10185" s="1" t="str">
        <f ca="1">IFERROR(__xludf.DUMMYFUNCTION("GOOGLETRANSLATE(A6984 , ""tr"" , ""en"")"),"@drfahrettinkoca 🤔🤔🤔🤔🤔")</f>
        <v>@drfahrettinkoca 🤔🤔🤔🤔🤔</v>
      </c>
    </row>
    <row r="10186" spans="1:5" ht="15" customHeight="1" x14ac:dyDescent="0.2">
      <c r="A10186" s="1" t="s">
        <v>20213</v>
      </c>
      <c r="B10186" s="1">
        <v>0</v>
      </c>
      <c r="C10186" s="3">
        <v>44535.784803240742</v>
      </c>
      <c r="D10186" s="1" t="s">
        <v>20214</v>
      </c>
      <c r="E10186" s="1" t="str">
        <f ca="1">IFERROR(__xludf.DUMMYFUNCTION("GOOGLETRANSLATE(A6985 , ""tr"" , ""en"")"),"@drfahrettinkoca tad wonder what ola? A new format of Corona fighting ....... if we ignore the virus ... https://t.co/kdurdyyyj9")</f>
        <v>@drfahrettinkoca tad wonder what ola? A new format of Corona fighting ....... if we ignore the virus ... https://t.co/kdurdyyyj9</v>
      </c>
    </row>
    <row r="10187" spans="1:5" ht="15" customHeight="1" x14ac:dyDescent="0.2">
      <c r="A10187" s="1" t="s">
        <v>20215</v>
      </c>
      <c r="B10187" s="1">
        <v>0</v>
      </c>
      <c r="C10187" s="3">
        <v>44535.78466435185</v>
      </c>
      <c r="D10187" s="1" t="s">
        <v>20216</v>
      </c>
      <c r="E10187" s="1" t="str">
        <f ca="1">IFERROR(__xludf.DUMMYFUNCTION("GOOGLETRANSLATE(A6986 , ""tr"" , ""en"")"),"@drfahrettinkoca is more convincing than likely to be confused with another country.")</f>
        <v>@drfahrettinkoca is more convincing than likely to be confused with another country.</v>
      </c>
    </row>
    <row r="10188" spans="1:5" ht="15" customHeight="1" x14ac:dyDescent="0.2">
      <c r="A10188" s="1" t="s">
        <v>20217</v>
      </c>
      <c r="B10188" s="1">
        <v>0</v>
      </c>
      <c r="C10188" s="3">
        <v>44535.784432870372</v>
      </c>
      <c r="D10188" s="1" t="s">
        <v>20218</v>
      </c>
      <c r="E10188" s="1" t="str">
        <f ca="1">IFERROR(__xludf.DUMMYFUNCTION("GOOGLETRANSLATE(A6987 , ""tr"" , ""en"")"),"@drfahrettinkoca is the only country in the case of 1 day")</f>
        <v>@drfahrettinkoca is the only country in the case of 1 day</v>
      </c>
    </row>
    <row r="10189" spans="1:5" ht="15" customHeight="1" x14ac:dyDescent="0.2">
      <c r="A10189" s="1" t="s">
        <v>20219</v>
      </c>
      <c r="B10189" s="1">
        <v>0</v>
      </c>
      <c r="C10189" s="3">
        <v>44535.784247685187</v>
      </c>
      <c r="D10189" s="1" t="s">
        <v>20220</v>
      </c>
      <c r="E10189" s="1" t="str">
        <f ca="1">IFERROR(__xludf.DUMMYFUNCTION("GOOGLETRANSLATE(A6988 , ""tr"" , ""en"")"),"@drfahrettinkoca universities online.")</f>
        <v>@drfahrettinkoca universities online.</v>
      </c>
    </row>
    <row r="10190" spans="1:5" ht="15" customHeight="1" x14ac:dyDescent="0.2">
      <c r="A10190" s="1" t="s">
        <v>20221</v>
      </c>
      <c r="B10190" s="1">
        <v>6</v>
      </c>
      <c r="C10190" s="3">
        <v>44535.784247685187</v>
      </c>
      <c r="D10190" s="1" t="s">
        <v>20222</v>
      </c>
      <c r="E10190" s="1" t="str">
        <f ca="1">IFERROR(__xludf.DUMMYFUNCTION("GOOGLETRANSLATE(A6989 , ""tr"" , ""en"")"),"@drfahrettinkoca Doctors who do this are committing a crime You are looking at it HTTPS://T.CO/T7ITDXWO3J")</f>
        <v>@drfahrettinkoca Doctors who do this are committing a crime You are looking at it HTTPS://T.CO/T7ITDXWO3J</v>
      </c>
    </row>
    <row r="10191" spans="1:5" ht="15" customHeight="1" x14ac:dyDescent="0.2">
      <c r="A10191" s="1" t="s">
        <v>20223</v>
      </c>
      <c r="B10191" s="1">
        <v>0</v>
      </c>
      <c r="C10191" s="3">
        <v>44535.784189814818</v>
      </c>
      <c r="D10191" s="1" t="s">
        <v>20224</v>
      </c>
      <c r="E10191" s="1" t="str">
        <f ca="1">IFERROR(__xludf.DUMMYFUNCTION("GOOGLETRANSLATE(A6990 , ""tr"" , ""en"")"),"@drfahrettinkoca https://t.co/e94trj9zue Kcete PlanTemi A..I Dear lawyer against genocide This document is ... https://t.co/b7f4lnzlxl")</f>
        <v>@drfahrettinkoca https://t.co/e94trj9zue Kcete PlanTemi A..I Dear lawyer against genocide This document is ... https://t.co/b7f4lnzlxl</v>
      </c>
    </row>
    <row r="10192" spans="1:5" ht="15" customHeight="1" x14ac:dyDescent="0.2">
      <c r="A10192" s="1" t="s">
        <v>20225</v>
      </c>
      <c r="B10192" s="1">
        <v>7</v>
      </c>
      <c r="C10192" s="3">
        <v>44535.784189814818</v>
      </c>
      <c r="D10192" s="1" t="s">
        <v>20226</v>
      </c>
      <c r="E10192" s="1" t="str">
        <f ca="1">IFERROR(__xludf.DUMMYFUNCTION("GOOGLETRANSLATE(A6991 , ""tr"" , ""en"")"),"@drfahrettinkoca overlooking @drfahrettinkoca fahrettin husband who sees us, no Mahmut Özer who sees us ... https://t.co/f8cfntvljo")</f>
        <v>@drfahrettinkoca overlooking @drfahrettinkoca fahrettin husband who sees us, no Mahmut Özer who sees us ... https://t.co/f8cfntvljo</v>
      </c>
    </row>
    <row r="10193" spans="1:5" ht="15" customHeight="1" x14ac:dyDescent="0.2">
      <c r="A10193" s="1" t="s">
        <v>20227</v>
      </c>
      <c r="B10193" s="1">
        <v>0</v>
      </c>
      <c r="C10193" s="3">
        <v>44535.783437500002</v>
      </c>
      <c r="D10193" s="1" t="s">
        <v>20228</v>
      </c>
      <c r="E10193" s="1" t="str">
        <f ca="1">IFERROR(__xludf.DUMMYFUNCTION("GOOGLETRANSLATE(A6992 , ""tr"" , ""en"")"),"@drfahrettinkoca 😂🤣")</f>
        <v>@drfahrettinkoca 😂🤣</v>
      </c>
    </row>
    <row r="10194" spans="1:5" ht="15" customHeight="1" x14ac:dyDescent="0.2">
      <c r="A10194" s="1" t="s">
        <v>20229</v>
      </c>
      <c r="B10194" s="1">
        <v>0</v>
      </c>
      <c r="C10194" s="3">
        <v>44535.783101851855</v>
      </c>
      <c r="D10194" s="1" t="s">
        <v>20230</v>
      </c>
      <c r="E10194" s="1" t="str">
        <f ca="1">IFERROR(__xludf.DUMMYFUNCTION("GOOGLETRANSLATE(A6993 , ""tr"" , ""en"")"),"@drfahrettinkoca cases have no difference from inflation figures https://t.co/8ugmzwskcl")</f>
        <v>@drfahrettinkoca cases have no difference from inflation figures https://t.co/8ugmzwskcl</v>
      </c>
    </row>
    <row r="10195" spans="1:5" ht="15" customHeight="1" x14ac:dyDescent="0.2">
      <c r="A10195" s="1" t="s">
        <v>20231</v>
      </c>
      <c r="B10195" s="1">
        <v>0</v>
      </c>
      <c r="C10195" s="3">
        <v>44535.782997685186</v>
      </c>
      <c r="D10195" s="1" t="s">
        <v>20232</v>
      </c>
      <c r="E10195" s="1" t="str">
        <f ca="1">IFERROR(__xludf.DUMMYFUNCTION("GOOGLETRANSLATE(A6994 , ""tr"" , ""en"")"),"@drfahrettinkoca lying table.")</f>
        <v>@drfahrettinkoca lying table.</v>
      </c>
    </row>
    <row r="10196" spans="1:5" ht="15" customHeight="1" x14ac:dyDescent="0.2">
      <c r="A10196" s="1" t="s">
        <v>20233</v>
      </c>
      <c r="B10196" s="1">
        <v>0</v>
      </c>
      <c r="C10196" s="3">
        <v>44535.782696759263</v>
      </c>
      <c r="D10196" s="1" t="s">
        <v>20234</v>
      </c>
      <c r="E10196" s="1" t="str">
        <f ca="1">IFERROR(__xludf.DUMMYFUNCTION("GOOGLETRANSLATE(A6995 , ""tr"" , ""en"")"),"@drfahrettinkoca Each cabinet is going low when it's going low for some reason, let you believe as little shake")</f>
        <v>@drfahrettinkoca Each cabinet is going low when it's going low for some reason, let you believe as little shake</v>
      </c>
    </row>
    <row r="10197" spans="1:5" ht="15" customHeight="1" x14ac:dyDescent="0.2">
      <c r="A10197" s="1" t="s">
        <v>20235</v>
      </c>
      <c r="B10197" s="1">
        <v>0</v>
      </c>
      <c r="C10197" s="3">
        <v>44535.782453703701</v>
      </c>
      <c r="D10197" s="1" t="s">
        <v>20236</v>
      </c>
      <c r="E10197" s="1" t="str">
        <f ca="1">IFERROR(__xludf.DUMMYFUNCTION("GOOGLETRANSLATE(A6996 , ""tr"" , ""en"")"),"@drfahrettinkoca is that our health is like you don't need Omicron if you're not needed your indifference. #drfahrettinkocaistifa")</f>
        <v>@drfahrettinkoca is that our health is like you don't need Omicron if you're not needed your indifference. #drfahrettinkocaistifa</v>
      </c>
    </row>
    <row r="10198" spans="1:5" ht="15" customHeight="1" x14ac:dyDescent="0.2">
      <c r="A10198" s="1" t="s">
        <v>20237</v>
      </c>
      <c r="B10198" s="1">
        <v>0</v>
      </c>
      <c r="C10198" s="3">
        <v>44535.782199074078</v>
      </c>
      <c r="D10198" s="1" t="s">
        <v>20238</v>
      </c>
      <c r="E10198" s="1" t="str">
        <f ca="1">IFERROR(__xludf.DUMMYFUNCTION("GOOGLETRANSLATE(A6997 , ""tr"" , ""en"")"),"@drfahrettinkoca 😅😂🤣")</f>
        <v>@drfahrettinkoca 😅😂🤣</v>
      </c>
    </row>
    <row r="10199" spans="1:5" ht="15" customHeight="1" x14ac:dyDescent="0.2">
      <c r="A10199" s="1" t="s">
        <v>20239</v>
      </c>
      <c r="B10199" s="1">
        <v>16</v>
      </c>
      <c r="C10199" s="3">
        <v>44535.782141203701</v>
      </c>
      <c r="D10199" s="1" t="s">
        <v>20240</v>
      </c>
      <c r="E10199" s="1" t="str">
        <f ca="1">IFERROR(__xludf.DUMMYFUNCTION("GOOGLETRANSLATE(A6998 , ""tr"" , ""en"")"),"@drfahrettinka has at least 60 thousand these cases. # CabineticsLineline")</f>
        <v>@drfahrettinka has at least 60 thousand these cases. # CabineticsLineline</v>
      </c>
    </row>
    <row r="10200" spans="1:5" ht="15" customHeight="1" x14ac:dyDescent="0.2">
      <c r="A10200" s="1" t="s">
        <v>20241</v>
      </c>
      <c r="B10200" s="1">
        <v>0</v>
      </c>
      <c r="C10200" s="3">
        <v>44535.781944444447</v>
      </c>
      <c r="D10200" s="1" t="s">
        <v>20242</v>
      </c>
      <c r="E10200" s="1" t="str">
        <f ca="1">IFERROR(__xludf.DUMMYFUNCTION("GOOGLETRANSLATE(A6999 , ""tr"" , ""en"")"),"@drfahrettinka These figures are always planned")</f>
        <v>@drfahrettinka These figures are always planned</v>
      </c>
    </row>
    <row r="10201" spans="1:5" ht="15" customHeight="1" x14ac:dyDescent="0.2">
      <c r="A10201" s="1" t="s">
        <v>20243</v>
      </c>
      <c r="B10201" s="1">
        <v>1</v>
      </c>
      <c r="C10201" s="3">
        <v>44535.781828703701</v>
      </c>
      <c r="D10201" s="1" t="s">
        <v>20244</v>
      </c>
      <c r="E10201" s="1" t="str">
        <f ca="1">IFERROR(__xludf.DUMMYFUNCTION("GOOGLETRANSLATE(A7000 , ""tr"" , ""en"")"),"@drfahrettinkoca We only want the guide to the 40k assignment you gave @drfahrettinkoca @rterdogan # fkuyumaneRe40binatama")</f>
        <v>@drfahrettinkoca We only want the guide to the 40k assignment you gave @drfahrettinkoca @rterdogan # fkuyumaneRe40binatama</v>
      </c>
    </row>
    <row r="10202" spans="1:5" ht="15" customHeight="1" x14ac:dyDescent="0.2">
      <c r="A10202" s="1" t="s">
        <v>20243</v>
      </c>
      <c r="B10202" s="1">
        <v>0</v>
      </c>
      <c r="C10202" s="3">
        <v>44535.781643518516</v>
      </c>
      <c r="D10202" s="1" t="s">
        <v>20245</v>
      </c>
      <c r="E10202" s="1" t="str">
        <f ca="1">IFERROR(__xludf.DUMMYFUNCTION("GOOGLETRANSLATE(A7001 , ""tr"" , ""en"")"),"@drfahrettinkoca We only want the guide to the 40k assignment you gave @drfahrettinkoca @rterdogan # fkuyumaneRe40binatama")</f>
        <v>@drfahrettinkoca We only want the guide to the 40k assignment you gave @drfahrettinkoca @rterdogan # fkuyumaneRe40binatama</v>
      </c>
    </row>
    <row r="10203" spans="1:5" ht="15" customHeight="1" x14ac:dyDescent="0.2">
      <c r="A10203" s="1" t="s">
        <v>20246</v>
      </c>
      <c r="B10203" s="1">
        <v>0</v>
      </c>
      <c r="C10203" s="3">
        <v>44535.781307870369</v>
      </c>
      <c r="D10203" s="1" t="s">
        <v>20247</v>
      </c>
      <c r="E10203" s="1" t="str">
        <f ca="1">IFERROR(__xludf.DUMMYFUNCTION("GOOGLETRANSLATE(A7002 , ""tr"" , ""en"")"),"@drfahrettinkoca anymore lies .. your lies constantly, the new variants of the lie, knit the top, the new variants ... https://t.co/s6syk0fnnw")</f>
        <v>@drfahrettinkoca anymore lies .. your lies constantly, the new variants of the lie, knit the top, the new variants ... https://t.co/s6syk0fnnw</v>
      </c>
    </row>
    <row r="10204" spans="1:5" ht="15" customHeight="1" x14ac:dyDescent="0.2">
      <c r="A10204" s="1" t="s">
        <v>20248</v>
      </c>
      <c r="B10204" s="1">
        <v>0</v>
      </c>
      <c r="C10204" s="3">
        <v>44535.7812962963</v>
      </c>
      <c r="D10204" s="1" t="s">
        <v>20249</v>
      </c>
      <c r="E10204" s="1" t="str">
        <f ca="1">IFERROR(__xludf.DUMMYFUNCTION("GOOGLETRANSLATE(A7003 , ""tr"" , ""en"")"),"@drfahrettinkoca no longer spending time to linger for the guide you arrive this week @drfahrettinkoca # fkuyumanere40binatama")</f>
        <v>@drfahrettinkoca no longer spending time to linger for the guide you arrive this week @drfahrettinkoca # fkuyumanere40binatama</v>
      </c>
    </row>
    <row r="10205" spans="1:5" ht="15" customHeight="1" x14ac:dyDescent="0.2">
      <c r="A10205" s="1" t="s">
        <v>20250</v>
      </c>
      <c r="B10205" s="1">
        <v>1</v>
      </c>
      <c r="C10205" s="3">
        <v>44535.781030092592</v>
      </c>
      <c r="D10205" s="1" t="s">
        <v>20251</v>
      </c>
      <c r="E10205" s="1" t="str">
        <f ca="1">IFERROR(__xludf.DUMMYFUNCTION("GOOGLETRANSLATE(A7004 , ""tr"" , ""en"")"),"@drfahrettinkoca -: We look forward to the Ministry of Health, which is not promised. @drfahrettinkoca # fkuyumanerede40binatama")</f>
        <v>@drfahrettinkoca -: We look forward to the Ministry of Health, which is not promised. @drfahrettinkoca # fkuyumanerede40binatama</v>
      </c>
    </row>
    <row r="10206" spans="1:5" ht="15" customHeight="1" x14ac:dyDescent="0.2">
      <c r="A10206" s="1" t="s">
        <v>20252</v>
      </c>
      <c r="B10206" s="1">
        <v>1</v>
      </c>
      <c r="C10206" s="3">
        <v>44535.7809375</v>
      </c>
      <c r="D10206" s="1" t="s">
        <v>20253</v>
      </c>
      <c r="E10206" s="1" t="str">
        <f ca="1">IFERROR(__xludf.DUMMYFUNCTION("GOOGLETRANSLATE(A7005 , ""tr"" , ""en"")"),"@drfahrettinkoca @saglikbakanligi that liquids are in Texas in Texas that even caused a lot of diseases in a lot of diseases ... https://t.co/tpuxeew6fy")</f>
        <v>@drfahrettinkoca @saglikbakanligi that liquids are in Texas in Texas that even caused a lot of diseases in a lot of diseases ... https://t.co/tpuxeew6fy</v>
      </c>
    </row>
    <row r="10207" spans="1:5" ht="15" customHeight="1" x14ac:dyDescent="0.2">
      <c r="A10207" s="1" t="s">
        <v>20243</v>
      </c>
      <c r="B10207" s="1">
        <v>12</v>
      </c>
      <c r="C10207" s="3">
        <v>44535.780798611115</v>
      </c>
      <c r="D10207" s="1" t="s">
        <v>20254</v>
      </c>
      <c r="E10207" s="1" t="str">
        <f ca="1">IFERROR(__xludf.DUMMYFUNCTION("GOOGLETRANSLATE(A7006 , ""tr"" , ""en"")"),"@drfahrettinkoca We only want the guide to the 40k assignment you gave @drfahrettinkoca @rterdogan # fkuyumaneRe40binatama")</f>
        <v>@drfahrettinkoca We only want the guide to the 40k assignment you gave @drfahrettinkoca @rterdogan # fkuyumaneRe40binatama</v>
      </c>
    </row>
    <row r="10208" spans="1:5" ht="15" customHeight="1" x14ac:dyDescent="0.2">
      <c r="A10208" s="1" t="s">
        <v>20255</v>
      </c>
      <c r="B10208" s="1">
        <v>6</v>
      </c>
      <c r="C10208" s="3">
        <v>44535.780729166669</v>
      </c>
      <c r="D10208" s="1" t="s">
        <v>20256</v>
      </c>
      <c r="E10208" s="1" t="str">
        <f ca="1">IFERROR(__xludf.DUMMYFUNCTION("GOOGLETRANSLATE(A7007 , ""tr"" , ""en"")"),"@drfahrettinka all of the case numbers in Europe increasing in Turkey falls in Turkey. Very interesting. # CabineticsLineline")</f>
        <v>@drfahrettinka all of the case numbers in Europe increasing in Turkey falls in Turkey. Very interesting. # CabineticsLineline</v>
      </c>
    </row>
    <row r="10209" spans="1:5" ht="15" customHeight="1" x14ac:dyDescent="0.2">
      <c r="A10209" s="1" t="s">
        <v>20257</v>
      </c>
      <c r="B10209" s="1">
        <v>0</v>
      </c>
      <c r="C10209" s="3">
        <v>44535.780497685184</v>
      </c>
      <c r="D10209" s="1" t="s">
        <v>20258</v>
      </c>
      <c r="E10209" s="1" t="str">
        <f ca="1">IFERROR(__xludf.DUMMYFUNCTION("GOOGLETRANSLATE(A7008 , ""tr"" , ""en"")"),"@drfahrettinkoca Is it Based on Tourism Season")</f>
        <v>@drfahrettinkoca Is it Based on Tourism Season</v>
      </c>
    </row>
    <row r="10210" spans="1:5" ht="15" customHeight="1" x14ac:dyDescent="0.2">
      <c r="A10210" s="1" t="s">
        <v>20259</v>
      </c>
      <c r="B10210" s="1">
        <v>0</v>
      </c>
      <c r="C10210" s="3">
        <v>44535.780115740738</v>
      </c>
      <c r="D10210" s="1" t="s">
        <v>20260</v>
      </c>
      <c r="E10210" s="1" t="str">
        <f ca="1">IFERROR(__xludf.DUMMYFUNCTION("GOOGLETRANSLATE(A7009 , ""tr"" , ""en"")"),"@drfahrettinkoca death numbers are the same, not even when you care")</f>
        <v>@drfahrettinkoca death numbers are the same, not even when you care</v>
      </c>
    </row>
    <row r="10211" spans="1:5" ht="15" customHeight="1" x14ac:dyDescent="0.2">
      <c r="A10211" s="1" t="s">
        <v>20261</v>
      </c>
      <c r="B10211" s="1">
        <v>0</v>
      </c>
      <c r="C10211" s="3">
        <v>44535.779560185183</v>
      </c>
      <c r="D10211" s="1" t="s">
        <v>20262</v>
      </c>
      <c r="E10211" s="1" t="str">
        <f ca="1">IFERROR(__xludf.DUMMYFUNCTION("GOOGLETRANSLATE(A7010 , ""tr"" , ""en"")"),"@drfahrettinkoca @atilla_yayla Hani vaccination rate would end out of the epidemic by 70%? The Nation is in place of idiot ... https://t.co/pmo6gfwope")</f>
        <v>@drfahrettinkoca @atilla_yayla Hani vaccination rate would end out of the epidemic by 70%? The Nation is in place of idiot ... https://t.co/pmo6gfwope</v>
      </c>
    </row>
    <row r="10212" spans="1:5" ht="15" customHeight="1" x14ac:dyDescent="0.2">
      <c r="A10212" s="1" t="s">
        <v>20263</v>
      </c>
      <c r="B10212" s="1">
        <v>0</v>
      </c>
      <c r="C10212" s="3">
        <v>44535.779108796298</v>
      </c>
      <c r="D10212" s="1" t="s">
        <v>20264</v>
      </c>
      <c r="E10212" s="1" t="str">
        <f ca="1">IFERROR(__xludf.DUMMYFUNCTION("GOOGLETRANSLATE(A7011 , ""tr"" , ""en"")"),"@drfahrettinkoca is not changing bisey if it goes over 20 thousand. Neither measure neither measure nor restraint. There is now vaccine d ... https://t.co/mdhwozw1mc")</f>
        <v>@drfahrettinkoca is not changing bisey if it goes over 20 thousand. Neither measure neither measure nor restraint. There is now vaccine d ... https://t.co/mdhwozw1mc</v>
      </c>
    </row>
    <row r="10213" spans="1:5" ht="15" customHeight="1" x14ac:dyDescent="0.2">
      <c r="A10213" s="1" t="s">
        <v>20265</v>
      </c>
      <c r="B10213" s="1">
        <v>100</v>
      </c>
      <c r="C10213" s="3">
        <v>44535.779097222221</v>
      </c>
      <c r="D10213" s="1" t="s">
        <v>20266</v>
      </c>
      <c r="E10213" s="1" t="str">
        <f ca="1">IFERROR(__xludf.DUMMYFUNCTION("GOOGLETRANSLATE(A7012 , ""tr"" , ""en"")"),"@drfahrettinkoca Cases before the cabinet, let the cases are dedicated to the eye. Should Omicron seize the country ... https://t.co/ugwgglmlsu")</f>
        <v>@drfahrettinkoca Cases before the cabinet, let the cases are dedicated to the eye. Should Omicron seize the country ... https://t.co/ugwgglmlsu</v>
      </c>
    </row>
    <row r="10214" spans="1:5" ht="15" customHeight="1" x14ac:dyDescent="0.2">
      <c r="A10214" s="1" t="s">
        <v>20267</v>
      </c>
      <c r="B10214" s="1">
        <v>0</v>
      </c>
      <c r="C10214" s="3">
        <v>44535.778969907406</v>
      </c>
      <c r="D10214" s="1" t="s">
        <v>20268</v>
      </c>
      <c r="E10214" s="1" t="str">
        <f ca="1">IFERROR(__xludf.DUMMYFUNCTION("GOOGLETRANSLATE(A7013 , ""tr"" , ""en"")"),"@drfahrettinkoca number overlooking the correct data shares has OMICRON variant in our country and Suan is a COK person Covid 19 ... https://t.co/twasxmnf0a")</f>
        <v>@drfahrettinkoca number overlooking the correct data shares has OMICRON variant in our country and Suan is a COK person Covid 19 ... https://t.co/twasxmnf0a</v>
      </c>
    </row>
    <row r="10215" spans="1:5" ht="15" customHeight="1" x14ac:dyDescent="0.2">
      <c r="A10215" s="1" t="s">
        <v>20269</v>
      </c>
      <c r="B10215" s="1">
        <v>0</v>
      </c>
      <c r="C10215" s="3">
        <v>44535.77851851852</v>
      </c>
      <c r="D10215" s="1" t="s">
        <v>20270</v>
      </c>
      <c r="E10215" s="1" t="str">
        <f ca="1">IFERROR(__xludf.DUMMYFUNCTION("GOOGLETRANSLATE(A7014 , ""tr"" , ""en"")"),"@drfahrettinkoca all cafes, coffees, malls masklessly filled minister ... Everyone is very devoted, the evil eye")</f>
        <v>@drfahrettinkoca all cafes, coffees, malls masklessly filled minister ... Everyone is very devoted, the evil eye</v>
      </c>
    </row>
    <row r="10216" spans="1:5" ht="15" customHeight="1" x14ac:dyDescent="0.2">
      <c r="A10216" s="1" t="s">
        <v>20271</v>
      </c>
      <c r="B10216" s="1">
        <v>0</v>
      </c>
      <c r="C10216" s="3">
        <v>44535.778425925928</v>
      </c>
      <c r="D10216" s="1" t="s">
        <v>20272</v>
      </c>
      <c r="E10216" s="1" t="str">
        <f ca="1">IFERROR(__xludf.DUMMYFUNCTION("GOOGLETRANSLATE(A7015 , ""tr"" , ""en"")"),"@drfahrettinka so what will be the pending health workers waiting for the assignment? We want to publish the guide with the ignorance.")</f>
        <v>@drfahrettinka so what will be the pending health workers waiting for the assignment? We want to publish the guide with the ignorance.</v>
      </c>
    </row>
    <row r="10217" spans="1:5" ht="15" customHeight="1" x14ac:dyDescent="0.2">
      <c r="A10217" s="1" t="s">
        <v>20273</v>
      </c>
      <c r="B10217" s="1">
        <v>5</v>
      </c>
      <c r="C10217" s="3">
        <v>44535.778055555558</v>
      </c>
      <c r="D10217" s="1" t="s">
        <v>20274</v>
      </c>
      <c r="E10217" s="1" t="str">
        <f ca="1">IFERROR(__xludf.DUMMYFUNCTION("GOOGLETRANSLATE(A7016 , ""tr"" , ""en"")"),"@drfahrettinka Mr. Minister; Everyday you can never be achieved from the vaccine warning of the social distance ... https://t.co/ssvmkdz9to")</f>
        <v>@drfahrettinka Mr. Minister; Everyday you can never be achieved from the vaccine warning of the social distance ... https://t.co/ssvmkdz9to</v>
      </c>
    </row>
    <row r="10218" spans="1:5" ht="15" customHeight="1" x14ac:dyDescent="0.2">
      <c r="A10218" s="1" t="s">
        <v>20275</v>
      </c>
      <c r="B10218" s="1">
        <v>0</v>
      </c>
      <c r="C10218" s="3">
        <v>44535.777025462965</v>
      </c>
      <c r="D10218" s="1" t="s">
        <v>20276</v>
      </c>
      <c r="E10218" s="1" t="str">
        <f ca="1">IFERROR(__xludf.DUMMYFUNCTION("GOOGLETRANSLATE(A7017 , ""tr"" , ""en"")"),"@drfahrettinkoca what dedication does not even wear the mask on the dedication outside schools Pattern Masallah has really this table ... https://t.co/nkns8srmho")</f>
        <v>@drfahrettinkoca what dedication does not even wear the mask on the dedication outside schools Pattern Masallah has really this table ... https://t.co/nkns8srmho</v>
      </c>
    </row>
    <row r="10219" spans="1:5" ht="15" customHeight="1" x14ac:dyDescent="0.2">
      <c r="A10219" s="1" t="s">
        <v>20277</v>
      </c>
      <c r="B10219" s="1">
        <v>0</v>
      </c>
      <c r="C10219" s="3">
        <v>44535.776516203703</v>
      </c>
      <c r="D10219" s="1" t="s">
        <v>20278</v>
      </c>
      <c r="E10219" s="1" t="str">
        <f ca="1">IFERROR(__xludf.DUMMYFUNCTION("GOOGLETRANSLATE(A7018 , ""tr"" , ""en"")"),"@drfahrettinka eywgwgwhwhwhwhwhwhwh")</f>
        <v>@drfahrettinka eywgwgwhwhwhwhwhwhwh</v>
      </c>
    </row>
    <row r="10220" spans="1:5" ht="15" customHeight="1" x14ac:dyDescent="0.2">
      <c r="A10220" s="1" t="s">
        <v>20279</v>
      </c>
      <c r="B10220" s="1">
        <v>0</v>
      </c>
      <c r="C10220" s="3">
        <v>44535.776145833333</v>
      </c>
      <c r="D10220" s="1" t="s">
        <v>20280</v>
      </c>
      <c r="E10220" s="1" t="str">
        <f ca="1">IFERROR(__xludf.DUMMYFUNCTION("GOOGLETRANSLATE(A7019 , ""tr"" , ""en"")"),"@drfahrettinkoca Tokat The provincial vaccination rate does not appear after comma. Graphic designer clumsy I guess. ... https://t.co/2nuceoIkku")</f>
        <v>@drfahrettinkoca Tokat The provincial vaccination rate does not appear after comma. Graphic designer clumsy I guess. ... https://t.co/2nuceoIkku</v>
      </c>
    </row>
    <row r="10221" spans="1:5" ht="15" customHeight="1" x14ac:dyDescent="0.2">
      <c r="A10221" s="1" t="s">
        <v>20281</v>
      </c>
      <c r="B10221" s="1">
        <v>1</v>
      </c>
      <c r="C10221" s="3">
        <v>44535.775833333333</v>
      </c>
      <c r="D10221" s="1" t="s">
        <v>20282</v>
      </c>
      <c r="E10221" s="1" t="str">
        <f ca="1">IFERROR(__xludf.DUMMYFUNCTION("GOOGLETRANSLATE(A7020 , ""tr"" , ""en"")"),"@drfahrettinkoca Mr. Minister Doctors Why do you stay continually quitting and go to the doctor who will stay free of fear.")</f>
        <v>@drfahrettinkoca Mr. Minister Doctors Why do you stay continually quitting and go to the doctor who will stay free of fear.</v>
      </c>
    </row>
    <row r="10222" spans="1:5" ht="15" customHeight="1" x14ac:dyDescent="0.2">
      <c r="A10222" s="1" t="s">
        <v>20283</v>
      </c>
      <c r="B10222" s="1">
        <v>0</v>
      </c>
      <c r="C10222" s="3">
        <v>44535.775370370371</v>
      </c>
      <c r="D10222" s="1" t="s">
        <v>20284</v>
      </c>
      <c r="E10222" s="1" t="str">
        <f ca="1">IFERROR(__xludf.DUMMYFUNCTION("GOOGLETRANSLATE(A7021 , ""tr"" , ""en"")"),"@drfahrettinkoca tad when you say")</f>
        <v>@drfahrettinkoca tad when you say</v>
      </c>
    </row>
    <row r="10223" spans="1:5" ht="15" customHeight="1" x14ac:dyDescent="0.2">
      <c r="A10223" s="1" t="s">
        <v>20285</v>
      </c>
      <c r="B10223" s="1">
        <v>0</v>
      </c>
      <c r="C10223" s="3">
        <v>44535.774861111109</v>
      </c>
      <c r="D10223" s="1" t="s">
        <v>20286</v>
      </c>
      <c r="E10223" s="1" t="str">
        <f ca="1">IFERROR(__xludf.DUMMYFUNCTION("GOOGLETRANSLATE(A7022 , ""tr"" , ""en"")"),"@drfahrettinkoca is no longer Covid, not the flu saying, all the time you left the test nonsense. The head of the DSO is the head of the deficiency.")</f>
        <v>@drfahrettinkoca is no longer Covid, not the flu saying, all the time you left the test nonsense. The head of the DSO is the head of the deficiency.</v>
      </c>
    </row>
    <row r="10224" spans="1:5" ht="15" customHeight="1" x14ac:dyDescent="0.2">
      <c r="A10224" s="1" t="s">
        <v>20287</v>
      </c>
      <c r="B10224" s="1">
        <v>0</v>
      </c>
      <c r="C10224" s="3">
        <v>44535.774814814817</v>
      </c>
      <c r="D10224" s="1" t="s">
        <v>20288</v>
      </c>
      <c r="E10224" s="1" t="str">
        <f ca="1">IFERROR(__xludf.DUMMYFUNCTION("GOOGLETRANSLATE(A7023 , ""tr"" , ""en"")"),"@drfahrettinka has been declared 3-day curfew at the beginning of the year")</f>
        <v>@drfahrettinka has been declared 3-day curfew at the beginning of the year</v>
      </c>
    </row>
    <row r="10225" spans="1:5" ht="15" customHeight="1" x14ac:dyDescent="0.2">
      <c r="A10225" s="1" t="s">
        <v>20289</v>
      </c>
      <c r="B10225" s="1">
        <v>0</v>
      </c>
      <c r="C10225" s="3">
        <v>44535.774386574078</v>
      </c>
      <c r="D10225" s="1" t="s">
        <v>20290</v>
      </c>
      <c r="E10225" s="1" t="str">
        <f ca="1">IFERROR(__xludf.DUMMYFUNCTION("GOOGLETRANSLATE(A7024 , ""tr"" , ""en"")"),"@drfahrettinka https://t.co/quev0yaigl")</f>
        <v>@drfahrettinka https://t.co/quev0yaigl</v>
      </c>
    </row>
    <row r="10226" spans="1:5" ht="15" customHeight="1" x14ac:dyDescent="0.2">
      <c r="A10226" s="1" t="s">
        <v>20291</v>
      </c>
      <c r="B10226" s="1">
        <v>0</v>
      </c>
      <c r="C10226" s="3">
        <v>44535.774328703701</v>
      </c>
      <c r="D10226" s="1" t="s">
        <v>20292</v>
      </c>
      <c r="E10226" s="1" t="str">
        <f ca="1">IFERROR(__xludf.DUMMYFUNCTION("GOOGLETRANSLATE(A7025 , ""tr"" , ""en"")"),"@drfahrettinkoca If everyone is careful this virus Bian goes straight away before our country but no one pays attention")</f>
        <v>@drfahrettinkoca If everyone is careful this virus Bian goes straight away before our country but no one pays attention</v>
      </c>
    </row>
    <row r="10227" spans="1:5" ht="15" customHeight="1" x14ac:dyDescent="0.2">
      <c r="A10227" s="1" t="s">
        <v>20293</v>
      </c>
      <c r="B10227" s="1">
        <v>0</v>
      </c>
      <c r="C10227" s="3">
        <v>44535.774305555555</v>
      </c>
      <c r="D10227" s="1" t="s">
        <v>20294</v>
      </c>
      <c r="E10227" s="1" t="str">
        <f ca="1">IFERROR(__xludf.DUMMYFUNCTION("GOOGLETRANSLATE(A7026 , ""tr"" , ""en"")"),"@drfahrettinkoca what dedication doesn't even give the real case numbers that have real case numbers know the NENEM")</f>
        <v>@drfahrettinkoca what dedication doesn't even give the real case numbers that have real case numbers know the NENEM</v>
      </c>
    </row>
    <row r="10228" spans="1:5" ht="15" customHeight="1" x14ac:dyDescent="0.2">
      <c r="A10228" s="1" t="s">
        <v>20295</v>
      </c>
      <c r="B10228" s="1">
        <v>0</v>
      </c>
      <c r="C10228" s="3">
        <v>44535.773923611108</v>
      </c>
      <c r="D10228" s="1" t="s">
        <v>20296</v>
      </c>
      <c r="E10228" s="1" t="str">
        <f ca="1">IFERROR(__xludf.DUMMYFUNCTION("GOOGLETRANSLATE(A7027 , ""tr"" , ""en"")"),"@drfahrettinkoca Ya Allah Hani Targeted 5000 Thousand Case Numbers of Hani Returns Returned Restrictions Https://t.co/eot0ojgydo")</f>
        <v>@drfahrettinkoca Ya Allah Hani Targeted 5000 Thousand Case Numbers of Hani Returns Returned Restrictions Https://t.co/eot0ojgydo</v>
      </c>
    </row>
    <row r="10229" spans="1:5" ht="15" customHeight="1" x14ac:dyDescent="0.2">
      <c r="A10229" s="1" t="s">
        <v>20297</v>
      </c>
      <c r="B10229" s="1">
        <v>0</v>
      </c>
      <c r="C10229" s="3">
        <v>44535.773912037039</v>
      </c>
      <c r="D10229" s="1" t="s">
        <v>20298</v>
      </c>
      <c r="E10229" s="1" t="str">
        <f ca="1">IFERROR(__xludf.DUMMYFUNCTION("GOOGLETRANSLATE(A7028 , ""tr"" , ""en"")"),"@drfahrettinkoca What are we doing exactly?")</f>
        <v>@drfahrettinkoca What are we doing exactly?</v>
      </c>
    </row>
    <row r="10230" spans="1:5" ht="15" customHeight="1" x14ac:dyDescent="0.2">
      <c r="A10230" s="1" t="s">
        <v>20299</v>
      </c>
      <c r="B10230" s="1">
        <v>0</v>
      </c>
      <c r="C10230" s="3">
        <v>44535.773854166669</v>
      </c>
      <c r="D10230" s="1" t="s">
        <v>20300</v>
      </c>
      <c r="E10230" s="1" t="str">
        <f ca="1">IFERROR(__xludf.DUMMYFUNCTION("GOOGLETRANSLATE(A7029 , ""tr"" , ""en"")"),"@drfahrettinka Mr. Ministry of Gold Butterfly Rewards program What the Mask is Chewing What Distance is Celebrated ... https://t.co/ohu5xckbqw")</f>
        <v>@drfahrettinka Mr. Ministry of Gold Butterfly Rewards program What the Mask is Chewing What Distance is Celebrated ... https://t.co/ohu5xckbqw</v>
      </c>
    </row>
    <row r="10231" spans="1:5" ht="15" customHeight="1" x14ac:dyDescent="0.2">
      <c r="A10231" s="1" t="s">
        <v>20301</v>
      </c>
      <c r="B10231" s="1">
        <v>0</v>
      </c>
      <c r="C10231" s="3">
        <v>44535.77375</v>
      </c>
      <c r="D10231" s="1" t="s">
        <v>20302</v>
      </c>
      <c r="E10231" s="1" t="str">
        <f ca="1">IFERROR(__xludf.DUMMYFUNCTION("GOOGLETRANSLATE(A7030 , ""tr"" , ""en"")"),"@drfahrettinkoca Nextight DSO A bit of printing Data Data Cikar Analyst")</f>
        <v>@drfahrettinkoca Nextight DSO A bit of printing Data Data Cikar Analyst</v>
      </c>
    </row>
    <row r="10232" spans="1:5" ht="15" customHeight="1" x14ac:dyDescent="0.2">
      <c r="A10232" s="1" t="s">
        <v>20303</v>
      </c>
      <c r="B10232" s="1">
        <v>1</v>
      </c>
      <c r="C10232" s="3">
        <v>44535.773310185185</v>
      </c>
      <c r="D10232" s="1" t="s">
        <v>20304</v>
      </c>
      <c r="E10232" s="1" t="str">
        <f ca="1">IFERROR(__xludf.DUMMYFUNCTION("GOOGLETRANSLATE(A7031 , ""tr"" , ""en"")"),"@drfahrettinka gene daily routine joke")</f>
        <v>@drfahrettinka gene daily routine joke</v>
      </c>
    </row>
    <row r="10233" spans="1:5" ht="15" customHeight="1" x14ac:dyDescent="0.2">
      <c r="A10233" s="1" t="s">
        <v>20305</v>
      </c>
      <c r="B10233" s="1">
        <v>0</v>
      </c>
      <c r="C10233" s="3">
        <v>44535.772777777776</v>
      </c>
      <c r="D10233" s="1" t="s">
        <v>20306</v>
      </c>
      <c r="E10233" s="1" t="str">
        <f ca="1">IFERROR(__xludf.DUMMYFUNCTION("GOOGLETRANSLATE(A7032 , ""tr"" , ""en"")"),"@drfahrettinkoca 6 Since Since Since Since Son-Played Cases Even a brainless person in your brainless Eifnsdjjwbdhebdje")</f>
        <v>@drfahrettinkoca 6 Since Since Since Since Son-Played Cases Even a brainless person in your brainless Eifnsdjjwbdhebdje</v>
      </c>
    </row>
    <row r="10234" spans="1:5" ht="15" customHeight="1" x14ac:dyDescent="0.2">
      <c r="A10234" s="1" t="s">
        <v>20307</v>
      </c>
      <c r="B10234" s="1">
        <v>2</v>
      </c>
      <c r="C10234" s="3">
        <v>44535.772129629629</v>
      </c>
      <c r="D10234" s="1" t="s">
        <v>20308</v>
      </c>
      <c r="E10234" s="1" t="str">
        <f ca="1">IFERROR(__xludf.DUMMYFUNCTION("GOOGLETRANSLATE(A7033 , ""tr"" , ""en"")"),"@drfahrettinka https://t.co/eltfet8a0q")</f>
        <v>@drfahrettinka https://t.co/eltfet8a0q</v>
      </c>
    </row>
    <row r="10235" spans="1:5" ht="15" customHeight="1" x14ac:dyDescent="0.2">
      <c r="A10235" s="1" t="s">
        <v>20309</v>
      </c>
      <c r="B10235" s="1">
        <v>1</v>
      </c>
      <c r="C10235" s="3">
        <v>44535.771886574075</v>
      </c>
      <c r="D10235" s="1" t="s">
        <v>20310</v>
      </c>
      <c r="E10235" s="1" t="str">
        <f ca="1">IFERROR(__xludf.DUMMYFUNCTION("GOOGLETRANSLATE(A7034 , ""tr"" , ""en"")"),"@drfahrettinkoca is not appointed in 1 year I'm not assigned to my vows of Quran # Sagligaatama")</f>
        <v>@drfahrettinkoca is not appointed in 1 year I'm not assigned to my vows of Quran # Sagligaatama</v>
      </c>
    </row>
    <row r="10236" spans="1:5" ht="15" customHeight="1" x14ac:dyDescent="0.2">
      <c r="A10236" s="1" t="s">
        <v>20311</v>
      </c>
      <c r="B10236" s="1">
        <v>2</v>
      </c>
      <c r="C10236" s="3">
        <v>44535.771840277775</v>
      </c>
      <c r="D10236" s="1" t="s">
        <v>20312</v>
      </c>
      <c r="E10236" s="1" t="str">
        <f ca="1">IFERROR(__xludf.DUMMYFUNCTION("GOOGLETRANSLATE(A7035 , ""tr"" , ""en"")"),"@drfahrettinkoca Do not stop us with the assignment that is the right to assignment @drfahrettinkoca # fkuyumanerede40binatama")</f>
        <v>@drfahrettinkoca Do not stop us with the assignment that is the right to assignment @drfahrettinkoca # fkuyumanerede40binatama</v>
      </c>
    </row>
    <row r="10237" spans="1:5" ht="15" customHeight="1" x14ac:dyDescent="0.2">
      <c r="A10237" s="1" t="s">
        <v>20313</v>
      </c>
      <c r="B10237" s="1">
        <v>2</v>
      </c>
      <c r="C10237" s="3">
        <v>44535.771423611113</v>
      </c>
      <c r="D10237" s="1" t="s">
        <v>20314</v>
      </c>
      <c r="E10237" s="1" t="str">
        <f ca="1">IFERROR(__xludf.DUMMYFUNCTION("GOOGLETRANSLATE(A7036 , ""tr"" , ""en"")"),"@drfahrettinka https://t.co/4i3q7c14jk")</f>
        <v>@drfahrettinka https://t.co/4i3q7c14jk</v>
      </c>
    </row>
    <row r="10238" spans="1:5" ht="15" customHeight="1" x14ac:dyDescent="0.2">
      <c r="A10238" s="1" t="s">
        <v>20315</v>
      </c>
      <c r="B10238" s="1">
        <v>1</v>
      </c>
      <c r="C10238" s="3">
        <v>44535.771423611113</v>
      </c>
      <c r="D10238" s="1" t="s">
        <v>20316</v>
      </c>
      <c r="E10238" s="1" t="str">
        <f ca="1">IFERROR(__xludf.DUMMYFUNCTION("GOOGLETRANSLATE(A7037 , ""tr"" , ""en"")"),"@drfahrettinkoca virus is not finished but pretending to have people have to be conscious of people")</f>
        <v>@drfahrettinkoca virus is not finished but pretending to have people have to be conscious of people</v>
      </c>
    </row>
    <row r="10239" spans="1:5" ht="15" customHeight="1" x14ac:dyDescent="0.2">
      <c r="A10239" s="1" t="s">
        <v>20317</v>
      </c>
      <c r="B10239" s="1">
        <v>0</v>
      </c>
      <c r="C10239" s="3">
        <v>44535.77134259259</v>
      </c>
      <c r="D10239" s="1" t="s">
        <v>20318</v>
      </c>
      <c r="E10239" s="1" t="str">
        <f ca="1">IFERROR(__xludf.DUMMYFUNCTION("GOOGLETRANSLATE(A7038 , ""tr"" , ""en"")"),"@drfahrettinkoca make vaccines and navigates in the middle and prize documents from the pfizer's profession of the professors ... https://t.co/xpmembcpef")</f>
        <v>@drfahrettinkoca make vaccines and navigates in the middle and prize documents from the pfizer's profession of the professors ... https://t.co/xpmembcpef</v>
      </c>
    </row>
    <row r="10240" spans="1:5" ht="15" customHeight="1" x14ac:dyDescent="0.2">
      <c r="A10240" s="1" t="s">
        <v>20319</v>
      </c>
      <c r="B10240" s="1">
        <v>0</v>
      </c>
      <c r="C10240" s="3">
        <v>44535.771331018521</v>
      </c>
      <c r="D10240" s="1" t="s">
        <v>20320</v>
      </c>
      <c r="E10240" s="1" t="str">
        <f ca="1">IFERROR(__xludf.DUMMYFUNCTION("GOOGLETRANSLATE(A7039 , ""tr"" , ""en"")"),"@drfahrettinkoca landed up to 19 thousand (!) I'm leaving the mask job or something")</f>
        <v>@drfahrettinkoca landed up to 19 thousand (!) I'm leaving the mask job or something</v>
      </c>
    </row>
    <row r="10241" spans="1:5" ht="15" customHeight="1" x14ac:dyDescent="0.2">
      <c r="A10241" s="1" t="s">
        <v>20321</v>
      </c>
      <c r="B10241" s="1">
        <v>1</v>
      </c>
      <c r="C10241" s="3">
        <v>44535.770833333336</v>
      </c>
      <c r="D10241" s="1" t="s">
        <v>20322</v>
      </c>
      <c r="E10241" s="1" t="str">
        <f ca="1">IFERROR(__xludf.DUMMYFUNCTION("GOOGLETRANSLATE(A7040 , ""tr"" , ""en"")"),"@drfahrettinka https://t.co/di4tk1ataIII")</f>
        <v>@drfahrettinka https://t.co/di4tk1ataIII</v>
      </c>
    </row>
    <row r="10242" spans="1:5" ht="15" customHeight="1" x14ac:dyDescent="0.2">
      <c r="A10242" s="1" t="s">
        <v>20323</v>
      </c>
      <c r="B10242" s="1">
        <v>0</v>
      </c>
      <c r="C10242" s="3">
        <v>44535.770532407405</v>
      </c>
      <c r="D10242" s="1" t="s">
        <v>20324</v>
      </c>
      <c r="E10242" s="1" t="str">
        <f ca="1">IFERROR(__xludf.DUMMYFUNCTION("GOOGLETRANSLATE(A7041 , ""tr"" , ""en"")"),"@drfahrettinkoca guy is making fun of a sleeping public who doesn't make fun of the halal fahrettin husband 😂🤩")</f>
        <v>@drfahrettinkoca guy is making fun of a sleeping public who doesn't make fun of the halal fahrettin husband 😂🤩</v>
      </c>
    </row>
    <row r="10243" spans="1:5" ht="15" customHeight="1" x14ac:dyDescent="0.2">
      <c r="A10243" s="1" t="s">
        <v>20325</v>
      </c>
      <c r="B10243" s="1">
        <v>28</v>
      </c>
      <c r="C10243" s="3">
        <v>44535.769490740742</v>
      </c>
      <c r="D10243" s="1" t="s">
        <v>20326</v>
      </c>
      <c r="E10243" s="1" t="str">
        <f ca="1">IFERROR(__xludf.DUMMYFUNCTION("GOOGLETRANSLATE(A7042 , ""tr"" , ""en"")"),"@drfahrettinkoca you could not lower the number of cases. You could not reduce the risk in schools. You fail. #the cabinet linizing")</f>
        <v>@drfahrettinkoca you could not lower the number of cases. You could not reduce the risk in schools. You fail. #the cabinet linizing</v>
      </c>
    </row>
    <row r="10244" spans="1:5" ht="15" customHeight="1" x14ac:dyDescent="0.2">
      <c r="A10244" s="1" t="s">
        <v>20327</v>
      </c>
      <c r="B10244" s="1">
        <v>22</v>
      </c>
      <c r="C10244" s="3">
        <v>44535.769270833334</v>
      </c>
      <c r="D10244" s="1" t="s">
        <v>20328</v>
      </c>
      <c r="E10244" s="1" t="str">
        <f ca="1">IFERROR(__xludf.DUMMYFUNCTION("GOOGLETRANSLATE(A7043 , ""tr"" , ""en"")"),"@drfahrettinka hani social distance hani mask? are these measures you have received. Students coming out of here with school tomorrow ... https://t.co/ybuyuf4slo")</f>
        <v>@drfahrettinka hani social distance hani mask? are these measures you have received. Students coming out of here with school tomorrow ... https://t.co/ybuyuf4slo</v>
      </c>
    </row>
    <row r="10245" spans="1:5" ht="15" customHeight="1" x14ac:dyDescent="0.2">
      <c r="A10245" s="1" t="s">
        <v>20329</v>
      </c>
      <c r="B10245" s="1">
        <v>0</v>
      </c>
      <c r="C10245" s="3">
        <v>44535.769178240742</v>
      </c>
      <c r="D10245" s="1" t="s">
        <v>20330</v>
      </c>
      <c r="E10245" s="1" t="str">
        <f ca="1">IFERROR(__xludf.DUMMYFUNCTION("GOOGLETRANSLATE(A7044 , ""tr"" , ""en"")"),"@drfahrettinkoca daily lying table")</f>
        <v>@drfahrettinkoca daily lying table</v>
      </c>
    </row>
    <row r="10246" spans="1:5" ht="15" customHeight="1" x14ac:dyDescent="0.2">
      <c r="A10246" s="1" t="s">
        <v>20331</v>
      </c>
      <c r="B10246" s="1">
        <v>1</v>
      </c>
      <c r="C10246" s="3">
        <v>44535.768993055557</v>
      </c>
      <c r="D10246" s="1" t="s">
        <v>20332</v>
      </c>
      <c r="E10246" s="1" t="str">
        <f ca="1">IFERROR(__xludf.DUMMYFUNCTION("GOOGLETRANSLATE(A7045 , ""tr"" , ""en"")"),"@drfahrettinka when will you tell about the truth")</f>
        <v>@drfahrettinka when will you tell about the truth</v>
      </c>
    </row>
    <row r="10247" spans="1:5" ht="15" customHeight="1" x14ac:dyDescent="0.2">
      <c r="A10247" s="1" t="s">
        <v>20333</v>
      </c>
      <c r="B10247" s="1">
        <v>0</v>
      </c>
      <c r="C10247" s="3">
        <v>44535.76840277778</v>
      </c>
      <c r="D10247" s="1" t="s">
        <v>20334</v>
      </c>
      <c r="E10247" s="1" t="str">
        <f ca="1">IFERROR(__xludf.DUMMYFUNCTION("GOOGLETRANSLATE(A7046 , ""tr"" , ""en"")"),"@drfahrettinkoca artic yarin 6k is suppose to either")</f>
        <v>@drfahrettinkoca artic yarin 6k is suppose to either</v>
      </c>
    </row>
    <row r="10248" spans="1:5" ht="15" customHeight="1" x14ac:dyDescent="0.2">
      <c r="A10248" s="1" t="s">
        <v>20335</v>
      </c>
      <c r="B10248" s="1">
        <v>0</v>
      </c>
      <c r="C10248" s="3">
        <v>44535.76834490741</v>
      </c>
      <c r="D10248" s="1" t="s">
        <v>20336</v>
      </c>
      <c r="E10248" s="1" t="str">
        <f ca="1">IFERROR(__xludf.DUMMYFUNCTION("GOOGLETRANSLATE(A7047 , ""tr"" , ""en"")"),"@drfahrettinkoca vaccine Urfa Please give people to be for Allah Roza Mr. Minister Different maps with different maps ... https://t.co/f2wearpdfv")</f>
        <v>@drfahrettinkoca vaccine Urfa Please give people to be for Allah Roza Mr. Minister Different maps with different maps ... https://t.co/f2wearpdfv</v>
      </c>
    </row>
    <row r="10249" spans="1:5" ht="15" customHeight="1" x14ac:dyDescent="0.2">
      <c r="A10249" s="1" t="s">
        <v>20337</v>
      </c>
      <c r="B10249" s="1">
        <v>87</v>
      </c>
      <c r="C10249" s="3">
        <v>44535.768217592595</v>
      </c>
      <c r="D10249" s="1" t="s">
        <v>20338</v>
      </c>
      <c r="E10249" s="1" t="str">
        <f ca="1">IFERROR(__xludf.DUMMYFUNCTION("GOOGLETRANSLATE(A7048 , ""tr"" , ""en"")"),"@drfahrettinkoca Vallahi What is very labor number of casurds.")</f>
        <v>@drfahrettinkoca Vallahi What is very labor number of casurds.</v>
      </c>
    </row>
    <row r="10250" spans="1:5" ht="15" customHeight="1" x14ac:dyDescent="0.2">
      <c r="A10250" s="1" t="s">
        <v>20339</v>
      </c>
      <c r="B10250" s="1">
        <v>0</v>
      </c>
      <c r="C10250" s="3">
        <v>44535.767835648148</v>
      </c>
      <c r="D10250" s="1" t="s">
        <v>20340</v>
      </c>
      <c r="E10250" s="1" t="str">
        <f ca="1">IFERROR(__xludf.DUMMYFUNCTION("GOOGLETRANSLATE(A7049 , ""tr"" , ""en"")"),"@drfahrettinkoca This number should be investigated all of us positive case")</f>
        <v>@drfahrettinkoca This number should be investigated all of us positive case</v>
      </c>
    </row>
    <row r="10251" spans="1:5" ht="15" customHeight="1" x14ac:dyDescent="0.2">
      <c r="A10251" s="1" t="s">
        <v>20341</v>
      </c>
      <c r="B10251" s="1">
        <v>0</v>
      </c>
      <c r="C10251" s="3">
        <v>44535.767824074072</v>
      </c>
      <c r="D10251" s="1" t="s">
        <v>20342</v>
      </c>
      <c r="E10251" s="1" t="str">
        <f ca="1">IFERROR(__xludf.DUMMYFUNCTION("GOOGLETRANSLATE(A7050 , ""tr"" , ""en"")"),"@drfahrettinkoca Tomorrow Patient Hawpyles One Someone Bisey Desin")</f>
        <v>@drfahrettinkoca Tomorrow Patient Hawpyles One Someone Bisey Desin</v>
      </c>
    </row>
    <row r="10252" spans="1:5" ht="15" customHeight="1" x14ac:dyDescent="0.2">
      <c r="A10252" s="1" t="s">
        <v>20343</v>
      </c>
      <c r="B10252" s="1">
        <v>0</v>
      </c>
      <c r="C10252" s="3">
        <v>44535.767592592594</v>
      </c>
      <c r="D10252" s="1" t="s">
        <v>20344</v>
      </c>
      <c r="E10252" s="1" t="str">
        <f ca="1">IFERROR(__xludf.DUMMYFUNCTION("GOOGLETRANSLATE(A7051 , ""tr"" , ""en"")"),"@drfahrettinkoca Okay Tadvirlenden is not concessive")</f>
        <v>@drfahrettinkoca Okay Tadvirlenden is not concessive</v>
      </c>
    </row>
    <row r="10253" spans="1:5" ht="15" customHeight="1" x14ac:dyDescent="0.2">
      <c r="A10253" s="1" t="s">
        <v>20345</v>
      </c>
      <c r="B10253" s="1">
        <v>0</v>
      </c>
      <c r="C10253" s="3">
        <v>44535.767442129632</v>
      </c>
      <c r="D10253" s="1" t="s">
        <v>20346</v>
      </c>
      <c r="E10253" s="1" t="str">
        <f ca="1">IFERROR(__xludf.DUMMYFUNCTION("GOOGLETRANSLATE(A7052 , ""tr"" , ""en"")"),"@drfahrettinkoca why are you mask not Worn in Schools and University in the UK? In Turkey, Mask Are Worn in Schools.")</f>
        <v>@drfahrettinkoca why are you mask not Worn in Schools and University in the UK? In Turkey, Mask Are Worn in Schools.</v>
      </c>
    </row>
    <row r="10254" spans="1:5" ht="15" customHeight="1" x14ac:dyDescent="0.2">
      <c r="A10254" s="1" t="s">
        <v>20347</v>
      </c>
      <c r="B10254" s="1">
        <v>0</v>
      </c>
      <c r="C10254" s="3">
        <v>44535.766342592593</v>
      </c>
      <c r="D10254" s="1" t="s">
        <v>20348</v>
      </c>
      <c r="E10254" s="1" t="str">
        <f ca="1">IFERROR(__xludf.DUMMYFUNCTION("GOOGLETRANSLATE(A7053 , ""tr"" , ""en"")"),"@drfahrettinka I haven't feel good since the day I am.")</f>
        <v>@drfahrettinka I haven't feel good since the day I am.</v>
      </c>
    </row>
    <row r="10255" spans="1:5" ht="15" customHeight="1" x14ac:dyDescent="0.2">
      <c r="A10255" s="1" t="s">
        <v>20349</v>
      </c>
      <c r="B10255" s="1">
        <v>0</v>
      </c>
      <c r="C10255" s="3">
        <v>44535.766122685185</v>
      </c>
      <c r="D10255" s="1" t="s">
        <v>20350</v>
      </c>
      <c r="E10255" s="1" t="str">
        <f ca="1">IFERROR(__xludf.DUMMYFUNCTION("GOOGLETRANSLATE(A7054 , ""tr"" , ""en"")"),"@drfahrettinkoca is funny")</f>
        <v>@drfahrettinkoca is funny</v>
      </c>
    </row>
    <row r="10256" spans="1:5" ht="15" customHeight="1" x14ac:dyDescent="0.2">
      <c r="A10256" s="1" t="s">
        <v>20072</v>
      </c>
      <c r="B10256" s="1">
        <v>1</v>
      </c>
      <c r="C10256" s="3">
        <v>44535.765949074077</v>
      </c>
      <c r="D10256" s="1" t="s">
        <v>20351</v>
      </c>
      <c r="E10256" s="1" t="str">
        <f ca="1">IFERROR(__xludf.DUMMYFUNCTION("GOOGLETRANSLATE(A7055 , ""tr"" , ""en"")"),"@drfahrettinkoca # Cabinethousonline")</f>
        <v>@drfahrettinkoca # Cabinethousonline</v>
      </c>
    </row>
    <row r="10257" spans="1:5" ht="15" customHeight="1" x14ac:dyDescent="0.2">
      <c r="A10257" s="1" t="s">
        <v>20352</v>
      </c>
      <c r="B10257" s="1">
        <v>1</v>
      </c>
      <c r="C10257" s="3">
        <v>44535.765694444446</v>
      </c>
      <c r="D10257" s="1" t="s">
        <v>20353</v>
      </c>
      <c r="E10257" s="1" t="str">
        <f ca="1">IFERROR(__xludf.DUMMYFUNCTION("GOOGLETRANSLATE(A7056 , ""tr"" , ""en"")"),"@drfahrettinkoca this generation as a minister of health that does not assign you for 1 year in the period called healthcare year ... https://t.co/fo6owvdqee")</f>
        <v>@drfahrettinkoca this generation as a minister of health that does not assign you for 1 year in the period called healthcare year ... https://t.co/fo6owvdqee</v>
      </c>
    </row>
    <row r="10258" spans="1:5" ht="15" customHeight="1" x14ac:dyDescent="0.2">
      <c r="A10258" s="1" t="s">
        <v>20354</v>
      </c>
      <c r="B10258" s="1">
        <v>0</v>
      </c>
      <c r="C10258" s="3">
        <v>44535.764849537038</v>
      </c>
      <c r="D10258" s="1" t="s">
        <v>20355</v>
      </c>
      <c r="E10258" s="1" t="str">
        <f ca="1">IFERROR(__xludf.DUMMYFUNCTION("GOOGLETRANSLATE(A7057 , ""tr"" , ""en"")"),"@drfahrettinkoca make the meeting yuzyuze then")</f>
        <v>@drfahrettinkoca make the meeting yuzyuze then</v>
      </c>
    </row>
    <row r="10259" spans="1:5" ht="15" customHeight="1" x14ac:dyDescent="0.2">
      <c r="A10259" s="1" t="s">
        <v>20356</v>
      </c>
      <c r="B10259" s="1">
        <v>0</v>
      </c>
      <c r="C10259" s="3">
        <v>44535.764826388891</v>
      </c>
      <c r="D10259" s="1" t="s">
        <v>20357</v>
      </c>
      <c r="E10259" s="1" t="str">
        <f ca="1">IFERROR(__xludf.DUMMYFUNCTION("GOOGLETRANSLATE(A7058 , ""tr"" , ""en"")"),"@drfahrettinkoca If we remove the number of tests 400th, the number of cases increases, or not Mr. Minister ??")</f>
        <v>@drfahrettinkoca If we remove the number of tests 400th, the number of cases increases, or not Mr. Minister ??</v>
      </c>
    </row>
    <row r="10260" spans="1:5" ht="15" customHeight="1" x14ac:dyDescent="0.2">
      <c r="A10260" s="1" t="s">
        <v>20358</v>
      </c>
      <c r="B10260" s="1">
        <v>0</v>
      </c>
      <c r="C10260" s="3">
        <v>44535.764456018522</v>
      </c>
      <c r="D10260" s="1" t="s">
        <v>20359</v>
      </c>
      <c r="E10260" s="1" t="str">
        <f ca="1">IFERROR(__xludf.DUMMYFUNCTION("GOOGLETRANSLATE(A7059 , ""tr"" , ""en"")"),"@drfahrettinkoca Can You Bug Butun Dunya Nasil Sayable Scul Photo")</f>
        <v>@drfahrettinkoca Can You Bug Butun Dunya Nasil Sayable Scul Photo</v>
      </c>
    </row>
    <row r="10261" spans="1:5" ht="15" customHeight="1" x14ac:dyDescent="0.2">
      <c r="A10261" s="1" t="s">
        <v>20360</v>
      </c>
      <c r="B10261" s="1">
        <v>0</v>
      </c>
      <c r="C10261" s="3">
        <v>44535.763854166667</v>
      </c>
      <c r="D10261" s="1" t="s">
        <v>20361</v>
      </c>
      <c r="E10261" s="1" t="str">
        <f ca="1">IFERROR(__xludf.DUMMYFUNCTION("GOOGLETRANSLATE(A7060 , ""tr"" , ""en"")"),"@drfahrettinkoca @saglikbakanligi Let's write the measure please.")</f>
        <v>@drfahrettinkoca @saglikbakanligi Let's write the measure please.</v>
      </c>
    </row>
    <row r="10262" spans="1:5" ht="15" customHeight="1" x14ac:dyDescent="0.2">
      <c r="A10262" s="1" t="s">
        <v>20362</v>
      </c>
      <c r="B10262" s="1">
        <v>0</v>
      </c>
      <c r="C10262" s="3">
        <v>44535.763518518521</v>
      </c>
      <c r="D10262" s="1" t="s">
        <v>20363</v>
      </c>
      <c r="E10262" s="1" t="str">
        <f ca="1">IFERROR(__xludf.DUMMYFUNCTION("GOOGLETRANSLATE(A7061 , ""tr"" , ""en"")"),"@drfahrettinkoca Do not have the supposed positive case as the so-called vaccine? This so-called epidemic and so-called arguments ... https://t.co/rfgy4ego2p")</f>
        <v>@drfahrettinkoca Do not have the supposed positive case as the so-called vaccine? This so-called epidemic and so-called arguments ... https://t.co/rfgy4ego2p</v>
      </c>
    </row>
    <row r="10263" spans="1:5" ht="15" customHeight="1" x14ac:dyDescent="0.2">
      <c r="A10263" s="1" t="s">
        <v>20364</v>
      </c>
      <c r="B10263" s="1">
        <v>0</v>
      </c>
      <c r="C10263" s="3">
        <v>44535.763414351852</v>
      </c>
      <c r="D10263" s="1" t="s">
        <v>20365</v>
      </c>
      <c r="E10263" s="1" t="str">
        <f ca="1">IFERROR(__xludf.DUMMYFUNCTION("GOOGLETRANSLATE(A7062 , ""tr"" , ""en"")"),"@drfahrettinkoca The table of the day is the vaow")</f>
        <v>@drfahrettinkoca The table of the day is the vaow</v>
      </c>
    </row>
    <row r="10264" spans="1:5" ht="15" customHeight="1" x14ac:dyDescent="0.2">
      <c r="A10264" s="1" t="s">
        <v>20366</v>
      </c>
      <c r="B10264" s="1">
        <v>0</v>
      </c>
      <c r="C10264" s="3">
        <v>44535.763078703705</v>
      </c>
      <c r="D10264" s="1" t="s">
        <v>20367</v>
      </c>
      <c r="E10264" s="1" t="str">
        <f ca="1">IFERROR(__xludf.DUMMYFUNCTION("GOOGLETRANSLATE(A7063 , ""tr"" , ""en"")"),"@drfahrettinkoca no one is trying to deal. If there is a decrease in the vaccine maybe maybe")</f>
        <v>@drfahrettinkoca no one is trying to deal. If there is a decrease in the vaccine maybe maybe</v>
      </c>
    </row>
    <row r="10265" spans="1:5" ht="15" customHeight="1" x14ac:dyDescent="0.2">
      <c r="A10265" s="1" t="s">
        <v>20368</v>
      </c>
      <c r="B10265" s="1">
        <v>1</v>
      </c>
      <c r="C10265" s="3">
        <v>44535.762476851851</v>
      </c>
      <c r="D10265" s="1" t="s">
        <v>20369</v>
      </c>
      <c r="E10265" s="1" t="str">
        <f ca="1">IFERROR(__xludf.DUMMYFUNCTION("GOOGLETRANSLATE(A7064 , ""tr"" , ""en"")"),"@drfahrettinka weekend Ministry of Schools No Schools The Minister December 20K falls below tomorrow 22k next to the next net.")</f>
        <v>@drfahrettinka weekend Ministry of Schools No Schools The Minister December 20K falls below tomorrow 22k next to the next net.</v>
      </c>
    </row>
    <row r="10266" spans="1:5" ht="15" customHeight="1" x14ac:dyDescent="0.2">
      <c r="A10266" s="1" t="s">
        <v>20370</v>
      </c>
      <c r="B10266" s="1">
        <v>3</v>
      </c>
      <c r="C10266" s="3">
        <v>44535.762384259258</v>
      </c>
      <c r="D10266" s="1" t="s">
        <v>20371</v>
      </c>
      <c r="E10266" s="1" t="str">
        <f ca="1">IFERROR(__xludf.DUMMYFUNCTION("GOOGLETRANSLATE(A7065 , ""tr"" , ""en"")"),"@drfahrettinka https://t.co/9miwfgweuz")</f>
        <v>@drfahrettinka https://t.co/9miwfgweuz</v>
      </c>
    </row>
    <row r="10267" spans="1:5" ht="15" customHeight="1" x14ac:dyDescent="0.2">
      <c r="A10267" s="1" t="s">
        <v>20372</v>
      </c>
      <c r="B10267" s="1">
        <v>0</v>
      </c>
      <c r="C10267" s="3">
        <v>44535.762106481481</v>
      </c>
      <c r="D10267" s="1" t="s">
        <v>20373</v>
      </c>
      <c r="E10267" s="1" t="str">
        <f ca="1">IFERROR(__xludf.DUMMYFUNCTION("GOOGLETRANSLATE(A7066 , ""tr"" , ""en"")"),"@drfahrettinkoca PCR Do not do the tests, do not force the vaccines that are not reliability, people (glands) people ... HTTPS://T.CO/IVIVZ41XH2")</f>
        <v>@drfahrettinkoca PCR Do not do the tests, do not force the vaccines that are not reliability, people (glands) people ... HTTPS://T.CO/IVIVZ41XH2</v>
      </c>
    </row>
    <row r="10268" spans="1:5" ht="15" customHeight="1" x14ac:dyDescent="0.2">
      <c r="A10268" s="1" t="s">
        <v>20374</v>
      </c>
      <c r="B10268" s="1">
        <v>0</v>
      </c>
      <c r="C10268" s="3">
        <v>44535.762094907404</v>
      </c>
      <c r="D10268" s="1" t="s">
        <v>20375</v>
      </c>
      <c r="E10268" s="1" t="str">
        <f ca="1">IFERROR(__xludf.DUMMYFUNCTION("GOOGLETRANSLATE(A7067 , ""tr"" , ""en"")"),"@drfahrettinka vaccine minister Let's get our vaccines now I think I'm afraid to stay in my hand")</f>
        <v>@drfahrettinka vaccine minister Let's get our vaccines now I think I'm afraid to stay in my hand</v>
      </c>
    </row>
    <row r="10269" spans="1:5" ht="15" customHeight="1" x14ac:dyDescent="0.2">
      <c r="A10269" s="1" t="s">
        <v>20376</v>
      </c>
      <c r="B10269" s="1">
        <v>0</v>
      </c>
      <c r="C10269" s="3">
        <v>44535.761886574073</v>
      </c>
      <c r="D10269" s="1" t="s">
        <v>20377</v>
      </c>
      <c r="E10269" s="1" t="str">
        <f ca="1">IFERROR(__xludf.DUMMYFUNCTION("GOOGLETRANSLATE(A7068 , ""tr"" , ""en"")"),"@drfahrettinkoca 🇹🇷🇹🇷🇹🇹")</f>
        <v>@drfahrettinkoca 🇹🇷🇹🇷🇹🇹</v>
      </c>
    </row>
    <row r="10270" spans="1:5" ht="15" customHeight="1" x14ac:dyDescent="0.2">
      <c r="A10270" s="1" t="s">
        <v>20378</v>
      </c>
      <c r="B10270" s="1">
        <v>0</v>
      </c>
      <c r="C10270" s="3">
        <v>44535.761006944442</v>
      </c>
      <c r="D10270" s="1" t="s">
        <v>20379</v>
      </c>
      <c r="E10270" s="1" t="str">
        <f ca="1">IFERROR(__xludf.DUMMYFUNCTION("GOOGLETRANSLATE(A7069 , ""tr"" , ""en"")"),"@drfahrettinkoca people started to be unoccupied and attempted vaccines, and the cases began to fall.")</f>
        <v>@drfahrettinkoca people started to be unoccupied and attempted vaccines, and the cases began to fall.</v>
      </c>
    </row>
    <row r="10271" spans="1:5" ht="15" customHeight="1" x14ac:dyDescent="0.2">
      <c r="A10271" s="1" t="s">
        <v>20380</v>
      </c>
      <c r="B10271" s="1">
        <v>4</v>
      </c>
      <c r="C10271" s="3">
        <v>44535.760578703703</v>
      </c>
      <c r="D10271" s="1" t="s">
        <v>20381</v>
      </c>
      <c r="E10271" s="1" t="str">
        <f ca="1">IFERROR(__xludf.DUMMYFUNCTION("GOOGLETRANSLATE(A7070 , ""tr"" , ""en"")"),"@drfahrettinka https://t.co/vskp8jeh3i")</f>
        <v>@drfahrettinka https://t.co/vskp8jeh3i</v>
      </c>
    </row>
    <row r="10272" spans="1:5" ht="15" customHeight="1" x14ac:dyDescent="0.2">
      <c r="A10272" s="1" t="s">
        <v>17730</v>
      </c>
      <c r="B10272" s="1">
        <v>0</v>
      </c>
      <c r="C10272" s="3">
        <v>44535.760208333333</v>
      </c>
      <c r="D10272" s="1" t="s">
        <v>20382</v>
      </c>
      <c r="E10272" s="1" t="str">
        <f ca="1">IFERROR(__xludf.DUMMYFUNCTION("GOOGLETRANSLATE(A7071 , ""tr"" , ""en"")"),"@drfahrettinkoca where is the guide")</f>
        <v>@drfahrettinkoca where is the guide</v>
      </c>
    </row>
    <row r="10273" spans="1:5" ht="15" customHeight="1" x14ac:dyDescent="0.2">
      <c r="A10273" s="1" t="s">
        <v>20383</v>
      </c>
      <c r="B10273" s="1">
        <v>35</v>
      </c>
      <c r="C10273" s="3">
        <v>44535.758831018517</v>
      </c>
      <c r="D10273" s="1" t="s">
        <v>20384</v>
      </c>
      <c r="E10273" s="1" t="str">
        <f ca="1">IFERROR(__xludf.DUMMYFUNCTION("GOOGLETRANSLATE(A7072 , ""tr"" , ""en"")"),"@drfahrettinkoca omicron When you enter the variant, I wonder how it will be? No Measures Nothing.? #Kabinezkusagionlineline")</f>
        <v>@drfahrettinkoca omicron When you enter the variant, I wonder how it will be? No Measures Nothing.? #Kabinezkusagionlineline</v>
      </c>
    </row>
    <row r="10274" spans="1:5" ht="15" customHeight="1" x14ac:dyDescent="0.2">
      <c r="A10274" s="1" t="s">
        <v>20385</v>
      </c>
      <c r="B10274" s="1">
        <v>0</v>
      </c>
      <c r="C10274" s="3">
        <v>44535.75849537037</v>
      </c>
      <c r="D10274" s="1" t="s">
        <v>20386</v>
      </c>
      <c r="E10274" s="1" t="str">
        <f ca="1">IFERROR(__xludf.DUMMYFUNCTION("GOOGLETRANSLATE(A7073 , ""tr"" , ""en"")"),"@drfahrettinkoca yaw hee ÖzveriMis Tracked Tales Tale")</f>
        <v>@drfahrettinkoca yaw hee ÖzveriMis Tracked Tales Tale</v>
      </c>
    </row>
    <row r="10275" spans="1:5" ht="15" customHeight="1" x14ac:dyDescent="0.2">
      <c r="A10275" s="1" t="s">
        <v>20387</v>
      </c>
      <c r="B10275" s="1">
        <v>0</v>
      </c>
      <c r="C10275" s="3">
        <v>44535.758483796293</v>
      </c>
      <c r="D10275" s="1" t="s">
        <v>20388</v>
      </c>
      <c r="E10275" s="1" t="str">
        <f ca="1">IFERROR(__xludf.DUMMYFUNCTION("GOOGLETRANSLATE(A7074 , ""tr"" , ""en"")"),"@drfahrettinka zero test zero case ...")</f>
        <v>@drfahrettinka zero test zero case ...</v>
      </c>
    </row>
    <row r="10276" spans="1:5" ht="15" customHeight="1" x14ac:dyDescent="0.2">
      <c r="A10276" s="1" t="s">
        <v>20389</v>
      </c>
      <c r="B10276" s="1">
        <v>4</v>
      </c>
      <c r="C10276" s="3">
        <v>44535.757696759261</v>
      </c>
      <c r="D10276" s="1" t="s">
        <v>20390</v>
      </c>
      <c r="E10276" s="1" t="str">
        <f ca="1">IFERROR(__xludf.DUMMYFUNCTION("GOOGLETRANSLATE(A7075 , ""tr"" , ""en"")"),"@drfahrettinkoca #kabinezkusagionlineistine is enough to hear us nowr❗️❗️")</f>
        <v>@drfahrettinkoca #kabinezkusagionlineistine is enough to hear us nowr❗️❗️</v>
      </c>
    </row>
    <row r="10277" spans="1:5" ht="15" customHeight="1" x14ac:dyDescent="0.2">
      <c r="A10277" s="1" t="s">
        <v>20391</v>
      </c>
      <c r="B10277" s="1">
        <v>6</v>
      </c>
      <c r="C10277" s="3">
        <v>44535.7575462963</v>
      </c>
      <c r="D10277" s="1" t="s">
        <v>20392</v>
      </c>
      <c r="E10277" s="1" t="str">
        <f ca="1">IFERROR(__xludf.DUMMYFUNCTION("GOOGLETRANSLATE(A7076 , ""tr"" , ""en"")"),"@drfahrettinkoca Will you make a statement?")</f>
        <v>@drfahrettinkoca Will you make a statement?</v>
      </c>
    </row>
    <row r="10278" spans="1:5" ht="15" customHeight="1" x14ac:dyDescent="0.2">
      <c r="A10278" s="1" t="s">
        <v>20393</v>
      </c>
      <c r="B10278" s="1">
        <v>3</v>
      </c>
      <c r="C10278" s="3">
        <v>44535.757002314815</v>
      </c>
      <c r="D10278" s="1" t="s">
        <v>20394</v>
      </c>
      <c r="E10278" s="1" t="str">
        <f ca="1">IFERROR(__xludf.DUMMYFUNCTION("GOOGLETRANSLATE(A7077 , ""tr"" , ""en"")"),"@drfahrettinkoca horse lies ... ..")</f>
        <v>@drfahrettinkoca horse lies ... ..</v>
      </c>
    </row>
    <row r="10279" spans="1:5" ht="15" customHeight="1" x14ac:dyDescent="0.2">
      <c r="A10279" s="1" t="s">
        <v>20395</v>
      </c>
      <c r="B10279" s="1">
        <v>0</v>
      </c>
      <c r="C10279" s="3">
        <v>44535.756724537037</v>
      </c>
      <c r="D10279" s="1" t="s">
        <v>20396</v>
      </c>
      <c r="E10279" s="1" t="str">
        <f ca="1">IFERROR(__xludf.DUMMYFUNCTION("GOOGLETRANSLATE(A7078 , ""tr"" , ""en"")"),"@drfahrettinkoca Ok I'm convinced I'm commuting immediately")</f>
        <v>@drfahrettinkoca Ok I'm convinced I'm commuting immediately</v>
      </c>
    </row>
    <row r="10280" spans="1:5" ht="15" customHeight="1" x14ac:dyDescent="0.2">
      <c r="A10280" s="1" t="s">
        <v>20397</v>
      </c>
      <c r="B10280" s="1">
        <v>7</v>
      </c>
      <c r="C10280" s="3">
        <v>44535.756585648145</v>
      </c>
      <c r="D10280" s="1" t="s">
        <v>20398</v>
      </c>
      <c r="E10280" s="1" t="str">
        <f ca="1">IFERROR(__xludf.DUMMYFUNCTION("GOOGLETRANSLATE(A7079 , ""tr"" , ""en"")"),"@drfahrettinkoca This case is just in Istanbul, I'm sure I'm sure #abinezbowonlineistiypr")</f>
        <v>@drfahrettinkoca This case is just in Istanbul, I'm sure I'm sure #abinezbowonlineistiypr</v>
      </c>
    </row>
    <row r="10281" spans="1:5" ht="15" customHeight="1" x14ac:dyDescent="0.2">
      <c r="A10281" s="1" t="s">
        <v>20399</v>
      </c>
      <c r="B10281" s="1">
        <v>0</v>
      </c>
      <c r="C10281" s="3">
        <v>44535.755555555559</v>
      </c>
      <c r="D10281" s="1" t="s">
        <v>20400</v>
      </c>
      <c r="E10281" s="1" t="str">
        <f ca="1">IFERROR(__xludf.DUMMYFUNCTION("GOOGLETRANSLATE(A7080 , ""tr"" , ""en"")"),"@drfahrettinka is more than 20 thousand that go over 20 thousand cases where you are going to spend this Germany vaccine 70 thousand Europeans ... https://t.co/b0fftxo5cı")</f>
        <v>@drfahrettinka is more than 20 thousand that go over 20 thousand cases where you are going to spend this Germany vaccine 70 thousand Europeans ... https://t.co/b0fftxo5cı</v>
      </c>
    </row>
    <row r="10282" spans="1:5" ht="15" customHeight="1" x14ac:dyDescent="0.2">
      <c r="A10282" s="1" t="s">
        <v>20401</v>
      </c>
      <c r="B10282" s="1">
        <v>1</v>
      </c>
      <c r="C10282" s="3">
        <v>44535.755370370367</v>
      </c>
      <c r="D10282" s="1" t="s">
        <v>20402</v>
      </c>
      <c r="E10282" s="1" t="str">
        <f ca="1">IFERROR(__xludf.DUMMYFUNCTION("GOOGLETRANSLATE(A7081 , ""tr"" , ""en"")"),"@drfahrettinka guide guide guide guide guide guide guide guide guide guide guide guide kina ... https://t.co/xcfcogknsf")</f>
        <v>@drfahrettinka guide guide guide guide guide guide guide guide guide guide guide guide kina ... https://t.co/xcfcogknsf</v>
      </c>
    </row>
    <row r="10283" spans="1:5" ht="15" customHeight="1" x14ac:dyDescent="0.2">
      <c r="A10283" s="1" t="s">
        <v>20403</v>
      </c>
      <c r="B10283" s="1">
        <v>3</v>
      </c>
      <c r="C10283" s="3">
        <v>44535.75508101852</v>
      </c>
      <c r="D10283" s="1" t="s">
        <v>20404</v>
      </c>
      <c r="E10283" s="1" t="str">
        <f ca="1">IFERROR(__xludf.DUMMYFUNCTION("GOOGLETRANSLATE(A7082 , ""tr"" , ""en"")"),"@drfahrettinkoca is increasing the case as the vaccine increased by 10 weeks. The figures are your own.")</f>
        <v>@drfahrettinkoca is increasing the case as the vaccine increased by 10 weeks. The figures are your own.</v>
      </c>
    </row>
    <row r="10284" spans="1:5" ht="15" customHeight="1" x14ac:dyDescent="0.2">
      <c r="A10284" s="1" t="s">
        <v>20405</v>
      </c>
      <c r="B10284" s="1">
        <v>1</v>
      </c>
      <c r="C10284" s="3">
        <v>44535.754976851851</v>
      </c>
      <c r="D10284" s="1" t="s">
        <v>20406</v>
      </c>
      <c r="E10284" s="1" t="str">
        <f ca="1">IFERROR(__xludf.DUMMYFUNCTION("GOOGLETRANSLATE(A7083 , ""tr"" , ""en"")"),"@drfahrettinkoca Do not be that they are not going to liquid")</f>
        <v>@drfahrettinkoca Do not be that they are not going to liquid</v>
      </c>
    </row>
    <row r="10285" spans="1:5" ht="15" customHeight="1" x14ac:dyDescent="0.2">
      <c r="A10285" s="1" t="s">
        <v>20407</v>
      </c>
      <c r="B10285" s="1">
        <v>0</v>
      </c>
      <c r="C10285" s="3">
        <v>44535.754502314812</v>
      </c>
      <c r="D10285" s="1" t="s">
        <v>20408</v>
      </c>
      <c r="E10285" s="1" t="str">
        <f ca="1">IFERROR(__xludf.DUMMYFUNCTION("GOOGLETRANSLATE(A7084 , ""tr"" , ""en"")"),"@drfahrettinkoca Today once again I hope to assign you to assignment and disappeared for you to promise and keep it ... https://t.co/hjsml2wfcs")</f>
        <v>@drfahrettinkoca Today once again I hope to assign you to assignment and disappeared for you to promise and keep it ... https://t.co/hjsml2wfcs</v>
      </c>
    </row>
    <row r="10286" spans="1:5" ht="15" customHeight="1" x14ac:dyDescent="0.2">
      <c r="A10286" s="1" t="s">
        <v>20409</v>
      </c>
      <c r="B10286" s="1">
        <v>1</v>
      </c>
      <c r="C10286" s="3">
        <v>44535.754340277781</v>
      </c>
      <c r="D10286" s="1" t="s">
        <v>20410</v>
      </c>
      <c r="E10286" s="1" t="str">
        <f ca="1">IFERROR(__xludf.DUMMYFUNCTION("GOOGLETRANSLATE(A7085 , ""tr"" , ""en"")"),"@drfahrettinkoca Who gives this vault test What is 350,000 a day :) Your dismissive O people? Your nose is not understanding that you are playing the Aksa Test")</f>
        <v>@drfahrettinkoca Who gives this vault test What is 350,000 a day :) Your dismissive O people? Your nose is not understanding that you are playing the Aksa Test</v>
      </c>
    </row>
    <row r="10287" spans="1:5" ht="15" customHeight="1" x14ac:dyDescent="0.2">
      <c r="A10287" s="1" t="s">
        <v>20411</v>
      </c>
      <c r="B10287" s="1">
        <v>0</v>
      </c>
      <c r="C10287" s="3">
        <v>44535.754317129627</v>
      </c>
      <c r="D10287" s="1" t="s">
        <v>20412</v>
      </c>
      <c r="E10287" s="1" t="str">
        <f ca="1">IFERROR(__xludf.DUMMYFUNCTION("GOOGLETRANSLATE(A7086 , ""tr"" , ""en"")"),"@drfahrettinka https://t.co/zfvrogw48r")</f>
        <v>@drfahrettinka https://t.co/zfvrogw48r</v>
      </c>
    </row>
    <row r="10288" spans="1:5" ht="15" customHeight="1" x14ac:dyDescent="0.2">
      <c r="A10288" s="1" t="s">
        <v>20413</v>
      </c>
      <c r="B10288" s="1">
        <v>0</v>
      </c>
      <c r="C10288" s="3">
        <v>44535.753680555557</v>
      </c>
      <c r="D10288" s="1" t="s">
        <v>20414</v>
      </c>
      <c r="E10288" s="1" t="str">
        <f ca="1">IFERROR(__xludf.DUMMYFUNCTION("GOOGLETRANSLATE(A7087 , ""tr"" , ""en"")"),"@drfahrettinkoca Your only science has become vaccinated very many eyes too :)")</f>
        <v>@drfahrettinkoca Your only science has become vaccinated very many eyes too :)</v>
      </c>
    </row>
    <row r="10289" spans="1:5" ht="15" customHeight="1" x14ac:dyDescent="0.2">
      <c r="A10289" s="1" t="s">
        <v>20415</v>
      </c>
      <c r="B10289" s="1">
        <v>0</v>
      </c>
      <c r="C10289" s="3">
        <v>44535.753217592595</v>
      </c>
      <c r="D10289" s="1" t="s">
        <v>20416</v>
      </c>
      <c r="E10289" s="1" t="str">
        <f ca="1">IFERROR(__xludf.DUMMYFUNCTION("GOOGLETRANSLATE(A7088 , ""tr"" , ""en"")"),"@drfahrettinkoca vaccination is due to the stopping point of cases? : D Solved in nation What is now ... https://t.co/bpepdnrwlv")</f>
        <v>@drfahrettinkoca vaccination is due to the stopping point of cases? : D Solved in nation What is now ... https://t.co/bpepdnrwlv</v>
      </c>
    </row>
    <row r="10290" spans="1:5" ht="15" customHeight="1" x14ac:dyDescent="0.2">
      <c r="A10290" s="1" t="s">
        <v>20417</v>
      </c>
      <c r="B10290" s="1">
        <v>0</v>
      </c>
      <c r="C10290" s="3">
        <v>44535.752939814818</v>
      </c>
      <c r="D10290" s="1" t="s">
        <v>20418</v>
      </c>
      <c r="E10290" s="1" t="str">
        <f ca="1">IFERROR(__xludf.DUMMYFUNCTION("GOOGLETRANSLATE(A7089 , ""tr"" , ""en"")"),"@drfahrettinkoca Pantene Would you go to the Golden Butterfly Award SN.M")</f>
        <v>@drfahrettinkoca Pantene Would you go to the Golden Butterfly Award SN.M</v>
      </c>
    </row>
    <row r="10291" spans="1:5" ht="15" customHeight="1" x14ac:dyDescent="0.2">
      <c r="A10291" s="1" t="s">
        <v>20419</v>
      </c>
      <c r="B10291" s="1">
        <v>1</v>
      </c>
      <c r="C10291" s="3">
        <v>44535.752812500003</v>
      </c>
      <c r="D10291" s="1" t="s">
        <v>20420</v>
      </c>
      <c r="E10291" s="1" t="str">
        <f ca="1">IFERROR(__xludf.DUMMYFUNCTION("GOOGLETRANSLATE(A7090 , ""tr"" , ""en"")"),"@drfahrettinkoca Allow Allah Hardware #the online we are not online")</f>
        <v>@drfahrettinkoca Allow Allah Hardware #the online we are not online</v>
      </c>
    </row>
    <row r="10292" spans="1:5" ht="15" customHeight="1" x14ac:dyDescent="0.2">
      <c r="A10292" s="1" t="s">
        <v>20421</v>
      </c>
      <c r="B10292" s="1">
        <v>0</v>
      </c>
      <c r="C10292" s="3">
        <v>44535.752789351849</v>
      </c>
      <c r="D10292" s="1" t="s">
        <v>20422</v>
      </c>
      <c r="E10292" s="1" t="str">
        <f ca="1">IFERROR(__xludf.DUMMYFUNCTION("GOOGLETRANSLATE(A7091 , ""tr"" , ""en"")"),"@drfahrettinkoca Which vaccine pardon is either 81% Of the rates more than what vaccine is that you are disbanded")</f>
        <v>@drfahrettinkoca Which vaccine pardon is either 81% Of the rates more than what vaccine is that you are disbanded</v>
      </c>
    </row>
    <row r="10293" spans="1:5" ht="15" customHeight="1" x14ac:dyDescent="0.2">
      <c r="A10293" s="1" t="s">
        <v>20423</v>
      </c>
      <c r="B10293" s="1">
        <v>0</v>
      </c>
      <c r="C10293" s="3">
        <v>44535.752604166664</v>
      </c>
      <c r="D10293" s="1" t="s">
        <v>20424</v>
      </c>
      <c r="E10293" s="1" t="str">
        <f ca="1">IFERROR(__xludf.DUMMYFUNCTION("GOOGLETRANSLATE(A7092 , ""tr"" , ""en"")"),"@drfahrettinkoca Mr. Ministry of November In the November, we said that we were explained that the branches are still waiting what guide has stayed in what the assignment I think")</f>
        <v>@drfahrettinkoca Mr. Ministry of November In the November, we said that we were explained that the branches are still waiting what guide has stayed in what the assignment I think</v>
      </c>
    </row>
    <row r="10294" spans="1:5" ht="15" customHeight="1" x14ac:dyDescent="0.2">
      <c r="A10294" s="1" t="s">
        <v>20425</v>
      </c>
      <c r="B10294" s="1">
        <v>0</v>
      </c>
      <c r="C10294" s="3">
        <v>44535.752395833333</v>
      </c>
      <c r="D10294" s="1" t="s">
        <v>20426</v>
      </c>
      <c r="E10294" s="1" t="str">
        <f ca="1">IFERROR(__xludf.DUMMYFUNCTION("GOOGLETRANSLATE(A7093 , ""tr"" , ""en"")"),"@drfahrettinkoca continue to tweet. Do not take a measure to work.")</f>
        <v>@drfahrettinkoca continue to tweet. Do not take a measure to work.</v>
      </c>
    </row>
    <row r="10295" spans="1:5" ht="15" customHeight="1" x14ac:dyDescent="0.2">
      <c r="A10295" s="1" t="s">
        <v>20427</v>
      </c>
      <c r="B10295" s="1">
        <v>1</v>
      </c>
      <c r="C10295" s="3">
        <v>44535.752372685187</v>
      </c>
      <c r="D10295" s="1" t="s">
        <v>20428</v>
      </c>
      <c r="E10295" s="1" t="str">
        <f ca="1">IFERROR(__xludf.DUMMYFUNCTION("GOOGLETRANSLATE(A7094 , ""tr"" , ""en"")"),"@drfahrettinkoca If Allah helps you, there isn't to beat you. If he leaves you without help, after him who you are ... HTTPS://T.CO/HOIFDVKIEJ")</f>
        <v>@drfahrettinkoca If Allah helps you, there isn't to beat you. If he leaves you without help, after him who you are ... HTTPS://T.CO/HOIFDVKIEJ</v>
      </c>
    </row>
    <row r="10296" spans="1:5" ht="15" customHeight="1" x14ac:dyDescent="0.2">
      <c r="A10296" s="1" t="s">
        <v>20429</v>
      </c>
      <c r="B10296" s="1">
        <v>0</v>
      </c>
      <c r="C10296" s="3">
        <v>44535.751851851855</v>
      </c>
      <c r="D10296" s="1" t="s">
        <v>20430</v>
      </c>
      <c r="E10296" s="1" t="str">
        <f ca="1">IFERROR(__xludf.DUMMYFUNCTION("GOOGLETRANSLATE(A7095 , ""tr"" , ""en"")"),"@drfahrettinka ditto my minister")</f>
        <v>@drfahrettinka ditto my minister</v>
      </c>
    </row>
    <row r="10297" spans="1:5" ht="15" customHeight="1" x14ac:dyDescent="0.2">
      <c r="A10297" s="1" t="s">
        <v>20431</v>
      </c>
      <c r="B10297" s="1">
        <v>3</v>
      </c>
      <c r="C10297" s="3">
        <v>44535.751377314817</v>
      </c>
      <c r="D10297" s="1" t="s">
        <v>20432</v>
      </c>
      <c r="E10297" s="1" t="str">
        <f ca="1">IFERROR(__xludf.DUMMYFUNCTION("GOOGLETRANSLATE(A7096 , ""tr"" , ""en"")"),"@drfahrettinkoca or husband, you really believe these figures? Or fake bully pull out your ear ... https://t.co/yyntamfpcs")</f>
        <v>@drfahrettinkoca or husband, you really believe these figures? Or fake bully pull out your ear ... https://t.co/yyntamfpcs</v>
      </c>
    </row>
    <row r="10298" spans="1:5" ht="15" customHeight="1" x14ac:dyDescent="0.2">
      <c r="A10298" s="1" t="s">
        <v>20433</v>
      </c>
      <c r="B10298" s="1">
        <v>0</v>
      </c>
      <c r="C10298" s="3">
        <v>44535.749479166669</v>
      </c>
      <c r="D10298" s="1" t="s">
        <v>20434</v>
      </c>
      <c r="E10298" s="1" t="str">
        <f ca="1">IFERROR(__xludf.DUMMYFUNCTION("GOOGLETRANSLATE(A7097 , ""tr"" , ""en"")"),"@drfahrettinkoca I know you are reading line line ...")</f>
        <v>@drfahrettinkoca I know you are reading line line ...</v>
      </c>
    </row>
    <row r="10299" spans="1:5" ht="15" customHeight="1" x14ac:dyDescent="0.2">
      <c r="A10299" s="1" t="s">
        <v>20435</v>
      </c>
      <c r="B10299" s="1">
        <v>0</v>
      </c>
      <c r="C10299" s="3">
        <v>44535.749409722222</v>
      </c>
      <c r="D10299" s="1" t="s">
        <v>20436</v>
      </c>
      <c r="E10299" s="1" t="str">
        <f ca="1">IFERROR(__xludf.DUMMYFUNCTION("GOOGLETRANSLATE(A7098 , ""tr"" , ""en"")"),"@drfahrettinkoca numbers shares TURKS Heralde")</f>
        <v>@drfahrettinkoca numbers shares TURKS Heralde</v>
      </c>
    </row>
    <row r="10300" spans="1:5" ht="15" customHeight="1" x14ac:dyDescent="0.2">
      <c r="A10300" s="1" t="s">
        <v>20437</v>
      </c>
      <c r="B10300" s="1">
        <v>0</v>
      </c>
      <c r="C10300" s="3">
        <v>44535.749097222222</v>
      </c>
      <c r="D10300" s="1" t="s">
        <v>20438</v>
      </c>
      <c r="E10300" s="1" t="str">
        <f ca="1">IFERROR(__xludf.DUMMYFUNCTION("GOOGLETRANSLATE(A7099 , ""tr"" , ""en"")"),"@drfahrettinkoca what grabbed friends are in each course, every mutation, each variantian dign, non-regret, a thousand regrets.")</f>
        <v>@drfahrettinkoca what grabbed friends are in each course, every mutation, each variantian dign, non-regret, a thousand regrets.</v>
      </c>
    </row>
    <row r="10301" spans="1:5" ht="15" customHeight="1" x14ac:dyDescent="0.2">
      <c r="A10301" s="1" t="s">
        <v>20439</v>
      </c>
      <c r="B10301" s="1">
        <v>0</v>
      </c>
      <c r="C10301" s="3">
        <v>44535.748888888891</v>
      </c>
      <c r="D10301" s="1" t="s">
        <v>20440</v>
      </c>
      <c r="E10301" s="1" t="str">
        <f ca="1">IFERROR(__xludf.DUMMYFUNCTION("GOOGLETRANSLATE(A7100 , ""tr"" , ""en"")"),"@drfahrettinkoca he not said when omikron goes on the border when the border is crossing the limit")</f>
        <v>@drfahrettinkoca he not said when omikron goes on the border when the border is crossing the limit</v>
      </c>
    </row>
    <row r="10302" spans="1:5" ht="15" customHeight="1" x14ac:dyDescent="0.2">
      <c r="A10302" s="1" t="s">
        <v>20441</v>
      </c>
      <c r="B10302" s="1">
        <v>0</v>
      </c>
      <c r="C10302" s="3">
        <v>44535.748368055552</v>
      </c>
      <c r="D10302" s="1" t="s">
        <v>20442</v>
      </c>
      <c r="E10302" s="1" t="str">
        <f ca="1">IFERROR(__xludf.DUMMYFUNCTION("GOOGLETRANSLATE(A7101 , ""tr"" , ""en"")"),"@drfahrettinkoca Minister Bey Gene Gene Only Perception Gene Mountain Mouse.")</f>
        <v>@drfahrettinkoca Minister Bey Gene Gene Only Perception Gene Mountain Mouse.</v>
      </c>
    </row>
    <row r="10303" spans="1:5" ht="15" customHeight="1" x14ac:dyDescent="0.2">
      <c r="A10303" s="1" t="s">
        <v>20443</v>
      </c>
      <c r="B10303" s="1">
        <v>0</v>
      </c>
      <c r="C10303" s="3">
        <v>44535.747974537036</v>
      </c>
      <c r="D10303" s="1" t="s">
        <v>20444</v>
      </c>
      <c r="E10303" s="1" t="str">
        <f ca="1">IFERROR(__xludf.DUMMYFUNCTION("GOOGLETRANSLATE(A7102 , ""tr"" , ""en"")"),"@drfahrettinkoca 666 Fahrettin Assuring that they will not be trial how all the nation has been guinea pigs already ... https://t.co/acazzyy5ix")</f>
        <v>@drfahrettinkoca 666 Fahrettin Assuring that they will not be trial how all the nation has been guinea pigs already ... https://t.co/acazzyy5ix</v>
      </c>
    </row>
    <row r="10304" spans="1:5" ht="15" customHeight="1" x14ac:dyDescent="0.2">
      <c r="A10304" s="1" t="s">
        <v>20445</v>
      </c>
      <c r="B10304" s="1">
        <v>0</v>
      </c>
      <c r="C10304" s="3">
        <v>44535.747523148151</v>
      </c>
      <c r="D10304" s="1" t="s">
        <v>20446</v>
      </c>
      <c r="E10304" s="1" t="str">
        <f ca="1">IFERROR(__xludf.DUMMYFUNCTION("GOOGLETRANSLATE(A7103 , ""tr"" , ""en"")"),"@drfahrettinka vaccine ministry fulfills the global duty of the global diameter. The Ministry of Health.")</f>
        <v>@drfahrettinka vaccine ministry fulfills the global duty of the global diameter. The Ministry of Health.</v>
      </c>
    </row>
    <row r="10305" spans="1:5" ht="15" customHeight="1" x14ac:dyDescent="0.2">
      <c r="A10305" s="1" t="s">
        <v>20447</v>
      </c>
      <c r="B10305" s="1">
        <v>1</v>
      </c>
      <c r="C10305" s="3">
        <v>44535.747372685182</v>
      </c>
      <c r="D10305" s="1" t="s">
        <v>20448</v>
      </c>
      <c r="E10305" s="1" t="str">
        <f ca="1">IFERROR(__xludf.DUMMYFUNCTION("GOOGLETRANSLATE(A7104 , ""tr"" , ""en"")"),"@drfahrettinka Mr. Ministry of Osmaniye Kadirli County in the Daily Case Number of Case Cases Only 90 Thousand Copies ... https://t.co/yskmlchcfr")</f>
        <v>@drfahrettinka Mr. Ministry of Osmaniye Kadirli County in the Daily Case Number of Case Cases Only 90 Thousand Copies ... https://t.co/yskmlchcfr</v>
      </c>
    </row>
    <row r="10306" spans="1:5" ht="15" customHeight="1" x14ac:dyDescent="0.2">
      <c r="A10306" s="1" t="s">
        <v>20449</v>
      </c>
      <c r="B10306" s="1">
        <v>3</v>
      </c>
      <c r="C10306" s="3">
        <v>44535.747291666667</v>
      </c>
      <c r="D10306" s="1" t="s">
        <v>20450</v>
      </c>
      <c r="E10306" s="1" t="str">
        <f ca="1">IFERROR(__xludf.DUMMYFUNCTION("GOOGLETRANSLATE(A7105 , ""tr"" , ""en"")"),"@drfahrettinkoca Purpose To direct to private hospitals? https://t.co/upyIzf4yso")</f>
        <v>@drfahrettinkoca Purpose To direct to private hospitals? https://t.co/upyIzf4yso</v>
      </c>
    </row>
    <row r="10307" spans="1:5" ht="15" customHeight="1" x14ac:dyDescent="0.2">
      <c r="A10307" s="1" t="s">
        <v>20451</v>
      </c>
      <c r="B10307" s="1">
        <v>1</v>
      </c>
      <c r="C10307" s="3">
        <v>44535.747210648151</v>
      </c>
      <c r="D10307" s="1" t="s">
        <v>20452</v>
      </c>
      <c r="E10307" s="1" t="str">
        <f ca="1">IFERROR(__xludf.DUMMYFUNCTION("GOOGLETRANSLATE(A7106 , ""tr"" , ""en"")"),"@drfahrettinka Dear Minister Status Explain the real figures without getting worse or hundreds of people ... https://t.co/yp2atzjfwj")</f>
        <v>@drfahrettinka Dear Minister Status Explain the real figures without getting worse or hundreds of people ... https://t.co/yp2atzjfwj</v>
      </c>
    </row>
    <row r="10308" spans="1:5" ht="15" customHeight="1" x14ac:dyDescent="0.2">
      <c r="A10308" s="1" t="s">
        <v>20453</v>
      </c>
      <c r="B10308" s="1">
        <v>1</v>
      </c>
      <c r="C10308" s="3">
        <v>44535.747083333335</v>
      </c>
      <c r="D10308" s="1" t="s">
        <v>20454</v>
      </c>
      <c r="E10308" s="1" t="str">
        <f ca="1">IFERROR(__xludf.DUMMYFUNCTION("GOOGLETRANSLATE(A7107 , ""tr"" , ""en"")"),"@drfahrettinka Your said fluid is flu in the hospital in the yanlay treatment !!! The liar frauds you")</f>
        <v>@drfahrettinka Your said fluid is flu in the hospital in the yanlay treatment !!! The liar frauds you</v>
      </c>
    </row>
    <row r="10309" spans="1:5" ht="15" customHeight="1" x14ac:dyDescent="0.2">
      <c r="A10309" s="1" t="s">
        <v>20455</v>
      </c>
      <c r="B10309" s="1">
        <v>1</v>
      </c>
      <c r="C10309" s="3">
        <v>44535.746342592596</v>
      </c>
      <c r="D10309" s="1" t="s">
        <v>20456</v>
      </c>
      <c r="E10309" s="1" t="str">
        <f ca="1">IFERROR(__xludf.DUMMYFUNCTION("GOOGLETRANSLATE(A7108 , ""tr"" , ""en"")"),"@drfahrettinkoca I'm afraid to say this data? You are in the state's institution because of someone ... https://t.co/xzrr2kp1pe")</f>
        <v>@drfahrettinkoca I'm afraid to say this data? You are in the state's institution because of someone ... https://t.co/xzrr2kp1pe</v>
      </c>
    </row>
    <row r="10310" spans="1:5" ht="15" customHeight="1" x14ac:dyDescent="0.2">
      <c r="A10310" s="1" t="s">
        <v>20457</v>
      </c>
      <c r="B10310" s="1">
        <v>0</v>
      </c>
      <c r="C10310" s="3">
        <v>44535.74627314815</v>
      </c>
      <c r="D10310" s="1" t="s">
        <v>20458</v>
      </c>
      <c r="E10310" s="1" t="str">
        <f ca="1">IFERROR(__xludf.DUMMYFUNCTION("GOOGLETRANSLATE(A7109 , ""tr"" , ""en"")"),"@drfahrettinkoca oyy izlutrrrrrrr, 2 years Lutfen artic relaxed people people")</f>
        <v>@drfahrettinkoca oyy izlutrrrrrrr, 2 years Lutfen artic relaxed people people</v>
      </c>
    </row>
    <row r="10311" spans="1:5" ht="15" customHeight="1" x14ac:dyDescent="0.2">
      <c r="A10311" s="1" t="s">
        <v>20459</v>
      </c>
      <c r="B10311" s="1">
        <v>0</v>
      </c>
      <c r="C10311" s="3">
        <v>44535.746018518519</v>
      </c>
      <c r="D10311" s="1" t="s">
        <v>20460</v>
      </c>
      <c r="E10311" s="1" t="str">
        <f ca="1">IFERROR(__xludf.DUMMYFUNCTION("GOOGLETRANSLATE(A7110 , ""tr"" , ""en"")"),"@drfahrettinkoca selection is approaching cases falling in cases Congratulations ...")</f>
        <v>@drfahrettinkoca selection is approaching cases falling in cases Congratulations ...</v>
      </c>
    </row>
    <row r="10312" spans="1:5" ht="15" customHeight="1" x14ac:dyDescent="0.2">
      <c r="A10312" s="1" t="s">
        <v>20461</v>
      </c>
      <c r="B10312" s="1">
        <v>0</v>
      </c>
      <c r="C10312" s="3">
        <v>44535.745856481481</v>
      </c>
      <c r="D10312" s="1" t="s">
        <v>20462</v>
      </c>
      <c r="E10312" s="1" t="str">
        <f ca="1">IFERROR(__xludf.DUMMYFUNCTION("GOOGLETRANSLATE(A7111 , ""tr"" , ""en"")"),"@drfahrettinkoca is the reason why the majority was already sick and healed Sukur ... This is the only one to go and stop ... https://t.co/da7xscbnn9")</f>
        <v>@drfahrettinkoca is the reason why the majority was already sick and healed Sukur ... This is the only one to go and stop ... https://t.co/da7xscbnn9</v>
      </c>
    </row>
    <row r="10313" spans="1:5" ht="15" customHeight="1" x14ac:dyDescent="0.2">
      <c r="A10313" s="1" t="s">
        <v>20463</v>
      </c>
      <c r="B10313" s="1">
        <v>16</v>
      </c>
      <c r="C10313" s="3">
        <v>44535.745787037034</v>
      </c>
      <c r="D10313" s="1" t="s">
        <v>20464</v>
      </c>
      <c r="E10313" s="1" t="str">
        <f ca="1">IFERROR(__xludf.DUMMYFUNCTION("GOOGLETRANSLATE(A7112 , ""tr"" , ""en"")"),"@drfahrettinkoca is your kati in somehow your refusal but allah beliefs all the healthy and medical reading all the health sept ... https://t.co/o1xpehqat0")</f>
        <v>@drfahrettinkoca is your kati in somehow your refusal but allah beliefs all the healthy and medical reading all the health sept ... https://t.co/o1xpehqat0</v>
      </c>
    </row>
    <row r="10314" spans="1:5" ht="15" customHeight="1" x14ac:dyDescent="0.2">
      <c r="A10314" s="1" t="s">
        <v>20465</v>
      </c>
      <c r="B10314" s="1">
        <v>0</v>
      </c>
      <c r="C10314" s="3">
        <v>44535.745335648149</v>
      </c>
      <c r="D10314" s="1" t="s">
        <v>20466</v>
      </c>
      <c r="E10314" s="1" t="str">
        <f ca="1">IFERROR(__xludf.DUMMYFUNCTION("GOOGLETRANSLATE(A7113 , ""tr"" , ""en"")"),"@drfahrettinka says the situation of those who have vaccines. You are not WHO, your country's minister.")</f>
        <v>@drfahrettinka says the situation of those who have vaccines. You are not WHO, your country's minister.</v>
      </c>
    </row>
    <row r="10315" spans="1:5" ht="15" customHeight="1" x14ac:dyDescent="0.2">
      <c r="A10315" s="1" t="s">
        <v>20467</v>
      </c>
      <c r="B10315" s="1">
        <v>1</v>
      </c>
      <c r="C10315" s="3">
        <v>44535.744745370372</v>
      </c>
      <c r="D10315" s="1" t="s">
        <v>20468</v>
      </c>
      <c r="E10315" s="1" t="str">
        <f ca="1">IFERROR(__xludf.DUMMYFUNCTION("GOOGLETRANSLATE(A7114 , ""tr"" , ""en"")"),"@drfahrettinkoca # urgent. The Respect, Minister. The pharmaceutical areas are finally running out with the health board report. ... https://t.co/cwlsbktges")</f>
        <v>@drfahrettinkoca # urgent. The Respect, Minister. The pharmaceutical areas are finally running out with the health board report. ... https://t.co/cwlsbktges</v>
      </c>
    </row>
    <row r="10316" spans="1:5" ht="15" customHeight="1" x14ac:dyDescent="0.2">
      <c r="A10316" s="1" t="s">
        <v>20469</v>
      </c>
      <c r="B10316" s="1">
        <v>0</v>
      </c>
      <c r="C10316" s="3">
        <v>44535.74459490741</v>
      </c>
      <c r="D10316" s="1" t="s">
        <v>20470</v>
      </c>
      <c r="E10316" s="1" t="str">
        <f ca="1">IFERROR(__xludf.DUMMYFUNCTION("GOOGLETRANSLATE(A7115 , ""tr"" , ""en"")"),"@drfahrettinkoca You've tried hard Mr. Minister Valla Night daytime !! You made sanctions to non-vaccines, vaccines ... https://t.co/fvsjmpbeku")</f>
        <v>@drfahrettinkoca You've tried hard Mr. Minister Valla Night daytime !! You made sanctions to non-vaccines, vaccines ... https://t.co/fvsjmpbeku</v>
      </c>
    </row>
    <row r="10317" spans="1:5" ht="15" customHeight="1" x14ac:dyDescent="0.2">
      <c r="A10317" s="1" t="s">
        <v>20471</v>
      </c>
      <c r="B10317" s="1">
        <v>0</v>
      </c>
      <c r="C10317" s="3">
        <v>44535.744537037041</v>
      </c>
      <c r="D10317" s="1" t="s">
        <v>20472</v>
      </c>
      <c r="E10317" s="1" t="str">
        <f ca="1">IFERROR(__xludf.DUMMYFUNCTION("GOOGLETRANSLATE(A7116 , ""tr"" , ""en"")"),"@drfahrettinkoca @saglikbakanki thanks Covid Minister")</f>
        <v>@drfahrettinkoca @saglikbakanki thanks Covid Minister</v>
      </c>
    </row>
    <row r="10318" spans="1:5" ht="15" customHeight="1" x14ac:dyDescent="0.2">
      <c r="A10318" s="1" t="s">
        <v>20473</v>
      </c>
      <c r="B10318" s="1">
        <v>0</v>
      </c>
      <c r="C10318" s="3">
        <v>44535.744490740741</v>
      </c>
      <c r="D10318" s="1" t="s">
        <v>20474</v>
      </c>
      <c r="E10318" s="1" t="str">
        <f ca="1">IFERROR(__xludf.DUMMYFUNCTION("GOOGLETRANSLATE(A7117 , ""tr"" , ""en"")"),"@drfahrettinkoca La My son decreased in vaccination decreased in cases 😉 Drop the remove prohibitions.✍")</f>
        <v>@drfahrettinkoca La My son decreased in vaccination decreased in cases 😉 Drop the remove prohibitions.✍</v>
      </c>
    </row>
    <row r="10319" spans="1:5" ht="15" customHeight="1" x14ac:dyDescent="0.2">
      <c r="A10319" s="1" t="s">
        <v>20475</v>
      </c>
      <c r="B10319" s="1">
        <v>1</v>
      </c>
      <c r="C10319" s="3">
        <v>44535.744375000002</v>
      </c>
      <c r="D10319" s="1" t="s">
        <v>20476</v>
      </c>
      <c r="E10319" s="1" t="str">
        <f ca="1">IFERROR(__xludf.DUMMYFUNCTION("GOOGLETRANSLATE(A7118 , ""tr"" , ""en"")"),"@drfahrettinkoca drug seller, map painting 666 honorary respond to https://t.co/riyavnwlnf")</f>
        <v>@drfahrettinkoca drug seller, map painting 666 honorary respond to https://t.co/riyavnwlnf</v>
      </c>
    </row>
    <row r="10320" spans="1:5" ht="15" customHeight="1" x14ac:dyDescent="0.2">
      <c r="A10320" s="1" t="s">
        <v>20477</v>
      </c>
      <c r="B10320" s="1">
        <v>0</v>
      </c>
      <c r="C10320" s="3">
        <v>44535.743587962963</v>
      </c>
      <c r="D10320" s="1" t="s">
        <v>20478</v>
      </c>
      <c r="E10320" s="1" t="str">
        <f ca="1">IFERROR(__xludf.DUMMYFUNCTION("GOOGLETRANSLATE(A7119 , ""tr"" , ""en"")"),"@drfahrettinkoca continue to the game Reset directly.")</f>
        <v>@drfahrettinkoca continue to the game Reset directly.</v>
      </c>
    </row>
    <row r="10321" spans="1:5" ht="15" customHeight="1" x14ac:dyDescent="0.2">
      <c r="A10321" s="1" t="s">
        <v>20479</v>
      </c>
      <c r="B10321" s="1">
        <v>3</v>
      </c>
      <c r="C10321" s="3">
        <v>44535.743101851855</v>
      </c>
      <c r="D10321" s="1" t="s">
        <v>20480</v>
      </c>
      <c r="E10321" s="1" t="str">
        <f ca="1">IFERROR(__xludf.DUMMYFUNCTION("GOOGLETRANSLATE(A7120 , ""tr"" , ""en"")"),"@drfahrettinkoca #kabinezkusagionlinistine Allah Know You GIBI Made Hemi Yaşicılsr You")</f>
        <v>@drfahrettinkoca #kabinezkusagionlinistine Allah Know You GIBI Made Hemi Yaşicılsr You</v>
      </c>
    </row>
    <row r="10322" spans="1:5" ht="15" customHeight="1" x14ac:dyDescent="0.2">
      <c r="A10322" s="1" t="s">
        <v>20481</v>
      </c>
      <c r="B10322" s="1">
        <v>0</v>
      </c>
      <c r="C10322" s="3">
        <v>44535.742928240739</v>
      </c>
      <c r="D10322" s="1" t="s">
        <v>20482</v>
      </c>
      <c r="E10322" s="1" t="str">
        <f ca="1">IFERROR(__xludf.DUMMYFUNCTION("GOOGLETRANSLATE(A7121 , ""tr"" , ""en"")"),"@drfahrettinka https://t.co/tsitnlv52j")</f>
        <v>@drfahrettinka https://t.co/tsitnlv52j</v>
      </c>
    </row>
    <row r="10323" spans="1:5" ht="15" customHeight="1" x14ac:dyDescent="0.2">
      <c r="A10323" s="1" t="s">
        <v>20483</v>
      </c>
      <c r="B10323" s="1">
        <v>0</v>
      </c>
      <c r="C10323" s="3">
        <v>44535.742708333331</v>
      </c>
      <c r="D10323" s="1" t="s">
        <v>20484</v>
      </c>
      <c r="E10323" s="1" t="str">
        <f ca="1">IFERROR(__xludf.DUMMYFUNCTION("GOOGLETRANSLATE(A7122 , ""tr"" , ""en"")"),"@drfahrettinkoca bill in fluid very important tiny kids, teens, seniors healthy people to kill")</f>
        <v>@drfahrettinkoca bill in fluid very important tiny kids, teens, seniors healthy people to kill</v>
      </c>
    </row>
    <row r="10324" spans="1:5" ht="15" customHeight="1" x14ac:dyDescent="0.2">
      <c r="A10324" s="1" t="s">
        <v>20485</v>
      </c>
      <c r="B10324" s="1">
        <v>1</v>
      </c>
      <c r="C10324" s="3">
        <v>44535.742615740739</v>
      </c>
      <c r="D10324" s="1" t="s">
        <v>20486</v>
      </c>
      <c r="E10324" s="1" t="str">
        <f ca="1">IFERROR(__xludf.DUMMYFUNCTION("GOOGLETRANSLATE(A7123 , ""tr"" , ""en"")"),"@drfahrettinkoca grafted ones also hit each other to die. Https://t.co/ka1ohd9rf to collaborate with DSO called evil structure ... https://t.co/kae1ohd9rf")</f>
        <v>@drfahrettinkoca grafted ones also hit each other to die. Https://t.co/ka1ohd9rf to collaborate with DSO called evil structure ... https://t.co/kae1ohd9rf</v>
      </c>
    </row>
    <row r="10325" spans="1:5" ht="15" customHeight="1" x14ac:dyDescent="0.2">
      <c r="A10325" s="1" t="s">
        <v>20487</v>
      </c>
      <c r="B10325" s="1">
        <v>0</v>
      </c>
      <c r="C10325" s="3">
        <v>44535.742418981485</v>
      </c>
      <c r="D10325" s="1" t="s">
        <v>20488</v>
      </c>
      <c r="E10325" s="1" t="str">
        <f ca="1">IFERROR(__xludf.DUMMYFUNCTION("GOOGLETRANSLATE(A7124 , ""tr"" , ""en"")"),"@drfahrettinkoca Mr. husband If you do not turn off the closed areas, you can't see the number of cases under 30000 after this Omicron VARIAN")</f>
        <v>@drfahrettinkoca Mr. husband If you do not turn off the closed areas, you can't see the number of cases under 30000 after this Omicron VARIAN</v>
      </c>
    </row>
    <row r="10326" spans="1:5" ht="15" customHeight="1" x14ac:dyDescent="0.2">
      <c r="A10326" s="1" t="s">
        <v>20489</v>
      </c>
      <c r="B10326" s="1">
        <v>4</v>
      </c>
      <c r="C10326" s="3">
        <v>44535.742013888892</v>
      </c>
      <c r="D10326" s="1" t="s">
        <v>20490</v>
      </c>
      <c r="E10326" s="1" t="str">
        <f ca="1">IFERROR(__xludf.DUMMYFUNCTION("GOOGLETRANSLATE(A7125 , ""tr"" , ""en"")"),"@drfahrettinkoca either enough enough !!! My psychology from your face was upset. What do you want from us? Leave comfortable ... https://t.co/g2gowcutyj")</f>
        <v>@drfahrettinkoca either enough enough !!! My psychology from your face was upset. What do you want from us? Leave comfortable ... https://t.co/g2gowcutyj</v>
      </c>
    </row>
    <row r="10327" spans="1:5" ht="15" customHeight="1" x14ac:dyDescent="0.2">
      <c r="A10327" s="1" t="s">
        <v>20491</v>
      </c>
      <c r="B10327" s="1">
        <v>0</v>
      </c>
      <c r="C10327" s="3">
        <v>44535.741770833331</v>
      </c>
      <c r="D10327" s="1" t="s">
        <v>20492</v>
      </c>
      <c r="E10327" s="1" t="str">
        <f ca="1">IFERROR(__xludf.DUMMYFUNCTION("GOOGLETRANSLATE(A7126 , ""tr"" , ""en"")"),"@drfahrettinkoca oohhoo! We are torn. Let's be comfortable.")</f>
        <v>@drfahrettinkoca oohhoo! We are torn. Let's be comfortable.</v>
      </c>
    </row>
    <row r="10328" spans="1:5" ht="15" customHeight="1" x14ac:dyDescent="0.2">
      <c r="A10328" s="1" t="s">
        <v>20493</v>
      </c>
      <c r="B10328" s="1">
        <v>1</v>
      </c>
      <c r="C10328" s="3">
        <v>44535.741122685184</v>
      </c>
      <c r="D10328" s="1" t="s">
        <v>20494</v>
      </c>
      <c r="E10328" s="1" t="str">
        <f ca="1">IFERROR(__xludf.DUMMYFUNCTION("GOOGLETRANSLATE(A7127 , ""tr"" , ""en"")"),"@drfahrettinka schools are closed though cases increase ztn 👍")</f>
        <v>@drfahrettinka schools are closed though cases increase ztn 👍</v>
      </c>
    </row>
    <row r="10329" spans="1:5" ht="15" customHeight="1" x14ac:dyDescent="0.2">
      <c r="A10329" s="1" t="s">
        <v>20495</v>
      </c>
      <c r="B10329" s="1">
        <v>1</v>
      </c>
      <c r="C10329" s="3">
        <v>44535.740983796299</v>
      </c>
      <c r="D10329" s="1" t="s">
        <v>20496</v>
      </c>
      <c r="E10329" s="1" t="str">
        <f ca="1">IFERROR(__xludf.DUMMYFUNCTION("GOOGLETRANSLATE(A7128 , ""tr"" , ""en"")"),"@drfahrettinkoca Numbers You have received Tuik, Dear Minister The reason for the numbers of numbers is tomorrow Cabinet meeting ... https://t.co/x2ppuewj33")</f>
        <v>@drfahrettinkoca Numbers You have received Tuik, Dear Minister The reason for the numbers of numbers is tomorrow Cabinet meeting ... https://t.co/x2ppuewj33</v>
      </c>
    </row>
    <row r="10330" spans="1:5" ht="15" customHeight="1" x14ac:dyDescent="0.2">
      <c r="A10330" s="1" t="s">
        <v>20497</v>
      </c>
      <c r="B10330" s="1">
        <v>83</v>
      </c>
      <c r="C10330" s="3">
        <v>44535.740972222222</v>
      </c>
      <c r="D10330" s="1" t="s">
        <v>20498</v>
      </c>
      <c r="E10330" s="1" t="str">
        <f ca="1">IFERROR(__xludf.DUMMYFUNCTION("GOOGLETRANSLATE(A7129 , ""tr"" , ""en"")"),"@drfahrettinkoca even with the data you give, the number of cases is very high but as if everything is finished and returned to normal ... https://t.co/I0truujdia")</f>
        <v>@drfahrettinkoca even with the data you give, the number of cases is very high but as if everything is finished and returned to normal ... https://t.co/I0truujdia</v>
      </c>
    </row>
    <row r="10331" spans="1:5" ht="15" customHeight="1" x14ac:dyDescent="0.2">
      <c r="A10331" s="1" t="s">
        <v>20499</v>
      </c>
      <c r="B10331" s="1">
        <v>0</v>
      </c>
      <c r="C10331" s="3">
        <v>44535.740069444444</v>
      </c>
      <c r="D10331" s="1" t="s">
        <v>20500</v>
      </c>
      <c r="E10331" s="1" t="str">
        <f ca="1">IFERROR(__xludf.DUMMYFUNCTION("GOOGLETRANSLATE(A7130 , ""tr"" , ""en"")"),"@drfahrettinkoca cases fall what happen if you are going to be the tourists to the country where we are going to the country where we are in my opinion is no need to be in vaccine")</f>
        <v>@drfahrettinkoca cases fall what happen if you are going to be the tourists to the country where we are going to the country where we are in my opinion is no need to be in vaccine</v>
      </c>
    </row>
    <row r="10332" spans="1:5" ht="15" customHeight="1" x14ac:dyDescent="0.2">
      <c r="A10332" s="1" t="s">
        <v>20501</v>
      </c>
      <c r="B10332" s="1">
        <v>24</v>
      </c>
      <c r="C10332" s="3">
        <v>44535.739988425928</v>
      </c>
      <c r="D10332" s="1" t="s">
        <v>20502</v>
      </c>
      <c r="E10332" s="1" t="str">
        <f ca="1">IFERROR(__xludf.DUMMYFUNCTION("GOOGLETRANSLATE(A7131 , ""tr"" , ""en"")"),"@drfahrettinkoca Minister Bey Omicron Variant Increase in the South Africa and the official graphics showing the decline in deaths.1 ... https://t.co/bgefhfocb3")</f>
        <v>@drfahrettinkoca Minister Bey Omicron Variant Increase in the South Africa and the official graphics showing the decline in deaths.1 ... https://t.co/bgefhfocb3</v>
      </c>
    </row>
    <row r="10333" spans="1:5" ht="15" customHeight="1" x14ac:dyDescent="0.2">
      <c r="A10333" s="1" t="s">
        <v>20503</v>
      </c>
      <c r="B10333" s="1">
        <v>2</v>
      </c>
      <c r="C10333" s="3">
        <v>44535.739560185182</v>
      </c>
      <c r="D10333" s="1" t="s">
        <v>20504</v>
      </c>
      <c r="E10333" s="1" t="str">
        <f ca="1">IFERROR(__xludf.DUMMYFUNCTION("GOOGLETRANSLATE(A7132 , ""tr"" , ""en"")"),"@drfahrettinkoca Sinovac After Biontech vaccine 2. What data does not open the right of Biontech? This is ... https://t.co/sqfyy68d0h")</f>
        <v>@drfahrettinkoca Sinovac After Biontech vaccine 2. What data does not open the right of Biontech? This is ... https://t.co/sqfyy68d0h</v>
      </c>
    </row>
    <row r="10334" spans="1:5" ht="15" customHeight="1" x14ac:dyDescent="0.2">
      <c r="A10334" s="1" t="s">
        <v>20505</v>
      </c>
      <c r="B10334" s="1">
        <v>0</v>
      </c>
      <c r="C10334" s="3">
        <v>44535.739120370374</v>
      </c>
      <c r="D10334" s="1" t="s">
        <v>20506</v>
      </c>
      <c r="E10334" s="1" t="str">
        <f ca="1">IFERROR(__xludf.DUMMYFUNCTION("GOOGLETRANSLATE(A7133 , ""tr"" , ""en"")"),"@drfahrettinkoca pfizer documents in patients with hospitals and doctors in patients Https://t.co/vhlgqzloam")</f>
        <v>@drfahrettinkoca pfizer documents in patients with hospitals and doctors in patients Https://t.co/vhlgqzloam</v>
      </c>
    </row>
    <row r="10335" spans="1:5" ht="15" customHeight="1" x14ac:dyDescent="0.2">
      <c r="A10335" s="1" t="s">
        <v>20507</v>
      </c>
      <c r="B10335" s="1">
        <v>34</v>
      </c>
      <c r="C10335" s="3">
        <v>44535.739120370374</v>
      </c>
      <c r="D10335" s="1" t="s">
        <v>20508</v>
      </c>
      <c r="E10335" s="1" t="str">
        <f ca="1">IFERROR(__xludf.DUMMYFUNCTION("GOOGLETRANSLATE(A7134 , ""tr"" , ""en"")"),"@drfahrettinka you fail in both health and education !! #the cabinet linizing")</f>
        <v>@drfahrettinka you fail in both health and education !! #the cabinet linizing</v>
      </c>
    </row>
    <row r="10336" spans="1:5" ht="15" customHeight="1" x14ac:dyDescent="0.2">
      <c r="A10336" s="1" t="s">
        <v>20509</v>
      </c>
      <c r="B10336" s="1">
        <v>0</v>
      </c>
      <c r="C10336" s="3">
        <v>44535.738379629627</v>
      </c>
      <c r="D10336" s="1" t="s">
        <v>20510</v>
      </c>
      <c r="E10336" s="1" t="str">
        <f ca="1">IFERROR(__xludf.DUMMYFUNCTION("GOOGLETRANSLATE(A7135 , ""tr"" , ""en"")"),"@drfahrettinkoca testing number of tests also falls in the case. Test 370 thousand and see it in case.")</f>
        <v>@drfahrettinkoca testing number of tests also falls in the case. Test 370 thousand and see it in case.</v>
      </c>
    </row>
    <row r="10337" spans="1:5" ht="15" customHeight="1" x14ac:dyDescent="0.2">
      <c r="A10337" s="1" t="s">
        <v>20511</v>
      </c>
      <c r="B10337" s="1">
        <v>0</v>
      </c>
      <c r="C10337" s="3">
        <v>44535.738344907404</v>
      </c>
      <c r="D10337" s="1" t="s">
        <v>20512</v>
      </c>
      <c r="E10337" s="1" t="str">
        <f ca="1">IFERROR(__xludf.DUMMYFUNCTION("GOOGLETRANSLATE(A7136 , ""tr"" , ""en"")"),"@drfahrettinkoca 90% Vaccinated More Hosts of Koyoclivist Honorary Children, Teenagers fall and die while you are immortal in the holand ... HTTPS://T.CO/LIUEYM3V8A")</f>
        <v>@drfahrettinkoca 90% Vaccinated More Hosts of Koyoclivist Honorary Children, Teenagers fall and die while you are immortal in the holand ... HTTPS://T.CO/LIUEYM3V8A</v>
      </c>
    </row>
    <row r="10338" spans="1:5" ht="15" customHeight="1" x14ac:dyDescent="0.2">
      <c r="A10338" s="1" t="s">
        <v>20513</v>
      </c>
      <c r="B10338" s="1">
        <v>0</v>
      </c>
      <c r="C10338" s="3">
        <v>44535.738113425927</v>
      </c>
      <c r="D10338" s="1" t="s">
        <v>20514</v>
      </c>
      <c r="E10338" s="1" t="str">
        <f ca="1">IFERROR(__xludf.DUMMYFUNCTION("GOOGLETRANSLATE(A7137 , ""tr"" , ""en"")"),"@drfahrettinkoca no longer gone to the test, no one in the test of the graffle will bring the distance to the dying of the halt not 2 uncle ... https://t.co/mvorplgwwm")</f>
        <v>@drfahrettinkoca no longer gone to the test, no one in the test of the graffle will bring the distance to the dying of the halt not 2 uncle ... https://t.co/mvorplgwwm</v>
      </c>
    </row>
    <row r="10339" spans="1:5" ht="15" customHeight="1" x14ac:dyDescent="0.2">
      <c r="A10339" s="1" t="s">
        <v>20515</v>
      </c>
      <c r="B10339" s="1">
        <v>46</v>
      </c>
      <c r="C10339" s="3">
        <v>44535.737905092596</v>
      </c>
      <c r="D10339" s="1" t="s">
        <v>20516</v>
      </c>
      <c r="E10339" s="1" t="str">
        <f ca="1">IFERROR(__xludf.DUMMYFUNCTION("GOOGLETRANSLATE(A7138 , ""tr"" , ""en"")"),"@drfahrettinkoca Online Training You have to have to have to comeAaaaaaaaaa! Understand these people now ... https://t.co/qohltoygsb")</f>
        <v>@drfahrettinkoca Online Training You have to have to have to comeAaaaaaaaaa! Understand these people now ... https://t.co/qohltoygsb</v>
      </c>
    </row>
    <row r="10340" spans="1:5" ht="15" customHeight="1" x14ac:dyDescent="0.2">
      <c r="A10340" s="1" t="s">
        <v>20517</v>
      </c>
      <c r="B10340" s="1">
        <v>0</v>
      </c>
      <c r="C10340" s="3">
        <v>44535.737905092596</v>
      </c>
      <c r="D10340" s="1" t="s">
        <v>20518</v>
      </c>
      <c r="E10340" s="1" t="str">
        <f ca="1">IFERROR(__xludf.DUMMYFUNCTION("GOOGLETRANSLATE(A7139 , ""tr"" , ""en"")"),"@drfahrettinkoca Meali; 'We can't poison it, we haven't killed yet, be your liquids immediately! Tal ... https://t.co/ro1uuig64l")</f>
        <v>@drfahrettinkoca Meali; 'We can't poison it, we haven't killed yet, be your liquids immediately! Tal ... https://t.co/ro1uuig64l</v>
      </c>
    </row>
    <row r="10341" spans="1:5" ht="15" customHeight="1" x14ac:dyDescent="0.2">
      <c r="A10341" s="1" t="s">
        <v>20519</v>
      </c>
      <c r="B10341" s="1">
        <v>0</v>
      </c>
      <c r="C10341" s="3">
        <v>44535.737824074073</v>
      </c>
      <c r="D10341" s="1" t="s">
        <v>20520</v>
      </c>
      <c r="E10341" s="1" t="str">
        <f ca="1">IFERROR(__xludf.DUMMYFUNCTION("GOOGLETRANSLATE(A7140 , ""tr"" , ""en"")"),"@drfahrettinkoca you must remove HEPP completely. Life doesn't fit home, we won't fit in fit people, robot ... https://t.co/xyymaotpdv")</f>
        <v>@drfahrettinkoca you must remove HEPP completely. Life doesn't fit home, we won't fit in fit people, robot ... https://t.co/xyymaotpdv</v>
      </c>
    </row>
    <row r="10342" spans="1:5" ht="15" customHeight="1" x14ac:dyDescent="0.2">
      <c r="A10342" s="1" t="s">
        <v>20521</v>
      </c>
      <c r="B10342" s="1">
        <v>1</v>
      </c>
      <c r="C10342" s="3">
        <v>44535.737685185188</v>
      </c>
      <c r="D10342" s="1" t="s">
        <v>20522</v>
      </c>
      <c r="E10342" s="1" t="str">
        <f ca="1">IFERROR(__xludf.DUMMYFUNCTION("GOOGLETRANSLATE(A7141 , ""tr"" , ""en"")"),"@drfahrettinkoca is the pointless mask that causes discussions among people as no work ... https://t.co/munoyvyy3a")</f>
        <v>@drfahrettinkoca is the pointless mask that causes discussions among people as no work ... https://t.co/munoyvyy3a</v>
      </c>
    </row>
    <row r="10343" spans="1:5" ht="15" customHeight="1" x14ac:dyDescent="0.2">
      <c r="A10343" s="1" t="s">
        <v>20523</v>
      </c>
      <c r="B10343" s="1">
        <v>0</v>
      </c>
      <c r="C10343" s="3">
        <v>44535.737615740742</v>
      </c>
      <c r="D10343" s="1" t="s">
        <v>20524</v>
      </c>
      <c r="E10343" s="1" t="str">
        <f ca="1">IFERROR(__xludf.DUMMYFUNCTION("GOOGLETRANSLATE(A7142 , ""tr"" , ""en"")"),"@drfahrettinkoca allows you to taste unless you give the truth, Faho Your Challenge Your Challenge is the chassis fucker")</f>
        <v>@drfahrettinkoca allows you to taste unless you give the truth, Faho Your Challenge Your Challenge is the chassis fucker</v>
      </c>
    </row>
    <row r="10344" spans="1:5" ht="15" customHeight="1" x14ac:dyDescent="0.2">
      <c r="A10344" s="1" t="s">
        <v>20525</v>
      </c>
      <c r="B10344" s="1">
        <v>0</v>
      </c>
      <c r="C10344" s="3">
        <v>44535.73746527778</v>
      </c>
      <c r="D10344" s="1" t="s">
        <v>20526</v>
      </c>
      <c r="E10344" s="1" t="str">
        <f ca="1">IFERROR(__xludf.DUMMYFUNCTION("GOOGLETRANSLATE(A7143 , ""tr"" , ""en"")"),"@drfahrettinkoca you still say the vaccine is no fear of God I understood")</f>
        <v>@drfahrettinkoca you still say the vaccine is no fear of God I understood</v>
      </c>
    </row>
    <row r="10345" spans="1:5" ht="15" customHeight="1" x14ac:dyDescent="0.2">
      <c r="A10345" s="1" t="s">
        <v>20527</v>
      </c>
      <c r="B10345" s="1">
        <v>34</v>
      </c>
      <c r="C10345" s="3">
        <v>44535.737314814818</v>
      </c>
      <c r="D10345" s="1" t="s">
        <v>20528</v>
      </c>
      <c r="E10345" s="1" t="str">
        <f ca="1">IFERROR(__xludf.DUMMYFUNCTION("GOOGLETRANSLATE(A7144 , ""tr"" , ""en"")"),"@drfahrettinka we want new editing in education. Don't worry we will fix the economy very much, you are the following schools ... https://t.co/xdqey4vlbi")</f>
        <v>@drfahrettinka we want new editing in education. Don't worry we will fix the economy very much, you are the following schools ... https://t.co/xdqey4vlbi</v>
      </c>
    </row>
    <row r="10346" spans="1:5" ht="15" customHeight="1" x14ac:dyDescent="0.2">
      <c r="A10346" s="1" t="s">
        <v>20529</v>
      </c>
      <c r="B10346" s="1">
        <v>1</v>
      </c>
      <c r="C10346" s="3">
        <v>44535.737233796295</v>
      </c>
      <c r="D10346" s="1" t="s">
        <v>20530</v>
      </c>
      <c r="E10346" s="1" t="str">
        <f ca="1">IFERROR(__xludf.DUMMYFUNCTION("GOOGLETRANSLATE(A7145 , ""tr"" , ""en"")"),"@drfahrettinkoca is not well located in hospitals too! BURSA !")</f>
        <v>@drfahrettinkoca is not well located in hospitals too! BURSA !</v>
      </c>
    </row>
    <row r="10347" spans="1:5" ht="15" customHeight="1" x14ac:dyDescent="0.2">
      <c r="A10347" s="1" t="s">
        <v>20531</v>
      </c>
      <c r="B10347" s="1">
        <v>0</v>
      </c>
      <c r="C10347" s="3">
        <v>44535.737222222226</v>
      </c>
      <c r="D10347" s="1" t="s">
        <v>20532</v>
      </c>
      <c r="E10347" s="1" t="str">
        <f ca="1">IFERROR(__xludf.DUMMYFUNCTION("GOOGLETRANSLATE(A7146 , ""tr"" , ""en"")"),"@drfahrettinkoca Mr. Ministry is no longer the number of cases but if we hear the number of assignments no longer waiting for @drfahrettinkoca 3")</f>
        <v>@drfahrettinkoca Mr. Ministry is no longer the number of cases but if we hear the number of assignments no longer waiting for @drfahrettinkoca 3</v>
      </c>
    </row>
    <row r="10348" spans="1:5" ht="15" customHeight="1" x14ac:dyDescent="0.2">
      <c r="A10348" s="1" t="s">
        <v>20533</v>
      </c>
      <c r="B10348" s="1">
        <v>0</v>
      </c>
      <c r="C10348" s="3">
        <v>44535.736388888887</v>
      </c>
      <c r="D10348" s="1" t="s">
        <v>20534</v>
      </c>
      <c r="E10348" s="1" t="str">
        <f ca="1">IFERROR(__xludf.DUMMYFUNCTION("GOOGLETRANSLATE(A7147 , ""tr"" , ""en"")"),"@drfahrettinkoca y")</f>
        <v>@drfahrettinkoca y</v>
      </c>
    </row>
    <row r="10349" spans="1:5" ht="15" customHeight="1" x14ac:dyDescent="0.2">
      <c r="A10349" s="1" t="s">
        <v>20535</v>
      </c>
      <c r="B10349" s="1">
        <v>0</v>
      </c>
      <c r="C10349" s="3">
        <v>44535.736296296294</v>
      </c>
      <c r="D10349" s="1" t="s">
        <v>20536</v>
      </c>
      <c r="E10349" s="1" t="str">
        <f ca="1">IFERROR(__xludf.DUMMYFUNCTION("GOOGLETRANSLATE(A7148 , ""tr"" , ""en"")"),"@drfahrettinkoca Istanbul is approaching blue 👍")</f>
        <v>@drfahrettinkoca Istanbul is approaching blue 👍</v>
      </c>
    </row>
    <row r="10350" spans="1:5" ht="15" customHeight="1" x14ac:dyDescent="0.2">
      <c r="A10350" s="1" t="s">
        <v>20537</v>
      </c>
      <c r="B10350" s="1">
        <v>0</v>
      </c>
      <c r="C10350" s="3">
        <v>44535.736238425925</v>
      </c>
      <c r="D10350" s="1" t="s">
        <v>20538</v>
      </c>
      <c r="E10350" s="1" t="str">
        <f ca="1">IFERROR(__xludf.DUMMYFUNCTION("GOOGLETRANSLATE(A7149 , ""tr"" , ""en"")"),"@drfahrettinkoca Bak in our grandmothers at our grandmothers Bidı Torunleri Külarlar Kuşlar Keep Such Astitute Continue to be stupid")</f>
        <v>@drfahrettinkoca Bak in our grandmothers at our grandmothers Bidı Torunleri Külarlar Kuşlar Keep Such Astitute Continue to be stupid</v>
      </c>
    </row>
    <row r="10351" spans="1:5" ht="15" customHeight="1" x14ac:dyDescent="0.2">
      <c r="A10351" s="1" t="s">
        <v>20539</v>
      </c>
      <c r="B10351" s="1">
        <v>0</v>
      </c>
      <c r="C10351" s="3">
        <v>44535.735625000001</v>
      </c>
      <c r="D10351" s="1" t="s">
        <v>20540</v>
      </c>
      <c r="E10351" s="1" t="str">
        <f ca="1">IFERROR(__xludf.DUMMYFUNCTION("GOOGLETRANSLATE(A7150 , ""tr"" , ""en"")"),"@drfahrettinkoca 19.357 I thought a dollar dry. Dollars in the country do not fall but the case numbers fall")</f>
        <v>@drfahrettinkoca 19.357 I thought a dollar dry. Dollars in the country do not fall but the case numbers fall</v>
      </c>
    </row>
    <row r="10352" spans="1:5" ht="15" customHeight="1" x14ac:dyDescent="0.2">
      <c r="A10352" s="1" t="s">
        <v>20541</v>
      </c>
      <c r="B10352" s="1">
        <v>0</v>
      </c>
      <c r="C10352" s="3">
        <v>44535.735474537039</v>
      </c>
      <c r="D10352" s="1" t="s">
        <v>20542</v>
      </c>
      <c r="E10352" s="1" t="str">
        <f ca="1">IFERROR(__xludf.DUMMYFUNCTION("GOOGLETRANSLATE(A7151 , ""tr"" , ""en"")"),"@drfahrettinka non-vaccines should not go out")</f>
        <v>@drfahrettinka non-vaccines should not go out</v>
      </c>
    </row>
    <row r="10353" spans="1:5" ht="15" customHeight="1" x14ac:dyDescent="0.2">
      <c r="A10353" s="1" t="s">
        <v>20543</v>
      </c>
      <c r="B10353" s="1">
        <v>3</v>
      </c>
      <c r="C10353" s="3">
        <v>44535.735335648147</v>
      </c>
      <c r="D10353" s="1" t="s">
        <v>20544</v>
      </c>
      <c r="E10353" s="1" t="str">
        <f ca="1">IFERROR(__xludf.DUMMYFUNCTION("GOOGLETRANSLATE(A7152 , ""tr"" , ""en"")"),"@drfahrettinkoca you are lying. Test lie! The vaccine is lying! The pandem is lying! There is only one truth he is also the human k ... https://t.co/hralp3awbn")</f>
        <v>@drfahrettinkoca you are lying. Test lie! The vaccine is lying! The pandem is lying! There is only one truth he is also the human k ... https://t.co/hralp3awbn</v>
      </c>
    </row>
    <row r="10354" spans="1:5" ht="15" customHeight="1" x14ac:dyDescent="0.2">
      <c r="A10354" s="1" t="s">
        <v>20545</v>
      </c>
      <c r="B10354" s="1">
        <v>2</v>
      </c>
      <c r="C10354" s="3">
        <v>44535.735277777778</v>
      </c>
      <c r="D10354" s="1" t="s">
        <v>20546</v>
      </c>
      <c r="E10354" s="1" t="str">
        <f ca="1">IFERROR(__xludf.DUMMYFUNCTION("GOOGLETRANSLATE(A7153 , ""tr"" , ""en"")"),"@drfahrettinkoca tab is #kabinezkusagionline")</f>
        <v>@drfahrettinkoca tab is #kabinezkusagionline</v>
      </c>
    </row>
    <row r="10355" spans="1:5" ht="15" customHeight="1" x14ac:dyDescent="0.2">
      <c r="A10355" s="1" t="s">
        <v>20547</v>
      </c>
      <c r="B10355" s="1">
        <v>0</v>
      </c>
      <c r="C10355" s="3">
        <v>44535.735162037039</v>
      </c>
      <c r="D10355" s="1" t="s">
        <v>20548</v>
      </c>
      <c r="E10355" s="1" t="str">
        <f ca="1">IFERROR(__xludf.DUMMYFUNCTION("GOOGLETRANSLATE(A7154 , ""tr"" , ""en"")"),"@drfahrettinkoca @saglikbakanliga - We are waiting for the Ministry of Health, which is not published and published. ... HTTPS://T.CO/BMYJNZILXZ")</f>
        <v>@drfahrettinkoca @saglikbakanliga - We are waiting for the Ministry of Health, which is not published and published. ... HTTPS://T.CO/BMYJNZILXZ</v>
      </c>
    </row>
    <row r="10356" spans="1:5" ht="15" customHeight="1" x14ac:dyDescent="0.2">
      <c r="A10356" s="1" t="s">
        <v>20549</v>
      </c>
      <c r="B10356" s="1">
        <v>0</v>
      </c>
      <c r="C10356" s="3">
        <v>44535.73510416667</v>
      </c>
      <c r="D10356" s="1" t="s">
        <v>20550</v>
      </c>
      <c r="E10356" s="1" t="str">
        <f ca="1">IFERROR(__xludf.DUMMYFUNCTION("GOOGLETRANSLATE(A7155 , ""tr"" , ""en"")"),"@drfahrettinkoca @saglikbakanligi (We are looking forward to the Ministry of Health that is not promised. ... https://t.co/ajtrm4vh7k")</f>
        <v>@drfahrettinkoca @saglikbakanligi (We are looking forward to the Ministry of Health that is not promised. ... https://t.co/ajtrm4vh7k</v>
      </c>
    </row>
    <row r="10357" spans="1:5" ht="15" customHeight="1" x14ac:dyDescent="0.2">
      <c r="A10357" s="1" t="s">
        <v>20551</v>
      </c>
      <c r="B10357" s="1">
        <v>0</v>
      </c>
      <c r="C10357" s="3">
        <v>44535.735081018516</v>
      </c>
      <c r="D10357" s="1" t="s">
        <v>20552</v>
      </c>
      <c r="E10357" s="1" t="str">
        <f ca="1">IFERROR(__xludf.DUMMYFUNCTION("GOOGLETRANSLATE(A7156 , ""tr"" , ""en"")"),"@drfahrettinka is over no one is interested 😁")</f>
        <v>@drfahrettinka is over no one is interested 😁</v>
      </c>
    </row>
    <row r="10358" spans="1:5" ht="15" customHeight="1" x14ac:dyDescent="0.2">
      <c r="A10358" s="1" t="s">
        <v>20553</v>
      </c>
      <c r="B10358" s="1">
        <v>1</v>
      </c>
      <c r="C10358" s="3">
        <v>44535.735069444447</v>
      </c>
      <c r="D10358" s="1" t="s">
        <v>20554</v>
      </c>
      <c r="E10358" s="1" t="str">
        <f ca="1">IFERROR(__xludf.DUMMYFUNCTION("GOOGLETRANSLATE(A7157 , ""tr"" , ""en"")"),"@drfahrettinkoca @drfahrettinkoca # fkuyumanere40binatama")</f>
        <v>@drfahrettinkoca @drfahrettinkoca # fkuyumanere40binatama</v>
      </c>
    </row>
    <row r="10359" spans="1:5" ht="15" customHeight="1" x14ac:dyDescent="0.2">
      <c r="A10359" s="1" t="s">
        <v>20555</v>
      </c>
      <c r="B10359" s="1">
        <v>0</v>
      </c>
      <c r="C10359" s="3">
        <v>44535.73505787037</v>
      </c>
      <c r="D10359" s="1" t="s">
        <v>20556</v>
      </c>
      <c r="E10359" s="1" t="str">
        <f ca="1">IFERROR(__xludf.DUMMYFUNCTION("GOOGLETRANSLATE(A7158 , ""tr"" , ""en"")"),"@drfahrettinkoca @saglikbakanligoca - /: We are waiting for the Ministry of Health, which is promised and not published. ... https://t.co/wthpoigjdh")</f>
        <v>@drfahrettinkoca @saglikbakanligoca - /: We are waiting for the Ministry of Health, which is promised and not published. ... https://t.co/wthpoigjdh</v>
      </c>
    </row>
    <row r="10360" spans="1:5" ht="15" customHeight="1" x14ac:dyDescent="0.2">
      <c r="A10360" s="1" t="s">
        <v>20557</v>
      </c>
      <c r="B10360" s="1">
        <v>0</v>
      </c>
      <c r="C10360" s="3">
        <v>44535.735046296293</v>
      </c>
      <c r="D10360" s="1" t="s">
        <v>20558</v>
      </c>
      <c r="E10360" s="1" t="str">
        <f ca="1">IFERROR(__xludf.DUMMYFUNCTION("GOOGLETRANSLATE(A7159 , ""tr"" , ""en"")"),"@drfahrettinkoca Go to a Siktor no longer")</f>
        <v>@drfahrettinkoca Go to a Siktor no longer</v>
      </c>
    </row>
    <row r="10361" spans="1:5" ht="15" customHeight="1" x14ac:dyDescent="0.2">
      <c r="A10361" s="1" t="s">
        <v>20559</v>
      </c>
      <c r="B10361" s="1">
        <v>0</v>
      </c>
      <c r="C10361" s="3">
        <v>44535.735000000001</v>
      </c>
      <c r="D10361" s="1" t="s">
        <v>20560</v>
      </c>
      <c r="E10361" s="1" t="str">
        <f ca="1">IFERROR(__xludf.DUMMYFUNCTION("GOOGLETRANSLATE(A7160 , ""tr"" , ""en"")"),"@drfahrettinkoca @saglikbakanligoca :; Waiting for the Ministry of Health, which is promised and not published. ... https://t.co/n71ewuy6va")</f>
        <v>@drfahrettinkoca @saglikbakanligoca :; Waiting for the Ministry of Health, which is promised and not published. ... https://t.co/n71ewuy6va</v>
      </c>
    </row>
    <row r="10362" spans="1:5" ht="15" customHeight="1" x14ac:dyDescent="0.2">
      <c r="A10362" s="1" t="s">
        <v>20561</v>
      </c>
      <c r="B10362" s="1">
        <v>0</v>
      </c>
      <c r="C10362" s="3">
        <v>44535.734942129631</v>
      </c>
      <c r="D10362" s="1" t="s">
        <v>20562</v>
      </c>
      <c r="E10362" s="1" t="str">
        <f ca="1">IFERROR(__xludf.DUMMYFUNCTION("GOOGLETRANSLATE(A7161 , ""tr"" , ""en"")"),"@drfahrettinkoca @saglikbakanligoca -: We are waiting for the Ministry of Health, which is promised and published. ... https://t.co/8b5jgsrbax")</f>
        <v>@drfahrettinkoca @saglikbakanligoca -: We are waiting for the Ministry of Health, which is promised and published. ... https://t.co/8b5jgsrbax</v>
      </c>
    </row>
    <row r="10363" spans="1:5" ht="15" customHeight="1" x14ac:dyDescent="0.2">
      <c r="A10363" s="1" t="s">
        <v>20563</v>
      </c>
      <c r="B10363" s="1">
        <v>0</v>
      </c>
      <c r="C10363" s="3">
        <v>44535.734895833331</v>
      </c>
      <c r="D10363" s="1" t="s">
        <v>20564</v>
      </c>
      <c r="E10363" s="1" t="str">
        <f ca="1">IFERROR(__xludf.DUMMYFUNCTION("GOOGLETRANSLATE(A7162 , ""tr"" , ""en"")"),"@drfahrettinkoca @saglikbakanligoca / We are waiting for the Ministry of Health. ... Https://t.co/35df0xstmz")</f>
        <v>@drfahrettinkoca @saglikbakanligoca / We are waiting for the Ministry of Health. ... Https://t.co/35df0xstmz</v>
      </c>
    </row>
    <row r="10364" spans="1:5" ht="15" customHeight="1" x14ac:dyDescent="0.2">
      <c r="A10364" s="1" t="s">
        <v>20565</v>
      </c>
      <c r="B10364" s="1">
        <v>0</v>
      </c>
      <c r="C10364" s="3">
        <v>44535.734861111108</v>
      </c>
      <c r="D10364" s="1" t="s">
        <v>20566</v>
      </c>
      <c r="E10364" s="1" t="str">
        <f ca="1">IFERROR(__xludf.DUMMYFUNCTION("GOOGLETRANSLATE(A7163 , ""tr"" , ""en"")"),"@drfahrettinkoca @saglikbakanliga - We are waiting for the Ministry of Health, which is not published and published. ... https://t.co/kxxevprxj0")</f>
        <v>@drfahrettinkoca @saglikbakanliga - We are waiting for the Ministry of Health, which is not published and published. ... https://t.co/kxxevprxj0</v>
      </c>
    </row>
    <row r="10365" spans="1:5" ht="15" customHeight="1" x14ac:dyDescent="0.2">
      <c r="A10365" s="1" t="s">
        <v>20567</v>
      </c>
      <c r="B10365" s="1">
        <v>0</v>
      </c>
      <c r="C10365" s="3">
        <v>44535.734826388885</v>
      </c>
      <c r="D10365" s="1" t="s">
        <v>20568</v>
      </c>
      <c r="E10365" s="1" t="str">
        <f ca="1">IFERROR(__xludf.DUMMYFUNCTION("GOOGLETRANSLATE(A7164 , ""tr"" , ""en"")"),"@drfahrettinkoca @saglikbakanli ..Soğlikbakanli.")</f>
        <v>@drfahrettinkoca @saglikbakanli ..Soğlikbakanli.</v>
      </c>
    </row>
    <row r="10366" spans="1:5" ht="15" customHeight="1" x14ac:dyDescent="0.2">
      <c r="A10366" s="1" t="s">
        <v>20569</v>
      </c>
      <c r="B10366" s="1">
        <v>0</v>
      </c>
      <c r="C10366" s="3">
        <v>44535.734814814816</v>
      </c>
      <c r="D10366" s="1" t="s">
        <v>20570</v>
      </c>
      <c r="E10366" s="1" t="str">
        <f ca="1">IFERROR(__xludf.DUMMYFUNCTION("GOOGLETRANSLATE(A7165 , ""tr"" , ""en"")"),"@drfahrettinkoca Mr. Minister I wonder if you have a faith in God")</f>
        <v>@drfahrettinkoca Mr. Minister I wonder if you have a faith in God</v>
      </c>
    </row>
    <row r="10367" spans="1:5" ht="15" customHeight="1" x14ac:dyDescent="0.2">
      <c r="A10367" s="1" t="s">
        <v>20571</v>
      </c>
      <c r="B10367" s="1">
        <v>0</v>
      </c>
      <c r="C10367" s="3">
        <v>44535.734768518516</v>
      </c>
      <c r="D10367" s="1" t="s">
        <v>20572</v>
      </c>
      <c r="E10367" s="1" t="str">
        <f ca="1">IFERROR(__xludf.DUMMYFUNCTION("GOOGLETRANSLATE(A7166 , ""tr"" , ""en"")"),"@drfahrettinkoca @saglikbakanligi. We are looking forward to the Ministry of Health, which is not published and published. ... https://t.co/kwvb9jk8w6")</f>
        <v>@drfahrettinkoca @saglikbakanligi. We are looking forward to the Ministry of Health, which is not published and published. ... https://t.co/kwvb9jk8w6</v>
      </c>
    </row>
    <row r="10368" spans="1:5" ht="15" customHeight="1" x14ac:dyDescent="0.2">
      <c r="A10368" s="1" t="s">
        <v>20573</v>
      </c>
      <c r="B10368" s="1">
        <v>0</v>
      </c>
      <c r="C10368" s="3">
        <v>44535.734722222223</v>
      </c>
      <c r="D10368" s="1" t="s">
        <v>20574</v>
      </c>
      <c r="E10368" s="1" t="str">
        <f ca="1">IFERROR(__xludf.DUMMYFUNCTION("GOOGLETRANSLATE(A7167 , ""tr"" , ""en"")"),"@drfahrettinkoca @saglikbakanligi We look forward to the Ministry of Health, which is not promised. ... Https://t.co/vbvzk0yjnb")</f>
        <v>@drfahrettinkoca @saglikbakanligi We look forward to the Ministry of Health, which is not promised. ... Https://t.co/vbvzk0yjnb</v>
      </c>
    </row>
    <row r="10369" spans="1:5" ht="15" customHeight="1" x14ac:dyDescent="0.2">
      <c r="A10369" s="1" t="s">
        <v>20575</v>
      </c>
      <c r="B10369" s="1">
        <v>0</v>
      </c>
      <c r="C10369" s="3">
        <v>44535.7346875</v>
      </c>
      <c r="D10369" s="1" t="s">
        <v>20576</v>
      </c>
      <c r="E10369" s="1" t="str">
        <f ca="1">IFERROR(__xludf.DUMMYFUNCTION("GOOGLETRANSLATE(A7168 , ""tr"" , ""en"")"),"@drfahrettinkoca schools do ONLINE is enough anymore")</f>
        <v>@drfahrettinkoca schools do ONLINE is enough anymore</v>
      </c>
    </row>
    <row r="10370" spans="1:5" ht="15" customHeight="1" x14ac:dyDescent="0.2">
      <c r="A10370" s="1" t="s">
        <v>20577</v>
      </c>
      <c r="B10370" s="1">
        <v>1</v>
      </c>
      <c r="C10370" s="3">
        <v>44535.734548611108</v>
      </c>
      <c r="D10370" s="1" t="s">
        <v>20578</v>
      </c>
      <c r="E10370" s="1" t="str">
        <f ca="1">IFERROR(__xludf.DUMMYFUNCTION("GOOGLETRANSLATE(A7169 , ""tr"" , ""en"")"),"@drfahrettinkoca genocide Fahri Sussana tell me overlooking 2 ci bi in the world ZIRT Çırt Tivitirda map, figure explain the figure ... https://t.co/4am0f7thfc")</f>
        <v>@drfahrettinkoca genocide Fahri Sussana tell me overlooking 2 ci bi in the world ZIRT Çırt Tivitirda map, figure explain the figure ... https://t.co/4am0f7thfc</v>
      </c>
    </row>
    <row r="10371" spans="1:5" ht="15" customHeight="1" x14ac:dyDescent="0.2">
      <c r="A10371" s="1" t="s">
        <v>20579</v>
      </c>
      <c r="B10371" s="1">
        <v>0</v>
      </c>
      <c r="C10371" s="3">
        <v>44535.734525462962</v>
      </c>
      <c r="D10371" s="1" t="s">
        <v>20580</v>
      </c>
      <c r="E10371" s="1" t="str">
        <f ca="1">IFERROR(__xludf.DUMMYFUNCTION("GOOGLETRANSLATE(A7170 , ""tr"" , ""en"")"),"@drfahrettinkoca Did the vaccine lower case numbers lies?")</f>
        <v>@drfahrettinkoca Did the vaccine lower case numbers lies?</v>
      </c>
    </row>
    <row r="10372" spans="1:5" ht="15" customHeight="1" x14ac:dyDescent="0.2">
      <c r="A10372" s="1" t="s">
        <v>20581</v>
      </c>
      <c r="B10372" s="1">
        <v>0</v>
      </c>
      <c r="C10372" s="3">
        <v>44535.7340625</v>
      </c>
      <c r="D10372" s="1" t="s">
        <v>20582</v>
      </c>
      <c r="E10372" s="1" t="str">
        <f ca="1">IFERROR(__xludf.DUMMYFUNCTION("GOOGLETRANSLATE(A7171 , ""tr"" , ""en"")"),"@drfahrettinka Mr. Ministry is no longer the number of cases, if we hear the number of assignments, no longer waiting for @drfahrettinkoca 2")</f>
        <v>@drfahrettinka Mr. Ministry is no longer the number of cases, if we hear the number of assignments, no longer waiting for @drfahrettinkoca 2</v>
      </c>
    </row>
    <row r="10373" spans="1:5" ht="15" customHeight="1" x14ac:dyDescent="0.2">
      <c r="A10373" s="1" t="s">
        <v>20583</v>
      </c>
      <c r="B10373" s="1">
        <v>0</v>
      </c>
      <c r="C10373" s="3">
        <v>44535.733935185184</v>
      </c>
      <c r="D10373" s="1" t="s">
        <v>20584</v>
      </c>
      <c r="E10373" s="1" t="str">
        <f ca="1">IFERROR(__xludf.DUMMYFUNCTION("GOOGLETRANSLATE(A7172 , ""tr"" , ""en"")"),"@drfahrettinkoca Mr. Ministry is no longer the number of cases, if we hear the number of assignments, no longer waiting for @drfahrettinkoca 1")</f>
        <v>@drfahrettinkoca Mr. Ministry is no longer the number of cases, if we hear the number of assignments, no longer waiting for @drfahrettinkoca 1</v>
      </c>
    </row>
    <row r="10374" spans="1:5" ht="15" customHeight="1" x14ac:dyDescent="0.2">
      <c r="A10374" s="1" t="s">
        <v>20585</v>
      </c>
      <c r="B10374" s="1">
        <v>11</v>
      </c>
      <c r="C10374" s="3">
        <v>44535.733819444446</v>
      </c>
      <c r="D10374" s="1" t="s">
        <v>20586</v>
      </c>
      <c r="E10374" s="1" t="str">
        <f ca="1">IFERROR(__xludf.DUMMYFUNCTION("GOOGLETRANSLATE(A7173 , ""tr"" , ""en"")"),"@drfahrettinkoca #kabinezkusagionlinistine you cannot ignore us !!!")</f>
        <v>@drfahrettinkoca #kabinezkusagionlinistine you cannot ignore us !!!</v>
      </c>
    </row>
    <row r="10375" spans="1:5" ht="15" customHeight="1" x14ac:dyDescent="0.2">
      <c r="A10375" s="1" t="s">
        <v>20587</v>
      </c>
      <c r="B10375" s="1">
        <v>0</v>
      </c>
      <c r="C10375" s="3">
        <v>44535.733703703707</v>
      </c>
      <c r="D10375" s="1" t="s">
        <v>20588</v>
      </c>
      <c r="E10375" s="1" t="str">
        <f ca="1">IFERROR(__xludf.DUMMYFUNCTION("GOOGLETRANSLATE(A7174 , ""tr"" , ""en"")"),"@drfahrettinkoca Mr. Health Ministry, A Dr Traffic Casual Citizen Citizen Service in Senior Senior Citizen Emergency Service Broken Handle Plaster ... https://t.co/fk7rqcl9zk")</f>
        <v>@drfahrettinkoca Mr. Health Ministry, A Dr Traffic Casual Citizen Citizen Service in Senior Senior Citizen Emergency Service Broken Handle Plaster ... https://t.co/fk7rqcl9zk</v>
      </c>
    </row>
    <row r="10376" spans="1:5" ht="15" customHeight="1" x14ac:dyDescent="0.2">
      <c r="A10376" s="1" t="s">
        <v>20589</v>
      </c>
      <c r="B10376" s="1">
        <v>0</v>
      </c>
      <c r="C10376" s="3">
        <v>44535.733506944445</v>
      </c>
      <c r="D10376" s="1" t="s">
        <v>20590</v>
      </c>
      <c r="E10376" s="1" t="str">
        <f ca="1">IFERROR(__xludf.DUMMYFUNCTION("GOOGLETRANSLATE(A7175 , ""tr"" , ""en"")"),"@drfahrettinkoca Mr. Ministry is no longer the number of cases but if we hear the number of assignments no longer waiting for @drfahrettinkoca a")</f>
        <v>@drfahrettinkoca Mr. Ministry is no longer the number of cases but if we hear the number of assignments no longer waiting for @drfahrettinkoca a</v>
      </c>
    </row>
    <row r="10377" spans="1:5" ht="15" customHeight="1" x14ac:dyDescent="0.2">
      <c r="A10377" s="1" t="s">
        <v>20591</v>
      </c>
      <c r="B10377" s="1">
        <v>0</v>
      </c>
      <c r="C10377" s="3">
        <v>44535.73337962963</v>
      </c>
      <c r="D10377" s="1" t="s">
        <v>20592</v>
      </c>
      <c r="E10377" s="1" t="str">
        <f ca="1">IFERROR(__xludf.DUMMYFUNCTION("GOOGLETRANSLATE(A7176 , ""tr"" , ""en"")"),"@drfahrettinkoca Mr. Ministry is no longer the number of cases but if we hear the number of assignments no longer waiting for @drfahrettinkoca ..")</f>
        <v>@drfahrettinkoca Mr. Ministry is no longer the number of cases but if we hear the number of assignments no longer waiting for @drfahrettinkoca ..</v>
      </c>
    </row>
    <row r="10378" spans="1:5" ht="15" customHeight="1" x14ac:dyDescent="0.2">
      <c r="A10378" s="1" t="s">
        <v>20593</v>
      </c>
      <c r="B10378" s="1">
        <v>5</v>
      </c>
      <c r="C10378" s="3">
        <v>44535.733252314814</v>
      </c>
      <c r="D10378" s="1" t="s">
        <v>20594</v>
      </c>
      <c r="E10378" s="1" t="str">
        <f ca="1">IFERROR(__xludf.DUMMYFUNCTION("GOOGLETRANSLATE(A7177 , ""tr"" , ""en"")"),"@drfahrettinka is afraid falls below ten thousand to the board meeting. Don't stomp on but I didn't eat that")</f>
        <v>@drfahrettinka is afraid falls below ten thousand to the board meeting. Don't stomp on but I didn't eat that</v>
      </c>
    </row>
    <row r="10379" spans="1:5" ht="15" customHeight="1" x14ac:dyDescent="0.2">
      <c r="A10379" s="1" t="s">
        <v>20595</v>
      </c>
      <c r="B10379" s="1">
        <v>0</v>
      </c>
      <c r="C10379" s="3">
        <v>44535.733020833337</v>
      </c>
      <c r="D10379" s="1" t="s">
        <v>20596</v>
      </c>
      <c r="E10379" s="1" t="str">
        <f ca="1">IFERROR(__xludf.DUMMYFUNCTION("GOOGLETRANSLATE(A7178 , ""tr"" , ""en"")"),"@drfahrettinkoca November 19th Nov. Taste of taste loss of fragrance and gave tests with negative GIP. When taste of taste yesterday ... https://t.co/tjxnju5lwr")</f>
        <v>@drfahrettinkoca November 19th Nov. Taste of taste loss of fragrance and gave tests with negative GIP. When taste of taste yesterday ... https://t.co/tjxnju5lwr</v>
      </c>
    </row>
    <row r="10380" spans="1:5" ht="15" customHeight="1" x14ac:dyDescent="0.2">
      <c r="A10380" s="1" t="s">
        <v>20597</v>
      </c>
      <c r="B10380" s="1">
        <v>0</v>
      </c>
      <c r="C10380" s="3">
        <v>44535.732928240737</v>
      </c>
      <c r="D10380" s="1" t="s">
        <v>20598</v>
      </c>
      <c r="E10380" s="1" t="str">
        <f ca="1">IFERROR(__xludf.DUMMYFUNCTION("GOOGLETRANSLATE(A7179 , ""tr"" , ""en"")"),"@drfahrettinkoca Mr. Ministry is no longer the number of cases but if we hear the number of assignments no longer waiting for @drfahrettinkoca.")</f>
        <v>@drfahrettinkoca Mr. Ministry is no longer the number of cases but if we hear the number of assignments no longer waiting for @drfahrettinkoca.</v>
      </c>
    </row>
    <row r="10381" spans="1:5" ht="15" customHeight="1" x14ac:dyDescent="0.2">
      <c r="A10381" s="1" t="s">
        <v>20599</v>
      </c>
      <c r="B10381" s="1">
        <v>0</v>
      </c>
      <c r="C10381" s="3">
        <v>44535.732719907406</v>
      </c>
      <c r="D10381" s="1" t="s">
        <v>20600</v>
      </c>
      <c r="E10381" s="1" t="str">
        <f ca="1">IFERROR(__xludf.DUMMYFUNCTION("GOOGLETRANSLATE(A7180 , ""tr"" , ""en"")"),"@drfahrettinkoca ok now share the actual table.")</f>
        <v>@drfahrettinkoca ok now share the actual table.</v>
      </c>
    </row>
    <row r="10382" spans="1:5" ht="15" customHeight="1" x14ac:dyDescent="0.2">
      <c r="A10382" s="1" t="s">
        <v>20601</v>
      </c>
      <c r="B10382" s="1">
        <v>0</v>
      </c>
      <c r="C10382" s="3">
        <v>44535.732708333337</v>
      </c>
      <c r="D10382" s="1" t="s">
        <v>20602</v>
      </c>
      <c r="E10382" s="1" t="str">
        <f ca="1">IFERROR(__xludf.DUMMYFUNCTION("GOOGLETRANSLATE(A7181 , ""tr"" , ""en"")"),"@drfahrettinkoca Mr. Minister is no longer the number of cases, if we hear the number of assignments, no longer waiting for @drfahrettinkoca")</f>
        <v>@drfahrettinkoca Mr. Minister is no longer the number of cases, if we hear the number of assignments, no longer waiting for @drfahrettinkoca</v>
      </c>
    </row>
    <row r="10383" spans="1:5" ht="15" customHeight="1" x14ac:dyDescent="0.2">
      <c r="A10383" s="1" t="s">
        <v>20603</v>
      </c>
      <c r="B10383" s="1">
        <v>0</v>
      </c>
      <c r="C10383" s="3">
        <v>44535.732245370367</v>
      </c>
      <c r="D10383" s="1" t="s">
        <v>20604</v>
      </c>
      <c r="E10383" s="1" t="str">
        <f ca="1">IFERROR(__xludf.DUMMYFUNCTION("GOOGLETRANSLATE(A7182 , ""tr"" , ""en"")"),"@drfahrettinkoca would tell you what measures don't have distance in some classes, regular cleanliness and ventiland ... https://t.co/fdt3r00fko")</f>
        <v>@drfahrettinkoca would tell you what measures don't have distance in some classes, regular cleanliness and ventiland ... https://t.co/fdt3r00fko</v>
      </c>
    </row>
    <row r="10384" spans="1:5" ht="15" customHeight="1" x14ac:dyDescent="0.2">
      <c r="A10384" s="1" t="s">
        <v>20605</v>
      </c>
      <c r="B10384" s="1">
        <v>5</v>
      </c>
      <c r="C10384" s="3">
        <v>44535.73201388889</v>
      </c>
      <c r="D10384" s="1" t="s">
        <v>20606</v>
      </c>
      <c r="E10384" s="1" t="str">
        <f ca="1">IFERROR(__xludf.DUMMYFUNCTION("GOOGLETRANSLATE(A7183 , ""tr"" , ""en"")"),"@drfahrettinkoca has no malgs of epidemic. You don't have the right to impose medical bullying even if it is epidemic. O Liquids no condition ... https://t.co/bbn9onpjsr")</f>
        <v>@drfahrettinkoca has no malgs of epidemic. You don't have the right to impose medical bullying even if it is epidemic. O Liquids no condition ... https://t.co/bbn9onpjsr</v>
      </c>
    </row>
    <row r="10385" spans="1:5" ht="15" customHeight="1" x14ac:dyDescent="0.2">
      <c r="A10385" s="1" t="s">
        <v>20607</v>
      </c>
      <c r="B10385" s="1">
        <v>0</v>
      </c>
      <c r="C10385" s="3">
        <v>44535.731990740744</v>
      </c>
      <c r="D10385" s="1" t="s">
        <v>20608</v>
      </c>
      <c r="E10385" s="1" t="str">
        <f ca="1">IFERROR(__xludf.DUMMYFUNCTION("GOOGLETRANSLATE(A7184 , ""tr"" , ""en"")"),"@drfahrettinkoca is that you show us in which hospitals of 350 thousand tests are made in the following day. Total patient ... https://t.co/gip8balvps")</f>
        <v>@drfahrettinkoca is that you show us in which hospitals of 350 thousand tests are made in the following day. Total patient ... https://t.co/gip8balvps</v>
      </c>
    </row>
    <row r="10386" spans="1:5" ht="15" customHeight="1" x14ac:dyDescent="0.2">
      <c r="A10386" s="1" t="s">
        <v>20609</v>
      </c>
      <c r="B10386" s="1">
        <v>0</v>
      </c>
      <c r="C10386" s="3">
        <v>44535.731666666667</v>
      </c>
      <c r="D10386" s="1" t="s">
        <v>20610</v>
      </c>
      <c r="E10386" s="1" t="str">
        <f ca="1">IFERROR(__xludf.DUMMYFUNCTION("GOOGLETRANSLATE(A7185 , ""tr"" , ""en"")"),"@drfahrettinkoca Talk on November 25 When we need health personnel we will continue to grow by 1 year ... https://t.co/2rez2gncnl")</f>
        <v>@drfahrettinkoca Talk on November 25 When we need health personnel we will continue to grow by 1 year ... https://t.co/2rez2gncnl</v>
      </c>
    </row>
    <row r="10387" spans="1:5" ht="15" customHeight="1" x14ac:dyDescent="0.2">
      <c r="A10387" s="1" t="s">
        <v>20611</v>
      </c>
      <c r="B10387" s="1">
        <v>0</v>
      </c>
      <c r="C10387" s="3">
        <v>44535.731273148151</v>
      </c>
      <c r="D10387" s="1" t="s">
        <v>20612</v>
      </c>
      <c r="E10387" s="1" t="str">
        <f ca="1">IFERROR(__xludf.DUMMYFUNCTION("GOOGLETRANSLATE(A7186 , ""tr"" , ""en"")"),"@drfahrettinkoca HE I see if I see it ..")</f>
        <v>@drfahrettinkoca HE I see if I see it ..</v>
      </c>
    </row>
    <row r="10388" spans="1:5" ht="15" customHeight="1" x14ac:dyDescent="0.2">
      <c r="A10388" s="1" t="s">
        <v>20613</v>
      </c>
      <c r="B10388" s="1">
        <v>1</v>
      </c>
      <c r="C10388" s="3">
        <v>44535.731145833335</v>
      </c>
      <c r="D10388" s="1" t="s">
        <v>20614</v>
      </c>
      <c r="E10388" s="1" t="str">
        <f ca="1">IFERROR(__xludf.DUMMYFUNCTION("GOOGLETRANSLATE(A7187 , ""tr"" , ""en"")"),"@drfahrettinkoca Pourquoi Mentez-Vous, Monsieur Le Ministre?")</f>
        <v>@drfahrettinkoca Pourquoi Mentez-Vous, Monsieur Le Ministre?</v>
      </c>
    </row>
    <row r="10389" spans="1:5" ht="15" customHeight="1" x14ac:dyDescent="0.2">
      <c r="A10389" s="1" t="s">
        <v>20615</v>
      </c>
      <c r="B10389" s="1">
        <v>2</v>
      </c>
      <c r="C10389" s="3">
        <v>44535.730555555558</v>
      </c>
      <c r="D10389" s="1" t="s">
        <v>20616</v>
      </c>
      <c r="E10389" s="1" t="str">
        <f ca="1">IFERROR(__xludf.DUMMYFUNCTION("GOOGLETRANSLATE(A7188 , ""tr"" , ""en"")"),"@drfahrettinkoca loves your lie")</f>
        <v>@drfahrettinkoca loves your lie</v>
      </c>
    </row>
    <row r="10390" spans="1:5" ht="15" customHeight="1" x14ac:dyDescent="0.2">
      <c r="A10390" s="1" t="s">
        <v>20617</v>
      </c>
      <c r="B10390" s="1">
        <v>0</v>
      </c>
      <c r="C10390" s="3">
        <v>44535.730324074073</v>
      </c>
      <c r="D10390" s="1" t="s">
        <v>20618</v>
      </c>
      <c r="E10390" s="1" t="str">
        <f ca="1">IFERROR(__xludf.DUMMYFUNCTION("GOOGLETRANSLATE(A7189 , ""tr"" , ""en"")"),"@drfahrettinka do not stop vaccine vaccine, grafted how many people have been adoptedly insulated this bi explain anyone. ... https://t.co/j4yslvong")</f>
        <v>@drfahrettinka do not stop vaccine vaccine, grafted how many people have been adoptedly insulated this bi explain anyone. ... https://t.co/j4yslvong</v>
      </c>
    </row>
    <row r="10391" spans="1:5" ht="15" customHeight="1" x14ac:dyDescent="0.2">
      <c r="A10391" s="1" t="s">
        <v>20619</v>
      </c>
      <c r="B10391" s="1">
        <v>1</v>
      </c>
      <c r="C10391" s="3">
        <v>44535.730138888888</v>
      </c>
      <c r="D10391" s="1" t="s">
        <v>20620</v>
      </c>
      <c r="E10391" s="1" t="str">
        <f ca="1">IFERROR(__xludf.DUMMYFUNCTION("GOOGLETRANSLATE(A7190 , ""tr"" , ""en"")"),"@drfahrettinkoca These cases are always due to the economy.: /")</f>
        <v>@drfahrettinkoca These cases are always due to the economy.: /</v>
      </c>
    </row>
    <row r="10392" spans="1:5" ht="15" customHeight="1" x14ac:dyDescent="0.2">
      <c r="A10392" s="1" t="s">
        <v>20621</v>
      </c>
      <c r="B10392" s="1">
        <v>0</v>
      </c>
      <c r="C10392" s="3">
        <v>44535.729513888888</v>
      </c>
      <c r="D10392" s="1" t="s">
        <v>20622</v>
      </c>
      <c r="E10392" s="1" t="str">
        <f ca="1">IFERROR(__xludf.DUMMYFUNCTION("GOOGLETRANSLATE(A7191 , ""tr"" , ""en"")"),"@drfahrettinkoca Describe the real table")</f>
        <v>@drfahrettinkoca Describe the real table</v>
      </c>
    </row>
    <row r="10393" spans="1:5" ht="15" customHeight="1" x14ac:dyDescent="0.2">
      <c r="A10393" s="1" t="s">
        <v>20623</v>
      </c>
      <c r="B10393" s="1">
        <v>0</v>
      </c>
      <c r="C10393" s="3">
        <v>44535.727754629632</v>
      </c>
      <c r="D10393" s="1" t="s">
        <v>20624</v>
      </c>
      <c r="E10393" s="1" t="str">
        <f ca="1">IFERROR(__xludf.DUMMYFUNCTION("GOOGLETRANSLATE(A7192 , ""tr"" , ""en"")"),"@drfahrettinkoca you go vaccine marketer, continue to sell vaccines immediately, have something that you have forgotten to sell vaccines ... https://t.co/7mc2wbrgbe")</f>
        <v>@drfahrettinkoca you go vaccine marketer, continue to sell vaccines immediately, have something that you have forgotten to sell vaccines ... https://t.co/7mc2wbrgbe</v>
      </c>
    </row>
    <row r="10394" spans="1:5" ht="15" customHeight="1" x14ac:dyDescent="0.2">
      <c r="A10394" s="1" t="s">
        <v>20625</v>
      </c>
      <c r="B10394" s="1">
        <v>0</v>
      </c>
      <c r="C10394" s="3">
        <v>44535.727696759262</v>
      </c>
      <c r="D10394" s="1" t="s">
        <v>20626</v>
      </c>
      <c r="E10394" s="1" t="str">
        <f ca="1">IFERROR(__xludf.DUMMYFUNCTION("GOOGLETRANSLATE(A7193 , ""tr"" , ""en"")"),"@drfahrettinkoca hav hav")</f>
        <v>@drfahrettinkoca hav hav</v>
      </c>
    </row>
    <row r="10395" spans="1:5" ht="15" customHeight="1" x14ac:dyDescent="0.2">
      <c r="A10395" s="1" t="s">
        <v>20627</v>
      </c>
      <c r="B10395" s="1">
        <v>0</v>
      </c>
      <c r="C10395" s="3">
        <v>44535.727627314816</v>
      </c>
      <c r="D10395" s="1" t="s">
        <v>20628</v>
      </c>
      <c r="E10395" s="1" t="str">
        <f ca="1">IFERROR(__xludf.DUMMYFUNCTION("GOOGLETRANSLATE(A7194 , ""tr"" , ""en"")"),"@drfahrettinkoca @saglikbakanligi noticeable pen is your hand. We play as if you ate")</f>
        <v>@drfahrettinkoca @saglikbakanligi noticeable pen is your hand. We play as if you ate</v>
      </c>
    </row>
    <row r="10396" spans="1:5" ht="15" customHeight="1" x14ac:dyDescent="0.2">
      <c r="A10396" s="1" t="s">
        <v>20629</v>
      </c>
      <c r="B10396" s="1">
        <v>1</v>
      </c>
      <c r="C10396" s="3">
        <v>44535.727442129632</v>
      </c>
      <c r="D10396" s="1" t="s">
        <v>20630</v>
      </c>
      <c r="E10396" s="1" t="str">
        <f ca="1">IFERROR(__xludf.DUMMYFUNCTION("GOOGLETRANSLATE(A7195 , ""tr"" , ""en"")"),"@drfahrettinkoca Don't die without living the point. @drfahrettinkoca")</f>
        <v>@drfahrettinkoca Don't die without living the point. @drfahrettinkoca</v>
      </c>
    </row>
    <row r="10397" spans="1:5" ht="15" customHeight="1" x14ac:dyDescent="0.2">
      <c r="A10397" s="1" t="s">
        <v>20631</v>
      </c>
      <c r="B10397" s="1">
        <v>7</v>
      </c>
      <c r="C10397" s="3">
        <v>44535.727407407408</v>
      </c>
      <c r="D10397" s="1" t="s">
        <v>20632</v>
      </c>
      <c r="E10397" s="1" t="str">
        <f ca="1">IFERROR(__xludf.DUMMYFUNCTION("GOOGLETRANSLATE(A7196 , ""tr"" , ""en"")"),"@drfahrettinkoca is not the only thing for the cases of the cases you see schools and the closed area after ... https://t.co/Ivl4twudmz")</f>
        <v>@drfahrettinkoca is not the only thing for the cases of the cases you see schools and the closed area after ... https://t.co/Ivl4twudmz</v>
      </c>
    </row>
    <row r="10398" spans="1:5" ht="15" customHeight="1" x14ac:dyDescent="0.2">
      <c r="A10398" s="1" t="s">
        <v>20633</v>
      </c>
      <c r="B10398" s="1">
        <v>1</v>
      </c>
      <c r="C10398" s="3">
        <v>44535.727071759262</v>
      </c>
      <c r="D10398" s="1" t="s">
        <v>20634</v>
      </c>
      <c r="E10398" s="1" t="str">
        <f ca="1">IFERROR(__xludf.DUMMYFUNCTION("GOOGLETRANSLATE(A7197 , ""tr"" , ""en"")"),"@drfahrettinkoca Meanwhile your officials have launched me in your favirs face. Indefinite guys that you say like that ... https://t.co/gvnf6mfqt6")</f>
        <v>@drfahrettinkoca Meanwhile your officials have launched me in your favirs face. Indefinite guys that you say like that ... https://t.co/gvnf6mfqt6</v>
      </c>
    </row>
    <row r="10399" spans="1:5" ht="15" customHeight="1" x14ac:dyDescent="0.2">
      <c r="A10399" s="1" t="s">
        <v>20635</v>
      </c>
      <c r="B10399" s="1">
        <v>26</v>
      </c>
      <c r="C10399" s="3">
        <v>44535.726736111108</v>
      </c>
      <c r="D10399" s="1" t="s">
        <v>20636</v>
      </c>
      <c r="E10399" s="1" t="str">
        <f ca="1">IFERROR(__xludf.DUMMYFUNCTION("GOOGLETRANSLATE(A7198 , ""tr"" , ""en"")"),"@drfahrettinkoca bravo Mr. Fahrettin Bey You can reduce the number of cases of case tomorrow @drfahrettinkoca")</f>
        <v>@drfahrettinkoca bravo Mr. Fahrettin Bey You can reduce the number of cases of case tomorrow @drfahrettinkoca</v>
      </c>
    </row>
    <row r="10400" spans="1:5" ht="15" customHeight="1" x14ac:dyDescent="0.2">
      <c r="A10400" s="1" t="s">
        <v>20637</v>
      </c>
      <c r="B10400" s="1">
        <v>0</v>
      </c>
      <c r="C10400" s="3">
        <v>44535.726736111108</v>
      </c>
      <c r="D10400" s="1" t="s">
        <v>20638</v>
      </c>
      <c r="E10400" s="1" t="str">
        <f ca="1">IFERROR(__xludf.DUMMYFUNCTION("GOOGLETRANSLATE(A7199 , ""tr"" , ""en"")"),"@drfahrettinkoca Disabled healthcare people want to be appointed in 4 years. Those who do not hear us are Utans 🇹🇹🇹 ... https://t.co/allrjlj1z3")</f>
        <v>@drfahrettinkoca Disabled healthcare people want to be appointed in 4 years. Those who do not hear us are Utans 🇹🇹🇹 ... https://t.co/allrjlj1z3</v>
      </c>
    </row>
    <row r="10401" spans="1:5" ht="15" customHeight="1" x14ac:dyDescent="0.2">
      <c r="A10401" s="1" t="s">
        <v>20639</v>
      </c>
      <c r="B10401" s="1">
        <v>32</v>
      </c>
      <c r="C10401" s="3">
        <v>44535.726481481484</v>
      </c>
      <c r="D10401" s="1" t="s">
        <v>20640</v>
      </c>
      <c r="E10401" s="1" t="str">
        <f ca="1">IFERROR(__xludf.DUMMYFUNCTION("GOOGLETRANSLATE(A7200 , ""tr"" , ""en"")"),"@drfahrettinkoca omega coming super variant is effective against her this is the fact that he believes that you believe that anyone grants ... https://t.co/DMRI6TQods")</f>
        <v>@drfahrettinkoca omega coming super variant is effective against her this is the fact that he believes that you believe that anyone grants ... https://t.co/DMRI6TQods</v>
      </c>
    </row>
    <row r="10402" spans="1:5" ht="15" customHeight="1" x14ac:dyDescent="0.2">
      <c r="A10402" s="1" t="s">
        <v>20641</v>
      </c>
      <c r="B10402" s="1">
        <v>0</v>
      </c>
      <c r="C10402" s="3">
        <v>44535.726307870369</v>
      </c>
      <c r="D10402" s="1" t="s">
        <v>20642</v>
      </c>
      <c r="E10402" s="1" t="str">
        <f ca="1">IFERROR(__xludf.DUMMYFUNCTION("GOOGLETRANSLATE(A7201 , ""tr"" , ""en"")"),"@drfahrettinkoca Disabled Health People Want to be Provided for 4 years Nadirara / 9fuwohos4f")</f>
        <v>@drfahrettinkoca Disabled Health People Want to be Provided for 4 years Nadirara / 9fuwohos4f</v>
      </c>
    </row>
    <row r="10403" spans="1:5" ht="15" customHeight="1" x14ac:dyDescent="0.2">
      <c r="A10403" s="1" t="s">
        <v>20643</v>
      </c>
      <c r="B10403" s="1">
        <v>0</v>
      </c>
      <c r="C10403" s="3">
        <v>44535.72619212963</v>
      </c>
      <c r="D10403" s="1" t="s">
        <v>20644</v>
      </c>
      <c r="E10403" s="1" t="str">
        <f ca="1">IFERROR(__xludf.DUMMYFUNCTION("GOOGLETRANSLATE(A7202 , ""tr"" , ""en"")"),"@drfahrettinkoca ha fallen is neither beautiful what a lovely hundred years after the finish process next generations will also be the late corner.")</f>
        <v>@drfahrettinkoca ha fallen is neither beautiful what a lovely hundred years after the finish process next generations will also be the late corner.</v>
      </c>
    </row>
    <row r="10404" spans="1:5" ht="15" customHeight="1" x14ac:dyDescent="0.2">
      <c r="A10404" s="1" t="s">
        <v>20645</v>
      </c>
      <c r="B10404" s="1">
        <v>1</v>
      </c>
      <c r="C10404" s="3">
        <v>44535.726134259261</v>
      </c>
      <c r="D10404" s="1" t="s">
        <v>20646</v>
      </c>
      <c r="E10404" s="1" t="str">
        <f ca="1">IFERROR(__xludf.DUMMYFUNCTION("GOOGLETRANSLATE(A7203 , ""tr"" , ""en"")"),"@drfahrettinkoca Minister Make ASELETS Please do our doctors are going to do without them What is your healthy system that ... https://t.co/51r4jrf4go")</f>
        <v>@drfahrettinkoca Minister Make ASELETS Please do our doctors are going to do without them What is your healthy system that ... https://t.co/51r4jrf4go</v>
      </c>
    </row>
    <row r="10405" spans="1:5" ht="15" customHeight="1" x14ac:dyDescent="0.2">
      <c r="A10405" s="1" t="s">
        <v>20647</v>
      </c>
      <c r="B10405" s="1">
        <v>0</v>
      </c>
      <c r="C10405" s="3">
        <v>44535.725995370369</v>
      </c>
      <c r="D10405" s="1" t="s">
        <v>20648</v>
      </c>
      <c r="E10405" s="1" t="str">
        <f ca="1">IFERROR(__xludf.DUMMYFUNCTION("GOOGLETRANSLATE(A7204 , ""tr"" , ""en"")"),"@drfahrettinkoca Disabled Health People Want to be Provided for 4 years Nadirara / kc0el5yhth")</f>
        <v>@drfahrettinkoca Disabled Health People Want to be Provided for 4 years Nadirara / kc0el5yhth</v>
      </c>
    </row>
    <row r="10406" spans="1:5" ht="15" customHeight="1" x14ac:dyDescent="0.2">
      <c r="A10406" s="1" t="s">
        <v>20649</v>
      </c>
      <c r="B10406" s="1">
        <v>0</v>
      </c>
      <c r="C10406" s="3">
        <v>44535.725717592592</v>
      </c>
      <c r="D10406" s="1" t="s">
        <v>20650</v>
      </c>
      <c r="E10406" s="1" t="str">
        <f ca="1">IFERROR(__xludf.DUMMYFUNCTION("GOOGLETRANSLATE(A7205 , ""tr"" , ""en"")"),"@drfahrettinkoca Disabled Health People Want to be Provided for 4 years Nadirara / sr34ormrgj")</f>
        <v>@drfahrettinkoca Disabled Health People Want to be Provided for 4 years Nadirara / sr34ormrgj</v>
      </c>
    </row>
    <row r="10407" spans="1:5" ht="15" customHeight="1" x14ac:dyDescent="0.2">
      <c r="A10407" s="1" t="s">
        <v>20651</v>
      </c>
      <c r="B10407" s="1">
        <v>1</v>
      </c>
      <c r="C10407" s="3">
        <v>44535.725590277776</v>
      </c>
      <c r="D10407" s="1" t="s">
        <v>20652</v>
      </c>
      <c r="E10407" s="1" t="str">
        <f ca="1">IFERROR(__xludf.DUMMYFUNCTION("GOOGLETRANSLATE(A7206 , ""tr"" , ""en"")"),"@drfahrettinka is 60 thousand at least in the real table. Husbandry")</f>
        <v>@drfahrettinka is 60 thousand at least in the real table. Husbandry</v>
      </c>
    </row>
    <row r="10408" spans="1:5" ht="15" customHeight="1" x14ac:dyDescent="0.2">
      <c r="A10408" s="1" t="s">
        <v>20653</v>
      </c>
      <c r="B10408" s="1">
        <v>0</v>
      </c>
      <c r="C10408" s="3">
        <v>44535.725555555553</v>
      </c>
      <c r="D10408" s="1" t="s">
        <v>20654</v>
      </c>
      <c r="E10408" s="1" t="str">
        <f ca="1">IFERROR(__xludf.DUMMYFUNCTION("GOOGLETRANSLATE(A7207 , ""tr"" , ""en"")"),"@drfahrettinkoca is being made of choice of choice everywhere and they are boasted by the following people you have ever been boasted ... https://t.co/2wck5nvx3w")</f>
        <v>@drfahrettinkoca is being made of choice of choice everywhere and they are boasted by the following people you have ever been boasted ... https://t.co/2wck5nvx3w</v>
      </c>
    </row>
    <row r="10409" spans="1:5" ht="15" customHeight="1" x14ac:dyDescent="0.2">
      <c r="A10409" s="1" t="s">
        <v>20655</v>
      </c>
      <c r="B10409" s="1">
        <v>3</v>
      </c>
      <c r="C10409" s="3">
        <v>44535.725381944445</v>
      </c>
      <c r="D10409" s="1" t="s">
        <v>20656</v>
      </c>
      <c r="E10409" s="1" t="str">
        <f ca="1">IFERROR(__xludf.DUMMYFUNCTION("GOOGLETRANSLATE(A7208 , ""tr"" , ""en"")"),"@drfahrettinkoca Describe real cases Now you are infamous #kabinezkusagionlineline")</f>
        <v>@drfahrettinkoca Describe real cases Now you are infamous #kabinezkusagionlineline</v>
      </c>
    </row>
    <row r="10410" spans="1:5" ht="15" customHeight="1" x14ac:dyDescent="0.2">
      <c r="A10410" s="1" t="s">
        <v>20657</v>
      </c>
      <c r="B10410" s="1">
        <v>0</v>
      </c>
      <c r="C10410" s="3">
        <v>44535.72519675926</v>
      </c>
      <c r="D10410" s="1" t="s">
        <v>20658</v>
      </c>
      <c r="E10410" s="1" t="str">
        <f ca="1">IFERROR(__xludf.DUMMYFUNCTION("GOOGLETRANSLATE(A7209 , ""tr"" , ""en"")"),"@drfahrettinkoca @saglikbakanligi christmas holiday (winter tourism) is coming?")</f>
        <v>@drfahrettinkoca @saglikbakanligi christmas holiday (winter tourism) is coming?</v>
      </c>
    </row>
    <row r="10411" spans="1:5" ht="15" customHeight="1" x14ac:dyDescent="0.2">
      <c r="A10411" s="1" t="s">
        <v>20659</v>
      </c>
      <c r="B10411" s="1">
        <v>0</v>
      </c>
      <c r="C10411" s="3">
        <v>44535.724930555552</v>
      </c>
      <c r="D10411" s="1" t="s">
        <v>20660</v>
      </c>
      <c r="E10411" s="1" t="str">
        <f ca="1">IFERROR(__xludf.DUMMYFUNCTION("GOOGLETRANSLATE(A7210 , ""tr"" , ""en"")"),"@drfahrettinkoca 🤬")</f>
        <v>@drfahrettinkoca 🤬</v>
      </c>
    </row>
    <row r="10412" spans="1:5" ht="15" customHeight="1" x14ac:dyDescent="0.2">
      <c r="A10412" s="1" t="s">
        <v>20661</v>
      </c>
      <c r="B10412" s="1">
        <v>0</v>
      </c>
      <c r="C10412" s="3">
        <v>44535.724687499998</v>
      </c>
      <c r="D10412" s="1" t="s">
        <v>20662</v>
      </c>
      <c r="E10412" s="1" t="str">
        <f ca="1">IFERROR(__xludf.DUMMYFUNCTION("GOOGLETRANSLATE(A7211 , ""tr"" , ""en"")"),"@drfahrettinkoca is so")</f>
        <v>@drfahrettinkoca is so</v>
      </c>
    </row>
    <row r="10413" spans="1:5" ht="15" customHeight="1" x14ac:dyDescent="0.2">
      <c r="A10413" s="1" t="s">
        <v>20663</v>
      </c>
      <c r="B10413" s="1">
        <v>4</v>
      </c>
      <c r="C10413" s="3">
        <v>44535.724548611113</v>
      </c>
      <c r="D10413" s="1" t="s">
        <v>20664</v>
      </c>
      <c r="E10413" s="1" t="str">
        <f ca="1">IFERROR(__xludf.DUMMYFUNCTION("GOOGLETRANSLATE(A7212 , ""tr"" , ""en"")"),"@drfahrettinkoca Ankarkaya Marine Revenue Is The Guide to Healthier Non-known @drfahrettinkoca # fkuyumanerede40binatama")</f>
        <v>@drfahrettinkoca Ankarkaya Marine Revenue Is The Guide to Healthier Non-known @drfahrettinkoca # fkuyumanerede40binatama</v>
      </c>
    </row>
    <row r="10414" spans="1:5" ht="15" customHeight="1" x14ac:dyDescent="0.2">
      <c r="A10414" s="1" t="s">
        <v>20665</v>
      </c>
      <c r="B10414" s="1">
        <v>0</v>
      </c>
      <c r="C10414" s="3">
        <v>44535.724502314813</v>
      </c>
      <c r="D10414" s="1" t="s">
        <v>20666</v>
      </c>
      <c r="E10414" s="1" t="str">
        <f ca="1">IFERROR(__xludf.DUMMYFUNCTION("GOOGLETRANSLATE(A7213 , ""tr"" , ""en"")"),"@drfahrettinkoca is no other bi Dimi Simple This is that this Twiti Throw this Twiti Throw Senmisin Bot Is Mechul !!")</f>
        <v>@drfahrettinkoca is no other bi Dimi Simple This is that this Twiti Throw this Twiti Throw Senmisin Bot Is Mechul !!</v>
      </c>
    </row>
    <row r="10415" spans="1:5" ht="15" customHeight="1" x14ac:dyDescent="0.2">
      <c r="A10415" s="1" t="s">
        <v>20667</v>
      </c>
      <c r="B10415" s="1">
        <v>41</v>
      </c>
      <c r="C10415" s="3">
        <v>44535.724236111113</v>
      </c>
      <c r="D10415" s="1" t="s">
        <v>20668</v>
      </c>
      <c r="E10415" s="1" t="str">
        <f ca="1">IFERROR(__xludf.DUMMYFUNCTION("GOOGLETRANSLATE(A7214 , ""tr"" , ""en"")"),"@drfahrettinkoca We do not want to tell you without authorizing a minister who says sir @drfahrettinkca We are student ... https://t.co/ehos6hdebo")</f>
        <v>@drfahrettinkoca We do not want to tell you without authorizing a minister who says sir @drfahrettinkca We are student ... https://t.co/ehos6hdebo</v>
      </c>
    </row>
    <row r="10416" spans="1:5" ht="15" customHeight="1" x14ac:dyDescent="0.2">
      <c r="A10416" s="1" t="s">
        <v>20669</v>
      </c>
      <c r="B10416" s="1">
        <v>1</v>
      </c>
      <c r="C10416" s="3">
        <v>44535.724166666667</v>
      </c>
      <c r="D10416" s="1" t="s">
        <v>20670</v>
      </c>
      <c r="E10416" s="1" t="str">
        <f ca="1">IFERROR(__xludf.DUMMYFUNCTION("GOOGLETRANSLATE(A7215 , ""tr"" , ""en"")"),"@drfahrettinkoca yeah you are trying very hard to drop it to you")</f>
        <v>@drfahrettinkoca yeah you are trying very hard to drop it to you</v>
      </c>
    </row>
    <row r="10417" spans="1:5" ht="15" customHeight="1" x14ac:dyDescent="0.2">
      <c r="A10417" s="1" t="s">
        <v>20671</v>
      </c>
      <c r="B10417" s="1">
        <v>1</v>
      </c>
      <c r="C10417" s="3">
        <v>44535.72388888889</v>
      </c>
      <c r="D10417" s="1" t="s">
        <v>20672</v>
      </c>
      <c r="E10417" s="1" t="str">
        <f ca="1">IFERROR(__xludf.DUMMYFUNCTION("GOOGLETRANSLATE(A7216 , ""tr"" , ""en"")"),"@drfahrettinkoca What Vaccine Minister You believe that these vaccines work is the beech father 2 dose biontek ... https://t.co/5h2o6qv4sc")</f>
        <v>@drfahrettinkoca What Vaccine Minister You believe that these vaccines work is the beech father 2 dose biontek ... https://t.co/5h2o6qv4sc</v>
      </c>
    </row>
    <row r="10418" spans="1:5" ht="15" customHeight="1" x14ac:dyDescent="0.2">
      <c r="A10418" s="1" t="s">
        <v>20673</v>
      </c>
      <c r="B10418" s="1">
        <v>3</v>
      </c>
      <c r="C10418" s="3">
        <v>44535.723483796297</v>
      </c>
      <c r="D10418" s="1" t="s">
        <v>20674</v>
      </c>
      <c r="E10418" s="1" t="str">
        <f ca="1">IFERROR(__xludf.DUMMYFUNCTION("GOOGLETRANSLATE(A7217 , ""tr"" , ""en"")"),"@drfahrettinka Mr. Minister Minister Numbers You are lowering there is no such thing in reelde that number 5 solid Va ... https://t.co/0qz6f6boy6")</f>
        <v>@drfahrettinka Mr. Minister Minister Numbers You are lowering there is no such thing in reelde that number 5 solid Va ... https://t.co/0qz6f6boy6</v>
      </c>
    </row>
    <row r="10419" spans="1:5" ht="15" customHeight="1" x14ac:dyDescent="0.2">
      <c r="A10419" s="1" t="s">
        <v>20675</v>
      </c>
      <c r="B10419" s="1">
        <v>3</v>
      </c>
      <c r="C10419" s="3">
        <v>44535.723425925928</v>
      </c>
      <c r="D10419" s="1" t="s">
        <v>20676</v>
      </c>
      <c r="E10419" s="1" t="str">
        <f ca="1">IFERROR(__xludf.DUMMYFUNCTION("GOOGLETRANSLATE(A7218 , ""tr"" , ""en"")"),"@drfahrettinkoca Turkey is also not performed in the early 1 year. !!! @drfahrettinkoca # fkuyumanerede40binatama")</f>
        <v>@drfahrettinkoca Turkey is also not performed in the early 1 year. !!! @drfahrettinkoca # fkuyumanerede40binatama</v>
      </c>
    </row>
    <row r="10420" spans="1:5" ht="15" customHeight="1" x14ac:dyDescent="0.2">
      <c r="A10420" s="1" t="s">
        <v>20677</v>
      </c>
      <c r="B10420" s="1">
        <v>0</v>
      </c>
      <c r="C10420" s="3">
        <v>44535.723263888889</v>
      </c>
      <c r="D10420" s="1" t="s">
        <v>20678</v>
      </c>
      <c r="E10420" s="1" t="str">
        <f ca="1">IFERROR(__xludf.DUMMYFUNCTION("GOOGLETRANSLATE(A7219 , ""tr"" , ""en"")"),"@drfahrettinkoca corona fuck in doctors who do not decipher the side effects of the drugs and vaccines. CORO ... HTTPS://T.CO/FWH7KYCLQH")</f>
        <v>@drfahrettinkoca corona fuck in doctors who do not decipher the side effects of the drugs and vaccines. CORO ... HTTPS://T.CO/FWH7KYCLQH</v>
      </c>
    </row>
    <row r="10421" spans="1:5" ht="15" customHeight="1" x14ac:dyDescent="0.2">
      <c r="A10421" s="1" t="s">
        <v>20679</v>
      </c>
      <c r="B10421" s="1">
        <v>19</v>
      </c>
      <c r="C10421" s="3">
        <v>44535.723136574074</v>
      </c>
      <c r="D10421" s="1" t="s">
        <v>20680</v>
      </c>
      <c r="E10421" s="1" t="str">
        <f ca="1">IFERROR(__xludf.DUMMYFUNCTION("GOOGLETRANSLATE(A7220 , ""tr"" , ""en"")"),"@drfahrettinkoca If this table is correct I'm the Monaco Princue # Cabinethousonline")</f>
        <v>@drfahrettinkoca If this table is correct I'm the Monaco Princue # Cabinethousonline</v>
      </c>
    </row>
    <row r="10422" spans="1:5" ht="15" customHeight="1" x14ac:dyDescent="0.2">
      <c r="A10422" s="1" t="s">
        <v>20681</v>
      </c>
      <c r="B10422" s="1">
        <v>0</v>
      </c>
      <c r="C10422" s="3">
        <v>44535.723043981481</v>
      </c>
      <c r="D10422" s="1" t="s">
        <v>20682</v>
      </c>
      <c r="E10422" s="1" t="str">
        <f ca="1">IFERROR(__xludf.DUMMYFUNCTION("GOOGLETRANSLATE(A7221 , ""tr"" , ""en"")"),"@drfahrettinkoca no one else believes in corona")</f>
        <v>@drfahrettinkoca no one else believes in corona</v>
      </c>
    </row>
    <row r="10423" spans="1:5" ht="15" customHeight="1" x14ac:dyDescent="0.2">
      <c r="A10423" s="1" t="s">
        <v>20683</v>
      </c>
      <c r="B10423" s="1">
        <v>2</v>
      </c>
      <c r="C10423" s="3">
        <v>44535.722777777781</v>
      </c>
      <c r="D10423" s="1" t="s">
        <v>20684</v>
      </c>
      <c r="E10423" s="1" t="str">
        <f ca="1">IFERROR(__xludf.DUMMYFUNCTION("GOOGLETRANSLATE(A7222 , ""tr"" , ""en"")"),"If there is a decrease with nondrfahrettinkoca measures, so I will know what I know.")</f>
        <v>If there is a decrease with nondrfahrettinkoca measures, so I will know what I know.</v>
      </c>
    </row>
    <row r="10424" spans="1:5" ht="15" customHeight="1" x14ac:dyDescent="0.2">
      <c r="A10424" s="1" t="s">
        <v>20685</v>
      </c>
      <c r="B10424" s="1">
        <v>0</v>
      </c>
      <c r="C10424" s="3">
        <v>44535.722731481481</v>
      </c>
      <c r="D10424" s="1" t="s">
        <v>20686</v>
      </c>
      <c r="E10424" s="1" t="str">
        <f ca="1">IFERROR(__xludf.DUMMYFUNCTION("GOOGLETRANSLATE(A7223 , ""tr"" , ""en"")"),"@drfahrettinkoca How did you fell what you do differently?")</f>
        <v>@drfahrettinkoca How did you fell what you do differently?</v>
      </c>
    </row>
    <row r="10425" spans="1:5" ht="15" customHeight="1" x14ac:dyDescent="0.2">
      <c r="A10425" s="1" t="s">
        <v>20687</v>
      </c>
      <c r="B10425" s="1">
        <v>0</v>
      </c>
      <c r="C10425" s="3">
        <v>44535.722719907404</v>
      </c>
      <c r="D10425" s="1" t="s">
        <v>20688</v>
      </c>
      <c r="E10425" s="1" t="str">
        <f ca="1">IFERROR(__xludf.DUMMYFUNCTION("GOOGLETRANSLATE(A7224 , ""tr"" , ""en"")"),"@drfahrettinkoca Mr. Minister Absolutely I don't have a fool of your personality and humanity because you are a good person in reality ... https://t.co/yqu0yi0tbn")</f>
        <v>@drfahrettinkoca Mr. Minister Absolutely I don't have a fool of your personality and humanity because you are a good person in reality ... https://t.co/yqu0yi0tbn</v>
      </c>
    </row>
    <row r="10426" spans="1:5" ht="15" customHeight="1" x14ac:dyDescent="0.2">
      <c r="A10426" s="1" t="s">
        <v>20689</v>
      </c>
      <c r="B10426" s="1">
        <v>2</v>
      </c>
      <c r="C10426" s="3">
        <v>44535.72247685185</v>
      </c>
      <c r="D10426" s="1" t="s">
        <v>20690</v>
      </c>
      <c r="E10426" s="1" t="str">
        <f ca="1">IFERROR(__xludf.DUMMYFUNCTION("GOOGLETRANSLATE(A7225 , ""tr"" , ""en"")"),"@drfahrettinkoca doesn't even believe in that no longer")</f>
        <v>@drfahrettinkoca doesn't even believe in that no longer</v>
      </c>
    </row>
    <row r="10427" spans="1:5" ht="15" customHeight="1" x14ac:dyDescent="0.2">
      <c r="A10427" s="1" t="s">
        <v>20691</v>
      </c>
      <c r="B10427" s="1">
        <v>0</v>
      </c>
      <c r="C10427" s="3">
        <v>44535.722314814811</v>
      </c>
      <c r="D10427" s="1" t="s">
        <v>20692</v>
      </c>
      <c r="E10427" s="1" t="str">
        <f ca="1">IFERROR(__xludf.DUMMYFUNCTION("GOOGLETRANSLATE(A7226 , ""tr"" , ""en"")"),"@drfahrettinka https://t.co/tgrjh9qwzc")</f>
        <v>@drfahrettinka https://t.co/tgrjh9qwzc</v>
      </c>
    </row>
    <row r="10428" spans="1:5" ht="15" customHeight="1" x14ac:dyDescent="0.2">
      <c r="A10428" s="1" t="s">
        <v>20693</v>
      </c>
      <c r="B10428" s="1">
        <v>54</v>
      </c>
      <c r="C10428" s="3">
        <v>44535.722314814811</v>
      </c>
      <c r="D10428" s="1" t="s">
        <v>20694</v>
      </c>
      <c r="E10428" s="1" t="str">
        <f ca="1">IFERROR(__xludf.DUMMYFUNCTION("GOOGLETRANSLATE(A7227 , ""tr"" , ""en"")"),"@drfahrettinkoca If you protect the vaccine, do your meeting face.")</f>
        <v>@drfahrettinkoca If you protect the vaccine, do your meeting face.</v>
      </c>
    </row>
    <row r="10429" spans="1:5" ht="15" customHeight="1" x14ac:dyDescent="0.2">
      <c r="A10429" s="1" t="s">
        <v>20695</v>
      </c>
      <c r="B10429" s="1">
        <v>10</v>
      </c>
      <c r="C10429" s="3">
        <v>44535.722256944442</v>
      </c>
      <c r="D10429" s="1" t="s">
        <v>20696</v>
      </c>
      <c r="E10429" s="1" t="str">
        <f ca="1">IFERROR(__xludf.DUMMYFUNCTION("GOOGLETRANSLATE(A7228 , ""tr"" , ""en"")"),"@drfahrettinka still can't believe that this share is real this imprudence is big and effort to see as an effort ... https://t.co/5zjkikz1n8")</f>
        <v>@drfahrettinka still can't believe that this share is real this imprudence is big and effort to see as an effort ... https://t.co/5zjkikz1n8</v>
      </c>
    </row>
    <row r="10430" spans="1:5" ht="15" customHeight="1" x14ac:dyDescent="0.2">
      <c r="A10430" s="1" t="s">
        <v>20697</v>
      </c>
      <c r="B10430" s="1">
        <v>19</v>
      </c>
      <c r="C10430" s="3">
        <v>44535.72215277778</v>
      </c>
      <c r="D10430" s="1" t="s">
        <v>20698</v>
      </c>
      <c r="E10430" s="1" t="str">
        <f ca="1">IFERROR(__xludf.DUMMYFUNCTION("GOOGLETRANSLATE(A7229 , ""tr"" , ""en"")"),"@drfahrettinkoca you will be very good if you open one survey maybe then you'll see your own. The necessity of going on ... https://t.co/qotm88i4wn")</f>
        <v>@drfahrettinkoca you will be very good if you open one survey maybe then you'll see your own. The necessity of going on ... https://t.co/qotm88i4wn</v>
      </c>
    </row>
    <row r="10431" spans="1:5" ht="15" customHeight="1" x14ac:dyDescent="0.2">
      <c r="A10431" s="1" t="s">
        <v>20699</v>
      </c>
      <c r="B10431" s="1">
        <v>13</v>
      </c>
      <c r="C10431" s="3">
        <v>44535.722094907411</v>
      </c>
      <c r="D10431" s="1" t="s">
        <v>20700</v>
      </c>
      <c r="E10431" s="1" t="str">
        <f ca="1">IFERROR(__xludf.DUMMYFUNCTION("GOOGLETRANSLATE(A7230 , ""tr"" , ""en"")"),"@drfahrettinkoca overlooking the Bey, don't be so liar anymore people don't connect yourself to a lying success ... https://t.co/kctmj20gne")</f>
        <v>@drfahrettinkoca overlooking the Bey, don't be so liar anymore people don't connect yourself to a lying success ... https://t.co/kctmj20gne</v>
      </c>
    </row>
    <row r="10432" spans="1:5" ht="15" customHeight="1" x14ac:dyDescent="0.2">
      <c r="A10432" s="1" t="s">
        <v>20701</v>
      </c>
      <c r="B10432" s="1">
        <v>14</v>
      </c>
      <c r="C10432" s="3">
        <v>44535.722025462965</v>
      </c>
      <c r="D10432" s="1" t="s">
        <v>20702</v>
      </c>
      <c r="E10432" s="1" t="str">
        <f ca="1">IFERROR(__xludf.DUMMYFUNCTION("GOOGLETRANSLATE(A7231 , ""tr"" , ""en"")"),"@drfahrettinkoca Europe is taking so measures in the cases of the cases still have no precautions in Turkey but the cases fall ... https://t.co/9us1f3r3fn")</f>
        <v>@drfahrettinkoca Europe is taking so measures in the cases of the cases still have no precautions in Turkey but the cases fall ... https://t.co/9us1f3r3fn</v>
      </c>
    </row>
    <row r="10433" spans="1:5" ht="15" customHeight="1" x14ac:dyDescent="0.2">
      <c r="A10433" s="1" t="s">
        <v>20703</v>
      </c>
      <c r="B10433" s="1">
        <v>1</v>
      </c>
      <c r="C10433" s="3">
        <v>44535.721909722219</v>
      </c>
      <c r="D10433" s="1" t="s">
        <v>20704</v>
      </c>
      <c r="E10433" s="1" t="str">
        <f ca="1">IFERROR(__xludf.DUMMYFUNCTION("GOOGLETRANSLATE(A7232 , ""tr"" , ""en"")"),"@drfahrettinkoca is tomorrow bi is 23-25")</f>
        <v>@drfahrettinkoca is tomorrow bi is 23-25</v>
      </c>
    </row>
    <row r="10434" spans="1:5" ht="15" customHeight="1" x14ac:dyDescent="0.2">
      <c r="A10434" s="1" t="s">
        <v>20705</v>
      </c>
      <c r="B10434" s="1">
        <v>0</v>
      </c>
      <c r="C10434" s="3">
        <v>44535.721828703703</v>
      </c>
      <c r="D10434" s="1" t="s">
        <v>20706</v>
      </c>
      <c r="E10434" s="1" t="str">
        <f ca="1">IFERROR(__xludf.DUMMYFUNCTION("GOOGLETRANSLATE(A7233 , ""tr"" , ""en"")"),"@drfahrettinkoca prohibitions of gelsinism Now the weather has cooled up the classes in a crowded class of 40 people in a crowd ... https://t.co/oi6gmha3UK")</f>
        <v>@drfahrettinkoca prohibitions of gelsinism Now the weather has cooled up the classes in a crowded class of 40 people in a crowd ... https://t.co/oi6gmha3UK</v>
      </c>
    </row>
    <row r="10435" spans="1:5" ht="15" customHeight="1" x14ac:dyDescent="0.2">
      <c r="A10435" s="1" t="s">
        <v>20707</v>
      </c>
      <c r="B10435" s="1">
        <v>0</v>
      </c>
      <c r="C10435" s="3">
        <v>44535.721817129626</v>
      </c>
      <c r="D10435" s="1" t="s">
        <v>20708</v>
      </c>
      <c r="E10435" s="1" t="str">
        <f ca="1">IFERROR(__xludf.DUMMYFUNCTION("GOOGLETRANSLATE(A7234 , ""tr"" , ""en"")"),"@drfahrettinkoca The first time the vaccination speed was proportional to the cases were very increased. I recently decrease in vaccination ... https://t.co/tui7rysxpu")</f>
        <v>@drfahrettinkoca The first time the vaccination speed was proportional to the cases were very increased. I recently decrease in vaccination ... https://t.co/tui7rysxpu</v>
      </c>
    </row>
    <row r="10436" spans="1:5" ht="15" customHeight="1" x14ac:dyDescent="0.2">
      <c r="A10436" s="1" t="s">
        <v>20709</v>
      </c>
      <c r="B10436" s="1">
        <v>3</v>
      </c>
      <c r="C10436" s="3">
        <v>44535.721782407411</v>
      </c>
      <c r="D10436" s="1" t="s">
        <v>20710</v>
      </c>
      <c r="E10436" s="1" t="str">
        <f ca="1">IFERROR(__xludf.DUMMYFUNCTION("GOOGLETRANSLATE(A7235 , ""tr"" , ""en"")"),"@drfahrettinkoca Fahrettin Bey Vocuated and we have too many wives we died, do not reside the nation stupid. Have your water warmed up")</f>
        <v>@drfahrettinkoca Fahrettin Bey Vocuated and we have too many wives we died, do not reside the nation stupid. Have your water warmed up</v>
      </c>
    </row>
    <row r="10437" spans="1:5" ht="15" customHeight="1" x14ac:dyDescent="0.2">
      <c r="A10437" s="1" t="s">
        <v>20711</v>
      </c>
      <c r="B10437" s="1">
        <v>0</v>
      </c>
      <c r="C10437" s="3">
        <v>44535.721724537034</v>
      </c>
      <c r="D10437" s="1" t="s">
        <v>20712</v>
      </c>
      <c r="E10437" s="1" t="str">
        <f ca="1">IFERROR(__xludf.DUMMYFUNCTION("GOOGLETRANSLATE(A7236 , ""tr"" , ""en"")"),"@drfahrettinkoca in cities everyone buys the intertwined lacquer bus hes a $ ...! The bus is going on my dinner 😂")</f>
        <v>@drfahrettinkoca in cities everyone buys the intertwined lacquer bus hes a $ ...! The bus is going on my dinner 😂</v>
      </c>
    </row>
    <row r="10438" spans="1:5" ht="15" customHeight="1" x14ac:dyDescent="0.2">
      <c r="A10438" s="1" t="s">
        <v>20713</v>
      </c>
      <c r="B10438" s="1">
        <v>0</v>
      </c>
      <c r="C10438" s="3">
        <v>44535.721539351849</v>
      </c>
      <c r="D10438" s="1" t="s">
        <v>20714</v>
      </c>
      <c r="E10438" s="1" t="str">
        <f ca="1">IFERROR(__xludf.DUMMYFUNCTION("GOOGLETRANSLATE(A7237 , ""tr"" , ""en"")"),"If you're going to be @drfahrettinkoca, we will be on our way to our way. Correct no purchase was already done to be done ... https://t.co/vm6ter9j4h")</f>
        <v>If you're going to be @drfahrettinkoca, we will be on our way to our way. Correct no purchase was already done to be done ... https://t.co/vm6ter9j4h</v>
      </c>
    </row>
    <row r="10439" spans="1:5" ht="15" customHeight="1" x14ac:dyDescent="0.2">
      <c r="A10439" s="1" t="s">
        <v>20715</v>
      </c>
      <c r="B10439" s="1">
        <v>0</v>
      </c>
      <c r="C10439" s="3">
        <v>44535.721145833333</v>
      </c>
      <c r="D10439" s="1" t="s">
        <v>20716</v>
      </c>
      <c r="E10439" s="1" t="str">
        <f ca="1">IFERROR(__xludf.DUMMYFUNCTION("GOOGLETRANSLATE(A7238 , ""tr"" , ""en"")"),"@drfahrettinkoca None of anything falls or something that you have fallen. This is just a result of the order you create ... https://t.co/frjleu3mnv")</f>
        <v>@drfahrettinkoca None of anything falls or something that you have fallen. This is just a result of the order you create ... https://t.co/frjleu3mnv</v>
      </c>
    </row>
    <row r="10440" spans="1:5" ht="15" customHeight="1" x14ac:dyDescent="0.2">
      <c r="A10440" s="1" t="s">
        <v>20717</v>
      </c>
      <c r="B10440" s="1">
        <v>1</v>
      </c>
      <c r="C10440" s="3">
        <v>44535.721087962964</v>
      </c>
      <c r="D10440" s="1" t="s">
        <v>20718</v>
      </c>
      <c r="E10440" s="1" t="str">
        <f ca="1">IFERROR(__xludf.DUMMYFUNCTION("GOOGLETRANSLATE(A7239 , ""tr"" , ""en"")"),"@drfahrettinka friends stay away from hospitals .. Because we are killed with drugs and vaccines not Corona. You ... https://t.co/s2igs9ud3d")</f>
        <v>@drfahrettinka friends stay away from hospitals .. Because we are killed with drugs and vaccines not Corona. You ... https://t.co/s2igs9ud3d</v>
      </c>
    </row>
    <row r="10441" spans="1:5" ht="15" customHeight="1" x14ac:dyDescent="0.2">
      <c r="A10441" s="1" t="s">
        <v>20719</v>
      </c>
      <c r="B10441" s="1">
        <v>1</v>
      </c>
      <c r="C10441" s="3">
        <v>44535.720833333333</v>
      </c>
      <c r="D10441" s="1" t="s">
        <v>20720</v>
      </c>
      <c r="E10441" s="1" t="str">
        <f ca="1">IFERROR(__xludf.DUMMYFUNCTION("GOOGLETRANSLATE(A7240 , ""tr"" , ""en"")"),"@drfahrettinkoca Monday cabinet is preparing the place for the fact that")</f>
        <v>@drfahrettinkoca Monday cabinet is preparing the place for the fact that</v>
      </c>
    </row>
    <row r="10442" spans="1:5" ht="15" customHeight="1" x14ac:dyDescent="0.2">
      <c r="A10442" s="1" t="s">
        <v>20721</v>
      </c>
      <c r="B10442" s="1">
        <v>0</v>
      </c>
      <c r="C10442" s="3">
        <v>44535.720810185187</v>
      </c>
      <c r="D10442" s="1" t="s">
        <v>20722</v>
      </c>
      <c r="E10442" s="1" t="str">
        <f ca="1">IFERROR(__xludf.DUMMYFUNCTION("GOOGLETRANSLATE(A7241 , ""tr"" , ""en"")"),"@drfahrettinkoca what beautiful you are dropping pahallah")</f>
        <v>@drfahrettinkoca what beautiful you are dropping pahallah</v>
      </c>
    </row>
    <row r="10443" spans="1:5" ht="15" customHeight="1" x14ac:dyDescent="0.2">
      <c r="A10443" s="1" t="s">
        <v>20723</v>
      </c>
      <c r="B10443" s="1">
        <v>45</v>
      </c>
      <c r="C10443" s="3">
        <v>44535.72078703704</v>
      </c>
      <c r="D10443" s="1" t="s">
        <v>20724</v>
      </c>
      <c r="E10443" s="1" t="str">
        <f ca="1">IFERROR(__xludf.DUMMYFUNCTION("GOOGLETRANSLATE(A7242 , ""tr"" , ""en"")"),"@drfahrettinkoca What are you talking about? Are you making fun of our minds # Cabinethousonline")</f>
        <v>@drfahrettinkoca What are you talking about? Are you making fun of our minds # Cabinethousonline</v>
      </c>
    </row>
    <row r="10444" spans="1:5" ht="15" customHeight="1" x14ac:dyDescent="0.2">
      <c r="A10444" s="1" t="s">
        <v>20725</v>
      </c>
      <c r="B10444" s="1">
        <v>0</v>
      </c>
      <c r="C10444" s="3">
        <v>44535.720486111109</v>
      </c>
      <c r="D10444" s="1" t="s">
        <v>20726</v>
      </c>
      <c r="E10444" s="1" t="str">
        <f ca="1">IFERROR(__xludf.DUMMYFUNCTION("GOOGLETRANSLATE(A7243 , ""tr"" , ""en"")"),"Drop @drfahrettinkoca Case numbers: D")</f>
        <v>Drop @drfahrettinkoca Case numbers: D</v>
      </c>
    </row>
    <row r="10445" spans="1:5" ht="15" customHeight="1" x14ac:dyDescent="0.2">
      <c r="A10445" s="1" t="s">
        <v>20727</v>
      </c>
      <c r="B10445" s="1">
        <v>47</v>
      </c>
      <c r="C10445" s="3">
        <v>44535.720405092594</v>
      </c>
      <c r="D10445" s="1" t="s">
        <v>20728</v>
      </c>
      <c r="E10445" s="1" t="str">
        <f ca="1">IFERROR(__xludf.DUMMYFUNCTION("GOOGLETRANSLATE(A7244 , ""tr"" , ""en"")"),"@drfahrettinkoca PCR Nin inventor even my test is not available in the virus detection, also the entire country is full ... https://t.co/fojd3vhos7")</f>
        <v>@drfahrettinkoca PCR Nin inventor even my test is not available in the virus detection, also the entire country is full ... https://t.co/fojd3vhos7</v>
      </c>
    </row>
    <row r="10446" spans="1:5" ht="15" customHeight="1" x14ac:dyDescent="0.2">
      <c r="A10446" s="1" t="s">
        <v>20729</v>
      </c>
      <c r="B10446" s="1">
        <v>7</v>
      </c>
      <c r="C10446" s="3">
        <v>44535.720243055555</v>
      </c>
      <c r="D10446" s="1" t="s">
        <v>20730</v>
      </c>
      <c r="E10446" s="1" t="str">
        <f ca="1">IFERROR(__xludf.DUMMYFUNCTION("GOOGLETRANSLATE(A7245 , ""tr"" , ""en"")"),"@drfahrettinkoca # CabineticsLineLinistine Oh Minister Oh")</f>
        <v>@drfahrettinkoca # CabineticsLineLinistine Oh Minister Oh</v>
      </c>
    </row>
    <row r="10447" spans="1:5" ht="15" customHeight="1" x14ac:dyDescent="0.2">
      <c r="A10447" s="1" t="s">
        <v>20731</v>
      </c>
      <c r="B10447" s="1">
        <v>1</v>
      </c>
      <c r="C10447" s="3">
        <v>44535.720046296294</v>
      </c>
      <c r="D10447" s="1" t="s">
        <v>20732</v>
      </c>
      <c r="E10447" s="1" t="str">
        <f ca="1">IFERROR(__xludf.DUMMYFUNCTION("GOOGLETRANSLATE(A7246 , ""tr"" , ""en"")"),"@drfahrettinkoca throwing ziyaaa")</f>
        <v>@drfahrettinkoca throwing ziyaaa</v>
      </c>
    </row>
    <row r="10448" spans="1:5" ht="15" customHeight="1" x14ac:dyDescent="0.2">
      <c r="A10448" s="1" t="s">
        <v>20733</v>
      </c>
      <c r="B10448" s="1">
        <v>0</v>
      </c>
      <c r="C10448" s="3">
        <v>44535.719942129632</v>
      </c>
      <c r="D10448" s="1" t="s">
        <v>20734</v>
      </c>
      <c r="E10448" s="1" t="str">
        <f ca="1">IFERROR(__xludf.DUMMYFUNCTION("GOOGLETRANSLATE(A7247 , ""tr"" , ""en"")"),"@drfahrettinkoca Allah's love now make the following reception Vallahi is nicheed !! @drfahrettinkoca")</f>
        <v>@drfahrettinkoca Allah's love now make the following reception Vallahi is nicheed !! @drfahrettinkoca</v>
      </c>
    </row>
    <row r="10449" spans="1:5" ht="15" customHeight="1" x14ac:dyDescent="0.2">
      <c r="A10449" s="1" t="s">
        <v>20735</v>
      </c>
      <c r="B10449" s="1">
        <v>1</v>
      </c>
      <c r="C10449" s="3">
        <v>44535.719363425924</v>
      </c>
      <c r="D10449" s="1" t="s">
        <v>20736</v>
      </c>
      <c r="E10449" s="1" t="str">
        <f ca="1">IFERROR(__xludf.DUMMYFUNCTION("GOOGLETRANSLATE(A7248 , ""tr"" , ""en"")"),"@drfahrettinkoca What wants to deal and dedication to Dişii Since the beginning of the citizens in favor of citizens of citizens ... https://t.co/meI1cuyw0h")</f>
        <v>@drfahrettinkoca What wants to deal and dedication to Dişii Since the beginning of the citizens in favor of citizens of citizens ... https://t.co/meI1cuyw0h</v>
      </c>
    </row>
    <row r="10450" spans="1:5" ht="15" customHeight="1" x14ac:dyDescent="0.2">
      <c r="A10450" s="1" t="s">
        <v>20737</v>
      </c>
      <c r="B10450" s="1">
        <v>0</v>
      </c>
      <c r="C10450" s="3">
        <v>44535.719293981485</v>
      </c>
      <c r="D10450" s="1" t="s">
        <v>20738</v>
      </c>
      <c r="E10450" s="1" t="str">
        <f ca="1">IFERROR(__xludf.DUMMYFUNCTION("GOOGLETRANSLATE(A7249 , ""tr"" , ""en"")"),"@drfahrettinkoca Which ""big dealtures and dedication"" is a joke of the Abi? No Measures in the Country which deals you are talking about ... https://t.co/baljrfmak")</f>
        <v>@drfahrettinkoca Which "big dealtures and dedication" is a joke of the Abi? No Measures in the Country which deals you are talking about ... https://t.co/baljrfmak</v>
      </c>
    </row>
    <row r="10451" spans="1:5" ht="15" customHeight="1" x14ac:dyDescent="0.2">
      <c r="A10451" s="1" t="s">
        <v>12681</v>
      </c>
      <c r="B10451" s="1">
        <v>0</v>
      </c>
      <c r="C10451" s="3">
        <v>44535.718923611108</v>
      </c>
      <c r="D10451" s="1" t="s">
        <v>20739</v>
      </c>
      <c r="E10451" s="1" t="str">
        <f ca="1">IFERROR(__xludf.DUMMYFUNCTION("GOOGLETRANSLATE(A7250 , ""tr"" , ""en"")"),"@drfahrettinkoca assignment")</f>
        <v>@drfahrettinkoca assignment</v>
      </c>
    </row>
    <row r="10452" spans="1:5" ht="15" customHeight="1" x14ac:dyDescent="0.2">
      <c r="A10452" s="1" t="s">
        <v>20740</v>
      </c>
      <c r="B10452" s="1">
        <v>1</v>
      </c>
      <c r="C10452" s="3">
        <v>44535.718923611108</v>
      </c>
      <c r="D10452" s="1" t="s">
        <v>20741</v>
      </c>
      <c r="E10452" s="1" t="str">
        <f ca="1">IFERROR(__xludf.DUMMYFUNCTION("GOOGLETRANSLATE(A7251 , ""tr"" , ""en"")"),"@drfahrettinkoca When he was spreading so much to the disease 8 yaslarım to the Cocugum to the Cocugum? I'm curious about the opposite")</f>
        <v>@drfahrettinkoca When he was spreading so much to the disease 8 yaslarım to the Cocugum to the Cocugum? I'm curious about the opposite</v>
      </c>
    </row>
    <row r="10453" spans="1:5" ht="15" customHeight="1" x14ac:dyDescent="0.2">
      <c r="A10453" s="1" t="s">
        <v>20742</v>
      </c>
      <c r="B10453" s="1">
        <v>1</v>
      </c>
      <c r="C10453" s="3">
        <v>44535.718541666669</v>
      </c>
      <c r="D10453" s="1" t="s">
        <v>20743</v>
      </c>
      <c r="E10453" s="1" t="str">
        <f ca="1">IFERROR(__xludf.DUMMYFUNCTION("GOOGLETRANSLATE(A7252 , ""tr"" , ""en"")"),"@drfahrettinka 82% over 18 years of age. This job should have already finished according to your accounts. Call immunity to reinforcement.")</f>
        <v>@drfahrettinka 82% over 18 years of age. This job should have already finished according to your accounts. Call immunity to reinforcement.</v>
      </c>
    </row>
    <row r="10454" spans="1:5" ht="15" customHeight="1" x14ac:dyDescent="0.2">
      <c r="A10454" s="1" t="s">
        <v>20744</v>
      </c>
      <c r="B10454" s="1">
        <v>0</v>
      </c>
      <c r="C10454" s="3">
        <v>44535.718263888892</v>
      </c>
      <c r="D10454" s="1" t="s">
        <v>20745</v>
      </c>
      <c r="E10454" s="1" t="str">
        <f ca="1">IFERROR(__xludf.DUMMYFUNCTION("GOOGLETRANSLATE(A7253 , ""tr"" , ""en"")"),"@drfahrettinka has no vaccine. Unfortunately I am the fourth vaccine unable to be my wife")</f>
        <v>@drfahrettinka has no vaccine. Unfortunately I am the fourth vaccine unable to be my wife</v>
      </c>
    </row>
    <row r="10455" spans="1:5" ht="15" customHeight="1" x14ac:dyDescent="0.2">
      <c r="A10455" s="1" t="s">
        <v>20746</v>
      </c>
      <c r="B10455" s="1">
        <v>0</v>
      </c>
      <c r="C10455" s="3">
        <v>44535.718182870369</v>
      </c>
      <c r="D10455" s="1" t="s">
        <v>20747</v>
      </c>
      <c r="E10455" s="1" t="str">
        <f ca="1">IFERROR(__xludf.DUMMYFUNCTION("GOOGLETRANSLATE(A7254 , ""tr"" , ""en"")"),"@drfahrettinkoca we know who receives permission.")</f>
        <v>@drfahrettinkoca we know who receives permission.</v>
      </c>
    </row>
    <row r="10456" spans="1:5" ht="15" customHeight="1" x14ac:dyDescent="0.2">
      <c r="A10456" s="1" t="s">
        <v>20748</v>
      </c>
      <c r="B10456" s="1">
        <v>0</v>
      </c>
      <c r="C10456" s="3">
        <v>44535.718043981484</v>
      </c>
      <c r="D10456" s="1" t="s">
        <v>20749</v>
      </c>
      <c r="E10456" s="1" t="str">
        <f ca="1">IFERROR(__xludf.DUMMYFUNCTION("GOOGLETRANSLATE(A7255 , ""tr"" , ""en"")"),"@drfahrettinkoca Hatay is currently popping in the poppet all my acquaintances Covid 19")</f>
        <v>@drfahrettinkoca Hatay is currently popping in the poppet all my acquaintances Covid 19</v>
      </c>
    </row>
    <row r="10457" spans="1:5" ht="15" customHeight="1" x14ac:dyDescent="0.2">
      <c r="A10457" s="1" t="s">
        <v>20750</v>
      </c>
      <c r="B10457" s="1">
        <v>1</v>
      </c>
      <c r="C10457" s="3">
        <v>44535.717962962961</v>
      </c>
      <c r="D10457" s="1" t="s">
        <v>20751</v>
      </c>
      <c r="E10457" s="1" t="str">
        <f ca="1">IFERROR(__xludf.DUMMYFUNCTION("GOOGLETRANSLATE(A7256 , ""tr"" , ""en"")"),"@drfahrettinkoca hahahahah This table only laughed 20 thousand Altina Dusmedi dropped #the cabinet")</f>
        <v>@drfahrettinkoca hahahahah This table only laughed 20 thousand Altina Dusmedi dropped #the cabinet</v>
      </c>
    </row>
    <row r="10458" spans="1:5" ht="15" customHeight="1" x14ac:dyDescent="0.2">
      <c r="A10458" s="1" t="s">
        <v>20752</v>
      </c>
      <c r="B10458" s="1">
        <v>0</v>
      </c>
      <c r="C10458" s="3">
        <v>44535.717777777776</v>
      </c>
      <c r="D10458" s="1" t="s">
        <v>20753</v>
      </c>
      <c r="E10458" s="1" t="str">
        <f ca="1">IFERROR(__xludf.DUMMYFUNCTION("GOOGLETRANSLATE(A7257 , ""tr"" , ""en"")"),"@drfahrettinkoca I'm not included in this table by compromising everyday. Because there is no corona if you don't test.")</f>
        <v>@drfahrettinkoca I'm not included in this table by compromising everyday. Because there is no corona if you don't test.</v>
      </c>
    </row>
    <row r="10459" spans="1:5" ht="15" customHeight="1" x14ac:dyDescent="0.2">
      <c r="A10459" s="1" t="s">
        <v>20754</v>
      </c>
      <c r="B10459" s="1">
        <v>0</v>
      </c>
      <c r="C10459" s="3">
        <v>44535.717719907407</v>
      </c>
      <c r="D10459" s="1" t="s">
        <v>20755</v>
      </c>
      <c r="E10459" s="1" t="str">
        <f ca="1">IFERROR(__xludf.DUMMYFUNCTION("GOOGLETRANSLATE(A7258 , ""tr"" , ""en"")"),"@drfahrettinkoca needs to be in good pity not already negative two days after two days will return to a kit of a kit ... https://t.co/2oen3khppx")</f>
        <v>@drfahrettinkoca needs to be in good pity not already negative two days after two days will return to a kit of a kit ... https://t.co/2oen3khppx</v>
      </c>
    </row>
    <row r="10460" spans="1:5" ht="15" customHeight="1" x14ac:dyDescent="0.2">
      <c r="A10460" s="1" t="s">
        <v>20756</v>
      </c>
      <c r="B10460" s="1">
        <v>0</v>
      </c>
      <c r="C10460" s="3">
        <v>44535.717314814814</v>
      </c>
      <c r="D10460" s="1" t="s">
        <v>20757</v>
      </c>
      <c r="E10460" s="1" t="str">
        <f ca="1">IFERROR(__xludf.DUMMYFUNCTION("GOOGLETRANSLATE(A7259 , ""tr"" , ""en"")"),"@drfahrettinka you guess they put the vaccine on quota to beat twiti")</f>
        <v>@drfahrettinka you guess they put the vaccine on quota to beat twiti</v>
      </c>
    </row>
    <row r="10461" spans="1:5" ht="15" customHeight="1" x14ac:dyDescent="0.2">
      <c r="A10461" s="1" t="s">
        <v>15979</v>
      </c>
      <c r="B10461" s="1">
        <v>0</v>
      </c>
      <c r="C10461" s="3">
        <v>44535.717233796298</v>
      </c>
      <c r="D10461" s="1" t="s">
        <v>20758</v>
      </c>
      <c r="E10461" s="1" t="str">
        <f ca="1">IFERROR(__xludf.DUMMYFUNCTION("GOOGLETRANSLATE(A7260 , ""tr"" , ""en"")"),"@drfahrettinkoca guanuzzz")</f>
        <v>@drfahrettinkoca guanuzzz</v>
      </c>
    </row>
    <row r="10462" spans="1:5" ht="15" customHeight="1" x14ac:dyDescent="0.2">
      <c r="A10462" s="1" t="s">
        <v>10058</v>
      </c>
      <c r="B10462" s="1">
        <v>0</v>
      </c>
      <c r="C10462" s="3">
        <v>44535.717118055552</v>
      </c>
      <c r="D10462" s="1" t="s">
        <v>20759</v>
      </c>
      <c r="E10462" s="1" t="str">
        <f ca="1">IFERROR(__xludf.DUMMYFUNCTION("GOOGLETRANSLATE(A7261 , ""tr"" , ""en"")"),"@drfahrettinkoca Guide")</f>
        <v>@drfahrettinkoca Guide</v>
      </c>
    </row>
    <row r="10463" spans="1:5" ht="15" customHeight="1" x14ac:dyDescent="0.2">
      <c r="A10463" s="1" t="s">
        <v>20760</v>
      </c>
      <c r="B10463" s="1">
        <v>1</v>
      </c>
      <c r="C10463" s="3">
        <v>44535.717048611114</v>
      </c>
      <c r="D10463" s="1" t="s">
        <v>20761</v>
      </c>
      <c r="E10463" s="1" t="str">
        <f ca="1">IFERROR(__xludf.DUMMYFUNCTION("GOOGLETRANSLATE(A7262 , ""tr"" , ""en"")"),"@drfahrettinkoca must be on Sunday every day to be permanent!")</f>
        <v>@drfahrettinkoca must be on Sunday every day to be permanent!</v>
      </c>
    </row>
    <row r="10464" spans="1:5" ht="15" customHeight="1" x14ac:dyDescent="0.2">
      <c r="A10464" s="1" t="s">
        <v>20762</v>
      </c>
      <c r="B10464" s="1">
        <v>0</v>
      </c>
      <c r="C10464" s="3">
        <v>44535.716979166667</v>
      </c>
      <c r="D10464" s="1" t="s">
        <v>20763</v>
      </c>
      <c r="E10464" s="1" t="str">
        <f ca="1">IFERROR(__xludf.DUMMYFUNCTION("GOOGLETRANSLATE(A7263 , ""tr"" , ""en"")"),"@drfahrettinka Mr. Ministry of Ministry I am writing to fix a ridiculous application Covid. My test positive output is 8 day ... https://t.co/aabqk8fie6")</f>
        <v>@drfahrettinka Mr. Ministry of Ministry I am writing to fix a ridiculous application Covid. My test positive output is 8 day ... https://t.co/aabqk8fie6</v>
      </c>
    </row>
    <row r="10465" spans="1:5" ht="15" customHeight="1" x14ac:dyDescent="0.2">
      <c r="A10465" s="1" t="s">
        <v>20764</v>
      </c>
      <c r="B10465" s="1">
        <v>0</v>
      </c>
      <c r="C10465" s="3">
        <v>44535.71670138889</v>
      </c>
      <c r="D10465" s="1" t="s">
        <v>20765</v>
      </c>
      <c r="E10465" s="1" t="str">
        <f ca="1">IFERROR(__xludf.DUMMYFUNCTION("GOOGLETRANSLATE(A7264 , ""tr"" , ""en"")"),"@drfahrettinkoca big dealt on and dedication ??? You have ever used public transport in Istanbul Bourgeois Minister ... https://t.co/cprhmrgwiv")</f>
        <v>@drfahrettinkoca big dealt on and dedication ??? You have ever used public transport in Istanbul Bourgeois Minister ... https://t.co/cprhmrgwiv</v>
      </c>
    </row>
    <row r="10466" spans="1:5" ht="15" customHeight="1" x14ac:dyDescent="0.2">
      <c r="A10466" s="1" t="s">
        <v>20766</v>
      </c>
      <c r="B10466" s="1">
        <v>2</v>
      </c>
      <c r="C10466" s="3">
        <v>44535.715879629628</v>
      </c>
      <c r="D10466" s="1" t="s">
        <v>20767</v>
      </c>
      <c r="E10466" s="1" t="str">
        <f ca="1">IFERROR(__xludf.DUMMYFUNCTION("GOOGLETRANSLATE(A7265 , ""tr"" , ""en"")"),"@drfahrettinkoca guide looking forward to the minister # fkuyumanerede40binatama")</f>
        <v>@drfahrettinkoca guide looking forward to the minister # fkuyumanerede40binatama</v>
      </c>
    </row>
    <row r="10467" spans="1:5" ht="15" customHeight="1" x14ac:dyDescent="0.2">
      <c r="A10467" s="1" t="s">
        <v>20768</v>
      </c>
      <c r="B10467" s="1">
        <v>10</v>
      </c>
      <c r="C10467" s="3">
        <v>44535.715763888889</v>
      </c>
      <c r="D10467" s="1" t="s">
        <v>20769</v>
      </c>
      <c r="E10467" s="1" t="str">
        <f ca="1">IFERROR(__xludf.DUMMYFUNCTION("GOOGLETRANSLATE(A7266 , ""tr"" , ""en"")"),"@drfahrettinkoca Sheer Schools Closure The Economy Kills Students Killing the Students Kills Pussies You're Not Halal")</f>
        <v>@drfahrettinkoca Sheer Schools Closure The Economy Kills Students Killing the Students Kills Pussies You're Not Halal</v>
      </c>
    </row>
    <row r="10468" spans="1:5" ht="15" customHeight="1" x14ac:dyDescent="0.2">
      <c r="A10468" s="1" t="s">
        <v>20770</v>
      </c>
      <c r="B10468" s="1">
        <v>0</v>
      </c>
      <c r="C10468" s="3">
        <v>44535.715717592589</v>
      </c>
      <c r="D10468" s="1" t="s">
        <v>20771</v>
      </c>
      <c r="E10468" s="1" t="str">
        <f ca="1">IFERROR(__xludf.DUMMYFUNCTION("GOOGLETRANSLATE(A7267 , ""tr"" , ""en"")"),"@drfahrettinkoca bune aq i believe in me")</f>
        <v>@drfahrettinkoca bune aq i believe in me</v>
      </c>
    </row>
    <row r="10469" spans="1:5" ht="15" customHeight="1" x14ac:dyDescent="0.2">
      <c r="A10469" s="1" t="s">
        <v>20772</v>
      </c>
      <c r="B10469" s="1">
        <v>2</v>
      </c>
      <c r="C10469" s="3">
        <v>44535.715624999997</v>
      </c>
      <c r="D10469" s="1" t="s">
        <v>20773</v>
      </c>
      <c r="E10469" s="1" t="str">
        <f ca="1">IFERROR(__xludf.DUMMYFUNCTION("GOOGLETRANSLATE(A7268 , ""tr"" , ""en"")"),"@drfahrettinka https://t.co/bwer6neoru")</f>
        <v>@drfahrettinka https://t.co/bwer6neoru</v>
      </c>
    </row>
    <row r="10470" spans="1:5" ht="15" customHeight="1" x14ac:dyDescent="0.2">
      <c r="A10470" s="1" t="s">
        <v>20774</v>
      </c>
      <c r="B10470" s="1">
        <v>7</v>
      </c>
      <c r="C10470" s="3">
        <v>44535.715497685182</v>
      </c>
      <c r="D10470" s="1" t="s">
        <v>20775</v>
      </c>
      <c r="E10470" s="1" t="str">
        <f ca="1">IFERROR(__xludf.DUMMYFUNCTION("GOOGLETRANSLATE(A7269 , ""tr"" , ""en"")"),"@drfahrettinkoca Yesterday Favipiraviri Drinks 8 + 8 days, today this drug says this drug doesn't work. But we are the oppressed ... https://t.co/d1ppsubre")</f>
        <v>@drfahrettinkoca Yesterday Favipiraviri Drinks 8 + 8 days, today this drug says this drug doesn't work. But we are the oppressed ... https://t.co/d1ppsubre</v>
      </c>
    </row>
    <row r="10471" spans="1:5" ht="15" customHeight="1" x14ac:dyDescent="0.2">
      <c r="A10471" s="1" t="s">
        <v>20776</v>
      </c>
      <c r="B10471" s="1">
        <v>2</v>
      </c>
      <c r="C10471" s="3">
        <v>44535.715474537035</v>
      </c>
      <c r="D10471" s="1" t="s">
        <v>20777</v>
      </c>
      <c r="E10471" s="1" t="str">
        <f ca="1">IFERROR(__xludf.DUMMYFUNCTION("GOOGLETRANSLATE(A7270 , ""tr"" , ""en"")"),"@drfahrettinkoca What do you don't understand what do you don't understand that my Valla Psychology is broken # Cabinethousonline")</f>
        <v>@drfahrettinkoca What do you don't understand what do you don't understand that my Valla Psychology is broken # Cabinethousonline</v>
      </c>
    </row>
    <row r="10472" spans="1:5" ht="15" customHeight="1" x14ac:dyDescent="0.2">
      <c r="A10472" s="1" t="s">
        <v>20778</v>
      </c>
      <c r="B10472" s="1">
        <v>2</v>
      </c>
      <c r="C10472" s="3">
        <v>44535.71533564815</v>
      </c>
      <c r="D10472" s="1" t="s">
        <v>20779</v>
      </c>
      <c r="E10472" s="1" t="str">
        <f ca="1">IFERROR(__xludf.DUMMYFUNCTION("GOOGLETRANSLATE(A7271 , ""tr"" , ""en"")"),"@drfahrettinka Modern Medicine I haven't left trust. After that, the pills don't even drink. I don't trust the vaccinations of modern medicine.")</f>
        <v>@drfahrettinka Modern Medicine I haven't left trust. After that, the pills don't even drink. I don't trust the vaccinations of modern medicine.</v>
      </c>
    </row>
    <row r="10473" spans="1:5" ht="15" customHeight="1" x14ac:dyDescent="0.2">
      <c r="A10473" s="1" t="s">
        <v>20780</v>
      </c>
      <c r="B10473" s="1">
        <v>9</v>
      </c>
      <c r="C10473" s="3">
        <v>44535.715173611112</v>
      </c>
      <c r="D10473" s="1" t="s">
        <v>20781</v>
      </c>
      <c r="E10473" s="1" t="str">
        <f ca="1">IFERROR(__xludf.DUMMYFUNCTION("GOOGLETRANSLATE(A7272 , ""tr"" , ""en"")"),"@drfahrettinkoca Type or in winter cases for 30 thousand for 30 thousand, everyone is in the closed areas in the closed areas ... https://t.co/sazcd3kqqım")</f>
        <v>@drfahrettinkoca Type or in winter cases for 30 thousand for 30 thousand, everyone is in the closed areas in the closed areas ... https://t.co/sazcd3kqqım</v>
      </c>
    </row>
    <row r="10474" spans="1:5" ht="15" customHeight="1" x14ac:dyDescent="0.2">
      <c r="A10474" s="1" t="s">
        <v>20782</v>
      </c>
      <c r="B10474" s="1">
        <v>0</v>
      </c>
      <c r="C10474" s="3">
        <v>44535.714861111112</v>
      </c>
      <c r="D10474" s="1" t="s">
        <v>20783</v>
      </c>
      <c r="E10474" s="1" t="str">
        <f ca="1">IFERROR(__xludf.DUMMYFUNCTION("GOOGLETRANSLATE(A7273 , ""tr"" , ""en"")"),"@drfahrettinka vaccination slows down when cases began to decrease. That's what you say your dedication.")</f>
        <v>@drfahrettinka vaccination slows down when cases began to decrease. That's what you say your dedication.</v>
      </c>
    </row>
    <row r="10475" spans="1:5" ht="15" customHeight="1" x14ac:dyDescent="0.2">
      <c r="A10475" s="1" t="s">
        <v>20784</v>
      </c>
      <c r="B10475" s="1">
        <v>2</v>
      </c>
      <c r="C10475" s="3">
        <v>44535.714456018519</v>
      </c>
      <c r="D10475" s="1" t="s">
        <v>20785</v>
      </c>
      <c r="E10475" s="1" t="str">
        <f ca="1">IFERROR(__xludf.DUMMYFUNCTION("GOOGLETRANSLATE(A7274 , ""tr"" , ""en"")"),"@drfahrettinkoca every place blue blue masaallah. Change in case of case and death is zero! Folks painted blue, you are ... https://t.co/qmuuedyt8r")</f>
        <v>@drfahrettinkoca every place blue blue masaallah. Change in case of case and death is zero! Folks painted blue, you are ... https://t.co/qmuuedyt8r</v>
      </c>
    </row>
    <row r="10476" spans="1:5" ht="15" customHeight="1" x14ac:dyDescent="0.2">
      <c r="A10476" s="1" t="s">
        <v>20786</v>
      </c>
      <c r="B10476" s="1">
        <v>0</v>
      </c>
      <c r="C10476" s="3">
        <v>44535.714456018519</v>
      </c>
      <c r="D10476" s="1" t="s">
        <v>20787</v>
      </c>
      <c r="E10476" s="1" t="str">
        <f ca="1">IFERROR(__xludf.DUMMYFUNCTION("GOOGLETRANSLATE(A7275 , ""tr"" , ""en"")"),"@drfahrettinkoca Case with number of vaccine is what is relevant.")</f>
        <v>@drfahrettinkoca Case with number of vaccine is what is relevant.</v>
      </c>
    </row>
    <row r="10477" spans="1:5" ht="15" customHeight="1" x14ac:dyDescent="0.2">
      <c r="A10477" s="1" t="s">
        <v>20788</v>
      </c>
      <c r="B10477" s="1">
        <v>0</v>
      </c>
      <c r="C10477" s="3">
        <v>44535.714432870373</v>
      </c>
      <c r="D10477" s="1" t="s">
        <v>20789</v>
      </c>
      <c r="E10477" s="1" t="str">
        <f ca="1">IFERROR(__xludf.DUMMYFUNCTION("GOOGLETRANSLATE(A7276 , ""tr"" , ""en"")"),"@drfahrettinkoca You have to make the vaccination to further lower the cases")</f>
        <v>@drfahrettinkoca You have to make the vaccination to further lower the cases</v>
      </c>
    </row>
    <row r="10478" spans="1:5" ht="15" customHeight="1" x14ac:dyDescent="0.2">
      <c r="A10478" s="1" t="s">
        <v>20790</v>
      </c>
      <c r="B10478" s="1">
        <v>0</v>
      </c>
      <c r="C10478" s="3">
        <v>44535.714120370372</v>
      </c>
      <c r="D10478" s="1" t="s">
        <v>20791</v>
      </c>
      <c r="E10478" s="1" t="str">
        <f ca="1">IFERROR(__xludf.DUMMYFUNCTION("GOOGLETRANSLATE(A7277 , ""tr"" , ""en"")"),"@drfahrettinkoca I won't be a vaccine (I will never be) I have been suppose to be the measure after the vaccination 👇👇👇 A Şi Mi Means K My NEW MEAN")</f>
        <v>@drfahrettinkoca I won't be a vaccine (I will never be) I have been suppose to be the measure after the vaccination 👇👇👇 A Şi Mi Means K My NEW MEAN</v>
      </c>
    </row>
    <row r="10479" spans="1:5" ht="15" customHeight="1" x14ac:dyDescent="0.2">
      <c r="A10479" s="1" t="s">
        <v>10058</v>
      </c>
      <c r="B10479" s="1">
        <v>0</v>
      </c>
      <c r="C10479" s="3">
        <v>44535.714004629626</v>
      </c>
      <c r="D10479" s="1" t="s">
        <v>20792</v>
      </c>
      <c r="E10479" s="1" t="str">
        <f ca="1">IFERROR(__xludf.DUMMYFUNCTION("GOOGLETRANSLATE(A7278 , ""tr"" , ""en"")"),"@drfahrettinkoca Guide")</f>
        <v>@drfahrettinkoca Guide</v>
      </c>
    </row>
    <row r="10480" spans="1:5" ht="15" customHeight="1" x14ac:dyDescent="0.2">
      <c r="A10480" s="1" t="s">
        <v>20793</v>
      </c>
      <c r="B10480" s="1">
        <v>0</v>
      </c>
      <c r="C10480" s="3">
        <v>44535.713958333334</v>
      </c>
      <c r="D10480" s="1" t="s">
        <v>20794</v>
      </c>
      <c r="E10480" s="1" t="str">
        <f ca="1">IFERROR(__xludf.DUMMYFUNCTION("GOOGLETRANSLATE(A7279 , ""tr"" , ""en"")"),"@drfahrettinkoca is the permission of our president well 🤔🤔")</f>
        <v>@drfahrettinkoca is the permission of our president well 🤔🤔</v>
      </c>
    </row>
    <row r="10481" spans="1:5" ht="15" customHeight="1" x14ac:dyDescent="0.2">
      <c r="A10481" s="1" t="s">
        <v>20795</v>
      </c>
      <c r="B10481" s="1">
        <v>0</v>
      </c>
      <c r="C10481" s="3">
        <v>44535.713865740741</v>
      </c>
      <c r="D10481" s="1" t="s">
        <v>20796</v>
      </c>
      <c r="E10481" s="1" t="str">
        <f ca="1">IFERROR(__xludf.DUMMYFUNCTION("GOOGLETRANSLATE(A7280 , ""tr"" , ""en"")"),"@drfahrettinkoca left anymore these works .... https://t.co/gsfxtjjwun")</f>
        <v>@drfahrettinkoca left anymore these works .... https://t.co/gsfxtjjwun</v>
      </c>
    </row>
    <row r="10482" spans="1:5" ht="15" customHeight="1" x14ac:dyDescent="0.2">
      <c r="A10482" s="1" t="s">
        <v>20797</v>
      </c>
      <c r="B10482" s="1">
        <v>0</v>
      </c>
      <c r="C10482" s="3">
        <v>44535.713854166665</v>
      </c>
      <c r="D10482" s="1" t="s">
        <v>20798</v>
      </c>
      <c r="E10482" s="1" t="str">
        <f ca="1">IFERROR(__xludf.DUMMYFUNCTION("GOOGLETRANSLATE(A7281 , ""tr"" , ""en"")"),"@drfahrettinkoca assignment is looking forward to still")</f>
        <v>@drfahrettinkoca assignment is looking forward to still</v>
      </c>
    </row>
    <row r="10483" spans="1:5" ht="15" customHeight="1" x14ac:dyDescent="0.2">
      <c r="A10483" s="1" t="s">
        <v>20799</v>
      </c>
      <c r="B10483" s="1">
        <v>0</v>
      </c>
      <c r="C10483" s="3">
        <v>44535.713356481479</v>
      </c>
      <c r="D10483" s="1" t="s">
        <v>20800</v>
      </c>
      <c r="E10483" s="1" t="str">
        <f ca="1">IFERROR(__xludf.DUMMYFUNCTION("GOOGLETRANSLATE(A7282 , ""tr"" , ""en"")"),"@drfahrettinkoca May Allow Your Aidea")</f>
        <v>@drfahrettinkoca May Allow Your Aidea</v>
      </c>
    </row>
    <row r="10484" spans="1:5" ht="15" customHeight="1" x14ac:dyDescent="0.2">
      <c r="A10484" s="1" t="s">
        <v>20801</v>
      </c>
      <c r="B10484" s="1">
        <v>0</v>
      </c>
      <c r="C10484" s="3">
        <v>44535.713333333333</v>
      </c>
      <c r="D10484" s="1" t="s">
        <v>20802</v>
      </c>
      <c r="E10484" s="1" t="str">
        <f ca="1">IFERROR(__xludf.DUMMYFUNCTION("GOOGLETRANSLATE(A7283 , ""tr"" , ""en"")"),"@drfahrettinkoca all lying figures lie")</f>
        <v>@drfahrettinkoca all lying figures lie</v>
      </c>
    </row>
    <row r="10485" spans="1:5" ht="15" customHeight="1" x14ac:dyDescent="0.2">
      <c r="A10485" s="1" t="s">
        <v>20803</v>
      </c>
      <c r="B10485" s="1">
        <v>2</v>
      </c>
      <c r="C10485" s="3">
        <v>44535.712951388887</v>
      </c>
      <c r="D10485" s="1" t="s">
        <v>20804</v>
      </c>
      <c r="E10485" s="1" t="str">
        <f ca="1">IFERROR(__xludf.DUMMYFUNCTION("GOOGLETRANSLATE(A7284 , ""tr"" , ""en"")"),"@drfahrettinkoca Dear husband; What is your comment on this video 👇 https://t.co/7zcjfkhgcz")</f>
        <v>@drfahrettinkoca Dear husband; What is your comment on this video 👇 https://t.co/7zcjfkhgcz</v>
      </c>
    </row>
    <row r="10486" spans="1:5" ht="15" customHeight="1" x14ac:dyDescent="0.2">
      <c r="A10486" s="1" t="s">
        <v>20805</v>
      </c>
      <c r="B10486" s="1">
        <v>17</v>
      </c>
      <c r="C10486" s="3">
        <v>44535.712939814817</v>
      </c>
      <c r="D10486" s="1" t="s">
        <v>20806</v>
      </c>
      <c r="E10486" s="1" t="str">
        <f ca="1">IFERROR(__xludf.DUMMYFUNCTION("GOOGLETRANSLATE(A7285 , ""tr"" , ""en"")"),"@drfahrettinka https://t.co/c9bwgnssda")</f>
        <v>@drfahrettinka https://t.co/c9bwgnssda</v>
      </c>
    </row>
    <row r="10487" spans="1:5" ht="15" customHeight="1" x14ac:dyDescent="0.2">
      <c r="A10487" s="1" t="s">
        <v>20807</v>
      </c>
      <c r="B10487" s="1">
        <v>1</v>
      </c>
      <c r="C10487" s="3">
        <v>44535.712870370371</v>
      </c>
      <c r="D10487" s="1" t="s">
        <v>20808</v>
      </c>
      <c r="E10487" s="1" t="str">
        <f ca="1">IFERROR(__xludf.DUMMYFUNCTION("GOOGLETRANSLATE(A7286 , ""tr"" , ""en"")"),"@drfahrettinkoca Bi Sal is no longer. No one believes. We don't believe 80% we continue to continue to 20% no longer you.")</f>
        <v>@drfahrettinkoca Bi Sal is no longer. No one believes. We don't believe 80% we continue to continue to 20% no longer you.</v>
      </c>
    </row>
    <row r="10488" spans="1:5" ht="15" customHeight="1" x14ac:dyDescent="0.2">
      <c r="A10488" s="1" t="s">
        <v>20809</v>
      </c>
      <c r="B10488" s="1">
        <v>2</v>
      </c>
      <c r="C10488" s="3">
        <v>44535.712870370371</v>
      </c>
      <c r="D10488" s="1" t="s">
        <v>20810</v>
      </c>
      <c r="E10488" s="1" t="str">
        <f ca="1">IFERROR(__xludf.DUMMYFUNCTION("GOOGLETRANSLATE(A7287 , ""tr"" , ""en"")"),"@drfahrettinka https://t.co/2h1o32u4jn")</f>
        <v>@drfahrettinka https://t.co/2h1o32u4jn</v>
      </c>
    </row>
    <row r="10489" spans="1:5" ht="15" customHeight="1" x14ac:dyDescent="0.2">
      <c r="A10489" s="1" t="s">
        <v>20811</v>
      </c>
      <c r="B10489" s="1">
        <v>1</v>
      </c>
      <c r="C10489" s="3">
        <v>44535.712789351855</v>
      </c>
      <c r="D10489" s="1" t="s">
        <v>20812</v>
      </c>
      <c r="E10489" s="1" t="str">
        <f ca="1">IFERROR(__xludf.DUMMYFUNCTION("GOOGLETRANSLATE(A7288 , ""tr"" , ""en"")"),"@drfahrettinka https://t.co/xdo7kcwj2o")</f>
        <v>@drfahrettinka https://t.co/xdo7kcwj2o</v>
      </c>
    </row>
    <row r="10490" spans="1:5" ht="15" customHeight="1" x14ac:dyDescent="0.2">
      <c r="A10490" s="1" t="s">
        <v>20813</v>
      </c>
      <c r="B10490" s="1">
        <v>3</v>
      </c>
      <c r="C10490" s="3">
        <v>44535.712731481479</v>
      </c>
      <c r="D10490" s="1" t="s">
        <v>20814</v>
      </c>
      <c r="E10490" s="1" t="str">
        <f ca="1">IFERROR(__xludf.DUMMYFUNCTION("GOOGLETRANSLATE(A7289 , ""tr"" , ""en"")"),"@drfahrettinkoca VALLA Mr. Minister You are the Minister of Health not the Minister of Cavit.")</f>
        <v>@drfahrettinkoca VALLA Mr. Minister You are the Minister of Health not the Minister of Cavit.</v>
      </c>
    </row>
    <row r="10491" spans="1:5" ht="15" customHeight="1" x14ac:dyDescent="0.2">
      <c r="A10491" s="1" t="s">
        <v>20815</v>
      </c>
      <c r="B10491" s="1">
        <v>2</v>
      </c>
      <c r="C10491" s="3">
        <v>44535.712627314817</v>
      </c>
      <c r="D10491" s="1" t="s">
        <v>20816</v>
      </c>
      <c r="E10491" s="1" t="str">
        <f ca="1">IFERROR(__xludf.DUMMYFUNCTION("GOOGLETRANSLATE(A7290 , ""tr"" , ""en"")"),"@drfahrettinkoca squad ruler is not assigned as the Health Management Department Name and Code (4597) is not assigned.Firsat equals ... https://t.co/mqeotgbsqz")</f>
        <v>@drfahrettinkoca squad ruler is not assigned as the Health Management Department Name and Code (4597) is not assigned.Firsat equals ... https://t.co/mqeotgbsqz</v>
      </c>
    </row>
    <row r="10492" spans="1:5" ht="15" customHeight="1" x14ac:dyDescent="0.2">
      <c r="A10492" s="1" t="s">
        <v>20817</v>
      </c>
      <c r="B10492" s="1">
        <v>50</v>
      </c>
      <c r="C10492" s="3">
        <v>44535.71261574074</v>
      </c>
      <c r="D10492" s="1" t="s">
        <v>20818</v>
      </c>
      <c r="E10492" s="1" t="str">
        <f ca="1">IFERROR(__xludf.DUMMYFUNCTION("GOOGLETRANSLATE(A7291 , ""tr"" , ""en"")"),"@drfahrettinkoca yes big deal and dedication! Living in an imprudent manner and dedication and dedication ... https://t.co/alshzhers1")</f>
        <v>@drfahrettinkoca yes big deal and dedication! Living in an imprudent manner and dedication and dedication ... https://t.co/alshzhers1</v>
      </c>
    </row>
    <row r="10493" spans="1:5" ht="15" customHeight="1" x14ac:dyDescent="0.2">
      <c r="A10493" s="1" t="s">
        <v>20819</v>
      </c>
      <c r="B10493" s="1">
        <v>1</v>
      </c>
      <c r="C10493" s="3">
        <v>44535.712500000001</v>
      </c>
      <c r="D10493" s="1" t="s">
        <v>20820</v>
      </c>
      <c r="E10493" s="1" t="str">
        <f ca="1">IFERROR(__xludf.DUMMYFUNCTION("GOOGLETRANSLATE(A7292 , ""tr"" , ""en"")"),"@drfahrettinkoca We have tried hardly hard to assign our scores for a year we are looking forward to assignment from you full We are looking forward to the Naplim Ministry ... https://t.co/qsyuykor9x")</f>
        <v>@drfahrettinkoca We have tried hardly hard to assign our scores for a year we are looking forward to assignment from you full We are looking forward to the Naplim Ministry ... https://t.co/qsyuykor9x</v>
      </c>
    </row>
    <row r="10494" spans="1:5" ht="15" customHeight="1" x14ac:dyDescent="0.2">
      <c r="A10494" s="1" t="s">
        <v>20821</v>
      </c>
      <c r="B10494" s="1">
        <v>27</v>
      </c>
      <c r="C10494" s="3">
        <v>44535.712418981479</v>
      </c>
      <c r="D10494" s="1" t="s">
        <v>20822</v>
      </c>
      <c r="E10494" s="1" t="str">
        <f ca="1">IFERROR(__xludf.DUMMYFUNCTION("GOOGLETRANSLATE(A7293 , ""tr"" , ""en"")"),"@drfahrettinkoca Your resignation has already arrived # Yökmebistifa # Cabinethousyline # reunetry")</f>
        <v>@drfahrettinkoca Your resignation has already arrived # Yökmebistifa # Cabinethousyline # reunetry</v>
      </c>
    </row>
    <row r="10495" spans="1:5" ht="15" customHeight="1" x14ac:dyDescent="0.2">
      <c r="A10495" s="1" t="s">
        <v>20823</v>
      </c>
      <c r="B10495" s="1">
        <v>0</v>
      </c>
      <c r="C10495" s="3">
        <v>44535.712280092594</v>
      </c>
      <c r="D10495" s="1" t="s">
        <v>20824</v>
      </c>
      <c r="E10495" s="1" t="str">
        <f ca="1">IFERROR(__xludf.DUMMYFUNCTION("GOOGLETRANSLATE(A7294 , ""tr"" , ""en"")"),"@drfahrettinkoca squad ruler is not assigned as the name and code (4597) in the ruler (4597) is not assigned.")</f>
        <v>@drfahrettinkoca squad ruler is not assigned as the name and code (4597) in the ruler (4597) is not assigned.</v>
      </c>
    </row>
    <row r="10496" spans="1:5" ht="15" customHeight="1" x14ac:dyDescent="0.2">
      <c r="A10496" s="1" t="s">
        <v>20825</v>
      </c>
      <c r="B10496" s="1">
        <v>4</v>
      </c>
      <c r="C10496" s="3">
        <v>44535.712106481478</v>
      </c>
      <c r="D10496" s="1" t="s">
        <v>20826</v>
      </c>
      <c r="E10496" s="1" t="str">
        <f ca="1">IFERROR(__xludf.DUMMYFUNCTION("GOOGLETRANSLATE(A7295 , ""tr"" , ""en"")"),"@drfahrettinkoca was more than one year and even the health institutions that are constantly serving health institutions ... https://t.co/deznqwjgii")</f>
        <v>@drfahrettinkoca was more than one year and even the health institutions that are constantly serving health institutions ... https://t.co/deznqwjgii</v>
      </c>
    </row>
    <row r="10497" spans="1:5" ht="15" customHeight="1" x14ac:dyDescent="0.2">
      <c r="A10497" s="1" t="s">
        <v>20827</v>
      </c>
      <c r="B10497" s="1">
        <v>2</v>
      </c>
      <c r="C10497" s="3">
        <v>44535.711921296293</v>
      </c>
      <c r="D10497" s="1" t="s">
        <v>20828</v>
      </c>
      <c r="E10497" s="1" t="str">
        <f ca="1">IFERROR(__xludf.DUMMYFUNCTION("GOOGLETRANSLATE(A7296 , ""tr"" , ""en"")"),"@drfahrettinkoca squad ruler is not assigned because the Health Management Department Name and Code (4597) is not available.Firat equals ... https://t.co/otdjpncw7t")</f>
        <v>@drfahrettinkoca squad ruler is not assigned because the Health Management Department Name and Code (4597) is not available.Firat equals ... https://t.co/otdjpncw7t</v>
      </c>
    </row>
    <row r="10498" spans="1:5" ht="15" customHeight="1" x14ac:dyDescent="0.2">
      <c r="A10498" s="1" t="s">
        <v>20829</v>
      </c>
      <c r="B10498" s="1">
        <v>1</v>
      </c>
      <c r="C10498" s="3">
        <v>44535.711782407408</v>
      </c>
      <c r="D10498" s="1" t="s">
        <v>20830</v>
      </c>
      <c r="E10498" s="1" t="str">
        <f ca="1">IFERROR(__xludf.DUMMYFUNCTION("GOOGLETRANSLATE(A7297 , ""tr"" , ""en"")"),"@drfahrettinkoca guide guide and manual")</f>
        <v>@drfahrettinkoca guide guide and manual</v>
      </c>
    </row>
    <row r="10499" spans="1:5" ht="15" customHeight="1" x14ac:dyDescent="0.2">
      <c r="A10499" s="1" t="s">
        <v>20831</v>
      </c>
      <c r="B10499" s="1">
        <v>0</v>
      </c>
      <c r="C10499" s="3">
        <v>44535.711782407408</v>
      </c>
      <c r="D10499" s="1" t="s">
        <v>20832</v>
      </c>
      <c r="E10499" s="1" t="str">
        <f ca="1">IFERROR(__xludf.DUMMYFUNCTION("GOOGLETRANSLATE(A7298 , ""tr"" , ""en"")"),"@drfahrettinkoca paranine copegi")</f>
        <v>@drfahrettinkoca paranine copegi</v>
      </c>
    </row>
    <row r="10500" spans="1:5" ht="15" customHeight="1" x14ac:dyDescent="0.2">
      <c r="A10500" s="1" t="s">
        <v>20833</v>
      </c>
      <c r="B10500" s="1">
        <v>1</v>
      </c>
      <c r="C10500" s="3">
        <v>44535.711747685185</v>
      </c>
      <c r="D10500" s="1" t="s">
        <v>20834</v>
      </c>
      <c r="E10500" s="1" t="str">
        <f ca="1">IFERROR(__xludf.DUMMYFUNCTION("GOOGLETRANSLATE(A7299 , ""tr"" , ""en"")"),"@drfahrettinkoca Do you have to believe in this table seriously")</f>
        <v>@drfahrettinkoca Do you have to believe in this table seriously</v>
      </c>
    </row>
    <row r="10501" spans="1:5" ht="15" customHeight="1" x14ac:dyDescent="0.2">
      <c r="A10501" s="1" t="s">
        <v>20835</v>
      </c>
      <c r="B10501" s="1">
        <v>2</v>
      </c>
      <c r="C10501" s="3">
        <v>44535.711608796293</v>
      </c>
      <c r="D10501" s="1" t="s">
        <v>20836</v>
      </c>
      <c r="E10501" s="1" t="str">
        <f ca="1">IFERROR(__xludf.DUMMYFUNCTION("GOOGLETRANSLATE(A7300 , ""tr"" , ""en"")"),"@drfahrettinkoca why don't you still give us an answer? We want the guide # fkuyumanere40binatama")</f>
        <v>@drfahrettinkoca why don't you still give us an answer? We want the guide # fkuyumanere40binatama</v>
      </c>
    </row>
    <row r="10502" spans="1:5" ht="15" customHeight="1" x14ac:dyDescent="0.2">
      <c r="A10502" s="1" t="s">
        <v>20837</v>
      </c>
      <c r="B10502" s="1">
        <v>0</v>
      </c>
      <c r="C10502" s="3">
        <v>44535.711608796293</v>
      </c>
      <c r="D10502" s="1" t="s">
        <v>20838</v>
      </c>
      <c r="E10502" s="1" t="str">
        <f ca="1">IFERROR(__xludf.DUMMYFUNCTION("GOOGLETRANSLATE(A7301 , ""tr"" , ""en"")"),"@drfahrettinkoca people stop being vaccine so it may be falling ..")</f>
        <v>@drfahrettinkoca people stop being vaccine so it may be falling ..</v>
      </c>
    </row>
    <row r="10503" spans="1:5" ht="15" customHeight="1" x14ac:dyDescent="0.2">
      <c r="A10503" s="1" t="s">
        <v>20839</v>
      </c>
      <c r="B10503" s="1">
        <v>0</v>
      </c>
      <c r="C10503" s="3">
        <v>44535.711273148147</v>
      </c>
      <c r="D10503" s="1" t="s">
        <v>20840</v>
      </c>
      <c r="E10503" s="1" t="str">
        <f ca="1">IFERROR(__xludf.DUMMYFUNCTION("GOOGLETRANSLATE(A7302 , ""tr"" , ""en"")"),"@drfahrettinkoca omicron !?")</f>
        <v>@drfahrettinkoca omicron !?</v>
      </c>
    </row>
    <row r="10504" spans="1:5" ht="15" customHeight="1" x14ac:dyDescent="0.2">
      <c r="A10504" s="1" t="s">
        <v>20841</v>
      </c>
      <c r="B10504" s="1">
        <v>5</v>
      </c>
      <c r="C10504" s="3">
        <v>44535.711261574077</v>
      </c>
      <c r="D10504" s="1" t="s">
        <v>20842</v>
      </c>
      <c r="E10504" s="1" t="str">
        <f ca="1">IFERROR(__xludf.DUMMYFUNCTION("GOOGLETRANSLATE(A7303 , ""tr"" , ""en"")"),"@drfahrettinkoca Either go to be guy. My mother is not even in patient treatment you don't give PCR you still say vaccine here either")</f>
        <v>@drfahrettinkoca Either go to be guy. My mother is not even in patient treatment you don't give PCR you still say vaccine here either</v>
      </c>
    </row>
    <row r="10505" spans="1:5" ht="15" customHeight="1" x14ac:dyDescent="0.2">
      <c r="A10505" s="1" t="s">
        <v>20843</v>
      </c>
      <c r="B10505" s="1">
        <v>6</v>
      </c>
      <c r="C10505" s="3">
        <v>44535.711076388892</v>
      </c>
      <c r="D10505" s="1" t="s">
        <v>20844</v>
      </c>
      <c r="E10505" s="1" t="str">
        <f ca="1">IFERROR(__xludf.DUMMYFUNCTION("GOOGLETRANSLATE(A7304 , ""tr"" , ""en"")"),"@drfahrettinkoca @drfahrettinkoca distance education urgent")</f>
        <v>@drfahrettinkoca @drfahrettinkoca distance education urgent</v>
      </c>
    </row>
    <row r="10506" spans="1:5" ht="15" customHeight="1" x14ac:dyDescent="0.2">
      <c r="A10506" s="1" t="s">
        <v>20845</v>
      </c>
      <c r="B10506" s="1">
        <v>9</v>
      </c>
      <c r="C10506" s="3">
        <v>44535.710729166669</v>
      </c>
      <c r="D10506" s="1" t="s">
        <v>20846</v>
      </c>
      <c r="E10506" s="1" t="str">
        <f ca="1">IFERROR(__xludf.DUMMYFUNCTION("GOOGLETRANSLATE(A7305 , ""tr"" , ""en"")"),"@drfahrettinkoca Do not store the table for the fact that the fact is the weekend, the cases are falling")</f>
        <v>@drfahrettinkoca Do not store the table for the fact that the fact is the weekend, the cases are falling</v>
      </c>
    </row>
    <row r="10507" spans="1:5" ht="15" customHeight="1" x14ac:dyDescent="0.2">
      <c r="A10507" s="1" t="s">
        <v>10058</v>
      </c>
      <c r="B10507" s="1">
        <v>0</v>
      </c>
      <c r="C10507" s="3">
        <v>44535.710694444446</v>
      </c>
      <c r="D10507" s="1" t="s">
        <v>20847</v>
      </c>
      <c r="E10507" s="1" t="str">
        <f ca="1">IFERROR(__xludf.DUMMYFUNCTION("GOOGLETRANSLATE(A7306 , ""tr"" , ""en"")"),"@drfahrettinkoca Guide")</f>
        <v>@drfahrettinkoca Guide</v>
      </c>
    </row>
    <row r="10508" spans="1:5" ht="15" customHeight="1" x14ac:dyDescent="0.2">
      <c r="A10508" s="1" t="s">
        <v>11962</v>
      </c>
      <c r="B10508" s="1">
        <v>0</v>
      </c>
      <c r="C10508" s="3">
        <v>44535.710625</v>
      </c>
      <c r="D10508" s="1" t="s">
        <v>20848</v>
      </c>
      <c r="E10508" s="1" t="str">
        <f ca="1">IFERROR(__xludf.DUMMYFUNCTION("GOOGLETRANSLATE(A7307 , ""tr"" , ""en"")"),"@drfahrettinkoca guide")</f>
        <v>@drfahrettinkoca guide</v>
      </c>
    </row>
    <row r="10509" spans="1:5" ht="15" customHeight="1" x14ac:dyDescent="0.2">
      <c r="A10509" s="1" t="s">
        <v>20849</v>
      </c>
      <c r="B10509" s="1">
        <v>2</v>
      </c>
      <c r="C10509" s="3">
        <v>44535.71056712963</v>
      </c>
      <c r="D10509" s="1" t="s">
        <v>20850</v>
      </c>
      <c r="E10509" s="1" t="str">
        <f ca="1">IFERROR(__xludf.DUMMYFUNCTION("GOOGLETRANSLATE(A7308 , ""tr"" , ""en"")"),"@drfahrettinkoca enjoyably lower what is up to the ala mammelek")</f>
        <v>@drfahrettinkoca enjoyably lower what is up to the ala mammelek</v>
      </c>
    </row>
    <row r="10510" spans="1:5" ht="15" customHeight="1" x14ac:dyDescent="0.2">
      <c r="A10510" s="1" t="s">
        <v>20851</v>
      </c>
      <c r="B10510" s="1">
        <v>0</v>
      </c>
      <c r="C10510" s="3">
        <v>44535.710555555554</v>
      </c>
      <c r="D10510" s="1" t="s">
        <v>20852</v>
      </c>
      <c r="E10510" s="1" t="str">
        <f ca="1">IFERROR(__xludf.DUMMYFUNCTION("GOOGLETRANSLATE(A7309 , ""tr"" , ""en"")"),"@drfahrettinkoca 3 months after a first: Sanliurfa didn't surprise again https://t.co/zawtrlzyp7")</f>
        <v>@drfahrettinkoca 3 months after a first: Sanliurfa didn't surprise again https://t.co/zawtrlzyp7</v>
      </c>
    </row>
    <row r="10511" spans="1:5" ht="15" customHeight="1" x14ac:dyDescent="0.2">
      <c r="A10511" s="1" t="s">
        <v>20853</v>
      </c>
      <c r="B10511" s="1">
        <v>0</v>
      </c>
      <c r="C10511" s="3">
        <v>44535.710416666669</v>
      </c>
      <c r="D10511" s="1" t="s">
        <v>20854</v>
      </c>
      <c r="E10511" s="1" t="str">
        <f ca="1">IFERROR(__xludf.DUMMYFUNCTION("GOOGLETRANSLATE(A7310 , ""tr"" , ""en"")"),"@drfahrettinkoca #istifa meat and this necip cease to get into the kanina! @tcbestepe this is also stop")</f>
        <v>@drfahrettinkoca #istifa meat and this necip cease to get into the kanina! @tcbestepe this is also stop</v>
      </c>
    </row>
    <row r="10512" spans="1:5" ht="15" customHeight="1" x14ac:dyDescent="0.2">
      <c r="A10512" s="1" t="s">
        <v>20855</v>
      </c>
      <c r="B10512" s="1">
        <v>0</v>
      </c>
      <c r="C10512" s="3">
        <v>44535.709953703707</v>
      </c>
      <c r="D10512" s="1" t="s">
        <v>20856</v>
      </c>
      <c r="E10512" s="1" t="str">
        <f ca="1">IFERROR(__xludf.DUMMYFUNCTION("GOOGLETRANSLATE(A7311 , ""tr"" , ""en"")"),"@drfahrettinkoca everyone falls in the cases of indoor situations. I guess that doesn't understand that this is the periodic policy.")</f>
        <v>@drfahrettinkoca everyone falls in the cases of indoor situations. I guess that doesn't understand that this is the periodic policy.</v>
      </c>
    </row>
    <row r="10513" spans="1:5" ht="15" customHeight="1" x14ac:dyDescent="0.2">
      <c r="A10513" s="1" t="s">
        <v>20857</v>
      </c>
      <c r="B10513" s="1">
        <v>1</v>
      </c>
      <c r="C10513" s="3">
        <v>44535.709768518522</v>
      </c>
      <c r="D10513" s="1" t="s">
        <v>20858</v>
      </c>
      <c r="E10513" s="1" t="str">
        <f ca="1">IFERROR(__xludf.DUMMYFUNCTION("GOOGLETRANSLATE(A7312 , ""tr"" , ""en"")"),"@drfahrettinkoca Congratulations Guys Draşak Pass You Hal Begin Dying Children's Playag")</f>
        <v>@drfahrettinkoca Congratulations Guys Draşak Pass You Hal Begin Dying Children's Playag</v>
      </c>
    </row>
    <row r="10514" spans="1:5" ht="15" customHeight="1" x14ac:dyDescent="0.2">
      <c r="A10514" s="1" t="s">
        <v>20859</v>
      </c>
      <c r="B10514" s="1">
        <v>0</v>
      </c>
      <c r="C10514" s="3">
        <v>44535.709710648145</v>
      </c>
      <c r="D10514" s="1" t="s">
        <v>20860</v>
      </c>
      <c r="E10514" s="1" t="str">
        <f ca="1">IFERROR(__xludf.DUMMYFUNCTION("GOOGLETRANSLATE(A7313 , ""tr"" , ""en"")"),"@drfahrettinkoca sershare shanked figures indi so in reality")</f>
        <v>@drfahrettinkoca sershare shanked figures indi so in reality</v>
      </c>
    </row>
    <row r="10515" spans="1:5" ht="15" customHeight="1" x14ac:dyDescent="0.2">
      <c r="A10515" s="1" t="s">
        <v>20861</v>
      </c>
      <c r="B10515" s="1">
        <v>0</v>
      </c>
      <c r="C10515" s="3">
        <v>44535.709652777776</v>
      </c>
      <c r="D10515" s="1" t="s">
        <v>20862</v>
      </c>
      <c r="E10515" s="1" t="str">
        <f ca="1">IFERROR(__xludf.DUMMYFUNCTION("GOOGLETRANSLATE(A7314 , ""tr"" , ""en"")"),"@drfahrettinka vaccination speed falls as soon as wakas also started falling rapidly dicey")</f>
        <v>@drfahrettinka vaccination speed falls as soon as wakas also started falling rapidly dicey</v>
      </c>
    </row>
    <row r="10516" spans="1:5" ht="15" customHeight="1" x14ac:dyDescent="0.2">
      <c r="A10516" s="1" t="s">
        <v>20863</v>
      </c>
      <c r="B10516" s="1">
        <v>0</v>
      </c>
      <c r="C10516" s="3">
        <v>44535.709629629629</v>
      </c>
      <c r="D10516" s="1" t="s">
        <v>20864</v>
      </c>
      <c r="E10516" s="1" t="str">
        <f ca="1">IFERROR(__xludf.DUMMYFUNCTION("GOOGLETRANSLATE(A7315 , ""tr"" , ""en"")"),"@drfahrettinkoca falls with its dedication. Little test does not fall (!) I take your attention")</f>
        <v>@drfahrettinkoca falls with its dedication. Little test does not fall (!) I take your attention</v>
      </c>
    </row>
    <row r="10517" spans="1:5" ht="15" customHeight="1" x14ac:dyDescent="0.2">
      <c r="A10517" s="1" t="s">
        <v>20865</v>
      </c>
      <c r="B10517" s="1">
        <v>3</v>
      </c>
      <c r="C10517" s="3">
        <v>44535.70921296296</v>
      </c>
      <c r="D10517" s="1" t="s">
        <v>20866</v>
      </c>
      <c r="E10517" s="1" t="str">
        <f ca="1">IFERROR(__xludf.DUMMYFUNCTION("GOOGLETRANSLATE(A7316 , ""tr"" , ""en"")"),"@drfahrettinka is unconvincing?")</f>
        <v>@drfahrettinka is unconvincing?</v>
      </c>
    </row>
    <row r="10518" spans="1:5" ht="15" customHeight="1" x14ac:dyDescent="0.2">
      <c r="A10518" s="1" t="s">
        <v>20867</v>
      </c>
      <c r="B10518" s="1">
        <v>1</v>
      </c>
      <c r="C10518" s="3">
        <v>44535.709120370368</v>
      </c>
      <c r="D10518" s="1" t="s">
        <v>20868</v>
      </c>
      <c r="E10518" s="1" t="str">
        <f ca="1">IFERROR(__xludf.DUMMYFUNCTION("GOOGLETRANSLATE(A7317 , ""tr"" , ""en"")"),"@drfahrettinka Mr. Minister Why we always throw Twit KPSS period Sonami Erdi now began the Twit period ... https://t.co/yadrtqwmj2")</f>
        <v>@drfahrettinka Mr. Minister Why we always throw Twit KPSS period Sonami Erdi now began the Twit period ... https://t.co/yadrtqwmj2</v>
      </c>
    </row>
    <row r="10519" spans="1:5" ht="15" customHeight="1" x14ac:dyDescent="0.2">
      <c r="A10519" s="1" t="s">
        <v>20869</v>
      </c>
      <c r="B10519" s="1">
        <v>0</v>
      </c>
      <c r="C10519" s="3">
        <v>44535.709004629629</v>
      </c>
      <c r="D10519" s="1" t="s">
        <v>20870</v>
      </c>
      <c r="E10519" s="1" t="str">
        <f ca="1">IFERROR(__xludf.DUMMYFUNCTION("GOOGLETRANSLATE(A7318 , ""tr"" , ""en"")"),"@drfahrettinkoca they give such concessions that ... We could not be solid like Europe.")</f>
        <v>@drfahrettinkoca they give such concessions that ... We could not be solid like Europe.</v>
      </c>
    </row>
    <row r="10520" spans="1:5" ht="15" customHeight="1" x14ac:dyDescent="0.2">
      <c r="A10520" s="1" t="s">
        <v>20871</v>
      </c>
      <c r="B10520" s="1">
        <v>2</v>
      </c>
      <c r="C10520" s="3">
        <v>44535.708981481483</v>
      </c>
      <c r="D10520" s="1" t="s">
        <v>20872</v>
      </c>
      <c r="E10520" s="1" t="str">
        <f ca="1">IFERROR(__xludf.DUMMYFUNCTION("GOOGLETRANSLATE(A7319 , ""tr"" , ""en"")"),"@drfahrettinkoca plandemi .. Avat, we should not compromise the tadbir .. https://t.co/gs3evcewmv")</f>
        <v>@drfahrettinkoca plandemi .. Avat, we should not compromise the tadbir .. https://t.co/gs3evcewmv</v>
      </c>
    </row>
    <row r="10521" spans="1:5" ht="15" customHeight="1" x14ac:dyDescent="0.2">
      <c r="A10521" s="1" t="s">
        <v>20873</v>
      </c>
      <c r="B10521" s="1">
        <v>0</v>
      </c>
      <c r="C10521" s="3">
        <v>44535.708981481483</v>
      </c>
      <c r="D10521" s="1" t="s">
        <v>20874</v>
      </c>
      <c r="E10521" s="1" t="str">
        <f ca="1">IFERROR(__xludf.DUMMYFUNCTION("GOOGLETRANSLATE(A7320 , ""tr"" , ""en"")"),"@drfahrettinkoca Don't spend a long time in the area, but schools will be what will happen in the closed area and calablic")</f>
        <v>@drfahrettinkoca Don't spend a long time in the area, but schools will be what will happen in the closed area and calablic</v>
      </c>
    </row>
    <row r="10522" spans="1:5" ht="15" customHeight="1" x14ac:dyDescent="0.2">
      <c r="A10522" s="1" t="s">
        <v>20875</v>
      </c>
      <c r="B10522" s="1">
        <v>0</v>
      </c>
      <c r="C10522" s="3">
        <v>44535.708854166667</v>
      </c>
      <c r="D10522" s="1" t="s">
        <v>20876</v>
      </c>
      <c r="E10522" s="1" t="str">
        <f ca="1">IFERROR(__xludf.DUMMYFUNCTION("GOOGLETRANSLATE(A7321 , ""tr"" , ""en"")"),"@drfahrettinkoca no more how can we tell how we can call your guide this is so ignored this ka ... https://t.co/pzrInvrhmr")</f>
        <v>@drfahrettinkoca no more how can we tell how we can call your guide this is so ignored this ka ... https://t.co/pzrInvrhmr</v>
      </c>
    </row>
    <row r="10523" spans="1:5" ht="15" customHeight="1" x14ac:dyDescent="0.2">
      <c r="A10523" s="1" t="s">
        <v>20877</v>
      </c>
      <c r="B10523" s="1">
        <v>43</v>
      </c>
      <c r="C10523" s="3">
        <v>44535.708784722221</v>
      </c>
      <c r="D10523" s="1" t="s">
        <v>20878</v>
      </c>
      <c r="E10523" s="1" t="str">
        <f ca="1">IFERROR(__xludf.DUMMYFUNCTION("GOOGLETRANSLATE(A7322 , ""tr"" , ""en"")"),"@drfahrettinka you really forgot other disturbances from thinking ... Anyway the vaccine stock is obviously ... But ... https://t.co/Iuv9ofsczo")</f>
        <v>@drfahrettinka you really forgot other disturbances from thinking ... Anyway the vaccine stock is obviously ... But ... https://t.co/Iuv9ofsczo</v>
      </c>
    </row>
    <row r="10524" spans="1:5" ht="15" customHeight="1" x14ac:dyDescent="0.2">
      <c r="A10524" s="1" t="s">
        <v>20879</v>
      </c>
      <c r="B10524" s="1">
        <v>3</v>
      </c>
      <c r="C10524" s="3">
        <v>44535.708437499998</v>
      </c>
      <c r="D10524" s="1" t="s">
        <v>20880</v>
      </c>
      <c r="E10524" s="1" t="str">
        <f ca="1">IFERROR(__xludf.DUMMYFUNCTION("GOOGLETRANSLATE(A7323 , ""tr"" , ""en"")"),"@drfahrettinkoca also don't understand your mindset like turning off schools online now..Ne this meb minister..ne does business")</f>
        <v>@drfahrettinkoca also don't understand your mindset like turning off schools online now..Ne this meb minister..ne does business</v>
      </c>
    </row>
    <row r="10525" spans="1:5" ht="15" customHeight="1" x14ac:dyDescent="0.2">
      <c r="A10525" s="1" t="s">
        <v>20881</v>
      </c>
      <c r="B10525" s="1">
        <v>1</v>
      </c>
      <c r="C10525" s="3">
        <v>44535.708414351851</v>
      </c>
      <c r="D10525" s="1" t="s">
        <v>20882</v>
      </c>
      <c r="E10525" s="1" t="str">
        <f ca="1">IFERROR(__xludf.DUMMYFUNCTION("GOOGLETRANSLATE(A7324 , ""tr"" , ""en"")"),"@drfahrettinkoca 40 premises also place health management in the village Mr. Ministry https://t.co/nezu1jold4")</f>
        <v>@drfahrettinkoca 40 premises also place health management in the village Mr. Ministry https://t.co/nezu1jold4</v>
      </c>
    </row>
    <row r="10526" spans="1:5" ht="15" customHeight="1" x14ac:dyDescent="0.2">
      <c r="A10526" s="1" t="s">
        <v>20883</v>
      </c>
      <c r="B10526" s="1">
        <v>0</v>
      </c>
      <c r="C10526" s="3">
        <v>44535.708379629628</v>
      </c>
      <c r="D10526" s="1" t="s">
        <v>20884</v>
      </c>
      <c r="E10526" s="1" t="str">
        <f ca="1">IFERROR(__xludf.DUMMYFUNCTION("GOOGLETRANSLATE(A7325 , ""tr"" , ""en"")"),"@drfahrettinka Mr. @drfahrettinkoca We now want to see the guide")</f>
        <v>@drfahrettinka Mr. @drfahrettinkoca We now want to see the guide</v>
      </c>
    </row>
    <row r="10527" spans="1:5" ht="15" customHeight="1" x14ac:dyDescent="0.2">
      <c r="A10527" s="1" t="s">
        <v>20885</v>
      </c>
      <c r="B10527" s="1">
        <v>0</v>
      </c>
      <c r="C10527" s="3">
        <v>44535.708275462966</v>
      </c>
      <c r="D10527" s="1" t="s">
        <v>20886</v>
      </c>
      <c r="E10527" s="1" t="str">
        <f ca="1">IFERROR(__xludf.DUMMYFUNCTION("GOOGLETRANSLATE(A7326 , ""tr"" , ""en"")"),"@drfahrettinkoca I wondered after what happened 😂😂 https://t.co/9pcd2dkfpy")</f>
        <v>@drfahrettinkoca I wondered after what happened 😂😂 https://t.co/9pcd2dkfpy</v>
      </c>
    </row>
    <row r="10528" spans="1:5" ht="15" customHeight="1" x14ac:dyDescent="0.2">
      <c r="A10528" s="1" t="s">
        <v>20887</v>
      </c>
      <c r="B10528" s="1">
        <v>0</v>
      </c>
      <c r="C10528" s="3">
        <v>44535.70820601852</v>
      </c>
      <c r="D10528" s="1" t="s">
        <v>20888</v>
      </c>
      <c r="E10528" s="1" t="str">
        <f ca="1">IFERROR(__xludf.DUMMYFUNCTION("GOOGLETRANSLATE(A7327 , ""tr"" , ""en"")"),"@drfahrettinkoca #the governmentistifa # Earlier # BirbiontechAlıyaz Justice Minister")</f>
        <v>@drfahrettinkoca #the governmentistifa # Earlier # BirbiontechAlıyaz Justice Minister</v>
      </c>
    </row>
    <row r="10529" spans="1:5" ht="15" customHeight="1" x14ac:dyDescent="0.2">
      <c r="A10529" s="1" t="s">
        <v>20889</v>
      </c>
      <c r="B10529" s="1">
        <v>0</v>
      </c>
      <c r="C10529" s="3">
        <v>44535.708182870374</v>
      </c>
      <c r="D10529" s="1" t="s">
        <v>20890</v>
      </c>
      <c r="E10529" s="1" t="str">
        <f ca="1">IFERROR(__xludf.DUMMYFUNCTION("GOOGLETRANSLATE(A7328 , ""tr"" , ""en"")"),"@drfahrettinkoca qefwghegbt finished virus")</f>
        <v>@drfahrettinkoca qefwghegbt finished virus</v>
      </c>
    </row>
    <row r="10530" spans="1:5" ht="15" customHeight="1" x14ac:dyDescent="0.2">
      <c r="A10530" s="1" t="s">
        <v>20891</v>
      </c>
      <c r="B10530" s="1">
        <v>108</v>
      </c>
      <c r="C10530" s="3">
        <v>44535.708124999997</v>
      </c>
      <c r="D10530" s="1" t="s">
        <v>20892</v>
      </c>
      <c r="E10530" s="1" t="str">
        <f ca="1">IFERROR(__xludf.DUMMYFUNCTION("GOOGLETRANSLATE(A7329 , ""tr"" , ""en"")"),"@drfahrettinkoca paşallah Either very fallen cases Minister 👏👏 Halal ya")</f>
        <v>@drfahrettinkoca paşallah Either very fallen cases Minister 👏👏 Halal ya</v>
      </c>
    </row>
    <row r="10531" spans="1:5" ht="15" customHeight="1" x14ac:dyDescent="0.2">
      <c r="A10531" s="1" t="s">
        <v>20893</v>
      </c>
      <c r="B10531" s="1">
        <v>2</v>
      </c>
      <c r="C10531" s="3">
        <v>44535.708124999997</v>
      </c>
      <c r="D10531" s="1" t="s">
        <v>20894</v>
      </c>
      <c r="E10531" s="1" t="str">
        <f ca="1">IFERROR(__xludf.DUMMYFUNCTION("GOOGLETRANSLATE(A7330 , ""tr"" , ""en"")"),"@drfahrettinkoca 40 premises also take place in health management as well as Mr. Minister https://t.co/gp9kr4f5s5")</f>
        <v>@drfahrettinkoca 40 premises also take place in health management as well as Mr. Minister https://t.co/gp9kr4f5s5</v>
      </c>
    </row>
    <row r="10532" spans="1:5" ht="15" customHeight="1" x14ac:dyDescent="0.2">
      <c r="A10532" s="1" t="s">
        <v>20895</v>
      </c>
      <c r="B10532" s="1">
        <v>0</v>
      </c>
      <c r="C10532" s="3">
        <v>44535.707974537036</v>
      </c>
      <c r="D10532" s="1" t="s">
        <v>20896</v>
      </c>
      <c r="E10532" s="1" t="str">
        <f ca="1">IFERROR(__xludf.DUMMYFUNCTION("GOOGLETRANSLATE(A7331 , ""tr"" , ""en"")"),"@drfahrettinkoca not looking for something, I don't destroy it, Mr. Minister. Have Covid and more than ever.")</f>
        <v>@drfahrettinkoca not looking for something, I don't destroy it, Mr. Minister. Have Covid and more than ever.</v>
      </c>
    </row>
    <row r="10533" spans="1:5" ht="15" customHeight="1" x14ac:dyDescent="0.2">
      <c r="A10533" s="1" t="s">
        <v>20897</v>
      </c>
      <c r="B10533" s="1">
        <v>0</v>
      </c>
      <c r="C10533" s="3">
        <v>44535.707905092589</v>
      </c>
      <c r="D10533" s="1" t="s">
        <v>20898</v>
      </c>
      <c r="E10533" s="1" t="str">
        <f ca="1">IFERROR(__xludf.DUMMYFUNCTION("GOOGLETRANSLATE(A7332 , ""tr"" , ""en"")"),"@drfahrettinkoca I eat that the man puts us in the idiot place Yaw Turkish miles come to yourself no longer")</f>
        <v>@drfahrettinkoca I eat that the man puts us in the idiot place Yaw Turkish miles come to yourself no longer</v>
      </c>
    </row>
    <row r="10534" spans="1:5" ht="15" customHeight="1" x14ac:dyDescent="0.2">
      <c r="A10534" s="1" t="s">
        <v>20899</v>
      </c>
      <c r="B10534" s="1">
        <v>0</v>
      </c>
      <c r="C10534" s="3">
        <v>44535.707858796297</v>
      </c>
      <c r="D10534" s="1" t="s">
        <v>20900</v>
      </c>
      <c r="E10534" s="1" t="str">
        <f ca="1">IFERROR(__xludf.DUMMYFUNCTION("GOOGLETRANSLATE(A7333 , ""tr"" , ""en"")"),"@drfahrettinkoca piders get yuzbilerly young people welswero you are ignoring as you are wave")</f>
        <v>@drfahrettinkoca piders get yuzbilerly young people welswero you are ignoring as you are wave</v>
      </c>
    </row>
    <row r="10535" spans="1:5" ht="15" customHeight="1" x14ac:dyDescent="0.2">
      <c r="A10535" s="1" t="s">
        <v>20901</v>
      </c>
      <c r="B10535" s="1">
        <v>6</v>
      </c>
      <c r="C10535" s="3">
        <v>44535.707719907405</v>
      </c>
      <c r="D10535" s="1" t="s">
        <v>20902</v>
      </c>
      <c r="E10535" s="1" t="str">
        <f ca="1">IFERROR(__xludf.DUMMYFUNCTION("GOOGLETRANSLATE(A7334 , ""tr"" , ""en"")"),"@drfahrettinkoca you are determined to do online, but other alternatives give other alternatives day school or hybrid. ... https://t.co/hxrokwmxxv")</f>
        <v>@drfahrettinkoca you are determined to do online, but other alternatives give other alternatives day school or hybrid. ... https://t.co/hxrokwmxxv</v>
      </c>
    </row>
    <row r="10536" spans="1:5" ht="15" customHeight="1" x14ac:dyDescent="0.2">
      <c r="A10536" s="1" t="s">
        <v>20903</v>
      </c>
      <c r="B10536" s="1">
        <v>0</v>
      </c>
      <c r="C10536" s="3">
        <v>44535.707638888889</v>
      </c>
      <c r="D10536" s="1" t="s">
        <v>20904</v>
      </c>
      <c r="E10536" s="1" t="str">
        <f ca="1">IFERROR(__xludf.DUMMYFUNCTION("GOOGLETRANSLATE(A7335 , ""tr"" , ""en"")"),"@drfahrettinkoca tad what is the happening")</f>
        <v>@drfahrettinkoca tad what is the happening</v>
      </c>
    </row>
    <row r="10537" spans="1:5" ht="15" customHeight="1" x14ac:dyDescent="0.2">
      <c r="A10537" s="1" t="s">
        <v>20905</v>
      </c>
      <c r="B10537" s="1">
        <v>0</v>
      </c>
      <c r="C10537" s="3">
        <v>44535.707627314812</v>
      </c>
      <c r="D10537" s="1" t="s">
        <v>20906</v>
      </c>
      <c r="E10537" s="1" t="str">
        <f ca="1">IFERROR(__xludf.DUMMYFUNCTION("GOOGLETRANSLATE(A7336 , ""tr"" , ""en"")"),"@drfahrettinkoca number of Sayi I mean if it is a thorns that you praise your COK")</f>
        <v>@drfahrettinkoca number of Sayi I mean if it is a thorns that you praise your COK</v>
      </c>
    </row>
    <row r="10538" spans="1:5" ht="15" customHeight="1" x14ac:dyDescent="0.2">
      <c r="A10538" s="1" t="s">
        <v>20907</v>
      </c>
      <c r="B10538" s="1">
        <v>4</v>
      </c>
      <c r="C10538" s="3">
        <v>44535.707615740743</v>
      </c>
      <c r="D10538" s="1" t="s">
        <v>20908</v>
      </c>
      <c r="E10538" s="1" t="str">
        <f ca="1">IFERROR(__xludf.DUMMYFUNCTION("GOOGLETRANSLATE(A7337 , ""tr"" , ""en"")"),"@drfahrettinkoca PCR = Case Case = Casion Loves = Death Mask + HEPP code = Slavery chain When this equation is destroyed ... https://t.co/ectcasıksc")</f>
        <v>@drfahrettinkoca PCR = Case Case = Casion Loves = Death Mask + HEPP code = Slavery chain When this equation is destroyed ... https://t.co/ectcasıksc</v>
      </c>
    </row>
    <row r="10539" spans="1:5" ht="15" customHeight="1" x14ac:dyDescent="0.2">
      <c r="A10539" s="1" t="s">
        <v>20909</v>
      </c>
      <c r="B10539" s="1">
        <v>0</v>
      </c>
      <c r="C10539" s="3">
        <v>44535.707557870373</v>
      </c>
      <c r="D10539" s="1" t="s">
        <v>20910</v>
      </c>
      <c r="E10539" s="1" t="str">
        <f ca="1">IFERROR(__xludf.DUMMYFUNCTION("GOOGLETRANSLATE(A7338 , ""tr"" , ""en"")"),"@drfahrettinkoca one doesn't say that; ""You needed millions of people overlooking Mr. but the figures are still the same? This is ... https://t.co/cbn8kckwsj")</f>
        <v>@drfahrettinkoca one doesn't say that; "You needed millions of people overlooking Mr. but the figures are still the same? This is ... https://t.co/cbn8kckwsj</v>
      </c>
    </row>
    <row r="10540" spans="1:5" ht="15" customHeight="1" x14ac:dyDescent="0.2">
      <c r="A10540" s="1" t="s">
        <v>20911</v>
      </c>
      <c r="B10540" s="1">
        <v>0</v>
      </c>
      <c r="C10540" s="3">
        <v>44535.707187499997</v>
      </c>
      <c r="D10540" s="1" t="s">
        <v>20912</v>
      </c>
      <c r="E10540" s="1" t="str">
        <f ca="1">IFERROR(__xludf.DUMMYFUNCTION("GOOGLETRANSLATE(A7339 , ""tr"" , ""en"")"),"@drfahrettinkoca I never told me without taking .... this sentence")</f>
        <v>@drfahrettinkoca I never told me without taking .... this sentence</v>
      </c>
    </row>
    <row r="10541" spans="1:5" ht="15" customHeight="1" x14ac:dyDescent="0.2">
      <c r="A10541" s="1" t="s">
        <v>20913</v>
      </c>
      <c r="B10541" s="1">
        <v>2</v>
      </c>
      <c r="C10541" s="3">
        <v>44535.707083333335</v>
      </c>
      <c r="D10541" s="1" t="s">
        <v>20914</v>
      </c>
      <c r="E10541" s="1" t="str">
        <f ca="1">IFERROR(__xludf.DUMMYFUNCTION("GOOGLETRANSLATE(A7340 , ""tr"" , ""en"")"),"@drfahrettinkoca let me guess tomorrow 18.657 Case Puahahahahah #kabinezkusagionline")</f>
        <v>@drfahrettinkoca let me guess tomorrow 18.657 Case Puahahahahah #kabinezkusagionline</v>
      </c>
    </row>
    <row r="10542" spans="1:5" ht="15" customHeight="1" x14ac:dyDescent="0.2">
      <c r="A10542" s="1" t="s">
        <v>20915</v>
      </c>
      <c r="B10542" s="1">
        <v>1</v>
      </c>
      <c r="C10542" s="3">
        <v>44535.707002314812</v>
      </c>
      <c r="D10542" s="1" t="s">
        <v>20916</v>
      </c>
      <c r="E10542" s="1" t="str">
        <f ca="1">IFERROR(__xludf.DUMMYFUNCTION("GOOGLETRANSLATE(A7341 , ""tr"" , ""en"")"),"@drfahrettinka is not so hard overlooking Mr. Say Excel Ci to a friend You change the formulas. How is 2 YE ... https://t.co/gbwgg7z0yn")</f>
        <v>@drfahrettinka is not so hard overlooking Mr. Say Excel Ci to a friend You change the formulas. How is 2 YE ... https://t.co/gbwgg7z0yn</v>
      </c>
    </row>
    <row r="10543" spans="1:5" ht="15" customHeight="1" x14ac:dyDescent="0.2">
      <c r="A10543" s="1" t="s">
        <v>20917</v>
      </c>
      <c r="B10543" s="1">
        <v>0</v>
      </c>
      <c r="C10543" s="3">
        <v>44535.706921296296</v>
      </c>
      <c r="D10543" s="1" t="s">
        <v>20918</v>
      </c>
      <c r="E10543" s="1" t="str">
        <f ca="1">IFERROR(__xludf.DUMMYFUNCTION("GOOGLETRANSLATE(A7342 , ""tr"" , ""en"")"),"@drfahrettinkoca If I read like you, we expect more death if you have no mind that doesn't mind")</f>
        <v>@drfahrettinkoca If I read like you, we expect more death if you have no mind that doesn't mind</v>
      </c>
    </row>
    <row r="10544" spans="1:5" ht="15" customHeight="1" x14ac:dyDescent="0.2">
      <c r="A10544" s="1" t="s">
        <v>20919</v>
      </c>
      <c r="B10544" s="1">
        <v>4</v>
      </c>
      <c r="C10544" s="3">
        <v>44535.706689814811</v>
      </c>
      <c r="D10544" s="1" t="s">
        <v>20920</v>
      </c>
      <c r="E10544" s="1" t="str">
        <f ca="1">IFERROR(__xludf.DUMMYFUNCTION("GOOGLETRANSLATE(A7343 , ""tr"" , ""en"")"),"@drfahrettinkoca branch + guide look forward to # fkuyumanerede40binatama")</f>
        <v>@drfahrettinkoca branch + guide look forward to # fkuyumanerede40binatama</v>
      </c>
    </row>
    <row r="10545" spans="1:5" ht="15" customHeight="1" x14ac:dyDescent="0.2">
      <c r="A10545" s="1" t="s">
        <v>20921</v>
      </c>
      <c r="B10545" s="1">
        <v>11</v>
      </c>
      <c r="C10545" s="3">
        <v>44535.706678240742</v>
      </c>
      <c r="D10545" s="1" t="s">
        <v>20922</v>
      </c>
      <c r="E10545" s="1" t="str">
        <f ca="1">IFERROR(__xludf.DUMMYFUNCTION("GOOGLETRANSLATE(A7344 , ""tr"" , ""en"")"),"@drfahrettinkoca - 2020/14 Assignment to this day 365 days where is the assignment? - 2-3 months on July 2-3 months 5 ... https://t.co/zkftrtyn7s")</f>
        <v>@drfahrettinkoca - 2020/14 Assignment to this day 365 days where is the assignment? - 2-3 months on July 2-3 months 5 ... https://t.co/zkftrtyn7s</v>
      </c>
    </row>
    <row r="10546" spans="1:5" ht="15" customHeight="1" x14ac:dyDescent="0.2">
      <c r="A10546" s="1" t="s">
        <v>20923</v>
      </c>
      <c r="B10546" s="1">
        <v>1</v>
      </c>
      <c r="C10546" s="3">
        <v>44535.706631944442</v>
      </c>
      <c r="D10546" s="1" t="s">
        <v>20924</v>
      </c>
      <c r="E10546" s="1" t="str">
        <f ca="1">IFERROR(__xludf.DUMMYFUNCTION("GOOGLETRANSLATE(A7345 , ""tr"" , ""en"")"),"@drfahrettinkoca I knew I would be 19 thousand will be #wheelshouses")</f>
        <v>@drfahrettinkoca I knew I would be 19 thousand will be #wheelshouses</v>
      </c>
    </row>
    <row r="10547" spans="1:5" ht="15" customHeight="1" x14ac:dyDescent="0.2">
      <c r="A10547" s="1" t="s">
        <v>20925</v>
      </c>
      <c r="B10547" s="1">
        <v>0</v>
      </c>
      <c r="C10547" s="3">
        <v>44535.706574074073</v>
      </c>
      <c r="D10547" s="1" t="s">
        <v>20926</v>
      </c>
      <c r="E10547" s="1" t="str">
        <f ca="1">IFERROR(__xludf.DUMMYFUNCTION("GOOGLETRANSLATE(A7346 , ""tr"" , ""en"")"),"@drfahrettinkoca Mr. Minister Minister Don't need to assignment")</f>
        <v>@drfahrettinkoca Mr. Minister Minister Don't need to assignment</v>
      </c>
    </row>
    <row r="10548" spans="1:5" ht="15" customHeight="1" x14ac:dyDescent="0.2">
      <c r="A10548" s="1" t="s">
        <v>20927</v>
      </c>
      <c r="B10548" s="1">
        <v>0</v>
      </c>
      <c r="C10548" s="3">
        <v>44535.706504629627</v>
      </c>
      <c r="D10548" s="1" t="s">
        <v>20928</v>
      </c>
      <c r="E10548" s="1" t="str">
        <f ca="1">IFERROR(__xludf.DUMMYFUNCTION("GOOGLETRANSLATE(A7347 , ""tr"" , ""en"")"),"@drfahrettinkoca guide gelck")</f>
        <v>@drfahrettinkoca guide gelck</v>
      </c>
    </row>
    <row r="10549" spans="1:5" ht="15" customHeight="1" x14ac:dyDescent="0.2">
      <c r="A10549" s="1" t="s">
        <v>20929</v>
      </c>
      <c r="B10549" s="1">
        <v>13</v>
      </c>
      <c r="C10549" s="3">
        <v>44535.706458333334</v>
      </c>
      <c r="D10549" s="1" t="s">
        <v>20930</v>
      </c>
      <c r="E10549" s="1" t="str">
        <f ca="1">IFERROR(__xludf.DUMMYFUNCTION("GOOGLETRANSLATE(A7348 , ""tr"" , ""en"")"),"@drfahrettinkoca A $$ I'm not. Are those who are not enough ..")</f>
        <v>@drfahrettinkoca A $$ I'm not. Are those who are not enough ..</v>
      </c>
    </row>
    <row r="10550" spans="1:5" ht="15" customHeight="1" x14ac:dyDescent="0.2">
      <c r="A10550" s="1" t="s">
        <v>20931</v>
      </c>
      <c r="B10550" s="1">
        <v>0</v>
      </c>
      <c r="C10550" s="3">
        <v>44535.706435185188</v>
      </c>
      <c r="D10550" s="1" t="s">
        <v>20932</v>
      </c>
      <c r="E10550" s="1" t="str">
        <f ca="1">IFERROR(__xludf.DUMMYFUNCTION("GOOGLETRANSLATE(A7349 , ""tr"" , ""en"")"),"If @drfahrettinkoca vaccination stops the disease decrease in disease")</f>
        <v>If @drfahrettinkoca vaccination stops the disease decrease in disease</v>
      </c>
    </row>
    <row r="10551" spans="1:5" ht="15" customHeight="1" x14ac:dyDescent="0.2">
      <c r="A10551" s="1" t="s">
        <v>20933</v>
      </c>
      <c r="B10551" s="1">
        <v>18</v>
      </c>
      <c r="C10551" s="3">
        <v>44535.706377314818</v>
      </c>
      <c r="D10551" s="1" t="s">
        <v>20934</v>
      </c>
      <c r="E10551" s="1" t="str">
        <f ca="1">IFERROR(__xludf.DUMMYFUNCTION("GOOGLETRANSLATE(A7350 , ""tr"" , ""en"")"),"@drfahrettinka https://t.co/i3a3ILOYRM")</f>
        <v>@drfahrettinka https://t.co/i3a3ILOYRM</v>
      </c>
    </row>
    <row r="10552" spans="1:5" ht="15" customHeight="1" x14ac:dyDescent="0.2">
      <c r="A10552" s="1" t="s">
        <v>20935</v>
      </c>
      <c r="B10552" s="1">
        <v>2</v>
      </c>
      <c r="C10552" s="3">
        <v>44535.706307870372</v>
      </c>
      <c r="D10552" s="1" t="s">
        <v>20936</v>
      </c>
      <c r="E10552" s="1" t="str">
        <f ca="1">IFERROR(__xludf.DUMMYFUNCTION("GOOGLETRANSLATE(A7351 , ""tr"" , ""en"")"),"@drfahrettinkoca Please hear our voice to universities online # Cabinethoutlinelike")</f>
        <v>@drfahrettinkoca Please hear our voice to universities online # Cabinethoutlinelike</v>
      </c>
    </row>
    <row r="10553" spans="1:5" ht="15" customHeight="1" x14ac:dyDescent="0.2">
      <c r="A10553" s="1" t="s">
        <v>20937</v>
      </c>
      <c r="B10553" s="1">
        <v>1</v>
      </c>
      <c r="C10553" s="3">
        <v>44535.706307870372</v>
      </c>
      <c r="D10553" s="1" t="s">
        <v>20938</v>
      </c>
      <c r="E10553" s="1" t="str">
        <f ca="1">IFERROR(__xludf.DUMMYFUNCTION("GOOGLETRANSLATE(A7352 , ""tr"" , ""en"")"),"@drfahrettinkoca 40 premises in the vibration in the vagrance also take place as well as Mr. Ministry https://t.co/qfntnrjmba")</f>
        <v>@drfahrettinkoca 40 premises in the vibration in the vagrance also take place as well as Mr. Ministry https://t.co/qfntnrjmba</v>
      </c>
    </row>
    <row r="10554" spans="1:5" ht="15" customHeight="1" x14ac:dyDescent="0.2">
      <c r="A10554" s="1" t="s">
        <v>20939</v>
      </c>
      <c r="B10554" s="1">
        <v>0</v>
      </c>
      <c r="C10554" s="3">
        <v>44535.706307870372</v>
      </c>
      <c r="D10554" s="1" t="s">
        <v>20940</v>
      </c>
      <c r="E10554" s="1" t="str">
        <f ca="1">IFERROR(__xludf.DUMMYFUNCTION("GOOGLETRANSLATE(A7353 , ""tr"" , ""en"")"),"@drfahrettinkoca what is this akdbakbdakdbakfhajf")</f>
        <v>@drfahrettinkoca what is this akdbakbdakdbakfhajf</v>
      </c>
    </row>
    <row r="10555" spans="1:5" ht="15" customHeight="1" x14ac:dyDescent="0.2">
      <c r="A10555" s="1" t="s">
        <v>20941</v>
      </c>
      <c r="B10555" s="1">
        <v>0</v>
      </c>
      <c r="C10555" s="3">
        <v>44535.70621527778</v>
      </c>
      <c r="D10555" s="1" t="s">
        <v>20942</v>
      </c>
      <c r="E10555" s="1" t="str">
        <f ca="1">IFERROR(__xludf.DUMMYFUNCTION("GOOGLETRANSLATE(A7354 , ""tr"" , ""en"")"),"@drfahrettinkoca is my overrun these Mr. Ministry https://t.co/qlw4gfuesh")</f>
        <v>@drfahrettinkoca is my overrun these Mr. Ministry https://t.co/qlw4gfuesh</v>
      </c>
    </row>
    <row r="10556" spans="1:5" ht="15" customHeight="1" x14ac:dyDescent="0.2">
      <c r="A10556" s="1" t="s">
        <v>20943</v>
      </c>
      <c r="B10556" s="1">
        <v>2</v>
      </c>
      <c r="C10556" s="3">
        <v>44535.706192129626</v>
      </c>
      <c r="D10556" s="1" t="s">
        <v>20944</v>
      </c>
      <c r="E10556" s="1" t="str">
        <f ca="1">IFERROR(__xludf.DUMMYFUNCTION("GOOGLETRANSLATE(A7355 , ""tr"" , ""en"")"),"@drfahrettinkoca days crossed weeks have passed months passed even the year has passed even the year but the Ministry of Health is to come out ... https://t.co/dplv1lu0rw")</f>
        <v>@drfahrettinkoca days crossed weeks have passed months passed even the year has passed even the year but the Ministry of Health is to come out ... https://t.co/dplv1lu0rw</v>
      </c>
    </row>
    <row r="10557" spans="1:5" ht="15" customHeight="1" x14ac:dyDescent="0.2">
      <c r="A10557" s="1" t="s">
        <v>20945</v>
      </c>
      <c r="B10557" s="1">
        <v>7</v>
      </c>
      <c r="C10557" s="3">
        <v>44535.706111111111</v>
      </c>
      <c r="D10557" s="1" t="s">
        <v>20946</v>
      </c>
      <c r="E10557" s="1" t="str">
        <f ca="1">IFERROR(__xludf.DUMMYFUNCTION("GOOGLETRANSLATE(A7356 , ""tr"" , ""en"")"),"@drfahrettinkoca Case Numbers don't get it from TURKS.")</f>
        <v>@drfahrettinkoca Case Numbers don't get it from TURKS.</v>
      </c>
    </row>
    <row r="10558" spans="1:5" ht="15" customHeight="1" x14ac:dyDescent="0.2">
      <c r="A10558" s="1" t="s">
        <v>20947</v>
      </c>
      <c r="B10558" s="1">
        <v>0</v>
      </c>
      <c r="C10558" s="3">
        <v>44535.706076388888</v>
      </c>
      <c r="D10558" s="1" t="s">
        <v>20948</v>
      </c>
      <c r="E10558" s="1" t="str">
        <f ca="1">IFERROR(__xludf.DUMMYFUNCTION("GOOGLETRANSLATE(A7357 , ""tr"" , ""en"")"),"@drfahrettinka you are in june where you are going on june you're already tired of what you're tired .any day is hard to lie.")</f>
        <v>@drfahrettinka you are in june where you are going on june you're already tired of what you're tired .any day is hard to lie.</v>
      </c>
    </row>
    <row r="10559" spans="1:5" ht="15" customHeight="1" x14ac:dyDescent="0.2">
      <c r="A10559" s="1" t="s">
        <v>20949</v>
      </c>
      <c r="B10559" s="1">
        <v>0</v>
      </c>
      <c r="C10559" s="3">
        <v>44535.706064814818</v>
      </c>
      <c r="D10559" s="1" t="s">
        <v>20950</v>
      </c>
      <c r="E10559" s="1" t="str">
        <f ca="1">IFERROR(__xludf.DUMMYFUNCTION("GOOGLETRANSLATE(A7358 , ""tr"" , ""en"")"),"Let's be @drfahrettinkoca let's be the kac grain? First dose of vaccination protection, 2. Dose reminder, 3rd dose job guarantee ... https://t.co/augr3s5pfd")</f>
        <v>Let's be @drfahrettinkoca let's be the kac grain? First dose of vaccination protection, 2. Dose reminder, 3rd dose job guarantee ... https://t.co/augr3s5pfd</v>
      </c>
    </row>
    <row r="10560" spans="1:5" ht="15" customHeight="1" x14ac:dyDescent="0.2">
      <c r="A10560" s="1" t="s">
        <v>20951</v>
      </c>
      <c r="B10560" s="1">
        <v>0</v>
      </c>
      <c r="C10560" s="3">
        <v>44535.706006944441</v>
      </c>
      <c r="D10560" s="1" t="s">
        <v>20952</v>
      </c>
      <c r="E10560" s="1" t="str">
        <f ca="1">IFERROR(__xludf.DUMMYFUNCTION("GOOGLETRANSLATE(A7359 , ""tr"" , ""en"")"),"@drfahrettinkoca why do you persistently see us #fo")</f>
        <v>@drfahrettinkoca why do you persistently see us #fo</v>
      </c>
    </row>
    <row r="10561" spans="1:5" ht="15" customHeight="1" x14ac:dyDescent="0.2">
      <c r="A10561" s="1" t="s">
        <v>20953</v>
      </c>
      <c r="B10561" s="1">
        <v>1</v>
      </c>
      <c r="C10561" s="3">
        <v>44535.705914351849</v>
      </c>
      <c r="D10561" s="1" t="s">
        <v>20954</v>
      </c>
      <c r="E10561" s="1" t="str">
        <f ca="1">IFERROR(__xludf.DUMMYFUNCTION("GOOGLETRANSLATE(A7360 , ""tr"" , ""en"")"),"@drfahrettinka 200000 is even in the population of the number of cases even in the number of cases of Turkey Case number 1/4..Hut Covid + ...")</f>
        <v>@drfahrettinka 200000 is even in the population of the number of cases even in the number of cases of Turkey Case number 1/4..Hut Covid + ...</v>
      </c>
    </row>
    <row r="10562" spans="1:5" ht="15" customHeight="1" x14ac:dyDescent="0.2">
      <c r="A10562" s="1" t="s">
        <v>20955</v>
      </c>
      <c r="B10562" s="1">
        <v>4</v>
      </c>
      <c r="C10562" s="3">
        <v>44535.705891203703</v>
      </c>
      <c r="D10562" s="1" t="s">
        <v>20956</v>
      </c>
      <c r="E10562" s="1" t="str">
        <f ca="1">IFERROR(__xludf.DUMMYFUNCTION("GOOGLETRANSLATE(A7361 , ""tr"" , ""en"")"),"@drfahrettinkoca you had all of us have been infamous of you have passed over 1 month and already for 12 months assigned wait ... https://t.co/kiquuqupvv")</f>
        <v>@drfahrettinkoca you had all of us have been infamous of you have passed over 1 month and already for 12 months assigned wait ... https://t.co/kiquuqupvv</v>
      </c>
    </row>
    <row r="10563" spans="1:5" ht="15" customHeight="1" x14ac:dyDescent="0.2">
      <c r="A10563" s="1" t="s">
        <v>20957</v>
      </c>
      <c r="B10563" s="1">
        <v>0</v>
      </c>
      <c r="C10563" s="3">
        <v>44535.705879629626</v>
      </c>
      <c r="D10563" s="1" t="s">
        <v>20958</v>
      </c>
      <c r="E10563" s="1" t="str">
        <f ca="1">IFERROR(__xludf.DUMMYFUNCTION("GOOGLETRANSLATE(A7362 , ""tr"" , ""en"")"),"@drfahrettinkoca covit 19, vazed from 3dosis, even the flu vaccines have not even been out of the winter, the time of winter has passed the time of the risks ... https://t.co/SSSIP41TFS")</f>
        <v>@drfahrettinkoca covit 19, vazed from 3dosis, even the flu vaccines have not even been out of the winter, the time of winter has passed the time of the risks ... https://t.co/SSSIP41TFS</v>
      </c>
    </row>
    <row r="10564" spans="1:5" ht="15" customHeight="1" x14ac:dyDescent="0.2">
      <c r="A10564" s="1" t="s">
        <v>20959</v>
      </c>
      <c r="B10564" s="1">
        <v>0</v>
      </c>
      <c r="C10564" s="3">
        <v>44535.70584490741</v>
      </c>
      <c r="D10564" s="1" t="s">
        <v>20960</v>
      </c>
      <c r="E10564" s="1" t="str">
        <f ca="1">IFERROR(__xludf.DUMMYFUNCTION("GOOGLETRANSLATE(A7363 , ""tr"" , ""en"")"),"@drfahrettinkoca e This is not too funny")</f>
        <v>@drfahrettinkoca e This is not too funny</v>
      </c>
    </row>
    <row r="10565" spans="1:5" ht="15" customHeight="1" x14ac:dyDescent="0.2">
      <c r="A10565" s="1" t="s">
        <v>20961</v>
      </c>
      <c r="B10565" s="1">
        <v>1</v>
      </c>
      <c r="C10565" s="3">
        <v>44535.70579861111</v>
      </c>
      <c r="D10565" s="1" t="s">
        <v>20962</v>
      </c>
      <c r="E10565" s="1" t="str">
        <f ca="1">IFERROR(__xludf.DUMMYFUNCTION("GOOGLETRANSLATE(A7364 , ""tr"" , ""en"")"),"@drfahrettinkoca Missed Residents Questions # fkuyumanerede40binatama")</f>
        <v>@drfahrettinkoca Missed Residents Questions # fkuyumanerede40binatama</v>
      </c>
    </row>
    <row r="10566" spans="1:5" ht="15" customHeight="1" x14ac:dyDescent="0.2">
      <c r="A10566" s="1" t="s">
        <v>20963</v>
      </c>
      <c r="B10566" s="1">
        <v>1</v>
      </c>
      <c r="C10566" s="3">
        <v>44535.70579861111</v>
      </c>
      <c r="D10566" s="1" t="s">
        <v>20964</v>
      </c>
      <c r="E10566" s="1" t="str">
        <f ca="1">IFERROR(__xludf.DUMMYFUNCTION("GOOGLETRANSLATE(A7365 , ""tr"" , ""en"")"),"@drfahrettinkoca 40 premises also take place in health management as well as Mr. Minister https://t.co/jmrlbhkzxw")</f>
        <v>@drfahrettinkoca 40 premises also take place in health management as well as Mr. Minister https://t.co/jmrlbhkzxw</v>
      </c>
    </row>
    <row r="10567" spans="1:5" ht="15" customHeight="1" x14ac:dyDescent="0.2">
      <c r="A10567" s="1" t="s">
        <v>20965</v>
      </c>
      <c r="B10567" s="1">
        <v>29</v>
      </c>
      <c r="C10567" s="3">
        <v>44535.705729166664</v>
      </c>
      <c r="D10567" s="1" t="s">
        <v>20966</v>
      </c>
      <c r="E10567" s="1" t="str">
        <f ca="1">IFERROR(__xludf.DUMMYFUNCTION("GOOGLETRANSLATE(A7366 , ""tr"" , ""en"")"),"@drfahrettinka minister attracts a lot of attention to a little more slowly drop 1000 what do you see in a day look in a day ... https://t.co/dgcfpeen4o")</f>
        <v>@drfahrettinka minister attracts a lot of attention to a little more slowly drop 1000 what do you see in a day look in a day ... https://t.co/dgcfpeen4o</v>
      </c>
    </row>
    <row r="10568" spans="1:5" ht="15" customHeight="1" x14ac:dyDescent="0.2">
      <c r="A10568" s="1" t="s">
        <v>20967</v>
      </c>
      <c r="B10568" s="1">
        <v>0</v>
      </c>
      <c r="C10568" s="3">
        <v>44535.705659722225</v>
      </c>
      <c r="D10568" s="1" t="s">
        <v>20968</v>
      </c>
      <c r="E10568" s="1" t="str">
        <f ca="1">IFERROR(__xludf.DUMMYFUNCTION("GOOGLETRANSLATE(A7367 , ""tr"" , ""en"")"),"@drfahrettinkoca I hope he always falls but I don't understand the number of cases that I don't understand is low in the provinces less sample URFA and ... https://t.co/zqfdoz78l3")</f>
        <v>@drfahrettinkoca I hope he always falls but I don't understand the number of cases that I don't understand is low in the provinces less sample URFA and ... https://t.co/zqfdoz78l3</v>
      </c>
    </row>
    <row r="10569" spans="1:5" ht="15" customHeight="1" x14ac:dyDescent="0.2">
      <c r="A10569" s="1" t="s">
        <v>20969</v>
      </c>
      <c r="B10569" s="1">
        <v>130</v>
      </c>
      <c r="C10569" s="3">
        <v>44535.705590277779</v>
      </c>
      <c r="D10569" s="1" t="s">
        <v>20970</v>
      </c>
      <c r="E10569" s="1" t="str">
        <f ca="1">IFERROR(__xludf.DUMMYFUNCTION("GOOGLETRANSLATE(A7368 , ""tr"" , ""en"")"),"@drfahrettinkoca Elhamdulillah Masallah Ya Safi Ya Safe")</f>
        <v>@drfahrettinkoca Elhamdulillah Masallah Ya Safi Ya Safe</v>
      </c>
    </row>
    <row r="10570" spans="1:5" ht="15" customHeight="1" x14ac:dyDescent="0.2">
      <c r="A10570" s="1" t="s">
        <v>20971</v>
      </c>
      <c r="B10570" s="1">
        <v>0</v>
      </c>
      <c r="C10570" s="3">
        <v>44535.705555555556</v>
      </c>
      <c r="D10570" s="1" t="s">
        <v>20972</v>
      </c>
      <c r="E10570" s="1" t="str">
        <f ca="1">IFERROR(__xludf.DUMMYFUNCTION("GOOGLETRANSLATE(A7369 , ""tr"" , ""en"")"),"@drfahrettinkoca TURKS Published data?")</f>
        <v>@drfahrettinkoca TURKS Published data?</v>
      </c>
    </row>
    <row r="10571" spans="1:5" ht="15" customHeight="1" x14ac:dyDescent="0.2">
      <c r="A10571" s="1" t="s">
        <v>20973</v>
      </c>
      <c r="B10571" s="1">
        <v>3</v>
      </c>
      <c r="C10571" s="3">
        <v>44535.705439814818</v>
      </c>
      <c r="D10571" s="1" t="s">
        <v>20974</v>
      </c>
      <c r="E10571" s="1" t="str">
        <f ca="1">IFERROR(__xludf.DUMMYFUNCTION("GOOGLETRANSLATE(A7370 , ""tr"" , ""en"")"),"@drfahrettinkoca 40 premises also take place in health management as well as Mr. Minister https://t.co/yeluuebxuv")</f>
        <v>@drfahrettinkoca 40 premises also take place in health management as well as Mr. Minister https://t.co/yeluuebxuv</v>
      </c>
    </row>
    <row r="10572" spans="1:5" ht="15" customHeight="1" x14ac:dyDescent="0.2">
      <c r="A10572" s="1" t="s">
        <v>20975</v>
      </c>
      <c r="B10572" s="1">
        <v>0</v>
      </c>
      <c r="C10572" s="3">
        <v>44535.705405092594</v>
      </c>
      <c r="D10572" s="1" t="s">
        <v>20976</v>
      </c>
      <c r="E10572" s="1" t="str">
        <f ca="1">IFERROR(__xludf.DUMMYFUNCTION("GOOGLETRANSLATE(A7371 , ""tr"" , ""en"")"),"@drfahrettinkoca The work of the beholder is also difficult. He doesn't say clearly those who come from. Every difference of 365 days of the year is establishing sentences.")</f>
        <v>@drfahrettinkoca The work of the beholder is also difficult. He doesn't say clearly those who come from. Every difference of 365 days of the year is establishing sentences.</v>
      </c>
    </row>
    <row r="10573" spans="1:5" ht="15" customHeight="1" x14ac:dyDescent="0.2">
      <c r="A10573" s="1" t="s">
        <v>20977</v>
      </c>
      <c r="B10573" s="1">
        <v>4</v>
      </c>
      <c r="C10573" s="3">
        <v>44535.705196759256</v>
      </c>
      <c r="D10573" s="1" t="s">
        <v>20978</v>
      </c>
      <c r="E10573" s="1" t="str">
        <f ca="1">IFERROR(__xludf.DUMMYFUNCTION("GOOGLETRANSLATE(A7372 , ""tr"" , ""en"")"),"@drfahrettinkoca Tuesday is 5k off on Tuesday :)")</f>
        <v>@drfahrettinkoca Tuesday is 5k off on Tuesday :)</v>
      </c>
    </row>
    <row r="10574" spans="1:5" ht="15" customHeight="1" x14ac:dyDescent="0.2">
      <c r="A10574" s="1" t="s">
        <v>20979</v>
      </c>
      <c r="B10574" s="1">
        <v>110</v>
      </c>
      <c r="C10574" s="3">
        <v>44535.705196759256</v>
      </c>
      <c r="D10574" s="1" t="s">
        <v>20980</v>
      </c>
      <c r="E10574" s="1" t="str">
        <f ca="1">IFERROR(__xludf.DUMMYFUNCTION("GOOGLETRANSLATE(A7373 , ""tr"" , ""en"")"),"@drfahrettinkoca I'm healthy because modern medicine is fake medicine very well I know and refuse his vaccines ... https://t.co/hkkbgbxqzi")</f>
        <v>@drfahrettinkoca I'm healthy because modern medicine is fake medicine very well I know and refuse his vaccines ... https://t.co/hkkbgbxqzi</v>
      </c>
    </row>
    <row r="10575" spans="1:5" ht="15" customHeight="1" x14ac:dyDescent="0.2">
      <c r="A10575" s="1" t="s">
        <v>20981</v>
      </c>
      <c r="B10575" s="1">
        <v>68</v>
      </c>
      <c r="C10575" s="3">
        <v>44535.70517361111</v>
      </c>
      <c r="D10575" s="1" t="s">
        <v>20982</v>
      </c>
      <c r="E10575" s="1" t="str">
        <f ca="1">IFERROR(__xludf.DUMMYFUNCTION("GOOGLETRANSLATE(A7374 , ""tr"" , ""en"")"),"@drfahrettinka don't be vaccine close to your masks. Look 6 months later in the middle of the pandeme will not be left. Vaccines and vaccine ... https://t.co/m3f7rjufwu")</f>
        <v>@drfahrettinka don't be vaccine close to your masks. Look 6 months later in the middle of the pandeme will not be left. Vaccines and vaccine ... https://t.co/m3f7rjufwu</v>
      </c>
    </row>
    <row r="10576" spans="1:5" ht="15" customHeight="1" x14ac:dyDescent="0.2">
      <c r="A10576" s="1" t="s">
        <v>20983</v>
      </c>
      <c r="B10576" s="1">
        <v>7</v>
      </c>
      <c r="C10576" s="3">
        <v>44535.705138888887</v>
      </c>
      <c r="D10576" s="1" t="s">
        <v>20984</v>
      </c>
      <c r="E10576" s="1" t="str">
        <f ca="1">IFERROR(__xludf.DUMMYFUNCTION("GOOGLETRANSLATE(A7375 , ""tr"" , ""en"")"),"@drfahrettinkoca is a joke of the vaccine in the east provinces where there are few cases in the provinces where there is a lot of vaccine ... https://t.co/fdbfjjz96j")</f>
        <v>@drfahrettinkoca is a joke of the vaccine in the east provinces where there are few cases in the provinces where there is a lot of vaccine ... https://t.co/fdbfjjz96j</v>
      </c>
    </row>
    <row r="10577" spans="1:5" ht="15" customHeight="1" x14ac:dyDescent="0.2">
      <c r="A10577" s="1" t="s">
        <v>20985</v>
      </c>
      <c r="B10577" s="1">
        <v>28</v>
      </c>
      <c r="C10577" s="3">
        <v>44535.705104166664</v>
      </c>
      <c r="D10577" s="1" t="s">
        <v>20986</v>
      </c>
      <c r="E10577" s="1" t="str">
        <f ca="1">IFERROR(__xludf.DUMMYFUNCTION("GOOGLETRANSLATE(A7376 , ""tr"" , ""en"")"),"@drfahrettinkoca in the last month vaccination almost came to the point of stopping what the case and death numbers are also ... https://t.co/E4IMXJRWHH")</f>
        <v>@drfahrettinkoca in the last month vaccination almost came to the point of stopping what the case and death numbers are also ... https://t.co/E4IMXJRWHH</v>
      </c>
    </row>
    <row r="10578" spans="1:5" ht="15" customHeight="1" x14ac:dyDescent="0.2">
      <c r="A10578" s="1" t="s">
        <v>20987</v>
      </c>
      <c r="B10578" s="1">
        <v>3</v>
      </c>
      <c r="C10578" s="3">
        <v>44535.705069444448</v>
      </c>
      <c r="D10578" s="1" t="s">
        <v>20988</v>
      </c>
      <c r="E10578" s="1" t="str">
        <f ca="1">IFERROR(__xludf.DUMMYFUNCTION("GOOGLETRANSLATE(A7377 , ""tr"" , ""en"")"),"@drfahrettinkoca 40 premises also take place in the health management in the vagrant Mr. Minister https://t.co/3yxuxx3wco")</f>
        <v>@drfahrettinkoca 40 premises also take place in the health management in the vagrant Mr. Minister https://t.co/3yxuxx3wco</v>
      </c>
    </row>
    <row r="10579" spans="1:5" ht="15" customHeight="1" x14ac:dyDescent="0.2">
      <c r="A10579" s="1" t="s">
        <v>20989</v>
      </c>
      <c r="B10579" s="1">
        <v>0</v>
      </c>
      <c r="C10579" s="3">
        <v>44535.705011574071</v>
      </c>
      <c r="D10579" s="1" t="s">
        <v>20990</v>
      </c>
      <c r="E10579" s="1" t="str">
        <f ca="1">IFERROR(__xludf.DUMMYFUNCTION("GOOGLETRANSLATE(A7378 , ""tr"" , ""en"")"),"@drfahrettinkoca is my overview of these")</f>
        <v>@drfahrettinkoca is my overview of these</v>
      </c>
    </row>
    <row r="10580" spans="1:5" ht="15" customHeight="1" x14ac:dyDescent="0.2">
      <c r="A10580" s="1" t="s">
        <v>20991</v>
      </c>
      <c r="B10580" s="1">
        <v>0</v>
      </c>
      <c r="C10580" s="3">
        <v>44535.704988425925</v>
      </c>
      <c r="D10580" s="1" t="s">
        <v>20992</v>
      </c>
      <c r="E10580" s="1" t="str">
        <f ca="1">IFERROR(__xludf.DUMMYFUNCTION("GOOGLETRANSLATE(A7379 , ""tr"" , ""en"")"),"@drfahrettinkoca @drfahrettinkoca friends college students are called cowid brain abscess various h ... https://t.co/z6mx6yhuut")</f>
        <v>@drfahrettinkoca @drfahrettinkoca friends college students are called cowid brain abscess various h ... https://t.co/z6mx6yhuut</v>
      </c>
    </row>
    <row r="10581" spans="1:5" ht="15" customHeight="1" x14ac:dyDescent="0.2">
      <c r="A10581" s="1" t="s">
        <v>20993</v>
      </c>
      <c r="B10581" s="1">
        <v>0</v>
      </c>
      <c r="C10581" s="3">
        <v>44535.704942129632</v>
      </c>
      <c r="D10581" s="1" t="s">
        <v>20994</v>
      </c>
      <c r="E10581" s="1" t="str">
        <f ca="1">IFERROR(__xludf.DUMMYFUNCTION("GOOGLETRANSLATE(A7380 , ""tr"" , ""en"")"),"@drfahrettinkoca Those who do not have a thousand regrets")</f>
        <v>@drfahrettinkoca Those who do not have a thousand regrets</v>
      </c>
    </row>
    <row r="10582" spans="1:5" ht="15" customHeight="1" x14ac:dyDescent="0.2">
      <c r="A10582" s="1" t="s">
        <v>20995</v>
      </c>
      <c r="B10582" s="1">
        <v>2</v>
      </c>
      <c r="C10582" s="3">
        <v>44535.704907407409</v>
      </c>
      <c r="D10582" s="1" t="s">
        <v>20996</v>
      </c>
      <c r="E10582" s="1" t="str">
        <f ca="1">IFERROR(__xludf.DUMMYFUNCTION("GOOGLETRANSLATE(A7381 , ""tr"" , ""en"")"),"See @drfahrettinka See us anymore # fkuyumanerede40binatama")</f>
        <v>See @drfahrettinka See us anymore # fkuyumanerede40binatama</v>
      </c>
    </row>
    <row r="10583" spans="1:5" ht="15" customHeight="1" x14ac:dyDescent="0.2">
      <c r="A10583" s="1" t="s">
        <v>20997</v>
      </c>
      <c r="B10583" s="1">
        <v>0</v>
      </c>
      <c r="C10583" s="3">
        <v>44535.704826388886</v>
      </c>
      <c r="D10583" s="1" t="s">
        <v>20998</v>
      </c>
      <c r="E10583" s="1" t="str">
        <f ca="1">IFERROR(__xludf.DUMMYFUNCTION("GOOGLETRANSLATE(A7382 , ""tr"" , ""en"")"),"@drfahrettinka via fake news")</f>
        <v>@drfahrettinka via fake news</v>
      </c>
    </row>
    <row r="10584" spans="1:5" ht="15" customHeight="1" x14ac:dyDescent="0.2">
      <c r="A10584" s="1" t="s">
        <v>20999</v>
      </c>
      <c r="B10584" s="1">
        <v>102</v>
      </c>
      <c r="C10584" s="3">
        <v>44535.704629629632</v>
      </c>
      <c r="D10584" s="1" t="s">
        <v>21000</v>
      </c>
      <c r="E10584" s="1" t="str">
        <f ca="1">IFERROR(__xludf.DUMMYFUNCTION("GOOGLETRANSLATE(A7383 , ""tr"" , ""en"")"),"@drfahrettinkoca e no more Omicron coming out of all over the world Case is increasing but we don't have the case with non-measures Y ... https://t.co/sdiq1y8lxq")</f>
        <v>@drfahrettinkoca e no more Omicron coming out of all over the world Case is increasing but we don't have the case with non-measures Y ... https://t.co/sdiq1y8lxq</v>
      </c>
    </row>
    <row r="10585" spans="1:5" ht="15" customHeight="1" x14ac:dyDescent="0.2">
      <c r="A10585" s="1" t="s">
        <v>21001</v>
      </c>
      <c r="B10585" s="1">
        <v>0</v>
      </c>
      <c r="C10585" s="3">
        <v>44535.704513888886</v>
      </c>
      <c r="D10585" s="1" t="s">
        <v>21002</v>
      </c>
      <c r="E10585" s="1" t="str">
        <f ca="1">IFERROR(__xludf.DUMMYFUNCTION("GOOGLETRANSLATE(A7384 , ""tr"" , ""en"")"),"@drfahrettinkoca Dear Minister Don't hear us? Are those who have been out of the field! Assignment waiters ... https://t.co/cbkujgllbu")</f>
        <v>@drfahrettinkoca Dear Minister Don't hear us? Are those who have been out of the field! Assignment waiters ... https://t.co/cbkujgllbu</v>
      </c>
    </row>
    <row r="10586" spans="1:5" ht="15" customHeight="1" x14ac:dyDescent="0.2">
      <c r="A10586" s="1" t="s">
        <v>21003</v>
      </c>
      <c r="B10586" s="1">
        <v>6</v>
      </c>
      <c r="C10586" s="3">
        <v>44535.704456018517</v>
      </c>
      <c r="D10586" s="1" t="s">
        <v>21004</v>
      </c>
      <c r="E10586" s="1" t="str">
        <f ca="1">IFERROR(__xludf.DUMMYFUNCTION("GOOGLETRANSLATE(A7385 , ""tr"" , ""en"")"),"@drfahrettinka vaccine Nekadar Vaccine Okadar Death")</f>
        <v>@drfahrettinka vaccine Nekadar Vaccine Okadar Death</v>
      </c>
    </row>
    <row r="10587" spans="1:5" ht="15" customHeight="1" x14ac:dyDescent="0.2">
      <c r="A10587" s="1" t="s">
        <v>21005</v>
      </c>
      <c r="B10587" s="1">
        <v>2</v>
      </c>
      <c r="C10587" s="3">
        <v>44535.704409722224</v>
      </c>
      <c r="D10587" s="1" t="s">
        <v>21006</v>
      </c>
      <c r="E10587" s="1" t="str">
        <f ca="1">IFERROR(__xludf.DUMMYFUNCTION("GOOGLETRANSLATE(A7386 , ""tr"" , ""en"")"),"@drfahrettinkoca is still on the tutaking homeland traitors for a release that is not in the middle. Snowdy Se ... https://t.co/inrmaiwy7d")</f>
        <v>@drfahrettinkoca is still on the tutaking homeland traitors for a release that is not in the middle. Snowdy Se ... https://t.co/inrmaiwy7d</v>
      </c>
    </row>
    <row r="10588" spans="1:5" ht="15" customHeight="1" x14ac:dyDescent="0.2">
      <c r="A10588" s="1" t="s">
        <v>21007</v>
      </c>
      <c r="B10588" s="1">
        <v>1</v>
      </c>
      <c r="C10588" s="3">
        <v>44535.704398148147</v>
      </c>
      <c r="D10588" s="1" t="s">
        <v>21008</v>
      </c>
      <c r="E10588" s="1" t="str">
        <f ca="1">IFERROR(__xludf.DUMMYFUNCTION("GOOGLETRANSLATE(A7387 , ""tr"" , ""en"")"),"@drfahrettinkoca not promise to execution # fkuyumanere40binatama")</f>
        <v>@drfahrettinkoca not promise to execution # fkuyumanere40binatama</v>
      </c>
    </row>
    <row r="10589" spans="1:5" ht="15" customHeight="1" x14ac:dyDescent="0.2">
      <c r="A10589" s="1" t="s">
        <v>21009</v>
      </c>
      <c r="B10589" s="1">
        <v>0</v>
      </c>
      <c r="C10589" s="3">
        <v>44535.704363425924</v>
      </c>
      <c r="D10589" s="1" t="s">
        <v>21010</v>
      </c>
      <c r="E10589" s="1" t="str">
        <f ca="1">IFERROR(__xludf.DUMMYFUNCTION("GOOGLETRANSLATE(A7388 , ""tr"" , ""en"")"),"@drfahrettinkoca which is engaged in which dedication of the dedication.")</f>
        <v>@drfahrettinkoca which is engaged in which dedication of the dedication.</v>
      </c>
    </row>
    <row r="10590" spans="1:5" ht="15" customHeight="1" x14ac:dyDescent="0.2">
      <c r="A10590" s="1" t="s">
        <v>21011</v>
      </c>
      <c r="B10590" s="1">
        <v>0</v>
      </c>
      <c r="C10590" s="3">
        <v>44535.704282407409</v>
      </c>
      <c r="D10590" s="1" t="s">
        <v>21012</v>
      </c>
      <c r="E10590" s="1" t="str">
        <f ca="1">IFERROR(__xludf.DUMMYFUNCTION("GOOGLETRANSLATE(A7389 , ""tr"" , ""en"")"),"@drfahrettinkoca Each place CLOCK Full Horse Lies Drown in Vebal")</f>
        <v>@drfahrettinkoca Each place CLOCK Full Horse Lies Drown in Vebal</v>
      </c>
    </row>
    <row r="10591" spans="1:5" ht="15" customHeight="1" x14ac:dyDescent="0.2">
      <c r="A10591" s="1" t="s">
        <v>21013</v>
      </c>
      <c r="B10591" s="1">
        <v>5</v>
      </c>
      <c r="C10591" s="3">
        <v>44535.704247685186</v>
      </c>
      <c r="D10591" s="1" t="s">
        <v>21014</v>
      </c>
      <c r="E10591" s="1" t="str">
        <f ca="1">IFERROR(__xludf.DUMMYFUNCTION("GOOGLETRANSLATE(A7390 , ""tr"" , ""en"")"),"@drfahrettinkoca is only full infected these numbers in the univerist lying completely")</f>
        <v>@drfahrettinkoca is only full infected these numbers in the univerist lying completely</v>
      </c>
    </row>
    <row r="10592" spans="1:5" ht="15" customHeight="1" x14ac:dyDescent="0.2">
      <c r="A10592" s="1" t="s">
        <v>21015</v>
      </c>
      <c r="B10592" s="1">
        <v>0</v>
      </c>
      <c r="C10592" s="3">
        <v>44535.704224537039</v>
      </c>
      <c r="D10592" s="1" t="s">
        <v>21016</v>
      </c>
      <c r="E10592" s="1" t="str">
        <f ca="1">IFERROR(__xludf.DUMMYFUNCTION("GOOGLETRANSLATE(A7391 , ""tr"" , ""en"")"),"@drfahrettinkoca What the dedication is kidding what measure people are going to be superior to the metrobus Hahahahhaha still Özv ... https://t.co/ojxz9mpeej")</f>
        <v>@drfahrettinkoca What the dedication is kidding what measure people are going to be superior to the metrobus Hahahahhaha still Özv ... https://t.co/ojxz9mpeej</v>
      </c>
    </row>
    <row r="10593" spans="1:5" ht="15" customHeight="1" x14ac:dyDescent="0.2">
      <c r="A10593" s="1" t="s">
        <v>21017</v>
      </c>
      <c r="B10593" s="1">
        <v>0</v>
      </c>
      <c r="C10593" s="3">
        <v>44535.704189814816</v>
      </c>
      <c r="D10593" s="1" t="s">
        <v>21018</v>
      </c>
      <c r="E10593" s="1" t="str">
        <f ca="1">IFERROR(__xludf.DUMMYFUNCTION("GOOGLETRANSLATE(A7392 , ""tr"" , ""en"")"),"@drfahrettinkoca Subject to the place")</f>
        <v>@drfahrettinkoca Subject to the place</v>
      </c>
    </row>
    <row r="10594" spans="1:5" ht="15" customHeight="1" x14ac:dyDescent="0.2">
      <c r="A10594" s="1" t="s">
        <v>21019</v>
      </c>
      <c r="B10594" s="1">
        <v>0</v>
      </c>
      <c r="C10594" s="3">
        <v>44535.704131944447</v>
      </c>
      <c r="D10594" s="1" t="s">
        <v>21020</v>
      </c>
      <c r="E10594" s="1" t="str">
        <f ca="1">IFERROR(__xludf.DUMMYFUNCTION("GOOGLETRANSLATE(A7393 , ""tr"" , ""en"")"),"@drfahrettinka https://t.co/39kryxaweb")</f>
        <v>@drfahrettinka https://t.co/39kryxaweb</v>
      </c>
    </row>
    <row r="10595" spans="1:5" ht="15" customHeight="1" x14ac:dyDescent="0.2">
      <c r="A10595" s="1" t="s">
        <v>21021</v>
      </c>
      <c r="B10595" s="1">
        <v>0</v>
      </c>
      <c r="C10595" s="3">
        <v>44535.70412037037</v>
      </c>
      <c r="D10595" s="1" t="s">
        <v>21022</v>
      </c>
      <c r="E10595" s="1" t="str">
        <f ca="1">IFERROR(__xludf.DUMMYFUNCTION("GOOGLETRANSLATE(A7394 , ""tr"" , ""en"")"),"@drfahrettinkoca Data You received TIK")</f>
        <v>@drfahrettinkoca Data You received TIK</v>
      </c>
    </row>
    <row r="10596" spans="1:5" ht="15" customHeight="1" x14ac:dyDescent="0.2">
      <c r="A10596" s="1" t="s">
        <v>21023</v>
      </c>
      <c r="B10596" s="1">
        <v>0</v>
      </c>
      <c r="C10596" s="3">
        <v>44535.704062500001</v>
      </c>
      <c r="D10596" s="1" t="s">
        <v>21024</v>
      </c>
      <c r="E10596" s="1" t="str">
        <f ca="1">IFERROR(__xludf.DUMMYFUNCTION("GOOGLETRANSLATE(A7395 , ""tr"" , ""en"")"),"@drfahrettinka Mr. Ministry Congratulations I greet you with a nice success but the christmas is coming and especially cap ... https://t.co/k4qbvugsbf")</f>
        <v>@drfahrettinka Mr. Ministry Congratulations I greet you with a nice success but the christmas is coming and especially cap ... https://t.co/k4qbvugsbf</v>
      </c>
    </row>
    <row r="10597" spans="1:5" ht="15" customHeight="1" x14ac:dyDescent="0.2">
      <c r="A10597" s="1" t="s">
        <v>21025</v>
      </c>
      <c r="B10597" s="1">
        <v>0</v>
      </c>
      <c r="C10597" s="3">
        <v>44535.703946759262</v>
      </c>
      <c r="D10597" s="1" t="s">
        <v>21026</v>
      </c>
      <c r="E10597" s="1" t="str">
        <f ca="1">IFERROR(__xludf.DUMMYFUNCTION("GOOGLETRANSLATE(A7396 , ""tr"" , ""en"")"),"@drfahrettinkoca 😂😂")</f>
        <v>@drfahrettinkoca 😂😂</v>
      </c>
    </row>
    <row r="10598" spans="1:5" ht="15" customHeight="1" x14ac:dyDescent="0.2">
      <c r="A10598" s="1" t="s">
        <v>21027</v>
      </c>
      <c r="B10598" s="1">
        <v>0</v>
      </c>
      <c r="C10598" s="3">
        <v>44535.703842592593</v>
      </c>
      <c r="D10598" s="1" t="s">
        <v>21028</v>
      </c>
      <c r="E10598" s="1" t="str">
        <f ca="1">IFERROR(__xludf.DUMMYFUNCTION("GOOGLETRANSLATE(A7397 , ""tr"" , ""en"")"),"@drfahrettinka vaccine minister no one believes in the data you give. In case of the European Coronan Alarm Everything in our country ... https://t.co/xobomwqgh3")</f>
        <v>@drfahrettinka vaccine minister no one believes in the data you give. In case of the European Coronan Alarm Everything in our country ... https://t.co/xobomwqgh3</v>
      </c>
    </row>
    <row r="10599" spans="1:5" ht="15" customHeight="1" x14ac:dyDescent="0.2">
      <c r="A10599" s="1" t="s">
        <v>21029</v>
      </c>
      <c r="B10599" s="1">
        <v>0</v>
      </c>
      <c r="C10599" s="3">
        <v>44535.703831018516</v>
      </c>
      <c r="D10599" s="1" t="s">
        <v>21030</v>
      </c>
      <c r="E10599" s="1" t="str">
        <f ca="1">IFERROR(__xludf.DUMMYFUNCTION("GOOGLETRANSLATE(A7398 , ""tr"" , ""en"")"),"Which measure and dedication of @drfahrettinka?")</f>
        <v>Which measure and dedication of @drfahrettinka?</v>
      </c>
    </row>
    <row r="10600" spans="1:5" ht="15" customHeight="1" x14ac:dyDescent="0.2">
      <c r="A10600" s="1" t="s">
        <v>21031</v>
      </c>
      <c r="B10600" s="1">
        <v>7</v>
      </c>
      <c r="C10600" s="3">
        <v>44535.703773148147</v>
      </c>
      <c r="D10600" s="1" t="s">
        <v>21032</v>
      </c>
      <c r="E10600" s="1" t="str">
        <f ca="1">IFERROR(__xludf.DUMMYFUNCTION("GOOGLETRANSLATE(A7399 , ""tr"" , ""en"")"),"@drfahrettinkoca reis o Table I do 4 min too I do the number of cases I want to ask for")</f>
        <v>@drfahrettinkoca reis o Table I do 4 min too I do the number of cases I want to ask for</v>
      </c>
    </row>
    <row r="10601" spans="1:5" ht="15" customHeight="1" x14ac:dyDescent="0.2">
      <c r="A10601" s="1" t="s">
        <v>21033</v>
      </c>
      <c r="B10601" s="1">
        <v>0</v>
      </c>
      <c r="C10601" s="3">
        <v>44535.703738425924</v>
      </c>
      <c r="D10601" s="1" t="s">
        <v>21034</v>
      </c>
      <c r="E10601" s="1" t="str">
        <f ca="1">IFERROR(__xludf.DUMMYFUNCTION("GOOGLETRANSLATE(A7400 , ""tr"" , ""en"")"),"@drfahrettinkoca # yks2022 math geometry yks ayt tyt lgs kpss AYT TYT LGS KPSS ALES DGS Thread Expression Question Cozumler Trial C ... https://t.co/2tqzwnclvo")</f>
        <v>@drfahrettinkoca # yks2022 math geometry yks ayt tyt lgs kpss AYT TYT LGS KPSS ALES DGS Thread Expression Question Cozumler Trial C ... https://t.co/2tqzwnclvo</v>
      </c>
    </row>
    <row r="10602" spans="1:5" ht="15" customHeight="1" x14ac:dyDescent="0.2">
      <c r="A10602" s="1" t="s">
        <v>21035</v>
      </c>
      <c r="B10602" s="1">
        <v>44</v>
      </c>
      <c r="C10602" s="3">
        <v>44535.703692129631</v>
      </c>
      <c r="D10602" s="1" t="s">
        <v>21036</v>
      </c>
      <c r="E10602" s="1" t="str">
        <f ca="1">IFERROR(__xludf.DUMMYFUNCTION("GOOGLETRANSLATE(A7401 , ""tr"" , ""en"")"),"@drfahrettinkoca resitaaaaaaa I think it's time to make it")</f>
        <v>@drfahrettinkoca resitaaaaaaa I think it's time to make it</v>
      </c>
    </row>
    <row r="10603" spans="1:5" ht="15" customHeight="1" x14ac:dyDescent="0.2">
      <c r="A10603" s="1" t="s">
        <v>21037</v>
      </c>
      <c r="B10603" s="1">
        <v>0</v>
      </c>
      <c r="C10603" s="3">
        <v>44535.703645833331</v>
      </c>
      <c r="D10603" s="1" t="s">
        <v>21038</v>
      </c>
      <c r="E10603" s="1" t="str">
        <f ca="1">IFERROR(__xludf.DUMMYFUNCTION("GOOGLETRANSLATE(A7402 , ""tr"" , ""en"")"),"@drfahrettinkoca 6 years old send my son to school, single protective mask! I have never been elderly, every moment will be everything.")</f>
        <v>@drfahrettinkoca 6 years old send my son to school, single protective mask! I have never been elderly, every moment will be everything.</v>
      </c>
    </row>
    <row r="10604" spans="1:5" ht="15" customHeight="1" x14ac:dyDescent="0.2">
      <c r="A10604" s="1" t="s">
        <v>21039</v>
      </c>
      <c r="B10604" s="1">
        <v>1</v>
      </c>
      <c r="C10604" s="3">
        <v>44535.703599537039</v>
      </c>
      <c r="D10604" s="1" t="s">
        <v>21040</v>
      </c>
      <c r="E10604" s="1" t="str">
        <f ca="1">IFERROR(__xludf.DUMMYFUNCTION("GOOGLETRANSLATE(A7403 , ""tr"" , ""en"")"),"@drfahrettinkoca Do I tell you without permission sir")</f>
        <v>@drfahrettinkoca Do I tell you without permission sir</v>
      </c>
    </row>
    <row r="10605" spans="1:5" ht="15" customHeight="1" x14ac:dyDescent="0.2">
      <c r="A10605" s="1" t="s">
        <v>21041</v>
      </c>
      <c r="B10605" s="1">
        <v>0</v>
      </c>
      <c r="C10605" s="3">
        <v>44535.703576388885</v>
      </c>
      <c r="D10605" s="1" t="s">
        <v>21042</v>
      </c>
      <c r="E10605" s="1" t="str">
        <f ca="1">IFERROR(__xludf.DUMMYFUNCTION("GOOGLETRANSLATE(A7404 , ""tr"" , ""en"")"),"@drfahrettinkoca is tad a measure")</f>
        <v>@drfahrettinkoca is tad a measure</v>
      </c>
    </row>
    <row r="10606" spans="1:5" ht="15" customHeight="1" x14ac:dyDescent="0.2">
      <c r="A10606" s="1" t="s">
        <v>21043</v>
      </c>
      <c r="B10606" s="1">
        <v>1</v>
      </c>
      <c r="C10606" s="3">
        <v>44535.703553240739</v>
      </c>
      <c r="D10606" s="1" t="s">
        <v>21044</v>
      </c>
      <c r="E10606" s="1" t="str">
        <f ca="1">IFERROR(__xludf.DUMMYFUNCTION("GOOGLETRANSLATE(A7405 , ""tr"" , ""en"")"),"@drfahrettinkoca We've been rather than rather! # Fkuyumanerine40binatama")</f>
        <v>@drfahrettinkoca We've been rather than rather! # Fkuyumanerine40binatama</v>
      </c>
    </row>
    <row r="10607" spans="1:5" ht="15" customHeight="1" x14ac:dyDescent="0.2">
      <c r="A10607" s="1" t="s">
        <v>21045</v>
      </c>
      <c r="B10607" s="1">
        <v>0</v>
      </c>
      <c r="C10607" s="3">
        <v>44535.703541666669</v>
      </c>
      <c r="D10607" s="1" t="s">
        <v>21046</v>
      </c>
      <c r="E10607" s="1" t="str">
        <f ca="1">IFERROR(__xludf.DUMMYFUNCTION("GOOGLETRANSLATE(A7406 , ""tr"" , ""en"")"),"@drfahrettinkoca Is there anyone seeing guide? Disappeared to the other description of the publication of this time ... https://t.co/pf6rckveq1")</f>
        <v>@drfahrettinkoca Is there anyone seeing guide? Disappeared to the other description of the publication of this time ... https://t.co/pf6rckveq1</v>
      </c>
    </row>
    <row r="10608" spans="1:5" ht="15" customHeight="1" x14ac:dyDescent="0.2">
      <c r="A10608" s="1" t="s">
        <v>21047</v>
      </c>
      <c r="B10608" s="1">
        <v>0</v>
      </c>
      <c r="C10608" s="3">
        <v>44535.703541666669</v>
      </c>
      <c r="D10608" s="1" t="s">
        <v>21048</v>
      </c>
      <c r="E10608" s="1" t="str">
        <f ca="1">IFERROR(__xludf.DUMMYFUNCTION("GOOGLETRANSLATE(A7407 , ""tr"" , ""en"")"),"@drfahrettinkoca #maske #mesafe uncompletants #covid already inferior")</f>
        <v>@drfahrettinkoca #maske #mesafe uncompletants #covid already inferior</v>
      </c>
    </row>
    <row r="10609" spans="1:5" ht="15" customHeight="1" x14ac:dyDescent="0.2">
      <c r="A10609" s="1" t="s">
        <v>21049</v>
      </c>
      <c r="B10609" s="1">
        <v>1</v>
      </c>
      <c r="C10609" s="3">
        <v>44535.70349537037</v>
      </c>
      <c r="D10609" s="1" t="s">
        <v>21050</v>
      </c>
      <c r="E10609" s="1" t="str">
        <f ca="1">IFERROR(__xludf.DUMMYFUNCTION("GOOGLETRANSLATE(A7408 , ""tr"" , ""en"")"),"@drfahrettinkoca 40 Bin of Health Management in Billet Also Mr. Minister https://t.co/5ybtnxdyom")</f>
        <v>@drfahrettinkoca 40 Bin of Health Management in Billet Also Mr. Minister https://t.co/5ybtnxdyom</v>
      </c>
    </row>
    <row r="10610" spans="1:5" ht="15" customHeight="1" x14ac:dyDescent="0.2">
      <c r="A10610" s="1" t="s">
        <v>21051</v>
      </c>
      <c r="B10610" s="1">
        <v>0</v>
      </c>
      <c r="C10610" s="3">
        <v>44535.70349537037</v>
      </c>
      <c r="D10610" s="1" t="s">
        <v>21052</v>
      </c>
      <c r="E10610" s="1" t="str">
        <f ca="1">IFERROR(__xludf.DUMMYFUNCTION("GOOGLETRANSLATE(A7409 , ""tr"" , ""en"")"),"@drfahrettinkoca Don't want to believe I don't want to believe I don't want to believe")</f>
        <v>@drfahrettinkoca Don't want to believe I don't want to believe I don't want to believe</v>
      </c>
    </row>
    <row r="10611" spans="1:5" ht="15" customHeight="1" x14ac:dyDescent="0.2">
      <c r="A10611" s="1" t="s">
        <v>21053</v>
      </c>
      <c r="B10611" s="1">
        <v>32</v>
      </c>
      <c r="C10611" s="3">
        <v>44535.703483796293</v>
      </c>
      <c r="D10611" s="1" t="s">
        <v>21054</v>
      </c>
      <c r="E10611" s="1" t="str">
        <f ca="1">IFERROR(__xludf.DUMMYFUNCTION("GOOGLETRANSLATE(A7410 , ""tr"" , ""en"")"),"@drfahrettinkoca case and death numbers are hiding")</f>
        <v>@drfahrettinkoca case and death numbers are hiding</v>
      </c>
    </row>
    <row r="10612" spans="1:5" ht="15" customHeight="1" x14ac:dyDescent="0.2">
      <c r="A10612" s="1" t="s">
        <v>21055</v>
      </c>
      <c r="B10612" s="1">
        <v>2</v>
      </c>
      <c r="C10612" s="3">
        <v>44535.703483796293</v>
      </c>
      <c r="D10612" s="1" t="s">
        <v>21056</v>
      </c>
      <c r="E10612" s="1" t="str">
        <f ca="1">IFERROR(__xludf.DUMMYFUNCTION("GOOGLETRANSLATE(A7411 , ""tr"" , ""en"")"),"@drfahrettinkoca If there is no development related to the guide this week, our patience will be exhausted and enter different searches ... https://t.co/ssin7axxg9")</f>
        <v>@drfahrettinkoca If there is no development related to the guide this week, our patience will be exhausted and enter different searches ... https://t.co/ssin7axxg9</v>
      </c>
    </row>
    <row r="10613" spans="1:5" ht="15" customHeight="1" x14ac:dyDescent="0.2">
      <c r="A10613" s="1" t="s">
        <v>21057</v>
      </c>
      <c r="B10613" s="1">
        <v>7</v>
      </c>
      <c r="C10613" s="3">
        <v>44535.703449074077</v>
      </c>
      <c r="D10613" s="1" t="s">
        <v>21058</v>
      </c>
      <c r="E10613" s="1" t="str">
        <f ca="1">IFERROR(__xludf.DUMMYFUNCTION("GOOGLETRANSLATE(A7412 , ""tr"" , ""en"")"),"@drfahrettinkoca 40-minute break in schools should get up to this one more nexademo we need to scream ☹ a mother call ..")</f>
        <v>@drfahrettinkoca 40-minute break in schools should get up to this one more nexademo we need to scream ☹ a mother call ..</v>
      </c>
    </row>
    <row r="10614" spans="1:5" ht="15" customHeight="1" x14ac:dyDescent="0.2">
      <c r="A10614" s="1" t="s">
        <v>21059</v>
      </c>
      <c r="B10614" s="1">
        <v>1</v>
      </c>
      <c r="C10614" s="3">
        <v>44535.703449074077</v>
      </c>
      <c r="D10614" s="1" t="s">
        <v>21060</v>
      </c>
      <c r="E10614" s="1" t="str">
        <f ca="1">IFERROR(__xludf.DUMMYFUNCTION("GOOGLETRANSLATE(A7413 , ""tr"" , ""en"")"),"@drfahrettinkoca could not be falling out of ill ...")</f>
        <v>@drfahrettinkoca could not be falling out of ill ...</v>
      </c>
    </row>
    <row r="10615" spans="1:5" ht="15" customHeight="1" x14ac:dyDescent="0.2">
      <c r="A10615" s="1" t="s">
        <v>21061</v>
      </c>
      <c r="B10615" s="1">
        <v>0</v>
      </c>
      <c r="C10615" s="3">
        <v>44535.703425925924</v>
      </c>
      <c r="D10615" s="1" t="s">
        <v>21062</v>
      </c>
      <c r="E10615" s="1" t="str">
        <f ca="1">IFERROR(__xludf.DUMMYFUNCTION("GOOGLETRANSLATE(A7414 , ""tr"" , ""en"")"),"@drfahrettinkoca If you need to be an agenda every day, @drfahrettinkoca # fkuyumanerede40binatama")</f>
        <v>@drfahrettinkoca If you need to be an agenda every day, @drfahrettinkoca # fkuyumanerede40binatama</v>
      </c>
    </row>
    <row r="10616" spans="1:5" ht="15" customHeight="1" x14ac:dyDescent="0.2">
      <c r="A10616" s="1" t="s">
        <v>21063</v>
      </c>
      <c r="B10616" s="1">
        <v>45</v>
      </c>
      <c r="C10616" s="3">
        <v>44535.703425925924</v>
      </c>
      <c r="D10616" s="1" t="s">
        <v>21064</v>
      </c>
      <c r="E10616" s="1" t="str">
        <f ca="1">IFERROR(__xludf.DUMMYFUNCTION("GOOGLETRANSLATE(A7415 , ""tr"" , ""en"")"),"@drfahrettinkoca is falling cases because the vaccination falls. Understand it now. Nurtured someone who understands the statistics ... https://t.co/jqbf6pyf8d")</f>
        <v>@drfahrettinkoca is falling cases because the vaccination falls. Understand it now. Nurtured someone who understands the statistics ... https://t.co/jqbf6pyf8d</v>
      </c>
    </row>
    <row r="10617" spans="1:5" ht="15" customHeight="1" x14ac:dyDescent="0.2">
      <c r="A10617" s="1" t="s">
        <v>21065</v>
      </c>
      <c r="B10617" s="1">
        <v>0</v>
      </c>
      <c r="C10617" s="3">
        <v>44535.703402777777</v>
      </c>
      <c r="D10617" s="1" t="s">
        <v>21066</v>
      </c>
      <c r="E10617" s="1" t="str">
        <f ca="1">IFERROR(__xludf.DUMMYFUNCTION("GOOGLETRANSLATE(A7416 , ""tr"" , ""en"")"),"@drfahrettinkoca Minister Aslinde is cared for prohibitions and the water-priority is to be viewed (if not caught in new variants ... https://t.co/ybyx08gyta")</f>
        <v>@drfahrettinkoca Minister Aslinde is cared for prohibitions and the water-priority is to be viewed (if not caught in new variants ... https://t.co/ybyx08gyta</v>
      </c>
    </row>
    <row r="10618" spans="1:5" ht="15" customHeight="1" x14ac:dyDescent="0.2">
      <c r="A10618" s="1" t="s">
        <v>21067</v>
      </c>
      <c r="B10618" s="1">
        <v>0</v>
      </c>
      <c r="C10618" s="3">
        <v>44535.703368055554</v>
      </c>
      <c r="D10618" s="1" t="s">
        <v>21068</v>
      </c>
      <c r="E10618" s="1" t="str">
        <f ca="1">IFERROR(__xludf.DUMMYFUNCTION("GOOGLETRANSLATE(A7417 , ""tr"" , ""en"")"),"@drfahrettinkoca year is over year we still championed a hope assignment we have pityed all of us in the labor @ drfahrettinkoca ... https://t.co/oayngj0cd6")</f>
        <v>@drfahrettinkoca year is over year we still championed a hope assignment we have pityed all of us in the labor @ drfahrettinkoca ... https://t.co/oayngj0cd6</v>
      </c>
    </row>
    <row r="10619" spans="1:5" ht="15" customHeight="1" x14ac:dyDescent="0.2">
      <c r="A10619" s="1" t="s">
        <v>21069</v>
      </c>
      <c r="B10619" s="1">
        <v>0</v>
      </c>
      <c r="C10619" s="3">
        <v>44535.703321759262</v>
      </c>
      <c r="D10619" s="1" t="s">
        <v>21070</v>
      </c>
      <c r="E10619" s="1" t="str">
        <f ca="1">IFERROR(__xludf.DUMMYFUNCTION("GOOGLETRANSLATE(A7418 , ""tr"" , ""en"")"),"@drfahrettinkoca case number fallen below 20 thousand friends who say the closure is now susar ..")</f>
        <v>@drfahrettinkoca case number fallen below 20 thousand friends who say the closure is now susar ..</v>
      </c>
    </row>
    <row r="10620" spans="1:5" ht="15" customHeight="1" x14ac:dyDescent="0.2">
      <c r="A10620" s="1" t="s">
        <v>21071</v>
      </c>
      <c r="B10620" s="1">
        <v>0</v>
      </c>
      <c r="C10620" s="3">
        <v>44535.703310185185</v>
      </c>
      <c r="D10620" s="1" t="s">
        <v>21072</v>
      </c>
      <c r="E10620" s="1" t="str">
        <f ca="1">IFERROR(__xludf.DUMMYFUNCTION("GOOGLETRANSLATE(A7419 , ""tr"" , ""en"")"),"@drfahrettinkoca Even the worst possibous is good from uncertainty, give the branch distribution Bari Please see the SNRFArrettinkoca")</f>
        <v>@drfahrettinkoca Even the worst possibous is good from uncertainty, give the branch distribution Bari Please see the SNRFArrettinkoca</v>
      </c>
    </row>
    <row r="10621" spans="1:5" ht="15" customHeight="1" x14ac:dyDescent="0.2">
      <c r="A10621" s="1" t="s">
        <v>21073</v>
      </c>
      <c r="B10621" s="1">
        <v>0</v>
      </c>
      <c r="C10621" s="3">
        <v>44535.703252314815</v>
      </c>
      <c r="D10621" s="1" t="s">
        <v>21074</v>
      </c>
      <c r="E10621" s="1" t="str">
        <f ca="1">IFERROR(__xludf.DUMMYFUNCTION("GOOGLETRANSLATE(A7420 , ""tr"" , ""en"")"),"@drfahrettinkoca We have the best of our hopes You have no longer afforded to publish the guide of the insufficient ... https://t.co/a9bsm7gztu")</f>
        <v>@drfahrettinkoca We have the best of our hopes You have no longer afforded to publish the guide of the insufficient ... https://t.co/a9bsm7gztu</v>
      </c>
    </row>
    <row r="10622" spans="1:5" ht="15" customHeight="1" x14ac:dyDescent="0.2">
      <c r="A10622" s="1" t="s">
        <v>21075</v>
      </c>
      <c r="B10622" s="1">
        <v>0</v>
      </c>
      <c r="C10622" s="3">
        <v>44535.703229166669</v>
      </c>
      <c r="D10622" s="1" t="s">
        <v>21076</v>
      </c>
      <c r="E10622" s="1" t="str">
        <f ca="1">IFERROR(__xludf.DUMMYFUNCTION("GOOGLETRANSLATE(A7421 , ""tr"" , ""en"")"),"@drfahrettinkoca Attention ❗❗❗Bubir Crime Announcement @FettaHtamince @embolinsashince belongs to @embolinsaat As a result of the business accident in Https://t.co/j22t1puu1l")</f>
        <v>@drfahrettinkoca Attention ❗❗❗Bubir Crime Announcement @FettaHtamince @embolinsashince belongs to @embolinsaat As a result of the business accident in Https://t.co/j22t1puu1l</v>
      </c>
    </row>
    <row r="10623" spans="1:5" ht="15" customHeight="1" x14ac:dyDescent="0.2">
      <c r="A10623" s="1" t="s">
        <v>21077</v>
      </c>
      <c r="B10623" s="1">
        <v>4</v>
      </c>
      <c r="C10623" s="3">
        <v>44535.703206018516</v>
      </c>
      <c r="D10623" s="1" t="s">
        <v>21078</v>
      </c>
      <c r="E10623" s="1" t="str">
        <f ca="1">IFERROR(__xludf.DUMMYFUNCTION("GOOGLETRANSLATE(A7422 , ""tr"" , ""en"")"),"@drfahrettinkoca you are too much in this but, you share the number of cases as people put people in place")</f>
        <v>@drfahrettinkoca you are too much in this but, you share the number of cases as people put people in place</v>
      </c>
    </row>
    <row r="10624" spans="1:5" ht="15" customHeight="1" x14ac:dyDescent="0.2">
      <c r="A10624" s="1" t="s">
        <v>21079</v>
      </c>
      <c r="B10624" s="1">
        <v>5</v>
      </c>
      <c r="C10624" s="3">
        <v>44535.703194444446</v>
      </c>
      <c r="D10624" s="1" t="s">
        <v>21080</v>
      </c>
      <c r="E10624" s="1" t="str">
        <f ca="1">IFERROR(__xludf.DUMMYFUNCTION("GOOGLETRANSLATE(A7423 , ""tr"" , ""en"")"),"@drfahrettinkoca Europe is envious of us 😂 Curse ½ Tourists Haring the Dollar / Euro, but the doors are ... https://t.co/stmenxov9e")</f>
        <v>@drfahrettinkoca Europe is envious of us 😂 Curse ½ Tourists Haring the Dollar / Euro, but the doors are ... https://t.co/stmenxov9e</v>
      </c>
    </row>
    <row r="10625" spans="1:5" ht="15" customHeight="1" x14ac:dyDescent="0.2">
      <c r="A10625" s="1" t="s">
        <v>21081</v>
      </c>
      <c r="B10625" s="1">
        <v>1</v>
      </c>
      <c r="C10625" s="3">
        <v>44535.703194444446</v>
      </c>
      <c r="D10625" s="1" t="s">
        <v>21082</v>
      </c>
      <c r="E10625" s="1" t="str">
        <f ca="1">IFERROR(__xludf.DUMMYFUNCTION("GOOGLETRANSLATE(A7424 , ""tr"" , ""en"")"),"@drfahrettinkoca Promise Do you look at the Oral Date Mr. @drfahrettinkoca @ gozdeirisciogl ... https://t.co/pmq6wjpn9n")</f>
        <v>@drfahrettinkoca Promise Do you look at the Oral Date Mr. @drfahrettinkoca @ gozdeirisciogl ... https://t.co/pmq6wjpn9n</v>
      </c>
    </row>
    <row r="10626" spans="1:5" ht="15" customHeight="1" x14ac:dyDescent="0.2">
      <c r="A10626" s="1" t="s">
        <v>21083</v>
      </c>
      <c r="B10626" s="1">
        <v>0</v>
      </c>
      <c r="C10626" s="3">
        <v>44535.703182870369</v>
      </c>
      <c r="D10626" s="1" t="s">
        <v>21084</v>
      </c>
      <c r="E10626" s="1" t="str">
        <f ca="1">IFERROR(__xludf.DUMMYFUNCTION("GOOGLETRANSLATE(A7425 , ""tr"" , ""en"")"),"@drfahrettinka What effort and dedication is Yahu? Cases if you give the energy to produce the energy you spend on tweet to produce the remedy ... https://t.co/m5qnaxty6g")</f>
        <v>@drfahrettinka What effort and dedication is Yahu? Cases if you give the energy to produce the energy you spend on tweet to produce the remedy ... https://t.co/m5qnaxty6g</v>
      </c>
    </row>
    <row r="10627" spans="1:5" ht="15" customHeight="1" x14ac:dyDescent="0.2">
      <c r="A10627" s="1" t="s">
        <v>21085</v>
      </c>
      <c r="B10627" s="1">
        <v>0</v>
      </c>
      <c r="C10627" s="3">
        <v>44535.703148148146</v>
      </c>
      <c r="D10627" s="1" t="s">
        <v>21086</v>
      </c>
      <c r="E10627" s="1" t="str">
        <f ca="1">IFERROR(__xludf.DUMMYFUNCTION("GOOGLETRANSLATE(A7426 , ""tr"" , ""en"")"),"@drfahrettinkca I cut the hope of my hope. On the rows of stove")</f>
        <v>@drfahrettinkca I cut the hope of my hope. On the rows of stove</v>
      </c>
    </row>
    <row r="10628" spans="1:5" ht="15" customHeight="1" x14ac:dyDescent="0.2">
      <c r="A10628" s="1" t="s">
        <v>21087</v>
      </c>
      <c r="B10628" s="1">
        <v>0</v>
      </c>
      <c r="C10628" s="3">
        <v>44535.703136574077</v>
      </c>
      <c r="D10628" s="1" t="s">
        <v>21088</v>
      </c>
      <c r="E10628" s="1" t="str">
        <f ca="1">IFERROR(__xludf.DUMMYFUNCTION("GOOGLETRANSLATE(A7427 , ""tr"" , ""en"")"),"@drfahrettinkoca Ministry of Health in the Republic of Turkey has not been seen to be so bad. Bottom ... https://t.co/ydhqnacbct")</f>
        <v>@drfahrettinkoca Ministry of Health in the Republic of Turkey has not been seen to be so bad. Bottom ... https://t.co/ydhqnacbct</v>
      </c>
    </row>
    <row r="10629" spans="1:5" ht="15" customHeight="1" x14ac:dyDescent="0.2">
      <c r="A10629" s="1" t="s">
        <v>21089</v>
      </c>
      <c r="B10629" s="1">
        <v>0</v>
      </c>
      <c r="C10629" s="3">
        <v>44535.7030787037</v>
      </c>
      <c r="D10629" s="1" t="s">
        <v>21090</v>
      </c>
      <c r="E10629" s="1" t="str">
        <f ca="1">IFERROR(__xludf.DUMMYFUNCTION("GOOGLETRANSLATE(A7428 , ""tr"" , ""en"")"),"@drfahrettinkoca 40 premises also take place in health management as well as Mr. Minister https://t.co/Iafwlopwdw")</f>
        <v>@drfahrettinkoca 40 premises also take place in health management as well as Mr. Minister https://t.co/Iafwlopwdw</v>
      </c>
    </row>
    <row r="10630" spans="1:5" ht="15" customHeight="1" x14ac:dyDescent="0.2">
      <c r="A10630" s="1" t="s">
        <v>21091</v>
      </c>
      <c r="B10630" s="1">
        <v>0</v>
      </c>
      <c r="C10630" s="3">
        <v>44535.7030787037</v>
      </c>
      <c r="D10630" s="1" t="s">
        <v>21092</v>
      </c>
      <c r="E10630" s="1" t="str">
        <f ca="1">IFERROR(__xludf.DUMMYFUNCTION("GOOGLETRANSLATE(A7429 , ""tr"" , ""en"")"),"@drfahrettinkoca Healthparts Hicbian Time has never been a victim of His Health Healthy In Health Governorate A ... https://t.co/tti3hmw5ub")</f>
        <v>@drfahrettinkoca Healthparts Hicbian Time has never been a victim of His Health Healthy In Health Governorate A ... https://t.co/tti3hmw5ub</v>
      </c>
    </row>
    <row r="10631" spans="1:5" ht="15" customHeight="1" x14ac:dyDescent="0.2">
      <c r="A10631" s="1" t="s">
        <v>21093</v>
      </c>
      <c r="B10631" s="1">
        <v>0</v>
      </c>
      <c r="C10631" s="3">
        <v>44535.703009259261</v>
      </c>
      <c r="D10631" s="1" t="s">
        <v>21094</v>
      </c>
      <c r="E10631" s="1" t="str">
        <f ca="1">IFERROR(__xludf.DUMMYFUNCTION("GOOGLETRANSLATE(A7430 , ""tr"" , ""en"")"),"@drfahrettinkoca 800 thousand health graduates will not forget the young 2021 @drfahrettinkoca @ Suikebirinci ... https://t.co/PMI3IINGW8")</f>
        <v>@drfahrettinkoca 800 thousand health graduates will not forget the young 2021 @drfahrettinkoca @ Suikebirinci ... https://t.co/PMI3IINGW8</v>
      </c>
    </row>
    <row r="10632" spans="1:5" ht="15" customHeight="1" x14ac:dyDescent="0.2">
      <c r="A10632" s="1" t="s">
        <v>21095</v>
      </c>
      <c r="B10632" s="1">
        <v>8</v>
      </c>
      <c r="C10632" s="3">
        <v>44535.702986111108</v>
      </c>
      <c r="D10632" s="1" t="s">
        <v>21096</v>
      </c>
      <c r="E10632" s="1" t="str">
        <f ca="1">IFERROR(__xludf.DUMMYFUNCTION("GOOGLETRANSLATE(A7431 , ""tr"" , ""en"")"),"@drfahrettinka don't like friends lying stuffed stuff")</f>
        <v>@drfahrettinka don't like friends lying stuffed stuff</v>
      </c>
    </row>
    <row r="10633" spans="1:5" ht="15" customHeight="1" x14ac:dyDescent="0.2">
      <c r="A10633" s="1" t="s">
        <v>21097</v>
      </c>
      <c r="B10633" s="1">
        <v>1</v>
      </c>
      <c r="C10633" s="3">
        <v>44535.702962962961</v>
      </c>
      <c r="D10633" s="1" t="s">
        <v>21098</v>
      </c>
      <c r="E10633" s="1" t="str">
        <f ca="1">IFERROR(__xludf.DUMMYFUNCTION("GOOGLETRANSLATE(A7432 , ""tr"" , ""en"")"),"@drfahrettinkoca Where is the guide? Dropped to water? Did the juice drank? Is the cow up the mountain? Mountain burned? Where Guide !!!! ... https://t.co/m4cng5thzm")</f>
        <v>@drfahrettinkoca Where is the guide? Dropped to water? Did the juice drank? Is the cow up the mountain? Mountain burned? Where Guide !!!! ... https://t.co/m4cng5thzm</v>
      </c>
    </row>
    <row r="10634" spans="1:5" ht="15" customHeight="1" x14ac:dyDescent="0.2">
      <c r="A10634" s="1" t="s">
        <v>21099</v>
      </c>
      <c r="B10634" s="1">
        <v>1</v>
      </c>
      <c r="C10634" s="3">
        <v>44535.702951388892</v>
      </c>
      <c r="D10634" s="1" t="s">
        <v>21100</v>
      </c>
      <c r="E10634" s="1" t="str">
        <f ca="1">IFERROR(__xludf.DUMMYFUNCTION("GOOGLETRANSLATE(A7433 , ""tr"" , ""en"")"),"@drfahrettinkoca The whole world also explodes cases we didn't happen? Don't say that the vaccine is tied to the felony because it's no way.")</f>
        <v>@drfahrettinkoca The whole world also explodes cases we didn't happen? Don't say that the vaccine is tied to the felony because it's no way.</v>
      </c>
    </row>
    <row r="10635" spans="1:5" ht="15" customHeight="1" x14ac:dyDescent="0.2">
      <c r="A10635" s="1" t="s">
        <v>21101</v>
      </c>
      <c r="B10635" s="1">
        <v>5</v>
      </c>
      <c r="C10635" s="3">
        <v>44535.702951388892</v>
      </c>
      <c r="D10635" s="1" t="s">
        <v>21102</v>
      </c>
      <c r="E10635" s="1" t="str">
        <f ca="1">IFERROR(__xludf.DUMMYFUNCTION("GOOGLETRANSLATE(A7434 , ""tr"" , ""en"")"),"@drfahrettinkoca publish real table")</f>
        <v>@drfahrettinkoca publish real table</v>
      </c>
    </row>
    <row r="10636" spans="1:5" ht="15" customHeight="1" x14ac:dyDescent="0.2">
      <c r="A10636" s="1" t="s">
        <v>21103</v>
      </c>
      <c r="B10636" s="1">
        <v>1</v>
      </c>
      <c r="C10636" s="3">
        <v>44535.702893518515</v>
      </c>
      <c r="D10636" s="1" t="s">
        <v>21104</v>
      </c>
      <c r="E10636" s="1" t="str">
        <f ca="1">IFERROR(__xludf.DUMMYFUNCTION("GOOGLETRANSLATE(A7435 , ""tr"" , ""en"")"),"@drfahrettinkoca Hani The words given to us in a couple of weeks in a few days in this month, he was over-yearned in the year ... https://t.co/mqwqxujklb")</f>
        <v>@drfahrettinkoca Hani The words given to us in a couple of weeks in a few days in this month, he was over-yearned in the year ... https://t.co/mqwqxujklb</v>
      </c>
    </row>
    <row r="10637" spans="1:5" ht="15" customHeight="1" x14ac:dyDescent="0.2">
      <c r="A10637" s="1" t="s">
        <v>21105</v>
      </c>
      <c r="B10637" s="1">
        <v>0</v>
      </c>
      <c r="C10637" s="3">
        <v>44535.702835648146</v>
      </c>
      <c r="D10637" s="1" t="s">
        <v>21106</v>
      </c>
      <c r="E10637" s="1" t="str">
        <f ca="1">IFERROR(__xludf.DUMMYFUNCTION("GOOGLETRANSLATE(A7436 , ""tr"" , ""en"")"),"@drfahrettinkoca everyone heard our voice. Except for Dear @drfahrettinkoca. # Fkuyumanerine40binatama https://t.co/9a24etiems")</f>
        <v>@drfahrettinkoca everyone heard our voice. Except for Dear @drfahrettinkoca. # Fkuyumanerine40binatama https://t.co/9a24etiems</v>
      </c>
    </row>
    <row r="10638" spans="1:5" ht="15" customHeight="1" x14ac:dyDescent="0.2">
      <c r="A10638" s="1" t="s">
        <v>21107</v>
      </c>
      <c r="B10638" s="1">
        <v>0</v>
      </c>
      <c r="C10638" s="3">
        <v>44535.702800925923</v>
      </c>
      <c r="D10638" s="1" t="s">
        <v>21108</v>
      </c>
      <c r="E10638" s="1" t="str">
        <f ca="1">IFERROR(__xludf.DUMMYFUNCTION("GOOGLETRANSLATE(A7437 , ""tr"" , ""en"")"),"@drfahrettinkoca lying no longer anyone believes no one already get on your raft please")</f>
        <v>@drfahrettinkoca lying no longer anyone believes no one already get on your raft please</v>
      </c>
    </row>
    <row r="10639" spans="1:5" ht="15" customHeight="1" x14ac:dyDescent="0.2">
      <c r="A10639" s="1" t="s">
        <v>21109</v>
      </c>
      <c r="B10639" s="1">
        <v>1</v>
      </c>
      <c r="C10639" s="3">
        <v>44535.702777777777</v>
      </c>
      <c r="D10639" s="1" t="s">
        <v>21110</v>
      </c>
      <c r="E10639" s="1" t="str">
        <f ca="1">IFERROR(__xludf.DUMMYFUNCTION("GOOGLETRANSLATE(A7438 , ""tr"" , ""en"")"),"@drfahrettinkoca lie lying lie")</f>
        <v>@drfahrettinkoca lie lying lie</v>
      </c>
    </row>
    <row r="10640" spans="1:5" ht="15" customHeight="1" x14ac:dyDescent="0.2">
      <c r="A10640" s="1" t="s">
        <v>21111</v>
      </c>
      <c r="B10640" s="1">
        <v>0</v>
      </c>
      <c r="C10640" s="3">
        <v>44535.702766203707</v>
      </c>
      <c r="D10640" s="1" t="s">
        <v>21112</v>
      </c>
      <c r="E10640" s="1" t="str">
        <f ca="1">IFERROR(__xludf.DUMMYFUNCTION("GOOGLETRANSLATE(A7439 , ""tr"" , ""en"")"),"@drfahrettinkoca we will enter 2022 after 25 days and still tweet to get the first assignment. Https://t.co/pnwxqggrgk about assignment")</f>
        <v>@drfahrettinkoca we will enter 2022 after 25 days and still tweet to get the first assignment. Https://t.co/pnwxqggrgk about assignment</v>
      </c>
    </row>
    <row r="10641" spans="1:5" ht="15" customHeight="1" x14ac:dyDescent="0.2">
      <c r="A10641" s="1" t="s">
        <v>21113</v>
      </c>
      <c r="B10641" s="1">
        <v>0</v>
      </c>
      <c r="C10641" s="3">
        <v>44535.702708333331</v>
      </c>
      <c r="D10641" s="1" t="s">
        <v>21114</v>
      </c>
      <c r="E10641" s="1" t="str">
        <f ca="1">IFERROR(__xludf.DUMMYFUNCTION("GOOGLETRANSLATE(A7440 , ""tr"" , ""en"")"),"@drfahrettinkoca Our hopes are over your deferences are not finished !! Ha Bide Yil is over ... https://t.co/uxjlekptyw")</f>
        <v>@drfahrettinkoca Our hopes are over your deferences are not finished !! Ha Bide Yil is over ... https://t.co/uxjlekptyw</v>
      </c>
    </row>
    <row r="10642" spans="1:5" ht="15" customHeight="1" x14ac:dyDescent="0.2">
      <c r="A10642" s="1" t="s">
        <v>21115</v>
      </c>
      <c r="B10642" s="1">
        <v>0</v>
      </c>
      <c r="C10642" s="3">
        <v>44535.702673611115</v>
      </c>
      <c r="D10642" s="1" t="s">
        <v>21116</v>
      </c>
      <c r="E10642" s="1" t="str">
        <f ca="1">IFERROR(__xludf.DUMMYFUNCTION("GOOGLETRANSLATE(A7441 , ""tr"" , ""en"")"),"@drfahrettinkoca 40 premises also take place in health management as well as Mr. Minister https://t.co/4wmsed6tcf")</f>
        <v>@drfahrettinkoca 40 premises also take place in health management as well as Mr. Minister https://t.co/4wmsed6tcf</v>
      </c>
    </row>
    <row r="10643" spans="1:5" ht="15" customHeight="1" x14ac:dyDescent="0.2">
      <c r="A10643" s="1" t="s">
        <v>21117</v>
      </c>
      <c r="B10643" s="1">
        <v>1</v>
      </c>
      <c r="C10643" s="3">
        <v>44535.702650462961</v>
      </c>
      <c r="D10643" s="1" t="s">
        <v>21118</v>
      </c>
      <c r="E10643" s="1" t="str">
        <f ca="1">IFERROR(__xludf.DUMMYFUNCTION("GOOGLETRANSLATE(A7442 , ""tr"" , ""en"")"),"@drfahrettinka my three hundred sixty five days my hundred sixty five days burned HA burned HA burned Ha burned for a assignment in a year HA burned Https://t.co/e7abjhqadh")</f>
        <v>@drfahrettinka my three hundred sixty five days my hundred sixty five days burned HA burned HA burned Ha burned for a assignment in a year HA burned Https://t.co/e7abjhqadh</v>
      </c>
    </row>
    <row r="10644" spans="1:5" ht="15" customHeight="1" x14ac:dyDescent="0.2">
      <c r="A10644" s="1" t="s">
        <v>16921</v>
      </c>
      <c r="B10644" s="1">
        <v>2</v>
      </c>
      <c r="C10644" s="3">
        <v>44535.702557870369</v>
      </c>
      <c r="D10644" s="1" t="s">
        <v>21119</v>
      </c>
      <c r="E10644" s="1" t="str">
        <f ca="1">IFERROR(__xludf.DUMMYFUNCTION("GOOGLETRANSLATE(A7443 , ""tr"" , ""en"")"),"@drfahrettinkoca lie")</f>
        <v>@drfahrettinkoca lie</v>
      </c>
    </row>
    <row r="10645" spans="1:5" ht="15" customHeight="1" x14ac:dyDescent="0.2">
      <c r="A10645" s="1" t="s">
        <v>21120</v>
      </c>
      <c r="B10645" s="1">
        <v>0</v>
      </c>
      <c r="C10645" s="3">
        <v>44535.702349537038</v>
      </c>
      <c r="D10645" s="1" t="s">
        <v>21121</v>
      </c>
      <c r="E10645" s="1" t="str">
        <f ca="1">IFERROR(__xludf.DUMMYFUNCTION("GOOGLETRANSLATE(A7444 , ""tr"" , ""en"")"),"@drfahrettinkoca we will enter 2022 after 25 days and still tweet to get the first assignment. Https://t.co/zogaanl1ed on the assignment")</f>
        <v>@drfahrettinkoca we will enter 2022 after 25 days and still tweet to get the first assignment. Https://t.co/zogaanl1ed on the assignment</v>
      </c>
    </row>
    <row r="10646" spans="1:5" ht="15" customHeight="1" x14ac:dyDescent="0.2">
      <c r="A10646" s="1" t="s">
        <v>21122</v>
      </c>
      <c r="B10646" s="1">
        <v>1</v>
      </c>
      <c r="C10646" s="3">
        <v>44535.702291666668</v>
      </c>
      <c r="D10646" s="1" t="s">
        <v>21123</v>
      </c>
      <c r="E10646" s="1" t="str">
        <f ca="1">IFERROR(__xludf.DUMMYFUNCTION("GOOGLETRANSLATE(A7445 , ""tr"" , ""en"")"),"@drfahrettinkoca Everyone is a spiritual genocide of the Koskoca Ministry of Health. Doesn't give, do, do ... https://t.co/uqkfjakg5y")</f>
        <v>@drfahrettinkoca Everyone is a spiritual genocide of the Koskoca Ministry of Health. Doesn't give, do, do ... https://t.co/uqkfjakg5y</v>
      </c>
    </row>
    <row r="10647" spans="1:5" ht="15" customHeight="1" x14ac:dyDescent="0.2">
      <c r="A10647" s="1" t="s">
        <v>21124</v>
      </c>
      <c r="B10647" s="1">
        <v>2</v>
      </c>
      <c r="C10647" s="3">
        <v>44535.702291666668</v>
      </c>
      <c r="D10647" s="1" t="s">
        <v>21125</v>
      </c>
      <c r="E10647" s="1" t="str">
        <f ca="1">IFERROR(__xludf.DUMMYFUNCTION("GOOGLETRANSLATE(A7446 , ""tr"" , ""en"")"),"@drfahrettinkoca still think we believe in KNK even everyone else guesses everyone else")</f>
        <v>@drfahrettinkoca still think we believe in KNK even everyone else guesses everyone else</v>
      </c>
    </row>
    <row r="10648" spans="1:5" ht="15" customHeight="1" x14ac:dyDescent="0.2">
      <c r="A10648" s="1" t="s">
        <v>21126</v>
      </c>
      <c r="B10648" s="1">
        <v>0</v>
      </c>
      <c r="C10648" s="3">
        <v>44535.702256944445</v>
      </c>
      <c r="D10648" s="1" t="s">
        <v>21127</v>
      </c>
      <c r="E10648" s="1" t="str">
        <f ca="1">IFERROR(__xludf.DUMMYFUNCTION("GOOGLETRANSLATE(A7447 , ""tr"" , ""en"")"),"@drfahrettinkoca what dedication has not left Covid in the country of homeless")</f>
        <v>@drfahrettinkoca what dedication has not left Covid in the country of homeless</v>
      </c>
    </row>
    <row r="10649" spans="1:5" ht="15" customHeight="1" x14ac:dyDescent="0.2">
      <c r="A10649" s="1" t="s">
        <v>21128</v>
      </c>
      <c r="B10649" s="1">
        <v>0</v>
      </c>
      <c r="C10649" s="3">
        <v>44535.702210648145</v>
      </c>
      <c r="D10649" s="1" t="s">
        <v>21129</v>
      </c>
      <c r="E10649" s="1" t="str">
        <f ca="1">IFERROR(__xludf.DUMMYFUNCTION("GOOGLETRANSLATE(A7448 , ""tr"" , ""en"")"),"@drfahrettinkoca 40 Place of Health Administration in Bin Health Administration Mr. Minister https://t.co/wwcwpr6p8o")</f>
        <v>@drfahrettinkoca 40 Place of Health Administration in Bin Health Administration Mr. Minister https://t.co/wwcwpr6p8o</v>
      </c>
    </row>
    <row r="10650" spans="1:5" ht="15" customHeight="1" x14ac:dyDescent="0.2">
      <c r="A10650" s="1" t="s">
        <v>21130</v>
      </c>
      <c r="B10650" s="1">
        <v>0</v>
      </c>
      <c r="C10650" s="3">
        <v>44535.702210648145</v>
      </c>
      <c r="D10650" s="1" t="s">
        <v>21131</v>
      </c>
      <c r="E10650" s="1" t="str">
        <f ca="1">IFERROR(__xludf.DUMMYFUNCTION("GOOGLETRANSLATE(A7449 , ""tr"" , ""en"")"),"@drfahrettinkoca Rail and Rahîm Lord You give health in the Construction Lahabing our Lord Thank God Always be ... HTTPS://T.CO/ZAWIVG6OJ4")</f>
        <v>@drfahrettinkoca Rail and Rahîm Lord You give health in the Construction Lahabing our Lord Thank God Always be ... HTTPS://T.CO/ZAWIVG6OJ4</v>
      </c>
    </row>
    <row r="10651" spans="1:5" ht="15" customHeight="1" x14ac:dyDescent="0.2">
      <c r="A10651" s="1" t="s">
        <v>21132</v>
      </c>
      <c r="B10651" s="1">
        <v>1</v>
      </c>
      <c r="C10651" s="3">
        <v>44535.70208333333</v>
      </c>
      <c r="D10651" s="1" t="s">
        <v>21133</v>
      </c>
      <c r="E10651" s="1" t="str">
        <f ca="1">IFERROR(__xludf.DUMMYFUNCTION("GOOGLETRANSLATE(A7450 , ""tr"" , ""en"")"),"@drfahrettinka https://t.co/vlzl5r1ghw")</f>
        <v>@drfahrettinka https://t.co/vlzl5r1ghw</v>
      </c>
    </row>
    <row r="10652" spans="1:5" ht="15" customHeight="1" x14ac:dyDescent="0.2">
      <c r="A10652" s="1" t="s">
        <v>21134</v>
      </c>
      <c r="B10652" s="1">
        <v>0</v>
      </c>
      <c r="C10652" s="3">
        <v>44535.70207175926</v>
      </c>
      <c r="D10652" s="1" t="s">
        <v>21135</v>
      </c>
      <c r="E10652" s="1" t="str">
        <f ca="1">IFERROR(__xludf.DUMMYFUNCTION("GOOGLETRANSLATE(A7451 , ""tr"" , ""en"")"),"@drfahrettinkoca army at both the rebel rate, and in the case rate 🤔")</f>
        <v>@drfahrettinkoca army at both the rebel rate, and in the case rate 🤔</v>
      </c>
    </row>
    <row r="10653" spans="1:5" ht="15" customHeight="1" x14ac:dyDescent="0.2">
      <c r="A10653" s="1" t="s">
        <v>21136</v>
      </c>
      <c r="B10653" s="1">
        <v>1</v>
      </c>
      <c r="C10653" s="3">
        <v>44535.702025462961</v>
      </c>
      <c r="D10653" s="1" t="s">
        <v>21137</v>
      </c>
      <c r="E10653" s="1" t="str">
        <f ca="1">IFERROR(__xludf.DUMMYFUNCTION("GOOGLETRANSLATE(A7452 , ""tr"" , ""en"")"),"@drfahrettinkoca 3rd Why are you waiting for the 6th why you are waiting for the mask ...!")</f>
        <v>@drfahrettinkoca 3rd Why are you waiting for the 6th why you are waiting for the mask ...!</v>
      </c>
    </row>
    <row r="10654" spans="1:5" ht="15" customHeight="1" x14ac:dyDescent="0.2">
      <c r="A10654" s="1" t="s">
        <v>21138</v>
      </c>
      <c r="B10654" s="1">
        <v>0</v>
      </c>
      <c r="C10654" s="3">
        <v>44535.702002314814</v>
      </c>
      <c r="D10654" s="1" t="s">
        <v>21139</v>
      </c>
      <c r="E10654" s="1" t="str">
        <f ca="1">IFERROR(__xludf.DUMMYFUNCTION("GOOGLETRANSLATE(A7453 , ""tr"" , ""en"")"),"@drfahrettinkoca guanuzzzzz")</f>
        <v>@drfahrettinkoca guanuzzzzz</v>
      </c>
    </row>
    <row r="10655" spans="1:5" ht="15" customHeight="1" x14ac:dyDescent="0.2">
      <c r="A10655" s="1" t="s">
        <v>15981</v>
      </c>
      <c r="B10655" s="1">
        <v>0</v>
      </c>
      <c r="C10655" s="3">
        <v>44535.701874999999</v>
      </c>
      <c r="D10655" s="1" t="s">
        <v>21140</v>
      </c>
      <c r="E10655" s="1" t="str">
        <f ca="1">IFERROR(__xludf.DUMMYFUNCTION("GOOGLETRANSLATE(A7454 , ""tr"" , ""en"")"),"@drfahrettinkoca guanuzzzz")</f>
        <v>@drfahrettinkoca guanuzzzz</v>
      </c>
    </row>
    <row r="10656" spans="1:5" ht="15" customHeight="1" x14ac:dyDescent="0.2">
      <c r="A10656" s="1" t="s">
        <v>21141</v>
      </c>
      <c r="B10656" s="1">
        <v>0</v>
      </c>
      <c r="C10656" s="3">
        <v>44535.701828703706</v>
      </c>
      <c r="D10656" s="1" t="s">
        <v>21142</v>
      </c>
      <c r="E10656" s="1" t="str">
        <f ca="1">IFERROR(__xludf.DUMMYFUNCTION("GOOGLETRANSLATE(A7455 , ""tr"" , ""en"")"),"@drfahrettinka you have the permission to be able to throw this twitti? Walk allaul askina 2 months 20 26 28 Thousand Oluyo ... https://t.co/dpa9dloreu")</f>
        <v>@drfahrettinka you have the permission to be able to throw this twitti? Walk allaul askina 2 months 20 26 28 Thousand Oluyo ... https://t.co/dpa9dloreu</v>
      </c>
    </row>
    <row r="10657" spans="1:5" ht="15" customHeight="1" x14ac:dyDescent="0.2">
      <c r="A10657" s="1" t="s">
        <v>21143</v>
      </c>
      <c r="B10657" s="1">
        <v>0</v>
      </c>
      <c r="C10657" s="3">
        <v>44535.701793981483</v>
      </c>
      <c r="D10657" s="1" t="s">
        <v>21144</v>
      </c>
      <c r="E10657" s="1" t="str">
        <f ca="1">IFERROR(__xludf.DUMMYFUNCTION("GOOGLETRANSLATE(A7456 , ""tr"" , ""en"")"),"@drfahrettinkoca overlooking Bey, can you sleep comfortably when you put your head on the pillow? ? Because I'm not sleeping I said I'm asking for bi")</f>
        <v>@drfahrettinkoca overlooking Bey, can you sleep comfortably when you put your head on the pillow? ? Because I'm not sleeping I said I'm asking for bi</v>
      </c>
    </row>
    <row r="10658" spans="1:5" ht="15" customHeight="1" x14ac:dyDescent="0.2">
      <c r="A10658" s="1" t="s">
        <v>10756</v>
      </c>
      <c r="B10658" s="1">
        <v>0</v>
      </c>
      <c r="C10658" s="3">
        <v>44535.701689814814</v>
      </c>
      <c r="D10658" s="1" t="s">
        <v>21145</v>
      </c>
      <c r="E10658" s="1" t="str">
        <f ca="1">IFERROR(__xludf.DUMMYFUNCTION("GOOGLETRANSLATE(A7457 , ""tr"" , ""en"")"),"@drfahrettinkoca yav he he")</f>
        <v>@drfahrettinkoca yav he he</v>
      </c>
    </row>
    <row r="10659" spans="1:5" ht="15" customHeight="1" x14ac:dyDescent="0.2">
      <c r="A10659" s="1" t="s">
        <v>21146</v>
      </c>
      <c r="B10659" s="1">
        <v>0</v>
      </c>
      <c r="C10659" s="3">
        <v>44535.701655092591</v>
      </c>
      <c r="D10659" s="1" t="s">
        <v>21147</v>
      </c>
      <c r="E10659" s="1" t="str">
        <f ca="1">IFERROR(__xludf.DUMMYFUNCTION("GOOGLETRANSLATE(A7458 , ""tr"" , ""en"")"),"@drfahrettinkoca 40 premises also take place in the acquisition of health management Dear Ministry https://t.co/5hghtorvjw")</f>
        <v>@drfahrettinkoca 40 premises also take place in the acquisition of health management Dear Ministry https://t.co/5hghtorvjw</v>
      </c>
    </row>
    <row r="10660" spans="1:5" ht="15" customHeight="1" x14ac:dyDescent="0.2">
      <c r="A10660" s="1" t="s">
        <v>21148</v>
      </c>
      <c r="B10660" s="1">
        <v>0</v>
      </c>
      <c r="C10660" s="3">
        <v>44535.701643518521</v>
      </c>
      <c r="D10660" s="1" t="s">
        <v>21149</v>
      </c>
      <c r="E10660" s="1" t="str">
        <f ca="1">IFERROR(__xludf.DUMMYFUNCTION("GOOGLETRANSLATE(A7459 , ""tr"" , ""en"")"),"@drfahrettinka months are your dreams you are playing with our dreams Mr. Minister. Teens who are dying to go to the beginning of the duty ... https://t.co/pqdmsvpatc")</f>
        <v>@drfahrettinka months are your dreams you are playing with our dreams Mr. Minister. Teens who are dying to go to the beginning of the duty ... https://t.co/pqdmsvpatc</v>
      </c>
    </row>
    <row r="10661" spans="1:5" ht="15" customHeight="1" x14ac:dyDescent="0.2">
      <c r="A10661" s="1" t="s">
        <v>21150</v>
      </c>
      <c r="B10661" s="1">
        <v>0</v>
      </c>
      <c r="C10661" s="3">
        <v>44535.701643518521</v>
      </c>
      <c r="D10661" s="1" t="s">
        <v>21151</v>
      </c>
      <c r="E10661" s="1" t="str">
        <f ca="1">IFERROR(__xludf.DUMMYFUNCTION("GOOGLETRANSLATE(A7460 , ""tr"" , ""en"")"),"@drfahrettinkoca Ministry of Ministry We would like the guide noykkkk @drfahrettinkoca # fkuyumanere40binatama")</f>
        <v>@drfahrettinkoca Ministry of Ministry We would like the guide noykkkk @drfahrettinkoca # fkuyumanere40binatama</v>
      </c>
    </row>
    <row r="10662" spans="1:5" ht="15" customHeight="1" x14ac:dyDescent="0.2">
      <c r="A10662" s="1" t="s">
        <v>21152</v>
      </c>
      <c r="B10662" s="1">
        <v>0</v>
      </c>
      <c r="C10662" s="3">
        <v>44535.701631944445</v>
      </c>
      <c r="D10662" s="1" t="s">
        <v>21153</v>
      </c>
      <c r="E10662" s="1" t="str">
        <f ca="1">IFERROR(__xludf.DUMMYFUNCTION("GOOGLETRANSLATE(A7461 , ""tr"" , ""en"")"),"@drfahrettinkoca beliegu")</f>
        <v>@drfahrettinkoca beliegu</v>
      </c>
    </row>
    <row r="10663" spans="1:5" ht="15" customHeight="1" x14ac:dyDescent="0.2">
      <c r="A10663" s="1" t="s">
        <v>21154</v>
      </c>
      <c r="B10663" s="1">
        <v>0</v>
      </c>
      <c r="C10663" s="3">
        <v>44535.701608796298</v>
      </c>
      <c r="D10663" s="1" t="s">
        <v>21155</v>
      </c>
      <c r="E10663" s="1" t="str">
        <f ca="1">IFERROR(__xludf.DUMMYFUNCTION("GOOGLETRANSLATE(A7462 , ""tr"" , ""en"")"),"@drfahrettinka daily routine")</f>
        <v>@drfahrettinka daily routine</v>
      </c>
    </row>
    <row r="10664" spans="1:5" ht="15" customHeight="1" x14ac:dyDescent="0.2">
      <c r="A10664" s="1" t="s">
        <v>21156</v>
      </c>
      <c r="B10664" s="1">
        <v>9</v>
      </c>
      <c r="C10664" s="3">
        <v>44535.701574074075</v>
      </c>
      <c r="D10664" s="1" t="s">
        <v>21157</v>
      </c>
      <c r="E10664" s="1" t="str">
        <f ca="1">IFERROR(__xludf.DUMMYFUNCTION("GOOGLETRANSLATE(A7463 , ""tr"" , ""en"")"),"@drfahrettinka We are committed to online education. # CabineticsLineline")</f>
        <v>@drfahrettinka We are committed to online education. # CabineticsLineline</v>
      </c>
    </row>
    <row r="10665" spans="1:5" ht="15" customHeight="1" x14ac:dyDescent="0.2">
      <c r="A10665" s="1" t="s">
        <v>21158</v>
      </c>
      <c r="B10665" s="1">
        <v>5</v>
      </c>
      <c r="C10665" s="3">
        <v>44535.701493055552</v>
      </c>
      <c r="D10665" s="1" t="s">
        <v>21159</v>
      </c>
      <c r="E10665" s="1" t="str">
        <f ca="1">IFERROR(__xludf.DUMMYFUNCTION("GOOGLETRANSLATE(A7464 , ""tr"" , ""en"")"),"@drfahrettinkoca your eye Aydın C'mon Let's throw masks")</f>
        <v>@drfahrettinkoca your eye Aydın C'mon Let's throw masks</v>
      </c>
    </row>
    <row r="10666" spans="1:5" ht="15" customHeight="1" x14ac:dyDescent="0.2">
      <c r="A10666" s="1" t="s">
        <v>21160</v>
      </c>
      <c r="B10666" s="1">
        <v>0</v>
      </c>
      <c r="C10666" s="3">
        <v>44535.701469907406</v>
      </c>
      <c r="D10666" s="1" t="s">
        <v>21161</v>
      </c>
      <c r="E10666" s="1" t="str">
        <f ca="1">IFERROR(__xludf.DUMMYFUNCTION("GOOGLETRANSLATE(A7465 , ""tr"" , ""en"")"),"@drfahrettinkoca you haven't kept the words to people. You have given hope you have lost. Where is the guide assignment?")</f>
        <v>@drfahrettinkoca you haven't kept the words to people. You have given hope you have lost. Where is the guide assignment?</v>
      </c>
    </row>
    <row r="10667" spans="1:5" ht="15" customHeight="1" x14ac:dyDescent="0.2">
      <c r="A10667" s="1" t="s">
        <v>21162</v>
      </c>
      <c r="B10667" s="1">
        <v>56</v>
      </c>
      <c r="C10667" s="3">
        <v>44535.701458333337</v>
      </c>
      <c r="D10667" s="1" t="s">
        <v>21163</v>
      </c>
      <c r="E10667" s="1" t="str">
        <f ca="1">IFERROR(__xludf.DUMMYFUNCTION("GOOGLETRANSLATE(A7466 , ""tr"" , ""en"")"),"@drfahrettinkoca no longer need to publish the table. Ulkede Covit is finished. Stop making fun of our other ... https://t.co/jzpe9g9lpz")</f>
        <v>@drfahrettinkoca no longer need to publish the table. Ulkede Covit is finished. Stop making fun of our other ... https://t.co/jzpe9g9lpz</v>
      </c>
    </row>
    <row r="10668" spans="1:5" ht="15" customHeight="1" x14ac:dyDescent="0.2">
      <c r="A10668" s="1" t="s">
        <v>21164</v>
      </c>
      <c r="B10668" s="1">
        <v>48</v>
      </c>
      <c r="C10668" s="3">
        <v>44535.701388888891</v>
      </c>
      <c r="D10668" s="1" t="s">
        <v>21165</v>
      </c>
      <c r="E10668" s="1" t="str">
        <f ca="1">IFERROR(__xludf.DUMMYFUNCTION("GOOGLETRANSLATE(A7467 , ""tr"" , ""en"")"),"@drfahrettinka go or bi forward two back. The same table for 3 months. #Kabinezkusagionlinistor is # republinelivery")</f>
        <v>@drfahrettinka go or bi forward two back. The same table for 3 months. #Kabinezkusagionlinistor is # republinelivery</v>
      </c>
    </row>
    <row r="10669" spans="1:5" ht="15" customHeight="1" x14ac:dyDescent="0.2">
      <c r="A10669" s="1" t="s">
        <v>21166</v>
      </c>
      <c r="B10669" s="1">
        <v>20</v>
      </c>
      <c r="C10669" s="3">
        <v>44535.701342592591</v>
      </c>
      <c r="D10669" s="1" t="s">
        <v>21167</v>
      </c>
      <c r="E10669" s="1" t="str">
        <f ca="1">IFERROR(__xludf.DUMMYFUNCTION("GOOGLETRANSLATE(A7468 , ""tr"" , ""en"")"),"@drfahrettinkoca guide # fkuyumanere40binatama")</f>
        <v>@drfahrettinkoca guide # fkuyumanere40binatama</v>
      </c>
    </row>
    <row r="10670" spans="1:5" ht="15" customHeight="1" x14ac:dyDescent="0.2">
      <c r="A10670" s="1" t="s">
        <v>21168</v>
      </c>
      <c r="B10670" s="1">
        <v>7</v>
      </c>
      <c r="C10670" s="3">
        <v>44535.701342592591</v>
      </c>
      <c r="D10670" s="1" t="s">
        <v>21169</v>
      </c>
      <c r="E10670" s="1" t="str">
        <f ca="1">IFERROR(__xludf.DUMMYFUNCTION("GOOGLETRANSLATE(A7469 , ""tr"" , ""en"")"),"@drfahrettinka Mr. Minister, all countries are going to close again. The vaccine is better than the solution ... https://t.co/krpaf7rwpe")</f>
        <v>@drfahrettinka Mr. Minister, all countries are going to close again. The vaccine is better than the solution ... https://t.co/krpaf7rwpe</v>
      </c>
    </row>
    <row r="10671" spans="1:5" ht="15" customHeight="1" x14ac:dyDescent="0.2">
      <c r="A10671" s="1" t="s">
        <v>21170</v>
      </c>
      <c r="B10671" s="1">
        <v>5</v>
      </c>
      <c r="C10671" s="3">
        <v>44535.701331018521</v>
      </c>
      <c r="D10671" s="1" t="s">
        <v>21171</v>
      </c>
      <c r="E10671" s="1" t="str">
        <f ca="1">IFERROR(__xludf.DUMMYFUNCTION("GOOGLETRANSLATE(A7470 , ""tr"" , ""en"")"),"@drfahrettinkoca Mr. Ministry You think you deceive some of these numbers hopefully tomorrow Online Education Income Cabin ... https://t.co/axgvo79cm6")</f>
        <v>@drfahrettinkoca Mr. Ministry You think you deceive some of these numbers hopefully tomorrow Online Education Income Cabin ... https://t.co/axgvo79cm6</v>
      </c>
    </row>
    <row r="10672" spans="1:5" ht="15" customHeight="1" x14ac:dyDescent="0.2">
      <c r="A10672" s="1" t="s">
        <v>21172</v>
      </c>
      <c r="B10672" s="1">
        <v>0</v>
      </c>
      <c r="C10672" s="3">
        <v>44535.701331018521</v>
      </c>
      <c r="D10672" s="1" t="s">
        <v>21173</v>
      </c>
      <c r="E10672" s="1" t="str">
        <f ca="1">IFERROR(__xludf.DUMMYFUNCTION("GOOGLETRANSLATE(A7471 , ""tr"" , ""en"")"),"@drfahrettinkoca Mr. Minister Apply to Tuik, leave Hims, lower twenty thousand, even lower the bottom of the thousand.")</f>
        <v>@drfahrettinkoca Mr. Minister Apply to Tuik, leave Hims, lower twenty thousand, even lower the bottom of the thousand.</v>
      </c>
    </row>
    <row r="10673" spans="1:5" ht="15" customHeight="1" x14ac:dyDescent="0.2">
      <c r="A10673" s="1" t="s">
        <v>21174</v>
      </c>
      <c r="B10673" s="1">
        <v>66</v>
      </c>
      <c r="C10673" s="3">
        <v>44535.701319444444</v>
      </c>
      <c r="D10673" s="1" t="s">
        <v>21175</v>
      </c>
      <c r="E10673" s="1" t="str">
        <f ca="1">IFERROR(__xludf.DUMMYFUNCTION("GOOGLETRANSLATE(A7472 , ""tr"" , ""en"")"),"@drfahrettinkoca Mr. Minister is very very very very very very much advocating BionTech data of the men's own data. What is this vaccination fantasy ... https://t.co/go7g5l40ki")</f>
        <v>@drfahrettinkoca Mr. Minister is very very very very very very much advocating BionTech data of the men's own data. What is this vaccination fantasy ... https://t.co/go7g5l40ki</v>
      </c>
    </row>
    <row r="10674" spans="1:5" ht="15" customHeight="1" x14ac:dyDescent="0.2">
      <c r="A10674" s="1" t="s">
        <v>21176</v>
      </c>
      <c r="B10674" s="1">
        <v>8</v>
      </c>
      <c r="C10674" s="3">
        <v>44535.701307870368</v>
      </c>
      <c r="D10674" s="1" t="s">
        <v>21177</v>
      </c>
      <c r="E10674" s="1" t="str">
        <f ca="1">IFERROR(__xludf.DUMMYFUNCTION("GOOGLETRANSLATE(A7473 , ""tr"" , ""en"")"),"These figures will continue this figures, as long as they do not have hard measures such as non-vaccines that are nondrfahrettinka vaccines.")</f>
        <v>These figures will continue this figures, as long as they do not have hard measures such as non-vaccines that are nondrfahrettinka vaccines.</v>
      </c>
    </row>
    <row r="10675" spans="1:5" ht="15" customHeight="1" x14ac:dyDescent="0.2">
      <c r="A10675" s="1" t="s">
        <v>21178</v>
      </c>
      <c r="B10675" s="1">
        <v>0</v>
      </c>
      <c r="C10675" s="3">
        <v>44535.701273148145</v>
      </c>
      <c r="D10675" s="1" t="s">
        <v>21179</v>
      </c>
      <c r="E10675" s="1" t="str">
        <f ca="1">IFERROR(__xludf.DUMMYFUNCTION("GOOGLETRANSLATE(A7474 , ""tr"" , ""en"")"),"@drfahrettinkoca Believe in KNK")</f>
        <v>@drfahrettinkoca Believe in KNK</v>
      </c>
    </row>
    <row r="10676" spans="1:5" ht="15" customHeight="1" x14ac:dyDescent="0.2">
      <c r="A10676" s="1" t="s">
        <v>21180</v>
      </c>
      <c r="B10676" s="1">
        <v>0</v>
      </c>
      <c r="C10676" s="3">
        <v>44535.701238425929</v>
      </c>
      <c r="D10676" s="1" t="s">
        <v>21181</v>
      </c>
      <c r="E10676" s="1" t="str">
        <f ca="1">IFERROR(__xludf.DUMMYFUNCTION("GOOGLETRANSLATE(A7475 , ""tr"" , ""en"")"),"@drfahrettinkoca 40 premises also take place in health management as well as Mr. Minister https://t.co/7amn119qio")</f>
        <v>@drfahrettinkoca 40 premises also take place in health management as well as Mr. Minister https://t.co/7amn119qio</v>
      </c>
    </row>
    <row r="10677" spans="1:5" ht="15" customHeight="1" x14ac:dyDescent="0.2">
      <c r="A10677" s="1" t="s">
        <v>21182</v>
      </c>
      <c r="B10677" s="1">
        <v>25</v>
      </c>
      <c r="C10677" s="3">
        <v>44535.701122685183</v>
      </c>
      <c r="D10677" s="1" t="s">
        <v>21183</v>
      </c>
      <c r="E10677" s="1" t="str">
        <f ca="1">IFERROR(__xludf.DUMMYFUNCTION("GOOGLETRANSLATE(A7476 , ""tr"" , ""en"")"),"@drfahrettinkoca omicron have Omicron! Unable to catch the test kits schools continue as an emergency online education ... https://t.co/vt8oiky6mo")</f>
        <v>@drfahrettinkoca omicron have Omicron! Unable to catch the test kits schools continue as an emergency online education ... https://t.co/vt8oiky6mo</v>
      </c>
    </row>
    <row r="10678" spans="1:5" ht="15" customHeight="1" x14ac:dyDescent="0.2">
      <c r="A10678" s="1" t="s">
        <v>21184</v>
      </c>
      <c r="B10678" s="1">
        <v>5</v>
      </c>
      <c r="C10678" s="3">
        <v>44535.701111111113</v>
      </c>
      <c r="D10678" s="1" t="s">
        <v>21185</v>
      </c>
      <c r="E10678" s="1" t="str">
        <f ca="1">IFERROR(__xludf.DUMMYFUNCTION("GOOGLETRANSLATE(A7477 , ""tr"" , ""en"")"),"@drfahrettinkoca Assignment is also depending on our struggle stability # fkuyumanerine40binatama")</f>
        <v>@drfahrettinkoca Assignment is also depending on our struggle stability # fkuyumanerine40binatama</v>
      </c>
    </row>
    <row r="10679" spans="1:5" ht="15" customHeight="1" x14ac:dyDescent="0.2">
      <c r="A10679" s="1" t="s">
        <v>21186</v>
      </c>
      <c r="B10679" s="1">
        <v>0</v>
      </c>
      <c r="C10679" s="3">
        <v>44535.701099537036</v>
      </c>
      <c r="D10679" s="1" t="s">
        <v>21187</v>
      </c>
      <c r="E10679" s="1" t="str">
        <f ca="1">IFERROR(__xludf.DUMMYFUNCTION("GOOGLETRANSLATE(A7478 , ""tr"" , ""en"")"),"@drfahrettinkoca Kids Covid testing cannot be tested in hospitals. This situation needs to improve.")</f>
        <v>@drfahrettinkoca Kids Covid testing cannot be tested in hospitals. This situation needs to improve.</v>
      </c>
    </row>
    <row r="10680" spans="1:5" ht="15" customHeight="1" x14ac:dyDescent="0.2">
      <c r="A10680" s="1" t="s">
        <v>21188</v>
      </c>
      <c r="B10680" s="1">
        <v>109</v>
      </c>
      <c r="C10680" s="3">
        <v>44535.701099537036</v>
      </c>
      <c r="D10680" s="1" t="s">
        <v>21189</v>
      </c>
      <c r="E10680" s="1" t="str">
        <f ca="1">IFERROR(__xludf.DUMMYFUNCTION("GOOGLETRANSLATE(A7479 , ""tr"" , ""en"")"),"@drfahrettinkoca You have not taken a measure for schools, you have not turned on the right of 5-11 live or have not brought the test obligation, ... https://t.co/zlw7IL71SF")</f>
        <v>@drfahrettinkoca You have not taken a measure for schools, you have not turned on the right of 5-11 live or have not brought the test obligation, ... https://t.co/zlw7IL71SF</v>
      </c>
    </row>
    <row r="10681" spans="1:5" ht="15" customHeight="1" x14ac:dyDescent="0.2">
      <c r="A10681" s="1" t="s">
        <v>21190</v>
      </c>
      <c r="B10681" s="1">
        <v>0</v>
      </c>
      <c r="C10681" s="3">
        <v>44535.70107638889</v>
      </c>
      <c r="D10681" s="1" t="s">
        <v>21191</v>
      </c>
      <c r="E10681" s="1" t="str">
        <f ca="1">IFERROR(__xludf.DUMMYFUNCTION("GOOGLETRANSLATE(A7480 , ""tr"" , ""en"")"),"@drfahrettinkoca puhahahahahahahahhahahahahahahahhahahahahahahahahhahahahahaAh allah a pattern")</f>
        <v>@drfahrettinkoca puhahahahahahahahhahahahahahahahhahahahahahahahahhahahahahaAh allah a pattern</v>
      </c>
    </row>
    <row r="10682" spans="1:5" ht="15" customHeight="1" x14ac:dyDescent="0.2">
      <c r="A10682" s="1" t="s">
        <v>21192</v>
      </c>
      <c r="B10682" s="1">
        <v>0</v>
      </c>
      <c r="C10682" s="3">
        <v>44535.70103009259</v>
      </c>
      <c r="D10682" s="1" t="s">
        <v>21193</v>
      </c>
      <c r="E10682" s="1" t="str">
        <f ca="1">IFERROR(__xludf.DUMMYFUNCTION("GOOGLETRANSLATE(A7481 , ""tr"" , ""en"")"),"@drfahrettinkoca Weekend Effect Don't Wonder over again on your 20th of your")</f>
        <v>@drfahrettinkoca Weekend Effect Don't Wonder over again on your 20th of your</v>
      </c>
    </row>
    <row r="10683" spans="1:5" ht="15" customHeight="1" x14ac:dyDescent="0.2">
      <c r="A10683" s="1" t="s">
        <v>21194</v>
      </c>
      <c r="B10683" s="1">
        <v>0</v>
      </c>
      <c r="C10683" s="3">
        <v>44535.700937499998</v>
      </c>
      <c r="D10683" s="1" t="s">
        <v>21195</v>
      </c>
      <c r="E10683" s="1" t="str">
        <f ca="1">IFERROR(__xludf.DUMMYFUNCTION("GOOGLETRANSLATE(A7482 , ""tr"" , ""en"")"),"@drfahrettinka Year when Russian tourists go to the number of cases increases .. they go until they come! While the number of cases falling ... https://t.co/rfgdwh6zym")</f>
        <v>@drfahrettinka Year when Russian tourists go to the number of cases increases .. they go until they come! While the number of cases falling ... https://t.co/rfgdwh6zym</v>
      </c>
    </row>
    <row r="10684" spans="1:5" ht="15" customHeight="1" x14ac:dyDescent="0.2">
      <c r="A10684" s="1" t="s">
        <v>21196</v>
      </c>
      <c r="B10684" s="1">
        <v>8</v>
      </c>
      <c r="C10684" s="3">
        <v>44535.700925925928</v>
      </c>
      <c r="D10684" s="1" t="s">
        <v>21197</v>
      </c>
      <c r="E10684" s="1" t="str">
        <f ca="1">IFERROR(__xludf.DUMMYFUNCTION("GOOGLETRANSLATE(A7483 , ""tr"" , ""en"")"),"@drfahrettinkoca We are determined to take the assignment to us now give us the assignment that we are now # fkuyumanerede40binatama")</f>
        <v>@drfahrettinkoca We are determined to take the assignment to us now give us the assignment that we are now # fkuyumanerede40binatama</v>
      </c>
    </row>
    <row r="10685" spans="1:5" ht="15" customHeight="1" x14ac:dyDescent="0.2">
      <c r="A10685" s="1" t="s">
        <v>21198</v>
      </c>
      <c r="B10685" s="1">
        <v>4</v>
      </c>
      <c r="C10685" s="3">
        <v>44535.700891203705</v>
      </c>
      <c r="D10685" s="1" t="s">
        <v>21199</v>
      </c>
      <c r="E10685" s="1" t="str">
        <f ca="1">IFERROR(__xludf.DUMMYFUNCTION("GOOGLETRANSLATE(A7484 , ""tr"" , ""en"")"),"@drfahrettinkoca pandemy get over auspicious")</f>
        <v>@drfahrettinkoca pandemy get over auspicious</v>
      </c>
    </row>
    <row r="10686" spans="1:5" ht="15" customHeight="1" x14ac:dyDescent="0.2">
      <c r="A10686" s="1" t="s">
        <v>21200</v>
      </c>
      <c r="B10686" s="1">
        <v>0</v>
      </c>
      <c r="C10686" s="3">
        <v>44535.700879629629</v>
      </c>
      <c r="D10686" s="1" t="s">
        <v>21201</v>
      </c>
      <c r="E10686" s="1" t="str">
        <f ca="1">IFERROR(__xludf.DUMMYFUNCTION("GOOGLETRANSLATE(A7485 , ""tr"" , ""en"")"),"@drfahrettinkoca healthcare guide is a week not a husband waiting for a year")</f>
        <v>@drfahrettinkoca healthcare guide is a week not a husband waiting for a year</v>
      </c>
    </row>
    <row r="10687" spans="1:5" ht="15" customHeight="1" x14ac:dyDescent="0.2">
      <c r="A10687" s="1" t="s">
        <v>21202</v>
      </c>
      <c r="B10687" s="1">
        <v>0</v>
      </c>
      <c r="C10687" s="3">
        <v>44535.700833333336</v>
      </c>
      <c r="D10687" s="1" t="s">
        <v>21203</v>
      </c>
      <c r="E10687" s="1" t="str">
        <f ca="1">IFERROR(__xludf.DUMMYFUNCTION("GOOGLETRANSLATE(A7486 , ""tr"" , ""en"")"),"@drfahrettinkoca healthcare guide is not a two-week of husband waiting for a year")</f>
        <v>@drfahrettinkoca healthcare guide is not a two-week of husband waiting for a year</v>
      </c>
    </row>
    <row r="10688" spans="1:5" ht="15" customHeight="1" x14ac:dyDescent="0.2">
      <c r="A10688" s="1" t="s">
        <v>21204</v>
      </c>
      <c r="B10688" s="1">
        <v>0</v>
      </c>
      <c r="C10688" s="3">
        <v>44535.700798611113</v>
      </c>
      <c r="D10688" s="1" t="s">
        <v>21205</v>
      </c>
      <c r="E10688" s="1" t="str">
        <f ca="1">IFERROR(__xludf.DUMMYFUNCTION("GOOGLETRANSLATE(A7487 , ""tr"" , ""en"")"),"@drfahrettinkoca healthcare guide is not a two-week husband for a year")</f>
        <v>@drfahrettinkoca healthcare guide is not a two-week husband for a year</v>
      </c>
    </row>
    <row r="10689" spans="1:5" ht="15" customHeight="1" x14ac:dyDescent="0.2">
      <c r="A10689" s="1" t="s">
        <v>21206</v>
      </c>
      <c r="B10689" s="1">
        <v>51</v>
      </c>
      <c r="C10689" s="3">
        <v>44535.700787037036</v>
      </c>
      <c r="D10689" s="1" t="s">
        <v>21207</v>
      </c>
      <c r="E10689" s="1" t="str">
        <f ca="1">IFERROR(__xludf.DUMMYFUNCTION("GOOGLETRANSLATE(A7488 , ""tr"" , ""en"")"),"@drfahrettinkoca 25 November in the conversation in November we need to grow health personnel 1 year ... https://t.co/s8bqe9cgyf")</f>
        <v>@drfahrettinkoca 25 November in the conversation in November we need to grow health personnel 1 year ... https://t.co/s8bqe9cgyf</v>
      </c>
    </row>
    <row r="10690" spans="1:5" ht="15" customHeight="1" x14ac:dyDescent="0.2">
      <c r="A10690" s="1" t="s">
        <v>21208</v>
      </c>
      <c r="B10690" s="1">
        <v>56</v>
      </c>
      <c r="C10690" s="3">
        <v>44535.700775462959</v>
      </c>
      <c r="D10690" s="1" t="s">
        <v>21209</v>
      </c>
      <c r="E10690" s="1" t="str">
        <f ca="1">IFERROR(__xludf.DUMMYFUNCTION("GOOGLETRANSLATE(A7489 , ""tr"" , ""en"")"),"@drfahrettinkoca pendema is not enthusiasts but all countries began to take precautions, mask restriction ka ... https://t.co/mllvmgyj41")</f>
        <v>@drfahrettinkoca pendema is not enthusiasts but all countries began to take precautions, mask restriction ka ... https://t.co/mllvmgyj41</v>
      </c>
    </row>
    <row r="10691" spans="1:5" ht="15" customHeight="1" x14ac:dyDescent="0.2">
      <c r="A10691" s="1" t="s">
        <v>21210</v>
      </c>
      <c r="B10691" s="1">
        <v>0</v>
      </c>
      <c r="C10691" s="3">
        <v>44535.70076388889</v>
      </c>
      <c r="D10691" s="1" t="s">
        <v>21211</v>
      </c>
      <c r="E10691" s="1" t="str">
        <f ca="1">IFERROR(__xludf.DUMMYFUNCTION("GOOGLETRANSLATE(A7490 , ""tr"" , ""en"")"),"@drfahrettinkoca Omicron When will it come?")</f>
        <v>@drfahrettinkoca Omicron When will it come?</v>
      </c>
    </row>
    <row r="10692" spans="1:5" ht="15" customHeight="1" x14ac:dyDescent="0.2">
      <c r="A10692" s="1" t="s">
        <v>21212</v>
      </c>
      <c r="B10692" s="1">
        <v>0</v>
      </c>
      <c r="C10692" s="3">
        <v>44535.700752314813</v>
      </c>
      <c r="D10692" s="1" t="s">
        <v>21213</v>
      </c>
      <c r="E10692" s="1" t="str">
        <f ca="1">IFERROR(__xludf.DUMMYFUNCTION("GOOGLETRANSLATE(A7491 , ""tr"" , ""en"")"),"@drfahrettinkoca healthcare guide is not a two-week husband waiting for a year")</f>
        <v>@drfahrettinkoca healthcare guide is not a two-week husband waiting for a year</v>
      </c>
    </row>
    <row r="10693" spans="1:5" ht="15" customHeight="1" x14ac:dyDescent="0.2">
      <c r="A10693" s="1" t="s">
        <v>21214</v>
      </c>
      <c r="B10693" s="1">
        <v>0</v>
      </c>
      <c r="C10693" s="3">
        <v>44535.700752314813</v>
      </c>
      <c r="D10693" s="1" t="s">
        <v>21215</v>
      </c>
      <c r="E10693" s="1" t="str">
        <f ca="1">IFERROR(__xludf.DUMMYFUNCTION("GOOGLETRANSLATE(A7492 , ""tr"" , ""en"")"),"@drfahrettinkoca Famivolu has declined left as if")</f>
        <v>@drfahrettinkoca Famivolu has declined left as if</v>
      </c>
    </row>
    <row r="10694" spans="1:5" ht="15" customHeight="1" x14ac:dyDescent="0.2">
      <c r="A10694" s="1" t="s">
        <v>21216</v>
      </c>
      <c r="B10694" s="1">
        <v>0</v>
      </c>
      <c r="C10694" s="3">
        <v>44535.700729166667</v>
      </c>
      <c r="D10694" s="1" t="s">
        <v>21217</v>
      </c>
      <c r="E10694" s="1" t="str">
        <f ca="1">IFERROR(__xludf.DUMMYFUNCTION("GOOGLETRANSLATE(A7493 , ""tr"" , ""en"")"),"@drfahrettinkoca k l a v u ll look forward to")</f>
        <v>@drfahrettinkoca k l a v u ll look forward to</v>
      </c>
    </row>
    <row r="10695" spans="1:5" ht="15" customHeight="1" x14ac:dyDescent="0.2">
      <c r="A10695" s="1" t="s">
        <v>21218</v>
      </c>
      <c r="B10695" s="1">
        <v>0</v>
      </c>
      <c r="C10695" s="3">
        <v>44535.70071759259</v>
      </c>
      <c r="D10695" s="1" t="s">
        <v>21219</v>
      </c>
      <c r="E10695" s="1" t="str">
        <f ca="1">IFERROR(__xludf.DUMMYFUNCTION("GOOGLETRANSLATE(A7494 , ""tr"" , ""en"")"),"@drfahrettinkoca healthcare guide is a week not a husband waiting for a year")</f>
        <v>@drfahrettinkoca healthcare guide is a week not a husband waiting for a year</v>
      </c>
    </row>
    <row r="10696" spans="1:5" ht="15" customHeight="1" x14ac:dyDescent="0.2">
      <c r="A10696" s="1" t="s">
        <v>21220</v>
      </c>
      <c r="B10696" s="1">
        <v>0</v>
      </c>
      <c r="C10696" s="3">
        <v>44535.700706018521</v>
      </c>
      <c r="D10696" s="1" t="s">
        <v>21221</v>
      </c>
      <c r="E10696" s="1" t="str">
        <f ca="1">IFERROR(__xludf.DUMMYFUNCTION("GOOGLETRANSLATE(A7495 , ""tr"" , ""en"")"),"@drfahrettinkoca 40 milllasses take place in health management as well https://t.co/ds0ibbugtq")</f>
        <v>@drfahrettinkoca 40 milllasses take place in health management as well https://t.co/ds0ibbugtq</v>
      </c>
    </row>
    <row r="10697" spans="1:5" ht="15" customHeight="1" x14ac:dyDescent="0.2">
      <c r="A10697" s="1" t="s">
        <v>21222</v>
      </c>
      <c r="B10697" s="1">
        <v>39</v>
      </c>
      <c r="C10697" s="3">
        <v>44535.700694444444</v>
      </c>
      <c r="D10697" s="1" t="s">
        <v>21223</v>
      </c>
      <c r="E10697" s="1" t="str">
        <f ca="1">IFERROR(__xludf.DUMMYFUNCTION("GOOGLETRANSLATE(A7496 , ""tr"" , ""en"")"),"@drfahrettinka https://t.co/zbbbritk0k")</f>
        <v>@drfahrettinka https://t.co/zbbbritk0k</v>
      </c>
    </row>
    <row r="10698" spans="1:5" ht="15" customHeight="1" x14ac:dyDescent="0.2">
      <c r="A10698" s="1" t="s">
        <v>21224</v>
      </c>
      <c r="B10698" s="1">
        <v>84</v>
      </c>
      <c r="C10698" s="3">
        <v>44535.700694444444</v>
      </c>
      <c r="D10698" s="1" t="s">
        <v>21225</v>
      </c>
      <c r="E10698" s="1" t="str">
        <f ca="1">IFERROR(__xludf.DUMMYFUNCTION("GOOGLETRANSLATE(A7497 , ""tr"" , ""en"")"),"@drfahrettinkoca TV We are unable to reduce below 20thins in the news channels More Delta Omicron comes if the Omicron comes ... https://t.co/fls2n78mm1")</f>
        <v>@drfahrettinkoca TV We are unable to reduce below 20thins in the news channels More Delta Omicron comes if the Omicron comes ... https://t.co/fls2n78mm1</v>
      </c>
    </row>
    <row r="10699" spans="1:5" ht="15" customHeight="1" x14ac:dyDescent="0.2">
      <c r="A10699" s="1" t="s">
        <v>21226</v>
      </c>
      <c r="B10699" s="1">
        <v>0</v>
      </c>
      <c r="C10699" s="3">
        <v>44535.700682870367</v>
      </c>
      <c r="D10699" s="1" t="s">
        <v>21227</v>
      </c>
      <c r="E10699" s="1" t="str">
        <f ca="1">IFERROR(__xludf.DUMMYFUNCTION("GOOGLETRANSLATE(A7498 , ""tr"" , ""en"")"),"@drfahrettinkoca healthcare guide is not a two-week husband waiting for a year")</f>
        <v>@drfahrettinkoca healthcare guide is not a two-week husband waiting for a year</v>
      </c>
    </row>
    <row r="10700" spans="1:5" ht="15" customHeight="1" x14ac:dyDescent="0.2">
      <c r="A10700" s="1" t="s">
        <v>21228</v>
      </c>
      <c r="B10700" s="1">
        <v>0</v>
      </c>
      <c r="C10700" s="3">
        <v>44535.700636574074</v>
      </c>
      <c r="D10700" s="1" t="s">
        <v>21229</v>
      </c>
      <c r="E10700" s="1" t="str">
        <f ca="1">IFERROR(__xludf.DUMMYFUNCTION("GOOGLETRANSLATE(A7499 , ""tr"" , ""en"")"),"@drfahrettinkoca one day before the number of cases of 21k ago falls below 20 thousand after a day")</f>
        <v>@drfahrettinkoca one day before the number of cases of 21k ago falls below 20 thousand after a day</v>
      </c>
    </row>
    <row r="10701" spans="1:5" ht="15" customHeight="1" x14ac:dyDescent="0.2">
      <c r="A10701" s="1" t="s">
        <v>21230</v>
      </c>
      <c r="B10701" s="1">
        <v>0</v>
      </c>
      <c r="C10701" s="3">
        <v>44535.700636574074</v>
      </c>
      <c r="D10701" s="1" t="s">
        <v>21231</v>
      </c>
      <c r="E10701" s="1" t="str">
        <f ca="1">IFERROR(__xludf.DUMMYFUNCTION("GOOGLETRANSLATE(A7500 , ""tr"" , ""en"")"),"@drfahrettinkoca healthcare guide is not a two-week husband waiting for a year")</f>
        <v>@drfahrettinkoca healthcare guide is not a two-week husband waiting for a year</v>
      </c>
    </row>
    <row r="10702" spans="1:5" ht="15" customHeight="1" x14ac:dyDescent="0.2">
      <c r="A10702" s="1" t="s">
        <v>21232</v>
      </c>
      <c r="B10702" s="1">
        <v>3</v>
      </c>
      <c r="C10702" s="3">
        <v>44535.700636574074</v>
      </c>
      <c r="D10702" s="1" t="s">
        <v>21233</v>
      </c>
      <c r="E10702" s="1" t="str">
        <f ca="1">IFERROR(__xludf.DUMMYFUNCTION("GOOGLETRANSLATE(A7501 , ""tr"" , ""en"")"),"@drfahrettinkoca Seve Seve Incen 10 thousand national eyes Until one two pure Turkish til tacks up to a two pure Turkish ... https://t.co/dp5h8uwkdo")</f>
        <v>@drfahrettinkoca Seve Seve Incen 10 thousand national eyes Until one two pure Turkish til tacks up to a two pure Turkish ... https://t.co/dp5h8uwkdo</v>
      </c>
    </row>
    <row r="10703" spans="1:5" ht="15" customHeight="1" x14ac:dyDescent="0.2">
      <c r="A10703" s="1" t="s">
        <v>10058</v>
      </c>
      <c r="B10703" s="1">
        <v>0</v>
      </c>
      <c r="C10703" s="3">
        <v>44535.700613425928</v>
      </c>
      <c r="D10703" s="1" t="s">
        <v>21234</v>
      </c>
      <c r="E10703" s="1" t="str">
        <f ca="1">IFERROR(__xludf.DUMMYFUNCTION("GOOGLETRANSLATE(A7502 , ""tr"" , ""en"")"),"@drfahrettinkoca Guide")</f>
        <v>@drfahrettinkoca Guide</v>
      </c>
    </row>
    <row r="10704" spans="1:5" ht="15" customHeight="1" x14ac:dyDescent="0.2">
      <c r="A10704" s="1" t="s">
        <v>21235</v>
      </c>
      <c r="B10704" s="1">
        <v>135</v>
      </c>
      <c r="C10704" s="3">
        <v>44535.700601851851</v>
      </c>
      <c r="D10704" s="1" t="s">
        <v>21236</v>
      </c>
      <c r="E10704" s="1" t="str">
        <f ca="1">IFERROR(__xludf.DUMMYFUNCTION("GOOGLETRANSLATE(A7503 , ""tr"" , ""en"")"),"@drfahrettinka Mr. Husband! You are specialized in storing the case and numbers of death !! Missing your energy output ... https://t.co/0j54jw9sls")</f>
        <v>@drfahrettinka Mr. Husband! You are specialized in storing the case and numbers of death !! Missing your energy output ... https://t.co/0j54jw9sls</v>
      </c>
    </row>
    <row r="10705" spans="1:5" ht="15" customHeight="1" x14ac:dyDescent="0.2">
      <c r="A10705" s="1" t="s">
        <v>21237</v>
      </c>
      <c r="B10705" s="1">
        <v>0</v>
      </c>
      <c r="C10705" s="3">
        <v>44535.700601851851</v>
      </c>
      <c r="D10705" s="1" t="s">
        <v>21238</v>
      </c>
      <c r="E10705" s="1" t="str">
        <f ca="1">IFERROR(__xludf.DUMMYFUNCTION("GOOGLETRANSLATE(A7504 , ""tr"" , ""en"")"),"@drfahrettinkoca healthcare guide is a week not a husband waiting for a year")</f>
        <v>@drfahrettinkoca healthcare guide is a week not a husband waiting for a year</v>
      </c>
    </row>
    <row r="10706" spans="1:5" ht="15" customHeight="1" x14ac:dyDescent="0.2">
      <c r="A10706" s="1" t="s">
        <v>21239</v>
      </c>
      <c r="B10706" s="1">
        <v>0</v>
      </c>
      <c r="C10706" s="3">
        <v>44535.700601851851</v>
      </c>
      <c r="D10706" s="1" t="s">
        <v>21240</v>
      </c>
      <c r="E10706" s="1" t="str">
        <f ca="1">IFERROR(__xludf.DUMMYFUNCTION("GOOGLETRANSLATE(A7505 , ""tr"" , ""en"")"),"@drfahrettinkoca I wonder if there may be the number of cases in vaccination for Allah's sake or slows down")</f>
        <v>@drfahrettinkoca I wonder if there may be the number of cases in vaccination for Allah's sake or slows down</v>
      </c>
    </row>
    <row r="10707" spans="1:5" ht="15" customHeight="1" x14ac:dyDescent="0.2">
      <c r="A10707" s="1" t="s">
        <v>21241</v>
      </c>
      <c r="B10707" s="1">
        <v>0</v>
      </c>
      <c r="C10707" s="3">
        <v>44535.700555555559</v>
      </c>
      <c r="D10707" s="1" t="s">
        <v>21242</v>
      </c>
      <c r="E10707" s="1" t="str">
        <f ca="1">IFERROR(__xludf.DUMMYFUNCTION("GOOGLETRANSLATE(A7506 , ""tr"" , ""en"")"),"@drfahrettinkoca healthcare guide is not a two-week husband waiting for a year")</f>
        <v>@drfahrettinkoca healthcare guide is not a two-week husband waiting for a year</v>
      </c>
    </row>
    <row r="10708" spans="1:5" ht="15" customHeight="1" x14ac:dyDescent="0.2">
      <c r="A10708" s="1" t="s">
        <v>21243</v>
      </c>
      <c r="B10708" s="1">
        <v>0</v>
      </c>
      <c r="C10708" s="3">
        <v>44535.700543981482</v>
      </c>
      <c r="D10708" s="1" t="s">
        <v>21244</v>
      </c>
      <c r="E10708" s="1" t="str">
        <f ca="1">IFERROR(__xludf.DUMMYFUNCTION("GOOGLETRANSLATE(A7507 , ""tr"" , ""en"")"),"@drfahrettinkoca Mr. Minister does not seem to be with the courtesy call. Rigid and permanent solutions seem inevitable.")</f>
        <v>@drfahrettinkoca Mr. Minister does not seem to be with the courtesy call. Rigid and permanent solutions seem inevitable.</v>
      </c>
    </row>
    <row r="10709" spans="1:5" ht="15" customHeight="1" x14ac:dyDescent="0.2">
      <c r="A10709" s="1" t="s">
        <v>21245</v>
      </c>
      <c r="B10709" s="1">
        <v>0</v>
      </c>
      <c r="C10709" s="3">
        <v>44535.700520833336</v>
      </c>
      <c r="D10709" s="1" t="s">
        <v>21246</v>
      </c>
      <c r="E10709" s="1" t="str">
        <f ca="1">IFERROR(__xludf.DUMMYFUNCTION("GOOGLETRANSLATE(A7508 , ""tr"" , ""en"")"),"@drfahrettinkoca Healthparts Guide is not a two-week husband waiting for a year")</f>
        <v>@drfahrettinkoca Healthparts Guide is not a two-week husband waiting for a year</v>
      </c>
    </row>
    <row r="10710" spans="1:5" ht="15" customHeight="1" x14ac:dyDescent="0.2">
      <c r="A10710" s="1" t="s">
        <v>21247</v>
      </c>
      <c r="B10710" s="1">
        <v>1</v>
      </c>
      <c r="C10710" s="3">
        <v>44535.700486111113</v>
      </c>
      <c r="D10710" s="1" t="s">
        <v>21248</v>
      </c>
      <c r="E10710" s="1" t="str">
        <f ca="1">IFERROR(__xludf.DUMMYFUNCTION("GOOGLETRANSLATE(A7509 , ""tr"" , ""en"")"),"@drfahrettinkoca face to face training must be preferred or such a thousand students will go to death ... https://t.co/qfh3tkzcob")</f>
        <v>@drfahrettinkoca face to face training must be preferred or such a thousand students will go to death ... https://t.co/qfh3tkzcob</v>
      </c>
    </row>
    <row r="10711" spans="1:5" ht="15" customHeight="1" x14ac:dyDescent="0.2">
      <c r="A10711" s="1" t="s">
        <v>21249</v>
      </c>
      <c r="B10711" s="1">
        <v>0</v>
      </c>
      <c r="C10711" s="3">
        <v>44535.700474537036</v>
      </c>
      <c r="D10711" s="1" t="s">
        <v>21250</v>
      </c>
      <c r="E10711" s="1" t="str">
        <f ca="1">IFERROR(__xludf.DUMMYFUNCTION("GOOGLETRANSLATE(A7510 , ""tr"" , ""en"")"),"@drfahrettinkoca healthcare guide is not a two-week husband waiting for a year")</f>
        <v>@drfahrettinkoca healthcare guide is not a two-week husband waiting for a year</v>
      </c>
    </row>
    <row r="10712" spans="1:5" ht="15" customHeight="1" x14ac:dyDescent="0.2">
      <c r="A10712" s="1" t="s">
        <v>21251</v>
      </c>
      <c r="B10712" s="1">
        <v>0</v>
      </c>
      <c r="C10712" s="3">
        <v>44535.700462962966</v>
      </c>
      <c r="D10712" s="1" t="s">
        <v>21252</v>
      </c>
      <c r="E10712" s="1" t="str">
        <f ca="1">IFERROR(__xludf.DUMMYFUNCTION("GOOGLETRANSLATE(A7511 , ""tr"" , ""en"")"),"@drfahrettinkoca tadbir not measure minister")</f>
        <v>@drfahrettinkoca tadbir not measure minister</v>
      </c>
    </row>
    <row r="10713" spans="1:5" ht="15" customHeight="1" x14ac:dyDescent="0.2">
      <c r="A10713" s="1" t="s">
        <v>21253</v>
      </c>
      <c r="B10713" s="1">
        <v>0</v>
      </c>
      <c r="C10713" s="3">
        <v>44535.70045138889</v>
      </c>
      <c r="D10713" s="1" t="s">
        <v>21254</v>
      </c>
      <c r="E10713" s="1" t="str">
        <f ca="1">IFERROR(__xludf.DUMMYFUNCTION("GOOGLETRANSLATE(A7512 , ""tr"" , ""en"")"),"@drfahrettinkoca jokes rompiness # Cabineticsineline")</f>
        <v>@drfahrettinkoca jokes rompiness # Cabineticsineline</v>
      </c>
    </row>
    <row r="10714" spans="1:5" ht="15" customHeight="1" x14ac:dyDescent="0.2">
      <c r="A10714" s="1" t="s">
        <v>21255</v>
      </c>
      <c r="B10714" s="1">
        <v>0</v>
      </c>
      <c r="C10714" s="3">
        <v>44535.700416666667</v>
      </c>
      <c r="D10714" s="1" t="s">
        <v>21256</v>
      </c>
      <c r="E10714" s="1" t="str">
        <f ca="1">IFERROR(__xludf.DUMMYFUNCTION("GOOGLETRANSLATE(A7513 , ""tr"" , ""en"")"),"@drfahrettinkoca healthcare guide is not a two weeks in a husband waiting for a year")</f>
        <v>@drfahrettinkoca healthcare guide is not a two weeks in a husband waiting for a year</v>
      </c>
    </row>
    <row r="10715" spans="1:5" ht="15" customHeight="1" x14ac:dyDescent="0.2">
      <c r="A10715" s="1" t="s">
        <v>21257</v>
      </c>
      <c r="B10715" s="1">
        <v>0</v>
      </c>
      <c r="C10715" s="3">
        <v>44535.70039351852</v>
      </c>
      <c r="D10715" s="1" t="s">
        <v>21258</v>
      </c>
      <c r="E10715" s="1" t="str">
        <f ca="1">IFERROR(__xludf.DUMMYFUNCTION("GOOGLETRANSLATE(A7514 , ""tr"" , ""en"")"),"@drfahrettinkoca all measures ok the map blue is ok")</f>
        <v>@drfahrettinkoca all measures ok the map blue is ok</v>
      </c>
    </row>
    <row r="10716" spans="1:5" ht="15" customHeight="1" x14ac:dyDescent="0.2">
      <c r="A10716" s="1" t="s">
        <v>21259</v>
      </c>
      <c r="B10716" s="1">
        <v>0</v>
      </c>
      <c r="C10716" s="3">
        <v>44535.700381944444</v>
      </c>
      <c r="D10716" s="1" t="s">
        <v>21260</v>
      </c>
      <c r="E10716" s="1" t="str">
        <f ca="1">IFERROR(__xludf.DUMMYFUNCTION("GOOGLETRANSLATE(A7515 , ""tr"" , ""en"")"),"@drfahrettinkoca Allah give your trouble.")</f>
        <v>@drfahrettinkoca Allah give your trouble.</v>
      </c>
    </row>
    <row r="10717" spans="1:5" ht="15" customHeight="1" x14ac:dyDescent="0.2">
      <c r="A10717" s="1" t="s">
        <v>21261</v>
      </c>
      <c r="B10717" s="1">
        <v>0</v>
      </c>
      <c r="C10717" s="3">
        <v>44535.700381944444</v>
      </c>
      <c r="D10717" s="1" t="s">
        <v>21262</v>
      </c>
      <c r="E10717" s="1" t="str">
        <f ca="1">IFERROR(__xludf.DUMMYFUNCTION("GOOGLETRANSLATE(A7516 , ""tr"" , ""en"")"),"@drfahrettinkoca healthcare guide is not a two-week husband waiting for a year")</f>
        <v>@drfahrettinkoca healthcare guide is not a two-week husband waiting for a year</v>
      </c>
    </row>
    <row r="10718" spans="1:5" ht="15" customHeight="1" x14ac:dyDescent="0.2">
      <c r="A10718" s="1" t="s">
        <v>21263</v>
      </c>
      <c r="B10718" s="1">
        <v>0</v>
      </c>
      <c r="C10718" s="3">
        <v>44535.700370370374</v>
      </c>
      <c r="D10718" s="1" t="s">
        <v>21264</v>
      </c>
      <c r="E10718" s="1" t="str">
        <f ca="1">IFERROR(__xludf.DUMMYFUNCTION("GOOGLETRANSLATE(A7517 , ""tr"" , ""en"")"),"@drfahrettinkoca that is not quitting this guy we have pity in the ring, there are 65 thousand cases in Germany but gothen ass ... https://t.co/mm1osp5kzl")</f>
        <v>@drfahrettinkoca that is not quitting this guy we have pity in the ring, there are 65 thousand cases in Germany but gothen ass ... https://t.co/mm1osp5kzl</v>
      </c>
    </row>
    <row r="10719" spans="1:5" ht="15" customHeight="1" x14ac:dyDescent="0.2">
      <c r="A10719" s="1" t="s">
        <v>21265</v>
      </c>
      <c r="B10719" s="1">
        <v>262</v>
      </c>
      <c r="C10719" s="3">
        <v>44535.70034722222</v>
      </c>
      <c r="D10719" s="1" t="s">
        <v>21266</v>
      </c>
      <c r="E10719" s="1" t="str">
        <f ca="1">IFERROR(__xludf.DUMMYFUNCTION("GOOGLETRANSLATE(A7518 , ""tr"" , ""en"")"),"@drfahrettinkoca what's the vaccine you are passing my wave, @drfahrettinkoca vaccines how many months ago vaccines, new coming out ... https://t.co/tq8q8cesdg")</f>
        <v>@drfahrettinkoca what's the vaccine you are passing my wave, @drfahrettinkoca vaccines how many months ago vaccines, new coming out ... https://t.co/tq8q8cesdg</v>
      </c>
    </row>
    <row r="10720" spans="1:5" ht="15" customHeight="1" x14ac:dyDescent="0.2">
      <c r="A10720" s="1" t="s">
        <v>21267</v>
      </c>
      <c r="B10720" s="1">
        <v>0</v>
      </c>
      <c r="C10720" s="3">
        <v>44535.700335648151</v>
      </c>
      <c r="D10720" s="1" t="s">
        <v>21268</v>
      </c>
      <c r="E10720" s="1" t="str">
        <f ca="1">IFERROR(__xludf.DUMMYFUNCTION("GOOGLETRANSLATE(A7519 , ""tr"" , ""en"")"),"@drfahrettinkoca healthcare guide is a week not a husband waiting for a year")</f>
        <v>@drfahrettinkoca healthcare guide is a week not a husband waiting for a year</v>
      </c>
    </row>
    <row r="10721" spans="1:5" ht="15" customHeight="1" x14ac:dyDescent="0.2">
      <c r="A10721" s="1" t="s">
        <v>21269</v>
      </c>
      <c r="B10721" s="1">
        <v>1</v>
      </c>
      <c r="C10721" s="3">
        <v>44535.700324074074</v>
      </c>
      <c r="D10721" s="1" t="s">
        <v>21270</v>
      </c>
      <c r="E10721" s="1" t="str">
        <f ca="1">IFERROR(__xludf.DUMMYFUNCTION("GOOGLETRANSLATE(A7520 , ""tr"" , ""en"")"),"@drfahrettinkoca we want to assign to health management https://t.co/hucizeaodq")</f>
        <v>@drfahrettinkoca we want to assign to health management https://t.co/hucizeaodq</v>
      </c>
    </row>
    <row r="10722" spans="1:5" ht="15" customHeight="1" x14ac:dyDescent="0.2">
      <c r="A10722" s="1" t="s">
        <v>21271</v>
      </c>
      <c r="B10722" s="1">
        <v>0</v>
      </c>
      <c r="C10722" s="3">
        <v>44535.700300925928</v>
      </c>
      <c r="D10722" s="1" t="s">
        <v>21272</v>
      </c>
      <c r="E10722" s="1" t="str">
        <f ca="1">IFERROR(__xludf.DUMMYFUNCTION("GOOGLETRANSLATE(A7521 , ""tr"" , ""en"")"),"@drfahrettinkoca healthcare guide is not a two-week husband waiting for a year")</f>
        <v>@drfahrettinkoca healthcare guide is not a two-week husband waiting for a year</v>
      </c>
    </row>
    <row r="10723" spans="1:5" ht="15" customHeight="1" x14ac:dyDescent="0.2">
      <c r="A10723" s="1" t="s">
        <v>21273</v>
      </c>
      <c r="B10723" s="1">
        <v>0</v>
      </c>
      <c r="C10723" s="3">
        <v>44535.700254629628</v>
      </c>
      <c r="D10723" s="1" t="s">
        <v>21274</v>
      </c>
      <c r="E10723" s="1" t="str">
        <f ca="1">IFERROR(__xludf.DUMMYFUNCTION("GOOGLETRANSLATE(A7522 , ""tr"" , ""en"")"),"@drfahrettinkoca healthcare guide is not a two-week husband waiting for a year")</f>
        <v>@drfahrettinkoca healthcare guide is not a two-week husband waiting for a year</v>
      </c>
    </row>
    <row r="10724" spans="1:5" ht="15" customHeight="1" x14ac:dyDescent="0.2">
      <c r="A10724" s="1" t="s">
        <v>21275</v>
      </c>
      <c r="B10724" s="1">
        <v>12</v>
      </c>
      <c r="C10724" s="3">
        <v>44535.700243055559</v>
      </c>
      <c r="D10724" s="1" t="s">
        <v>21276</v>
      </c>
      <c r="E10724" s="1" t="str">
        <f ca="1">IFERROR(__xludf.DUMMYFUNCTION("GOOGLETRANSLATE(A7523 , ""tr"" , ""en"")"),"@drfahrettinkoca Minister If you show the correct table we would appreciate")</f>
        <v>@drfahrettinkoca Minister If you show the correct table we would appreciate</v>
      </c>
    </row>
    <row r="10725" spans="1:5" ht="15" customHeight="1" x14ac:dyDescent="0.2">
      <c r="A10725" s="1" t="s">
        <v>21277</v>
      </c>
      <c r="B10725" s="1">
        <v>0</v>
      </c>
      <c r="C10725" s="3">
        <v>44535.700231481482</v>
      </c>
      <c r="D10725" s="1" t="s">
        <v>21278</v>
      </c>
      <c r="E10725" s="1" t="str">
        <f ca="1">IFERROR(__xludf.DUMMYFUNCTION("GOOGLETRANSLATE(A7524 , ""tr"" , ""en"")"),"@drfahrettinkoca or neither needling mask Look how it falls How to fall the number of cases, make the test pay Make the test Look How to fall on the case of the case")</f>
        <v>@drfahrettinkoca or neither needling mask Look how it falls How to fall the number of cases, make the test pay Make the test Look How to fall on the case of the case</v>
      </c>
    </row>
    <row r="10726" spans="1:5" ht="15" customHeight="1" x14ac:dyDescent="0.2">
      <c r="A10726" s="1" t="s">
        <v>21279</v>
      </c>
      <c r="B10726" s="1">
        <v>68</v>
      </c>
      <c r="C10726" s="3">
        <v>44535.700219907405</v>
      </c>
      <c r="D10726" s="1" t="s">
        <v>21280</v>
      </c>
      <c r="E10726" s="1" t="str">
        <f ca="1">IFERROR(__xludf.DUMMYFUNCTION("GOOGLETRANSLATE(A7525 , ""tr"" , ""en"")"),"@drfahrettinkoca is this but you believe in yourself european measures You have no power of your power showing the cases of low ... https://t.co/nhxcgsbqaj")</f>
        <v>@drfahrettinkoca is this but you believe in yourself european measures You have no power of your power showing the cases of low ... https://t.co/nhxcgsbqaj</v>
      </c>
    </row>
    <row r="10727" spans="1:5" ht="15" customHeight="1" x14ac:dyDescent="0.2">
      <c r="A10727" s="1" t="s">
        <v>21281</v>
      </c>
      <c r="B10727" s="1">
        <v>0</v>
      </c>
      <c r="C10727" s="3">
        <v>44535.700219907405</v>
      </c>
      <c r="D10727" s="1" t="s">
        <v>21282</v>
      </c>
      <c r="E10727" s="1" t="str">
        <f ca="1">IFERROR(__xludf.DUMMYFUNCTION("GOOGLETRANSLATE(A7526 , ""tr"" , ""en"")"),"@drfahrettinkoca healthcare guide is a week not a husband waiting for a year")</f>
        <v>@drfahrettinkoca healthcare guide is a week not a husband waiting for a year</v>
      </c>
    </row>
    <row r="10728" spans="1:5" ht="15" customHeight="1" x14ac:dyDescent="0.2">
      <c r="A10728" s="1" t="s">
        <v>21283</v>
      </c>
      <c r="B10728" s="1">
        <v>0</v>
      </c>
      <c r="C10728" s="3">
        <v>44535.700185185182</v>
      </c>
      <c r="D10728" s="1" t="s">
        <v>21284</v>
      </c>
      <c r="E10728" s="1" t="str">
        <f ca="1">IFERROR(__xludf.DUMMYFUNCTION("GOOGLETRANSLATE(A7527 , ""tr"" , ""en"")"),"@drfahrettinkoca valla I have not understand this job I have vaccine but still high in positive case")</f>
        <v>@drfahrettinkoca valla I have not understand this job I have vaccine but still high in positive case</v>
      </c>
    </row>
    <row r="10729" spans="1:5" ht="15" customHeight="1" x14ac:dyDescent="0.2">
      <c r="A10729" s="1" t="s">
        <v>21285</v>
      </c>
      <c r="B10729" s="1">
        <v>0</v>
      </c>
      <c r="C10729" s="3">
        <v>44535.700185185182</v>
      </c>
      <c r="D10729" s="1" t="s">
        <v>21286</v>
      </c>
      <c r="E10729" s="1" t="str">
        <f ca="1">IFERROR(__xludf.DUMMYFUNCTION("GOOGLETRANSLATE(A7528 , ""tr"" , ""en"")"),"@drfahrettinkoca healthcare guide is not a two-week husband waiting for a year")</f>
        <v>@drfahrettinkoca healthcare guide is not a two-week husband waiting for a year</v>
      </c>
    </row>
    <row r="10730" spans="1:5" ht="15" customHeight="1" x14ac:dyDescent="0.2">
      <c r="A10730" s="1" t="s">
        <v>21287</v>
      </c>
      <c r="B10730" s="1">
        <v>0</v>
      </c>
      <c r="C10730" s="3">
        <v>44535.700138888889</v>
      </c>
      <c r="D10730" s="1" t="s">
        <v>21288</v>
      </c>
      <c r="E10730" s="1" t="str">
        <f ca="1">IFERROR(__xludf.DUMMYFUNCTION("GOOGLETRANSLATE(A7529 , ""tr"" , ""en"")"),"@drfahrettinkoca healthcare guide is not a two-week husband waiting for a year")</f>
        <v>@drfahrettinkoca healthcare guide is not a two-week husband waiting for a year</v>
      </c>
    </row>
    <row r="10731" spans="1:5" ht="15" customHeight="1" x14ac:dyDescent="0.2">
      <c r="A10731" s="1" t="s">
        <v>21289</v>
      </c>
      <c r="B10731" s="1">
        <v>0</v>
      </c>
      <c r="C10731" s="3">
        <v>44535.700104166666</v>
      </c>
      <c r="D10731" s="1" t="s">
        <v>21290</v>
      </c>
      <c r="E10731" s="1" t="str">
        <f ca="1">IFERROR(__xludf.DUMMYFUNCTION("GOOGLETRANSLATE(A7530 , ""tr"" , ""en"")"),"@drfahrettinkoca healthcare guide is a week not a husband waiting for a year")</f>
        <v>@drfahrettinkoca healthcare guide is a week not a husband waiting for a year</v>
      </c>
    </row>
    <row r="10732" spans="1:5" ht="15" customHeight="1" x14ac:dyDescent="0.2">
      <c r="A10732" s="1" t="s">
        <v>21291</v>
      </c>
      <c r="B10732" s="1">
        <v>0</v>
      </c>
      <c r="C10732" s="3">
        <v>44535.700057870374</v>
      </c>
      <c r="D10732" s="1" t="s">
        <v>21292</v>
      </c>
      <c r="E10732" s="1" t="str">
        <f ca="1">IFERROR(__xludf.DUMMYFUNCTION("GOOGLETRANSLATE(A7531 , ""tr"" , ""en"")"),"@drfahrettinkoca healthcare guide is not a two-week husband waiting for a year")</f>
        <v>@drfahrettinkoca healthcare guide is not a two-week husband waiting for a year</v>
      </c>
    </row>
    <row r="10733" spans="1:5" ht="15" customHeight="1" x14ac:dyDescent="0.2">
      <c r="A10733" s="1" t="s">
        <v>21293</v>
      </c>
      <c r="B10733" s="1">
        <v>0</v>
      </c>
      <c r="C10733" s="3">
        <v>44535.700057870374</v>
      </c>
      <c r="D10733" s="1" t="s">
        <v>21294</v>
      </c>
      <c r="E10733" s="1" t="str">
        <f ca="1">IFERROR(__xludf.DUMMYFUNCTION("GOOGLETRANSLATE(A7532 , ""tr"" , ""en"")"),"@drfahrettinkoca 5k has fallen Delta Delta came in 19K the omigron income is 100k daily")</f>
        <v>@drfahrettinkoca 5k has fallen Delta Delta came in 19K the omigron income is 100k daily</v>
      </c>
    </row>
    <row r="10734" spans="1:5" ht="15" customHeight="1" x14ac:dyDescent="0.2">
      <c r="A10734" s="1" t="s">
        <v>21295</v>
      </c>
      <c r="B10734" s="1">
        <v>0</v>
      </c>
      <c r="C10734" s="3">
        <v>44535.700011574074</v>
      </c>
      <c r="D10734" s="1" t="s">
        <v>21296</v>
      </c>
      <c r="E10734" s="1" t="str">
        <f ca="1">IFERROR(__xludf.DUMMYFUNCTION("GOOGLETRANSLATE(A7533 , ""tr"" , ""en"")"),"@drfahrettinkoca healthcare guide is a week not a husband waiting for a year")</f>
        <v>@drfahrettinkoca healthcare guide is a week not a husband waiting for a year</v>
      </c>
    </row>
    <row r="10735" spans="1:5" ht="15" customHeight="1" x14ac:dyDescent="0.2">
      <c r="A10735" s="1" t="s">
        <v>21297</v>
      </c>
      <c r="B10735" s="1">
        <v>0</v>
      </c>
      <c r="C10735" s="3">
        <v>44535.699965277781</v>
      </c>
      <c r="D10735" s="1" t="s">
        <v>21298</v>
      </c>
      <c r="E10735" s="1" t="str">
        <f ca="1">IFERROR(__xludf.DUMMYFUNCTION("GOOGLETRANSLATE(A7534 , ""tr"" , ""en"")"),"@drfahrettinkoca healthcare guide is a week not a husband waiting for a year 8")</f>
        <v>@drfahrettinkoca healthcare guide is a week not a husband waiting for a year 8</v>
      </c>
    </row>
    <row r="10736" spans="1:5" ht="15" customHeight="1" x14ac:dyDescent="0.2">
      <c r="A10736" s="1" t="s">
        <v>21299</v>
      </c>
      <c r="B10736" s="1">
        <v>0</v>
      </c>
      <c r="C10736" s="3">
        <v>44535.699930555558</v>
      </c>
      <c r="D10736" s="1" t="s">
        <v>21300</v>
      </c>
      <c r="E10736" s="1" t="str">
        <f ca="1">IFERROR(__xludf.DUMMYFUNCTION("GOOGLETRANSLATE(A7535 , ""tr"" , ""en"")"),"@drfahrettinkoca has not stayed almost already, the non-minority person is also grafted and the people who are uninstalling (the flu thoughts) ..")</f>
        <v>@drfahrettinkoca has not stayed almost already, the non-minority person is also grafted and the people who are uninstalling (the flu thoughts) ..</v>
      </c>
    </row>
    <row r="10737" spans="1:5" ht="15" customHeight="1" x14ac:dyDescent="0.2">
      <c r="A10737" s="1" t="s">
        <v>21301</v>
      </c>
      <c r="B10737" s="1">
        <v>0</v>
      </c>
      <c r="C10737" s="3">
        <v>44535.699918981481</v>
      </c>
      <c r="D10737" s="1" t="s">
        <v>21302</v>
      </c>
      <c r="E10737" s="1" t="str">
        <f ca="1">IFERROR(__xludf.DUMMYFUNCTION("GOOGLETRANSLATE(A7536 , ""tr"" , ""en"")"),"@drfahrettinkoca healthcare guide is a week not a husband waiting for a year 7")</f>
        <v>@drfahrettinkoca healthcare guide is a week not a husband waiting for a year 7</v>
      </c>
    </row>
    <row r="10738" spans="1:5" ht="15" customHeight="1" x14ac:dyDescent="0.2">
      <c r="A10738" s="1" t="s">
        <v>21303</v>
      </c>
      <c r="B10738" s="1">
        <v>0</v>
      </c>
      <c r="C10738" s="3">
        <v>44535.699907407405</v>
      </c>
      <c r="D10738" s="1" t="s">
        <v>21304</v>
      </c>
      <c r="E10738" s="1" t="str">
        <f ca="1">IFERROR(__xludf.DUMMYFUNCTION("GOOGLETRANSLATE(A7537 , ""tr"" , ""en"")"),"@drfahrettinkoca mesala how a deal is not very clear")</f>
        <v>@drfahrettinkoca mesala how a deal is not very clear</v>
      </c>
    </row>
    <row r="10739" spans="1:5" ht="15" customHeight="1" x14ac:dyDescent="0.2">
      <c r="A10739" s="1" t="s">
        <v>21305</v>
      </c>
      <c r="B10739" s="1">
        <v>61</v>
      </c>
      <c r="C10739" s="3">
        <v>44535.699872685182</v>
      </c>
      <c r="D10739" s="1" t="s">
        <v>21306</v>
      </c>
      <c r="E10739" s="1" t="str">
        <f ca="1">IFERROR(__xludf.DUMMYFUNCTION("GOOGLETRANSLATE(A7538 , ""tr"" , ""en"")"),"@drfahrettinkoca Don't know if we don't know? This is right to get the great help touched. https://t.co/euyI8cw3lu")</f>
        <v>@drfahrettinkoca Don't know if we don't know? This is right to get the great help touched. https://t.co/euyI8cw3lu</v>
      </c>
    </row>
    <row r="10740" spans="1:5" ht="15" customHeight="1" x14ac:dyDescent="0.2">
      <c r="A10740" s="1" t="s">
        <v>21307</v>
      </c>
      <c r="B10740" s="1">
        <v>0</v>
      </c>
      <c r="C10740" s="3">
        <v>44535.699872685182</v>
      </c>
      <c r="D10740" s="1" t="s">
        <v>21308</v>
      </c>
      <c r="E10740" s="1" t="str">
        <f ca="1">IFERROR(__xludf.DUMMYFUNCTION("GOOGLETRANSLATE(A7539 , ""tr"" , ""en"")"),"@drfahrettinkoca I'm not halal of you right.")</f>
        <v>@drfahrettinkoca I'm not halal of you right.</v>
      </c>
    </row>
    <row r="10741" spans="1:5" ht="15" customHeight="1" x14ac:dyDescent="0.2">
      <c r="A10741" s="1" t="s">
        <v>21309</v>
      </c>
      <c r="B10741" s="1">
        <v>0</v>
      </c>
      <c r="C10741" s="3">
        <v>44535.699872685182</v>
      </c>
      <c r="D10741" s="1" t="s">
        <v>21310</v>
      </c>
      <c r="E10741" s="1" t="str">
        <f ca="1">IFERROR(__xludf.DUMMYFUNCTION("GOOGLETRANSLATE(A7540 , ""tr"" , ""en"")"),"@drfahrettinkoca tuik are these figures in audicing figures")</f>
        <v>@drfahrettinkoca tuik are these figures in audicing figures</v>
      </c>
    </row>
    <row r="10742" spans="1:5" ht="15" customHeight="1" x14ac:dyDescent="0.2">
      <c r="A10742" s="1" t="s">
        <v>21311</v>
      </c>
      <c r="B10742" s="1">
        <v>0</v>
      </c>
      <c r="C10742" s="3">
        <v>44535.699814814812</v>
      </c>
      <c r="D10742" s="1" t="s">
        <v>21312</v>
      </c>
      <c r="E10742" s="1" t="str">
        <f ca="1">IFERROR(__xludf.DUMMYFUNCTION("GOOGLETRANSLATE(A7541 , ""tr"" , ""en"")"),"@drfahrettinkoca healthcare guide is a week not a husband waiting for a year 5")</f>
        <v>@drfahrettinkoca healthcare guide is a week not a husband waiting for a year 5</v>
      </c>
    </row>
    <row r="10743" spans="1:5" ht="15" customHeight="1" x14ac:dyDescent="0.2">
      <c r="A10743" s="1" t="s">
        <v>21313</v>
      </c>
      <c r="B10743" s="1">
        <v>0</v>
      </c>
      <c r="C10743" s="3">
        <v>44535.699780092589</v>
      </c>
      <c r="D10743" s="1" t="s">
        <v>21314</v>
      </c>
      <c r="E10743" s="1" t="str">
        <f ca="1">IFERROR(__xludf.DUMMYFUNCTION("GOOGLETRANSLATE(A7542 , ""tr"" , ""en"")"),"@drfahrettinkoca Ministry of Case Numbers should be enough staff in the field to decrease, but the healthcare at the field ... https://t.co/x3kwkdnvsb")</f>
        <v>@drfahrettinkoca Ministry of Case Numbers should be enough staff in the field to decrease, but the healthcare at the field ... https://t.co/x3kwkdnvsb</v>
      </c>
    </row>
    <row r="10744" spans="1:5" ht="15" customHeight="1" x14ac:dyDescent="0.2">
      <c r="A10744" s="1" t="s">
        <v>21315</v>
      </c>
      <c r="B10744" s="1">
        <v>1</v>
      </c>
      <c r="C10744" s="3">
        <v>44535.699756944443</v>
      </c>
      <c r="D10744" s="1" t="s">
        <v>21316</v>
      </c>
      <c r="E10744" s="1" t="str">
        <f ca="1">IFERROR(__xludf.DUMMYFUNCTION("GOOGLETRANSLATE(A7543 , ""tr"" , ""en"")"),"@drfahrettinkoca healthcare guide is not a two-week husband waiting for a year 4")</f>
        <v>@drfahrettinkoca healthcare guide is not a two-week husband waiting for a year 4</v>
      </c>
    </row>
    <row r="10745" spans="1:5" ht="15" customHeight="1" x14ac:dyDescent="0.2">
      <c r="A10745" s="1" t="s">
        <v>21317</v>
      </c>
      <c r="B10745" s="1">
        <v>0</v>
      </c>
      <c r="C10745" s="3">
        <v>44535.699756944443</v>
      </c>
      <c r="D10745" s="1" t="s">
        <v>21318</v>
      </c>
      <c r="E10745" s="1" t="str">
        <f ca="1">IFERROR(__xludf.DUMMYFUNCTION("GOOGLETRANSLATE(A7544 , ""tr"" , ""en"")"),"@drfahrettinkoca chickness")</f>
        <v>@drfahrettinkoca chickness</v>
      </c>
    </row>
    <row r="10746" spans="1:5" ht="15" customHeight="1" x14ac:dyDescent="0.2">
      <c r="A10746" s="1" t="s">
        <v>21319</v>
      </c>
      <c r="B10746" s="1">
        <v>23</v>
      </c>
      <c r="C10746" s="3">
        <v>44535.699756944443</v>
      </c>
      <c r="D10746" s="1" t="s">
        <v>21320</v>
      </c>
      <c r="E10746" s="1" t="str">
        <f ca="1">IFERROR(__xludf.DUMMYFUNCTION("GOOGLETRANSLATE(A7545 , ""tr"" , ""en"")"),"@drfahrettinkoca has ever believed that the data in this table has been so fixed since you loosen the measures of the measures ... https://t.co/43zgnm6I8g")</f>
        <v>@drfahrettinkoca has ever believed that the data in this table has been so fixed since you loosen the measures of the measures ... https://t.co/43zgnm6I8g</v>
      </c>
    </row>
    <row r="10747" spans="1:5" ht="15" customHeight="1" x14ac:dyDescent="0.2">
      <c r="A10747" s="1" t="s">
        <v>21321</v>
      </c>
      <c r="B10747" s="1">
        <v>9</v>
      </c>
      <c r="C10747" s="3">
        <v>44535.699745370373</v>
      </c>
      <c r="D10747" s="1" t="s">
        <v>21322</v>
      </c>
      <c r="E10747" s="1" t="str">
        <f ca="1">IFERROR(__xludf.DUMMYFUNCTION("GOOGLETRANSLATE(A7546 , ""tr"" , ""en"")"),"@drfahrettinkoca 3 months have captured a successful statistics in all numbers between 180 and 220. Bravo. How do it ... https://t.co/0qaqf8hxbo")</f>
        <v>@drfahrettinkoca 3 months have captured a successful statistics in all numbers between 180 and 220. Bravo. How do it ... https://t.co/0qaqf8hxbo</v>
      </c>
    </row>
    <row r="10748" spans="1:5" ht="15" customHeight="1" x14ac:dyDescent="0.2">
      <c r="A10748" s="1" t="s">
        <v>21323</v>
      </c>
      <c r="B10748" s="1">
        <v>0</v>
      </c>
      <c r="C10748" s="3">
        <v>44535.699745370373</v>
      </c>
      <c r="D10748" s="1" t="s">
        <v>21324</v>
      </c>
      <c r="E10748" s="1" t="str">
        <f ca="1">IFERROR(__xludf.DUMMYFUNCTION("GOOGLETRANSLATE(A7547 , ""tr"" , ""en"")"),"@drfahrettinkoca folks hungry, don't have a kel.asi vaccine rebellion what yaaa ...")</f>
        <v>@drfahrettinkoca folks hungry, don't have a kel.asi vaccine rebellion what yaaa ...</v>
      </c>
    </row>
    <row r="10749" spans="1:5" ht="15" customHeight="1" x14ac:dyDescent="0.2">
      <c r="A10749" s="1" t="s">
        <v>21325</v>
      </c>
      <c r="B10749" s="1">
        <v>137</v>
      </c>
      <c r="C10749" s="3">
        <v>44535.69972222222</v>
      </c>
      <c r="D10749" s="1" t="s">
        <v>21326</v>
      </c>
      <c r="E10749" s="1" t="str">
        <f ca="1">IFERROR(__xludf.DUMMYFUNCTION("GOOGLETRANSLATE(A7548 , ""tr"" , ""en"")"),"@drfahrettinka you will be obliged to online education soon. What does this imprudence, neither insensitivity, is now no longer #abinetbowones")</f>
        <v>@drfahrettinka you will be obliged to online education soon. What does this imprudence, neither insensitivity, is now no longer #abinetbowones</v>
      </c>
    </row>
    <row r="10750" spans="1:5" ht="15" customHeight="1" x14ac:dyDescent="0.2">
      <c r="A10750" s="1" t="s">
        <v>21327</v>
      </c>
      <c r="B10750" s="1">
        <v>1</v>
      </c>
      <c r="C10750" s="3">
        <v>44535.69972222222</v>
      </c>
      <c r="D10750" s="1" t="s">
        <v>21328</v>
      </c>
      <c r="E10750" s="1" t="str">
        <f ca="1">IFERROR(__xludf.DUMMYFUNCTION("GOOGLETRANSLATE(A7549 , ""tr"" , ""en"")"),"@drfahrettinkoca healthcare guide is a two weeks not husband waiting for a year 3")</f>
        <v>@drfahrettinkoca healthcare guide is a two weeks not husband waiting for a year 3</v>
      </c>
    </row>
    <row r="10751" spans="1:5" ht="15" customHeight="1" x14ac:dyDescent="0.2">
      <c r="A10751" s="1" t="s">
        <v>21329</v>
      </c>
      <c r="B10751" s="1">
        <v>0</v>
      </c>
      <c r="C10751" s="3">
        <v>44535.699699074074</v>
      </c>
      <c r="D10751" s="1" t="s">
        <v>21330</v>
      </c>
      <c r="E10751" s="1" t="str">
        <f ca="1">IFERROR(__xludf.DUMMYFUNCTION("GOOGLETRANSLATE(A7550 , ""tr"" , ""en"")"),"@drfahrettinka you are very success overlooking yahu. 195 people passed the ball to the ball.")</f>
        <v>@drfahrettinka you are very success overlooking yahu. 195 people passed the ball to the ball.</v>
      </c>
    </row>
    <row r="10752" spans="1:5" ht="15" customHeight="1" x14ac:dyDescent="0.2">
      <c r="A10752" s="1" t="s">
        <v>21331</v>
      </c>
      <c r="B10752" s="1">
        <v>0</v>
      </c>
      <c r="C10752" s="3">
        <v>44535.699687499997</v>
      </c>
      <c r="D10752" s="1" t="s">
        <v>21332</v>
      </c>
      <c r="E10752" s="1" t="str">
        <f ca="1">IFERROR(__xludf.DUMMYFUNCTION("GOOGLETRANSLATE(A7551 , ""tr"" , ""en"")"),"@drfahrettinkoca Do you still believe this table?")</f>
        <v>@drfahrettinkoca Do you still believe this table?</v>
      </c>
    </row>
    <row r="10753" spans="1:5" ht="15" customHeight="1" x14ac:dyDescent="0.2">
      <c r="A10753" s="1" t="s">
        <v>21333</v>
      </c>
      <c r="B10753" s="1">
        <v>1</v>
      </c>
      <c r="C10753" s="3">
        <v>44535.699675925927</v>
      </c>
      <c r="D10753" s="1" t="s">
        <v>21334</v>
      </c>
      <c r="E10753" s="1" t="str">
        <f ca="1">IFERROR(__xludf.DUMMYFUNCTION("GOOGLETRANSLATE(A7552 , ""tr"" , ""en"")"),"@drfahrettinkoca healthcare guide is not a two weeks a husband waiting for a year2")</f>
        <v>@drfahrettinkoca healthcare guide is not a two weeks a husband waiting for a year2</v>
      </c>
    </row>
    <row r="10754" spans="1:5" ht="15" customHeight="1" x14ac:dyDescent="0.2">
      <c r="A10754" s="1" t="s">
        <v>21335</v>
      </c>
      <c r="B10754" s="1">
        <v>9</v>
      </c>
      <c r="C10754" s="3">
        <v>44535.699629629627</v>
      </c>
      <c r="D10754" s="1" t="s">
        <v>21336</v>
      </c>
      <c r="E10754" s="1" t="str">
        <f ca="1">IFERROR(__xludf.DUMMYFUNCTION("GOOGLETRANSLATE(A7553 , ""tr"" , ""en"")"),"@drfahrettinkoca I guess you didn't notice the number of tests I guess I think my Minister")</f>
        <v>@drfahrettinkoca I guess you didn't notice the number of tests I guess I think my Minister</v>
      </c>
    </row>
    <row r="10755" spans="1:5" ht="15" customHeight="1" x14ac:dyDescent="0.2">
      <c r="A10755" s="1" t="s">
        <v>21337</v>
      </c>
      <c r="B10755" s="1">
        <v>6</v>
      </c>
      <c r="C10755" s="3">
        <v>44535.699629629627</v>
      </c>
      <c r="D10755" s="1" t="s">
        <v>21338</v>
      </c>
      <c r="E10755" s="1" t="str">
        <f ca="1">IFERROR(__xludf.DUMMYFUNCTION("GOOGLETRANSLATE(A7554 , ""tr"" , ""en"")"),"@drfahrettinkoca Minister We believe that the numbers you give. Just as ""it will not prolong it"", ""in 2-3 months"" diluent ... https://t.co/ExPSDVDYQI")</f>
        <v>@drfahrettinkoca Minister We believe that the numbers you give. Just as "it will not prolong it", "in 2-3 months" diluent ... https://t.co/ExPSDVDYQI</v>
      </c>
    </row>
    <row r="10756" spans="1:5" ht="15" customHeight="1" x14ac:dyDescent="0.2">
      <c r="A10756" s="1" t="s">
        <v>21339</v>
      </c>
      <c r="B10756" s="1">
        <v>0</v>
      </c>
      <c r="C10756" s="3">
        <v>44535.699618055558</v>
      </c>
      <c r="D10756" s="1" t="s">
        <v>21340</v>
      </c>
      <c r="E10756" s="1" t="str">
        <f ca="1">IFERROR(__xludf.DUMMYFUNCTION("GOOGLETRANSLATE(A7555 , ""tr"" , ""en"")"),"@drfahrettinkoca Healthparts Guide is a week not a husband waiting for a year 1")</f>
        <v>@drfahrettinkoca Healthparts Guide is a week not a husband waiting for a year 1</v>
      </c>
    </row>
    <row r="10757" spans="1:5" ht="15" customHeight="1" x14ac:dyDescent="0.2">
      <c r="A10757" s="1" t="s">
        <v>21341</v>
      </c>
      <c r="B10757" s="1">
        <v>0</v>
      </c>
      <c r="C10757" s="3">
        <v>44535.699606481481</v>
      </c>
      <c r="D10757" s="1" t="s">
        <v>21342</v>
      </c>
      <c r="E10757" s="1" t="str">
        <f ca="1">IFERROR(__xludf.DUMMYFUNCTION("GOOGLETRANSLATE(A7556 , ""tr"" , ""en"")"),"@drfahrettinkoca Health Management Staff Grave Now Https://t.co/6oiu1in8hl")</f>
        <v>@drfahrettinkoca Health Management Staff Grave Now Https://t.co/6oiu1in8hl</v>
      </c>
    </row>
    <row r="10758" spans="1:5" ht="15" customHeight="1" x14ac:dyDescent="0.2">
      <c r="A10758" s="1" t="s">
        <v>19722</v>
      </c>
      <c r="B10758" s="1">
        <v>0</v>
      </c>
      <c r="C10758" s="3">
        <v>44535.699571759258</v>
      </c>
      <c r="D10758" s="1" t="s">
        <v>21343</v>
      </c>
      <c r="E10758" s="1" t="str">
        <f ca="1">IFERROR(__xludf.DUMMYFUNCTION("GOOGLETRANSLATE(A7557 , ""tr"" , ""en"")"),"@drfahrettinkoca Healthcare Shops Guide is not a two-week husband waiting for a year,")</f>
        <v>@drfahrettinkoca Healthcare Shops Guide is not a two-week husband waiting for a year,</v>
      </c>
    </row>
    <row r="10759" spans="1:5" ht="15" customHeight="1" x14ac:dyDescent="0.2">
      <c r="A10759" s="1" t="s">
        <v>21344</v>
      </c>
      <c r="B10759" s="1">
        <v>8</v>
      </c>
      <c r="C10759" s="3">
        <v>44535.699525462966</v>
      </c>
      <c r="D10759" s="1" t="s">
        <v>21345</v>
      </c>
      <c r="E10759" s="1" t="str">
        <f ca="1">IFERROR(__xludf.DUMMYFUNCTION("GOOGLETRANSLATE(A7558 , ""tr"" , ""en"")"),"@drfahrettinka guide guide guide guide guide guide guide guide guide guide guide guide kina ... https://t.co/lmvhcorxns")</f>
        <v>@drfahrettinka guide guide guide guide guide guide guide guide guide guide guide guide kina ... https://t.co/lmvhcorxns</v>
      </c>
    </row>
    <row r="10760" spans="1:5" ht="15" customHeight="1" x14ac:dyDescent="0.2">
      <c r="A10760" s="1" t="s">
        <v>19726</v>
      </c>
      <c r="B10760" s="1">
        <v>0</v>
      </c>
      <c r="C10760" s="3">
        <v>44535.699525462966</v>
      </c>
      <c r="D10760" s="1" t="s">
        <v>21346</v>
      </c>
      <c r="E10760" s="1" t="str">
        <f ca="1">IFERROR(__xludf.DUMMYFUNCTION("GOOGLETRANSLATE(A7559 , ""tr"" , ""en"")"),"@drfahrettinkoca Healthparts Guide is a week, not a husband waiting for a year.")</f>
        <v>@drfahrettinkoca Healthparts Guide is a week, not a husband waiting for a year.</v>
      </c>
    </row>
    <row r="10761" spans="1:5" ht="15" customHeight="1" x14ac:dyDescent="0.2">
      <c r="A10761" s="1" t="s">
        <v>21347</v>
      </c>
      <c r="B10761" s="1">
        <v>0</v>
      </c>
      <c r="C10761" s="3">
        <v>44535.699490740742</v>
      </c>
      <c r="D10761" s="1" t="s">
        <v>21348</v>
      </c>
      <c r="E10761" s="1" t="str">
        <f ca="1">IFERROR(__xludf.DUMMYFUNCTION("GOOGLETRANSLATE(A7560 , ""tr"" , ""en"")"),"@drfahrettinkoca you didn't get tired or not that advertising these unlicensed vaccines that don't work! 😡 😡 😡 😡")</f>
        <v>@drfahrettinkoca you didn't get tired or not that advertising these unlicensed vaccines that don't work! 😡 😡 😡 😡</v>
      </c>
    </row>
    <row r="10762" spans="1:5" ht="15" customHeight="1" x14ac:dyDescent="0.2">
      <c r="A10762" s="1" t="s">
        <v>19732</v>
      </c>
      <c r="B10762" s="1">
        <v>0</v>
      </c>
      <c r="C10762" s="3">
        <v>44535.699467592596</v>
      </c>
      <c r="D10762" s="1" t="s">
        <v>21349</v>
      </c>
      <c r="E10762" s="1" t="str">
        <f ca="1">IFERROR(__xludf.DUMMYFUNCTION("GOOGLETRANSLATE(A7561 , ""tr"" , ""en"")"),"@drfahrettinkoca healthcare guide is a week not for a husband waiting for a year")</f>
        <v>@drfahrettinkoca healthcare guide is a week not for a husband waiting for a year</v>
      </c>
    </row>
    <row r="10763" spans="1:5" ht="15" customHeight="1" x14ac:dyDescent="0.2">
      <c r="A10763" s="1" t="s">
        <v>21350</v>
      </c>
      <c r="B10763" s="1">
        <v>9</v>
      </c>
      <c r="C10763" s="3">
        <v>44535.699467592596</v>
      </c>
      <c r="D10763" s="1" t="s">
        <v>21351</v>
      </c>
      <c r="E10763" s="1" t="str">
        <f ca="1">IFERROR(__xludf.DUMMYFUNCTION("GOOGLETRANSLATE(A7562 , ""tr"" , ""en"")"),"@drfahrettinkoca DSO Head and You Puppet Your Puppy Importers Don't Might Be Your Vaccine Care Https://t.co/auni3jfvln")</f>
        <v>@drfahrettinkoca DSO Head and You Puppet Your Puppy Importers Don't Might Be Your Vaccine Care Https://t.co/auni3jfvln</v>
      </c>
    </row>
    <row r="10764" spans="1:5" ht="15" customHeight="1" x14ac:dyDescent="0.2">
      <c r="A10764" s="1" t="s">
        <v>21352</v>
      </c>
      <c r="B10764" s="1">
        <v>41</v>
      </c>
      <c r="C10764" s="3">
        <v>44535.69939814815</v>
      </c>
      <c r="D10764" s="1" t="s">
        <v>21353</v>
      </c>
      <c r="E10764" s="1" t="str">
        <f ca="1">IFERROR(__xludf.DUMMYFUNCTION("GOOGLETRANSLATE(A7563 , ""tr"" , ""en"")"),"@drfahrettinkoca these eyes guide you want to see Bey # fkuyumanere40binatama")</f>
        <v>@drfahrettinkoca these eyes guide you want to see Bey # fkuyumanere40binatama</v>
      </c>
    </row>
    <row r="10765" spans="1:5" ht="15" customHeight="1" x14ac:dyDescent="0.2">
      <c r="A10765" s="1" t="s">
        <v>21354</v>
      </c>
      <c r="B10765" s="1">
        <v>0</v>
      </c>
      <c r="C10765" s="3">
        <v>44535.699189814812</v>
      </c>
      <c r="D10765" s="1" t="s">
        <v>21355</v>
      </c>
      <c r="E10765" s="1" t="str">
        <f ca="1">IFERROR(__xludf.DUMMYFUNCTION("GOOGLETRANSLATE(A7564 , ""tr"" , ""en"")"),"@drfahrettinkoca believer did it remaining to it")</f>
        <v>@drfahrettinkoca believer did it remaining to it</v>
      </c>
    </row>
    <row r="10766" spans="1:5" ht="15" customHeight="1" x14ac:dyDescent="0.2">
      <c r="A10766" s="1" t="s">
        <v>21356</v>
      </c>
      <c r="B10766" s="1">
        <v>2</v>
      </c>
      <c r="C10766" s="3">
        <v>44535.699189814812</v>
      </c>
      <c r="D10766" s="1" t="s">
        <v>21357</v>
      </c>
      <c r="E10766" s="1" t="str">
        <f ca="1">IFERROR(__xludf.DUMMYFUNCTION("GOOGLETRANSLATE(A7565 , ""tr"" , ""en"")"),"@drfahrettinka ayyyyy guanamzzzzzzzzzzzzzzzzzzzzzzzzzzzzzz")</f>
        <v>@drfahrettinka ayyyyy guanamzzzzzzzzzzzzzzzzzzzzzzzzzzzzzz</v>
      </c>
    </row>
    <row r="10767" spans="1:5" ht="15" customHeight="1" x14ac:dyDescent="0.2">
      <c r="A10767" s="1" t="s">
        <v>21358</v>
      </c>
      <c r="B10767" s="1">
        <v>39</v>
      </c>
      <c r="C10767" s="3">
        <v>44535.699189814812</v>
      </c>
      <c r="D10767" s="1" t="s">
        <v>21359</v>
      </c>
      <c r="E10767" s="1" t="str">
        <f ca="1">IFERROR(__xludf.DUMMYFUNCTION("GOOGLETRANSLATE(A7566 , ""tr"" , ""en"")"),"@drfahrettinkoca you will announce the omicron after two days. Hope always hope")</f>
        <v>@drfahrettinkoca you will announce the omicron after two days. Hope always hope</v>
      </c>
    </row>
    <row r="10768" spans="1:5" ht="15" customHeight="1" x14ac:dyDescent="0.2">
      <c r="A10768" s="1" t="s">
        <v>21360</v>
      </c>
      <c r="B10768" s="1">
        <v>0</v>
      </c>
      <c r="C10768" s="3">
        <v>44535.699178240742</v>
      </c>
      <c r="D10768" s="1" t="s">
        <v>21361</v>
      </c>
      <c r="E10768" s="1" t="str">
        <f ca="1">IFERROR(__xludf.DUMMYFUNCTION("GOOGLETRANSLATE(A7567 , ""tr"" , ""en"")"),"@drfahrettinkoca ""I am explaining the number without asking you sir!""")</f>
        <v>@drfahrettinkoca "I am explaining the number without asking you sir!"</v>
      </c>
    </row>
    <row r="10769" spans="1:5" ht="15" customHeight="1" x14ac:dyDescent="0.2">
      <c r="A10769" s="1" t="s">
        <v>18602</v>
      </c>
      <c r="B10769" s="1">
        <v>3</v>
      </c>
      <c r="C10769" s="3">
        <v>44535.699178240742</v>
      </c>
      <c r="D10769" s="1" t="s">
        <v>21362</v>
      </c>
      <c r="E10769" s="1" t="str">
        <f ca="1">IFERROR(__xludf.DUMMYFUNCTION("GOOGLETRANSLATE(A7568 , ""tr"" , ""en"")"),"@drfahrettinkoca #kabinezkusagionlineline")</f>
        <v>@drfahrettinkoca #kabinezkusagionlineline</v>
      </c>
    </row>
    <row r="10770" spans="1:5" ht="15" customHeight="1" x14ac:dyDescent="0.2">
      <c r="A10770" s="1" t="s">
        <v>21363</v>
      </c>
      <c r="B10770" s="1">
        <v>4</v>
      </c>
      <c r="C10770" s="3">
        <v>44535.699155092596</v>
      </c>
      <c r="D10770" s="1" t="s">
        <v>21364</v>
      </c>
      <c r="E10770" s="1" t="str">
        <f ca="1">IFERROR(__xludf.DUMMYFUNCTION("GOOGLETRANSLATE(A7569 , ""tr"" , ""en"")"),"@drfahrettinkoca assign to health management https://t.co/dvkk04lvrt")</f>
        <v>@drfahrettinkoca assign to health management https://t.co/dvkk04lvrt</v>
      </c>
    </row>
    <row r="10771" spans="1:5" ht="15" customHeight="1" x14ac:dyDescent="0.2">
      <c r="A10771" s="1" t="s">
        <v>21365</v>
      </c>
      <c r="B10771" s="1">
        <v>1</v>
      </c>
      <c r="C10771" s="3">
        <v>44535.699062500003</v>
      </c>
      <c r="D10771" s="1" t="s">
        <v>21366</v>
      </c>
      <c r="E10771" s="1" t="str">
        <f ca="1">IFERROR(__xludf.DUMMYFUNCTION("GOOGLETRANSLATE(A7570 , ""tr"" , ""en"")"),"@drfahrettinkoca guide guide guide guide guide guide guide guide guide guide guide guide kina ... https://t.co/mtcrsyojpz")</f>
        <v>@drfahrettinkoca guide guide guide guide guide guide guide guide guide guide guide guide kina ... https://t.co/mtcrsyojpz</v>
      </c>
    </row>
    <row r="10772" spans="1:5" ht="15" customHeight="1" x14ac:dyDescent="0.2">
      <c r="A10772" s="1" t="s">
        <v>21367</v>
      </c>
      <c r="B10772" s="1">
        <v>14</v>
      </c>
      <c r="C10772" s="3">
        <v>44535.698993055557</v>
      </c>
      <c r="D10772" s="1" t="s">
        <v>21368</v>
      </c>
      <c r="E10772" s="1" t="str">
        <f ca="1">IFERROR(__xludf.DUMMYFUNCTION("GOOGLETRANSLATE(A7571 , ""tr"" , ""en"")"),"@drfahrettinkoca When the cabinet meeting is approaching then cases fall. This virus loves the number of 22bin ... https://t.co/f37svtq4lu")</f>
        <v>@drfahrettinkoca When the cabinet meeting is approaching then cases fall. This virus loves the number of 22bin ... https://t.co/f37svtq4lu</v>
      </c>
    </row>
    <row r="10773" spans="1:5" ht="15" customHeight="1" x14ac:dyDescent="0.2">
      <c r="A10773" s="1" t="s">
        <v>21369</v>
      </c>
      <c r="B10773" s="1">
        <v>22</v>
      </c>
      <c r="C10773" s="3">
        <v>44535.698969907404</v>
      </c>
      <c r="D10773" s="1" t="s">
        <v>21370</v>
      </c>
      <c r="E10773" s="1" t="str">
        <f ca="1">IFERROR(__xludf.DUMMYFUNCTION("GOOGLETRANSLATE(A7572 , ""tr"" , ""en"")"),"@drfahrettinkoca case numbers are so high and the 5th wave is coming when the prisoners are considered in the closed ... https://t.co/u0wjrozig7")</f>
        <v>@drfahrettinkoca case numbers are so high and the 5th wave is coming when the prisoners are considered in the closed ... https://t.co/u0wjrozig7</v>
      </c>
    </row>
    <row r="10774" spans="1:5" ht="15" customHeight="1" x14ac:dyDescent="0.2">
      <c r="A10774" s="1" t="s">
        <v>21371</v>
      </c>
      <c r="B10774" s="1">
        <v>3</v>
      </c>
      <c r="C10774" s="3">
        <v>44535.698969907404</v>
      </c>
      <c r="D10774" s="1" t="s">
        <v>21372</v>
      </c>
      <c r="E10774" s="1" t="str">
        <f ca="1">IFERROR(__xludf.DUMMYFUNCTION("GOOGLETRANSLATE(A7573 , ""tr"" , ""en"")"),"@drfahrettinkoca what stums is in the sake of allah @drfahrettinkoca # fkuyumanerede40binatama")</f>
        <v>@drfahrettinkoca what stums is in the sake of allah @drfahrettinkoca # fkuyumanerede40binatama</v>
      </c>
    </row>
    <row r="10775" spans="1:5" ht="15" customHeight="1" x14ac:dyDescent="0.2">
      <c r="A10775" s="1" t="s">
        <v>21373</v>
      </c>
      <c r="B10775" s="1">
        <v>1</v>
      </c>
      <c r="C10775" s="3">
        <v>44535.698969907404</v>
      </c>
      <c r="D10775" s="1" t="s">
        <v>21374</v>
      </c>
      <c r="E10775" s="1" t="str">
        <f ca="1">IFERROR(__xludf.DUMMYFUNCTION("GOOGLETRANSLATE(A7574 , ""tr"" , ""en"")"),"@drfahrettinkoca Schools Kapansnnnn !!!!")</f>
        <v>@drfahrettinkoca Schools Kapansnnnn !!!!</v>
      </c>
    </row>
    <row r="10776" spans="1:5" ht="15" customHeight="1" x14ac:dyDescent="0.2">
      <c r="A10776" s="1" t="s">
        <v>21375</v>
      </c>
      <c r="B10776" s="1">
        <v>1</v>
      </c>
      <c r="C10776" s="3">
        <v>44535.698946759258</v>
      </c>
      <c r="D10776" s="1" t="s">
        <v>21376</v>
      </c>
      <c r="E10776" s="1" t="str">
        <f ca="1">IFERROR(__xludf.DUMMYFUNCTION("GOOGLETRANSLATE(A7575 , ""tr"" , ""en"")"),"@drfahrettinkoca guide,")</f>
        <v>@drfahrettinkoca guide,</v>
      </c>
    </row>
    <row r="10777" spans="1:5" ht="15" customHeight="1" x14ac:dyDescent="0.2">
      <c r="A10777" s="1" t="s">
        <v>21377</v>
      </c>
      <c r="B10777" s="1">
        <v>1</v>
      </c>
      <c r="C10777" s="3">
        <v>44535.698935185188</v>
      </c>
      <c r="D10777" s="1" t="s">
        <v>21378</v>
      </c>
      <c r="E10777" s="1" t="str">
        <f ca="1">IFERROR(__xludf.DUMMYFUNCTION("GOOGLETRANSLATE(A7576 , ""tr"" , ""en"")"),"@drfahrettinkoca Come to Universities Online Training")</f>
        <v>@drfahrettinkoca Come to Universities Online Training</v>
      </c>
    </row>
    <row r="10778" spans="1:5" ht="15" customHeight="1" x14ac:dyDescent="0.2">
      <c r="A10778" s="1" t="s">
        <v>16774</v>
      </c>
      <c r="B10778" s="1">
        <v>1</v>
      </c>
      <c r="C10778" s="3">
        <v>44535.698912037034</v>
      </c>
      <c r="D10778" s="1" t="s">
        <v>21379</v>
      </c>
      <c r="E10778" s="1" t="str">
        <f ca="1">IFERROR(__xludf.DUMMYFUNCTION("GOOGLETRANSLATE(A7577 , ""tr"" , ""en"")"),"@drfahrettinkoca guide.")</f>
        <v>@drfahrettinkoca guide.</v>
      </c>
    </row>
    <row r="10779" spans="1:5" ht="15" customHeight="1" x14ac:dyDescent="0.2">
      <c r="A10779" s="1" t="s">
        <v>21380</v>
      </c>
      <c r="B10779" s="1">
        <v>0</v>
      </c>
      <c r="C10779" s="3">
        <v>44535.698900462965</v>
      </c>
      <c r="D10779" s="1" t="s">
        <v>21381</v>
      </c>
      <c r="E10779" s="1" t="str">
        <f ca="1">IFERROR(__xludf.DUMMYFUNCTION("GOOGLETRANSLATE(A7578 , ""tr"" , ""en"")"),"@drfahrettinkoca tadbir Nedur Ulaa🤔")</f>
        <v>@drfahrettinkoca tadbir Nedur Ulaa🤔</v>
      </c>
    </row>
    <row r="10780" spans="1:5" ht="15" customHeight="1" x14ac:dyDescent="0.2">
      <c r="A10780" s="1" t="s">
        <v>21382</v>
      </c>
      <c r="B10780" s="1">
        <v>0</v>
      </c>
      <c r="C10780" s="3">
        <v>44535.698865740742</v>
      </c>
      <c r="D10780" s="1" t="s">
        <v>21383</v>
      </c>
      <c r="E10780" s="1" t="str">
        <f ca="1">IFERROR(__xludf.DUMMYFUNCTION("GOOGLETRANSLATE(A7579 , ""tr"" , ""en"")"),"@drfahrettinkoca Fake Your Crook is Single Detect Virus Media Https://t.co/dlkxhrcyc6")</f>
        <v>@drfahrettinkoca Fake Your Crook is Single Detect Virus Media Https://t.co/dlkxhrcyc6</v>
      </c>
    </row>
    <row r="10781" spans="1:5" ht="15" customHeight="1" x14ac:dyDescent="0.2">
      <c r="A10781" s="1" t="s">
        <v>16768</v>
      </c>
      <c r="B10781" s="1">
        <v>1</v>
      </c>
      <c r="C10781" s="3">
        <v>44535.698865740742</v>
      </c>
      <c r="D10781" s="1" t="s">
        <v>21384</v>
      </c>
      <c r="E10781" s="1" t="str">
        <f ca="1">IFERROR(__xludf.DUMMYFUNCTION("GOOGLETRANSLATE(A7580 , ""tr"" , ""en"")"),"@drfahrettinkoca KKIIllaavvuuzz")</f>
        <v>@drfahrettinkoca KKIIllaavvuuzz</v>
      </c>
    </row>
    <row r="10782" spans="1:5" ht="15" customHeight="1" x14ac:dyDescent="0.2">
      <c r="A10782" s="1" t="s">
        <v>21385</v>
      </c>
      <c r="B10782" s="1">
        <v>1</v>
      </c>
      <c r="C10782" s="3">
        <v>44535.698854166665</v>
      </c>
      <c r="D10782" s="1" t="s">
        <v>21386</v>
      </c>
      <c r="E10782" s="1" t="str">
        <f ca="1">IFERROR(__xludf.DUMMYFUNCTION("GOOGLETRANSLATE(A7581 , ""tr"" , ""en"")"),"@drfahrettinkoca #theonlinelivery")</f>
        <v>@drfahrettinkoca #theonlinelivery</v>
      </c>
    </row>
    <row r="10783" spans="1:5" ht="15" customHeight="1" x14ac:dyDescent="0.2">
      <c r="A10783" s="1" t="s">
        <v>18196</v>
      </c>
      <c r="B10783" s="1">
        <v>4</v>
      </c>
      <c r="C10783" s="3">
        <v>44535.698842592596</v>
      </c>
      <c r="D10783" s="1" t="s">
        <v>21387</v>
      </c>
      <c r="E10783" s="1" t="str">
        <f ca="1">IFERROR(__xludf.DUMMYFUNCTION("GOOGLETRANSLATE(A7582 , ""tr"" , ""en"")"),"@drfahrettinkoca # fkuyumanerede40binatama")</f>
        <v>@drfahrettinkoca # fkuyumanerede40binatama</v>
      </c>
    </row>
    <row r="10784" spans="1:5" ht="15" customHeight="1" x14ac:dyDescent="0.2">
      <c r="A10784" s="1" t="s">
        <v>21388</v>
      </c>
      <c r="B10784" s="1">
        <v>13</v>
      </c>
      <c r="C10784" s="3">
        <v>44535.698807870373</v>
      </c>
      <c r="D10784" s="1" t="s">
        <v>21389</v>
      </c>
      <c r="E10784" s="1" t="str">
        <f ca="1">IFERROR(__xludf.DUMMYFUNCTION("GOOGLETRANSLATE(A7583 , ""tr"" , ""en"")"),"@drfahrettinkoca allah guide to the love of God Mr. Minister")</f>
        <v>@drfahrettinkoca allah guide to the love of God Mr. Minister</v>
      </c>
    </row>
    <row r="10785" spans="1:5" ht="15" customHeight="1" x14ac:dyDescent="0.2">
      <c r="A10785" s="1" t="s">
        <v>15979</v>
      </c>
      <c r="B10785" s="1">
        <v>1</v>
      </c>
      <c r="C10785" s="3">
        <v>44535.698796296296</v>
      </c>
      <c r="D10785" s="1" t="s">
        <v>21390</v>
      </c>
      <c r="E10785" s="1" t="str">
        <f ca="1">IFERROR(__xludf.DUMMYFUNCTION("GOOGLETRANSLATE(A7584 , ""tr"" , ""en"")"),"@drfahrettinkoca guanuzzz")</f>
        <v>@drfahrettinkoca guanuzzz</v>
      </c>
    </row>
    <row r="10786" spans="1:5" ht="15" customHeight="1" x14ac:dyDescent="0.2">
      <c r="A10786" s="1" t="s">
        <v>21391</v>
      </c>
      <c r="B10786" s="1">
        <v>0</v>
      </c>
      <c r="C10786" s="3">
        <v>44535.698796296296</v>
      </c>
      <c r="D10786" s="1" t="s">
        <v>21392</v>
      </c>
      <c r="E10786" s="1" t="str">
        <f ca="1">IFERROR(__xludf.DUMMYFUNCTION("GOOGLETRANSLATE(A7585 , ""tr"" , ""en"")"),"@drfahrettinkoca Is our national vaccine")</f>
        <v>@drfahrettinkoca Is our national vaccine</v>
      </c>
    </row>
    <row r="10787" spans="1:5" ht="15" customHeight="1" x14ac:dyDescent="0.2">
      <c r="A10787" s="1" t="s">
        <v>21393</v>
      </c>
      <c r="B10787" s="1">
        <v>1</v>
      </c>
      <c r="C10787" s="3">
        <v>44535.698784722219</v>
      </c>
      <c r="D10787" s="1" t="s">
        <v>21394</v>
      </c>
      <c r="E10787" s="1" t="str">
        <f ca="1">IFERROR(__xludf.DUMMYFUNCTION("GOOGLETRANSLATE(A7586 , ""tr"" , ""en"")"),"Assigning to @drfahrettinkoca Health Management HTTPS://T.CO/RISCE3LCRU")</f>
        <v>Assigning to @drfahrettinkoca Health Management HTTPS://T.CO/RISCE3LCRU</v>
      </c>
    </row>
    <row r="10788" spans="1:5" ht="15" customHeight="1" x14ac:dyDescent="0.2">
      <c r="A10788" s="1" t="s">
        <v>21395</v>
      </c>
      <c r="B10788" s="1">
        <v>44</v>
      </c>
      <c r="C10788" s="3">
        <v>44535.698784722219</v>
      </c>
      <c r="D10788" s="1" t="s">
        <v>21396</v>
      </c>
      <c r="E10788" s="1" t="str">
        <f ca="1">IFERROR(__xludf.DUMMYFUNCTION("GOOGLETRANSLATE(A7587 , ""tr"" , ""en"")"),"@drfahrettinka vaccines What will you say against omicron variant against it? Corona virus is 2 years old. Thousands mut ... https://t.co/uosspyuw2w")</f>
        <v>@drfahrettinka vaccines What will you say against omicron variant against it? Corona virus is 2 years old. Thousands mut ... https://t.co/uosspyuw2w</v>
      </c>
    </row>
    <row r="10789" spans="1:5" ht="15" customHeight="1" x14ac:dyDescent="0.2">
      <c r="A10789" s="1" t="s">
        <v>21397</v>
      </c>
      <c r="B10789" s="1">
        <v>0</v>
      </c>
      <c r="C10789" s="3">
        <v>44535.698773148149</v>
      </c>
      <c r="D10789" s="1" t="s">
        <v>21398</v>
      </c>
      <c r="E10789" s="1" t="str">
        <f ca="1">IFERROR(__xludf.DUMMYFUNCTION("GOOGLETRANSLATE(A7588 , ""tr"" , ""en"")"),"@drfahrettinkoca artik bits i'm ruined as we started as it doesn't end it as we don't end we end we already")</f>
        <v>@drfahrettinkoca artik bits i'm ruined as we started as it doesn't end it as we don't end we end we already</v>
      </c>
    </row>
    <row r="10790" spans="1:5" ht="15" customHeight="1" x14ac:dyDescent="0.2">
      <c r="A10790" s="1" t="s">
        <v>16770</v>
      </c>
      <c r="B10790" s="1">
        <v>1</v>
      </c>
      <c r="C10790" s="3">
        <v>44535.698750000003</v>
      </c>
      <c r="D10790" s="1" t="s">
        <v>21399</v>
      </c>
      <c r="E10790" s="1" t="str">
        <f ca="1">IFERROR(__xludf.DUMMYFUNCTION("GOOGLETRANSLATE(A7589 , ""tr"" , ""en"")"),"@drfahrettinkoca guide")</f>
        <v>@drfahrettinkoca guide</v>
      </c>
    </row>
    <row r="10791" spans="1:5" ht="15" customHeight="1" x14ac:dyDescent="0.2">
      <c r="A10791" s="1" t="s">
        <v>21400</v>
      </c>
      <c r="B10791" s="1">
        <v>2</v>
      </c>
      <c r="C10791" s="3">
        <v>44535.698703703703</v>
      </c>
      <c r="D10791" s="1" t="s">
        <v>21401</v>
      </c>
      <c r="E10791" s="1" t="str">
        <f ca="1">IFERROR(__xludf.DUMMYFUNCTION("GOOGLETRANSLATE(A7590 , ""tr"" , ""en"")"),"@drfahrettinkoca either get closing complete bits n after life returns to normal so simple #onlineegitimalepaleps")</f>
        <v>@drfahrettinkoca either get closing complete bits n after life returns to normal so simple #onlineegitimalepaleps</v>
      </c>
    </row>
    <row r="10792" spans="1:5" ht="15" customHeight="1" x14ac:dyDescent="0.2">
      <c r="A10792" s="1" t="s">
        <v>21402</v>
      </c>
      <c r="B10792" s="1">
        <v>19</v>
      </c>
      <c r="C10792" s="3">
        <v>44535.698703703703</v>
      </c>
      <c r="D10792" s="1" t="s">
        <v>21403</v>
      </c>
      <c r="E10792" s="1" t="str">
        <f ca="1">IFERROR(__xludf.DUMMYFUNCTION("GOOGLETRANSLATE(A7591 , ""tr"" , ""en"")"),"If @drfahrettinkoca is over the healthcare year, can we go to a normal year. Because assigning healthpieces in the healthcare year ... HTTPS://T.CO/OXFPRNYEBI")</f>
        <v>If @drfahrettinkoca is over the healthcare year, can we go to a normal year. Because assigning healthpieces in the healthcare year ... HTTPS://T.CO/OXFPRNYEBI</v>
      </c>
    </row>
    <row r="10793" spans="1:5" ht="15" customHeight="1" x14ac:dyDescent="0.2">
      <c r="A10793" s="1" t="s">
        <v>21404</v>
      </c>
      <c r="B10793" s="1">
        <v>6</v>
      </c>
      <c r="C10793" s="3">
        <v>44535.698692129627</v>
      </c>
      <c r="D10793" s="1" t="s">
        <v>21405</v>
      </c>
      <c r="E10793" s="1" t="str">
        <f ca="1">IFERROR(__xludf.DUMMYFUNCTION("GOOGLETRANSLATE(A7592 , ""tr"" , ""en"")"),"@drfahrettinkoca Finish the epidine theater for the improvement of the economy is no longer be the toy of global gangs")</f>
        <v>@drfahrettinkoca Finish the epidine theater for the improvement of the economy is no longer be the toy of global gangs</v>
      </c>
    </row>
    <row r="10794" spans="1:5" ht="15" customHeight="1" x14ac:dyDescent="0.2">
      <c r="A10794" s="1" t="s">
        <v>18602</v>
      </c>
      <c r="B10794" s="1">
        <v>21</v>
      </c>
      <c r="C10794" s="3">
        <v>44535.69866898148</v>
      </c>
      <c r="D10794" s="1" t="s">
        <v>21406</v>
      </c>
      <c r="E10794" s="1" t="str">
        <f ca="1">IFERROR(__xludf.DUMMYFUNCTION("GOOGLETRANSLATE(A7593 , ""tr"" , ""en"")"),"@drfahrettinkoca #kabinezkusagionlineline")</f>
        <v>@drfahrettinkoca #kabinezkusagionlineline</v>
      </c>
    </row>
    <row r="10795" spans="1:5" ht="15" customHeight="1" x14ac:dyDescent="0.2">
      <c r="A10795" s="1" t="s">
        <v>21407</v>
      </c>
      <c r="B10795" s="1">
        <v>6</v>
      </c>
      <c r="C10795" s="3">
        <v>44535.698645833334</v>
      </c>
      <c r="D10795" s="1" t="s">
        <v>21408</v>
      </c>
      <c r="E10795" s="1" t="str">
        <f ca="1">IFERROR(__xludf.DUMMYFUNCTION("GOOGLETRANSLATE(A7594 , ""tr"" , ""en"")"),"@drfahrettinkoca If there is no development related to the guide this week, our patience will be exhausted and enter different searches ... https://t.co/catweyg18t")</f>
        <v>@drfahrettinkoca If there is no development related to the guide this week, our patience will be exhausted and enter different searches ... https://t.co/catweyg18t</v>
      </c>
    </row>
    <row r="10796" spans="1:5" ht="15" customHeight="1" x14ac:dyDescent="0.2">
      <c r="A10796" s="1" t="s">
        <v>21409</v>
      </c>
      <c r="B10796" s="1">
        <v>0</v>
      </c>
      <c r="C10796" s="3">
        <v>44535.698622685188</v>
      </c>
      <c r="D10796" s="1" t="s">
        <v>21410</v>
      </c>
      <c r="E10796" s="1" t="str">
        <f ca="1">IFERROR(__xludf.DUMMYFUNCTION("GOOGLETRANSLATE(A7595 , ""tr"" , ""en"")"),"@drfahrettinkoca vaccination rate falls as the number of cases falls, causing why?")</f>
        <v>@drfahrettinkoca vaccination rate falls as the number of cases falls, causing why?</v>
      </c>
    </row>
    <row r="10797" spans="1:5" ht="15" customHeight="1" x14ac:dyDescent="0.2">
      <c r="A10797" s="1" t="s">
        <v>21411</v>
      </c>
      <c r="B10797" s="1">
        <v>0</v>
      </c>
      <c r="C10797" s="3">
        <v>44535.698622685188</v>
      </c>
      <c r="D10797" s="1" t="s">
        <v>21412</v>
      </c>
      <c r="E10797" s="1" t="str">
        <f ca="1">IFERROR(__xludf.DUMMYFUNCTION("GOOGLETRANSLATE(A7596 , ""tr"" , ""en"")"),"@drfahrettinkoca Please do not compromise the guide Mr. Minister")</f>
        <v>@drfahrettinkoca Please do not compromise the guide Mr. Minister</v>
      </c>
    </row>
    <row r="10798" spans="1:5" ht="15" customHeight="1" x14ac:dyDescent="0.2">
      <c r="A10798" s="1" t="s">
        <v>10058</v>
      </c>
      <c r="B10798" s="1">
        <v>1</v>
      </c>
      <c r="C10798" s="3">
        <v>44535.698622685188</v>
      </c>
      <c r="D10798" s="1" t="s">
        <v>21413</v>
      </c>
      <c r="E10798" s="1" t="str">
        <f ca="1">IFERROR(__xludf.DUMMYFUNCTION("GOOGLETRANSLATE(A7597 , ""tr"" , ""en"")"),"@drfahrettinkoca Guide")</f>
        <v>@drfahrettinkoca Guide</v>
      </c>
    </row>
    <row r="10799" spans="1:5" ht="15" customHeight="1" x14ac:dyDescent="0.2">
      <c r="A10799" s="1" t="s">
        <v>21414</v>
      </c>
      <c r="B10799" s="1">
        <v>0</v>
      </c>
      <c r="C10799" s="3">
        <v>44535.698587962965</v>
      </c>
      <c r="D10799" s="1" t="s">
        <v>21415</v>
      </c>
      <c r="E10799" s="1" t="str">
        <f ca="1">IFERROR(__xludf.DUMMYFUNCTION("GOOGLETRANSLATE(A7598 , ""tr"" , ""en"")"),"@drfahrettinkoca Zerre I don't believe in you.")</f>
        <v>@drfahrettinkoca Zerre I don't believe in you.</v>
      </c>
    </row>
    <row r="10800" spans="1:5" ht="15" customHeight="1" x14ac:dyDescent="0.2">
      <c r="A10800" s="1" t="s">
        <v>21416</v>
      </c>
      <c r="B10800" s="1">
        <v>0</v>
      </c>
      <c r="C10800" s="3">
        <v>44535.698541666665</v>
      </c>
      <c r="D10800" s="1" t="s">
        <v>21417</v>
      </c>
      <c r="E10800" s="1" t="str">
        <f ca="1">IFERROR(__xludf.DUMMYFUNCTION("GOOGLETRANSLATE(A7599 , ""tr"" , ""en"")"),"@drfahrettinkoca folks, I guess the corona don't wear very much from other troubles")</f>
        <v>@drfahrettinkoca folks, I guess the corona don't wear very much from other troubles</v>
      </c>
    </row>
    <row r="10801" spans="1:5" ht="15" customHeight="1" x14ac:dyDescent="0.2">
      <c r="A10801" s="1" t="s">
        <v>21418</v>
      </c>
      <c r="B10801" s="1">
        <v>49</v>
      </c>
      <c r="C10801" s="3">
        <v>44535.698541666665</v>
      </c>
      <c r="D10801" s="1" t="s">
        <v>21419</v>
      </c>
      <c r="E10801" s="1" t="str">
        <f ca="1">IFERROR(__xludf.DUMMYFUNCTION("GOOGLETRANSLATE(A7600 , ""tr"" , ""en"")"),"@drfahrettinka classes 60 people measure measure")</f>
        <v>@drfahrettinka classes 60 people measure measure</v>
      </c>
    </row>
    <row r="10802" spans="1:5" ht="15" customHeight="1" x14ac:dyDescent="0.2">
      <c r="A10802" s="1" t="s">
        <v>21420</v>
      </c>
      <c r="B10802" s="1">
        <v>0</v>
      </c>
      <c r="C10802" s="3">
        <v>44535.698530092595</v>
      </c>
      <c r="D10802" s="1" t="s">
        <v>21421</v>
      </c>
      <c r="E10802" s="1" t="str">
        <f ca="1">IFERROR(__xludf.DUMMYFUNCTION("GOOGLETRANSLATE(A7601 , ""tr"" , ""en"")"),"@drfahrettinkoca are you in the bat")</f>
        <v>@drfahrettinkoca are you in the bat</v>
      </c>
    </row>
    <row r="10803" spans="1:5" ht="15" customHeight="1" x14ac:dyDescent="0.2">
      <c r="A10803" s="1" t="s">
        <v>21422</v>
      </c>
      <c r="B10803" s="1">
        <v>0</v>
      </c>
      <c r="C10803" s="3">
        <v>44535.698530092595</v>
      </c>
      <c r="D10803" s="1" t="s">
        <v>21423</v>
      </c>
      <c r="E10803" s="1" t="str">
        <f ca="1">IFERROR(__xludf.DUMMYFUNCTION("GOOGLETRANSLATE(A7602 , ""tr"" , ""en"")"),"@drfahrettinkoca tittle")</f>
        <v>@drfahrettinkoca tittle</v>
      </c>
    </row>
    <row r="10804" spans="1:5" ht="15" customHeight="1" x14ac:dyDescent="0.2">
      <c r="A10804" s="1" t="s">
        <v>8849</v>
      </c>
      <c r="B10804" s="1">
        <v>0</v>
      </c>
      <c r="C10804" s="3">
        <v>44535.698518518519</v>
      </c>
      <c r="D10804" s="1" t="s">
        <v>21424</v>
      </c>
      <c r="E10804" s="1" t="str">
        <f ca="1">IFERROR(__xludf.DUMMYFUNCTION("GOOGLETRANSLATE(A7603 , ""tr"" , ""en"")"),"@drfahrettinkoca liar")</f>
        <v>@drfahrettinkoca liar</v>
      </c>
    </row>
    <row r="10805" spans="1:5" ht="15" customHeight="1" x14ac:dyDescent="0.2">
      <c r="A10805" s="1" t="s">
        <v>21425</v>
      </c>
      <c r="B10805" s="1">
        <v>3</v>
      </c>
      <c r="C10805" s="3">
        <v>44535.698518518519</v>
      </c>
      <c r="D10805" s="1" t="s">
        <v>21426</v>
      </c>
      <c r="E10805" s="1" t="str">
        <f ca="1">IFERROR(__xludf.DUMMYFUNCTION("GOOGLETRANSLATE(A7604 , ""tr"" , ""en"")"),"@drfahrettinkoca pretty lie: D")</f>
        <v>@drfahrettinkoca pretty lie: D</v>
      </c>
    </row>
    <row r="10806" spans="1:5" ht="15" customHeight="1" x14ac:dyDescent="0.2">
      <c r="A10806" s="7" t="s">
        <v>21427</v>
      </c>
      <c r="B10806" s="1">
        <v>0</v>
      </c>
      <c r="C10806" s="3">
        <v>44535.698483796295</v>
      </c>
      <c r="D10806" s="1" t="s">
        <v>21428</v>
      </c>
      <c r="E10806" s="1" t="str">
        <f ca="1">IFERROR(__xludf.DUMMYFUNCTION("GOOGLETRANSLATE(A7605 , ""tr"" , ""en"")"),"@drfahrettinkoca we will make أن شاء الله")</f>
        <v>@drfahrettinkoca we will make أن شاء الله</v>
      </c>
    </row>
    <row r="10807" spans="1:5" ht="15" customHeight="1" x14ac:dyDescent="0.2">
      <c r="A10807" s="1" t="s">
        <v>21429</v>
      </c>
      <c r="B10807" s="1">
        <v>6</v>
      </c>
      <c r="C10807" s="3">
        <v>44535.698449074072</v>
      </c>
      <c r="D10807" s="1" t="s">
        <v>21430</v>
      </c>
      <c r="E10807" s="1" t="str">
        <f ca="1">IFERROR(__xludf.DUMMYFUNCTION("GOOGLETRANSLATE(A7606 , ""tr"" , ""en"")"),"@drfahrettinkoca If you can know the real cases is unconvincing")</f>
        <v>@drfahrettinkoca If you can know the real cases is unconvincing</v>
      </c>
    </row>
    <row r="10808" spans="1:5" ht="15" customHeight="1" x14ac:dyDescent="0.2">
      <c r="A10808" s="1" t="s">
        <v>21431</v>
      </c>
      <c r="B10808" s="1">
        <v>0</v>
      </c>
      <c r="C10808" s="3">
        <v>44535.698379629626</v>
      </c>
      <c r="D10808" s="1" t="s">
        <v>21432</v>
      </c>
      <c r="E10808" s="1" t="str">
        <f ca="1">IFERROR(__xludf.DUMMYFUNCTION("GOOGLETRANSLATE(A7607 , ""tr"" , ""en"")"),"@drfahrettinkoca guide look forward to the minister")</f>
        <v>@drfahrettinkoca guide look forward to the minister</v>
      </c>
    </row>
    <row r="10809" spans="1:5" ht="15" customHeight="1" x14ac:dyDescent="0.2">
      <c r="A10809" s="1" t="s">
        <v>21433</v>
      </c>
      <c r="B10809" s="1">
        <v>27</v>
      </c>
      <c r="C10809" s="3">
        <v>44535.698368055557</v>
      </c>
      <c r="D10809" s="1" t="s">
        <v>21434</v>
      </c>
      <c r="E10809" s="1" t="str">
        <f ca="1">IFERROR(__xludf.DUMMYFUNCTION("GOOGLETRANSLATE(A7608 , ""tr"" , ""en"")"),"@drfahrettinkoca I wish you were stable for assignment 800 thousand teenagers for 1 year is the future anxiety ... https://t.co/znk1hljldx")</f>
        <v>@drfahrettinkoca I wish you were stable for assignment 800 thousand teenagers for 1 year is the future anxiety ... https://t.co/znk1hljldx</v>
      </c>
    </row>
    <row r="10810" spans="1:5" ht="15" customHeight="1" x14ac:dyDescent="0.2">
      <c r="A10810" s="1" t="s">
        <v>21435</v>
      </c>
      <c r="B10810" s="1">
        <v>1</v>
      </c>
      <c r="C10810" s="3">
        <v>44535.698344907411</v>
      </c>
      <c r="D10810" s="1" t="s">
        <v>21436</v>
      </c>
      <c r="E10810" s="1" t="str">
        <f ca="1">IFERROR(__xludf.DUMMYFUNCTION("GOOGLETRANSLATE(A7609 , ""tr"" , ""en"")"),"@drfahrettinkoca guide where is the year ending end?")</f>
        <v>@drfahrettinkoca guide where is the year ending end?</v>
      </c>
    </row>
    <row r="10811" spans="1:5" ht="15" customHeight="1" x14ac:dyDescent="0.2">
      <c r="A10811" s="1" t="s">
        <v>21437</v>
      </c>
      <c r="B10811" s="1">
        <v>0</v>
      </c>
      <c r="C10811" s="3">
        <v>44535.698321759257</v>
      </c>
      <c r="D10811" s="1" t="s">
        <v>21438</v>
      </c>
      <c r="E10811" s="1" t="str">
        <f ca="1">IFERROR(__xludf.DUMMYFUNCTION("GOOGLETRANSLATE(A7610 , ""tr"" , ""en"")"),"@drfahrettinkoca Guide please contact the Arctic Ministry")</f>
        <v>@drfahrettinkoca Guide please contact the Arctic Ministry</v>
      </c>
    </row>
    <row r="10812" spans="1:5" ht="15" customHeight="1" x14ac:dyDescent="0.2">
      <c r="A10812" s="1" t="s">
        <v>21439</v>
      </c>
      <c r="B10812" s="1">
        <v>4</v>
      </c>
      <c r="C10812" s="3">
        <v>44535.698321759257</v>
      </c>
      <c r="D10812" s="1" t="s">
        <v>21440</v>
      </c>
      <c r="E10812" s="1" t="str">
        <f ca="1">IFERROR(__xludf.DUMMYFUNCTION("GOOGLETRANSLATE(A7611 , ""tr"" , ""en"")"),"@drfahrettinkoca 2 Biontec is a 3rd vaccination opened?")</f>
        <v>@drfahrettinkoca 2 Biontec is a 3rd vaccination opened?</v>
      </c>
    </row>
    <row r="10813" spans="1:5" ht="15" customHeight="1" x14ac:dyDescent="0.2">
      <c r="A10813" s="1" t="s">
        <v>21441</v>
      </c>
      <c r="B10813" s="1">
        <v>0</v>
      </c>
      <c r="C10813" s="3">
        <v>44535.698310185187</v>
      </c>
      <c r="D10813" s="1" t="s">
        <v>21442</v>
      </c>
      <c r="E10813" s="1" t="str">
        <f ca="1">IFERROR(__xludf.DUMMYFUNCTION("GOOGLETRANSLATE(A7612 , ""tr"" , ""en"")"),"@drfahrettinkoca guidance is urgently explained to be explained")</f>
        <v>@drfahrettinkoca guidance is urgently explained to be explained</v>
      </c>
    </row>
    <row r="10814" spans="1:5" ht="15" customHeight="1" x14ac:dyDescent="0.2">
      <c r="A10814" s="1" t="s">
        <v>21443</v>
      </c>
      <c r="B10814" s="1">
        <v>0</v>
      </c>
      <c r="C10814" s="3">
        <v>44535.698310185187</v>
      </c>
      <c r="D10814" s="1" t="s">
        <v>21444</v>
      </c>
      <c r="E10814" s="1" t="str">
        <f ca="1">IFERROR(__xludf.DUMMYFUNCTION("GOOGLETRANSLATE(A7613 , ""tr"" , ""en"")"),"@drfahrettinkoca atamaa where yaa # fkuyumanere40binatama")</f>
        <v>@drfahrettinkoca atamaa where yaa # fkuyumanere40binatama</v>
      </c>
    </row>
    <row r="10815" spans="1:5" ht="15" customHeight="1" x14ac:dyDescent="0.2">
      <c r="A10815" s="1" t="s">
        <v>21445</v>
      </c>
      <c r="B10815" s="1">
        <v>0</v>
      </c>
      <c r="C10815" s="3">
        <v>44535.698275462964</v>
      </c>
      <c r="D10815" s="1" t="s">
        <v>21446</v>
      </c>
      <c r="E10815" s="1" t="str">
        <f ca="1">IFERROR(__xludf.DUMMYFUNCTION("GOOGLETRANSLATE(A7614 , ""tr"" , ""en"")"),"@drfahrettinkoca guide where Mr. Looking guide")</f>
        <v>@drfahrettinkoca guide where Mr. Looking guide</v>
      </c>
    </row>
    <row r="10816" spans="1:5" ht="15" customHeight="1" x14ac:dyDescent="0.2">
      <c r="A10816" s="1" t="s">
        <v>21447</v>
      </c>
      <c r="B10816" s="1">
        <v>0</v>
      </c>
      <c r="C10816" s="3">
        <v>44535.698240740741</v>
      </c>
      <c r="D10816" s="1" t="s">
        <v>21448</v>
      </c>
      <c r="E10816" s="1" t="str">
        <f ca="1">IFERROR(__xludf.DUMMYFUNCTION("GOOGLETRANSLATE(A7615 , ""tr"" , ""en"")"),"@drfahrettinkoca When will the Tweet about the guide to come ?? @drfahrettinkoca")</f>
        <v>@drfahrettinkoca When will the Tweet about the guide to come ?? @drfahrettinkoca</v>
      </c>
    </row>
    <row r="10817" spans="1:5" ht="15" customHeight="1" x14ac:dyDescent="0.2">
      <c r="A10817" s="1" t="s">
        <v>21449</v>
      </c>
      <c r="B10817" s="1">
        <v>0</v>
      </c>
      <c r="C10817" s="3">
        <v>44535.698240740741</v>
      </c>
      <c r="D10817" s="1" t="s">
        <v>21450</v>
      </c>
      <c r="E10817" s="1" t="str">
        <f ca="1">IFERROR(__xludf.DUMMYFUNCTION("GOOGLETRANSLATE(A7616 , ""tr"" , ""en"")"),"are @drfahrettinkoca grabbing")</f>
        <v>are @drfahrettinkoca grabbing</v>
      </c>
    </row>
    <row r="10818" spans="1:5" ht="15" customHeight="1" x14ac:dyDescent="0.2">
      <c r="A10818" s="1" t="s">
        <v>21451</v>
      </c>
      <c r="B10818" s="1">
        <v>0</v>
      </c>
      <c r="C10818" s="3">
        <v>44535.698206018518</v>
      </c>
      <c r="D10818" s="1" t="s">
        <v>21452</v>
      </c>
      <c r="E10818" s="1" t="str">
        <f ca="1">IFERROR(__xludf.DUMMYFUNCTION("GOOGLETRANSLATE(A7617 , ""tr"" , ""en"")"),"@drfahrettinkoca a mustache has lost choice this day, aren't you heard?")</f>
        <v>@drfahrettinkoca a mustache has lost choice this day, aren't you heard?</v>
      </c>
    </row>
    <row r="10819" spans="1:5" ht="15" customHeight="1" x14ac:dyDescent="0.2">
      <c r="A10819" s="1" t="s">
        <v>21453</v>
      </c>
      <c r="B10819" s="1">
        <v>0</v>
      </c>
      <c r="C10819" s="3">
        <v>44535.698206018518</v>
      </c>
      <c r="D10819" s="1" t="s">
        <v>21454</v>
      </c>
      <c r="E10819" s="1" t="str">
        <f ca="1">IFERROR(__xludf.DUMMYFUNCTION("GOOGLETRANSLATE(A7618 , ""tr"" , ""en"")"),"@drfahrettinka schools should close")</f>
        <v>@drfahrettinka schools should close</v>
      </c>
    </row>
    <row r="10820" spans="1:5" ht="15" customHeight="1" x14ac:dyDescent="0.2">
      <c r="A10820" s="1" t="s">
        <v>21455</v>
      </c>
      <c r="B10820" s="1">
        <v>22</v>
      </c>
      <c r="C10820" s="3">
        <v>44535.698125000003</v>
      </c>
      <c r="D10820" s="1" t="s">
        <v>21456</v>
      </c>
      <c r="E10820" s="1" t="str">
        <f ca="1">IFERROR(__xludf.DUMMYFUNCTION("GOOGLETRANSLATE(A7619 , ""tr"" , ""en"")"),"@drfahrettinkoca This is however you believe you don't believe you don't believe")</f>
        <v>@drfahrettinkoca This is however you believe you don't believe you don't believe</v>
      </c>
    </row>
    <row r="10821" spans="1:5" ht="15" customHeight="1" x14ac:dyDescent="0.2">
      <c r="A10821" s="1" t="s">
        <v>21457</v>
      </c>
      <c r="B10821" s="1">
        <v>36</v>
      </c>
      <c r="C10821" s="3">
        <v>44535.698067129626</v>
      </c>
      <c r="D10821" s="1" t="s">
        <v>21458</v>
      </c>
      <c r="E10821" s="1" t="str">
        <f ca="1">IFERROR(__xludf.DUMMYFUNCTION("GOOGLETRANSLATE(A7620 , ""tr"" , ""en"")"),"@drfahrettinkoca guide are welcome !!! @drfahrettinkoca # fkuyumanerede40binatama")</f>
        <v>@drfahrettinkoca guide are welcome !!! @drfahrettinkoca # fkuyumanerede40binatama</v>
      </c>
    </row>
    <row r="10822" spans="1:5" ht="15" customHeight="1" x14ac:dyDescent="0.2">
      <c r="A10822" s="1" t="s">
        <v>21459</v>
      </c>
      <c r="B10822" s="1">
        <v>14</v>
      </c>
      <c r="C10822" s="3">
        <v>44535.698067129626</v>
      </c>
      <c r="D10822" s="1" t="s">
        <v>21460</v>
      </c>
      <c r="E10822" s="1" t="str">
        <f ca="1">IFERROR(__xludf.DUMMYFUNCTION("GOOGLETRANSLATE(A7621 , ""tr"" , ""en"")"),"@drfahrettinkoca guide you are tired of tomorrow we are tired of the minister # fkuyumanere40binatama")</f>
        <v>@drfahrettinkoca guide you are tired of tomorrow we are tired of the minister # fkuyumanere40binatama</v>
      </c>
    </row>
    <row r="10823" spans="1:5" ht="15" customHeight="1" x14ac:dyDescent="0.2">
      <c r="A10823" s="1" t="s">
        <v>21461</v>
      </c>
      <c r="B10823" s="1">
        <v>0</v>
      </c>
      <c r="C10823" s="3">
        <v>44535.698020833333</v>
      </c>
      <c r="D10823" s="1" t="s">
        <v>21462</v>
      </c>
      <c r="E10823" s="1" t="str">
        <f ca="1">IFERROR(__xludf.DUMMYFUNCTION("GOOGLETRANSLATE(A7622 , ""tr"" , ""en"")"),"@drfahrettinkoca OK I believe")</f>
        <v>@drfahrettinkoca OK I believe</v>
      </c>
    </row>
    <row r="10824" spans="1:5" ht="15" customHeight="1" x14ac:dyDescent="0.2">
      <c r="A10824" s="1" t="s">
        <v>15979</v>
      </c>
      <c r="B10824" s="1">
        <v>0</v>
      </c>
      <c r="C10824" s="3">
        <v>44535.698020833333</v>
      </c>
      <c r="D10824" s="1" t="s">
        <v>21463</v>
      </c>
      <c r="E10824" s="1" t="str">
        <f ca="1">IFERROR(__xludf.DUMMYFUNCTION("GOOGLETRANSLATE(A7623 , ""tr"" , ""en"")"),"@drfahrettinkoca guanuzzz")</f>
        <v>@drfahrettinkoca guanuzzz</v>
      </c>
    </row>
    <row r="10825" spans="1:5" ht="15" customHeight="1" x14ac:dyDescent="0.2">
      <c r="A10825" s="1" t="s">
        <v>21464</v>
      </c>
      <c r="B10825" s="1">
        <v>0</v>
      </c>
      <c r="C10825" s="3">
        <v>44535.698020833333</v>
      </c>
      <c r="D10825" s="1" t="s">
        <v>21465</v>
      </c>
      <c r="E10825" s="1" t="str">
        <f ca="1">IFERROR(__xludf.DUMMYFUNCTION("GOOGLETRANSLATE(A7624 , ""tr"" , ""en"")"),"@drfahrettinkoca What's the biggest undercarriage goes spontaneously measures")</f>
        <v>@drfahrettinkoca What's the biggest undercarriage goes spontaneously measures</v>
      </c>
    </row>
    <row r="10826" spans="1:5" ht="15" customHeight="1" x14ac:dyDescent="0.2">
      <c r="A10826" s="1" t="s">
        <v>21466</v>
      </c>
      <c r="B10826" s="1">
        <v>45</v>
      </c>
      <c r="C10826" s="3">
        <v>44535.697962962964</v>
      </c>
      <c r="D10826" s="1" t="s">
        <v>21467</v>
      </c>
      <c r="E10826" s="1" t="str">
        <f ca="1">IFERROR(__xludf.DUMMYFUNCTION("GOOGLETRANSLATE(A7625 , ""tr"" , ""en"")"),"@drfahrettinkoca Gene You did the daily routine joke ha jokici # cabinet linizing")</f>
        <v>@drfahrettinkoca Gene You did the daily routine joke ha jokici # cabinet linizing</v>
      </c>
    </row>
    <row r="10827" spans="1:5" ht="15" customHeight="1" x14ac:dyDescent="0.2">
      <c r="A10827" s="1" t="s">
        <v>21468</v>
      </c>
      <c r="B10827" s="1">
        <v>80</v>
      </c>
      <c r="C10827" s="3">
        <v>44535.697962962964</v>
      </c>
      <c r="D10827" s="1" t="s">
        <v>21469</v>
      </c>
      <c r="E10827" s="1" t="str">
        <f ca="1">IFERROR(__xludf.DUMMYFUNCTION("GOOGLETRANSLATE(A7626 , ""tr"" , ""en"")"),"@drfahrettinkoca How many people who believe in this table are really?")</f>
        <v>@drfahrettinkoca How many people who believe in this table are really?</v>
      </c>
    </row>
    <row r="10828" spans="1:5" ht="15" customHeight="1" x14ac:dyDescent="0.2">
      <c r="A10828" s="1" t="s">
        <v>21470</v>
      </c>
      <c r="B10828" s="1">
        <v>0</v>
      </c>
      <c r="C10828" s="3">
        <v>44535.697939814818</v>
      </c>
      <c r="D10828" s="1" t="s">
        <v>21471</v>
      </c>
      <c r="E10828" s="1" t="str">
        <f ca="1">IFERROR(__xludf.DUMMYFUNCTION("GOOGLETRANSLATE(A7627 , ""tr"" , ""en"")"),"@drfahrettinkoca Minister, let the social vital restriction of non-vaccines. May the private groceries are determined and shop there")</f>
        <v>@drfahrettinkoca Minister, let the social vital restriction of non-vaccines. May the private groceries are determined and shop there</v>
      </c>
    </row>
    <row r="10829" spans="1:5" ht="15" customHeight="1" x14ac:dyDescent="0.2">
      <c r="A10829" s="1" t="s">
        <v>21472</v>
      </c>
      <c r="B10829" s="1">
        <v>0</v>
      </c>
      <c r="C10829" s="3">
        <v>44535.697928240741</v>
      </c>
      <c r="D10829" s="1" t="s">
        <v>21473</v>
      </c>
      <c r="E10829" s="1" t="str">
        <f ca="1">IFERROR(__xludf.DUMMYFUNCTION("GOOGLETRANSLATE(A7628 , ""tr"" , ""en"")"),"@drfahrettinkoca is not difficult to lower on keyboard AQ")</f>
        <v>@drfahrettinkoca is not difficult to lower on keyboard AQ</v>
      </c>
    </row>
    <row r="10830" spans="1:5" ht="15" customHeight="1" x14ac:dyDescent="0.2">
      <c r="A10830" s="1" t="s">
        <v>21474</v>
      </c>
      <c r="B10830" s="1">
        <v>5</v>
      </c>
      <c r="C10830" s="3">
        <v>44535.697928240741</v>
      </c>
      <c r="D10830" s="1" t="s">
        <v>21475</v>
      </c>
      <c r="E10830" s="1" t="str">
        <f ca="1">IFERROR(__xludf.DUMMYFUNCTION("GOOGLETRANSLATE(A7629 , ""tr"" , ""en"")"),"@drfahrettinkoca Lookin 'Schools of the Schedulers Tapping for a cleaner life")</f>
        <v>@drfahrettinkoca Lookin 'Schools of the Schedulers Tapping for a cleaner life</v>
      </c>
    </row>
    <row r="10831" spans="1:5" ht="15" customHeight="1" x14ac:dyDescent="0.2">
      <c r="A10831" s="1" t="s">
        <v>21476</v>
      </c>
      <c r="B10831" s="1">
        <v>1</v>
      </c>
      <c r="C10831" s="3">
        <v>44535.697905092595</v>
      </c>
      <c r="D10831" s="1" t="s">
        <v>21477</v>
      </c>
      <c r="E10831" s="1" t="str">
        <f ca="1">IFERROR(__xludf.DUMMYFUNCTION("GOOGLETRANSLATE(A7630 , ""tr"" , ""en"")"),"@drfahrettinkoca tad is not making concessions thrilling")</f>
        <v>@drfahrettinkoca tad is not making concessions thrilling</v>
      </c>
    </row>
    <row r="10832" spans="1:5" ht="15" customHeight="1" x14ac:dyDescent="0.2">
      <c r="A10832" s="1" t="s">
        <v>21478</v>
      </c>
      <c r="B10832" s="1">
        <v>0</v>
      </c>
      <c r="C10832" s="3">
        <v>44535.697881944441</v>
      </c>
      <c r="D10832" s="1" t="s">
        <v>21479</v>
      </c>
      <c r="E10832" s="1" t="str">
        <f ca="1">IFERROR(__xludf.DUMMYFUNCTION("GOOGLETRANSLATE(A7631 , ""tr"" , ""en"")"),"@drfahrettinkoca is the possessions when we weren't having our news.")</f>
        <v>@drfahrettinkoca is the possessions when we weren't having our news.</v>
      </c>
    </row>
    <row r="10833" spans="1:5" ht="15" customHeight="1" x14ac:dyDescent="0.2">
      <c r="A10833" s="1" t="s">
        <v>21480</v>
      </c>
      <c r="B10833" s="1">
        <v>0</v>
      </c>
      <c r="C10833" s="3">
        <v>44535.697881944441</v>
      </c>
      <c r="D10833" s="1" t="s">
        <v>21481</v>
      </c>
      <c r="E10833" s="1" t="str">
        <f ca="1">IFERROR(__xludf.DUMMYFUNCTION("GOOGLETRANSLATE(A7632 , ""tr"" , ""en"")"),"@drfahrettinkoca guanuzzz")</f>
        <v>@drfahrettinkoca guanuzzz</v>
      </c>
    </row>
    <row r="10834" spans="1:5" ht="15" customHeight="1" x14ac:dyDescent="0.2">
      <c r="A10834" s="1" t="s">
        <v>21482</v>
      </c>
      <c r="B10834" s="1">
        <v>0</v>
      </c>
      <c r="C10834" s="3">
        <v>44535.697835648149</v>
      </c>
      <c r="D10834" s="1" t="s">
        <v>21483</v>
      </c>
      <c r="E10834" s="1" t="str">
        <f ca="1">IFERROR(__xludf.DUMMYFUNCTION("GOOGLETRANSLATE(A7633 , ""tr"" , ""en"")"),"@drfahrettinkoca Ditto")</f>
        <v>@drfahrettinkoca Ditto</v>
      </c>
    </row>
    <row r="10835" spans="1:5" ht="15" customHeight="1" x14ac:dyDescent="0.2">
      <c r="A10835" s="1" t="s">
        <v>21484</v>
      </c>
      <c r="B10835" s="1">
        <v>1</v>
      </c>
      <c r="C10835" s="3">
        <v>44535.697812500002</v>
      </c>
      <c r="D10835" s="1" t="s">
        <v>21485</v>
      </c>
      <c r="E10835" s="1" t="str">
        <f ca="1">IFERROR(__xludf.DUMMYFUNCTION("GOOGLETRANSLATE(A7634 , ""tr"" , ""en"")"),"@drfahrettinkoca yaw teacher what vaccine")</f>
        <v>@drfahrettinkoca yaw teacher what vaccine</v>
      </c>
    </row>
    <row r="10836" spans="1:5" ht="15" customHeight="1" x14ac:dyDescent="0.2">
      <c r="A10836" s="1" t="s">
        <v>21486</v>
      </c>
      <c r="B10836" s="1">
        <v>1</v>
      </c>
      <c r="C10836" s="3">
        <v>44535.697789351849</v>
      </c>
      <c r="D10836" s="1" t="s">
        <v>21487</v>
      </c>
      <c r="E10836" s="1" t="str">
        <f ca="1">IFERROR(__xludf.DUMMYFUNCTION("GOOGLETRANSLATE(A7635 , ""tr"" , ""en"")"),"@drfahrettinkoca beautiful Bursa and Uludag skyline https://t.co/habdvyqtb7")</f>
        <v>@drfahrettinkoca beautiful Bursa and Uludag skyline https://t.co/habdvyqtb7</v>
      </c>
    </row>
    <row r="10837" spans="1:5" ht="15" customHeight="1" x14ac:dyDescent="0.2">
      <c r="A10837" s="1" t="s">
        <v>21488</v>
      </c>
      <c r="B10837" s="1">
        <v>0</v>
      </c>
      <c r="C10837" s="3">
        <v>44535.697777777779</v>
      </c>
      <c r="D10837" s="1" t="s">
        <v>21489</v>
      </c>
      <c r="E10837" s="1" t="str">
        <f ca="1">IFERROR(__xludf.DUMMYFUNCTION("GOOGLETRANSLATE(A7636 , ""tr"" , ""en"")"),"@drfahrettinkoca yav he")</f>
        <v>@drfahrettinkoca yav he</v>
      </c>
    </row>
    <row r="10838" spans="1:5" ht="15" customHeight="1" x14ac:dyDescent="0.2">
      <c r="A10838" s="1" t="s">
        <v>21490</v>
      </c>
      <c r="B10838" s="1">
        <v>6</v>
      </c>
      <c r="C10838" s="3">
        <v>44535.697766203702</v>
      </c>
      <c r="D10838" s="1" t="s">
        <v>21491</v>
      </c>
      <c r="E10838" s="1" t="str">
        <f ca="1">IFERROR(__xludf.DUMMYFUNCTION("GOOGLETRANSLATE(A7637 , ""tr"" , ""en"")"),"@drfahrettinkoca clavuzz")</f>
        <v>@drfahrettinkoca clavuzz</v>
      </c>
    </row>
    <row r="10839" spans="1:5" ht="15" customHeight="1" x14ac:dyDescent="0.2">
      <c r="A10839" s="1" t="s">
        <v>21492</v>
      </c>
      <c r="B10839" s="1">
        <v>0</v>
      </c>
      <c r="C10839" s="3">
        <v>44535.697766203702</v>
      </c>
      <c r="D10839" s="1" t="s">
        <v>21493</v>
      </c>
      <c r="E10839" s="1" t="str">
        <f ca="1">IFERROR(__xludf.DUMMYFUNCTION("GOOGLETRANSLATE(A7638 , ""tr"" , ""en"")"),"@drfahrettinka is very goodness")</f>
        <v>@drfahrettinka is very goodness</v>
      </c>
    </row>
    <row r="10840" spans="1:5" ht="15" customHeight="1" x14ac:dyDescent="0.2">
      <c r="A10840" s="1" t="s">
        <v>21494</v>
      </c>
      <c r="B10840" s="1">
        <v>1</v>
      </c>
      <c r="C10840" s="3">
        <v>44535.697754629633</v>
      </c>
      <c r="D10840" s="1" t="s">
        <v>21495</v>
      </c>
      <c r="E10840" s="1" t="str">
        <f ca="1">IFERROR(__xludf.DUMMYFUNCTION("GOOGLETRANSLATE(A7639 , ""tr"" , ""en"")"),"@drfahrettinkoca hahahahahahah")</f>
        <v>@drfahrettinkoca hahahahahahah</v>
      </c>
    </row>
    <row r="10841" spans="1:5" ht="15" customHeight="1" x14ac:dyDescent="0.2">
      <c r="A10841" s="1" t="s">
        <v>21496</v>
      </c>
      <c r="B10841" s="1">
        <v>0</v>
      </c>
      <c r="C10841" s="3">
        <v>44535.69771990741</v>
      </c>
      <c r="D10841" s="1" t="s">
        <v>21497</v>
      </c>
      <c r="E10841" s="1" t="str">
        <f ca="1">IFERROR(__xludf.DUMMYFUNCTION("GOOGLETRANSLATE(A7640 , ""tr"" , ""en"")"),"@drfahrettinkoca guide is expected")</f>
        <v>@drfahrettinkoca guide is expected</v>
      </c>
    </row>
    <row r="10842" spans="1:5" ht="15" customHeight="1" x14ac:dyDescent="0.2">
      <c r="A10842" s="1" t="s">
        <v>21498</v>
      </c>
      <c r="B10842" s="1">
        <v>0</v>
      </c>
      <c r="C10842" s="3">
        <v>44537.885682870372</v>
      </c>
      <c r="D10842" s="1" t="s">
        <v>21499</v>
      </c>
      <c r="E10842" s="1" t="str">
        <f ca="1">IFERROR(__xludf.DUMMYFUNCTION("GOOGLETRANSLATE(A7641 , ""tr"" , ""en"")"),"@drfahrettinka https://t.co/bxugzrgkla")</f>
        <v>@drfahrettinka https://t.co/bxugzrgkla</v>
      </c>
    </row>
    <row r="10843" spans="1:5" ht="15" customHeight="1" x14ac:dyDescent="0.2">
      <c r="A10843" s="1" t="s">
        <v>21500</v>
      </c>
      <c r="B10843" s="1">
        <v>0</v>
      </c>
      <c r="C10843" s="3">
        <v>44537.826909722222</v>
      </c>
      <c r="D10843" s="1" t="s">
        <v>21501</v>
      </c>
      <c r="E10843" s="1" t="str">
        <f ca="1">IFERROR(__xludf.DUMMYFUNCTION("GOOGLETRANSLATE(A7642 , ""tr"" , ""en"")"),"@drfahrettinkoca cases do not fall mask app No Room got up task Needs to do not wear at the beginning of one Karan ... https://t.co/jwb34nnxw3")</f>
        <v>@drfahrettinkoca cases do not fall mask app No Room got up task Needs to do not wear at the beginning of one Karan ... https://t.co/jwb34nnxw3</v>
      </c>
    </row>
    <row r="10844" spans="1:5" ht="15" customHeight="1" x14ac:dyDescent="0.2">
      <c r="A10844" s="1" t="s">
        <v>21502</v>
      </c>
      <c r="B10844" s="1">
        <v>0</v>
      </c>
      <c r="C10844" s="3">
        <v>44537.806932870371</v>
      </c>
      <c r="D10844" s="1" t="s">
        <v>21503</v>
      </c>
      <c r="E10844" s="1" t="str">
        <f ca="1">IFERROR(__xludf.DUMMYFUNCTION("GOOGLETRANSLATE(A7643 , ""tr"" , ""en"")"),"@drfahrettinkoca #sondakika 🟠 Z belt # Call with Cabinethoutlinlinist TagI with MEB and YÖK. Heard is ... https://t.co/chqxugzrcq")</f>
        <v>@drfahrettinkoca #sondakika 🟠 Z belt # Call with Cabinethoutlinlinist TagI with MEB and YÖK. Heard is ... https://t.co/chqxugzrcq</v>
      </c>
    </row>
    <row r="10845" spans="1:5" ht="15" customHeight="1" x14ac:dyDescent="0.2">
      <c r="A10845" s="1" t="s">
        <v>21504</v>
      </c>
      <c r="B10845" s="1">
        <v>0</v>
      </c>
      <c r="C10845" s="3">
        <v>44537.781064814815</v>
      </c>
      <c r="D10845" s="1" t="s">
        <v>21505</v>
      </c>
      <c r="E10845" s="1" t="str">
        <f ca="1">IFERROR(__xludf.DUMMYFUNCTION("GOOGLETRANSLATE(A7644 , ""tr"" , ""en"")"),"@drfahrettinkoca comedy show")</f>
        <v>@drfahrettinkoca comedy show</v>
      </c>
    </row>
    <row r="10846" spans="1:5" ht="15" customHeight="1" x14ac:dyDescent="0.2">
      <c r="A10846" s="1" t="s">
        <v>16850</v>
      </c>
      <c r="B10846" s="1">
        <v>1</v>
      </c>
      <c r="C10846" s="3">
        <v>44537.76730324074</v>
      </c>
      <c r="D10846" s="1" t="s">
        <v>21506</v>
      </c>
      <c r="E10846" s="1" t="str">
        <f ca="1">IFERROR(__xludf.DUMMYFUNCTION("GOOGLETRANSLATE(A7645 , ""tr"" , ""en"")"),"@drfahrettinkoca flu vaccine people cavid-19 a very quickly caught. Body should not fall out of strength.")</f>
        <v>@drfahrettinkoca flu vaccine people cavid-19 a very quickly caught. Body should not fall out of strength.</v>
      </c>
    </row>
    <row r="10847" spans="1:5" ht="15" customHeight="1" x14ac:dyDescent="0.2">
      <c r="A10847" s="1" t="s">
        <v>21507</v>
      </c>
      <c r="B10847" s="1">
        <v>0</v>
      </c>
      <c r="C10847" s="3">
        <v>44537.758657407408</v>
      </c>
      <c r="D10847" s="1" t="s">
        <v>21508</v>
      </c>
      <c r="E10847" s="1" t="str">
        <f ca="1">IFERROR(__xludf.DUMMYFUNCTION("GOOGLETRANSLATE(A7646 , ""tr"" , ""en"")"),"@drfahrettinkoca Case of Case Nursing Nursing Effective Effective Effect Guess Your Stance Shows It B ... https://t.co/9gi4afid98")</f>
        <v>@drfahrettinkoca Case of Case Nursing Nursing Effective Effective Effect Guess Your Stance Shows It B ... https://t.co/9gi4afid98</v>
      </c>
    </row>
    <row r="10848" spans="1:5" ht="15" customHeight="1" x14ac:dyDescent="0.2">
      <c r="A10848" s="1" t="s">
        <v>21509</v>
      </c>
      <c r="B10848" s="1">
        <v>1</v>
      </c>
      <c r="C10848" s="3">
        <v>44537.702534722222</v>
      </c>
      <c r="D10848" s="1" t="s">
        <v>21510</v>
      </c>
      <c r="E10848" s="1" t="str">
        <f ca="1">IFERROR(__xludf.DUMMYFUNCTION("GOOGLETRANSLATE(A7647 , ""tr"" , ""en"")"),"@drfahrettinkoca Assigning the psychologies of our children who are waiting for SN.bakanım. Explain now is the following guide.")</f>
        <v>@drfahrettinkoca Assigning the psychologies of our children who are waiting for SN.bakanım. Explain now is the following guide.</v>
      </c>
    </row>
    <row r="10849" spans="1:5" ht="15" customHeight="1" x14ac:dyDescent="0.2">
      <c r="A10849" s="1" t="s">
        <v>21511</v>
      </c>
      <c r="B10849" s="1">
        <v>1</v>
      </c>
      <c r="C10849" s="3">
        <v>44537.616851851853</v>
      </c>
      <c r="D10849" s="1" t="s">
        <v>21512</v>
      </c>
      <c r="E10849" s="1" t="str">
        <f ca="1">IFERROR(__xludf.DUMMYFUNCTION("GOOGLETRANSLATE(A7648 , ""tr"" , ""en"")"),"@drfahrettinka https://t.co/o7xn1mjwy6")</f>
        <v>@drfahrettinka https://t.co/o7xn1mjwy6</v>
      </c>
    </row>
    <row r="10850" spans="1:5" ht="15" customHeight="1" x14ac:dyDescent="0.2">
      <c r="A10850" s="1" t="s">
        <v>21513</v>
      </c>
      <c r="B10850" s="1">
        <v>0</v>
      </c>
      <c r="C10850" s="3">
        <v>44537.615706018521</v>
      </c>
      <c r="D10850" s="1" t="s">
        <v>21514</v>
      </c>
      <c r="E10850" s="1" t="str">
        <f ca="1">IFERROR(__xludf.DUMMYFUNCTION("GOOGLETRANSLATE(A7649 , ""tr"" , ""en"")"),"@drfahrettinka https://t.co/yyamjcb8sq")</f>
        <v>@drfahrettinka https://t.co/yyamjcb8sq</v>
      </c>
    </row>
    <row r="10851" spans="1:5" ht="15" customHeight="1" x14ac:dyDescent="0.2">
      <c r="A10851" s="1" t="s">
        <v>21515</v>
      </c>
      <c r="B10851" s="1">
        <v>0</v>
      </c>
      <c r="C10851" s="3">
        <v>44538.817627314813</v>
      </c>
      <c r="D10851" s="1" t="s">
        <v>21516</v>
      </c>
      <c r="E10851" s="1" t="str">
        <f ca="1">IFERROR(__xludf.DUMMYFUNCTION("GOOGLETRANSLATE(A7650 , ""tr"" , ""en"")"),"@drfahrettinkoca cases Tourists didn't fall when the future?")</f>
        <v>@drfahrettinkoca cases Tourists didn't fall when the future?</v>
      </c>
    </row>
    <row r="10852" spans="1:5" ht="15" customHeight="1" x14ac:dyDescent="0.2">
      <c r="A10852" s="1" t="s">
        <v>21517</v>
      </c>
      <c r="B10852" s="1">
        <v>0</v>
      </c>
      <c r="C10852" s="3">
        <v>44541.870127314818</v>
      </c>
      <c r="D10852" s="1" t="s">
        <v>21518</v>
      </c>
      <c r="E10852" s="1" t="str">
        <f ca="1">IFERROR(__xludf.DUMMYFUNCTION("GOOGLETRANSLATE(A7651 , ""tr"" , ""en"")"),"@drfahrettinkoca @drfahrettinkoca @drfahrettinkoca @drterdogan How are you people blacking our lives We are your youth our blood ... https://t.co/hgb5IRqpby")</f>
        <v>@drfahrettinkoca @drfahrettinkoca @drfahrettinkoca @drterdogan How are you people blacking our lives We are your youth our blood ... https://t.co/hgb5IRqpby</v>
      </c>
    </row>
    <row r="10853" spans="1:5" ht="15" customHeight="1" x14ac:dyDescent="0.2">
      <c r="A10853" s="1" t="s">
        <v>21519</v>
      </c>
      <c r="B10853" s="1">
        <v>0</v>
      </c>
      <c r="C10853" s="3">
        <v>44541.86277777778</v>
      </c>
      <c r="D10853" s="1" t="s">
        <v>21520</v>
      </c>
      <c r="E10853" s="1" t="str">
        <f ca="1">IFERROR(__xludf.DUMMYFUNCTION("GOOGLETRANSLATE(A7652 , ""tr"" , ""en"")"),"@drfahrettinkoca Is it ordered to drop and finish? We have gods to 60 thousands of how you make it out.")</f>
        <v>@drfahrettinkoca Is it ordered to drop and finish? We have gods to 60 thousands of how you make it out.</v>
      </c>
    </row>
    <row r="10854" spans="1:5" ht="15" customHeight="1" x14ac:dyDescent="0.2">
      <c r="A10854" s="1" t="s">
        <v>21521</v>
      </c>
      <c r="B10854" s="1">
        <v>0</v>
      </c>
      <c r="C10854" s="3">
        <v>44540.708935185183</v>
      </c>
      <c r="D10854" s="1" t="s">
        <v>21522</v>
      </c>
      <c r="E10854" s="1" t="str">
        <f ca="1">IFERROR(__xludf.DUMMYFUNCTION("GOOGLETRANSLATE(A7653 , ""tr"" , ""en"")"),"@drfahrettinkoca Mr. Minister My test at Bucak State Hospital. Positive output but no specimen re-test ... https://t.co/nqe0ap3rvv")</f>
        <v>@drfahrettinkoca Mr. Minister My test at Bucak State Hospital. Positive output but no specimen re-test ... https://t.co/nqe0ap3rvv</v>
      </c>
    </row>
    <row r="10855" spans="1:5" ht="15" customHeight="1" x14ac:dyDescent="0.2">
      <c r="A10855" s="1" t="s">
        <v>21523</v>
      </c>
      <c r="B10855" s="1">
        <v>0</v>
      </c>
      <c r="C10855" s="3">
        <v>44536.883483796293</v>
      </c>
      <c r="D10855" s="1" t="s">
        <v>21524</v>
      </c>
      <c r="E10855" s="1" t="str">
        <f ca="1">IFERROR(__xludf.DUMMYFUNCTION("GOOGLETRANSLATE(A7654 , ""tr"" , ""en"")"),"@drfahrettinkoca Homemade")</f>
        <v>@drfahrettinkoca Homemade</v>
      </c>
    </row>
    <row r="10856" spans="1:5" ht="15" customHeight="1" x14ac:dyDescent="0.2">
      <c r="A10856" s="1" t="s">
        <v>21525</v>
      </c>
      <c r="B10856" s="1">
        <v>0</v>
      </c>
      <c r="C10856" s="3">
        <v>44536.87840277778</v>
      </c>
      <c r="D10856" s="1" t="s">
        <v>21526</v>
      </c>
      <c r="E10856" s="1" t="str">
        <f ca="1">IFERROR(__xludf.DUMMYFUNCTION("GOOGLETRANSLATE(A7655 , ""tr"" , ""en"")"),"@drfahrettinkoca Moon I have forgotten you I didn't wear it 🙄kimsi can't fall in cases too")</f>
        <v>@drfahrettinkoca Moon I have forgotten you I didn't wear it 🙄kimsi can't fall in cases too</v>
      </c>
    </row>
    <row r="10857" spans="1:5" ht="15" customHeight="1" x14ac:dyDescent="0.2">
      <c r="A10857" s="1" t="s">
        <v>21527</v>
      </c>
      <c r="B10857" s="1">
        <v>1</v>
      </c>
      <c r="C10857" s="3">
        <v>44536.838900462964</v>
      </c>
      <c r="D10857" s="1" t="s">
        <v>21528</v>
      </c>
      <c r="E10857" s="1" t="str">
        <f ca="1">IFERROR(__xludf.DUMMYFUNCTION("GOOGLETRANSLATE(A7656 , ""tr"" , ""en"")"),"@drfahrettinkoca fahooooooooooo")</f>
        <v>@drfahrettinkoca fahooooooooooo</v>
      </c>
    </row>
    <row r="10858" spans="1:5" ht="15" customHeight="1" x14ac:dyDescent="0.2">
      <c r="A10858" s="1" t="s">
        <v>21529</v>
      </c>
      <c r="B10858" s="1">
        <v>0</v>
      </c>
      <c r="C10858" s="3">
        <v>44536.837395833332</v>
      </c>
      <c r="D10858" s="1" t="s">
        <v>21530</v>
      </c>
      <c r="E10858" s="1" t="str">
        <f ca="1">IFERROR(__xludf.DUMMYFUNCTION("GOOGLETRANSLATE(A7657 , ""tr"" , ""en"")"),"@drfahrettinkoca despicable complex you have permanently edema has been edification")</f>
        <v>@drfahrettinkoca despicable complex you have permanently edema has been edification</v>
      </c>
    </row>
    <row r="10859" spans="1:5" ht="15" customHeight="1" x14ac:dyDescent="0.2">
      <c r="A10859" s="1" t="s">
        <v>21531</v>
      </c>
      <c r="B10859" s="1">
        <v>0</v>
      </c>
      <c r="C10859" s="3">
        <v>44536.836076388892</v>
      </c>
      <c r="D10859" s="1" t="s">
        <v>21532</v>
      </c>
      <c r="E10859" s="1" t="str">
        <f ca="1">IFERROR(__xludf.DUMMYFUNCTION("GOOGLETRANSLATE(A7658 , ""tr"" , ""en"")"),"@drfahrettinkoca quit meat fahrcriber Information you gave as much as your honor is as wrong as the character")</f>
        <v>@drfahrettinkoca quit meat fahrcriber Information you gave as much as your honor is as wrong as the character</v>
      </c>
    </row>
    <row r="10860" spans="1:5" ht="15" customHeight="1" x14ac:dyDescent="0.2">
      <c r="A10860" s="1" t="s">
        <v>21533</v>
      </c>
      <c r="B10860" s="1">
        <v>0</v>
      </c>
      <c r="C10860" s="3">
        <v>44536.813807870371</v>
      </c>
      <c r="D10860" s="1" t="s">
        <v>21534</v>
      </c>
      <c r="E10860" s="1" t="str">
        <f ca="1">IFERROR(__xludf.DUMMYFUNCTION("GOOGLETRANSLATE(A7659 , ""tr"" , ""en"")"),"@drfahrettinka which dedication?")</f>
        <v>@drfahrettinka which dedication?</v>
      </c>
    </row>
    <row r="10861" spans="1:5" ht="15" customHeight="1" x14ac:dyDescent="0.2">
      <c r="A10861" s="1" t="s">
        <v>21535</v>
      </c>
      <c r="B10861" s="1">
        <v>0</v>
      </c>
      <c r="C10861" s="3">
        <v>44536.791122685187</v>
      </c>
      <c r="D10861" s="1" t="s">
        <v>21536</v>
      </c>
      <c r="E10861" s="1" t="str">
        <f ca="1">IFERROR(__xludf.DUMMYFUNCTION("GOOGLETRANSLATE(A7660 , ""tr"" , ""en"")"),"@drfahrettinkoca for Allah I gave money to the nation to the nation as the rebel, go to the stability. NobleGameSen ... https://t.co/nv3ga2rjts")</f>
        <v>@drfahrettinkoca for Allah I gave money to the nation to the nation as the rebel, go to the stability. NobleGameSen ... https://t.co/nv3ga2rjts</v>
      </c>
    </row>
    <row r="10862" spans="1:5" ht="15" customHeight="1" x14ac:dyDescent="0.2">
      <c r="A10862" s="1" t="s">
        <v>21537</v>
      </c>
      <c r="B10862" s="1">
        <v>1</v>
      </c>
      <c r="C10862" s="3">
        <v>44535.965115740742</v>
      </c>
      <c r="D10862" s="1" t="s">
        <v>21538</v>
      </c>
      <c r="E10862" s="1" t="str">
        <f ca="1">IFERROR(__xludf.DUMMYFUNCTION("GOOGLETRANSLATE(A7661 , ""tr"" , ""en"")"),"@drfahrettinkoca Mr. Overlooking This provinces is how the ragmen is over the 80 percent of the 80 percent of these provinces ... HTTPS://T.CO/E1EIELPTR9")</f>
        <v>@drfahrettinkoca Mr. Overlooking This provinces is how the ragmen is over the 80 percent of the 80 percent of these provinces ... HTTPS://T.CO/E1EIELPTR9</v>
      </c>
    </row>
    <row r="10863" spans="1:5" ht="15" customHeight="1" x14ac:dyDescent="0.2">
      <c r="A10863" s="1" t="s">
        <v>21539</v>
      </c>
      <c r="B10863" s="1">
        <v>0</v>
      </c>
      <c r="C10863" s="3">
        <v>44535.922719907408</v>
      </c>
      <c r="D10863" s="1" t="s">
        <v>21540</v>
      </c>
      <c r="E10863" s="1" t="str">
        <f ca="1">IFERROR(__xludf.DUMMYFUNCTION("GOOGLETRANSLATE(A7662 , ""tr"" , ""en"")"),"@drfahrettinkoca Hayla schools say what is open")</f>
        <v>@drfahrettinkoca Hayla schools say what is open</v>
      </c>
    </row>
    <row r="10864" spans="1:5" ht="15" customHeight="1" x14ac:dyDescent="0.2">
      <c r="A10864" s="1" t="s">
        <v>21541</v>
      </c>
      <c r="B10864" s="1">
        <v>0</v>
      </c>
      <c r="C10864" s="3">
        <v>44535.892118055555</v>
      </c>
      <c r="D10864" s="1" t="s">
        <v>21542</v>
      </c>
      <c r="E10864" s="1" t="str">
        <f ca="1">IFERROR(__xludf.DUMMYFUNCTION("GOOGLETRANSLATE(A7663 , ""tr"" , ""en"")"),"If @drfahrettinkoca is still no restrictions, cases will continue to increase minubus clicks")</f>
        <v>If @drfahrettinkoca is still no restrictions, cases will continue to increase minubus clicks</v>
      </c>
    </row>
    <row r="10865" spans="1:5" ht="15" customHeight="1" x14ac:dyDescent="0.2">
      <c r="A10865" s="1" t="s">
        <v>21543</v>
      </c>
      <c r="B10865" s="1">
        <v>14</v>
      </c>
      <c r="C10865" s="3">
        <v>44535.890185185184</v>
      </c>
      <c r="D10865" s="1" t="s">
        <v>21544</v>
      </c>
      <c r="E10865" s="1" t="str">
        <f ca="1">IFERROR(__xludf.DUMMYFUNCTION("GOOGLETRANSLATE(A7664 , ""tr"" , ""en"")"),"@drfahrettinkoca has nobody's interested. At the most recently, the liquid will ask the calculator of #pfizers.")</f>
        <v>@drfahrettinkoca has nobody's interested. At the most recently, the liquid will ask the calculator of #pfizers.</v>
      </c>
    </row>
    <row r="10866" spans="1:5" ht="15" customHeight="1" x14ac:dyDescent="0.2">
      <c r="A10866" s="1" t="s">
        <v>7770</v>
      </c>
      <c r="B10866" s="1">
        <v>0</v>
      </c>
      <c r="C10866" s="3">
        <v>44535.876701388886</v>
      </c>
      <c r="D10866" s="1" t="s">
        <v>21545</v>
      </c>
      <c r="E10866" s="1" t="str">
        <f ca="1">IFERROR(__xludf.DUMMYFUNCTION("GOOGLETRANSLATE(A7665 , ""tr"" , ""en"")"),"@drfahrettinkoca dietitians are welcomed to assign the assignment to the dietitians Sayin Minister 91 Score of Cardiacy Still Acikta")</f>
        <v>@drfahrettinkoca dietitians are welcomed to assign the assignment to the dietitians Sayin Minister 91 Score of Cardiacy Still Acikta</v>
      </c>
    </row>
    <row r="10867" spans="1:5" ht="15" customHeight="1" x14ac:dyDescent="0.2">
      <c r="A10867" s="1" t="s">
        <v>21546</v>
      </c>
      <c r="B10867" s="1">
        <v>0</v>
      </c>
      <c r="C10867" s="3">
        <v>44535.86446759259</v>
      </c>
      <c r="D10867" s="1" t="s">
        <v>21547</v>
      </c>
      <c r="E10867" s="1" t="str">
        <f ca="1">IFERROR(__xludf.DUMMYFUNCTION("GOOGLETRANSLATE(A7666 , ""tr"" , ""en"")"),"@drfahrettinkoca presently no one says that you don't call you Mr. Osmaniye also the rate of vaccine ... https://t.co/2fj66fjfr8")</f>
        <v>@drfahrettinkoca presently no one says that you don't call you Mr. Osmaniye also the rate of vaccine ... https://t.co/2fj66fjfr8</v>
      </c>
    </row>
    <row r="10868" spans="1:5" ht="15" customHeight="1" x14ac:dyDescent="0.2">
      <c r="A10868" s="1" t="s">
        <v>21548</v>
      </c>
      <c r="B10868" s="1">
        <v>0</v>
      </c>
      <c r="C10868" s="3">
        <v>44535.859050925923</v>
      </c>
      <c r="D10868" s="1" t="s">
        <v>21549</v>
      </c>
      <c r="E10868" s="1" t="str">
        <f ca="1">IFERROR(__xludf.DUMMYFUNCTION("GOOGLETRANSLATE(A7667 , ""tr"" , ""en"")"),"@drfahrettinkoca was 2 weeks again Adana! Please take measures now.")</f>
        <v>@drfahrettinkoca was 2 weeks again Adana! Please take measures now.</v>
      </c>
    </row>
    <row r="10869" spans="1:5" ht="15" customHeight="1" x14ac:dyDescent="0.2">
      <c r="A10869" s="1" t="s">
        <v>21550</v>
      </c>
      <c r="B10869" s="1">
        <v>1</v>
      </c>
      <c r="C10869" s="3">
        <v>44535.857071759259</v>
      </c>
      <c r="D10869" s="1" t="s">
        <v>21551</v>
      </c>
      <c r="E10869" s="1" t="str">
        <f ca="1">IFERROR(__xludf.DUMMYFUNCTION("GOOGLETRANSLATE(A7668 , ""tr"" , ""en"")"),"Can @drfahrettinkoca can be AÖF exams that cannot even bring exam questions to the hall even at time? Positive ... https://t.co/L4FIHX2wni")</f>
        <v>Can @drfahrettinkoca can be AÖF exams that cannot even bring exam questions to the hall even at time? Positive ... https://t.co/L4FIHX2wni</v>
      </c>
    </row>
    <row r="10870" spans="1:5" ht="15" customHeight="1" x14ac:dyDescent="0.2">
      <c r="A10870" s="1" t="s">
        <v>21552</v>
      </c>
      <c r="B10870" s="1">
        <v>0</v>
      </c>
      <c r="C10870" s="3">
        <v>44535.847060185188</v>
      </c>
      <c r="D10870" s="1" t="s">
        <v>21553</v>
      </c>
      <c r="E10870" s="1" t="str">
        <f ca="1">IFERROR(__xludf.DUMMYFUNCTION("GOOGLETRANSLATE(A7669 , ""tr"" , ""en"")"),"What do you think the cases are high in the provinces with high @drfahrettinkoca vaccine rate? How many of them are missing dose ... https://t.co/cwzvl53hyf")</f>
        <v>What do you think the cases are high in the provinces with high @drfahrettinkoca vaccine rate? How many of them are missing dose ... https://t.co/cwzvl53hyf</v>
      </c>
    </row>
    <row r="10871" spans="1:5" ht="15" customHeight="1" x14ac:dyDescent="0.2">
      <c r="A10871" s="1" t="s">
        <v>21554</v>
      </c>
      <c r="B10871" s="1">
        <v>0</v>
      </c>
      <c r="C10871" s="3">
        <v>44535.835914351854</v>
      </c>
      <c r="D10871" s="1" t="s">
        <v>21555</v>
      </c>
      <c r="E10871" s="1" t="str">
        <f ca="1">IFERROR(__xludf.DUMMYFUNCTION("GOOGLETRANSLATE(A7670 , ""tr"" , ""en"")"),"@drfahrettinka Well, this provincial has been successful in vaccination Hani Protects the vaccine in what is increasing SN")</f>
        <v>@drfahrettinka Well, this provincial has been successful in vaccination Hani Protects the vaccine in what is increasing SN</v>
      </c>
    </row>
    <row r="10872" spans="1:5" ht="15" customHeight="1" x14ac:dyDescent="0.2">
      <c r="A10872" s="1" t="s">
        <v>21556</v>
      </c>
      <c r="B10872" s="1">
        <v>0</v>
      </c>
      <c r="C10872" s="3">
        <v>44535.833124999997</v>
      </c>
      <c r="D10872" s="1" t="s">
        <v>21557</v>
      </c>
      <c r="E10872" s="1" t="str">
        <f ca="1">IFERROR(__xludf.DUMMYFUNCTION("GOOGLETRANSLATE(A7671 , ""tr"" , ""en"")"),"@drfahrettinkoca # CabineticsLineLinisting Https://T.CO/IFUDUFSKGU")</f>
        <v>@drfahrettinkoca # CabineticsLineLinisting Https://T.CO/IFUDUFSKGU</v>
      </c>
    </row>
    <row r="10873" spans="1:5" ht="15" customHeight="1" x14ac:dyDescent="0.2">
      <c r="A10873" s="1" t="s">
        <v>21558</v>
      </c>
      <c r="B10873" s="1">
        <v>0</v>
      </c>
      <c r="C10873" s="3">
        <v>44535.83</v>
      </c>
      <c r="D10873" s="1" t="s">
        <v>21559</v>
      </c>
      <c r="E10873" s="1" t="str">
        <f ca="1">IFERROR(__xludf.DUMMYFUNCTION("GOOGLETRANSLATE(A7672 , ""tr"" , ""en"")"),"@drfahrettinkoca Fahrettin The rate of vaccination of these provinces is also very high. Why are you talking different.")</f>
        <v>@drfahrettinkoca Fahrettin The rate of vaccination of these provinces is also very high. Why are you talking different.</v>
      </c>
    </row>
    <row r="10874" spans="1:5" ht="15" customHeight="1" x14ac:dyDescent="0.2">
      <c r="A10874" s="1" t="s">
        <v>21560</v>
      </c>
      <c r="B10874" s="1">
        <v>4</v>
      </c>
      <c r="C10874" s="3">
        <v>44535.825555555559</v>
      </c>
      <c r="D10874" s="1" t="s">
        <v>21561</v>
      </c>
      <c r="E10874" s="1" t="str">
        <f ca="1">IFERROR(__xludf.DUMMYFUNCTION("GOOGLETRANSLATE(A7673 , ""tr"" , ""en"")"),"@drfahrettinkoca # cabinezkusagionline")</f>
        <v>@drfahrettinkoca # cabinezkusagionline</v>
      </c>
    </row>
    <row r="10875" spans="1:5" ht="15" customHeight="1" x14ac:dyDescent="0.2">
      <c r="A10875" s="1" t="s">
        <v>21562</v>
      </c>
      <c r="B10875" s="1">
        <v>0</v>
      </c>
      <c r="C10875" s="3">
        <v>44535.808935185189</v>
      </c>
      <c r="D10875" s="1" t="s">
        <v>21563</v>
      </c>
      <c r="E10875" s="1" t="str">
        <f ca="1">IFERROR(__xludf.DUMMYFUNCTION("GOOGLETRANSLATE(A7674 , ""tr"" , ""en"")"),"@drfahrettinkoca every human is that the liquids that you highly recommended to human health do not benefit from human health (you are ... https://t.co/uug1jlyxb7")</f>
        <v>@drfahrettinkoca every human is that the liquids that you highly recommended to human health do not benefit from human health (you are ... https://t.co/uug1jlyxb7</v>
      </c>
    </row>
    <row r="10876" spans="1:5" ht="15" customHeight="1" x14ac:dyDescent="0.2">
      <c r="A10876" s="1" t="s">
        <v>21564</v>
      </c>
      <c r="B10876" s="1">
        <v>0</v>
      </c>
      <c r="C10876" s="3">
        <v>44535.79824074074</v>
      </c>
      <c r="D10876" s="1" t="s">
        <v>21565</v>
      </c>
      <c r="E10876" s="1" t="str">
        <f ca="1">IFERROR(__xludf.DUMMYFUNCTION("GOOGLETRANSLATE(A7675 , ""tr"" , ""en"")"),"@drfahrettinka is 77.2% of the lowest vaccine rate from the cities in the list. Urfa, Mardin, Batman, Siirt, Diya ... https://t.co/2eco7u708e")</f>
        <v>@drfahrettinka is 77.2% of the lowest vaccine rate from the cities in the list. Urfa, Mardin, Batman, Siirt, Diya ... https://t.co/2eco7u708e</v>
      </c>
    </row>
    <row r="10877" spans="1:5" ht="15" customHeight="1" x14ac:dyDescent="0.2">
      <c r="A10877" s="1" t="s">
        <v>21566</v>
      </c>
      <c r="B10877" s="1">
        <v>0</v>
      </c>
      <c r="C10877" s="3">
        <v>44535.790219907409</v>
      </c>
      <c r="D10877" s="1" t="s">
        <v>21567</v>
      </c>
      <c r="E10877" s="1" t="str">
        <f ca="1">IFERROR(__xludf.DUMMYFUNCTION("GOOGLETRANSLATE(A7676 , ""tr"" , ""en"")"),"@drfahrettinkoca is not even taking the smell of heaven, which cheats the people of Throwing Ziya. Come Repent Meat Muslim Ol Tower ... https://t.co/oiqnjbvdor")</f>
        <v>@drfahrettinkoca is not even taking the smell of heaven, which cheats the people of Throwing Ziya. Come Repent Meat Muslim Ol Tower ... https://t.co/oiqnjbvdor</v>
      </c>
    </row>
    <row r="10878" spans="1:5" ht="15" customHeight="1" x14ac:dyDescent="0.2">
      <c r="A10878" s="1" t="s">
        <v>21568</v>
      </c>
      <c r="B10878" s="1">
        <v>1</v>
      </c>
      <c r="C10878" s="3">
        <v>44535.783206018517</v>
      </c>
      <c r="D10878" s="1" t="s">
        <v>21569</v>
      </c>
      <c r="E10878" s="1" t="str">
        <f ca="1">IFERROR(__xludf.DUMMYFUNCTION("GOOGLETRANSLATE(A7677 , ""tr"" , ""en"")"),"@drfahrettinkoca If you see student buses in Burdur, you have known the reason you have very well understood the last to the rear ... https://t.co/lwrwkbcbrm")</f>
        <v>@drfahrettinkoca If you see student buses in Burdur, you have known the reason you have very well understood the last to the rear ... https://t.co/lwrwkbcbrm</v>
      </c>
    </row>
    <row r="10879" spans="1:5" ht="15" customHeight="1" x14ac:dyDescent="0.2">
      <c r="A10879" s="1" t="s">
        <v>21570</v>
      </c>
      <c r="B10879" s="1">
        <v>4</v>
      </c>
      <c r="C10879" s="3">
        <v>44535.776458333334</v>
      </c>
      <c r="D10879" s="1" t="s">
        <v>21571</v>
      </c>
      <c r="E10879" s="1" t="str">
        <f ca="1">IFERROR(__xludf.DUMMYFUNCTION("GOOGLETRANSLATE(A7678 , ""tr"" , ""en"")"),"@drfahrettinkoca is plugged in your Tamage. Get slowly on you now. Or all the fluids are right to you .. You understand ... https://t.co/hcuw5qw0hk")</f>
        <v>@drfahrettinkoca is plugged in your Tamage. Get slowly on you now. Or all the fluids are right to you .. You understand ... https://t.co/hcuw5qw0hk</v>
      </c>
    </row>
    <row r="10880" spans="1:5" ht="15" customHeight="1" x14ac:dyDescent="0.2">
      <c r="A10880" s="1" t="s">
        <v>20307</v>
      </c>
      <c r="B10880" s="1">
        <v>0</v>
      </c>
      <c r="C10880" s="3">
        <v>44535.772187499999</v>
      </c>
      <c r="D10880" s="1" t="s">
        <v>21572</v>
      </c>
      <c r="E10880" s="1" t="str">
        <f ca="1">IFERROR(__xludf.DUMMYFUNCTION("GOOGLETRANSLATE(A7679 , ""tr"" , ""en"")"),"@drfahrettinka https://t.co/eltfet8a0q")</f>
        <v>@drfahrettinka https://t.co/eltfet8a0q</v>
      </c>
    </row>
    <row r="10881" spans="1:5" ht="15" customHeight="1" x14ac:dyDescent="0.2">
      <c r="A10881" s="1" t="s">
        <v>21573</v>
      </c>
      <c r="B10881" s="1">
        <v>8</v>
      </c>
      <c r="C10881" s="3">
        <v>44535.766759259262</v>
      </c>
      <c r="D10881" s="1" t="s">
        <v>21574</v>
      </c>
      <c r="E10881" s="1" t="str">
        <f ca="1">IFERROR(__xludf.DUMMYFUNCTION("GOOGLETRANSLATE(A7680 , ""tr"" , ""en"")"),"@drfahrettinka Mahmut Özer, what innovation for us? NONE!! Teachers sick students patient students ... https://t.co/uryygpq6dt")</f>
        <v>@drfahrettinka Mahmut Özer, what innovation for us? NONE!! Teachers sick students patient students ... https://t.co/uryygpq6dt</v>
      </c>
    </row>
    <row r="10882" spans="1:5" ht="15" customHeight="1" x14ac:dyDescent="0.2">
      <c r="A10882" s="1" t="s">
        <v>20370</v>
      </c>
      <c r="B10882" s="1">
        <v>0</v>
      </c>
      <c r="C10882" s="3">
        <v>44535.762453703705</v>
      </c>
      <c r="D10882" s="1" t="s">
        <v>21575</v>
      </c>
      <c r="E10882" s="1" t="str">
        <f ca="1">IFERROR(__xludf.DUMMYFUNCTION("GOOGLETRANSLATE(A7681 , ""tr"" , ""en"")"),"@drfahrettinka https://t.co/9miwfgweuz")</f>
        <v>@drfahrettinka https://t.co/9miwfgweuz</v>
      </c>
    </row>
    <row r="10883" spans="1:5" ht="15" customHeight="1" x14ac:dyDescent="0.2">
      <c r="A10883" s="1" t="s">
        <v>20380</v>
      </c>
      <c r="B10883" s="1">
        <v>0</v>
      </c>
      <c r="C10883" s="3">
        <v>44535.760844907411</v>
      </c>
      <c r="D10883" s="1" t="s">
        <v>21576</v>
      </c>
      <c r="E10883" s="1" t="str">
        <f ca="1">IFERROR(__xludf.DUMMYFUNCTION("GOOGLETRANSLATE(A7682 , ""tr"" , ""en"")"),"@drfahrettinka https://t.co/vskp8jeh3i")</f>
        <v>@drfahrettinka https://t.co/vskp8jeh3i</v>
      </c>
    </row>
    <row r="10884" spans="1:5" ht="15" customHeight="1" x14ac:dyDescent="0.2">
      <c r="A10884" s="1" t="s">
        <v>20243</v>
      </c>
      <c r="B10884" s="1">
        <v>0</v>
      </c>
      <c r="C10884" s="3">
        <v>44535.760740740741</v>
      </c>
      <c r="D10884" s="1" t="s">
        <v>21577</v>
      </c>
      <c r="E10884" s="1" t="str">
        <f ca="1">IFERROR(__xludf.DUMMYFUNCTION("GOOGLETRANSLATE(A7683 , ""tr"" , ""en"")"),"@drfahrettinkoca We only want the guide to the 40k assignment you gave @drfahrettinkoca @rterdogan # fkuyumaneRe40binatama")</f>
        <v>@drfahrettinkoca We only want the guide to the 40k assignment you gave @drfahrettinkoca @rterdogan # fkuyumaneRe40binatama</v>
      </c>
    </row>
    <row r="10885" spans="1:5" ht="15" customHeight="1" x14ac:dyDescent="0.2">
      <c r="A10885" s="1" t="s">
        <v>21578</v>
      </c>
      <c r="B10885" s="1">
        <v>2</v>
      </c>
      <c r="C10885" s="3">
        <v>44535.75440972222</v>
      </c>
      <c r="D10885" s="1" t="s">
        <v>21579</v>
      </c>
      <c r="E10885" s="1" t="str">
        <f ca="1">IFERROR(__xludf.DUMMYFUNCTION("GOOGLETRANSLATE(A7684 , ""tr"" , ""en"")"),"@drfahrettinkoca This provinces are high in liquidation rate. So what is the reason for the increase in case numbers in these provinces? Liquid ... https://t.co/weu31xip6s")</f>
        <v>@drfahrettinkoca This provinces are high in liquidation rate. So what is the reason for the increase in case numbers in these provinces? Liquid ... https://t.co/weu31xip6s</v>
      </c>
    </row>
    <row r="10886" spans="1:5" ht="15" customHeight="1" x14ac:dyDescent="0.2">
      <c r="A10886" s="1" t="s">
        <v>21580</v>
      </c>
      <c r="B10886" s="1">
        <v>3</v>
      </c>
      <c r="C10886" s="3">
        <v>44535.726620370369</v>
      </c>
      <c r="D10886" s="1" t="s">
        <v>21581</v>
      </c>
      <c r="E10886" s="1" t="str">
        <f ca="1">IFERROR(__xludf.DUMMYFUNCTION("GOOGLETRANSLATE(A7685 , ""tr"" , ""en"")"),"@drfahrettinkoca Dear husband has never been viewed at the vaccination rates of these provinces. If you don't know mathematics let me say. Arala ... https://t.co/rpd0wfpqfv")</f>
        <v>@drfahrettinkoca Dear husband has never been viewed at the vaccination rates of these provinces. If you don't know mathematics let me say. Arala ... https://t.co/rpd0wfpqfv</v>
      </c>
    </row>
    <row r="10887" spans="1:5" ht="15" customHeight="1" x14ac:dyDescent="0.2">
      <c r="A10887" s="1" t="s">
        <v>21582</v>
      </c>
      <c r="B10887" s="1">
        <v>0</v>
      </c>
      <c r="C10887" s="3">
        <v>44535.723495370374</v>
      </c>
      <c r="D10887" s="1" t="s">
        <v>21583</v>
      </c>
      <c r="E10887" s="1" t="str">
        <f ca="1">IFERROR(__xludf.DUMMYFUNCTION("GOOGLETRANSLATE(A7686 , ""tr"" , ""en"")"),"@drfahrettinkoca where ya zonguldak")</f>
        <v>@drfahrettinkoca where ya zonguldak</v>
      </c>
    </row>
    <row r="10888" spans="1:5" ht="15" customHeight="1" x14ac:dyDescent="0.2">
      <c r="A10888" s="1" t="s">
        <v>21584</v>
      </c>
      <c r="B10888" s="1">
        <v>0</v>
      </c>
      <c r="C10888" s="3">
        <v>44535.708819444444</v>
      </c>
      <c r="D10888" s="1" t="s">
        <v>21585</v>
      </c>
      <c r="E10888" s="1" t="str">
        <f ca="1">IFERROR(__xludf.DUMMYFUNCTION("GOOGLETRANSLATE(A7687 , ""tr"" , ""en"")"),"@drfahrettinkoca guide we are yoruld to write")</f>
        <v>@drfahrettinkoca guide we are yoruld to write</v>
      </c>
    </row>
    <row r="10889" spans="1:5" ht="15" customHeight="1" x14ac:dyDescent="0.2">
      <c r="A10889" s="1" t="s">
        <v>20933</v>
      </c>
      <c r="B10889" s="1">
        <v>0</v>
      </c>
      <c r="C10889" s="3">
        <v>44535.706435185188</v>
      </c>
      <c r="D10889" s="1" t="s">
        <v>21586</v>
      </c>
      <c r="E10889" s="1" t="str">
        <f ca="1">IFERROR(__xludf.DUMMYFUNCTION("GOOGLETRANSLATE(A7688 , ""tr"" , ""en"")"),"@drfahrettinka https://t.co/i3a3ILOYRM")</f>
        <v>@drfahrettinka https://t.co/i3a3ILOYRM</v>
      </c>
    </row>
    <row r="10890" spans="1:5" ht="15" customHeight="1" x14ac:dyDescent="0.2">
      <c r="A10890" s="1" t="s">
        <v>21587</v>
      </c>
      <c r="B10890" s="1">
        <v>0</v>
      </c>
      <c r="C10890" s="3">
        <v>44535.698888888888</v>
      </c>
      <c r="D10890" s="1" t="s">
        <v>21588</v>
      </c>
      <c r="E10890" s="1" t="str">
        <f ca="1">IFERROR(__xludf.DUMMYFUNCTION("GOOGLETRANSLATE(A7689 , ""tr"" , ""en"")"),"@drfahrettinkoca Come Look at what you said here? Did you say the figure what did you say? Did you figure out? What did he say to you?")</f>
        <v>@drfahrettinkoca Come Look at what you said here? Did you say the figure what did you say? Did you figure out? What did he say to you?</v>
      </c>
    </row>
    <row r="10891" spans="1:5" ht="15" customHeight="1" x14ac:dyDescent="0.2">
      <c r="A10891" s="1" t="s">
        <v>21589</v>
      </c>
      <c r="B10891" s="1">
        <v>0</v>
      </c>
      <c r="C10891" s="3">
        <v>44535.696759259263</v>
      </c>
      <c r="D10891" s="1" t="s">
        <v>21590</v>
      </c>
      <c r="E10891" s="1" t="str">
        <f ca="1">IFERROR(__xludf.DUMMYFUNCTION("GOOGLETRANSLATE(A7690 , ""tr"" , ""en"")"),"@drfahrettinkoca Describe the guide now we have enough patience stayed at the conscience a bit of a little conscience 1 month assignment ... https://t.co/kokk3buda8")</f>
        <v>@drfahrettinkoca Describe the guide now we have enough patience stayed at the conscience a bit of a little conscience 1 month assignment ... https://t.co/kokk3buda8</v>
      </c>
    </row>
    <row r="10892" spans="1:5" ht="15" customHeight="1" x14ac:dyDescent="0.2">
      <c r="A10892" s="1" t="s">
        <v>21591</v>
      </c>
      <c r="B10892" s="1">
        <v>1</v>
      </c>
      <c r="C10892" s="3">
        <v>44537.767928240741</v>
      </c>
      <c r="D10892" s="1" t="s">
        <v>21592</v>
      </c>
      <c r="E10892" s="1" t="str">
        <f ca="1">IFERROR(__xludf.DUMMYFUNCTION("GOOGLETRANSLATE(A7691 , ""tr"" , ""en"")"),"@drfahrettinkoca supply the flu vaccine.")</f>
        <v>@drfahrettinkoca supply the flu vaccine.</v>
      </c>
    </row>
    <row r="10893" spans="1:5" ht="15" customHeight="1" x14ac:dyDescent="0.2">
      <c r="A10893" s="1" t="s">
        <v>16850</v>
      </c>
      <c r="B10893" s="1">
        <v>1</v>
      </c>
      <c r="C10893" s="3">
        <v>44537.767546296294</v>
      </c>
      <c r="D10893" s="1" t="s">
        <v>21593</v>
      </c>
      <c r="E10893" s="1" t="str">
        <f ca="1">IFERROR(__xludf.DUMMYFUNCTION("GOOGLETRANSLATE(A7692 , ""tr"" , ""en"")"),"@drfahrettinkoca flu vaccine people cavid-19 a very quickly caught. Body should not fall out of strength.")</f>
        <v>@drfahrettinkoca flu vaccine people cavid-19 a very quickly caught. Body should not fall out of strength.</v>
      </c>
    </row>
    <row r="10894" spans="1:5" ht="15" customHeight="1" x14ac:dyDescent="0.2">
      <c r="A10894" s="1" t="s">
        <v>21594</v>
      </c>
      <c r="B10894" s="1">
        <v>0</v>
      </c>
      <c r="C10894" s="3">
        <v>44537.616898148146</v>
      </c>
      <c r="D10894" s="1" t="s">
        <v>21595</v>
      </c>
      <c r="E10894" s="1" t="str">
        <f ca="1">IFERROR(__xludf.DUMMYFUNCTION("GOOGLETRANSLATE(A7693 , ""tr"" , ""en"")"),"@drfahrettinka https://t.co/axfa3ilcil")</f>
        <v>@drfahrettinka https://t.co/axfa3ilcil</v>
      </c>
    </row>
    <row r="10895" spans="1:5" ht="15" customHeight="1" x14ac:dyDescent="0.2">
      <c r="A10895" s="1" t="s">
        <v>21596</v>
      </c>
      <c r="B10895" s="1">
        <v>0</v>
      </c>
      <c r="C10895" s="3">
        <v>44537.615763888891</v>
      </c>
      <c r="D10895" s="1" t="s">
        <v>21597</v>
      </c>
      <c r="E10895" s="1" t="str">
        <f ca="1">IFERROR(__xludf.DUMMYFUNCTION("GOOGLETRANSLATE(A7694 , ""tr"" , ""en"")"),"@drfahrettinka https://t.co/5done8rtdc")</f>
        <v>@drfahrettinka https://t.co/5done8rtdc</v>
      </c>
    </row>
    <row r="10896" spans="1:5" ht="15" customHeight="1" x14ac:dyDescent="0.2">
      <c r="A10896" s="1" t="s">
        <v>21598</v>
      </c>
      <c r="B10896" s="1">
        <v>0</v>
      </c>
      <c r="C10896" s="3">
        <v>44541.870196759257</v>
      </c>
      <c r="D10896" s="1" t="s">
        <v>21599</v>
      </c>
      <c r="E10896" s="1" t="str">
        <f ca="1">IFERROR(__xludf.DUMMYFUNCTION("GOOGLETRANSLATE(A7695 , ""tr"" , ""en"")"),"@drfahrettinkoca @drfahrettinkoca @drfahrettinkoca @rterdogan How do you guys black out our lives, our youth is our blood ... https://t.co/r5br9aj7o6")</f>
        <v>@drfahrettinkoca @drfahrettinkoca @drfahrettinkoca @rterdogan How do you guys black out our lives, our youth is our blood ... https://t.co/r5br9aj7o6</v>
      </c>
    </row>
    <row r="10897" spans="1:5" ht="15" customHeight="1" x14ac:dyDescent="0.2">
      <c r="A10897" s="1" t="s">
        <v>21600</v>
      </c>
      <c r="B10897" s="1">
        <v>0</v>
      </c>
      <c r="C10897" s="3">
        <v>44540.606064814812</v>
      </c>
      <c r="D10897" s="1" t="s">
        <v>21601</v>
      </c>
      <c r="E10897" s="1" t="str">
        <f ca="1">IFERROR(__xludf.DUMMYFUNCTION("GOOGLETRANSLATE(A7696 , ""tr"" , ""en"")"),"@drfahrettinkoca Mr. Ministry We can't make an appointment to these dental hospitals, please find this also solution. Feature ... https://t.co/usvgilnbcq")</f>
        <v>@drfahrettinkoca Mr. Ministry We can't make an appointment to these dental hospitals, please find this also solution. Feature ... https://t.co/usvgilnbcq</v>
      </c>
    </row>
    <row r="10898" spans="1:5" ht="15" customHeight="1" x14ac:dyDescent="0.2">
      <c r="A10898" s="1" t="s">
        <v>21602</v>
      </c>
      <c r="B10898" s="1">
        <v>0</v>
      </c>
      <c r="C10898" s="3">
        <v>44540.490555555552</v>
      </c>
      <c r="D10898" s="1" t="s">
        <v>21603</v>
      </c>
      <c r="E10898" s="1" t="str">
        <f ca="1">IFERROR(__xludf.DUMMYFUNCTION("GOOGLETRANSLATE(A7697 , ""tr"" , ""en"")"),"@drfahrettinkoca Disabled Health Students 4Senedr Exam and Why No Receipts will be held Ekpss Assignment Ministries ... Https://t.co/rranmfuat3")</f>
        <v>@drfahrettinkoca Disabled Health Students 4Senedr Exam and Why No Receipts will be held Ekpss Assignment Ministries ... Https://t.co/rranmfuat3</v>
      </c>
    </row>
    <row r="10899" spans="1:5" ht="15" customHeight="1" x14ac:dyDescent="0.2">
      <c r="A10899" s="1" t="s">
        <v>21604</v>
      </c>
      <c r="B10899" s="1">
        <v>0</v>
      </c>
      <c r="C10899" s="3">
        <v>44540.490393518521</v>
      </c>
      <c r="D10899" s="1" t="s">
        <v>21605</v>
      </c>
      <c r="E10899" s="1" t="str">
        <f ca="1">IFERROR(__xludf.DUMMYFUNCTION("GOOGLETRANSLATE(A7698 , ""tr"" , ""en"")"),"@drfahrettinkoca Disabled Healthcarepeople 4Senedr Exam and Why No Receipts will be held EKPSS Assignment Ministries ... Https://t.co/jehkvs5nty")</f>
        <v>@drfahrettinkoca Disabled Healthcarepeople 4Senedr Exam and Why No Receipts will be held EKPSS Assignment Ministries ... Https://t.co/jehkvs5nty</v>
      </c>
    </row>
    <row r="10900" spans="1:5" ht="15" customHeight="1" x14ac:dyDescent="0.2">
      <c r="A10900" s="1" t="s">
        <v>21606</v>
      </c>
      <c r="B10900" s="1">
        <v>0</v>
      </c>
      <c r="C10900" s="3">
        <v>44540.347094907411</v>
      </c>
      <c r="D10900" s="1" t="s">
        <v>21607</v>
      </c>
      <c r="E10900" s="1" t="str">
        <f ca="1">IFERROR(__xludf.DUMMYFUNCTION("GOOGLETRANSLATE(A7699 , ""tr"" , ""en"")"),"@drfahrettinkoca is all you will do now; Der Spiegel Journal Speaking Hawk, ""If the omicron variant is also spreading ... https://t.co/s8dlafvz87")</f>
        <v>@drfahrettinkoca is all you will do now; Der Spiegel Journal Speaking Hawk, "If the omicron variant is also spreading ... https://t.co/s8dlafvz87</v>
      </c>
    </row>
    <row r="10901" spans="1:5" ht="15" customHeight="1" x14ac:dyDescent="0.2">
      <c r="A10901" s="1" t="s">
        <v>21608</v>
      </c>
      <c r="B10901" s="1">
        <v>0</v>
      </c>
      <c r="C10901" s="3">
        <v>44536.869814814818</v>
      </c>
      <c r="D10901" s="1" t="s">
        <v>21609</v>
      </c>
      <c r="E10901" s="1" t="str">
        <f ca="1">IFERROR(__xludf.DUMMYFUNCTION("GOOGLETRANSLATE(A7700 , ""tr"" , ""en"")"),"@drfahrettinkoca @saglikbakanligi Technology era MHR'Seden is unable to make an appointment from State Hospitals.")</f>
        <v>@drfahrettinkoca @saglikbakanligi Technology era MHR'Seden is unable to make an appointment from State Hospitals.</v>
      </c>
    </row>
    <row r="10902" spans="1:5" ht="15" customHeight="1" x14ac:dyDescent="0.2">
      <c r="A10902" s="1" t="s">
        <v>21610</v>
      </c>
      <c r="B10902" s="1">
        <v>0</v>
      </c>
      <c r="C10902" s="3">
        <v>44535.933321759258</v>
      </c>
      <c r="D10902" s="1" t="s">
        <v>21611</v>
      </c>
      <c r="E10902" s="1" t="str">
        <f ca="1">IFERROR(__xludf.DUMMYFUNCTION("GOOGLETRANSLATE(A7701 , ""tr"" , ""en"")"),"@drfahrettinkoca how lies my noble is now asking for the history")</f>
        <v>@drfahrettinkoca how lies my noble is now asking for the history</v>
      </c>
    </row>
    <row r="10903" spans="1:5" ht="15" customHeight="1" x14ac:dyDescent="0.2">
      <c r="A10903" s="1" t="s">
        <v>18602</v>
      </c>
      <c r="B10903" s="1">
        <v>5</v>
      </c>
      <c r="C10903" s="3">
        <v>44535.928495370368</v>
      </c>
      <c r="D10903" s="1" t="s">
        <v>21612</v>
      </c>
      <c r="E10903" s="1" t="str">
        <f ca="1">IFERROR(__xludf.DUMMYFUNCTION("GOOGLETRANSLATE(A7702 , ""tr"" , ""en"")"),"@drfahrettinkoca #kabinezkusagionlineline")</f>
        <v>@drfahrettinkoca #kabinezkusagionlineline</v>
      </c>
    </row>
    <row r="10904" spans="1:5" ht="15" customHeight="1" x14ac:dyDescent="0.2">
      <c r="A10904" s="1" t="s">
        <v>21613</v>
      </c>
      <c r="B10904" s="1">
        <v>1</v>
      </c>
      <c r="C10904" s="3">
        <v>44535.927152777775</v>
      </c>
      <c r="D10904" s="1" t="s">
        <v>21614</v>
      </c>
      <c r="E10904" s="1" t="str">
        <f ca="1">IFERROR(__xludf.DUMMYFUNCTION("GOOGLETRANSLATE(A7703 , ""tr"" , ""en"")"),"@drfahrettinka Why don't you share data as text? We are visually impaired pictures and visual texts ... https://t.co/ecbs0e5vqk")</f>
        <v>@drfahrettinka Why don't you share data as text? We are visually impaired pictures and visual texts ... https://t.co/ecbs0e5vqk</v>
      </c>
    </row>
    <row r="10905" spans="1:5" ht="15" customHeight="1" x14ac:dyDescent="0.2">
      <c r="A10905" s="1" t="s">
        <v>21615</v>
      </c>
      <c r="B10905" s="1">
        <v>0</v>
      </c>
      <c r="C10905" s="3">
        <v>44535.912997685184</v>
      </c>
      <c r="D10905" s="1" t="s">
        <v>21616</v>
      </c>
      <c r="E10905" s="1" t="str">
        <f ca="1">IFERROR(__xludf.DUMMYFUNCTION("GOOGLETRANSLATE(A7704 , ""tr"" , ""en"")"),"@drfahrettinkoca İzmirin Number What Hikmetse is the same Means that the same does not change the Yahu Bari in the Yahu Bari Yuka ... https://t.co/iqipkqljhp")</f>
        <v>@drfahrettinkoca İzmirin Number What Hikmetse is the same Means that the same does not change the Yahu Bari in the Yahu Bari Yuka ... https://t.co/iqipkqljhp</v>
      </c>
    </row>
    <row r="10906" spans="1:5" ht="15" customHeight="1" x14ac:dyDescent="0.2">
      <c r="A10906" s="1" t="s">
        <v>21617</v>
      </c>
      <c r="B10906" s="1">
        <v>0</v>
      </c>
      <c r="C10906" s="3">
        <v>44535.902499999997</v>
      </c>
      <c r="D10906" s="1" t="s">
        <v>21618</v>
      </c>
      <c r="E10906" s="1" t="str">
        <f ca="1">IFERROR(__xludf.DUMMYFUNCTION("GOOGLETRANSLATE(A7705 , ""tr"" , ""en"")"),"@drfahrettinkoca Corona is not killed with drugs and vaccines. You have ever seen someone who has ever died in the house ... https://t.co/3t40p1dcct")</f>
        <v>@drfahrettinkoca Corona is not killed with drugs and vaccines. You have ever seen someone who has ever died in the house ... https://t.co/3t40p1dcct</v>
      </c>
    </row>
    <row r="10907" spans="1:5" ht="15" customHeight="1" x14ac:dyDescent="0.2">
      <c r="A10907" s="1" t="s">
        <v>21619</v>
      </c>
      <c r="B10907" s="1">
        <v>0</v>
      </c>
      <c r="C10907" s="3">
        <v>44535.90116898148</v>
      </c>
      <c r="D10907" s="1" t="s">
        <v>21620</v>
      </c>
      <c r="E10907" s="1" t="str">
        <f ca="1">IFERROR(__xludf.DUMMYFUNCTION("GOOGLETRANSLATE(A7706 , ""tr"" , ""en"")"),"@drfahrettinkoca what happened do you don't work in that famous vaccines anymore, or they were garbage")</f>
        <v>@drfahrettinkoca what happened do you don't work in that famous vaccines anymore, or they were garbage</v>
      </c>
    </row>
    <row r="10908" spans="1:5" ht="15" customHeight="1" x14ac:dyDescent="0.2">
      <c r="A10908" s="1" t="s">
        <v>21621</v>
      </c>
      <c r="B10908" s="1">
        <v>0</v>
      </c>
      <c r="C10908" s="3">
        <v>44535.898229166669</v>
      </c>
      <c r="D10908" s="1" t="s">
        <v>21622</v>
      </c>
      <c r="E10908" s="1" t="str">
        <f ca="1">IFERROR(__xludf.DUMMYFUNCTION("GOOGLETRANSLATE(A7707 , ""tr"" , ""en"")"),"@drfahrettinka Mr. Minister; I am looking for a vaccine as one. Positive effects of being vaccination in your hand ... https://t.co/pzrawıq4s9")</f>
        <v>@drfahrettinka Mr. Minister; I am looking for a vaccine as one. Positive effects of being vaccination in your hand ... https://t.co/pzrawıq4s9</v>
      </c>
    </row>
    <row r="10909" spans="1:5" ht="15" customHeight="1" x14ac:dyDescent="0.2">
      <c r="A10909" s="1" t="s">
        <v>7770</v>
      </c>
      <c r="B10909" s="1">
        <v>0</v>
      </c>
      <c r="C10909" s="3">
        <v>44535.876516203702</v>
      </c>
      <c r="D10909" s="1" t="s">
        <v>21623</v>
      </c>
      <c r="E10909" s="1" t="str">
        <f ca="1">IFERROR(__xludf.DUMMYFUNCTION("GOOGLETRANSLATE(A7708 , ""tr"" , ""en"")"),"@drfahrettinkoca dietitians are welcomed to assign the assignment to the dietitians Sayin Minister 91 Score of Cardiacy Still Acikta")</f>
        <v>@drfahrettinkoca dietitians are welcomed to assign the assignment to the dietitians Sayin Minister 91 Score of Cardiacy Still Acikta</v>
      </c>
    </row>
    <row r="10910" spans="1:5" ht="15" customHeight="1" x14ac:dyDescent="0.2">
      <c r="A10910" s="1" t="s">
        <v>21624</v>
      </c>
      <c r="B10910" s="1">
        <v>1</v>
      </c>
      <c r="C10910" s="3">
        <v>44535.861388888887</v>
      </c>
      <c r="D10910" s="1" t="s">
        <v>21625</v>
      </c>
      <c r="E10910" s="1" t="str">
        <f ca="1">IFERROR(__xludf.DUMMYFUNCTION("GOOGLETRANSLATE(A7709 , ""tr"" , ""en"")"),"@drfahrettinkoca winter came in schools in schools when the virus is opened by the windows we are getting sick when we are sick when we are sick ... https://t.co/6cpxc7u7da")</f>
        <v>@drfahrettinkoca winter came in schools in schools when the virus is opened by the windows we are getting sick when we are sick when we are sick ... https://t.co/6cpxc7u7da</v>
      </c>
    </row>
    <row r="10911" spans="1:5" ht="15" customHeight="1" x14ac:dyDescent="0.2">
      <c r="A10911" s="1" t="s">
        <v>21626</v>
      </c>
      <c r="B10911" s="1">
        <v>1</v>
      </c>
      <c r="C10911" s="3">
        <v>44535.836863425924</v>
      </c>
      <c r="D10911" s="1" t="s">
        <v>21627</v>
      </c>
      <c r="E10911" s="1" t="str">
        <f ca="1">IFERROR(__xludf.DUMMYFUNCTION("GOOGLETRANSLATE(A7710 , ""tr"" , ""en"")"),"@drfahrettinkoca is the event that is now in my thick head; Case numbers at least where vaccinations are to bottom ... https://t.co/8ejioqzcui")</f>
        <v>@drfahrettinkoca is the event that is now in my thick head; Case numbers at least where vaccinations are to bottom ... https://t.co/8ejioqzcui</v>
      </c>
    </row>
    <row r="10912" spans="1:5" ht="15" customHeight="1" x14ac:dyDescent="0.2">
      <c r="A10912" s="1" t="s">
        <v>21628</v>
      </c>
      <c r="B10912" s="1">
        <v>0</v>
      </c>
      <c r="C10912" s="3">
        <v>44535.835625</v>
      </c>
      <c r="D10912" s="1" t="s">
        <v>21629</v>
      </c>
      <c r="E10912" s="1" t="str">
        <f ca="1">IFERROR(__xludf.DUMMYFUNCTION("GOOGLETRANSLATE(A7711 , ""tr"" , ""en"")"),"@drfahrettinkoca Minister of Tunceli and the Ordi also bi-awkwardness Destroying the figures that have been inoculation of vaccination is in the picture ... HTTPS://T.CO/1HIVVLYKY4")</f>
        <v>@drfahrettinkoca Minister of Tunceli and the Ordi also bi-awkwardness Destroying the figures that have been inoculation of vaccination is in the picture ... HTTPS://T.CO/1HIVVLYKY4</v>
      </c>
    </row>
    <row r="10913" spans="1:5" ht="15" customHeight="1" x14ac:dyDescent="0.2">
      <c r="A10913" s="1" t="s">
        <v>21630</v>
      </c>
      <c r="B10913" s="1">
        <v>0</v>
      </c>
      <c r="C10913" s="3">
        <v>44535.823379629626</v>
      </c>
      <c r="D10913" s="1" t="s">
        <v>21631</v>
      </c>
      <c r="E10913" s="1" t="str">
        <f ca="1">IFERROR(__xludf.DUMMYFUNCTION("GOOGLETRANSLATE(A7712 , ""tr"" , ""en"")"),"@drfahrettinkoca are not places to be in your compliment to the blue category a while ago?")</f>
        <v>@drfahrettinkoca are not places to be in your compliment to the blue category a while ago?</v>
      </c>
    </row>
    <row r="10914" spans="1:5" ht="15" customHeight="1" x14ac:dyDescent="0.2">
      <c r="A10914" s="1" t="s">
        <v>21632</v>
      </c>
      <c r="B10914" s="1">
        <v>0</v>
      </c>
      <c r="C10914" s="3">
        <v>44535.817488425928</v>
      </c>
      <c r="D10914" s="1" t="s">
        <v>21633</v>
      </c>
      <c r="E10914" s="1" t="str">
        <f ca="1">IFERROR(__xludf.DUMMYFUNCTION("GOOGLETRANSLATE(A7713 , ""tr"" , ""en"")"),"@drfahrettinkoca is also decreasing the case numbers as the rate of vaccination falls.")</f>
        <v>@drfahrettinkoca is also decreasing the case numbers as the rate of vaccination falls.</v>
      </c>
    </row>
    <row r="10915" spans="1:5" ht="15" customHeight="1" x14ac:dyDescent="0.2">
      <c r="A10915" s="1" t="s">
        <v>21634</v>
      </c>
      <c r="B10915" s="1">
        <v>0</v>
      </c>
      <c r="C10915" s="3">
        <v>44535.815555555557</v>
      </c>
      <c r="D10915" s="1" t="s">
        <v>21635</v>
      </c>
      <c r="E10915" s="1" t="str">
        <f ca="1">IFERROR(__xludf.DUMMYFUNCTION("GOOGLETRANSLATE(A7714 , ""tr"" , ""en"")"),"@drfahrettinka vaccine Non-Case Number in Southeast provinces why you have so few, please write if you know.")</f>
        <v>@drfahrettinka vaccine Non-Case Number in Southeast provinces why you have so few, please write if you know.</v>
      </c>
    </row>
    <row r="10916" spans="1:5" ht="15" customHeight="1" x14ac:dyDescent="0.2">
      <c r="A10916" s="1" t="s">
        <v>21636</v>
      </c>
      <c r="B10916" s="1">
        <v>0</v>
      </c>
      <c r="C10916" s="3">
        <v>44535.806203703702</v>
      </c>
      <c r="D10916" s="1" t="s">
        <v>21637</v>
      </c>
      <c r="E10916" s="1" t="str">
        <f ca="1">IFERROR(__xludf.DUMMYFUNCTION("GOOGLETRANSLATE(A7715 , ""tr"" , ""en"")"),"@drfahrettinkoca This table has bi oddity as if")</f>
        <v>@drfahrettinkoca This table has bi oddity as if</v>
      </c>
    </row>
    <row r="10917" spans="1:5" ht="15" customHeight="1" x14ac:dyDescent="0.2">
      <c r="A10917" s="1" t="s">
        <v>21638</v>
      </c>
      <c r="B10917" s="1">
        <v>0</v>
      </c>
      <c r="C10917" s="3">
        <v>44535.801782407405</v>
      </c>
      <c r="D10917" s="1" t="s">
        <v>21639</v>
      </c>
      <c r="E10917" s="1" t="str">
        <f ca="1">IFERROR(__xludf.DUMMYFUNCTION("GOOGLETRANSLATE(A7716 , ""tr"" , ""en"")"),"@drfahrettinkoca dear birth ... 💃 I love your mind 👏👏👏")</f>
        <v>@drfahrettinkoca dear birth ... 💃 I love your mind 👏👏👏</v>
      </c>
    </row>
    <row r="10918" spans="1:5" ht="15" customHeight="1" x14ac:dyDescent="0.2">
      <c r="A10918" s="1" t="s">
        <v>21640</v>
      </c>
      <c r="B10918" s="1">
        <v>0</v>
      </c>
      <c r="C10918" s="3">
        <v>44535.800555555557</v>
      </c>
      <c r="D10918" s="1" t="s">
        <v>21641</v>
      </c>
      <c r="E10918" s="1" t="str">
        <f ca="1">IFERROR(__xludf.DUMMYFUNCTION("GOOGLETRANSLATE(A7717 , ""tr"" , ""en"")"),"@drfahrettinka https://t.co/oozbyl1n4p")</f>
        <v>@drfahrettinka https://t.co/oozbyl1n4p</v>
      </c>
    </row>
    <row r="10919" spans="1:5" ht="15" customHeight="1" x14ac:dyDescent="0.2">
      <c r="A10919" s="1" t="s">
        <v>20169</v>
      </c>
      <c r="B10919" s="1">
        <v>1</v>
      </c>
      <c r="C10919" s="3">
        <v>44535.800520833334</v>
      </c>
      <c r="D10919" s="1" t="s">
        <v>21642</v>
      </c>
      <c r="E10919" s="1" t="str">
        <f ca="1">IFERROR(__xludf.DUMMYFUNCTION("GOOGLETRANSLATE(A7718 , ""tr"" , ""en"")"),"@drfahrettinka https://t.co/p5lzjjrrxz")</f>
        <v>@drfahrettinka https://t.co/p5lzjjrrxz</v>
      </c>
    </row>
    <row r="10920" spans="1:5" ht="15" customHeight="1" x14ac:dyDescent="0.2">
      <c r="A10920" s="1" t="s">
        <v>21643</v>
      </c>
      <c r="B10920" s="1">
        <v>0</v>
      </c>
      <c r="C10920" s="3">
        <v>44535.796168981484</v>
      </c>
      <c r="D10920" s="1" t="s">
        <v>21644</v>
      </c>
      <c r="E10920" s="1" t="str">
        <f ca="1">IFERROR(__xludf.DUMMYFUNCTION("GOOGLETRANSLATE(A7719 , ""tr"" , ""en"")"),"@drfahrettinkoca Turkish Words Mi Mi Stayed in Insidans?")</f>
        <v>@drfahrettinkoca Turkish Words Mi Mi Stayed in Insidans?</v>
      </c>
    </row>
    <row r="10921" spans="1:5" ht="15" customHeight="1" x14ac:dyDescent="0.2">
      <c r="A10921" s="1" t="s">
        <v>21645</v>
      </c>
      <c r="B10921" s="1">
        <v>0</v>
      </c>
      <c r="C10921" s="3">
        <v>44535.778368055559</v>
      </c>
      <c r="D10921" s="1" t="s">
        <v>21646</v>
      </c>
      <c r="E10921" s="1" t="str">
        <f ca="1">IFERROR(__xludf.DUMMYFUNCTION("GOOGLETRANSLATE(A7720 , ""tr"" , ""en"")"),"@drfahrettinka We condemn the union's moves that make the profession of physicians. Medicine Profession Domestic ... https://t.co/ngghw1fbs0")</f>
        <v>@drfahrettinka We condemn the union's moves that make the profession of physicians. Medicine Profession Domestic ... https://t.co/ngghw1fbs0</v>
      </c>
    </row>
    <row r="10922" spans="1:5" ht="15" customHeight="1" x14ac:dyDescent="0.2">
      <c r="A10922" s="1" t="s">
        <v>20321</v>
      </c>
      <c r="B10922" s="1">
        <v>1</v>
      </c>
      <c r="C10922" s="3">
        <v>44535.770902777775</v>
      </c>
      <c r="D10922" s="1" t="s">
        <v>21647</v>
      </c>
      <c r="E10922" s="1" t="str">
        <f ca="1">IFERROR(__xludf.DUMMYFUNCTION("GOOGLETRANSLATE(A7721 , ""tr"" , ""en"")"),"@drfahrettinka https://t.co/di4tk1ataIII")</f>
        <v>@drfahrettinka https://t.co/di4tk1ataIII</v>
      </c>
    </row>
    <row r="10923" spans="1:5" ht="15" customHeight="1" x14ac:dyDescent="0.2">
      <c r="A10923" s="1" t="s">
        <v>20243</v>
      </c>
      <c r="B10923" s="1">
        <v>1</v>
      </c>
      <c r="C10923" s="3">
        <v>44535.760451388887</v>
      </c>
      <c r="D10923" s="1" t="s">
        <v>21648</v>
      </c>
      <c r="E10923" s="1" t="str">
        <f ca="1">IFERROR(__xludf.DUMMYFUNCTION("GOOGLETRANSLATE(A7722 , ""tr"" , ""en"")"),"@drfahrettinkoca We only want the guide to the 40k assignment you gave @drfahrettinkoca @rterdogan # fkuyumaneRe40binatama")</f>
        <v>@drfahrettinkoca We only want the guide to the 40k assignment you gave @drfahrettinkoca @rterdogan # fkuyumaneRe40binatama</v>
      </c>
    </row>
    <row r="10924" spans="1:5" ht="15" customHeight="1" x14ac:dyDescent="0.2">
      <c r="A10924" s="1" t="s">
        <v>21649</v>
      </c>
      <c r="B10924" s="1">
        <v>0</v>
      </c>
      <c r="C10924" s="3">
        <v>44535.751122685186</v>
      </c>
      <c r="D10924" s="1" t="s">
        <v>21650</v>
      </c>
      <c r="E10924" s="1" t="str">
        <f ca="1">IFERROR(__xludf.DUMMYFUNCTION("GOOGLETRANSLATE(A7723 , ""tr"" , ""en"")"),"If @drfahrettinkoca cases are at least the provinces where there is at least the provinces are not considered if the victims are not considered otherwise ... https://t.co/ypid7qc05i")</f>
        <v>If @drfahrettinkoca cases are at least the provinces where there is at least the provinces are not considered if the victims are not considered otherwise ... https://t.co/ypid7qc05i</v>
      </c>
    </row>
    <row r="10925" spans="1:5" ht="15" customHeight="1" x14ac:dyDescent="0.2">
      <c r="A10925" s="1" t="s">
        <v>21651</v>
      </c>
      <c r="B10925" s="1">
        <v>0</v>
      </c>
      <c r="C10925" s="3">
        <v>44535.745625000003</v>
      </c>
      <c r="D10925" s="1" t="s">
        <v>21652</v>
      </c>
      <c r="E10925" s="1" t="str">
        <f ca="1">IFERROR(__xludf.DUMMYFUNCTION("GOOGLETRANSLATE(A7724 , ""tr"" , ""en"")"),"@drfahrettinkoca will enter cukurovaya Kiran. We are even more than Istanbul.")</f>
        <v>@drfahrettinkoca will enter cukurovaya Kiran. We are even more than Istanbul.</v>
      </c>
    </row>
    <row r="10926" spans="1:5" ht="15" customHeight="1" x14ac:dyDescent="0.2">
      <c r="A10926" s="1" t="s">
        <v>21653</v>
      </c>
      <c r="B10926" s="1">
        <v>0</v>
      </c>
      <c r="C10926" s="3">
        <v>44535.737430555557</v>
      </c>
      <c r="D10926" s="1" t="s">
        <v>21654</v>
      </c>
      <c r="E10926" s="1" t="str">
        <f ca="1">IFERROR(__xludf.DUMMYFUNCTION("GOOGLETRANSLATE(A7725 , ""tr"" , ""en"")"),"@drfahrettinkoca without the news of the share?")</f>
        <v>@drfahrettinkoca without the news of the share?</v>
      </c>
    </row>
    <row r="10927" spans="1:5" ht="15" customHeight="1" x14ac:dyDescent="0.2">
      <c r="A10927" s="1" t="s">
        <v>21655</v>
      </c>
      <c r="B10927" s="1">
        <v>0</v>
      </c>
      <c r="C10927" s="3">
        <v>44535.728958333333</v>
      </c>
      <c r="D10927" s="1" t="s">
        <v>21656</v>
      </c>
      <c r="E10927" s="1" t="str">
        <f ca="1">IFERROR(__xludf.DUMMYFUNCTION("GOOGLETRANSLATE(A7726 , ""tr"" , ""en"")"),"The latest Russians in @drfahrettinkoca Antalya and Mugla are also out of the sea and you are now a 300 400.")</f>
        <v>The latest Russians in @drfahrettinkoca Antalya and Mugla are also out of the sea and you are now a 300 400.</v>
      </c>
    </row>
    <row r="10928" spans="1:5" ht="15" customHeight="1" x14ac:dyDescent="0.2">
      <c r="A10928" s="1" t="s">
        <v>21657</v>
      </c>
      <c r="B10928" s="1">
        <v>72</v>
      </c>
      <c r="C10928" s="3">
        <v>44535.713171296295</v>
      </c>
      <c r="D10928" s="1" t="s">
        <v>21658</v>
      </c>
      <c r="E10928" s="1" t="str">
        <f ca="1">IFERROR(__xludf.DUMMYFUNCTION("GOOGLETRANSLATE(A7727 , ""tr"" , ""en"")"),"@drfahrettinkoca data Çooook is inconsistent, does not trust. How the Ministry of Health doesn't see and question that? Also ... https://t.co/vadzsjossg")</f>
        <v>@drfahrettinkoca data Çooook is inconsistent, does not trust. How the Ministry of Health doesn't see and question that? Also ... https://t.co/vadzsjossg</v>
      </c>
    </row>
    <row r="10929" spans="1:5" ht="15" customHeight="1" x14ac:dyDescent="0.2">
      <c r="A10929" s="1" t="s">
        <v>21659</v>
      </c>
      <c r="B10929" s="1">
        <v>0</v>
      </c>
      <c r="C10929" s="3">
        <v>44535.706990740742</v>
      </c>
      <c r="D10929" s="1" t="s">
        <v>21660</v>
      </c>
      <c r="E10929" s="1" t="str">
        <f ca="1">IFERROR(__xludf.DUMMYFUNCTION("GOOGLETRANSLATE(A7728 , ""tr"" , ""en"")"),"@drfahrettinkoca guide assignment e guide z Well")</f>
        <v>@drfahrettinkoca guide assignment e guide z Well</v>
      </c>
    </row>
    <row r="10930" spans="1:5" ht="15" customHeight="1" x14ac:dyDescent="0.2">
      <c r="A10930" s="1" t="s">
        <v>21661</v>
      </c>
      <c r="B10930" s="1">
        <v>0</v>
      </c>
      <c r="C10930" s="3">
        <v>44535.706712962965</v>
      </c>
      <c r="D10930" s="1" t="s">
        <v>21662</v>
      </c>
      <c r="E10930" s="1" t="str">
        <f ca="1">IFERROR(__xludf.DUMMYFUNCTION("GOOGLETRANSLATE(A7729 , ""tr"" , ""en"")"),"@drfahrettinkoca is breaking from the whole country Covid. Except for tourism areas. I wonder why?")</f>
        <v>@drfahrettinkoca is breaking from the whole country Covid. Except for tourism areas. I wonder why?</v>
      </c>
    </row>
    <row r="10931" spans="1:5" ht="15" customHeight="1" x14ac:dyDescent="0.2">
      <c r="A10931" s="1" t="s">
        <v>20933</v>
      </c>
      <c r="B10931" s="1">
        <v>1</v>
      </c>
      <c r="C10931" s="3">
        <v>44535.706493055557</v>
      </c>
      <c r="D10931" s="1" t="s">
        <v>21663</v>
      </c>
      <c r="E10931" s="1" t="str">
        <f ca="1">IFERROR(__xludf.DUMMYFUNCTION("GOOGLETRANSLATE(A7730 , ""tr"" , ""en"")"),"@drfahrettinka https://t.co/i3a3ILOYRM")</f>
        <v>@drfahrettinka https://t.co/i3a3ILOYRM</v>
      </c>
    </row>
    <row r="10932" spans="1:5" ht="15" customHeight="1" x14ac:dyDescent="0.2">
      <c r="A10932" s="1" t="s">
        <v>21664</v>
      </c>
      <c r="B10932" s="1">
        <v>1</v>
      </c>
      <c r="C10932" s="3">
        <v>44535.70239583333</v>
      </c>
      <c r="D10932" s="1" t="s">
        <v>21665</v>
      </c>
      <c r="E10932" s="1" t="str">
        <f ca="1">IFERROR(__xludf.DUMMYFUNCTION("GOOGLETRANSLATE(A7731 , ""tr"" , ""en"")"),"@drfahrettinkoca This uncertainty is now last find # fkuyumanerine40binatama")</f>
        <v>@drfahrettinkoca This uncertainty is now last find # fkuyumanerine40binatama</v>
      </c>
    </row>
    <row r="10933" spans="1:5" ht="15" customHeight="1" x14ac:dyDescent="0.2">
      <c r="A10933" s="1" t="s">
        <v>21666</v>
      </c>
      <c r="B10933" s="1">
        <v>0</v>
      </c>
      <c r="C10933" s="3">
        <v>44535.701805555553</v>
      </c>
      <c r="D10933" s="1" t="s">
        <v>21667</v>
      </c>
      <c r="E10933" s="1" t="str">
        <f ca="1">IFERROR(__xludf.DUMMYFUNCTION("GOOGLETRANSLATE(A7732 , ""tr"" , ""en"")"),"@drfahrettinkoca Description We are looking forward to # fusable")</f>
        <v>@drfahrettinkoca Description We are looking forward to # fusable</v>
      </c>
    </row>
    <row r="10934" spans="1:5" ht="15" customHeight="1" x14ac:dyDescent="0.2">
      <c r="A10934" s="1" t="s">
        <v>21668</v>
      </c>
      <c r="B10934" s="1">
        <v>0</v>
      </c>
      <c r="C10934" s="3">
        <v>44535.701643518521</v>
      </c>
      <c r="D10934" s="1" t="s">
        <v>21669</v>
      </c>
      <c r="E10934" s="1" t="str">
        <f ca="1">IFERROR(__xludf.DUMMYFUNCTION("GOOGLETRANSLATE(A7733 , ""tr"" , ""en"")"),"@drfahrettinkoca guide # fcking")</f>
        <v>@drfahrettinkoca guide # fcking</v>
      </c>
    </row>
    <row r="10935" spans="1:5" ht="15" customHeight="1" x14ac:dyDescent="0.2">
      <c r="A10935" s="1" t="s">
        <v>21670</v>
      </c>
      <c r="B10935" s="1">
        <v>1</v>
      </c>
      <c r="C10935" s="3">
        <v>44537.768287037034</v>
      </c>
      <c r="D10935" s="1" t="s">
        <v>21671</v>
      </c>
      <c r="E10935" s="1" t="str">
        <f ca="1">IFERROR(__xludf.DUMMYFUNCTION("GOOGLETRANSLATE(A7734 , ""tr"" , ""en"")"),"@drfahrettinkoca grip vaccine where.")</f>
        <v>@drfahrettinkoca grip vaccine where.</v>
      </c>
    </row>
    <row r="10936" spans="1:5" ht="15" customHeight="1" x14ac:dyDescent="0.2">
      <c r="A10936" s="1" t="s">
        <v>16850</v>
      </c>
      <c r="B10936" s="1">
        <v>1</v>
      </c>
      <c r="C10936" s="3">
        <v>44537.768136574072</v>
      </c>
      <c r="D10936" s="1" t="s">
        <v>21672</v>
      </c>
      <c r="E10936" s="1" t="str">
        <f ca="1">IFERROR(__xludf.DUMMYFUNCTION("GOOGLETRANSLATE(A7735 , ""tr"" , ""en"")"),"@drfahrettinkoca flu vaccine people cavid-19 a very quickly caught. Body should not fall out of strength.")</f>
        <v>@drfahrettinkoca flu vaccine people cavid-19 a very quickly caught. Body should not fall out of strength.</v>
      </c>
    </row>
    <row r="10937" spans="1:5" ht="15" customHeight="1" x14ac:dyDescent="0.2">
      <c r="A10937" s="1" t="s">
        <v>21673</v>
      </c>
      <c r="B10937" s="1">
        <v>0</v>
      </c>
      <c r="C10937" s="3">
        <v>44537.616944444446</v>
      </c>
      <c r="D10937" s="1" t="s">
        <v>21674</v>
      </c>
      <c r="E10937" s="1" t="str">
        <f ca="1">IFERROR(__xludf.DUMMYFUNCTION("GOOGLETRANSLATE(A7736 , ""tr"" , ""en"")"),"@drfahrettinka https://t.co/pjphkhdc0r")</f>
        <v>@drfahrettinka https://t.co/pjphkhdc0r</v>
      </c>
    </row>
    <row r="10938" spans="1:5" ht="15" customHeight="1" x14ac:dyDescent="0.2">
      <c r="A10938" s="1" t="s">
        <v>21675</v>
      </c>
      <c r="B10938" s="1">
        <v>0</v>
      </c>
      <c r="C10938" s="3">
        <v>44538.849606481483</v>
      </c>
      <c r="D10938" s="1" t="s">
        <v>21676</v>
      </c>
      <c r="E10938" s="1" t="str">
        <f ca="1">IFERROR(__xludf.DUMMYFUNCTION("GOOGLETRANSLATE(A7737 , ""tr"" , ""en"")"),"@drfahrettinkoca Mr. Health Minister Benve My family can't be a mirror from ours for two years Urz Koviti Bosferin before ... https://t.co/nftlg9rlk3")</f>
        <v>@drfahrettinkoca Mr. Health Minister Benve My family can't be a mirror from ours for two years Urz Koviti Bosferin before ... https://t.co/nftlg9rlk3</v>
      </c>
    </row>
    <row r="10939" spans="1:5" ht="15" customHeight="1" x14ac:dyDescent="0.2">
      <c r="A10939" s="1" t="s">
        <v>21677</v>
      </c>
      <c r="B10939" s="1">
        <v>0</v>
      </c>
      <c r="C10939" s="3">
        <v>44541.870289351849</v>
      </c>
      <c r="D10939" s="1" t="s">
        <v>21678</v>
      </c>
      <c r="E10939" s="1" t="str">
        <f ca="1">IFERROR(__xludf.DUMMYFUNCTION("GOOGLETRANSLATE(A7738 , ""tr"" , ""en"")"),"@drfahrettinkoca @drfahrettinkoca @drfahrettinkoca @rterdogan How are you people darken our lives, our youth is our blood ... https://t.co/hyrndogmki")</f>
        <v>@drfahrettinkoca @drfahrettinkoca @drfahrettinkoca @rterdogan How are you people darken our lives, our youth is our blood ... https://t.co/hyrndogmki</v>
      </c>
    </row>
    <row r="10940" spans="1:5" ht="15" customHeight="1" x14ac:dyDescent="0.2">
      <c r="A10940" s="1" t="s">
        <v>21679</v>
      </c>
      <c r="B10940" s="1">
        <v>0</v>
      </c>
      <c r="C10940" s="3">
        <v>44540.681851851848</v>
      </c>
      <c r="D10940" s="1" t="s">
        <v>21680</v>
      </c>
      <c r="E10940" s="1" t="str">
        <f ca="1">IFERROR(__xludf.DUMMYFUNCTION("GOOGLETRANSLATE(A7739 , ""tr"" , ""en"")"),"@drfahrettinkoca If you are now looking at patients, the minister is unable to make an appointment from dental patients, c ... https://t.co/ywoq6ttpeq")</f>
        <v>@drfahrettinkoca If you are now looking at patients, the minister is unable to make an appointment from dental patients, c ... https://t.co/ywoq6ttpeq</v>
      </c>
    </row>
    <row r="10941" spans="1:5" ht="15" customHeight="1" x14ac:dyDescent="0.2">
      <c r="A10941" s="1" t="s">
        <v>21681</v>
      </c>
      <c r="B10941" s="1">
        <v>0</v>
      </c>
      <c r="C10941" s="3">
        <v>44536.980995370373</v>
      </c>
      <c r="D10941" s="1" t="s">
        <v>21682</v>
      </c>
      <c r="E10941" s="1" t="str">
        <f ca="1">IFERROR(__xludf.DUMMYFUNCTION("GOOGLETRANSLATE(A7740 , ""tr"" , ""en"")"),"@drfahrettinkoca 8.")</f>
        <v>@drfahrettinkoca 8.</v>
      </c>
    </row>
    <row r="10942" spans="1:5" ht="15" customHeight="1" x14ac:dyDescent="0.2">
      <c r="A10942" s="1" t="s">
        <v>21683</v>
      </c>
      <c r="B10942" s="1">
        <v>0</v>
      </c>
      <c r="C10942" s="3">
        <v>44536.848634259259</v>
      </c>
      <c r="D10942" s="1" t="s">
        <v>21684</v>
      </c>
      <c r="E10942" s="1" t="str">
        <f ca="1">IFERROR(__xludf.DUMMYFUNCTION("GOOGLETRANSLATE(A7741 , ""tr"" , ""en"")"),"@drfahrettinkoca See more Beter Health System Probably no news in your neighborhood Hab ... https://t.co/oehpy9dp5n")</f>
        <v>@drfahrettinkoca See more Beter Health System Probably no news in your neighborhood Hab ... https://t.co/oehpy9dp5n</v>
      </c>
    </row>
    <row r="10943" spans="1:5" ht="15" customHeight="1" x14ac:dyDescent="0.2">
      <c r="A10943" s="1" t="s">
        <v>21685</v>
      </c>
      <c r="B10943" s="1">
        <v>0</v>
      </c>
      <c r="C10943" s="3">
        <v>44535.96974537037</v>
      </c>
      <c r="D10943" s="1" t="s">
        <v>21686</v>
      </c>
      <c r="E10943" s="1" t="str">
        <f ca="1">IFERROR(__xludf.DUMMYFUNCTION("GOOGLETRANSLATE(A7742 , ""tr"" , ""en"")"),"@drfahrettinkoca is aware of no longer mask alerts")</f>
        <v>@drfahrettinkoca is aware of no longer mask alerts</v>
      </c>
    </row>
    <row r="10944" spans="1:5" ht="15" customHeight="1" x14ac:dyDescent="0.2">
      <c r="A10944" s="1" t="s">
        <v>21687</v>
      </c>
      <c r="B10944" s="1">
        <v>1</v>
      </c>
      <c r="C10944" s="3">
        <v>44535.904305555552</v>
      </c>
      <c r="D10944" s="1" t="s">
        <v>21688</v>
      </c>
      <c r="E10944" s="1" t="str">
        <f ca="1">IFERROR(__xludf.DUMMYFUNCTION("GOOGLETRANSLATE(A7743 , ""tr"" , ""en"")"),"@drfahrettinkoca Fahrettin BY Currently Child Child Everyone has been in scabbage disease please produce vaccine for scabies disease")</f>
        <v>@drfahrettinkoca Fahrettin BY Currently Child Child Everyone has been in scabbage disease please produce vaccine for scabies disease</v>
      </c>
    </row>
    <row r="10945" spans="1:5" ht="15" customHeight="1" x14ac:dyDescent="0.2">
      <c r="A10945" s="1" t="s">
        <v>21689</v>
      </c>
      <c r="B10945" s="1">
        <v>7</v>
      </c>
      <c r="C10945" s="3">
        <v>44535.833541666667</v>
      </c>
      <c r="D10945" s="1" t="s">
        <v>21690</v>
      </c>
      <c r="E10945" s="1" t="str">
        <f ca="1">IFERROR(__xludf.DUMMYFUNCTION("GOOGLETRANSLATE(A7744 , ""tr"" , ""en"")"),"@drfahrettinkoca # CabineticsLineline Https://t.co/fgkwh9xa1a")</f>
        <v>@drfahrettinkoca # CabineticsLineline Https://t.co/fgkwh9xa1a</v>
      </c>
    </row>
    <row r="10946" spans="1:5" ht="15" customHeight="1" x14ac:dyDescent="0.2">
      <c r="A10946" s="1" t="s">
        <v>21691</v>
      </c>
      <c r="B10946" s="1">
        <v>0</v>
      </c>
      <c r="C10946" s="3">
        <v>44535.803206018521</v>
      </c>
      <c r="D10946" s="1" t="s">
        <v>21692</v>
      </c>
      <c r="E10946" s="1" t="str">
        <f ca="1">IFERROR(__xludf.DUMMYFUNCTION("GOOGLETRANSLATE(A7745 , ""tr"" , ""en"")"),"@drfahrettinkoca Closed Environment You are ventilated, however, how to mask the mask in the airy place. DIYC ... https://t.co/oi6gmmvdfj")</f>
        <v>@drfahrettinkoca Closed Environment You are ventilated, however, how to mask the mask in the airy place. DIYC ... https://t.co/oi6gmmvdfj</v>
      </c>
    </row>
    <row r="10947" spans="1:5" ht="15" customHeight="1" x14ac:dyDescent="0.2">
      <c r="A10947" s="1" t="s">
        <v>21693</v>
      </c>
      <c r="B10947" s="1">
        <v>0</v>
      </c>
      <c r="C10947" s="3">
        <v>44535.75104166667</v>
      </c>
      <c r="D10947" s="1" t="s">
        <v>21694</v>
      </c>
      <c r="E10947" s="1" t="str">
        <f ca="1">IFERROR(__xludf.DUMMYFUNCTION("GOOGLETRANSLATE(A7746 , ""tr"" , ""en"")"),"@drfahrettinkoca 40 thousand assignment where is it more of how much more @drfahrettinkoca")</f>
        <v>@drfahrettinkoca 40 thousand assignment where is it more of how much more @drfahrettinkoca</v>
      </c>
    </row>
    <row r="10948" spans="1:5" ht="15" customHeight="1" x14ac:dyDescent="0.2">
      <c r="A10948" s="1" t="s">
        <v>21695</v>
      </c>
      <c r="B10948" s="1">
        <v>0</v>
      </c>
      <c r="C10948" s="3">
        <v>44535.737754629627</v>
      </c>
      <c r="D10948" s="1" t="s">
        <v>21696</v>
      </c>
      <c r="E10948" s="1" t="str">
        <f ca="1">IFERROR(__xludf.DUMMYFUNCTION("GOOGLETRANSLATE(A7747 , ""tr"" , ""en"")"),"@drfahrettinkoca You are applying special measures to the inude. @ drfahrettinkoca")</f>
        <v>@drfahrettinkoca You are applying special measures to the inude. @ drfahrettinkoca</v>
      </c>
    </row>
    <row r="10949" spans="1:5" ht="15" customHeight="1" x14ac:dyDescent="0.2">
      <c r="A10949" s="1" t="s">
        <v>21697</v>
      </c>
      <c r="B10949" s="1">
        <v>0</v>
      </c>
      <c r="C10949" s="3">
        <v>44535.734178240738</v>
      </c>
      <c r="D10949" s="1" t="s">
        <v>21698</v>
      </c>
      <c r="E10949" s="1" t="str">
        <f ca="1">IFERROR(__xludf.DUMMYFUNCTION("GOOGLETRANSLATE(A7748 , ""tr"" , ""en"")"),"@drfahrettinkoca Mr. Mining at least until the end of the 1st time the end of the end. Do our children's health don't matter?")</f>
        <v>@drfahrettinkoca Mr. Mining at least until the end of the 1st time the end of the end. Do our children's health don't matter?</v>
      </c>
    </row>
    <row r="10950" spans="1:5" ht="15" customHeight="1" x14ac:dyDescent="0.2">
      <c r="A10950" s="1" t="s">
        <v>21699</v>
      </c>
      <c r="B10950" s="1">
        <v>0</v>
      </c>
      <c r="C10950" s="3">
        <v>44535.711944444447</v>
      </c>
      <c r="D10950" s="1" t="s">
        <v>21700</v>
      </c>
      <c r="E10950" s="1" t="str">
        <f ca="1">IFERROR(__xludf.DUMMYFUNCTION("GOOGLETRANSLATE(A7749 , ""tr"" , ""en"")"),"@drfahrettinkoca Omicron Variant Come to AQ Close Schools")</f>
        <v>@drfahrettinkoca Omicron Variant Come to AQ Close Schools</v>
      </c>
    </row>
    <row r="10951" spans="1:5" ht="15" customHeight="1" x14ac:dyDescent="0.2">
      <c r="A10951" s="1" t="s">
        <v>21701</v>
      </c>
      <c r="B10951" s="1">
        <v>0</v>
      </c>
      <c r="C10951" s="3">
        <v>44535.710196759261</v>
      </c>
      <c r="D10951" s="1" t="s">
        <v>21702</v>
      </c>
      <c r="E10951" s="1" t="str">
        <f ca="1">IFERROR(__xludf.DUMMYFUNCTION("GOOGLETRANSLATE(A7750 , ""tr"" , ""en"")"),"@drfahrettinkoca I went to Demeteven from Ankara Kecioren today. It was empty to ride from the first stop but ... https://t.co/TVFQIJCEGU")</f>
        <v>@drfahrettinkoca I went to Demeteven from Ankara Kecioren today. It was empty to ride from the first stop but ... https://t.co/TVFQIJCEGU</v>
      </c>
    </row>
    <row r="10952" spans="1:5" ht="15" customHeight="1" x14ac:dyDescent="0.2">
      <c r="A10952" s="1" t="s">
        <v>21703</v>
      </c>
      <c r="B10952" s="1">
        <v>1</v>
      </c>
      <c r="C10952" s="3">
        <v>44537.768750000003</v>
      </c>
      <c r="D10952" s="1" t="s">
        <v>21704</v>
      </c>
      <c r="E10952" s="1" t="str">
        <f ca="1">IFERROR(__xludf.DUMMYFUNCTION("GOOGLETRANSLATE(A7751 , ""tr"" , ""en"")"),"@drfahrettinkoca flu vaccine where sec. Minister")</f>
        <v>@drfahrettinkoca flu vaccine where sec. Minister</v>
      </c>
    </row>
    <row r="10953" spans="1:5" ht="15" customHeight="1" x14ac:dyDescent="0.2">
      <c r="A10953" s="1" t="s">
        <v>16850</v>
      </c>
      <c r="B10953" s="1">
        <v>1</v>
      </c>
      <c r="C10953" s="3">
        <v>44537.768460648149</v>
      </c>
      <c r="D10953" s="1" t="s">
        <v>21705</v>
      </c>
      <c r="E10953" s="1" t="str">
        <f ca="1">IFERROR(__xludf.DUMMYFUNCTION("GOOGLETRANSLATE(A7752 , ""tr"" , ""en"")"),"@drfahrettinkoca flu vaccine people cavid-19 a very quickly caught. Body should not fall out of strength.")</f>
        <v>@drfahrettinkoca flu vaccine people cavid-19 a very quickly caught. Body should not fall out of strength.</v>
      </c>
    </row>
    <row r="10954" spans="1:5" ht="15" customHeight="1" x14ac:dyDescent="0.2">
      <c r="A10954" s="1" t="s">
        <v>21706</v>
      </c>
      <c r="B10954" s="1">
        <v>0</v>
      </c>
      <c r="C10954" s="3">
        <v>44537.617002314815</v>
      </c>
      <c r="D10954" s="1" t="s">
        <v>21707</v>
      </c>
      <c r="E10954" s="1" t="str">
        <f ca="1">IFERROR(__xludf.DUMMYFUNCTION("GOOGLETRANSLATE(A7753 , ""tr"" , ""en"")"),"@drfahrettinka https://t.co/rn1c0vfhqw")</f>
        <v>@drfahrettinka https://t.co/rn1c0vfhqw</v>
      </c>
    </row>
    <row r="10955" spans="1:5" ht="15" customHeight="1" x14ac:dyDescent="0.2">
      <c r="A10955" s="1" t="s">
        <v>21708</v>
      </c>
      <c r="B10955" s="1">
        <v>0</v>
      </c>
      <c r="C10955" s="3">
        <v>44538.764537037037</v>
      </c>
      <c r="D10955" s="1" t="s">
        <v>21709</v>
      </c>
      <c r="E10955" s="1" t="str">
        <f ca="1">IFERROR(__xludf.DUMMYFUNCTION("GOOGLETRANSLATE(A7754 , ""tr"" , ""en"")"),"@drfahrettinkoca human patient is now residual to write the same things")</f>
        <v>@drfahrettinkoca human patient is now residual to write the same things</v>
      </c>
    </row>
    <row r="10956" spans="1:5" ht="15" customHeight="1" x14ac:dyDescent="0.2">
      <c r="A10956" s="1" t="s">
        <v>21710</v>
      </c>
      <c r="B10956" s="1">
        <v>0</v>
      </c>
      <c r="C10956" s="3">
        <v>44534.995416666665</v>
      </c>
      <c r="D10956" s="1" t="s">
        <v>21711</v>
      </c>
      <c r="E10956" s="1" t="str">
        <f ca="1">IFERROR(__xludf.DUMMYFUNCTION("GOOGLETRANSLATE(A7755 , ""tr"" , ""en"")"),"@drfahrettinkoca Butun Education Baslamis! Look at the Atilan TVite! A certainty minded mind to go back to the turki! Ignorant c ... https://t.co/wlkecgv2lw")</f>
        <v>@drfahrettinkoca Butun Education Baslamis! Look at the Atilan TVite! A certainty minded mind to go back to the turki! Ignorant c ... https://t.co/wlkecgv2lw</v>
      </c>
    </row>
    <row r="10957" spans="1:5" ht="15" customHeight="1" x14ac:dyDescent="0.2">
      <c r="A10957" s="1" t="s">
        <v>21712</v>
      </c>
      <c r="B10957" s="1">
        <v>0</v>
      </c>
      <c r="C10957" s="3">
        <v>44534.993645833332</v>
      </c>
      <c r="D10957" s="1" t="s">
        <v>21713</v>
      </c>
      <c r="E10957" s="1" t="str">
        <f ca="1">IFERROR(__xludf.DUMMYFUNCTION("GOOGLETRANSLATE(A7756 , ""tr"" , ""en"")"),"@drfahrettinka case numbers lie")</f>
        <v>@drfahrettinka case numbers lie</v>
      </c>
    </row>
    <row r="10958" spans="1:5" ht="15" customHeight="1" x14ac:dyDescent="0.2">
      <c r="A10958" s="1" t="s">
        <v>21714</v>
      </c>
      <c r="B10958" s="1">
        <v>6</v>
      </c>
      <c r="C10958" s="3">
        <v>44534.988206018519</v>
      </c>
      <c r="D10958" s="1" t="s">
        <v>21715</v>
      </c>
      <c r="E10958" s="1" t="str">
        <f ca="1">IFERROR(__xludf.DUMMYFUNCTION("GOOGLETRANSLATE(A7757 , ""tr"" , ""en"")"),"@drfahrettinkoca We have to quit immediately. We should be able to handle the clowns board immediately. We need to finish the pandemia immediately. Nor ... https://t.co/a0nn1eq5zb")</f>
        <v>@drfahrettinkoca We have to quit immediately. We should be able to handle the clowns board immediately. We need to finish the pandemia immediately. Nor ... https://t.co/a0nn1eq5zb</v>
      </c>
    </row>
    <row r="10959" spans="1:5" ht="15" customHeight="1" x14ac:dyDescent="0.2">
      <c r="A10959" s="1" t="s">
        <v>21716</v>
      </c>
      <c r="B10959" s="1">
        <v>1</v>
      </c>
      <c r="C10959" s="3">
        <v>44534.986631944441</v>
      </c>
      <c r="D10959" s="1" t="s">
        <v>21717</v>
      </c>
      <c r="E10959" s="1" t="str">
        <f ca="1">IFERROR(__xludf.DUMMYFUNCTION("GOOGLETRANSLATE(A7758 , ""tr"" , ""en"")"),"@drfahrettinkoca We were doing every winter they say again. Except experimental fluid. We are not guinea pigs #pfizerhesapver")</f>
        <v>@drfahrettinkoca We were doing every winter they say again. Except experimental fluid. We are not guinea pigs #pfizerhesapver</v>
      </c>
    </row>
    <row r="10960" spans="1:5" ht="15" customHeight="1" x14ac:dyDescent="0.2">
      <c r="A10960" s="1" t="s">
        <v>21718</v>
      </c>
      <c r="B10960" s="1">
        <v>6</v>
      </c>
      <c r="C10960" s="3">
        <v>44534.984606481485</v>
      </c>
      <c r="D10960" s="1" t="s">
        <v>21719</v>
      </c>
      <c r="E10960" s="1" t="str">
        <f ca="1">IFERROR(__xludf.DUMMYFUNCTION("GOOGLETRANSLATE(A7759 , ""tr"" , ""en"")"),"@drfahrettinkoca Have you heard of the pfizer event is the explanation of the USA? What is the Acisi Yahu? In my opinion of the event pa ... https://t.co/GWI8BG1UIN")</f>
        <v>@drfahrettinkoca Have you heard of the pfizer event is the explanation of the USA? What is the Acisi Yahu? In my opinion of the event pa ... https://t.co/GWI8BG1UIN</v>
      </c>
    </row>
    <row r="10961" spans="1:5" ht="15" customHeight="1" x14ac:dyDescent="0.2">
      <c r="A10961" s="1" t="s">
        <v>21720</v>
      </c>
      <c r="B10961" s="1">
        <v>1</v>
      </c>
      <c r="C10961" s="3">
        <v>44534.981840277775</v>
      </c>
      <c r="D10961" s="1" t="s">
        <v>21721</v>
      </c>
      <c r="E10961" s="1" t="str">
        <f ca="1">IFERROR(__xludf.DUMMYFUNCTION("GOOGLETRANSLATE(A7760 , ""tr"" , ""en"")"),"@drfahrettinka vaccine you stay on you fahro doesn't want 😉")</f>
        <v>@drfahrettinka vaccine you stay on you fahro doesn't want 😉</v>
      </c>
    </row>
    <row r="10962" spans="1:5" ht="15" customHeight="1" x14ac:dyDescent="0.2">
      <c r="A10962" s="1" t="s">
        <v>21722</v>
      </c>
      <c r="B10962" s="1">
        <v>0</v>
      </c>
      <c r="C10962" s="3">
        <v>44534.979687500003</v>
      </c>
      <c r="D10962" s="1" t="s">
        <v>21723</v>
      </c>
      <c r="E10962" s="1" t="str">
        <f ca="1">IFERROR(__xludf.DUMMYFUNCTION("GOOGLETRANSLATE(A7761 , ""tr"" , ""en"")"),"@drfahrettinkoca We wanted online education Fahrettin Bey.")</f>
        <v>@drfahrettinkoca We wanted online education Fahrettin Bey.</v>
      </c>
    </row>
    <row r="10963" spans="1:5" ht="15" customHeight="1" x14ac:dyDescent="0.2">
      <c r="A10963" s="1" t="s">
        <v>21724</v>
      </c>
      <c r="B10963" s="1">
        <v>0</v>
      </c>
      <c r="C10963" s="3">
        <v>44534.976620370369</v>
      </c>
      <c r="D10963" s="1" t="s">
        <v>21725</v>
      </c>
      <c r="E10963" s="1" t="str">
        <f ca="1">IFERROR(__xludf.DUMMYFUNCTION("GOOGLETRANSLATE(A7762 , ""tr"" , ""en"")"),"See @drfahrettinka Look Geberiyus What demis has a saying such a discourse I'm")</f>
        <v>See @drfahrettinka Look Geberiyus What demis has a saying such a discourse I'm</v>
      </c>
    </row>
    <row r="10964" spans="1:5" ht="15" customHeight="1" x14ac:dyDescent="0.2">
      <c r="A10964" s="1" t="s">
        <v>21726</v>
      </c>
      <c r="B10964" s="1">
        <v>0</v>
      </c>
      <c r="C10964" s="3">
        <v>44534.970983796295</v>
      </c>
      <c r="D10964" s="1" t="s">
        <v>21727</v>
      </c>
      <c r="E10964" s="1" t="str">
        <f ca="1">IFERROR(__xludf.DUMMYFUNCTION("GOOGLETRANSLATE(A7763 , ""tr"" , ""en"")"),"@drfahrettinkoca hocam I pray everyday when alpcan coronavirus will end and scared every day 🙏🙏🙏🙏")</f>
        <v>@drfahrettinkoca hocam I pray everyday when alpcan coronavirus will end and scared every day 🙏🙏🙏🙏</v>
      </c>
    </row>
    <row r="10965" spans="1:5" ht="15" customHeight="1" x14ac:dyDescent="0.2">
      <c r="A10965" s="1" t="s">
        <v>21728</v>
      </c>
      <c r="B10965" s="1">
        <v>0</v>
      </c>
      <c r="C10965" s="3">
        <v>44534.969618055555</v>
      </c>
      <c r="D10965" s="1" t="s">
        <v>21729</v>
      </c>
      <c r="E10965" s="1" t="str">
        <f ca="1">IFERROR(__xludf.DUMMYFUNCTION("GOOGLETRANSLATE(A7764 , ""tr"" , ""en"")"),"@drfahrettinkoca rallies folks arm coke what the mask is what the distance is what you know what is the truth is enough a ... https://t.co/1wry5neoqc")</f>
        <v>@drfahrettinkoca rallies folks arm coke what the mask is what the distance is what you know what is the truth is enough a ... https://t.co/1wry5neoqc</v>
      </c>
    </row>
    <row r="10966" spans="1:5" ht="15" customHeight="1" x14ac:dyDescent="0.2">
      <c r="A10966" s="1" t="s">
        <v>21730</v>
      </c>
      <c r="B10966" s="1">
        <v>0</v>
      </c>
      <c r="C10966" s="3">
        <v>44534.96303240741</v>
      </c>
      <c r="D10966" s="1" t="s">
        <v>21731</v>
      </c>
      <c r="E10966" s="1" t="str">
        <f ca="1">IFERROR(__xludf.DUMMYFUNCTION("GOOGLETRANSLATE(A7765 , ""tr"" , ""en"")"),"@drfahrettinkoca you trust not canan karatay a we trust.")</f>
        <v>@drfahrettinkoca you trust not canan karatay a we trust.</v>
      </c>
    </row>
    <row r="10967" spans="1:5" ht="15" customHeight="1" x14ac:dyDescent="0.2">
      <c r="A10967" s="1" t="s">
        <v>21732</v>
      </c>
      <c r="B10967" s="1">
        <v>1</v>
      </c>
      <c r="C10967" s="3">
        <v>44534.96297453704</v>
      </c>
      <c r="D10967" s="1" t="s">
        <v>21733</v>
      </c>
      <c r="E10967" s="1" t="str">
        <f ca="1">IFERROR(__xludf.DUMMYFUNCTION("GOOGLETRANSLATE(A7766 , ""tr"" , ""en"")"),"@drfahrettinkoca is not the results of the ""healthcare year"" that ends not assigned, not the conditions of the season. The indoor value says ... https://t.co/1hcet317ja")</f>
        <v>@drfahrettinkoca is not the results of the "healthcare year" that ends not assigned, not the conditions of the season. The indoor value says ... https://t.co/1hcet317ja</v>
      </c>
    </row>
    <row r="10968" spans="1:5" ht="15" customHeight="1" x14ac:dyDescent="0.2">
      <c r="A10968" s="1" t="s">
        <v>21734</v>
      </c>
      <c r="B10968" s="1">
        <v>0</v>
      </c>
      <c r="C10968" s="3">
        <v>44534.962083333332</v>
      </c>
      <c r="D10968" s="1" t="s">
        <v>21735</v>
      </c>
      <c r="E10968" s="1" t="str">
        <f ca="1">IFERROR(__xludf.DUMMYFUNCTION("GOOGLETRANSLATE(A7767 , ""tr"" , ""en"")"),"@drfahrettinkoca War what the difference is out of the mask with the indoor media.")</f>
        <v>@drfahrettinkoca War what the difference is out of the mask with the indoor media.</v>
      </c>
    </row>
    <row r="10969" spans="1:5" ht="15" customHeight="1" x14ac:dyDescent="0.2">
      <c r="A10969" s="1" t="s">
        <v>21736</v>
      </c>
      <c r="B10969" s="1">
        <v>0</v>
      </c>
      <c r="C10969" s="3">
        <v>44534.9612037037</v>
      </c>
      <c r="D10969" s="1" t="s">
        <v>21737</v>
      </c>
      <c r="E10969" s="1" t="str">
        <f ca="1">IFERROR(__xludf.DUMMYFUNCTION("GOOGLETRANSLATE(A7768 , ""tr"" , ""en"")"),"@drfahrettinka Write Marmariste 200 square meters in the area of ​​30 people in the sea, while the beach is boiled in the sea ... https://t.co/tnlwevhn3p")</f>
        <v>@drfahrettinka Write Marmariste 200 square meters in the area of ​​30 people in the sea, while the beach is boiled in the sea ... https://t.co/tnlwevhn3p</v>
      </c>
    </row>
    <row r="10970" spans="1:5" ht="15" customHeight="1" x14ac:dyDescent="0.2">
      <c r="A10970" s="1" t="s">
        <v>21738</v>
      </c>
      <c r="B10970" s="1">
        <v>2</v>
      </c>
      <c r="C10970" s="3">
        <v>44534.959374999999</v>
      </c>
      <c r="D10970" s="1" t="s">
        <v>21739</v>
      </c>
      <c r="E10970" s="1" t="str">
        <f ca="1">IFERROR(__xludf.DUMMYFUNCTION("GOOGLETRANSLATE(A7769 , ""tr"" , ""en"")"),"@drfahrettinkoca For 2 years Teaching Us Teautuor More Yesterday I say you don't say you are in the interview you say ... https://t.co/kjq7el7bko")</f>
        <v>@drfahrettinkoca For 2 years Teaching Us Teautuor More Yesterday I say you don't say you are in the interview you say ... https://t.co/kjq7el7bko</v>
      </c>
    </row>
    <row r="10971" spans="1:5" ht="15" customHeight="1" x14ac:dyDescent="0.2">
      <c r="A10971" s="1" t="s">
        <v>21740</v>
      </c>
      <c r="B10971" s="1">
        <v>4</v>
      </c>
      <c r="C10971" s="3">
        <v>44534.957106481481</v>
      </c>
      <c r="D10971" s="1" t="s">
        <v>21741</v>
      </c>
      <c r="E10971" s="1" t="str">
        <f ca="1">IFERROR(__xludf.DUMMYFUNCTION("GOOGLETRANSLATE(A7770 , ""tr"" , ""en"")"),"@drfahrettinkoca # CabineticsLineline is no longer dying of this nation anymore.")</f>
        <v>@drfahrettinkoca # CabineticsLineline is no longer dying of this nation anymore.</v>
      </c>
    </row>
    <row r="10972" spans="1:5" ht="15" customHeight="1" x14ac:dyDescent="0.2">
      <c r="A10972" s="1" t="s">
        <v>21742</v>
      </c>
      <c r="B10972" s="1">
        <v>0</v>
      </c>
      <c r="C10972" s="3">
        <v>44534.956944444442</v>
      </c>
      <c r="D10972" s="1" t="s">
        <v>21743</v>
      </c>
      <c r="E10972" s="1" t="str">
        <f ca="1">IFERROR(__xludf.DUMMYFUNCTION("GOOGLETRANSLATE(A7771 , ""tr"" , ""en"")"),"@drfahrettinkoca If you already duplicate the world's population, let's live beautiful in our recent time.")</f>
        <v>@drfahrettinkoca If you already duplicate the world's population, let's live beautiful in our recent time.</v>
      </c>
    </row>
    <row r="10973" spans="1:5" ht="15" customHeight="1" x14ac:dyDescent="0.2">
      <c r="A10973" s="1" t="s">
        <v>21744</v>
      </c>
      <c r="B10973" s="1">
        <v>0</v>
      </c>
      <c r="C10973" s="3">
        <v>44534.956921296296</v>
      </c>
      <c r="D10973" s="1" t="s">
        <v>21745</v>
      </c>
      <c r="E10973" s="1" t="str">
        <f ca="1">IFERROR(__xludf.DUMMYFUNCTION("GOOGLETRANSLATE(A7772 , ""tr"" , ""en"")"),"@drfahrettinkoca Every week is dying close to 1500 people and you are just kidding with advice Is this ?? !! Duty ... HTTPS://T.CO/6TPJ5YWBPX")</f>
        <v>@drfahrettinkoca Every week is dying close to 1500 people and you are just kidding with advice Is this ?? !! Duty ... HTTPS://T.CO/6TPJ5YWBPX</v>
      </c>
    </row>
    <row r="10974" spans="1:5" ht="15" customHeight="1" x14ac:dyDescent="0.2">
      <c r="A10974" s="1" t="s">
        <v>21746</v>
      </c>
      <c r="B10974" s="1">
        <v>0</v>
      </c>
      <c r="C10974" s="3">
        <v>44534.9533912037</v>
      </c>
      <c r="D10974" s="1" t="s">
        <v>21747</v>
      </c>
      <c r="E10974" s="1" t="str">
        <f ca="1">IFERROR(__xludf.DUMMYFUNCTION("GOOGLETRANSLATE(A7773 , ""tr"" , ""en"")"),"@drfahrettinkoca is the most extremely highlighted by saying ""I lost a patient of Covidten today,"" today. Now sad ... https://t.co/exw2tsfrke")</f>
        <v>@drfahrettinkoca is the most extremely highlighted by saying "I lost a patient of Covidten today," today. Now sad ... https://t.co/exw2tsfrke</v>
      </c>
    </row>
    <row r="10975" spans="1:5" ht="15" customHeight="1" x14ac:dyDescent="0.2">
      <c r="A10975" s="1" t="s">
        <v>21748</v>
      </c>
      <c r="B10975" s="1">
        <v>15</v>
      </c>
      <c r="C10975" s="3">
        <v>44534.951655092591</v>
      </c>
      <c r="D10975" s="1" t="s">
        <v>21749</v>
      </c>
      <c r="E10975" s="1" t="str">
        <f ca="1">IFERROR(__xludf.DUMMYFUNCTION("GOOGLETRANSLATE(A7774 , ""tr"" , ""en"")"),"@drfahrettinkoca These children are ours! Both we are and they are in their # cabinet")</f>
        <v>@drfahrettinkoca These children are ours! Both we are and they are in their # cabinet</v>
      </c>
    </row>
    <row r="10976" spans="1:5" ht="15" customHeight="1" x14ac:dyDescent="0.2">
      <c r="A10976" s="1" t="s">
        <v>21750</v>
      </c>
      <c r="B10976" s="1">
        <v>5</v>
      </c>
      <c r="C10976" s="3">
        <v>44534.95113425926</v>
      </c>
      <c r="D10976" s="1" t="s">
        <v>21751</v>
      </c>
      <c r="E10976" s="1" t="str">
        <f ca="1">IFERROR(__xludf.DUMMYFUNCTION("GOOGLETRANSLATE(A7775 , ""tr"" , ""en"")"),"@drfahrettinkoca Do you say this for schools you have to continue? #The cabinet linizing")</f>
        <v>@drfahrettinkoca Do you say this for schools you have to continue? #The cabinet linizing</v>
      </c>
    </row>
    <row r="10977" spans="1:5" ht="15" customHeight="1" x14ac:dyDescent="0.2">
      <c r="A10977" s="1" t="s">
        <v>21752</v>
      </c>
      <c r="B10977" s="1">
        <v>0</v>
      </c>
      <c r="C10977" s="3">
        <v>44534.950787037036</v>
      </c>
      <c r="D10977" s="1" t="s">
        <v>21753</v>
      </c>
      <c r="E10977" s="1" t="str">
        <f ca="1">IFERROR(__xludf.DUMMYFUNCTION("GOOGLETRANSLATE(A7776 , ""tr"" , ""en"")"),"@drfahrettinkoca Dreams Social Distance Facts: 25 square meters in the teachers' room 20 people or more.")</f>
        <v>@drfahrettinkoca Dreams Social Distance Facts: 25 square meters in the teachers' room 20 people or more.</v>
      </c>
    </row>
    <row r="10978" spans="1:5" ht="15" customHeight="1" x14ac:dyDescent="0.2">
      <c r="A10978" s="1" t="s">
        <v>21754</v>
      </c>
      <c r="B10978" s="1">
        <v>12</v>
      </c>
      <c r="C10978" s="3">
        <v>44534.950254629628</v>
      </c>
      <c r="D10978" s="1" t="s">
        <v>21755</v>
      </c>
      <c r="E10978" s="1" t="str">
        <f ca="1">IFERROR(__xludf.DUMMYFUNCTION("GOOGLETRANSLATE(A7777 , ""tr"" , ""en"")"),"@drfahrettinkoca We were at the birthday party this evening we are already in my relatives with my friends, too ... Https://t.co/xe53va3gtz")</f>
        <v>@drfahrettinkoca We were at the birthday party this evening we are already in my relatives with my friends, too ... Https://t.co/xe53va3gtz</v>
      </c>
    </row>
    <row r="10979" spans="1:5" ht="15" customHeight="1" x14ac:dyDescent="0.2">
      <c r="A10979" s="1" t="s">
        <v>21756</v>
      </c>
      <c r="B10979" s="1">
        <v>5</v>
      </c>
      <c r="C10979" s="3">
        <v>44534.949560185189</v>
      </c>
      <c r="D10979" s="1" t="s">
        <v>21757</v>
      </c>
      <c r="E10979" s="1" t="str">
        <f ca="1">IFERROR(__xludf.DUMMYFUNCTION("GOOGLETRANSLATE(A7778 , ""tr"" , ""en"")"),"@drfahrettinkoca Istifa. You can't wrap! You but suit the resignation!")</f>
        <v>@drfahrettinkoca Istifa. You can't wrap! You but suit the resignation!</v>
      </c>
    </row>
    <row r="10980" spans="1:5" ht="15" customHeight="1" x14ac:dyDescent="0.2">
      <c r="A10980" s="1" t="s">
        <v>21758</v>
      </c>
      <c r="B10980" s="1">
        <v>1</v>
      </c>
      <c r="C10980" s="3">
        <v>44534.946898148148</v>
      </c>
      <c r="D10980" s="1" t="s">
        <v>21759</v>
      </c>
      <c r="E10980" s="1" t="str">
        <f ca="1">IFERROR(__xludf.DUMMYFUNCTION("GOOGLETRANSLATE(A7779 , ""tr"" , ""en"")"),"@drfahrettinkoca as a pediatrician empathy zero! Conscience https://t.co/wvqm8lrdx We cannot see good faith. Https://t.co/c4txvef59l")</f>
        <v>@drfahrettinkoca as a pediatrician empathy zero! Conscience https://t.co/wvqm8lrdx We cannot see good faith. Https://t.co/c4txvef59l</v>
      </c>
    </row>
    <row r="10981" spans="1:5" ht="15" customHeight="1" x14ac:dyDescent="0.2">
      <c r="A10981" s="1" t="s">
        <v>21760</v>
      </c>
      <c r="B10981" s="1">
        <v>0</v>
      </c>
      <c r="C10981" s="3">
        <v>44534.942118055558</v>
      </c>
      <c r="D10981" s="1" t="s">
        <v>21761</v>
      </c>
      <c r="E10981" s="1" t="str">
        <f ca="1">IFERROR(__xludf.DUMMYFUNCTION("GOOGLETRANSLATE(A7780 , ""tr"" , ""en"")"),"@drfahrettinkoca If you see the hygiene in Covit services in the hospitals in Covit Services I wish VC s not cleaned every place ... https://t.co/af4vtwji00")</f>
        <v>@drfahrettinkoca If you see the hygiene in Covit services in the hospitals in Covit Services I wish VC s not cleaned every place ... https://t.co/af4vtwji00</v>
      </c>
    </row>
    <row r="10982" spans="1:5" ht="15" customHeight="1" x14ac:dyDescent="0.2">
      <c r="A10982" s="1" t="s">
        <v>21762</v>
      </c>
      <c r="B10982" s="1">
        <v>8</v>
      </c>
      <c r="C10982" s="3">
        <v>44534.938888888886</v>
      </c>
      <c r="D10982" s="1" t="s">
        <v>21763</v>
      </c>
      <c r="E10982" s="1" t="str">
        <f ca="1">IFERROR(__xludf.DUMMYFUNCTION("GOOGLETRANSLATE(A7781 , ""tr"" , ""en"")"),"@drfahrettinkoca schools How do you transfer in winter conditions? The ice is the ice.60 people in the 35 m2 area 50-60 people Dipdibe 8 ... https://t.co/ojwlwpnesi")</f>
        <v>@drfahrettinkoca schools How do you transfer in winter conditions? The ice is the ice.60 people in the 35 m2 area 50-60 people Dipdibe 8 ... https://t.co/ojwlwpnesi</v>
      </c>
    </row>
    <row r="10983" spans="1:5" ht="15" customHeight="1" x14ac:dyDescent="0.2">
      <c r="A10983" s="1" t="s">
        <v>21764</v>
      </c>
      <c r="B10983" s="1">
        <v>0</v>
      </c>
      <c r="C10983" s="3">
        <v>44534.938726851855</v>
      </c>
      <c r="D10983" s="1" t="s">
        <v>21765</v>
      </c>
      <c r="E10983" s="1" t="str">
        <f ca="1">IFERROR(__xludf.DUMMYFUNCTION("GOOGLETRANSLATE(A7782 , ""tr"" , ""en"")"),"@drfahrettinka Mr. Ministry AÖF Final exams will be held as a face to face in January. What a pity is the most of the year ... https://t.co/xbd1csq2tr")</f>
        <v>@drfahrettinka Mr. Ministry AÖF Final exams will be held as a face to face in January. What a pity is the most of the year ... https://t.co/xbd1csq2tr</v>
      </c>
    </row>
    <row r="10984" spans="1:5" ht="15" customHeight="1" x14ac:dyDescent="0.2">
      <c r="A10984" s="1" t="s">
        <v>21766</v>
      </c>
      <c r="B10984" s="1">
        <v>2</v>
      </c>
      <c r="C10984" s="3">
        <v>44534.93818287037</v>
      </c>
      <c r="D10984" s="1" t="s">
        <v>21767</v>
      </c>
      <c r="E10984" s="1" t="str">
        <f ca="1">IFERROR(__xludf.DUMMYFUNCTION("GOOGLETRANSLATE(A7783 , ""tr"" , ""en"")"),"@drfahrettinkoca reaction and your reaction's summary.")</f>
        <v>@drfahrettinkoca reaction and your reaction's summary.</v>
      </c>
    </row>
    <row r="10985" spans="1:5" ht="15" customHeight="1" x14ac:dyDescent="0.2">
      <c r="A10985" s="1" t="s">
        <v>21768</v>
      </c>
      <c r="B10985" s="1">
        <v>0</v>
      </c>
      <c r="C10985" s="3">
        <v>44534.937615740739</v>
      </c>
      <c r="D10985" s="1" t="s">
        <v>21769</v>
      </c>
      <c r="E10985" s="1" t="str">
        <f ca="1">IFERROR(__xludf.DUMMYFUNCTION("GOOGLETRANSLATE(A7784 , ""tr"" , ""en"")"),"@drfahrettinkoca all the folk silently liked the day as it waits the day you are aware of the silent you are aware of ... https://t.co/guukxoibhe")</f>
        <v>@drfahrettinkoca all the folk silently liked the day as it waits the day you are aware of the silent you are aware of ... https://t.co/guukxoibhe</v>
      </c>
    </row>
    <row r="10986" spans="1:5" ht="15" customHeight="1" x14ac:dyDescent="0.2">
      <c r="A10986" s="1" t="s">
        <v>21770</v>
      </c>
      <c r="B10986" s="1">
        <v>0</v>
      </c>
      <c r="C10986" s="3">
        <v>44534.932974537034</v>
      </c>
      <c r="D10986" s="1" t="s">
        <v>21771</v>
      </c>
      <c r="E10986" s="1" t="str">
        <f ca="1">IFERROR(__xludf.DUMMYFUNCTION("GOOGLETRANSLATE(A7785 , ""tr"" , ""en"")"),"@drfahrettinkoca 228 What do you mean Dead or give patience to Allah families")</f>
        <v>@drfahrettinkoca 228 What do you mean Dead or give patience to Allah families</v>
      </c>
    </row>
    <row r="10987" spans="1:5" ht="15" customHeight="1" x14ac:dyDescent="0.2">
      <c r="A10987" s="1" t="s">
        <v>21772</v>
      </c>
      <c r="B10987" s="1">
        <v>0</v>
      </c>
      <c r="C10987" s="3">
        <v>44534.931608796294</v>
      </c>
      <c r="D10987" s="1" t="s">
        <v>21773</v>
      </c>
      <c r="E10987" s="1" t="str">
        <f ca="1">IFERROR(__xludf.DUMMYFUNCTION("GOOGLETRANSLATE(A7786 , ""tr"" , ""en"")"),"@drfahrettinkoca min overlooking the residual.! you call the indoor media.! METROLAR VS BASS.! A single ventilated tiy ... https://t.co/ypvbopxod7")</f>
        <v>@drfahrettinkoca min overlooking the residual.! you call the indoor media.! METROLAR VS BASS.! A single ventilated tiy ... https://t.co/ypvbopxod7</v>
      </c>
    </row>
    <row r="10988" spans="1:5" ht="15" customHeight="1" x14ac:dyDescent="0.2">
      <c r="A10988" s="1" t="s">
        <v>10080</v>
      </c>
      <c r="B10988" s="1">
        <v>0</v>
      </c>
      <c r="C10988" s="3">
        <v>44534.929189814815</v>
      </c>
      <c r="D10988" s="1" t="s">
        <v>21774</v>
      </c>
      <c r="E10988" s="1" t="str">
        <f ca="1">IFERROR(__xludf.DUMMYFUNCTION("GOOGLETRANSLATE(A7787 , ""tr"" , ""en"")"),"@drfahrettinkoca assignment?")</f>
        <v>@drfahrettinkoca assignment?</v>
      </c>
    </row>
    <row r="10989" spans="1:5" ht="15" customHeight="1" x14ac:dyDescent="0.2">
      <c r="A10989" s="1" t="s">
        <v>21775</v>
      </c>
      <c r="B10989" s="1">
        <v>0</v>
      </c>
      <c r="C10989" s="3">
        <v>44534.928182870368</v>
      </c>
      <c r="D10989" s="1" t="s">
        <v>21776</v>
      </c>
      <c r="E10989" s="1" t="str">
        <f ca="1">IFERROR(__xludf.DUMMYFUNCTION("GOOGLETRANSLATE(A7788 , ""tr"" , ""en"")"),"@drfahrettinkoca vaccine ones slightly lapse of the coming to tell some people they are non-flu even covid19")</f>
        <v>@drfahrettinkoca vaccine ones slightly lapse of the coming to tell some people they are non-flu even covid19</v>
      </c>
    </row>
    <row r="10990" spans="1:5" ht="15" customHeight="1" x14ac:dyDescent="0.2">
      <c r="A10990" s="1" t="s">
        <v>21777</v>
      </c>
      <c r="B10990" s="1">
        <v>0</v>
      </c>
      <c r="C10990" s="3">
        <v>44534.928055555552</v>
      </c>
      <c r="D10990" s="1" t="s">
        <v>21778</v>
      </c>
      <c r="E10990" s="1" t="str">
        <f ca="1">IFERROR(__xludf.DUMMYFUNCTION("GOOGLETRANSLATE(A7789 , ""tr"" , ""en"")"),"@drfahrettinkoca Off Field OK. But amen tanriiim maskless Geziyoooo when the Acik is in the air")</f>
        <v>@drfahrettinkoca Off Field OK. But amen tanriiim maskless Geziyoooo when the Acik is in the air</v>
      </c>
    </row>
    <row r="10991" spans="1:5" ht="15" customHeight="1" x14ac:dyDescent="0.2">
      <c r="A10991" s="1" t="s">
        <v>21779</v>
      </c>
      <c r="B10991" s="1">
        <v>0</v>
      </c>
      <c r="C10991" s="3">
        <v>44534.927766203706</v>
      </c>
      <c r="D10991" s="1" t="s">
        <v>21780</v>
      </c>
      <c r="E10991" s="1" t="str">
        <f ca="1">IFERROR(__xludf.DUMMYFUNCTION("GOOGLETRANSLATE(A7790 , ""tr"" , ""en"")"),"@drfahrettinkoca after vaccines death is increasing by Mr.")</f>
        <v>@drfahrettinkoca after vaccines death is increasing by Mr.</v>
      </c>
    </row>
    <row r="10992" spans="1:5" ht="15" customHeight="1" x14ac:dyDescent="0.2">
      <c r="A10992" s="1" t="s">
        <v>21781</v>
      </c>
      <c r="B10992" s="1">
        <v>0</v>
      </c>
      <c r="C10992" s="3">
        <v>44534.926863425928</v>
      </c>
      <c r="D10992" s="1" t="s">
        <v>21782</v>
      </c>
      <c r="E10992" s="1" t="str">
        <f ca="1">IFERROR(__xludf.DUMMYFUNCTION("GOOGLETRANSLATE(A7791 , ""tr"" , ""en"")"),"@drfahrettinkoca hocam If you are sleeping in your bed now I hope you wake up suddenly because I can't sleep, if I can't sleep ... https://t.co/9tczxfqsco")</f>
        <v>@drfahrettinkoca hocam If you are sleeping in your bed now I hope you wake up suddenly because I can't sleep, if I can't sleep ... https://t.co/9tczxfqsco</v>
      </c>
    </row>
    <row r="10993" spans="1:5" ht="15" customHeight="1" x14ac:dyDescent="0.2">
      <c r="A10993" s="1" t="s">
        <v>21783</v>
      </c>
      <c r="B10993" s="1">
        <v>0</v>
      </c>
      <c r="C10993" s="3">
        <v>44534.922951388886</v>
      </c>
      <c r="D10993" s="1" t="s">
        <v>21784</v>
      </c>
      <c r="E10993" s="1" t="str">
        <f ca="1">IFERROR(__xludf.DUMMYFUNCTION("GOOGLETRANSLATE(A7792 , ""tr"" , ""en"")"),"@drfahrettinkoca What did he say he came 😃")</f>
        <v>@drfahrettinkoca What did he say he came 😃</v>
      </c>
    </row>
    <row r="10994" spans="1:5" ht="15" customHeight="1" x14ac:dyDescent="0.2">
      <c r="A10994" s="1" t="s">
        <v>21785</v>
      </c>
      <c r="B10994" s="1">
        <v>2</v>
      </c>
      <c r="C10994" s="3">
        <v>44534.92287037037</v>
      </c>
      <c r="D10994" s="1" t="s">
        <v>21786</v>
      </c>
      <c r="E10994" s="1" t="str">
        <f ca="1">IFERROR(__xludf.DUMMYFUNCTION("GOOGLETRANSLATE(A7793 , ""tr"" , ""en"")"),"@drfahrettinkoca #thexyms are the minister")</f>
        <v>@drfahrettinkoca #thexyms are the minister</v>
      </c>
    </row>
    <row r="10995" spans="1:5" ht="15" customHeight="1" x14ac:dyDescent="0.2">
      <c r="A10995" s="1" t="s">
        <v>21787</v>
      </c>
      <c r="B10995" s="1">
        <v>0</v>
      </c>
      <c r="C10995" s="3">
        <v>44534.920995370368</v>
      </c>
      <c r="D10995" s="1" t="s">
        <v>21788</v>
      </c>
      <c r="E10995" s="1" t="str">
        <f ca="1">IFERROR(__xludf.DUMMYFUNCTION("GOOGLETRANSLATE(A7794 , ""tr"" , ""en"")"),"@drfahrettinkoca reisten dont say this tweet while i'm at attack")</f>
        <v>@drfahrettinkoca reisten dont say this tweet while i'm at attack</v>
      </c>
    </row>
    <row r="10996" spans="1:5" ht="15" customHeight="1" x14ac:dyDescent="0.2">
      <c r="A10996" s="1" t="s">
        <v>21789</v>
      </c>
      <c r="B10996" s="1">
        <v>0</v>
      </c>
      <c r="C10996" s="3">
        <v>44534.918379629627</v>
      </c>
      <c r="D10996" s="1" t="s">
        <v>21790</v>
      </c>
      <c r="E10996" s="1" t="str">
        <f ca="1">IFERROR(__xludf.DUMMYFUNCTION("GOOGLETRANSLATE(A7795 , ""tr"" , ""en"")"),"@drfahrettinkoca @saglikbakanligi MAYİN OK 21 de İzmir Behcetuz Children Patient. Fiery 4 Yasindi Brings My Ciz ... https://t.co/4dthpil7co")</f>
        <v>@drfahrettinkoca @saglikbakanligi MAYİN OK 21 de İzmir Behcetuz Children Patient. Fiery 4 Yasindi Brings My Ciz ... https://t.co/4dthpil7co</v>
      </c>
    </row>
    <row r="10997" spans="1:5" ht="15" customHeight="1" x14ac:dyDescent="0.2">
      <c r="A10997" s="1" t="s">
        <v>21791</v>
      </c>
      <c r="B10997" s="1">
        <v>0</v>
      </c>
      <c r="C10997" s="3">
        <v>44534.917071759257</v>
      </c>
      <c r="D10997" s="1" t="s">
        <v>21792</v>
      </c>
      <c r="E10997" s="1" t="str">
        <f ca="1">IFERROR(__xludf.DUMMYFUNCTION("GOOGLETRANSLATE(A7796 , ""tr"" , ""en"")"),"@drfahrettinkoca Under the age of 12 years of age serious risk! 9 hours in school so you say you are ineffective in the indoor area as you say! Cani ... https://t.co/tesb7z30bf")</f>
        <v>@drfahrettinkoca Under the age of 12 years of age serious risk! 9 hours in school so you say you are ineffective in the indoor area as you say! Cani ... https://t.co/tesb7z30bf</v>
      </c>
    </row>
    <row r="10998" spans="1:5" ht="15" customHeight="1" x14ac:dyDescent="0.2">
      <c r="A10998" s="1" t="s">
        <v>21793</v>
      </c>
      <c r="B10998" s="1">
        <v>0</v>
      </c>
      <c r="C10998" s="3">
        <v>44534.916527777779</v>
      </c>
      <c r="D10998" s="1" t="s">
        <v>21794</v>
      </c>
      <c r="E10998" s="1" t="str">
        <f ca="1">IFERROR(__xludf.DUMMYFUNCTION("GOOGLETRANSLATE(A7797 , ""tr"" , ""en"")"),"@drfahrettinkoca all roads in somehow reasons to vaccine")</f>
        <v>@drfahrettinkoca all roads in somehow reasons to vaccine</v>
      </c>
    </row>
    <row r="10999" spans="1:5" ht="15" customHeight="1" x14ac:dyDescent="0.2">
      <c r="A10999" s="1" t="s">
        <v>21795</v>
      </c>
      <c r="B10999" s="1">
        <v>1</v>
      </c>
      <c r="C10999" s="3">
        <v>44534.914618055554</v>
      </c>
      <c r="D10999" s="1" t="s">
        <v>21796</v>
      </c>
      <c r="E10999" s="1" t="str">
        <f ca="1">IFERROR(__xludf.DUMMYFUNCTION("GOOGLETRANSLATE(A7798 , ""tr"" , ""en"")"),"@drfahrettinkoca Ministry, the vaccine against Omicron does not work. What vaccine will we be? In dorms, in schools, which closed ... https://t.co/xahlzb9pwh")</f>
        <v>@drfahrettinkoca Ministry, the vaccine against Omicron does not work. What vaccine will we be? In dorms, in schools, which closed ... https://t.co/xahlzb9pwh</v>
      </c>
    </row>
    <row r="11000" spans="1:5" ht="15" customHeight="1" x14ac:dyDescent="0.2">
      <c r="A11000" s="1" t="s">
        <v>21797</v>
      </c>
      <c r="B11000" s="1">
        <v>2</v>
      </c>
      <c r="C11000" s="3">
        <v>44534.913495370369</v>
      </c>
      <c r="D11000" s="1" t="s">
        <v>21798</v>
      </c>
      <c r="E11000" s="1" t="str">
        <f ca="1">IFERROR(__xludf.DUMMYFUNCTION("GOOGLETRANSLATE(A7799 , ""tr"" , ""en"")"),"@drfahrettinka Mr. Minister, I didn't make the vaccine, I will not make it. I was positive last month. The drug provided is ... https://t.co/vru0yxuyn5")</f>
        <v>@drfahrettinka Mr. Minister, I didn't make the vaccine, I will not make it. I was positive last month. The drug provided is ... https://t.co/vru0yxuyn5</v>
      </c>
    </row>
    <row r="11001" spans="1:5" ht="15" customHeight="1" x14ac:dyDescent="0.2">
      <c r="A11001" s="1" t="s">
        <v>21799</v>
      </c>
      <c r="B11001" s="1">
        <v>0</v>
      </c>
      <c r="C11001" s="3">
        <v>44534.913483796299</v>
      </c>
      <c r="D11001" s="1" t="s">
        <v>21800</v>
      </c>
      <c r="E11001" s="1" t="str">
        <f ca="1">IFERROR(__xludf.DUMMYFUNCTION("GOOGLETRANSLATE(A7800 , ""tr"" , ""en"")"),"@drfahrettinkoca Mr. Minister; The weight of the minced is 80 TL ... If we distribute the experimental fluid instead of meat, the protein is bad ... https://t.co/qewqatva4o")</f>
        <v>@drfahrettinkoca Mr. Minister; The weight of the minced is 80 TL ... If we distribute the experimental fluid instead of meat, the protein is bad ... https://t.co/qewqatva4o</v>
      </c>
    </row>
    <row r="11002" spans="1:5" ht="15" customHeight="1" x14ac:dyDescent="0.2">
      <c r="A11002" s="1" t="s">
        <v>21801</v>
      </c>
      <c r="B11002" s="1">
        <v>0</v>
      </c>
      <c r="C11002" s="3">
        <v>44534.913171296299</v>
      </c>
      <c r="D11002" s="1" t="s">
        <v>21802</v>
      </c>
      <c r="E11002" s="1" t="str">
        <f ca="1">IFERROR(__xludf.DUMMYFUNCTION("GOOGLETRANSLATE(A7801 , ""tr"" , ""en"")"),"@drfahrettinkoca Ministry of 1 Month is the ficeless dis hospital to make an appointment to make an appointment Canceled in appointment ... https://t.co/wgjteqrh7I")</f>
        <v>@drfahrettinkoca Ministry of 1 Month is the ficeless dis hospital to make an appointment to make an appointment Canceled in appointment ... https://t.co/wgjteqrh7I</v>
      </c>
    </row>
    <row r="11003" spans="1:5" ht="15" customHeight="1" x14ac:dyDescent="0.2">
      <c r="A11003" s="1" t="s">
        <v>21803</v>
      </c>
      <c r="B11003" s="1">
        <v>0</v>
      </c>
      <c r="C11003" s="3">
        <v>44534.911354166667</v>
      </c>
      <c r="D11003" s="1" t="s">
        <v>21804</v>
      </c>
      <c r="E11003" s="1" t="str">
        <f ca="1">IFERROR(__xludf.DUMMYFUNCTION("GOOGLETRANSLATE(A7802 , ""tr"" , ""en"")"),"@drfahrettinkoca kids call children! They are in the indoor setting and everyday! What doesn't count.")</f>
        <v>@drfahrettinkoca kids call children! They are in the indoor setting and everyday! What doesn't count.</v>
      </c>
    </row>
    <row r="11004" spans="1:5" ht="15" customHeight="1" x14ac:dyDescent="0.2">
      <c r="A11004" s="1" t="s">
        <v>21805</v>
      </c>
      <c r="B11004" s="1">
        <v>1</v>
      </c>
      <c r="C11004" s="3">
        <v>44534.911168981482</v>
      </c>
      <c r="D11004" s="1" t="s">
        <v>21806</v>
      </c>
      <c r="E11004" s="1" t="str">
        <f ca="1">IFERROR(__xludf.DUMMYFUNCTION("GOOGLETRANSLATE(A7803 , ""tr"" , ""en"")"),"Buy Bi permission from @drfahrettinkoca Palace C. -Pazar closure, but also influenced. Or the number of passages d ... https://t.co/nxj8yzzlb3")</f>
        <v>Buy Bi permission from @drfahrettinkoca Palace C. -Pazar closure, but also influenced. Or the number of passages d ... https://t.co/nxj8yzzlb3</v>
      </c>
    </row>
    <row r="11005" spans="1:5" ht="15" customHeight="1" x14ac:dyDescent="0.2">
      <c r="A11005" s="1" t="s">
        <v>16190</v>
      </c>
      <c r="B11005" s="1">
        <v>0</v>
      </c>
      <c r="C11005" s="3">
        <v>44534.911064814813</v>
      </c>
      <c r="D11005" s="1" t="s">
        <v>21807</v>
      </c>
      <c r="E11005" s="1" t="str">
        <f ca="1">IFERROR(__xludf.DUMMYFUNCTION("GOOGLETRANSLATE(A7804 , ""tr"" , ""en"")"),"@drfahrettinkoca defolup goes the country if you get rid of you vaccine merchant resign")</f>
        <v>@drfahrettinkoca defolup goes the country if you get rid of you vaccine merchant resign</v>
      </c>
    </row>
    <row r="11006" spans="1:5" ht="15" customHeight="1" x14ac:dyDescent="0.2">
      <c r="A11006" s="1" t="s">
        <v>21808</v>
      </c>
      <c r="B11006" s="1">
        <v>0</v>
      </c>
      <c r="C11006" s="3">
        <v>44534.90960648148</v>
      </c>
      <c r="D11006" s="1" t="s">
        <v>21809</v>
      </c>
      <c r="E11006" s="1" t="str">
        <f ca="1">IFERROR(__xludf.DUMMYFUNCTION("GOOGLETRANSLATE(A7805 , ""tr"" , ""en"")"),"@drfahrettinkoca für Medizinisches Deutsch Folgen Sie Bitte https://t.co/nx6aq2ub7o")</f>
        <v>@drfahrettinkoca für Medizinisches Deutsch Folgen Sie Bitte https://t.co/nx6aq2ub7o</v>
      </c>
    </row>
    <row r="11007" spans="1:5" ht="15" customHeight="1" x14ac:dyDescent="0.2">
      <c r="A11007" s="1" t="s">
        <v>21810</v>
      </c>
      <c r="B11007" s="1">
        <v>0</v>
      </c>
      <c r="C11007" s="3">
        <v>44534.908599537041</v>
      </c>
      <c r="D11007" s="1" t="s">
        <v>21811</v>
      </c>
      <c r="E11007" s="1" t="str">
        <f ca="1">IFERROR(__xludf.DUMMYFUNCTION("GOOGLETRANSLATE(A7806 , ""tr"" , ""en"")"),"@drfahrettinkoca yavıy beautiful brother you say crowded ambience i am processing 11 hours at school with 40 people s ... https://t.co/j0q3mbtpai")</f>
        <v>@drfahrettinkoca yavıy beautiful brother you say crowded ambience i am processing 11 hours at school with 40 people s ... https://t.co/j0q3mbtpai</v>
      </c>
    </row>
    <row r="11008" spans="1:5" ht="15" customHeight="1" x14ac:dyDescent="0.2">
      <c r="A11008" s="1" t="s">
        <v>21812</v>
      </c>
      <c r="B11008" s="1">
        <v>0</v>
      </c>
      <c r="C11008" s="3">
        <v>44534.906886574077</v>
      </c>
      <c r="D11008" s="1" t="s">
        <v>21813</v>
      </c>
      <c r="E11008" s="1" t="str">
        <f ca="1">IFERROR(__xludf.DUMMYFUNCTION("GOOGLETRANSLATE(A7807 , ""tr"" , ""en"")"),"@drfahrettinkoca 🌍🇹🇷🤲🤲🤲🤲")</f>
        <v>@drfahrettinkoca 🌍🇹🇷🤲🤲🤲🤲</v>
      </c>
    </row>
    <row r="11009" spans="1:5" ht="15" customHeight="1" x14ac:dyDescent="0.2">
      <c r="A11009" s="1" t="s">
        <v>21814</v>
      </c>
      <c r="B11009" s="1">
        <v>2</v>
      </c>
      <c r="C11009" s="3">
        <v>44534.905173611114</v>
      </c>
      <c r="D11009" s="1" t="s">
        <v>21815</v>
      </c>
      <c r="E11009" s="1" t="str">
        <f ca="1">IFERROR(__xludf.DUMMYFUNCTION("GOOGLETRANSLATE(A7808 , ""tr"" , ""en"")"),"@drfahrettinkoca For your intensive care patients, you can establish bi bank to give information on patient relatives M ... https://t.co/nnsvnlfm2p")</f>
        <v>@drfahrettinkoca For your intensive care patients, you can establish bi bank to give information on patient relatives M ... https://t.co/nnsvnlfm2p</v>
      </c>
    </row>
    <row r="11010" spans="1:5" ht="15" customHeight="1" x14ac:dyDescent="0.2">
      <c r="A11010" s="1" t="s">
        <v>21816</v>
      </c>
      <c r="B11010" s="1">
        <v>0</v>
      </c>
      <c r="C11010" s="3">
        <v>44534.904664351852</v>
      </c>
      <c r="D11010" s="1" t="s">
        <v>21817</v>
      </c>
      <c r="E11010" s="1" t="str">
        <f ca="1">IFERROR(__xludf.DUMMYFUNCTION("GOOGLETRANSLATE(A7809 , ""tr"" , ""en"")"),"@drfahrettinkoca how bi guide is hiding like muş be secret bidet healthcare year")</f>
        <v>@drfahrettinkoca how bi guide is hiding like muş be secret bidet healthcare year</v>
      </c>
    </row>
    <row r="11011" spans="1:5" ht="15" customHeight="1" x14ac:dyDescent="0.2">
      <c r="A11011" s="1" t="s">
        <v>21818</v>
      </c>
      <c r="B11011" s="1">
        <v>0</v>
      </c>
      <c r="C11011" s="3">
        <v>44534.904652777775</v>
      </c>
      <c r="D11011" s="1" t="s">
        <v>21819</v>
      </c>
      <c r="E11011" s="1" t="str">
        <f ca="1">IFERROR(__xludf.DUMMYFUNCTION("GOOGLETRANSLATE(A7810 , ""tr"" , ""en"")"),"@drfahrettinkoca 3. Our dosage has not arrived when we arrive we will make the minister")</f>
        <v>@drfahrettinkoca 3. Our dosage has not arrived when we arrive we will make the minister</v>
      </c>
    </row>
    <row r="11012" spans="1:5" ht="15" customHeight="1" x14ac:dyDescent="0.2">
      <c r="A11012" s="1" t="s">
        <v>21820</v>
      </c>
      <c r="B11012" s="1">
        <v>0</v>
      </c>
      <c r="C11012" s="3">
        <v>44534.90320601852</v>
      </c>
      <c r="D11012" s="1" t="s">
        <v>21821</v>
      </c>
      <c r="E11012" s="1" t="str">
        <f ca="1">IFERROR(__xludf.DUMMYFUNCTION("GOOGLETRANSLATE(A7811 , ""tr"" , ""en"")"),"@drfahrettinkoca All doctors across the country should review Hippocratic vows!")</f>
        <v>@drfahrettinkoca All doctors across the country should review Hippocratic vows!</v>
      </c>
    </row>
    <row r="11013" spans="1:5" ht="15" customHeight="1" x14ac:dyDescent="0.2">
      <c r="A11013" s="1" t="s">
        <v>21822</v>
      </c>
      <c r="B11013" s="1">
        <v>0</v>
      </c>
      <c r="C11013" s="3">
        <v>44534.899918981479</v>
      </c>
      <c r="D11013" s="1" t="s">
        <v>21823</v>
      </c>
      <c r="E11013" s="1" t="str">
        <f ca="1">IFERROR(__xludf.DUMMYFUNCTION("GOOGLETRANSLATE(A7812 , ""tr"" , ""en"")"),"@drfahrettinkoca Malum Winter came and the odds will rise again. The fact that training is online is more healthy for everyone ... https://t.co/kw1eb7sapa")</f>
        <v>@drfahrettinkoca Malum Winter came and the odds will rise again. The fact that training is online is more healthy for everyone ... https://t.co/kw1eb7sapa</v>
      </c>
    </row>
    <row r="11014" spans="1:5" ht="15" customHeight="1" x14ac:dyDescent="0.2">
      <c r="A11014" s="1" t="s">
        <v>7770</v>
      </c>
      <c r="B11014" s="1">
        <v>0</v>
      </c>
      <c r="C11014" s="3">
        <v>44534.895543981482</v>
      </c>
      <c r="D11014" s="1" t="s">
        <v>21824</v>
      </c>
      <c r="E11014" s="1" t="str">
        <f ca="1">IFERROR(__xludf.DUMMYFUNCTION("GOOGLETRANSLATE(A7813 , ""tr"" , ""en"")"),"@drfahrettinkoca dietitians are welcomed to assign the assignment to the dietitians Sayin Minister 91 Score of Cardiacy Still Acikta")</f>
        <v>@drfahrettinkoca dietitians are welcomed to assign the assignment to the dietitians Sayin Minister 91 Score of Cardiacy Still Acikta</v>
      </c>
    </row>
    <row r="11015" spans="1:5" ht="15" customHeight="1" x14ac:dyDescent="0.2">
      <c r="A11015" s="1" t="s">
        <v>21825</v>
      </c>
      <c r="B11015" s="1">
        <v>0</v>
      </c>
      <c r="C11015" s="3">
        <v>44534.892222222225</v>
      </c>
      <c r="D11015" s="1" t="s">
        <v>21826</v>
      </c>
      <c r="E11015" s="1" t="str">
        <f ca="1">IFERROR(__xludf.DUMMYFUNCTION("GOOGLETRANSLATE(A7814 , ""tr"" , ""en"")"),"@drfahrettinkoca Yaaaa Kesss Lostkk! DUS is no shameless than our collar")</f>
        <v>@drfahrettinkoca Yaaaa Kesss Lostkk! DUS is no shameless than our collar</v>
      </c>
    </row>
    <row r="11016" spans="1:5" ht="15" customHeight="1" x14ac:dyDescent="0.2">
      <c r="A11016" s="1" t="s">
        <v>21827</v>
      </c>
      <c r="B11016" s="1">
        <v>0</v>
      </c>
      <c r="C11016" s="3">
        <v>44534.885972222219</v>
      </c>
      <c r="D11016" s="1" t="s">
        <v>21828</v>
      </c>
      <c r="E11016" s="1" t="str">
        <f ca="1">IFERROR(__xludf.DUMMYFUNCTION("GOOGLETRANSLATE(A7815 , ""tr"" , ""en"")"),"If @drfahrettinkoca has been damaged after making the vaccine, you are tanimazaz, are not the ends?")</f>
        <v>If @drfahrettinkoca has been damaged after making the vaccine, you are tanimazaz, are not the ends?</v>
      </c>
    </row>
    <row r="11017" spans="1:5" ht="15" customHeight="1" x14ac:dyDescent="0.2">
      <c r="A11017" s="1" t="s">
        <v>21829</v>
      </c>
      <c r="B11017" s="1">
        <v>0</v>
      </c>
      <c r="C11017" s="3">
        <v>44534.885023148148</v>
      </c>
      <c r="D11017" s="1" t="s">
        <v>21830</v>
      </c>
      <c r="E11017" s="1" t="str">
        <f ca="1">IFERROR(__xludf.DUMMYFUNCTION("GOOGLETRANSLATE(A7816 , ""tr"" , ""en"")"),"@drfahrettinkoca What said")</f>
        <v>@drfahrettinkoca What said</v>
      </c>
    </row>
    <row r="11018" spans="1:5" ht="15" customHeight="1" x14ac:dyDescent="0.2">
      <c r="A11018" s="1" t="s">
        <v>21831</v>
      </c>
      <c r="B11018" s="1">
        <v>0</v>
      </c>
      <c r="C11018" s="3">
        <v>44534.884143518517</v>
      </c>
      <c r="D11018" s="1" t="s">
        <v>21832</v>
      </c>
      <c r="E11018" s="1" t="str">
        <f ca="1">IFERROR(__xludf.DUMMYFUNCTION("GOOGLETRANSLATE(A7817 , ""tr"" , ""en"")"),"@drfahrettinkoca Valla I found the way to keep my health.")</f>
        <v>@drfahrettinkoca Valla I found the way to keep my health.</v>
      </c>
    </row>
    <row r="11019" spans="1:5" ht="15" customHeight="1" x14ac:dyDescent="0.2">
      <c r="A11019" s="1" t="s">
        <v>21833</v>
      </c>
      <c r="B11019" s="1">
        <v>8</v>
      </c>
      <c r="C11019" s="3">
        <v>44534.88144675926</v>
      </c>
      <c r="D11019" s="1" t="s">
        <v>21834</v>
      </c>
      <c r="E11019" s="1" t="str">
        <f ca="1">IFERROR(__xludf.DUMMYFUNCTION("GOOGLETRANSLATE(A7818 , ""tr"" , ""en"")"),"@drfahrettinkoca leave the nation comfortable")</f>
        <v>@drfahrettinkoca leave the nation comfortable</v>
      </c>
    </row>
    <row r="11020" spans="1:5" ht="15" customHeight="1" x14ac:dyDescent="0.2">
      <c r="A11020" s="1" t="s">
        <v>21835</v>
      </c>
      <c r="B11020" s="1">
        <v>0</v>
      </c>
      <c r="C11020" s="3">
        <v>44534.880682870367</v>
      </c>
      <c r="D11020" s="1" t="s">
        <v>21836</v>
      </c>
      <c r="E11020" s="1" t="str">
        <f ca="1">IFERROR(__xludf.DUMMYFUNCTION("GOOGLETRANSLATE(A7819 , ""tr"" , ""en"")"),"@drfahrettinkoca Dear Minister Leave now the job of tweeting every evening. Tweet with the maximum of writing to write every evening ... HTTPS://T.CO/SPSFGZKBDI")</f>
        <v>@drfahrettinkoca Dear Minister Leave now the job of tweeting every evening. Tweet with the maximum of writing to write every evening ... HTTPS://T.CO/SPSFGZKBDI</v>
      </c>
    </row>
    <row r="11021" spans="1:5" ht="15" customHeight="1" x14ac:dyDescent="0.2">
      <c r="A11021" s="1" t="s">
        <v>21837</v>
      </c>
      <c r="B11021" s="1">
        <v>0</v>
      </c>
      <c r="C11021" s="3">
        <v>44534.877893518518</v>
      </c>
      <c r="D11021" s="1" t="s">
        <v>21838</v>
      </c>
      <c r="E11021" s="1" t="str">
        <f ca="1">IFERROR(__xludf.DUMMYFUNCTION("GOOGLETRANSLATE(A7820 , ""tr"" , ""en"")"),"@drfahrettinkoca You didn't make one word against the removal of Covid permits in one")</f>
        <v>@drfahrettinkoca You didn't make one word against the removal of Covid permits in one</v>
      </c>
    </row>
    <row r="11022" spans="1:5" ht="15" customHeight="1" x14ac:dyDescent="0.2">
      <c r="A11022" s="1" t="s">
        <v>21839</v>
      </c>
      <c r="B11022" s="1">
        <v>0</v>
      </c>
      <c r="C11022" s="3">
        <v>44534.877303240741</v>
      </c>
      <c r="D11022" s="1" t="s">
        <v>21840</v>
      </c>
      <c r="E11022" s="1" t="str">
        <f ca="1">IFERROR(__xludf.DUMMYFUNCTION("GOOGLETRANSLATE(A7821 , ""tr"" , ""en"")"),"@drfahrettinkoca #kabinezkusagionlineist is @tcmeb @drfahrettinkoca")</f>
        <v>@drfahrettinkoca #kabinezkusagionlineist is @tcmeb @drfahrettinkoca</v>
      </c>
    </row>
    <row r="11023" spans="1:5" ht="15" customHeight="1" x14ac:dyDescent="0.2">
      <c r="A11023" s="1" t="s">
        <v>21841</v>
      </c>
      <c r="B11023" s="1">
        <v>1</v>
      </c>
      <c r="C11023" s="3">
        <v>44534.876145833332</v>
      </c>
      <c r="D11023" s="1" t="s">
        <v>21842</v>
      </c>
      <c r="E11023" s="1" t="str">
        <f ca="1">IFERROR(__xludf.DUMMYFUNCTION("GOOGLETRANSLATE(A7822 , ""tr"" , ""en"")"),"@drfahrettinka you are aware of the advice you are in the public. ?? Do not be found in both long periods of environments Diyo ... https://t.co/m6mf3kbb3e")</f>
        <v>@drfahrettinka you are aware of the advice you are in the public. ?? Do not be found in both long periods of environments Diyo ... https://t.co/m6mf3kbb3e</v>
      </c>
    </row>
    <row r="11024" spans="1:5" ht="15" customHeight="1" x14ac:dyDescent="0.2">
      <c r="A11024" s="1" t="s">
        <v>21843</v>
      </c>
      <c r="B11024" s="1">
        <v>0</v>
      </c>
      <c r="C11024" s="3">
        <v>44534.875659722224</v>
      </c>
      <c r="D11024" s="1" t="s">
        <v>21844</v>
      </c>
      <c r="E11024" s="1" t="str">
        <f ca="1">IFERROR(__xludf.DUMMYFUNCTION("GOOGLETRANSLATE(A7823 , ""tr"" , ""en"")"),"@drfahrettinkoca last year schoolwashing students in the middle of the training now Curly wondered the Noldu says Distance Education")</f>
        <v>@drfahrettinkoca last year schoolwashing students in the middle of the training now Curly wondered the Noldu says Distance Education</v>
      </c>
    </row>
    <row r="11025" spans="1:5" ht="15" customHeight="1" x14ac:dyDescent="0.2">
      <c r="A11025" s="1" t="s">
        <v>21845</v>
      </c>
      <c r="B11025" s="1">
        <v>0</v>
      </c>
      <c r="C11025" s="3">
        <v>44534.873437499999</v>
      </c>
      <c r="D11025" s="1" t="s">
        <v>21846</v>
      </c>
      <c r="E11025" s="1" t="str">
        <f ca="1">IFERROR(__xludf.DUMMYFUNCTION("GOOGLETRANSLATE(A7824 , ""tr"" , ""en"")"),"@drfahrettinkoca Mr. Ministry What are the physicians to the hrs .. Who will defend physicians ..")</f>
        <v>@drfahrettinkoca Mr. Ministry What are the physicians to the hrs .. Who will defend physicians ..</v>
      </c>
    </row>
    <row r="11026" spans="1:5" ht="15" customHeight="1" x14ac:dyDescent="0.2">
      <c r="A11026" s="1" t="s">
        <v>21847</v>
      </c>
      <c r="B11026" s="1">
        <v>0</v>
      </c>
      <c r="C11026" s="3">
        <v>44534.872187499997</v>
      </c>
      <c r="D11026" s="1" t="s">
        <v>21848</v>
      </c>
      <c r="E11026" s="1" t="str">
        <f ca="1">IFERROR(__xludf.DUMMYFUNCTION("GOOGLETRANSLATE(A7825 , ""tr"" , ""en"")"),"@drfahrettinkoca yes let's keep the windows on schools We dance our DAYIN Ministry of Charcoal is free to FREE YAAA 😅")</f>
        <v>@drfahrettinkoca yes let's keep the windows on schools We dance our DAYIN Ministry of Charcoal is free to FREE YAAA 😅</v>
      </c>
    </row>
    <row r="11027" spans="1:5" ht="15" customHeight="1" x14ac:dyDescent="0.2">
      <c r="A11027" s="1" t="s">
        <v>21849</v>
      </c>
      <c r="B11027" s="1">
        <v>1</v>
      </c>
      <c r="C11027" s="3">
        <v>44534.871261574073</v>
      </c>
      <c r="D11027" s="1" t="s">
        <v>21850</v>
      </c>
      <c r="E11027" s="1" t="str">
        <f ca="1">IFERROR(__xludf.DUMMYFUNCTION("GOOGLETRANSLATE(A7826 , ""tr"" , ""en"")"),"@drfahrettinkoca We immediately make Mr. Minister, you will make the day you resign!")</f>
        <v>@drfahrettinkoca We immediately make Mr. Minister, you will make the day you resign!</v>
      </c>
    </row>
    <row r="11028" spans="1:5" ht="15" customHeight="1" x14ac:dyDescent="0.2">
      <c r="A11028" s="1" t="s">
        <v>21851</v>
      </c>
      <c r="B11028" s="1">
        <v>0</v>
      </c>
      <c r="C11028" s="3">
        <v>44534.869710648149</v>
      </c>
      <c r="D11028" s="1" t="s">
        <v>21852</v>
      </c>
      <c r="E11028" s="1" t="str">
        <f ca="1">IFERROR(__xludf.DUMMYFUNCTION("GOOGLETRANSLATE(A7827 , ""tr"" , ""en"")"),"@drfahrettinkoca Let's see that this game is very little left, how to end the movie never looks good at all the best I'm")</f>
        <v>@drfahrettinkoca Let's see that this game is very little left, how to end the movie never looks good at all the best I'm</v>
      </c>
    </row>
    <row r="11029" spans="1:5" ht="15" customHeight="1" x14ac:dyDescent="0.2">
      <c r="A11029" s="1" t="s">
        <v>21853</v>
      </c>
      <c r="B11029" s="1">
        <v>0</v>
      </c>
      <c r="C11029" s="3">
        <v>44534.866736111115</v>
      </c>
      <c r="D11029" s="1" t="s">
        <v>21854</v>
      </c>
      <c r="E11029" s="1" t="str">
        <f ca="1">IFERROR(__xludf.DUMMYFUNCTION("GOOGLETRANSLATE(A7828 , ""tr"" , ""en"")"),"@drfahrettinkoca hocam fear pulls the fearful. Exit is now from your worldmen's. You also know and experience ... https://t.co/yvp4c1hsor")</f>
        <v>@drfahrettinkoca hocam fear pulls the fearful. Exit is now from your worldmen's. You also know and experience ... https://t.co/yvp4c1hsor</v>
      </c>
    </row>
    <row r="11030" spans="1:5" ht="15" customHeight="1" x14ac:dyDescent="0.2">
      <c r="A11030" s="1" t="s">
        <v>21855</v>
      </c>
      <c r="B11030" s="1">
        <v>0</v>
      </c>
      <c r="C11030" s="3">
        <v>44534.862696759257</v>
      </c>
      <c r="D11030" s="1" t="s">
        <v>21856</v>
      </c>
      <c r="E11030" s="1" t="str">
        <f ca="1">IFERROR(__xludf.DUMMYFUNCTION("GOOGLETRANSLATE(A7829 , ""tr"" , ""en"")"),"@drfahrettinkoca are not ashamed of my pardon when writing? Someone is the most trust in the epidemic period where schools are open ... https://t.co/cu96qigy3b")</f>
        <v>@drfahrettinkoca are not ashamed of my pardon when writing? Someone is the most trust in the epidemic period where schools are open ... https://t.co/cu96qigy3b</v>
      </c>
    </row>
    <row r="11031" spans="1:5" ht="15" customHeight="1" x14ac:dyDescent="0.2">
      <c r="A11031" s="1" t="s">
        <v>21857</v>
      </c>
      <c r="B11031" s="1">
        <v>0</v>
      </c>
      <c r="C11031" s="3">
        <v>44534.860694444447</v>
      </c>
      <c r="D11031" s="1" t="s">
        <v>21858</v>
      </c>
      <c r="E11031" s="1" t="str">
        <f ca="1">IFERROR(__xludf.DUMMYFUNCTION("GOOGLETRANSLATE(A7830 , ""tr"" , ""en"")"),"@drfahrettinkoca puppet")</f>
        <v>@drfahrettinkoca puppet</v>
      </c>
    </row>
    <row r="11032" spans="1:5" ht="15" customHeight="1" x14ac:dyDescent="0.2">
      <c r="A11032" s="1" t="s">
        <v>21859</v>
      </c>
      <c r="B11032" s="1">
        <v>0</v>
      </c>
      <c r="C11032" s="3">
        <v>44534.860625000001</v>
      </c>
      <c r="D11032" s="1" t="s">
        <v>21860</v>
      </c>
      <c r="E11032" s="1" t="str">
        <f ca="1">IFERROR(__xludf.DUMMYFUNCTION("GOOGLETRANSLATE(A7831 , ""tr"" , ""en"")"),"@drfahrettinkoca schools close or")</f>
        <v>@drfahrettinkoca schools close or</v>
      </c>
    </row>
    <row r="11033" spans="1:5" ht="15" customHeight="1" x14ac:dyDescent="0.2">
      <c r="A11033" s="1" t="s">
        <v>21861</v>
      </c>
      <c r="B11033" s="1">
        <v>0</v>
      </c>
      <c r="C11033" s="3">
        <v>44534.859548611108</v>
      </c>
      <c r="D11033" s="1" t="s">
        <v>21862</v>
      </c>
      <c r="E11033" s="1" t="str">
        <f ca="1">IFERROR(__xludf.DUMMYFUNCTION("GOOGLETRANSLATE(A7832 , ""tr"" , ""en"")"),"@drfahrettinkoca assignment when is my minister?")</f>
        <v>@drfahrettinkoca assignment when is my minister?</v>
      </c>
    </row>
    <row r="11034" spans="1:5" ht="15" customHeight="1" x14ac:dyDescent="0.2">
      <c r="A11034" s="1" t="s">
        <v>21863</v>
      </c>
      <c r="B11034" s="1">
        <v>8</v>
      </c>
      <c r="C11034" s="3">
        <v>44534.858553240738</v>
      </c>
      <c r="D11034" s="1" t="s">
        <v>21864</v>
      </c>
      <c r="E11034" s="1" t="str">
        <f ca="1">IFERROR(__xludf.DUMMYFUNCTION("GOOGLETRANSLATE(A7833 , ""tr"" , ""en"")"),"@drfahrettinkoca #kabinezkusagionlinistine online education requirement")</f>
        <v>@drfahrettinkoca #kabinezkusagionlinistine online education requirement</v>
      </c>
    </row>
    <row r="11035" spans="1:5" ht="15" customHeight="1" x14ac:dyDescent="0.2">
      <c r="A11035" s="1" t="s">
        <v>21865</v>
      </c>
      <c r="B11035" s="1">
        <v>0</v>
      </c>
      <c r="C11035" s="3">
        <v>44534.858495370368</v>
      </c>
      <c r="D11035" s="1" t="s">
        <v>21866</v>
      </c>
      <c r="E11035" s="1" t="str">
        <f ca="1">IFERROR(__xludf.DUMMYFUNCTION("GOOGLETRANSLATE(A7834 , ""tr"" , ""en"")"),"@drfahrettinkoca Closed or how to avoid the plains of the crawl. I'm getting out of work Metro plug Basa morning pattern Same B ... https://t.co/tajnwtcs1I")</f>
        <v>@drfahrettinkoca Closed or how to avoid the plains of the crawl. I'm getting out of work Metro plug Basa morning pattern Same B ... https://t.co/tajnwtcs1I</v>
      </c>
    </row>
    <row r="11036" spans="1:5" ht="15" customHeight="1" x14ac:dyDescent="0.2">
      <c r="A11036" s="1" t="s">
        <v>18602</v>
      </c>
      <c r="B11036" s="1">
        <v>4</v>
      </c>
      <c r="C11036" s="3">
        <v>44534.858217592591</v>
      </c>
      <c r="D11036" s="1" t="s">
        <v>21867</v>
      </c>
      <c r="E11036" s="1" t="str">
        <f ca="1">IFERROR(__xludf.DUMMYFUNCTION("GOOGLETRANSLATE(A7835 , ""tr"" , ""en"")"),"@drfahrettinkoca #kabinezkusagionlineline")</f>
        <v>@drfahrettinkoca #kabinezkusagionlineline</v>
      </c>
    </row>
    <row r="11037" spans="1:5" ht="15" customHeight="1" x14ac:dyDescent="0.2">
      <c r="A11037" s="1" t="s">
        <v>21868</v>
      </c>
      <c r="B11037" s="1">
        <v>1</v>
      </c>
      <c r="C11037" s="3">
        <v>44534.855266203704</v>
      </c>
      <c r="D11037" s="1" t="s">
        <v>21869</v>
      </c>
      <c r="E11037" s="1" t="str">
        <f ca="1">IFERROR(__xludf.DUMMYFUNCTION("GOOGLETRANSLATE(A7836 , ""tr"" , ""en"")"),"@drfahrettinkoca Do you stay away from the indoor environment, can you tell him how it will be possible?")</f>
        <v>@drfahrettinkoca Do you stay away from the indoor environment, can you tell him how it will be possible?</v>
      </c>
    </row>
    <row r="11038" spans="1:5" ht="15" customHeight="1" x14ac:dyDescent="0.2">
      <c r="A11038" s="1" t="s">
        <v>21870</v>
      </c>
      <c r="B11038" s="1">
        <v>5</v>
      </c>
      <c r="C11038" s="3">
        <v>44534.854756944442</v>
      </c>
      <c r="D11038" s="1" t="s">
        <v>21871</v>
      </c>
      <c r="E11038" s="1" t="str">
        <f ca="1">IFERROR(__xludf.DUMMYFUNCTION("GOOGLETRANSLATE(A7837 , ""tr"" , ""en"")"),"@drfahrettinkoca # cabinetsineline")</f>
        <v>@drfahrettinkoca # cabinetsineline</v>
      </c>
    </row>
    <row r="11039" spans="1:5" ht="15" customHeight="1" x14ac:dyDescent="0.2">
      <c r="A11039" s="1" t="s">
        <v>21872</v>
      </c>
      <c r="B11039" s="1">
        <v>17</v>
      </c>
      <c r="C11039" s="3">
        <v>44534.852789351855</v>
      </c>
      <c r="D11039" s="1" t="s">
        <v>21873</v>
      </c>
      <c r="E11039" s="1" t="str">
        <f ca="1">IFERROR(__xludf.DUMMYFUNCTION("GOOGLETRANSLATE(A7838 , ""tr"" , ""en"")"),"@drfahrettinkoca we wanted online training #kabinezkusagionlineline")</f>
        <v>@drfahrettinkoca we wanted online training #kabinezkusagionlineline</v>
      </c>
    </row>
    <row r="11040" spans="1:5" ht="15" customHeight="1" x14ac:dyDescent="0.2">
      <c r="A11040" s="1" t="s">
        <v>21874</v>
      </c>
      <c r="B11040" s="1">
        <v>1</v>
      </c>
      <c r="C11040" s="3">
        <v>44534.851053240738</v>
      </c>
      <c r="D11040" s="1" t="s">
        <v>21875</v>
      </c>
      <c r="E11040" s="1" t="str">
        <f ca="1">IFERROR(__xludf.DUMMYFUNCTION("GOOGLETRANSLATE(A7839 , ""tr"" , ""en"")"),"@drfahrettinkoca Mobility and Bottom Most Places where there is the most of the cases to reduce the deaths of the cases ... https://t.co/c1I3tzhxem")</f>
        <v>@drfahrettinkoca Mobility and Bottom Most Places where there is the most of the cases to reduce the deaths of the cases ... https://t.co/c1I3tzhxem</v>
      </c>
    </row>
    <row r="11041" spans="1:5" ht="15" customHeight="1" x14ac:dyDescent="0.2">
      <c r="A11041" s="1" t="s">
        <v>21876</v>
      </c>
      <c r="B11041" s="1">
        <v>0</v>
      </c>
      <c r="C11041" s="3">
        <v>44534.848587962966</v>
      </c>
      <c r="D11041" s="1" t="s">
        <v>21877</v>
      </c>
      <c r="E11041" s="1" t="str">
        <f ca="1">IFERROR(__xludf.DUMMYFUNCTION("GOOGLETRANSLATE(A7840 , ""tr"" , ""en"")"),"@drfahrettinkoca Schools Retreating Violus Bi Hover Schools")</f>
        <v>@drfahrettinkoca Schools Retreating Violus Bi Hover Schools</v>
      </c>
    </row>
    <row r="11042" spans="1:5" ht="15" customHeight="1" x14ac:dyDescent="0.2">
      <c r="A11042" s="1" t="s">
        <v>21878</v>
      </c>
      <c r="B11042" s="1">
        <v>0</v>
      </c>
      <c r="C11042" s="3">
        <v>44534.847905092596</v>
      </c>
      <c r="D11042" s="1" t="s">
        <v>21879</v>
      </c>
      <c r="E11042" s="1" t="str">
        <f ca="1">IFERROR(__xludf.DUMMYFUNCTION("GOOGLETRANSLATE(A7841 , ""tr"" , ""en"")"),"@drfahrettinkoca When will the grip vaccine be recognized to those with chronic discomfort?")</f>
        <v>@drfahrettinkoca When will the grip vaccine be recognized to those with chronic discomfort?</v>
      </c>
    </row>
    <row r="11043" spans="1:5" ht="15" customHeight="1" x14ac:dyDescent="0.2">
      <c r="A11043" s="1" t="s">
        <v>21880</v>
      </c>
      <c r="B11043" s="1">
        <v>0</v>
      </c>
      <c r="C11043" s="3">
        <v>44534.846053240741</v>
      </c>
      <c r="D11043" s="1" t="s">
        <v>21881</v>
      </c>
      <c r="E11043" s="1" t="str">
        <f ca="1">IFERROR(__xludf.DUMMYFUNCTION("GOOGLETRANSLATE(A7842 , ""tr"" , ""en"")"),"@drfahrettinkoca nation no vaccine is not insepace you want to stop this hikes")</f>
        <v>@drfahrettinkoca nation no vaccine is not insepace you want to stop this hikes</v>
      </c>
    </row>
    <row r="11044" spans="1:5" ht="15" customHeight="1" x14ac:dyDescent="0.2">
      <c r="A11044" s="1" t="s">
        <v>21882</v>
      </c>
      <c r="B11044" s="1">
        <v>3</v>
      </c>
      <c r="C11044" s="3">
        <v>44534.845243055555</v>
      </c>
      <c r="D11044" s="1" t="s">
        <v>21883</v>
      </c>
      <c r="E11044" s="1" t="str">
        <f ca="1">IFERROR(__xludf.DUMMYFUNCTION("GOOGLETRANSLATE(A7843 , ""tr"" , ""en"")"),"@drfahrettinkoca indoor and crowded places ie schools dorms monday remote training")</f>
        <v>@drfahrettinkoca indoor and crowded places ie schools dorms monday remote training</v>
      </c>
    </row>
    <row r="11045" spans="1:5" ht="15" customHeight="1" x14ac:dyDescent="0.2">
      <c r="A11045" s="1" t="s">
        <v>21884</v>
      </c>
      <c r="B11045" s="1">
        <v>1</v>
      </c>
      <c r="C11045" s="3">
        <v>44534.845023148147</v>
      </c>
      <c r="D11045" s="1" t="s">
        <v>21885</v>
      </c>
      <c r="E11045" s="1" t="str">
        <f ca="1">IFERROR(__xludf.DUMMYFUNCTION("GOOGLETRANSLATE(A7844 , ""tr"" , ""en"")"),"@drfahrettinkoca no one else believes I think it's a waste of time ...")</f>
        <v>@drfahrettinkoca no one else believes I think it's a waste of time ...</v>
      </c>
    </row>
    <row r="11046" spans="1:5" ht="15" customHeight="1" x14ac:dyDescent="0.2">
      <c r="A11046" s="1" t="s">
        <v>21886</v>
      </c>
      <c r="B11046" s="1">
        <v>2</v>
      </c>
      <c r="C11046" s="3">
        <v>44534.841747685183</v>
      </c>
      <c r="D11046" s="1" t="s">
        <v>21887</v>
      </c>
      <c r="E11046" s="1" t="str">
        <f ca="1">IFERROR(__xludf.DUMMYFUNCTION("GOOGLETRANSLATE(A7845 , ""tr"" , ""en"")"),"@drfahrettinkoca my manuscript, looking at tweet and see the dam fucking Covid table. ... https://t.co/dbylp7x2fe")</f>
        <v>@drfahrettinkoca my manuscript, looking at tweet and see the dam fucking Covid table. ... https://t.co/dbylp7x2fe</v>
      </c>
    </row>
    <row r="11047" spans="1:5" ht="15" customHeight="1" x14ac:dyDescent="0.2">
      <c r="A11047" s="1" t="s">
        <v>21888</v>
      </c>
      <c r="B11047" s="1">
        <v>0</v>
      </c>
      <c r="C11047" s="3">
        <v>44534.84138888889</v>
      </c>
      <c r="D11047" s="1" t="s">
        <v>21889</v>
      </c>
      <c r="E11047" s="1" t="str">
        <f ca="1">IFERROR(__xludf.DUMMYFUNCTION("GOOGLETRANSLATE(A7846 , ""tr"" , ""en"")"),"Will @drfahrettinkoca turkovac vaccine, whether to quit? Would you say clear time? When either the vaccine of the tolerant is ... https://t.co/yshepfhpxs")</f>
        <v>Will @drfahrettinkoca turkovac vaccine, whether to quit? Would you say clear time? When either the vaccine of the tolerant is ... https://t.co/yshepfhpxs</v>
      </c>
    </row>
    <row r="11048" spans="1:5" ht="15" customHeight="1" x14ac:dyDescent="0.2">
      <c r="A11048" s="1" t="s">
        <v>21890</v>
      </c>
      <c r="B11048" s="1">
        <v>0</v>
      </c>
      <c r="C11048" s="3">
        <v>44534.838564814818</v>
      </c>
      <c r="D11048" s="1" t="s">
        <v>21891</v>
      </c>
      <c r="E11048" s="1" t="str">
        <f ca="1">IFERROR(__xludf.DUMMYFUNCTION("GOOGLETRANSLATE(A7847 , ""tr"" , ""en"")"),"@drfahrettinkoca was very extended season hazan")</f>
        <v>@drfahrettinkoca was very extended season hazan</v>
      </c>
    </row>
    <row r="11049" spans="1:5" ht="15" customHeight="1" x14ac:dyDescent="0.2">
      <c r="A11049" s="1" t="s">
        <v>21892</v>
      </c>
      <c r="B11049" s="1">
        <v>1</v>
      </c>
      <c r="C11049" s="3">
        <v>44534.838287037041</v>
      </c>
      <c r="D11049" s="1" t="s">
        <v>21893</v>
      </c>
      <c r="E11049" s="1" t="str">
        <f ca="1">IFERROR(__xludf.DUMMYFUNCTION("GOOGLETRANSLATE(A7848 , ""tr"" , ""en"")"),"@drfahrettinkoca Are you kidding either ?? # HEALTHGER # FKOYAKUZLÜZLAŞUZLUZ # fkocayetırumutımutırır https://t.co/clyjxcwyhc")</f>
        <v>@drfahrettinkoca Are you kidding either ?? # HEALTHGER # FKOYAKUZLÜZLAŞUZLUZ # fkocayetırumutımutırır https://t.co/clyjxcwyhc</v>
      </c>
    </row>
    <row r="11050" spans="1:5" ht="15" customHeight="1" x14ac:dyDescent="0.2">
      <c r="A11050" s="1" t="s">
        <v>21894</v>
      </c>
      <c r="B11050" s="1">
        <v>0</v>
      </c>
      <c r="C11050" s="3">
        <v>44534.837476851855</v>
      </c>
      <c r="D11050" s="1" t="s">
        <v>21895</v>
      </c>
      <c r="E11050" s="1" t="str">
        <f ca="1">IFERROR(__xludf.DUMMYFUNCTION("GOOGLETRANSLATE(A7849 , ""tr"" , ""en"")"),"@drfahrettinkoca Come closure")</f>
        <v>@drfahrettinkoca Come closure</v>
      </c>
    </row>
    <row r="11051" spans="1:5" ht="15" customHeight="1" x14ac:dyDescent="0.2">
      <c r="A11051" s="1" t="s">
        <v>21896</v>
      </c>
      <c r="B11051" s="1">
        <v>0</v>
      </c>
      <c r="C11051" s="3">
        <v>44534.837314814817</v>
      </c>
      <c r="D11051" s="1" t="s">
        <v>21897</v>
      </c>
      <c r="E11051" s="1" t="str">
        <f ca="1">IFERROR(__xludf.DUMMYFUNCTION("GOOGLETRANSLATE(A7850 , ""tr"" , ""en"")"),"@drfahrettinkoca quit it. There will be no closures.")</f>
        <v>@drfahrettinkoca quit it. There will be no closures.</v>
      </c>
    </row>
    <row r="11052" spans="1:5" ht="15" customHeight="1" x14ac:dyDescent="0.2">
      <c r="A11052" s="1" t="s">
        <v>21898</v>
      </c>
      <c r="B11052" s="1">
        <v>0</v>
      </c>
      <c r="C11052" s="3">
        <v>44534.83697916667</v>
      </c>
      <c r="D11052" s="1" t="s">
        <v>21899</v>
      </c>
      <c r="E11052" s="1" t="str">
        <f ca="1">IFERROR(__xludf.DUMMYFUNCTION("GOOGLETRANSLATE(A7851 , ""tr"" , ""en"")"),"@drfahrettinkoca The ones in our building were the corona that was heavier.")</f>
        <v>@drfahrettinkoca The ones in our building were the corona that was heavier.</v>
      </c>
    </row>
    <row r="11053" spans="1:5" ht="15" customHeight="1" x14ac:dyDescent="0.2">
      <c r="A11053" s="1" t="s">
        <v>21900</v>
      </c>
      <c r="B11053" s="1">
        <v>4</v>
      </c>
      <c r="C11053" s="3">
        <v>44534.836446759262</v>
      </c>
      <c r="D11053" s="1" t="s">
        <v>21901</v>
      </c>
      <c r="E11053" s="1" t="str">
        <f ca="1">IFERROR(__xludf.DUMMYFUNCTION("GOOGLETRANSLATE(A7852 , ""tr"" , ""en"")"),"@drfahrettinkoca Covered Crowded environments ie the most of the mobility and transmission is the most places of schools open ... https://t.co/dtfvdr6vl7")</f>
        <v>@drfahrettinkoca Covered Crowded environments ie the most of the mobility and transmission is the most places of schools open ... https://t.co/dtfvdr6vl7</v>
      </c>
    </row>
    <row r="11054" spans="1:5" ht="15" customHeight="1" x14ac:dyDescent="0.2">
      <c r="A11054" s="1" t="s">
        <v>21902</v>
      </c>
      <c r="B11054" s="1">
        <v>39</v>
      </c>
      <c r="C11054" s="3">
        <v>44534.835740740738</v>
      </c>
      <c r="D11054" s="1" t="s">
        <v>21903</v>
      </c>
      <c r="E11054" s="1" t="str">
        <f ca="1">IFERROR(__xludf.DUMMYFUNCTION("GOOGLETRANSLATE(A7853 , ""tr"" , ""en"")"),"@drfahrettinkoca in this period you should then shut up! The most beautiful measure will be your susman ...")</f>
        <v>@drfahrettinkoca in this period you should then shut up! The most beautiful measure will be your susman ...</v>
      </c>
    </row>
    <row r="11055" spans="1:5" ht="15" customHeight="1" x14ac:dyDescent="0.2">
      <c r="A11055" s="1" t="s">
        <v>21904</v>
      </c>
      <c r="B11055" s="1">
        <v>4</v>
      </c>
      <c r="C11055" s="3">
        <v>44534.835347222222</v>
      </c>
      <c r="D11055" s="1" t="s">
        <v>21905</v>
      </c>
      <c r="E11055" s="1" t="str">
        <f ca="1">IFERROR(__xludf.DUMMYFUNCTION("GOOGLETRANSLATE(A7854 , ""tr"" , ""en"")"),"@drfahrettinkoca is the important heart cleaning. The cleanliness of the Muslim. Malesefil is dirty")</f>
        <v>@drfahrettinkoca is the important heart cleaning. The cleanliness of the Muslim. Malesefil is dirty</v>
      </c>
    </row>
    <row r="11056" spans="1:5" ht="15" customHeight="1" x14ac:dyDescent="0.2">
      <c r="A11056" s="1" t="s">
        <v>21906</v>
      </c>
      <c r="B11056" s="1">
        <v>0</v>
      </c>
      <c r="C11056" s="3">
        <v>44534.834999999999</v>
      </c>
      <c r="D11056" s="1" t="s">
        <v>21907</v>
      </c>
      <c r="E11056" s="1" t="str">
        <f ca="1">IFERROR(__xludf.DUMMYFUNCTION("GOOGLETRANSLATE(A7855 , ""tr"" , ""en"")"),"@drfahrettinka breaks with the mean scabies. There is no medicine in the middle. You are continuing to the more Covid lie. Tar ... https://t.co/lryrysuaf8")</f>
        <v>@drfahrettinka breaks with the mean scabies. There is no medicine in the middle. You are continuing to the more Covid lie. Tar ... https://t.co/lryrysuaf8</v>
      </c>
    </row>
    <row r="11057" spans="1:5" ht="15" customHeight="1" x14ac:dyDescent="0.2">
      <c r="A11057" s="1" t="s">
        <v>21908</v>
      </c>
      <c r="B11057" s="1">
        <v>0</v>
      </c>
      <c r="C11057" s="3">
        <v>44534.832870370374</v>
      </c>
      <c r="D11057" s="1" t="s">
        <v>21909</v>
      </c>
      <c r="E11057" s="1" t="str">
        <f ca="1">IFERROR(__xludf.DUMMYFUNCTION("GOOGLETRANSLATE(A7856 , ""tr"" , ""en"")"),"@drfahrettinkoca Haynid in an informal day, make your doctors, we lost all our respect.")</f>
        <v>@drfahrettinkoca Haynid in an informal day, make your doctors, we lost all our respect.</v>
      </c>
    </row>
    <row r="11058" spans="1:5" ht="15" customHeight="1" x14ac:dyDescent="0.2">
      <c r="A11058" s="1" t="s">
        <v>21910</v>
      </c>
      <c r="B11058" s="1">
        <v>0</v>
      </c>
      <c r="C11058" s="3">
        <v>44534.831967592596</v>
      </c>
      <c r="D11058" s="1" t="s">
        <v>21911</v>
      </c>
      <c r="E11058" s="1" t="str">
        <f ca="1">IFERROR(__xludf.DUMMYFUNCTION("GOOGLETRANSLATE(A7857 , ""tr"" , ""en"")"),"@drfahrettinkoca Come on ...")</f>
        <v>@drfahrettinkoca Come on ...</v>
      </c>
    </row>
    <row r="11059" spans="1:5" ht="15" customHeight="1" x14ac:dyDescent="0.2">
      <c r="A11059" s="1" t="s">
        <v>21912</v>
      </c>
      <c r="B11059" s="1">
        <v>1</v>
      </c>
      <c r="C11059" s="3">
        <v>44534.830416666664</v>
      </c>
      <c r="D11059" s="1" t="s">
        <v>21913</v>
      </c>
      <c r="E11059" s="1" t="str">
        <f ca="1">IFERROR(__xludf.DUMMYFUNCTION("GOOGLETRANSLATE(A7858 , ""tr"" , ""en"")"),"@drfahrettinkoca is the most successful standupci you are your Ministry of humor your understanding Super # Cabineticsine")</f>
        <v>@drfahrettinkoca is the most successful standupci you are your Ministry of humor your understanding Super # Cabineticsine</v>
      </c>
    </row>
    <row r="11060" spans="1:5" ht="15" customHeight="1" x14ac:dyDescent="0.2">
      <c r="A11060" s="1" t="s">
        <v>21914</v>
      </c>
      <c r="B11060" s="1">
        <v>0</v>
      </c>
      <c r="C11060" s="3">
        <v>44534.83017361111</v>
      </c>
      <c r="D11060" s="1" t="s">
        <v>21915</v>
      </c>
      <c r="E11060" s="1" t="str">
        <f ca="1">IFERROR(__xludf.DUMMYFUNCTION("GOOGLETRANSLATE(A7859 , ""tr"" , ""en"")"),"@drfahrettinka 20,000 cases HE.Hich is a measure restraint without the restraint.")</f>
        <v>@drfahrettinka 20,000 cases HE.Hich is a measure restraint without the restraint.</v>
      </c>
    </row>
    <row r="11061" spans="1:5" ht="15" customHeight="1" x14ac:dyDescent="0.2">
      <c r="A11061" s="1" t="s">
        <v>21916</v>
      </c>
      <c r="B11061" s="1">
        <v>2</v>
      </c>
      <c r="C11061" s="3">
        <v>44534.828587962962</v>
      </c>
      <c r="D11061" s="1" t="s">
        <v>21917</v>
      </c>
      <c r="E11061" s="1" t="str">
        <f ca="1">IFERROR(__xludf.DUMMYFUNCTION("GOOGLETRANSLATE(A7860 , ""tr"" , ""en"")"),"@drfahrettinka close schools. #Kabinezkusagionlineline")</f>
        <v>@drfahrettinka close schools. #Kabinezkusagionlineline</v>
      </c>
    </row>
    <row r="11062" spans="1:5" ht="15" customHeight="1" x14ac:dyDescent="0.2">
      <c r="A11062" s="1" t="s">
        <v>21918</v>
      </c>
      <c r="B11062" s="1">
        <v>0</v>
      </c>
      <c r="C11062" s="3">
        <v>44534.828298611108</v>
      </c>
      <c r="D11062" s="1" t="s">
        <v>21919</v>
      </c>
      <c r="E11062" s="1" t="str">
        <f ca="1">IFERROR(__xludf.DUMMYFUNCTION("GOOGLETRANSLATE(A7861 , ""tr"" , ""en"")"),"@drfahrettinkoca We have never believed in a daily Covid data, we have not believed in salary prospects as we have not believed ... https://t.co/fxauusams5")</f>
        <v>@drfahrettinkoca We have never believed in a daily Covid data, we have not believed in salary prospects as we have not believed ... https://t.co/fxauusams5</v>
      </c>
    </row>
    <row r="11063" spans="1:5" ht="15" customHeight="1" x14ac:dyDescent="0.2">
      <c r="A11063" s="1" t="s">
        <v>18602</v>
      </c>
      <c r="B11063" s="1">
        <v>2</v>
      </c>
      <c r="C11063" s="3">
        <v>44534.825949074075</v>
      </c>
      <c r="D11063" s="1" t="s">
        <v>21920</v>
      </c>
      <c r="E11063" s="1" t="str">
        <f ca="1">IFERROR(__xludf.DUMMYFUNCTION("GOOGLETRANSLATE(A7862 , ""tr"" , ""en"")"),"@drfahrettinkoca #kabinezkusagionlineline")</f>
        <v>@drfahrettinkoca #kabinezkusagionlineline</v>
      </c>
    </row>
    <row r="11064" spans="1:5" ht="15" customHeight="1" x14ac:dyDescent="0.2">
      <c r="A11064" s="1" t="s">
        <v>21921</v>
      </c>
      <c r="B11064" s="1">
        <v>2</v>
      </c>
      <c r="C11064" s="3">
        <v>44534.825613425928</v>
      </c>
      <c r="D11064" s="1" t="s">
        <v>21922</v>
      </c>
      <c r="E11064" s="1" t="str">
        <f ca="1">IFERROR(__xludf.DUMMYFUNCTION("GOOGLETRANSLATE(A7863 , ""tr"" , ""en"")"),"@drfahrettinka 5-11 Live Why is no vaccination identification Why?")</f>
        <v>@drfahrettinka 5-11 Live Why is no vaccination identification Why?</v>
      </c>
    </row>
    <row r="11065" spans="1:5" ht="15" customHeight="1" x14ac:dyDescent="0.2">
      <c r="A11065" s="1" t="s">
        <v>21923</v>
      </c>
      <c r="B11065" s="1">
        <v>0</v>
      </c>
      <c r="C11065" s="3">
        <v>44534.823391203703</v>
      </c>
      <c r="D11065" s="1" t="s">
        <v>21924</v>
      </c>
      <c r="E11065" s="1" t="str">
        <f ca="1">IFERROR(__xludf.DUMMYFUNCTION("GOOGLETRANSLATE(A7864 , ""tr"" , ""en"")"),"@drfahrettinkoca dormitory in the quadruple room, however in these dining rooms that hundreds of people are doing ... https://t.co/cekbepbtrl")</f>
        <v>@drfahrettinkoca dormitory in the quadruple room, however in these dining rooms that hundreds of people are doing ... https://t.co/cekbepbtrl</v>
      </c>
    </row>
    <row r="11066" spans="1:5" ht="15" customHeight="1" x14ac:dyDescent="0.2">
      <c r="A11066" s="1" t="s">
        <v>21925</v>
      </c>
      <c r="B11066" s="1">
        <v>0</v>
      </c>
      <c r="C11066" s="3">
        <v>44534.820625</v>
      </c>
      <c r="D11066" s="1" t="s">
        <v>21926</v>
      </c>
      <c r="E11066" s="1" t="str">
        <f ca="1">IFERROR(__xludf.DUMMYFUNCTION("GOOGLETRANSLATE(A7865 , ""tr"" , ""en"")"),"@drfahrettinkoca Mr. Minister We believe that the cleaning is half of the faith is your Muslims to clean your us ... https://t.co/wbkruqm83x")</f>
        <v>@drfahrettinkoca Mr. Minister We believe that the cleaning is half of the faith is your Muslims to clean your us ... https://t.co/wbkruqm83x</v>
      </c>
    </row>
    <row r="11067" spans="1:5" ht="15" customHeight="1" x14ac:dyDescent="0.2">
      <c r="A11067" s="1" t="s">
        <v>21927</v>
      </c>
      <c r="B11067" s="1">
        <v>0</v>
      </c>
      <c r="C11067" s="3">
        <v>44534.818055555559</v>
      </c>
      <c r="D11067" s="1" t="s">
        <v>21928</v>
      </c>
      <c r="E11067" s="1" t="str">
        <f ca="1">IFERROR(__xludf.DUMMYFUNCTION("GOOGLETRANSLATE(A7866 , ""tr"" , ""en"")"),"@drfahrettinkoca 0 + 0 have achieved 0 You even refute your previous words to yourself. You are now ... https://t.co/0wx6oxrq5h")</f>
        <v>@drfahrettinkoca 0 + 0 have achieved 0 You even refute your previous words to yourself. You are now ... https://t.co/0wx6oxrq5h</v>
      </c>
    </row>
    <row r="11068" spans="1:5" ht="15" customHeight="1" x14ac:dyDescent="0.2">
      <c r="A11068" s="1" t="s">
        <v>21929</v>
      </c>
      <c r="B11068" s="1">
        <v>0</v>
      </c>
      <c r="C11068" s="3">
        <v>44534.81758101852</v>
      </c>
      <c r="D11068" s="1" t="s">
        <v>21930</v>
      </c>
      <c r="E11068" s="1" t="str">
        <f ca="1">IFERROR(__xludf.DUMMYFUNCTION("GOOGLETRANSLATE(A7867 , ""tr"" , ""en"")"),"@drfahrettinka https://t.co/qbd0izqd9b")</f>
        <v>@drfahrettinka https://t.co/qbd0izqd9b</v>
      </c>
    </row>
    <row r="11069" spans="1:5" ht="15" customHeight="1" x14ac:dyDescent="0.2">
      <c r="A11069" s="1" t="s">
        <v>21931</v>
      </c>
      <c r="B11069" s="1">
        <v>0</v>
      </c>
      <c r="C11069" s="3">
        <v>44534.817465277774</v>
      </c>
      <c r="D11069" s="1" t="s">
        <v>21932</v>
      </c>
      <c r="E11069" s="1" t="str">
        <f ca="1">IFERROR(__xludf.DUMMYFUNCTION("GOOGLETRANSLATE(A7868 , ""tr"" , ""en"")"),"@drfahrettinka https://t.co/txuofwldbk")</f>
        <v>@drfahrettinka https://t.co/txuofwldbk</v>
      </c>
    </row>
    <row r="11070" spans="1:5" ht="15" customHeight="1" x14ac:dyDescent="0.2">
      <c r="A11070" s="1" t="s">
        <v>21933</v>
      </c>
      <c r="B11070" s="1">
        <v>0</v>
      </c>
      <c r="C11070" s="3">
        <v>44534.817037037035</v>
      </c>
      <c r="D11070" s="1" t="s">
        <v>21934</v>
      </c>
      <c r="E11070" s="1" t="str">
        <f ca="1">IFERROR(__xludf.DUMMYFUNCTION("GOOGLETRANSLATE(A7869 , ""tr"" , ""en"")"),"@drfahrettinka https://t.co/aot9qz27mr")</f>
        <v>@drfahrettinka https://t.co/aot9qz27mr</v>
      </c>
    </row>
    <row r="11071" spans="1:5" ht="15" customHeight="1" x14ac:dyDescent="0.2">
      <c r="A11071" s="1" t="s">
        <v>21935</v>
      </c>
      <c r="B11071" s="1">
        <v>1</v>
      </c>
      <c r="C11071" s="3">
        <v>44534.816631944443</v>
      </c>
      <c r="D11071" s="1" t="s">
        <v>21936</v>
      </c>
      <c r="E11071" s="1" t="str">
        <f ca="1">IFERROR(__xludf.DUMMYFUNCTION("GOOGLETRANSLATE(A7870 , ""tr"" , ""en"")"),"@drfahrettinkoca often you know that you are not solving in the off-the-indoor environment. Cold Air Current ... https://t.co/rmowgvdokv")</f>
        <v>@drfahrettinkoca often you know that you are not solving in the off-the-indoor environment. Cold Air Current ... https://t.co/rmowgvdokv</v>
      </c>
    </row>
    <row r="11072" spans="1:5" ht="15" customHeight="1" x14ac:dyDescent="0.2">
      <c r="A11072" s="1" t="s">
        <v>21937</v>
      </c>
      <c r="B11072" s="1">
        <v>0</v>
      </c>
      <c r="C11072" s="3">
        <v>44534.816296296296</v>
      </c>
      <c r="D11072" s="1" t="s">
        <v>21938</v>
      </c>
      <c r="E11072" s="1" t="str">
        <f ca="1">IFERROR(__xludf.DUMMYFUNCTION("GOOGLETRANSLATE(A7871 , ""tr"" , ""en"")"),"@drfahrettinkoca #theekimleriştifaizing Minister. Covid won't end if the physician doesn't stay")</f>
        <v>@drfahrettinkoca #theekimleriştifaizing Minister. Covid won't end if the physician doesn't stay</v>
      </c>
    </row>
    <row r="11073" spans="1:5" ht="15" customHeight="1" x14ac:dyDescent="0.2">
      <c r="A11073" s="1" t="s">
        <v>21939</v>
      </c>
      <c r="B11073" s="1">
        <v>0</v>
      </c>
      <c r="C11073" s="3">
        <v>44534.815706018519</v>
      </c>
      <c r="D11073" s="1" t="s">
        <v>21940</v>
      </c>
      <c r="E11073" s="1" t="str">
        <f ca="1">IFERROR(__xludf.DUMMYFUNCTION("GOOGLETRANSLATE(A7872 , ""tr"" , ""en"")"),"@drfahrettinkoca # Physicians. You are still saying.")</f>
        <v>@drfahrettinkoca # Physicians. You are still saying.</v>
      </c>
    </row>
    <row r="11074" spans="1:5" ht="15" customHeight="1" x14ac:dyDescent="0.2">
      <c r="A11074" s="1" t="s">
        <v>21941</v>
      </c>
      <c r="B11074" s="1">
        <v>0</v>
      </c>
      <c r="C11074" s="3">
        <v>44534.815254629626</v>
      </c>
      <c r="D11074" s="1" t="s">
        <v>21942</v>
      </c>
      <c r="E11074" s="1" t="str">
        <f ca="1">IFERROR(__xludf.DUMMYFUNCTION("GOOGLETRANSLATE(A7873 , ""tr"" , ""en"")"),"@drfahrettinkoca phase work is damaging people with unfinished fluids..This noble nation as guinea pigs ... https://t.co/5mdd4jplgo")</f>
        <v>@drfahrettinkoca phase work is damaging people with unfinished fluids..This noble nation as guinea pigs ... https://t.co/5mdd4jplgo</v>
      </c>
    </row>
    <row r="11075" spans="1:5" ht="15" customHeight="1" x14ac:dyDescent="0.2">
      <c r="A11075" s="1" t="s">
        <v>21943</v>
      </c>
      <c r="B11075" s="1">
        <v>2</v>
      </c>
      <c r="C11075" s="3">
        <v>44534.814722222225</v>
      </c>
      <c r="D11075" s="1" t="s">
        <v>21944</v>
      </c>
      <c r="E11075" s="1" t="str">
        <f ca="1">IFERROR(__xludf.DUMMYFUNCTION("GOOGLETRANSLATE(A7874 , ""tr"" , ""en"")"),"@drfahrettinkoca Pfizer Biontech's virus in the blood / 40 Cogalttigi in the documents disclosing. Cold Air Berab ... https://t.co/lt4xbsjwry")</f>
        <v>@drfahrettinkoca Pfizer Biontech's virus in the blood / 40 Cogalttigi in the documents disclosing. Cold Air Berab ... https://t.co/lt4xbsjwry</v>
      </c>
    </row>
    <row r="11076" spans="1:5" ht="15" customHeight="1" x14ac:dyDescent="0.2">
      <c r="A11076" s="1" t="s">
        <v>21945</v>
      </c>
      <c r="B11076" s="1">
        <v>6</v>
      </c>
      <c r="C11076" s="3">
        <v>44534.814120370371</v>
      </c>
      <c r="D11076" s="1" t="s">
        <v>21946</v>
      </c>
      <c r="E11076" s="1" t="str">
        <f ca="1">IFERROR(__xludf.DUMMYFUNCTION("GOOGLETRANSLATE(A7875 , ""tr"" , ""en"")"),"@drfahrettinka https://t.co/L03QINMTNG")</f>
        <v>@drfahrettinka https://t.co/L03QINMTNG</v>
      </c>
    </row>
    <row r="11077" spans="1:5" ht="15" customHeight="1" x14ac:dyDescent="0.2">
      <c r="A11077" s="1" t="s">
        <v>21947</v>
      </c>
      <c r="B11077" s="1">
        <v>0</v>
      </c>
      <c r="C11077" s="3">
        <v>44534.813252314816</v>
      </c>
      <c r="D11077" s="1" t="s">
        <v>21948</v>
      </c>
      <c r="E11077" s="1" t="str">
        <f ca="1">IFERROR(__xludf.DUMMYFUNCTION("GOOGLETRANSLATE(A7876 , ""tr"" , ""en"")"),"@drfahrettinka https://t.co/cnc9a0lolr")</f>
        <v>@drfahrettinka https://t.co/cnc9a0lolr</v>
      </c>
    </row>
    <row r="11078" spans="1:5" ht="15" customHeight="1" x14ac:dyDescent="0.2">
      <c r="A11078" s="1" t="s">
        <v>21949</v>
      </c>
      <c r="B11078" s="1">
        <v>7</v>
      </c>
      <c r="C11078" s="3">
        <v>44534.812835648147</v>
      </c>
      <c r="D11078" s="1" t="s">
        <v>21950</v>
      </c>
      <c r="E11078" s="1" t="str">
        <f ca="1">IFERROR(__xludf.DUMMYFUNCTION("GOOGLETRANSLATE(A7877 , ""tr"" , ""en"")"),"@drfahrettinkoca why did you say that there was death from vaccination in Turkey? #Pfizerhesapver #pfizergate https://t.co/e1oyck1m77")</f>
        <v>@drfahrettinkoca why did you say that there was death from vaccination in Turkey? #Pfizerhesapver #pfizergate https://t.co/e1oyck1m77</v>
      </c>
    </row>
    <row r="11079" spans="1:5" ht="15" customHeight="1" x14ac:dyDescent="0.2">
      <c r="A11079" s="1" t="s">
        <v>21951</v>
      </c>
      <c r="B11079" s="1">
        <v>0</v>
      </c>
      <c r="C11079" s="3">
        <v>44534.812789351854</v>
      </c>
      <c r="D11079" s="1" t="s">
        <v>21952</v>
      </c>
      <c r="E11079" s="1" t="str">
        <f ca="1">IFERROR(__xludf.DUMMYFUNCTION("GOOGLETRANSLATE(A7878 , ""tr"" , ""en"")"),"@drfahrettinka https://t.co/jwzb1fgsbq")</f>
        <v>@drfahrettinka https://t.co/jwzb1fgsbq</v>
      </c>
    </row>
    <row r="11080" spans="1:5" ht="15" customHeight="1" x14ac:dyDescent="0.2">
      <c r="A11080" s="1" t="s">
        <v>21953</v>
      </c>
      <c r="B11080" s="1">
        <v>1</v>
      </c>
      <c r="C11080" s="3">
        <v>44534.812743055554</v>
      </c>
      <c r="D11080" s="1" t="s">
        <v>21954</v>
      </c>
      <c r="E11080" s="1" t="str">
        <f ca="1">IFERROR(__xludf.DUMMYFUNCTION("GOOGLETRANSLATE(A7879 , ""tr"" , ""en"")"),"@drfahrettinkoca nobody is going on vaccine no longer keeping this plan universities online get the nation could expect to be the vaccine")</f>
        <v>@drfahrettinkoca nobody is going on vaccine no longer keeping this plan universities online get the nation could expect to be the vaccine</v>
      </c>
    </row>
    <row r="11081" spans="1:5" ht="15" customHeight="1" x14ac:dyDescent="0.2">
      <c r="A11081" s="1" t="s">
        <v>21955</v>
      </c>
      <c r="B11081" s="1">
        <v>0</v>
      </c>
      <c r="C11081" s="3">
        <v>44534.812326388892</v>
      </c>
      <c r="D11081" s="1" t="s">
        <v>21956</v>
      </c>
      <c r="E11081" s="1" t="str">
        <f ca="1">IFERROR(__xludf.DUMMYFUNCTION("GOOGLETRANSLATE(A7880 , ""tr"" , ""en"")"),"@drfahrettinka https://t.co/1axn4a5jq2")</f>
        <v>@drfahrettinka https://t.co/1axn4a5jq2</v>
      </c>
    </row>
    <row r="11082" spans="1:5" ht="15" customHeight="1" x14ac:dyDescent="0.2">
      <c r="A11082" s="1" t="s">
        <v>21957</v>
      </c>
      <c r="B11082" s="1">
        <v>0</v>
      </c>
      <c r="C11082" s="3">
        <v>44534.812280092592</v>
      </c>
      <c r="D11082" s="1" t="s">
        <v>21958</v>
      </c>
      <c r="E11082" s="1" t="str">
        <f ca="1">IFERROR(__xludf.DUMMYFUNCTION("GOOGLETRANSLATE(A7881 , ""tr"" , ""en"")"),"@drfahrettinka https://t.co/pdje3wcbyy")</f>
        <v>@drfahrettinka https://t.co/pdje3wcbyy</v>
      </c>
    </row>
    <row r="11083" spans="1:5" ht="15" customHeight="1" x14ac:dyDescent="0.2">
      <c r="A11083" s="1" t="s">
        <v>21959</v>
      </c>
      <c r="B11083" s="1">
        <v>1</v>
      </c>
      <c r="C11083" s="3">
        <v>44534.811736111114</v>
      </c>
      <c r="D11083" s="1" t="s">
        <v>21960</v>
      </c>
      <c r="E11083" s="1" t="str">
        <f ca="1">IFERROR(__xludf.DUMMYFUNCTION("GOOGLETRANSLATE(A7882 , ""tr"" , ""en"")"),"@drfahrettinka https://t.co/pawtvrj82x https://t.co/0flhzt9oob")</f>
        <v>@drfahrettinka https://t.co/pawtvrj82x https://t.co/0flhzt9oob</v>
      </c>
    </row>
    <row r="11084" spans="1:5" ht="15" customHeight="1" x14ac:dyDescent="0.2">
      <c r="A11084" s="1" t="s">
        <v>21961</v>
      </c>
      <c r="B11084" s="1">
        <v>0</v>
      </c>
      <c r="C11084" s="3">
        <v>44534.811284722222</v>
      </c>
      <c r="D11084" s="1" t="s">
        <v>21962</v>
      </c>
      <c r="E11084" s="1" t="str">
        <f ca="1">IFERROR(__xludf.DUMMYFUNCTION("GOOGLETRANSLATE(A7883 , ""tr"" , ""en"")"),"@drfahrettinkoca Did you get permission from Erdogan before writing this?")</f>
        <v>@drfahrettinkoca Did you get permission from Erdogan before writing this?</v>
      </c>
    </row>
    <row r="11085" spans="1:5" ht="15" customHeight="1" x14ac:dyDescent="0.2">
      <c r="A11085" s="1" t="s">
        <v>21963</v>
      </c>
      <c r="B11085" s="1">
        <v>1</v>
      </c>
      <c r="C11085" s="3">
        <v>44534.811238425929</v>
      </c>
      <c r="D11085" s="1" t="s">
        <v>21964</v>
      </c>
      <c r="E11085" s="1" t="str">
        <f ca="1">IFERROR(__xludf.DUMMYFUNCTION("GOOGLETRANSLATE(A7884 , ""tr"" , ""en"")"),"@drfahrettinkoca what's going on even dangers of people in your hand, danger the life of people everyday ... https://t.co/wr0stntfr0")</f>
        <v>@drfahrettinkoca what's going on even dangers of people in your hand, danger the life of people everyday ... https://t.co/wr0stntfr0</v>
      </c>
    </row>
    <row r="11086" spans="1:5" ht="15" customHeight="1" x14ac:dyDescent="0.2">
      <c r="A11086" s="1" t="s">
        <v>21965</v>
      </c>
      <c r="B11086" s="1">
        <v>2</v>
      </c>
      <c r="C11086" s="3">
        <v>44534.810787037037</v>
      </c>
      <c r="D11086" s="1" t="s">
        <v>21966</v>
      </c>
      <c r="E11086" s="1" t="str">
        <f ca="1">IFERROR(__xludf.DUMMYFUNCTION("GOOGLETRANSLATE(A7885 , ""tr"" , ""en"")"),"@drfahrettinkoca Meanwhile, even even if Pfzier is killed, even evening people as guinea pigs ... https://t.co/3yhqj2qneq")</f>
        <v>@drfahrettinkoca Meanwhile, even even if Pfzier is killed, even evening people as guinea pigs ... https://t.co/3yhqj2qneq</v>
      </c>
    </row>
    <row r="11087" spans="1:5" ht="15" customHeight="1" x14ac:dyDescent="0.2">
      <c r="A11087" s="1" t="s">
        <v>21967</v>
      </c>
      <c r="B11087" s="1">
        <v>1</v>
      </c>
      <c r="C11087" s="3">
        <v>44534.810590277775</v>
      </c>
      <c r="D11087" s="1" t="s">
        <v>21968</v>
      </c>
      <c r="E11087" s="1" t="str">
        <f ca="1">IFERROR(__xludf.DUMMYFUNCTION("GOOGLETRANSLATE(A7886 , ""tr"" , ""en"")"),"@drfahrettinka https://t.co/vodspnksq7")</f>
        <v>@drfahrettinka https://t.co/vodspnksq7</v>
      </c>
    </row>
    <row r="11088" spans="1:5" ht="15" customHeight="1" x14ac:dyDescent="0.2">
      <c r="A11088" s="1" t="s">
        <v>21969</v>
      </c>
      <c r="B11088" s="1">
        <v>4</v>
      </c>
      <c r="C11088" s="3">
        <v>44534.810254629629</v>
      </c>
      <c r="D11088" s="1" t="s">
        <v>21970</v>
      </c>
      <c r="E11088" s="1" t="str">
        <f ca="1">IFERROR(__xludf.DUMMYFUNCTION("GOOGLETRANSLATE(A7887 , ""tr"" , ""en"")"),"@drfahrettinka https://t.co/jcvsutniqw")</f>
        <v>@drfahrettinka https://t.co/jcvsutniqw</v>
      </c>
    </row>
    <row r="11089" spans="1:5" ht="15" customHeight="1" x14ac:dyDescent="0.2">
      <c r="A11089" s="1" t="s">
        <v>21971</v>
      </c>
      <c r="B11089" s="1">
        <v>3</v>
      </c>
      <c r="C11089" s="3">
        <v>44534.810185185182</v>
      </c>
      <c r="D11089" s="1" t="s">
        <v>21972</v>
      </c>
      <c r="E11089" s="1" t="str">
        <f ca="1">IFERROR(__xludf.DUMMYFUNCTION("GOOGLETRANSLATE(A7888 , ""tr"" , ""en"")"),"@drfahrettinka https://t.co/2rflmbro6m")</f>
        <v>@drfahrettinka https://t.co/2rflmbro6m</v>
      </c>
    </row>
    <row r="11090" spans="1:5" ht="15" customHeight="1" x14ac:dyDescent="0.2">
      <c r="A11090" s="1" t="s">
        <v>21973</v>
      </c>
      <c r="B11090" s="1">
        <v>0</v>
      </c>
      <c r="C11090" s="3">
        <v>44534.810046296298</v>
      </c>
      <c r="D11090" s="1" t="s">
        <v>21974</v>
      </c>
      <c r="E11090" s="1" t="str">
        <f ca="1">IFERROR(__xludf.DUMMYFUNCTION("GOOGLETRANSLATE(A7889 , ""tr"" , ""en"")"),"@drfahrettinkoca 45 How many classes in cold weather in classes of 50 min in classes? Dah to divide in half ... https://t.co/vg86auo4wh")</f>
        <v>@drfahrettinkoca 45 How many classes in cold weather in classes of 50 min in classes? Dah to divide in half ... https://t.co/vg86auo4wh</v>
      </c>
    </row>
    <row r="11091" spans="1:5" ht="15" customHeight="1" x14ac:dyDescent="0.2">
      <c r="A11091" s="1" t="s">
        <v>21975</v>
      </c>
      <c r="B11091" s="1">
        <v>12</v>
      </c>
      <c r="C11091" s="3">
        <v>44534.80940972222</v>
      </c>
      <c r="D11091" s="1" t="s">
        <v>21976</v>
      </c>
      <c r="E11091" s="1" t="str">
        <f ca="1">IFERROR(__xludf.DUMMYFUNCTION("GOOGLETRANSLATE(A7890 , ""tr"" , ""en"")"),"@drfahrettinka https://t.co/50mksks2th")</f>
        <v>@drfahrettinka https://t.co/50mksks2th</v>
      </c>
    </row>
    <row r="11092" spans="1:5" ht="15" customHeight="1" x14ac:dyDescent="0.2">
      <c r="A11092" s="1" t="s">
        <v>21977</v>
      </c>
      <c r="B11092" s="1">
        <v>0</v>
      </c>
      <c r="C11092" s="3">
        <v>44534.80810185185</v>
      </c>
      <c r="D11092" s="1" t="s">
        <v>21978</v>
      </c>
      <c r="E11092" s="1" t="str">
        <f ca="1">IFERROR(__xludf.DUMMYFUNCTION("GOOGLETRANSLATE(A7891 , ""tr"" , ""en"")"),"@drfahrettinkoca Fahrettin Bey, these are not real figures. You know in you..diyelimi is the real then the epidemic ... https://t.co/7nndepavIV")</f>
        <v>@drfahrettinkoca Fahrettin Bey, these are not real figures. You know in you..diyelimi is the real then the epidemic ... https://t.co/7nndepavIV</v>
      </c>
    </row>
    <row r="11093" spans="1:5" ht="15" customHeight="1" x14ac:dyDescent="0.2">
      <c r="A11093" s="1" t="s">
        <v>21979</v>
      </c>
      <c r="B11093" s="1">
        <v>2</v>
      </c>
      <c r="C11093" s="3">
        <v>44534.807974537034</v>
      </c>
      <c r="D11093" s="1" t="s">
        <v>21980</v>
      </c>
      <c r="E11093" s="1" t="str">
        <f ca="1">IFERROR(__xludf.DUMMYFUNCTION("GOOGLETRANSLATE(A7892 , ""tr"" , ""en"")"),"@drfahrettinka #istics are intelligent and patient people. Subject to patience as well as a place")</f>
        <v>@drfahrettinka #istics are intelligent and patient people. Subject to patience as well as a place</v>
      </c>
    </row>
    <row r="11094" spans="1:5" ht="15" customHeight="1" x14ac:dyDescent="0.2">
      <c r="A11094" s="1" t="s">
        <v>21981</v>
      </c>
      <c r="B11094" s="1">
        <v>1</v>
      </c>
      <c r="C11094" s="3">
        <v>44534.807627314818</v>
      </c>
      <c r="D11094" s="1" t="s">
        <v>21982</v>
      </c>
      <c r="E11094" s="1" t="str">
        <f ca="1">IFERROR(__xludf.DUMMYFUNCTION("GOOGLETRANSLATE(A7893 , ""tr"" , ""en"")"),"@drfahrettinkoca If you consider people's life, do not stay in both closed environments as well as wave ... https://t.co/hmfp9xuxqy")</f>
        <v>@drfahrettinkoca If you consider people's life, do not stay in both closed environments as well as wave ... https://t.co/hmfp9xuxqy</v>
      </c>
    </row>
    <row r="11095" spans="1:5" ht="15" customHeight="1" x14ac:dyDescent="0.2">
      <c r="A11095" s="1" t="s">
        <v>21983</v>
      </c>
      <c r="B11095" s="1">
        <v>1</v>
      </c>
      <c r="C11095" s="3">
        <v>44534.806377314817</v>
      </c>
      <c r="D11095" s="1" t="s">
        <v>21984</v>
      </c>
      <c r="E11095" s="1" t="str">
        <f ca="1">IFERROR(__xludf.DUMMYFUNCTION("GOOGLETRANSLATE(A7894 , ""tr"" , ""en"")"),"@drfahrettinkoca says the PCR tester, says, one-very expert says ... one of my child tested one negative to the other ... https://t.co/gao1szhsk5")</f>
        <v>@drfahrettinkoca says the PCR tester, says, one-very expert says ... one of my child tested one negative to the other ... https://t.co/gao1szhsk5</v>
      </c>
    </row>
    <row r="11096" spans="1:5" ht="15" customHeight="1" x14ac:dyDescent="0.2">
      <c r="A11096" s="1" t="s">
        <v>20471</v>
      </c>
      <c r="B11096" s="1">
        <v>0</v>
      </c>
      <c r="C11096" s="3">
        <v>44534.806203703702</v>
      </c>
      <c r="D11096" s="1" t="s">
        <v>21985</v>
      </c>
      <c r="E11096" s="1" t="str">
        <f ca="1">IFERROR(__xludf.DUMMYFUNCTION("GOOGLETRANSLATE(A7895 , ""tr"" , ""en"")"),"@drfahrettinkoca @saglikbakanki thanks Covid Minister")</f>
        <v>@drfahrettinkoca @saglikbakanki thanks Covid Minister</v>
      </c>
    </row>
    <row r="11097" spans="1:5" ht="15" customHeight="1" x14ac:dyDescent="0.2">
      <c r="A11097" s="1" t="s">
        <v>21986</v>
      </c>
      <c r="B11097" s="1">
        <v>0</v>
      </c>
      <c r="C11097" s="3">
        <v>44534.804699074077</v>
      </c>
      <c r="D11097" s="1" t="s">
        <v>21987</v>
      </c>
      <c r="E11097" s="1" t="str">
        <f ca="1">IFERROR(__xludf.DUMMYFUNCTION("GOOGLETRANSLATE(A7896 , ""tr"" , ""en"")"),"@drfahrettinkoca overlooking pfizer for 90 days 1200 people lost their life, they should explain our head")</f>
        <v>@drfahrettinkoca overlooking pfizer for 90 days 1200 people lost their life, they should explain our head</v>
      </c>
    </row>
    <row r="11098" spans="1:5" ht="15" customHeight="1" x14ac:dyDescent="0.2">
      <c r="A11098" s="1" t="s">
        <v>17718</v>
      </c>
      <c r="B11098" s="1">
        <v>0</v>
      </c>
      <c r="C11098" s="3">
        <v>44534.803449074076</v>
      </c>
      <c r="D11098" s="1" t="s">
        <v>21988</v>
      </c>
      <c r="E11098" s="1" t="str">
        <f ca="1">IFERROR(__xludf.DUMMYFUNCTION("GOOGLETRANSLATE(A7897 , ""tr"" , ""en"")"),"@drfahrettinkoca grid minister")</f>
        <v>@drfahrettinkoca grid minister</v>
      </c>
    </row>
    <row r="11099" spans="1:5" ht="15" customHeight="1" x14ac:dyDescent="0.2">
      <c r="A11099" s="1" t="s">
        <v>21989</v>
      </c>
      <c r="B11099" s="1">
        <v>0</v>
      </c>
      <c r="C11099" s="3">
        <v>44534.802916666667</v>
      </c>
      <c r="D11099" s="1" t="s">
        <v>21990</v>
      </c>
      <c r="E11099" s="1" t="str">
        <f ca="1">IFERROR(__xludf.DUMMYFUNCTION("GOOGLETRANSLATE(A7898 , ""tr"" , ""en"")"),"@drfahrettinka https://t.co/w4bn0ulznu")</f>
        <v>@drfahrettinka https://t.co/w4bn0ulznu</v>
      </c>
    </row>
    <row r="11100" spans="1:5" ht="15" customHeight="1" x14ac:dyDescent="0.2">
      <c r="A11100" s="1" t="s">
        <v>21991</v>
      </c>
      <c r="B11100" s="1">
        <v>2</v>
      </c>
      <c r="C11100" s="3">
        <v>44534.802685185183</v>
      </c>
      <c r="D11100" s="1" t="s">
        <v>21992</v>
      </c>
      <c r="E11100" s="1" t="str">
        <f ca="1">IFERROR(__xludf.DUMMYFUNCTION("GOOGLETRANSLATE(A7899 , ""tr"" , ""en"")"),"@drfahrettinka Mr. Ministry of Ministry of Closed Media # Cabinethousonline")</f>
        <v>@drfahrettinka Mr. Ministry of Ministry of Closed Media # Cabinethousonline</v>
      </c>
    </row>
    <row r="11101" spans="1:5" ht="15" customHeight="1" x14ac:dyDescent="0.2">
      <c r="A11101" s="1" t="s">
        <v>21993</v>
      </c>
      <c r="B11101" s="1">
        <v>2</v>
      </c>
      <c r="C11101" s="3">
        <v>44534.802395833336</v>
      </c>
      <c r="D11101" s="1" t="s">
        <v>21994</v>
      </c>
      <c r="E11101" s="1" t="str">
        <f ca="1">IFERROR(__xludf.DUMMYFUNCTION("GOOGLETRANSLATE(A7900 , ""tr"" , ""en"")"),"@drfahrettinkoca what we say, but when our acts are destroyed with our acts.")</f>
        <v>@drfahrettinkoca what we say, but when our acts are destroyed with our acts.</v>
      </c>
    </row>
    <row r="11102" spans="1:5" ht="15" customHeight="1" x14ac:dyDescent="0.2">
      <c r="A11102" s="1" t="s">
        <v>21995</v>
      </c>
      <c r="B11102" s="1">
        <v>0</v>
      </c>
      <c r="C11102" s="3">
        <v>44534.80097222222</v>
      </c>
      <c r="D11102" s="1" t="s">
        <v>21996</v>
      </c>
      <c r="E11102" s="1" t="str">
        <f ca="1">IFERROR(__xludf.DUMMYFUNCTION("GOOGLETRANSLATE(A7901 , ""tr"" , ""en"")"),"@drfahrettinkoca dormitory and schools will be this Nasil of the grossest of the fear of the fear of the fear of the fear of the fear ... https://t.co/uzdtdwjwzv")</f>
        <v>@drfahrettinkoca dormitory and schools will be this Nasil of the grossest of the fear of the fear of the fear of the fear of the fear ... https://t.co/uzdtdwjwzv</v>
      </c>
    </row>
    <row r="11103" spans="1:5" ht="15" customHeight="1" x14ac:dyDescent="0.2">
      <c r="A11103" s="1" t="s">
        <v>21997</v>
      </c>
      <c r="B11103" s="1">
        <v>0</v>
      </c>
      <c r="C11103" s="3">
        <v>44534.800937499997</v>
      </c>
      <c r="D11103" s="1" t="s">
        <v>21998</v>
      </c>
      <c r="E11103" s="1" t="str">
        <f ca="1">IFERROR(__xludf.DUMMYFUNCTION("GOOGLETRANSLATE(A7902 , ""tr"" , ""en"")"),"@drfahrettinka you know that schools are a long time standing in the indoor environment ??? If cleaning ... https://t.co/4h4yjjvhqh")</f>
        <v>@drfahrettinka you know that schools are a long time standing in the indoor environment ??? If cleaning ... https://t.co/4h4yjjvhqh</v>
      </c>
    </row>
    <row r="11104" spans="1:5" ht="15" customHeight="1" x14ac:dyDescent="0.2">
      <c r="A11104" s="1" t="s">
        <v>21999</v>
      </c>
      <c r="B11104" s="1">
        <v>6</v>
      </c>
      <c r="C11104" s="3">
        <v>44534.800902777781</v>
      </c>
      <c r="D11104" s="1" t="s">
        <v>22000</v>
      </c>
      <c r="E11104" s="1" t="str">
        <f ca="1">IFERROR(__xludf.DUMMYFUNCTION("GOOGLETRANSLATE(A7903 , ""tr"" , ""en"")"),"See @drfahrettinkoca, you are right when you say that. I went to the sweaty sweaty wind, then I went to the safe I was there. A ... https://t.co/stahtzekyp")</f>
        <v>See @drfahrettinkoca, you are right when you say that. I went to the sweaty sweaty wind, then I went to the safe I was there. A ... https://t.co/stahtzekyp</v>
      </c>
    </row>
    <row r="11105" spans="1:5" ht="15" customHeight="1" x14ac:dyDescent="0.2">
      <c r="A11105" s="1" t="s">
        <v>22001</v>
      </c>
      <c r="B11105" s="1">
        <v>6</v>
      </c>
      <c r="C11105" s="3">
        <v>44534.796747685185</v>
      </c>
      <c r="D11105" s="1" t="s">
        <v>22002</v>
      </c>
      <c r="E11105" s="1" t="str">
        <f ca="1">IFERROR(__xludf.DUMMYFUNCTION("GOOGLETRANSLATE(A7904 , ""tr"" , ""en"")"),"@drfahrettinkoca #kabinezkusagionline is dying")</f>
        <v>@drfahrettinkoca #kabinezkusagionline is dying</v>
      </c>
    </row>
    <row r="11106" spans="1:5" ht="15" customHeight="1" x14ac:dyDescent="0.2">
      <c r="A11106" s="1" t="s">
        <v>18602</v>
      </c>
      <c r="B11106" s="1">
        <v>5</v>
      </c>
      <c r="C11106" s="3">
        <v>44534.796643518515</v>
      </c>
      <c r="D11106" s="1" t="s">
        <v>22003</v>
      </c>
      <c r="E11106" s="1" t="str">
        <f ca="1">IFERROR(__xludf.DUMMYFUNCTION("GOOGLETRANSLATE(A7905 , ""tr"" , ""en"")"),"@drfahrettinkoca #kabinezkusagionlineline")</f>
        <v>@drfahrettinkoca #kabinezkusagionlineline</v>
      </c>
    </row>
    <row r="11107" spans="1:5" ht="15" customHeight="1" x14ac:dyDescent="0.2">
      <c r="A11107" s="1" t="s">
        <v>22004</v>
      </c>
      <c r="B11107" s="1">
        <v>3</v>
      </c>
      <c r="C11107" s="3">
        <v>44534.7965625</v>
      </c>
      <c r="D11107" s="1" t="s">
        <v>22005</v>
      </c>
      <c r="E11107" s="1" t="str">
        <f ca="1">IFERROR(__xludf.DUMMYFUNCTION("GOOGLETRANSLATE(A7906 , ""tr"" , ""en"")"),"@drfahrettinka you go out on television and don't make the virus knowledge the virus ends the virus ends it is enough to be ours now")</f>
        <v>@drfahrettinka you go out on television and don't make the virus knowledge the virus ends the virus ends it is enough to be ours now</v>
      </c>
    </row>
    <row r="11108" spans="1:5" ht="15" customHeight="1" x14ac:dyDescent="0.2">
      <c r="A11108" s="1" t="s">
        <v>22006</v>
      </c>
      <c r="B11108" s="1">
        <v>0</v>
      </c>
      <c r="C11108" s="3">
        <v>44534.796481481484</v>
      </c>
      <c r="D11108" s="1" t="s">
        <v>22007</v>
      </c>
      <c r="E11108" s="1" t="str">
        <f ca="1">IFERROR(__xludf.DUMMYFUNCTION("GOOGLETRANSLATE(A7907 , ""tr"" , ""en"")"),"@drfahrettinkoca Mr. Minister I have 2 vaccines I am unable to make an appointment for")</f>
        <v>@drfahrettinkoca Mr. Minister I have 2 vaccines I am unable to make an appointment for</v>
      </c>
    </row>
    <row r="11109" spans="1:5" ht="15" customHeight="1" x14ac:dyDescent="0.2">
      <c r="A11109" s="1" t="s">
        <v>22008</v>
      </c>
      <c r="B11109" s="1">
        <v>0</v>
      </c>
      <c r="C11109" s="3">
        <v>44534.79587962963</v>
      </c>
      <c r="D11109" s="1" t="s">
        <v>22009</v>
      </c>
      <c r="E11109" s="1" t="str">
        <f ca="1">IFERROR(__xludf.DUMMYFUNCTION("GOOGLETRANSLATE(A7908 , ""tr"" , ""en"")"),"@drfahrettinka in these seasons in these seasons, the flu, cold pupils, fatangitis, solumed infections, have for years so ... https://t.co/6aznlzopcs")</f>
        <v>@drfahrettinka in these seasons in these seasons, the flu, cold pupils, fatangitis, solumed infections, have for years so ... https://t.co/6aznlzopcs</v>
      </c>
    </row>
    <row r="11110" spans="1:5" ht="15" customHeight="1" x14ac:dyDescent="0.2">
      <c r="A11110" s="1" t="s">
        <v>22010</v>
      </c>
      <c r="B11110" s="1">
        <v>7</v>
      </c>
      <c r="C11110" s="3">
        <v>44534.795856481483</v>
      </c>
      <c r="D11110" s="1" t="s">
        <v>22011</v>
      </c>
      <c r="E11110" s="1" t="str">
        <f ca="1">IFERROR(__xludf.DUMMYFUNCTION("GOOGLETRANSLATE(A7909 , ""tr"" , ""en"")"),"@drfahrettinkoca your liar is your right to all of you get the ruam # cabinet linizing")</f>
        <v>@drfahrettinkoca your liar is your right to all of you get the ruam # cabinet linizing</v>
      </c>
    </row>
    <row r="11111" spans="1:5" ht="15" customHeight="1" x14ac:dyDescent="0.2">
      <c r="A11111" s="1" t="s">
        <v>22012</v>
      </c>
      <c r="B11111" s="1">
        <v>1</v>
      </c>
      <c r="C11111" s="3">
        <v>44534.794745370367</v>
      </c>
      <c r="D11111" s="1" t="s">
        <v>22013</v>
      </c>
      <c r="E11111" s="1" t="str">
        <f ca="1">IFERROR(__xludf.DUMMYFUNCTION("GOOGLETRANSLATE(A7910 , ""tr"" , ""en"")"),"@drfahrettinkoca allah in vaccinations of allah in vaccinations of allah in the vaccinations you know but still rebellion Ül ... HTTPS://T.CO/GRCTIE8NHH")</f>
        <v>@drfahrettinkoca allah in vaccinations of allah in vaccinations of allah in the vaccinations you know but still rebellion Ül ... HTTPS://T.CO/GRCTIE8NHH</v>
      </c>
    </row>
    <row r="11112" spans="1:5" ht="15" customHeight="1" x14ac:dyDescent="0.2">
      <c r="A11112" s="1" t="s">
        <v>22014</v>
      </c>
      <c r="B11112" s="1">
        <v>19</v>
      </c>
      <c r="C11112" s="3">
        <v>44534.793865740743</v>
      </c>
      <c r="D11112" s="1" t="s">
        <v>22015</v>
      </c>
      <c r="E11112" s="1" t="str">
        <f ca="1">IFERROR(__xludf.DUMMYFUNCTION("GOOGLETRANSLATE(A7911 , ""tr"" , ""en"")"),"@drfahrettinkoca schools clear field")</f>
        <v>@drfahrettinkoca schools clear field</v>
      </c>
    </row>
    <row r="11113" spans="1:5" ht="15" customHeight="1" x14ac:dyDescent="0.2">
      <c r="A11113" s="1" t="s">
        <v>22016</v>
      </c>
      <c r="B11113" s="1">
        <v>0</v>
      </c>
      <c r="C11113" s="3">
        <v>44534.793530092589</v>
      </c>
      <c r="D11113" s="1" t="s">
        <v>22017</v>
      </c>
      <c r="E11113" s="1" t="str">
        <f ca="1">IFERROR(__xludf.DUMMYFUNCTION("GOOGLETRANSLATE(A7912 , ""tr"" , ""en"")"),"@drfahrettinkoca clean air SART DOGRU Lakin marketer You have boiled in the vaccine in the vaccine #YETERKAADAM")</f>
        <v>@drfahrettinkoca clean air SART DOGRU Lakin marketer You have boiled in the vaccine in the vaccine #YETERKAADAM</v>
      </c>
    </row>
    <row r="11114" spans="1:5" ht="15" customHeight="1" x14ac:dyDescent="0.2">
      <c r="A11114" s="1" t="s">
        <v>22018</v>
      </c>
      <c r="B11114" s="1">
        <v>0</v>
      </c>
      <c r="C11114" s="3">
        <v>44534.793414351851</v>
      </c>
      <c r="D11114" s="1" t="s">
        <v>22019</v>
      </c>
      <c r="E11114" s="1" t="str">
        <f ca="1">IFERROR(__xludf.DUMMYFUNCTION("GOOGLETRANSLATE(A7913 , ""tr"" , ""en"")"),"@drfahrettinkoca still says the vaccine yaaa allah give the mind idea, like joke")</f>
        <v>@drfahrettinkoca still says the vaccine yaaa allah give the mind idea, like joke</v>
      </c>
    </row>
    <row r="11115" spans="1:5" ht="15" customHeight="1" x14ac:dyDescent="0.2">
      <c r="A11115" s="1" t="s">
        <v>22020</v>
      </c>
      <c r="B11115" s="1">
        <v>3</v>
      </c>
      <c r="C11115" s="3">
        <v>44534.79283564815</v>
      </c>
      <c r="D11115" s="1" t="s">
        <v>22021</v>
      </c>
      <c r="E11115" s="1" t="str">
        <f ca="1">IFERROR(__xludf.DUMMYFUNCTION("GOOGLETRANSLATE(A7914 , ""tr"" , ""en"")"),"@drfahrettinkoca first covid when I got out of it so much I got a lot of blushing to your eyes but I'm no longer pitying because you ... https://t.co/lpfjpiw30o")</f>
        <v>@drfahrettinkoca first covid when I got out of it so much I got a lot of blushing to your eyes but I'm no longer pitying because you ... https://t.co/lpfjpiw30o</v>
      </c>
    </row>
    <row r="11116" spans="1:5" ht="15" customHeight="1" x14ac:dyDescent="0.2">
      <c r="A11116" s="1" t="s">
        <v>22022</v>
      </c>
      <c r="B11116" s="1">
        <v>0</v>
      </c>
      <c r="C11116" s="3">
        <v>44534.792071759257</v>
      </c>
      <c r="D11116" s="1" t="s">
        <v>22023</v>
      </c>
      <c r="E11116" s="1" t="str">
        <f ca="1">IFERROR(__xludf.DUMMYFUNCTION("GOOGLETRANSLATE(A7915 , ""tr"" , ""en"")"),"@drfahrettinka https://t.co/qjrg1l5338")</f>
        <v>@drfahrettinka https://t.co/qjrg1l5338</v>
      </c>
    </row>
    <row r="11117" spans="1:5" ht="15" customHeight="1" x14ac:dyDescent="0.2">
      <c r="A11117" s="1" t="s">
        <v>22024</v>
      </c>
      <c r="B11117" s="1">
        <v>0</v>
      </c>
      <c r="C11117" s="3">
        <v>44534.79179398148</v>
      </c>
      <c r="D11117" s="1" t="s">
        <v>22025</v>
      </c>
      <c r="E11117" s="1" t="str">
        <f ca="1">IFERROR(__xludf.DUMMYFUNCTION("GOOGLETRANSLATE(A7916 , ""tr"" , ""en"")"),"@drfahrettinka Dear Minister Schools Indoor Field Cafe Restaurants Indoor in winter These people are in the cold ... HTTPS://T.CO/OIN0TM31TG")</f>
        <v>@drfahrettinka Dear Minister Schools Indoor Field Cafe Restaurants Indoor in winter These people are in the cold ... HTTPS://T.CO/OIN0TM31TG</v>
      </c>
    </row>
    <row r="11118" spans="1:5" ht="15" customHeight="1" x14ac:dyDescent="0.2">
      <c r="A11118" s="1" t="s">
        <v>22026</v>
      </c>
      <c r="B11118" s="1">
        <v>1</v>
      </c>
      <c r="C11118" s="3">
        <v>44534.790497685186</v>
      </c>
      <c r="D11118" s="1" t="s">
        <v>22027</v>
      </c>
      <c r="E11118" s="1" t="str">
        <f ca="1">IFERROR(__xludf.DUMMYFUNCTION("GOOGLETRANSLATE(A7917 , ""tr"" , ""en"")"),"@drfahrettinkoca twitter environment is about to be looking for an anti-virus, we are running to normal life super.")</f>
        <v>@drfahrettinkoca twitter environment is about to be looking for an anti-virus, we are running to normal life super.</v>
      </c>
    </row>
    <row r="11119" spans="1:5" ht="15" customHeight="1" x14ac:dyDescent="0.2">
      <c r="A11119" s="1" t="s">
        <v>22028</v>
      </c>
      <c r="B11119" s="1">
        <v>0</v>
      </c>
      <c r="C11119" s="3">
        <v>44534.789583333331</v>
      </c>
      <c r="D11119" s="1" t="s">
        <v>22029</v>
      </c>
      <c r="E11119" s="1" t="str">
        <f ca="1">IFERROR(__xludf.DUMMYFUNCTION("GOOGLETRANSLATE(A7918 , ""tr"" , ""en"")"),"@drfahrettinkoca Mr. Mr. Overlooking the country that has soothed up to the skin")</f>
        <v>@drfahrettinkoca Mr. Mr. Overlooking the country that has soothed up to the skin</v>
      </c>
    </row>
    <row r="11120" spans="1:5" ht="15" customHeight="1" x14ac:dyDescent="0.2">
      <c r="A11120" s="1" t="s">
        <v>22030</v>
      </c>
      <c r="B11120" s="1">
        <v>0</v>
      </c>
      <c r="C11120" s="3">
        <v>44534.789444444446</v>
      </c>
      <c r="D11120" s="1" t="s">
        <v>22031</v>
      </c>
      <c r="E11120" s="1" t="str">
        <f ca="1">IFERROR(__xludf.DUMMYFUNCTION("GOOGLETRANSLATE(A7919 , ""tr"" , ""en"")"),"@drfahrettinka Online Training Conditions! Students carry risks.")</f>
        <v>@drfahrettinka Online Training Conditions! Students carry risks.</v>
      </c>
    </row>
    <row r="11121" spans="1:5" ht="15" customHeight="1" x14ac:dyDescent="0.2">
      <c r="A11121" s="1" t="s">
        <v>22032</v>
      </c>
      <c r="B11121" s="1">
        <v>0</v>
      </c>
      <c r="C11121" s="3">
        <v>44534.7891087963</v>
      </c>
      <c r="D11121" s="1" t="s">
        <v>22033</v>
      </c>
      <c r="E11121" s="1" t="str">
        <f ca="1">IFERROR(__xludf.DUMMYFUNCTION("GOOGLETRANSLATE(A7920 , ""tr"" , ""en"")"),"@drfahrettinka https://t.co/azuokrwmjv")</f>
        <v>@drfahrettinka https://t.co/azuokrwmjv</v>
      </c>
    </row>
    <row r="11122" spans="1:5" ht="15" customHeight="1" x14ac:dyDescent="0.2">
      <c r="A11122" s="1" t="s">
        <v>22034</v>
      </c>
      <c r="B11122" s="1">
        <v>0</v>
      </c>
      <c r="C11122" s="3">
        <v>44534.788506944446</v>
      </c>
      <c r="D11122" s="1" t="s">
        <v>22035</v>
      </c>
      <c r="E11122" s="1" t="str">
        <f ca="1">IFERROR(__xludf.DUMMYFUNCTION("GOOGLETRANSLATE(A7921 , ""tr"" , ""en"")"),"@drfahrettinkoca restraints coming back let's see if you get auspicious")</f>
        <v>@drfahrettinkoca restraints coming back let's see if you get auspicious</v>
      </c>
    </row>
    <row r="11123" spans="1:5" ht="15" customHeight="1" x14ac:dyDescent="0.2">
      <c r="A11123" s="1" t="s">
        <v>22036</v>
      </c>
      <c r="B11123" s="1">
        <v>0</v>
      </c>
      <c r="C11123" s="3">
        <v>44534.788252314815</v>
      </c>
      <c r="D11123" s="1" t="s">
        <v>22037</v>
      </c>
      <c r="E11123" s="1" t="str">
        <f ca="1">IFERROR(__xludf.DUMMYFUNCTION("GOOGLETRANSLATE(A7922 , ""tr"" , ""en"")"),"@drfahrettinka you should look at school outlets")</f>
        <v>@drfahrettinka you should look at school outlets</v>
      </c>
    </row>
    <row r="11124" spans="1:5" ht="15" customHeight="1" x14ac:dyDescent="0.2">
      <c r="A11124" s="1" t="s">
        <v>22038</v>
      </c>
      <c r="B11124" s="1">
        <v>12</v>
      </c>
      <c r="C11124" s="3">
        <v>44534.787974537037</v>
      </c>
      <c r="D11124" s="1" t="s">
        <v>22039</v>
      </c>
      <c r="E11124" s="1" t="str">
        <f ca="1">IFERROR(__xludf.DUMMYFUNCTION("GOOGLETRANSLATE(A7923 , ""tr"" , ""en"")"),"@drfahrettinkoca Jobs Sequential Vaccine Sector Sales Slowlined Customer Finding The Forced To Find Your Global Efen ... https://t.co/b5ysw3gbx5")</f>
        <v>@drfahrettinkoca Jobs Sequential Vaccine Sector Sales Slowlined Customer Finding The Forced To Find Your Global Efen ... https://t.co/b5ysw3gbx5</v>
      </c>
    </row>
    <row r="11125" spans="1:5" ht="15" customHeight="1" x14ac:dyDescent="0.2">
      <c r="A11125" s="1" t="s">
        <v>22040</v>
      </c>
      <c r="B11125" s="1">
        <v>0</v>
      </c>
      <c r="C11125" s="3">
        <v>44534.787604166668</v>
      </c>
      <c r="D11125" s="1" t="s">
        <v>22041</v>
      </c>
      <c r="E11125" s="1" t="str">
        <f ca="1">IFERROR(__xludf.DUMMYFUNCTION("GOOGLETRANSLATE(A7924 , ""tr"" , ""en"")"),"@drfahrettinka vaccine vaccine vaccine but every day is going 200 life but no restriction # dying")</f>
        <v>@drfahrettinka vaccine vaccine vaccine but every day is going 200 life but no restriction # dying</v>
      </c>
    </row>
    <row r="11126" spans="1:5" ht="15" customHeight="1" x14ac:dyDescent="0.2">
      <c r="A11126" s="1" t="s">
        <v>22042</v>
      </c>
      <c r="B11126" s="1">
        <v>0</v>
      </c>
      <c r="C11126" s="3">
        <v>44534.787488425929</v>
      </c>
      <c r="D11126" s="1" t="s">
        <v>22043</v>
      </c>
      <c r="E11126" s="1" t="str">
        <f ca="1">IFERROR(__xludf.DUMMYFUNCTION("GOOGLETRANSLATE(A7925 , ""tr"" , ""en"")"),"@drfahrettinkoca Ministry Numbers falls every day Maşallah 🧿😂😂")</f>
        <v>@drfahrettinkoca Ministry Numbers falls every day Maşallah 🧿😂😂</v>
      </c>
    </row>
    <row r="11127" spans="1:5" ht="15" customHeight="1" x14ac:dyDescent="0.2">
      <c r="A11127" s="1" t="s">
        <v>22044</v>
      </c>
      <c r="B11127" s="1">
        <v>0</v>
      </c>
      <c r="C11127" s="3">
        <v>44534.787280092591</v>
      </c>
      <c r="D11127" s="1" t="s">
        <v>22045</v>
      </c>
      <c r="E11127" s="1" t="str">
        <f ca="1">IFERROR(__xludf.DUMMYFUNCTION("GOOGLETRANSLATE(A7926 , ""tr"" , ""en"")"),"@drfahrettinkoca I think let's do these things, already hunger")</f>
        <v>@drfahrettinkoca I think let's do these things, already hunger</v>
      </c>
    </row>
    <row r="11128" spans="1:5" ht="15" customHeight="1" x14ac:dyDescent="0.2">
      <c r="A11128" s="1" t="s">
        <v>22046</v>
      </c>
      <c r="B11128" s="1">
        <v>0</v>
      </c>
      <c r="C11128" s="3">
        <v>44534.78665509259</v>
      </c>
      <c r="D11128" s="1" t="s">
        <v>22047</v>
      </c>
      <c r="E11128" s="1" t="str">
        <f ca="1">IFERROR(__xludf.DUMMYFUNCTION("GOOGLETRANSLATE(A7927 , ""tr"" , ""en"")"),"@drfahrettinkoca is easy to throw out of excludes. Hold on the mouth (really) from the buses of the crowd ... https://t.co/4xoheeuww8")</f>
        <v>@drfahrettinkoca is easy to throw out of excludes. Hold on the mouth (really) from the buses of the crowd ... https://t.co/4xoheeuww8</v>
      </c>
    </row>
    <row r="11129" spans="1:5" ht="15" customHeight="1" x14ac:dyDescent="0.2">
      <c r="A11129" s="1" t="s">
        <v>22048</v>
      </c>
      <c r="B11129" s="1">
        <v>1</v>
      </c>
      <c r="C11129" s="3">
        <v>44534.786377314813</v>
      </c>
      <c r="D11129" s="1" t="s">
        <v>22049</v>
      </c>
      <c r="E11129" s="1" t="str">
        <f ca="1">IFERROR(__xludf.DUMMYFUNCTION("GOOGLETRANSLATE(A7928 , ""tr"" , ""en"")"),"@drfahrettinkoca ""We should not be found in the crowded environments in the closed area"" 8 hours in the same class 40 min in the classroom ... https://t.co/kheu0secg6")</f>
        <v>@drfahrettinkoca "We should not be found in the crowded environments in the closed area" 8 hours in the same class 40 min in the classroom ... https://t.co/kheu0secg6</v>
      </c>
    </row>
    <row r="11130" spans="1:5" ht="15" customHeight="1" x14ac:dyDescent="0.2">
      <c r="A11130" s="1" t="s">
        <v>22050</v>
      </c>
      <c r="B11130" s="1">
        <v>5</v>
      </c>
      <c r="C11130" s="3">
        <v>44534.786249999997</v>
      </c>
      <c r="D11130" s="1" t="s">
        <v>22051</v>
      </c>
      <c r="E11130" s="1" t="str">
        <f ca="1">IFERROR(__xludf.DUMMYFUNCTION("GOOGLETRANSLATE(A7929 , ""tr"" , ""en"")"),"@drfahrettinkoca CLOSED Location Destinated The first place coming to the mind is the school and bus but we do not avoid being available Even us B ... https://t.co/0y4viyyady")</f>
        <v>@drfahrettinkoca CLOSED Location Destinated The first place coming to the mind is the school and bus but we do not avoid being available Even us B ... https://t.co/0y4viyyady</v>
      </c>
    </row>
    <row r="11131" spans="1:5" ht="15" customHeight="1" x14ac:dyDescent="0.2">
      <c r="A11131" s="1" t="s">
        <v>22052</v>
      </c>
      <c r="B11131" s="1">
        <v>0</v>
      </c>
      <c r="C11131" s="3">
        <v>44534.784861111111</v>
      </c>
      <c r="D11131" s="1" t="s">
        <v>22053</v>
      </c>
      <c r="E11131" s="1" t="str">
        <f ca="1">IFERROR(__xludf.DUMMYFUNCTION("GOOGLETRANSLATE(A7930 , ""tr"" , ""en"")"),"@drfahrettinkoca 👏👏 ş👏👏 ş ş ş ş ş ş ş ş ş ş ş ş ş ş ş ş ş ş ş ş ş ş ş ş ş ş ş ş👏👏 ş ş ş ş ş👏👏 ş👏👏👏👏👏👏 ş👏👏👏👏👏👏👏👏👏👏👏👏👏👏👏👏👏👏👏👏👏👏👏👏👏👏👏👏")</f>
        <v>@drfahrettinkoca 👏👏 ş👏👏 ş ş ş ş ş ş ş ş ş ş ş ş ş ş ş ş ş ş ş ş ş ş ş ş ş ş ş ş👏👏 ş ş ş ş ş👏👏 ş👏👏👏👏👏👏 ş👏👏👏👏👏👏👏👏👏👏👏👏👏👏👏👏👏👏👏👏👏👏👏👏👏👏👏👏</v>
      </c>
    </row>
    <row r="11132" spans="1:5" ht="15" customHeight="1" x14ac:dyDescent="0.2">
      <c r="A11132" s="1" t="s">
        <v>22054</v>
      </c>
      <c r="B11132" s="1">
        <v>0</v>
      </c>
      <c r="C11132" s="3">
        <v>44534.78466435185</v>
      </c>
      <c r="D11132" s="1" t="s">
        <v>22055</v>
      </c>
      <c r="E11132" s="1" t="str">
        <f ca="1">IFERROR(__xludf.DUMMYFUNCTION("GOOGLETRANSLATE(A7931 , ""tr"" , ""en"")"),"@drfahrettinkoca @saglikbakanligi omikron 5-11 years old, please vaccine")</f>
        <v>@drfahrettinkoca @saglikbakanligi omikron 5-11 years old, please vaccine</v>
      </c>
    </row>
    <row r="11133" spans="1:5" ht="15" customHeight="1" x14ac:dyDescent="0.2">
      <c r="A11133" s="1" t="s">
        <v>22056</v>
      </c>
      <c r="B11133" s="1">
        <v>6</v>
      </c>
      <c r="C11133" s="3">
        <v>44534.784363425926</v>
      </c>
      <c r="D11133" s="1" t="s">
        <v>22057</v>
      </c>
      <c r="E11133" s="1" t="str">
        <f ca="1">IFERROR(__xludf.DUMMYFUNCTION("GOOGLETRANSLATE(A7932 , ""tr"" , ""en"")"),"@drfahrettinkoca Crowded environments Avoid being available for a long time, you will persistently on face-to-face training ... https://t.co/b4x2ujbeabea")</f>
        <v>@drfahrettinkoca Crowded environments Avoid being available for a long time, you will persistently on face-to-face training ... https://t.co/b4x2ujbeabea</v>
      </c>
    </row>
    <row r="11134" spans="1:5" ht="15" customHeight="1" x14ac:dyDescent="0.2">
      <c r="A11134" s="1" t="s">
        <v>22058</v>
      </c>
      <c r="B11134" s="1">
        <v>0</v>
      </c>
      <c r="C11134" s="3">
        <v>44534.783912037034</v>
      </c>
      <c r="D11134" s="1" t="s">
        <v>22059</v>
      </c>
      <c r="E11134" s="1" t="str">
        <f ca="1">IFERROR(__xludf.DUMMYFUNCTION("GOOGLETRANSLATE(A7933 , ""tr"" , ""en"")"),"@drfahrettinkoca Provinces where you have already written the number of cases below the vaccination percentages, everyone is better ... HTTPS://T.CO/MP8EMIIFU")</f>
        <v>@drfahrettinkoca Provinces where you have already written the number of cases below the vaccination percentages, everyone is better ... HTTPS://T.CO/MP8EMIIFU</v>
      </c>
    </row>
    <row r="11135" spans="1:5" ht="15" customHeight="1" x14ac:dyDescent="0.2">
      <c r="A11135" s="1" t="s">
        <v>22060</v>
      </c>
      <c r="B11135" s="1">
        <v>0</v>
      </c>
      <c r="C11135" s="3">
        <v>44534.782847222225</v>
      </c>
      <c r="D11135" s="1" t="s">
        <v>22061</v>
      </c>
      <c r="E11135" s="1" t="str">
        <f ca="1">IFERROR(__xludf.DUMMYFUNCTION("GOOGLETRANSLATE(A7934 , ""tr"" , ""en"")"),"@drfahrettinka Mr. Minister Chefs CLICKLIGHT CLAIM CLAIM CLAIM OVER DIVISION DIVISION HEADS MESS IN MESETS ... HTTPS://T.CO/RDME3AWMDG")</f>
        <v>@drfahrettinka Mr. Minister Chefs CLICKLIGHT CLAIM CLAIM CLAIM OVER DIVISION DIVISION HEADS MESS IN MESETS ... HTTPS://T.CO/RDME3AWMDG</v>
      </c>
    </row>
    <row r="11136" spans="1:5" ht="15" customHeight="1" x14ac:dyDescent="0.2">
      <c r="A11136" s="1" t="s">
        <v>22062</v>
      </c>
      <c r="B11136" s="1">
        <v>0</v>
      </c>
      <c r="C11136" s="3">
        <v>44534.782812500001</v>
      </c>
      <c r="D11136" s="1" t="s">
        <v>22063</v>
      </c>
      <c r="E11136" s="1" t="str">
        <f ca="1">IFERROR(__xludf.DUMMYFUNCTION("GOOGLETRANSLATE(A7935 , ""tr"" , ""en"")"),"@drfahrettinkoca 🤦🤦🤦️🤦🤦️")</f>
        <v>@drfahrettinkoca 🤦🤦🤦️🤦🤦️</v>
      </c>
    </row>
    <row r="11137" spans="1:5" ht="15" customHeight="1" x14ac:dyDescent="0.2">
      <c r="A11137" s="1" t="s">
        <v>22064</v>
      </c>
      <c r="B11137" s="1">
        <v>1</v>
      </c>
      <c r="C11137" s="3">
        <v>44534.782777777778</v>
      </c>
      <c r="D11137" s="1" t="s">
        <v>22065</v>
      </c>
      <c r="E11137" s="1" t="str">
        <f ca="1">IFERROR(__xludf.DUMMYFUNCTION("GOOGLETRANSLATE(A7936 , ""tr"" , ""en"")"),"@drfahrettinkoca People work in the uncompleted vaccine, while the study accepts the risk and any side effects that may come out ... https://t.co/7jaml10tc8")</f>
        <v>@drfahrettinkoca People work in the uncompleted vaccine, while the study accepts the risk and any side effects that may come out ... https://t.co/7jaml10tc8</v>
      </c>
    </row>
    <row r="11138" spans="1:5" ht="15" customHeight="1" x14ac:dyDescent="0.2">
      <c r="A11138" s="1" t="s">
        <v>7148</v>
      </c>
      <c r="B11138" s="1">
        <v>0</v>
      </c>
      <c r="C11138" s="3">
        <v>44534.781898148147</v>
      </c>
      <c r="D11138" s="1" t="s">
        <v>22066</v>
      </c>
      <c r="E11138" s="1" t="str">
        <f ca="1">IFERROR(__xludf.DUMMYFUNCTION("GOOGLETRANSLATE(A7937 , ""tr"" , ""en"")"),"@drfahrettinkoca is ok")</f>
        <v>@drfahrettinkoca is ok</v>
      </c>
    </row>
    <row r="11139" spans="1:5" ht="15" customHeight="1" x14ac:dyDescent="0.2">
      <c r="A11139" s="1" t="s">
        <v>22067</v>
      </c>
      <c r="B11139" s="1">
        <v>2</v>
      </c>
      <c r="C11139" s="3">
        <v>44534.780844907407</v>
      </c>
      <c r="D11139" s="1" t="s">
        <v>22068</v>
      </c>
      <c r="E11139" s="1" t="str">
        <f ca="1">IFERROR(__xludf.DUMMYFUNCTION("GOOGLETRANSLATE(A7938 , ""tr"" , ""en"")"),"If @drfahrettinkoca vaccine works, no need to mask, no need to vaccine if the mask works. The two is not working. V ... https://t.co/3xqtIesnfv")</f>
        <v>If @drfahrettinkoca vaccine works, no need to mask, no need to vaccine if the mask works. The two is not working. V ... https://t.co/3xqtIesnfv</v>
      </c>
    </row>
    <row r="11140" spans="1:5" ht="15" customHeight="1" x14ac:dyDescent="0.2">
      <c r="A11140" s="1" t="s">
        <v>22069</v>
      </c>
      <c r="B11140" s="1">
        <v>0</v>
      </c>
      <c r="C11140" s="3">
        <v>44534.780243055553</v>
      </c>
      <c r="D11140" s="1" t="s">
        <v>22070</v>
      </c>
      <c r="E11140" s="1" t="str">
        <f ca="1">IFERROR(__xludf.DUMMYFUNCTION("GOOGLETRANSLATE(A7939 , ""tr"" , ""en"")"),"@drfahrettinkoca Mr. Ministry in public transport 33 -34 are coming to 33 -34 Please do not allow this please")</f>
        <v>@drfahrettinkoca Mr. Ministry in public transport 33 -34 are coming to 33 -34 Please do not allow this please</v>
      </c>
    </row>
    <row r="11141" spans="1:5" ht="15" customHeight="1" x14ac:dyDescent="0.2">
      <c r="A11141" s="1" t="s">
        <v>22071</v>
      </c>
      <c r="B11141" s="1">
        <v>0</v>
      </c>
      <c r="C11141" s="3">
        <v>44534.779861111114</v>
      </c>
      <c r="D11141" s="1" t="s">
        <v>22072</v>
      </c>
      <c r="E11141" s="1" t="str">
        <f ca="1">IFERROR(__xludf.DUMMYFUNCTION("GOOGLETRANSLATE(A7940 , ""tr"" , ""en"")"),"@drfahrettinkoca We are in the closed setting until 5 in the evening of 8 in the morning")</f>
        <v>@drfahrettinkoca We are in the closed setting until 5 in the evening of 8 in the morning</v>
      </c>
    </row>
    <row r="11142" spans="1:5" ht="15" customHeight="1" x14ac:dyDescent="0.2">
      <c r="A11142" s="1" t="s">
        <v>22073</v>
      </c>
      <c r="B11142" s="1">
        <v>0</v>
      </c>
      <c r="C11142" s="3">
        <v>44534.779814814814</v>
      </c>
      <c r="D11142" s="1" t="s">
        <v>22074</v>
      </c>
      <c r="E11142" s="1" t="str">
        <f ca="1">IFERROR(__xludf.DUMMYFUNCTION("GOOGLETRANSLATE(A7941 , ""tr"" , ""en"")"),"@drfahrettinkoca Mr. Minister, don't we all have the results needed? You have you too !!! Long time ... https://t.co/ju1q35zrwk")</f>
        <v>@drfahrettinkoca Mr. Minister, don't we all have the results needed? You have you too !!! Long time ... https://t.co/ju1q35zrwk</v>
      </c>
    </row>
    <row r="11143" spans="1:5" ht="15" customHeight="1" x14ac:dyDescent="0.2">
      <c r="A11143" s="1" t="s">
        <v>22075</v>
      </c>
      <c r="B11143" s="1">
        <v>0</v>
      </c>
      <c r="C11143" s="3">
        <v>44534.77857638889</v>
      </c>
      <c r="D11143" s="1" t="s">
        <v>22076</v>
      </c>
      <c r="E11143" s="1" t="str">
        <f ca="1">IFERROR(__xludf.DUMMYFUNCTION("GOOGLETRANSLATE(A7942 , ""tr"" , ""en"")"),"@drfahrettinkoca how seashoe is the appointment to appoint and see and see")</f>
        <v>@drfahrettinkoca how seashoe is the appointment to appoint and see and see</v>
      </c>
    </row>
    <row r="11144" spans="1:5" ht="15" customHeight="1" x14ac:dyDescent="0.2">
      <c r="A11144" s="1" t="s">
        <v>22077</v>
      </c>
      <c r="B11144" s="1">
        <v>0</v>
      </c>
      <c r="C11144" s="3">
        <v>44534.778425925928</v>
      </c>
      <c r="D11144" s="1" t="s">
        <v>22078</v>
      </c>
      <c r="E11144" s="1" t="str">
        <f ca="1">IFERROR(__xludf.DUMMYFUNCTION("GOOGLETRANSLATE(A7943 , ""tr"" , ""en"")"),"@drfahrettinkoca Do not be found in both off environments and you are keeping schools acik ?? !!!")</f>
        <v>@drfahrettinkoca Do not be found in both off environments and you are keeping schools acik ?? !!!</v>
      </c>
    </row>
    <row r="11145" spans="1:5" ht="15" customHeight="1" x14ac:dyDescent="0.2">
      <c r="A11145" s="1" t="s">
        <v>22079</v>
      </c>
      <c r="B11145" s="1">
        <v>3</v>
      </c>
      <c r="C11145" s="3">
        <v>44534.778275462966</v>
      </c>
      <c r="D11145" s="1" t="s">
        <v>22080</v>
      </c>
      <c r="E11145" s="1" t="str">
        <f ca="1">IFERROR(__xludf.DUMMYFUNCTION("GOOGLETRANSLATE(A7944 , ""tr"" , ""en"")"),"@drfahrettinkoca See Onli Education in December Onlie Education Now How many Teacher Trademarks Departed Me ... https://t.co/zcf2krjaw0")</f>
        <v>@drfahrettinkoca See Onli Education in December Onlie Education Now How many Teacher Trademarks Departed Me ... https://t.co/zcf2krjaw0</v>
      </c>
    </row>
    <row r="11146" spans="1:5" ht="15" customHeight="1" x14ac:dyDescent="0.2">
      <c r="A11146" s="1" t="s">
        <v>22081</v>
      </c>
      <c r="B11146" s="1">
        <v>4</v>
      </c>
      <c r="C11146" s="3">
        <v>44534.77684027778</v>
      </c>
      <c r="D11146" s="1" t="s">
        <v>22082</v>
      </c>
      <c r="E11146" s="1" t="str">
        <f ca="1">IFERROR(__xludf.DUMMYFUNCTION("GOOGLETRANSLATE(A7945 , ""tr"" , ""en"")"),"@drfahrettinkoca 6 Dec0 Onlie Training Bekkey Heartheless Our Soundsiiiiiii #kabinezkusagionline")</f>
        <v>@drfahrettinkoca 6 Dec0 Onlie Training Bekkey Heartheless Our Soundsiiiiiii #kabinezkusagionline</v>
      </c>
    </row>
    <row r="11147" spans="1:5" ht="15" customHeight="1" x14ac:dyDescent="0.2">
      <c r="A11147" s="1" t="s">
        <v>22083</v>
      </c>
      <c r="B11147" s="1">
        <v>0</v>
      </c>
      <c r="C11147" s="3">
        <v>44534.776585648149</v>
      </c>
      <c r="D11147" s="1" t="s">
        <v>22084</v>
      </c>
      <c r="E11147" s="1" t="str">
        <f ca="1">IFERROR(__xludf.DUMMYFUNCTION("GOOGLETRANSLATE(A7946 , ""tr"" , ""en"")"),"@drfahrettinkoca is not able to be inspected anymore more Covid has not been 1 month I have been in 1 month I haven't been cold I say Covid Referred to Covid Direliyo ... https://t.co/xsstzwirre")</f>
        <v>@drfahrettinkoca is not able to be inspected anymore more Covid has not been 1 month I have been in 1 month I haven't been cold I say Covid Referred to Covid Direliyo ... https://t.co/xsstzwirre</v>
      </c>
    </row>
    <row r="11148" spans="1:5" ht="15" customHeight="1" x14ac:dyDescent="0.2">
      <c r="A11148" s="1" t="s">
        <v>22085</v>
      </c>
      <c r="B11148" s="1">
        <v>4</v>
      </c>
      <c r="C11148" s="3">
        <v>44534.776099537034</v>
      </c>
      <c r="D11148" s="1" t="s">
        <v>22086</v>
      </c>
      <c r="E11148" s="1" t="str">
        <f ca="1">IFERROR(__xludf.DUMMYFUNCTION("GOOGLETRANSLATE(A7947 , ""tr"" , ""en"")"),"@drfahrettinkoca onlie education is the right of each student #abinezaonlineline")</f>
        <v>@drfahrettinkoca onlie education is the right of each student #abinezaonlineline</v>
      </c>
    </row>
    <row r="11149" spans="1:5" ht="15" customHeight="1" x14ac:dyDescent="0.2">
      <c r="A11149" s="1" t="s">
        <v>22087</v>
      </c>
      <c r="B11149" s="1">
        <v>0</v>
      </c>
      <c r="C11149" s="3">
        <v>44534.776030092595</v>
      </c>
      <c r="D11149" s="1" t="s">
        <v>22088</v>
      </c>
      <c r="E11149" s="1" t="str">
        <f ca="1">IFERROR(__xludf.DUMMYFUNCTION("GOOGLETRANSLATE(A7948 , ""tr"" , ""en"")"),"@drfahrettinkoca today was full 4 months, cases: 23,000 -27,000 deaths: 200 - 250 As with all subjects, Coronada D ... https://t.co/92mbpmwqdi")</f>
        <v>@drfahrettinkoca today was full 4 months, cases: 23,000 -27,000 deaths: 200 - 250 As with all subjects, Coronada D ... https://t.co/92mbpmwqdi</v>
      </c>
    </row>
    <row r="11150" spans="1:5" ht="15" customHeight="1" x14ac:dyDescent="0.2">
      <c r="A11150" s="1" t="s">
        <v>22089</v>
      </c>
      <c r="B11150" s="1">
        <v>4</v>
      </c>
      <c r="C11150" s="3">
        <v>44534.775601851848</v>
      </c>
      <c r="D11150" s="1" t="s">
        <v>22090</v>
      </c>
      <c r="E11150" s="1" t="str">
        <f ca="1">IFERROR(__xludf.DUMMYFUNCTION("GOOGLETRANSLATE(A7949 , ""tr"" , ""en"")"),"@drfahrettinka we want itlie for our right #kabinezkusagionline")</f>
        <v>@drfahrettinka we want itlie for our right #kabinezkusagionline</v>
      </c>
    </row>
    <row r="11151" spans="1:5" ht="15" customHeight="1" x14ac:dyDescent="0.2">
      <c r="A11151" s="1" t="s">
        <v>22091</v>
      </c>
      <c r="B11151" s="1">
        <v>0</v>
      </c>
      <c r="C11151" s="3">
        <v>44534.775601851848</v>
      </c>
      <c r="D11151" s="1" t="s">
        <v>22092</v>
      </c>
      <c r="E11151" s="1" t="str">
        <f ca="1">IFERROR(__xludf.DUMMYFUNCTION("GOOGLETRANSLATE(A7950 , ""tr"" , ""en"")"),"@drfahrettinkoca We are missing the subjects if we are not in the classroom in the classroom and not only in the winter, not in the summer ... https://t.co/eimsmgk8xu")</f>
        <v>@drfahrettinkoca We are missing the subjects if we are not in the classroom in the classroom and not only in the winter, not in the summer ... https://t.co/eimsmgk8xu</v>
      </c>
    </row>
    <row r="11152" spans="1:5" ht="15" customHeight="1" x14ac:dyDescent="0.2">
      <c r="A11152" s="1" t="s">
        <v>22093</v>
      </c>
      <c r="B11152" s="1">
        <v>2</v>
      </c>
      <c r="C11152" s="3">
        <v>44534.77548611111</v>
      </c>
      <c r="D11152" s="1" t="s">
        <v>22094</v>
      </c>
      <c r="E11152" s="1" t="str">
        <f ca="1">IFERROR(__xludf.DUMMYFUNCTION("GOOGLETRANSLATE(A7951 , ""tr"" , ""en"")"),"@drfahrettinkoca Covid Bi ends the figure #Nevelops. Stop fooling people on the painting of the eye")</f>
        <v>@drfahrettinkoca Covid Bi ends the figure #Nevelops. Stop fooling people on the painting of the eye</v>
      </c>
    </row>
    <row r="11153" spans="1:5" ht="15" customHeight="1" x14ac:dyDescent="0.2">
      <c r="A11153" s="1" t="s">
        <v>22095</v>
      </c>
      <c r="B11153" s="1">
        <v>5</v>
      </c>
      <c r="C11153" s="3">
        <v>44534.775231481479</v>
      </c>
      <c r="D11153" s="1" t="s">
        <v>22096</v>
      </c>
      <c r="E11153" s="1" t="str">
        <f ca="1">IFERROR(__xludf.DUMMYFUNCTION("GOOGLETRANSLATE(A7952 , ""tr"" , ""en"")"),"@drfahrettinkoca Truth of our place If you were on your nabard you wonder if you are sitting on the place where you sit ... https://t.co/uw0l80r: https://t.co/uw0l80ripu")</f>
        <v>@drfahrettinkoca Truth of our place If you were on your nabard you wonder if you are sitting on the place where you sit ... https://t.co/uw0l80r: https://t.co/uw0l80ripu</v>
      </c>
    </row>
    <row r="11154" spans="1:5" ht="15" customHeight="1" x14ac:dyDescent="0.2">
      <c r="A11154" s="1" t="s">
        <v>18602</v>
      </c>
      <c r="B11154" s="1">
        <v>3</v>
      </c>
      <c r="C11154" s="3">
        <v>44534.774884259263</v>
      </c>
      <c r="D11154" s="1" t="s">
        <v>22097</v>
      </c>
      <c r="E11154" s="1" t="str">
        <f ca="1">IFERROR(__xludf.DUMMYFUNCTION("GOOGLETRANSLATE(A7953 , ""tr"" , ""en"")"),"@drfahrettinkoca #kabinezkusagionlineline")</f>
        <v>@drfahrettinkoca #kabinezkusagionlineline</v>
      </c>
    </row>
    <row r="11155" spans="1:5" ht="15" customHeight="1" x14ac:dyDescent="0.2">
      <c r="A11155" s="1" t="s">
        <v>22098</v>
      </c>
      <c r="B11155" s="1">
        <v>0</v>
      </c>
      <c r="C11155" s="3">
        <v>44534.774826388886</v>
      </c>
      <c r="D11155" s="1" t="s">
        <v>22099</v>
      </c>
      <c r="E11155" s="1" t="str">
        <f ca="1">IFERROR(__xludf.DUMMYFUNCTION("GOOGLETRANSLATE(A7954 , ""tr"" , ""en"")"),"@drfahrettinka https://t.co/edrınvhc2z")</f>
        <v>@drfahrettinka https://t.co/edrınvhc2z</v>
      </c>
    </row>
    <row r="11156" spans="1:5" ht="15" customHeight="1" x14ac:dyDescent="0.2">
      <c r="A11156" s="1" t="s">
        <v>22100</v>
      </c>
      <c r="B11156" s="1">
        <v>0</v>
      </c>
      <c r="C11156" s="3">
        <v>44534.774733796294</v>
      </c>
      <c r="D11156" s="1" t="s">
        <v>22101</v>
      </c>
      <c r="E11156" s="1" t="str">
        <f ca="1">IFERROR(__xludf.DUMMYFUNCTION("GOOGLETRANSLATE(A7955 , ""tr"" , ""en"")"),"@drfahrettinka https://t.co/pjbbso1dxi")</f>
        <v>@drfahrettinka https://t.co/pjbbso1dxi</v>
      </c>
    </row>
    <row r="11157" spans="1:5" ht="15" customHeight="1" x14ac:dyDescent="0.2">
      <c r="A11157" s="1" t="s">
        <v>22102</v>
      </c>
      <c r="B11157" s="1">
        <v>1</v>
      </c>
      <c r="C11157" s="3">
        <v>44534.77449074074</v>
      </c>
      <c r="D11157" s="1" t="s">
        <v>22103</v>
      </c>
      <c r="E11157" s="1" t="str">
        <f ca="1">IFERROR(__xludf.DUMMYFUNCTION("GOOGLETRANSLATE(A7956 , ""tr"" , ""en"")"),"@drfahrettinkoca @saglikbakanligi #Saglikbakanligi don't make the doctors and what the doctor will do what to do.")</f>
        <v>@drfahrettinkoca @saglikbakanligi #Saglikbakanligi don't make the doctors and what the doctor will do what to do.</v>
      </c>
    </row>
    <row r="11158" spans="1:5" ht="15" customHeight="1" x14ac:dyDescent="0.2">
      <c r="A11158" s="1" t="s">
        <v>22104</v>
      </c>
      <c r="B11158" s="1">
        <v>0</v>
      </c>
      <c r="C11158" s="3">
        <v>44534.774456018517</v>
      </c>
      <c r="D11158" s="1" t="s">
        <v>22105</v>
      </c>
      <c r="E11158" s="1" t="str">
        <f ca="1">IFERROR(__xludf.DUMMYFUNCTION("GOOGLETRANSLATE(A7957 , ""tr"" , ""en"")"),"@drfahrettinkoca Onlie Education Diams Nobody's Mask Distance Still Diyos ... https://t.co/upcıhtx65s")</f>
        <v>@drfahrettinkoca Onlie Education Diams Nobody's Mask Distance Still Diyos ... https://t.co/upcıhtx65s</v>
      </c>
    </row>
    <row r="11159" spans="1:5" ht="15" customHeight="1" x14ac:dyDescent="0.2">
      <c r="A11159" s="1" t="s">
        <v>22106</v>
      </c>
      <c r="B11159" s="1">
        <v>5</v>
      </c>
      <c r="C11159" s="3">
        <v>44534.774293981478</v>
      </c>
      <c r="D11159" s="1" t="s">
        <v>22107</v>
      </c>
      <c r="E11159" s="1" t="str">
        <f ca="1">IFERROR(__xludf.DUMMYFUNCTION("GOOGLETRANSLATE(A7958 , ""tr"" , ""en"")"),"@drfahrettinkoca is still off, we say don't stay in crowded environments what we seriously say you seriously say yo ... https://t.co/wovxojpjuz")</f>
        <v>@drfahrettinkoca is still off, we say don't stay in crowded environments what we seriously say you seriously say yo ... https://t.co/wovxojpjuz</v>
      </c>
    </row>
    <row r="11160" spans="1:5" ht="15" customHeight="1" x14ac:dyDescent="0.2">
      <c r="A11160" s="1" t="s">
        <v>15981</v>
      </c>
      <c r="B11160" s="1">
        <v>0</v>
      </c>
      <c r="C11160" s="3">
        <v>44534.774155092593</v>
      </c>
      <c r="D11160" s="1" t="s">
        <v>22108</v>
      </c>
      <c r="E11160" s="1" t="str">
        <f ca="1">IFERROR(__xludf.DUMMYFUNCTION("GOOGLETRANSLATE(A7959 , ""tr"" , ""en"")"),"@drfahrettinkoca guanuzzzz")</f>
        <v>@drfahrettinkoca guanuzzzz</v>
      </c>
    </row>
    <row r="11161" spans="1:5" ht="15" customHeight="1" x14ac:dyDescent="0.2">
      <c r="A11161" s="1" t="s">
        <v>22109</v>
      </c>
      <c r="B11161" s="1">
        <v>4</v>
      </c>
      <c r="C11161" s="3">
        <v>44534.773495370369</v>
      </c>
      <c r="D11161" s="1" t="s">
        <v>22110</v>
      </c>
      <c r="E11161" s="1" t="str">
        <f ca="1">IFERROR(__xludf.DUMMYFUNCTION("GOOGLETRANSLATE(A7960 , ""tr"" , ""en"")"),"@drfahrettinkoca #IntephrettinkaDizing Mr. Mining After that Covidle struggle on your own.")</f>
        <v>@drfahrettinkoca #IntephrettinkaDizing Mr. Mining After that Covidle struggle on your own.</v>
      </c>
    </row>
    <row r="11162" spans="1:5" ht="15" customHeight="1" x14ac:dyDescent="0.2">
      <c r="A11162" s="1" t="s">
        <v>22111</v>
      </c>
      <c r="B11162" s="1">
        <v>0</v>
      </c>
      <c r="C11162" s="3">
        <v>44534.772557870368</v>
      </c>
      <c r="D11162" s="1" t="s">
        <v>22112</v>
      </c>
      <c r="E11162" s="1" t="str">
        <f ca="1">IFERROR(__xludf.DUMMYFUNCTION("GOOGLETRANSLATE(A7961 , ""tr"" , ""en"")"),"@drfahrettinkoca you still call off media joke MIIIIIIIII")</f>
        <v>@drfahrettinkoca you still call off media joke MIIIIIIIII</v>
      </c>
    </row>
    <row r="11163" spans="1:5" ht="15" customHeight="1" x14ac:dyDescent="0.2">
      <c r="A11163" s="1" t="s">
        <v>22113</v>
      </c>
      <c r="B11163" s="1">
        <v>0</v>
      </c>
      <c r="C11163" s="3">
        <v>44534.771689814814</v>
      </c>
      <c r="D11163" s="1" t="s">
        <v>22114</v>
      </c>
      <c r="E11163" s="1" t="str">
        <f ca="1">IFERROR(__xludf.DUMMYFUNCTION("GOOGLETRANSLATE(A7962 , ""tr"" , ""en"")"),"@drfahrettinkoca go to school Donuste bus, metrolar, off-closed environment What do you do ??")</f>
        <v>@drfahrettinkoca go to school Donuste bus, metrolar, off-closed environment What do you do ??</v>
      </c>
    </row>
    <row r="11164" spans="1:5" ht="15" customHeight="1" x14ac:dyDescent="0.2">
      <c r="A11164" s="1" t="s">
        <v>22115</v>
      </c>
      <c r="B11164" s="1">
        <v>0</v>
      </c>
      <c r="C11164" s="3">
        <v>44534.771585648145</v>
      </c>
      <c r="D11164" s="1" t="s">
        <v>22116</v>
      </c>
      <c r="E11164" s="1" t="str">
        <f ca="1">IFERROR(__xludf.DUMMYFUNCTION("GOOGLETRANSLATE(A7963 , ""tr"" , ""en"")"),"@drfahrettinkoca In the last sentence, I was in astonishment in the last sentence The mask and vaccine word don't pass the die eventually you are in the end of you ...")</f>
        <v>@drfahrettinkoca In the last sentence, I was in astonishment in the last sentence The mask and vaccine word don't pass the die eventually you are in the end of you ...</v>
      </c>
    </row>
    <row r="11165" spans="1:5" ht="15" customHeight="1" x14ac:dyDescent="0.2">
      <c r="A11165" s="1" t="s">
        <v>22117</v>
      </c>
      <c r="B11165" s="1">
        <v>0</v>
      </c>
      <c r="C11165" s="3">
        <v>44534.771261574075</v>
      </c>
      <c r="D11165" s="1" t="s">
        <v>22118</v>
      </c>
      <c r="E11165" s="1" t="str">
        <f ca="1">IFERROR(__xludf.DUMMYFUNCTION("GOOGLETRANSLATE(A7964 , ""tr"" , ""en"")"),"@drfahrettinkoca Described the table of the day")</f>
        <v>@drfahrettinkoca Described the table of the day</v>
      </c>
    </row>
    <row r="11166" spans="1:5" ht="15" customHeight="1" x14ac:dyDescent="0.2">
      <c r="A11166" s="1" t="s">
        <v>22119</v>
      </c>
      <c r="B11166" s="1">
        <v>0</v>
      </c>
      <c r="C11166" s="3">
        <v>44534.771099537036</v>
      </c>
      <c r="D11166" s="1" t="s">
        <v>22120</v>
      </c>
      <c r="E11166" s="1" t="str">
        <f ca="1">IFERROR(__xludf.DUMMYFUNCTION("GOOGLETRANSLATE(A7965 , ""tr"" , ""en"")"),"@drfahrettinkoca crazy We are supporting tags like the agenda We are falling Pat is that we want to hear our voice")</f>
        <v>@drfahrettinkoca crazy We are supporting tags like the agenda We are falling Pat is that we want to hear our voice</v>
      </c>
    </row>
    <row r="11167" spans="1:5" ht="15" customHeight="1" x14ac:dyDescent="0.2">
      <c r="A11167" s="1" t="s">
        <v>22121</v>
      </c>
      <c r="B11167" s="1">
        <v>0</v>
      </c>
      <c r="C11167" s="3">
        <v>44534.771087962959</v>
      </c>
      <c r="D11167" s="1" t="s">
        <v>22122</v>
      </c>
      <c r="E11167" s="1" t="str">
        <f ca="1">IFERROR(__xludf.DUMMYFUNCTION("GOOGLETRANSLATE(A7966 , ""tr"" , ""en"")"),"@drfahrettinkoca is the school off environment, what do you do ???")</f>
        <v>@drfahrettinkoca is the school off environment, what do you do ???</v>
      </c>
    </row>
    <row r="11168" spans="1:5" ht="15" customHeight="1" x14ac:dyDescent="0.2">
      <c r="A11168" s="1" t="s">
        <v>20072</v>
      </c>
      <c r="B11168" s="1">
        <v>3</v>
      </c>
      <c r="C11168" s="3">
        <v>44534.770578703705</v>
      </c>
      <c r="D11168" s="1" t="s">
        <v>22123</v>
      </c>
      <c r="E11168" s="1" t="str">
        <f ca="1">IFERROR(__xludf.DUMMYFUNCTION("GOOGLETRANSLATE(A7967 , ""tr"" , ""en"")"),"@drfahrettinkoca # Cabinethousonline")</f>
        <v>@drfahrettinkoca # Cabinethousonline</v>
      </c>
    </row>
    <row r="11169" spans="1:5" ht="15" customHeight="1" x14ac:dyDescent="0.2">
      <c r="A11169" s="1" t="s">
        <v>22124</v>
      </c>
      <c r="B11169" s="1">
        <v>8</v>
      </c>
      <c r="C11169" s="3">
        <v>44534.770231481481</v>
      </c>
      <c r="D11169" s="1" t="s">
        <v>22125</v>
      </c>
      <c r="E11169" s="1" t="str">
        <f ca="1">IFERROR(__xludf.DUMMYFUNCTION("GOOGLETRANSLATE(A7968 , ""tr"" , ""en"")"),"@drfahrettinkoca Half Faced Training You are looking at the Minister of Allah, we live in another Turkey in Turkey ... https://t.co/5wvwrvhl07")</f>
        <v>@drfahrettinkoca Half Faced Training You are looking at the Minister of Allah, we live in another Turkey in Turkey ... https://t.co/5wvwrvhl07</v>
      </c>
    </row>
    <row r="11170" spans="1:5" ht="15" customHeight="1" x14ac:dyDescent="0.2">
      <c r="A11170" s="1" t="s">
        <v>22126</v>
      </c>
      <c r="B11170" s="1">
        <v>0</v>
      </c>
      <c r="C11170" s="3">
        <v>44534.76935185185</v>
      </c>
      <c r="D11170" s="1" t="s">
        <v>22127</v>
      </c>
      <c r="E11170" s="1" t="str">
        <f ca="1">IFERROR(__xludf.DUMMYFUNCTION("GOOGLETRANSLATE(A7969 , ""tr"" , ""en"")"),"@drfahrettinka Dear Minister When we tested the seasonal flu in seasonal flu, the result is the possibility that the result is positive ... https://t.co/7542tutmpj")</f>
        <v>@drfahrettinka Dear Minister When we tested the seasonal flu in seasonal flu, the result is the possibility that the result is positive ... https://t.co/7542tutmpj</v>
      </c>
    </row>
    <row r="11171" spans="1:5" ht="15" customHeight="1" x14ac:dyDescent="0.2">
      <c r="A11171" s="1" t="s">
        <v>22128</v>
      </c>
      <c r="B11171" s="1">
        <v>0</v>
      </c>
      <c r="C11171" s="3">
        <v>44534.769247685188</v>
      </c>
      <c r="D11171" s="1" t="s">
        <v>22129</v>
      </c>
      <c r="E11171" s="1" t="str">
        <f ca="1">IFERROR(__xludf.DUMMYFUNCTION("GOOGLETRANSLATE(A7970 , ""tr"" , ""en"")"),"@drfahrettinka https://t.co/kplu7x95ei Pfizer related documents here .. would you make description?")</f>
        <v>@drfahrettinka https://t.co/kplu7x95ei Pfizer related documents here .. would you make description?</v>
      </c>
    </row>
    <row r="11172" spans="1:5" ht="15" customHeight="1" x14ac:dyDescent="0.2">
      <c r="A11172" s="1" t="s">
        <v>22130</v>
      </c>
      <c r="B11172" s="1">
        <v>0</v>
      </c>
      <c r="C11172" s="3">
        <v>44534.768969907411</v>
      </c>
      <c r="D11172" s="1" t="s">
        <v>22131</v>
      </c>
      <c r="E11172" s="1" t="str">
        <f ca="1">IFERROR(__xludf.DUMMYFUNCTION("GOOGLETRANSLATE(A7971 , ""tr"" , ""en"")"),"@drfahrettinkoca ii i gitmiom then to school in the knks")</f>
        <v>@drfahrettinkoca ii i gitmiom then to school in the knks</v>
      </c>
    </row>
    <row r="11173" spans="1:5" ht="15" customHeight="1" x14ac:dyDescent="0.2">
      <c r="A11173" s="1" t="s">
        <v>22132</v>
      </c>
      <c r="B11173" s="1">
        <v>0</v>
      </c>
      <c r="C11173" s="3">
        <v>44534.768969907411</v>
      </c>
      <c r="D11173" s="1" t="s">
        <v>22133</v>
      </c>
      <c r="E11173" s="1" t="str">
        <f ca="1">IFERROR(__xludf.DUMMYFUNCTION("GOOGLETRANSLATE(A7972 , ""tr"" , ""en"")"),"@drfahrettinkoca Ağam BiziYnenyrenyr")</f>
        <v>@drfahrettinkoca Ağam BiziYnenyrenyr</v>
      </c>
    </row>
    <row r="11174" spans="1:5" ht="15" customHeight="1" x14ac:dyDescent="0.2">
      <c r="A11174" s="1" t="s">
        <v>22134</v>
      </c>
      <c r="B11174" s="1">
        <v>0</v>
      </c>
      <c r="C11174" s="3">
        <v>44534.76866898148</v>
      </c>
      <c r="D11174" s="1" t="s">
        <v>22135</v>
      </c>
      <c r="E11174" s="1" t="str">
        <f ca="1">IFERROR(__xludf.DUMMYFUNCTION("GOOGLETRANSLATE(A7973 , ""tr"" , ""en"")"),"@drfahrettinkoca Minister 13 Months We are waiting for the purchase no longer go out to take a huge year without buying 10 ... https://t.co/vzohrzhybc")</f>
        <v>@drfahrettinkoca Minister 13 Months We are waiting for the purchase no longer go out to take a huge year without buying 10 ... https://t.co/vzohrzhybc</v>
      </c>
    </row>
    <row r="11175" spans="1:5" ht="15" customHeight="1" x14ac:dyDescent="0.2">
      <c r="A11175" s="1" t="s">
        <v>22136</v>
      </c>
      <c r="B11175" s="1">
        <v>1</v>
      </c>
      <c r="C11175" s="3">
        <v>44534.768310185187</v>
      </c>
      <c r="D11175" s="1" t="s">
        <v>22137</v>
      </c>
      <c r="E11175" s="1" t="str">
        <f ca="1">IFERROR(__xludf.DUMMYFUNCTION("GOOGLETRANSLATE(A7974 , ""tr"" , ""en"")"),"@drfahrettinkoca is exactly like that minister let's be in a clean setting and let's obey the mask distance cleaning rules and let's be vaccine")</f>
        <v>@drfahrettinkoca is exactly like that minister let's be in a clean setting and let's obey the mask distance cleaning rules and let's be vaccine</v>
      </c>
    </row>
    <row r="11176" spans="1:5" ht="15" customHeight="1" x14ac:dyDescent="0.2">
      <c r="A11176" s="1" t="s">
        <v>22138</v>
      </c>
      <c r="B11176" s="1">
        <v>2</v>
      </c>
      <c r="C11176" s="3">
        <v>44534.76798611111</v>
      </c>
      <c r="D11176" s="1" t="s">
        <v>22139</v>
      </c>
      <c r="E11176" s="1" t="str">
        <f ca="1">IFERROR(__xludf.DUMMYFUNCTION("GOOGLETRANSLATE(A7975 , ""tr"" , ""en"")"),"@drfahrettinkoca #istics are the")</f>
        <v>@drfahrettinkoca #istics are the</v>
      </c>
    </row>
    <row r="11177" spans="1:5" ht="15" customHeight="1" x14ac:dyDescent="0.2">
      <c r="A11177" s="1" t="s">
        <v>22140</v>
      </c>
      <c r="B11177" s="1">
        <v>0</v>
      </c>
      <c r="C11177" s="3">
        <v>44534.767754629633</v>
      </c>
      <c r="D11177" s="1" t="s">
        <v>22141</v>
      </c>
      <c r="E11177" s="1" t="str">
        <f ca="1">IFERROR(__xludf.DUMMYFUNCTION("GOOGLETRANSLATE(A7976 , ""tr"" , ""en"")"),"@drfahrettinkoca One day would you die because of the rebel")</f>
        <v>@drfahrettinkoca One day would you die because of the rebel</v>
      </c>
    </row>
    <row r="11178" spans="1:5" ht="15" customHeight="1" x14ac:dyDescent="0.2">
      <c r="A11178" s="1" t="s">
        <v>22142</v>
      </c>
      <c r="B11178" s="1">
        <v>12</v>
      </c>
      <c r="C11178" s="3">
        <v>44534.767407407409</v>
      </c>
      <c r="D11178" s="1" t="s">
        <v>22143</v>
      </c>
      <c r="E11178" s="1" t="str">
        <f ca="1">IFERROR(__xludf.DUMMYFUNCTION("GOOGLETRANSLATE(A7977 , ""tr"" , ""en"")"),"@drfahrettinkoca lying table is everyone knows #kabinezkusagionline")</f>
        <v>@drfahrettinkoca lying table is everyone knows #kabinezkusagionline</v>
      </c>
    </row>
    <row r="11179" spans="1:5" ht="15" customHeight="1" x14ac:dyDescent="0.2">
      <c r="A11179" s="1" t="s">
        <v>22144</v>
      </c>
      <c r="B11179" s="1">
        <v>0</v>
      </c>
      <c r="C11179" s="3">
        <v>44534.766956018517</v>
      </c>
      <c r="D11179" s="1" t="s">
        <v>22145</v>
      </c>
      <c r="E11179" s="1" t="str">
        <f ca="1">IFERROR(__xludf.DUMMYFUNCTION("GOOGLETRANSLATE(A7978 , ""tr"" , ""en"")"),"@drfahrettinkoca haa is that the influenza, the winter came back to the grip that came back in the grip, the Bey who overlooked! You didn't have the flu ... https://t.co/16a1pd8057")</f>
        <v>@drfahrettinkoca haa is that the influenza, the winter came back to the grip that came back in the grip, the Bey who overlooked! You didn't have the flu ... https://t.co/16a1pd8057</v>
      </c>
    </row>
    <row r="11180" spans="1:5" ht="15" customHeight="1" x14ac:dyDescent="0.2">
      <c r="A11180" s="1" t="s">
        <v>22146</v>
      </c>
      <c r="B11180" s="1">
        <v>0</v>
      </c>
      <c r="C11180" s="3">
        <v>44534.766469907408</v>
      </c>
      <c r="D11180" s="1" t="s">
        <v>22147</v>
      </c>
      <c r="E11180" s="1" t="str">
        <f ca="1">IFERROR(__xludf.DUMMYFUNCTION("GOOGLETRANSLATE(A7979 , ""tr"" , ""en"")"),"@drfahrettinkoca Off Prison Don't your prisoners don't have valuations, please mention this in parliament")</f>
        <v>@drfahrettinkoca Off Prison Don't your prisoners don't have valuations, please mention this in parliament</v>
      </c>
    </row>
    <row r="11181" spans="1:5" ht="15" customHeight="1" x14ac:dyDescent="0.2">
      <c r="A11181" s="1" t="s">
        <v>22148</v>
      </c>
      <c r="B11181" s="1">
        <v>3</v>
      </c>
      <c r="C11181" s="3">
        <v>44534.765613425923</v>
      </c>
      <c r="D11181" s="1" t="s">
        <v>22149</v>
      </c>
      <c r="E11181" s="1" t="str">
        <f ca="1">IFERROR(__xludf.DUMMYFUNCTION("GOOGLETRANSLATE(A7980 , ""tr"" , ""en"")"),"@drfahrettinkoca Dear Ministry @drfahrettinkoca barrier as healthcare people Department of Health as well as Health Safe ... https://t.co/rbzvnxgjs3")</f>
        <v>@drfahrettinkoca Dear Ministry @drfahrettinkoca barrier as healthcare people Department of Health as well as Health Safe ... https://t.co/rbzvnxgjs3</v>
      </c>
    </row>
    <row r="11182" spans="1:5" ht="15" customHeight="1" x14ac:dyDescent="0.2">
      <c r="A11182" s="1" t="s">
        <v>22150</v>
      </c>
      <c r="B11182" s="1">
        <v>1</v>
      </c>
      <c r="C11182" s="3">
        <v>44534.764814814815</v>
      </c>
      <c r="D11182" s="1" t="s">
        <v>22151</v>
      </c>
      <c r="E11182" s="1" t="str">
        <f ca="1">IFERROR(__xludf.DUMMYFUNCTION("GOOGLETRANSLATE(A7981 , ""tr"" , ""en"")"),"@drfahrettinkoca Stay off the ground where you say schools will do what will we do as joke")</f>
        <v>@drfahrettinkoca Stay off the ground where you say schools will do what will we do as joke</v>
      </c>
    </row>
    <row r="11183" spans="1:5" ht="15" customHeight="1" x14ac:dyDescent="0.2">
      <c r="A11183" s="1" t="s">
        <v>22152</v>
      </c>
      <c r="B11183" s="1">
        <v>0</v>
      </c>
      <c r="C11183" s="3">
        <v>44534.764548611114</v>
      </c>
      <c r="D11183" s="1" t="s">
        <v>22153</v>
      </c>
      <c r="E11183" s="1" t="str">
        <f ca="1">IFERROR(__xludf.DUMMYFUNCTION("GOOGLETRANSLATE(A7982 , ""tr"" , ""en"")"),"The person who invented @drfahrettinkoca PCR test these tests will not determine whether you are sick. The next day home ... https://t.co/dxlvulmpru")</f>
        <v>The person who invented @drfahrettinkoca PCR test these tests will not determine whether you are sick. The next day home ... https://t.co/dxlvulmpru</v>
      </c>
    </row>
    <row r="11184" spans="1:5" ht="15" customHeight="1" x14ac:dyDescent="0.2">
      <c r="A11184" s="1" t="s">
        <v>22154</v>
      </c>
      <c r="B11184" s="1">
        <v>1</v>
      </c>
      <c r="C11184" s="3">
        <v>44534.764270833337</v>
      </c>
      <c r="D11184" s="1" t="s">
        <v>22155</v>
      </c>
      <c r="E11184" s="1" t="str">
        <f ca="1">IFERROR(__xludf.DUMMYFUNCTION("GOOGLETRANSLATE(A7983 , ""tr"" , ""en"")"),"@drfahrettinkoca AK Party and all patriots! Leave suspicions, drills, prejudices aside. Fitne ... https://t.co/eptkcvwe4c")</f>
        <v>@drfahrettinkoca AK Party and all patriots! Leave suspicions, drills, prejudices aside. Fitne ... https://t.co/eptkcvwe4c</v>
      </c>
    </row>
    <row r="11185" spans="1:5" ht="15" customHeight="1" x14ac:dyDescent="0.2">
      <c r="A11185" s="1" t="s">
        <v>22156</v>
      </c>
      <c r="B11185" s="1">
        <v>0</v>
      </c>
      <c r="C11185" s="3">
        <v>44534.764236111114</v>
      </c>
      <c r="D11185" s="1" t="s">
        <v>22157</v>
      </c>
      <c r="E11185" s="1" t="str">
        <f ca="1">IFERROR(__xludf.DUMMYFUNCTION("GOOGLETRANSLATE(A7984 , ""tr"" , ""en"")"),"@drfahrettinkoca trap to the finest detail of the best detail to you, including visible documents ... https://t.co/5c8g0zkft8")</f>
        <v>@drfahrettinkoca trap to the finest detail of the best detail to you, including visible documents ... https://t.co/5c8g0zkft8</v>
      </c>
    </row>
    <row r="11186" spans="1:5" ht="15" customHeight="1" x14ac:dyDescent="0.2">
      <c r="A11186" s="1" t="s">
        <v>22158</v>
      </c>
      <c r="B11186" s="1">
        <v>0</v>
      </c>
      <c r="C11186" s="3">
        <v>44534.764224537037</v>
      </c>
      <c r="D11186" s="1" t="s">
        <v>22159</v>
      </c>
      <c r="E11186" s="1" t="str">
        <f ca="1">IFERROR(__xludf.DUMMYFUNCTION("GOOGLETRANSLATE(A7985 , ""tr"" , ""en"")"),"@drfahrettinkoca Indoor area ventilate in the open area wearing the mask and inhabited carbon dioxide this is what ...")</f>
        <v>@drfahrettinkoca Indoor area ventilate in the open area wearing the mask and inhabited carbon dioxide this is what ...</v>
      </c>
    </row>
    <row r="11187" spans="1:5" ht="15" customHeight="1" x14ac:dyDescent="0.2">
      <c r="A11187" s="1" t="s">
        <v>22160</v>
      </c>
      <c r="B11187" s="1">
        <v>0</v>
      </c>
      <c r="C11187" s="3">
        <v>44534.763958333337</v>
      </c>
      <c r="D11187" s="1" t="s">
        <v>22161</v>
      </c>
      <c r="E11187" s="1" t="str">
        <f ca="1">IFERROR(__xludf.DUMMYFUNCTION("GOOGLETRANSLATE(A7986 , ""tr"" , ""en"")"),"@drfahrettinkoca Ministry Everyone says something to hear that you will be assigning this month from your AGZE ... https://t.co/wamp5mfaay")</f>
        <v>@drfahrettinkoca Ministry Everyone says something to hear that you will be assigning this month from your AGZE ... https://t.co/wamp5mfaay</v>
      </c>
    </row>
    <row r="11188" spans="1:5" ht="15" customHeight="1" x14ac:dyDescent="0.2">
      <c r="A11188" s="1" t="s">
        <v>22162</v>
      </c>
      <c r="B11188" s="1">
        <v>2</v>
      </c>
      <c r="C11188" s="3">
        <v>44534.763645833336</v>
      </c>
      <c r="D11188" s="1" t="s">
        <v>22163</v>
      </c>
      <c r="E11188" s="1" t="str">
        <f ca="1">IFERROR(__xludf.DUMMYFUNCTION("GOOGLETRANSLATE(A7987 , ""tr"" , ""en"")"),"@drfahrettinkoca Close schools now")</f>
        <v>@drfahrettinkoca Close schools now</v>
      </c>
    </row>
    <row r="11189" spans="1:5" ht="15" customHeight="1" x14ac:dyDescent="0.2">
      <c r="A11189" s="1" t="s">
        <v>22164</v>
      </c>
      <c r="B11189" s="1">
        <v>5</v>
      </c>
      <c r="C11189" s="3">
        <v>44534.763495370367</v>
      </c>
      <c r="D11189" s="1" t="s">
        <v>22165</v>
      </c>
      <c r="E11189" s="1" t="str">
        <f ca="1">IFERROR(__xludf.DUMMYFUNCTION("GOOGLETRANSLATE(A7988 , ""tr"" , ""en"")"),"@drfahrettinkoca is a deadly pandemy overlooking the sec, the power of the power is traveling on the rally! How is this outbreak! Par ... https://t.co/yrhhoqnq7v")</f>
        <v>@drfahrettinkoca is a deadly pandemy overlooking the sec, the power of the power is traveling on the rally! How is this outbreak! Par ... https://t.co/yrhhoqnq7v</v>
      </c>
    </row>
    <row r="11190" spans="1:5" ht="15" customHeight="1" x14ac:dyDescent="0.2">
      <c r="A11190" s="1" t="s">
        <v>22166</v>
      </c>
      <c r="B11190" s="1">
        <v>1</v>
      </c>
      <c r="C11190" s="3">
        <v>44534.763368055559</v>
      </c>
      <c r="D11190" s="1" t="s">
        <v>22167</v>
      </c>
      <c r="E11190" s="1" t="str">
        <f ca="1">IFERROR(__xludf.DUMMYFUNCTION("GOOGLETRANSLATE(A7989 , ""tr"" , ""en"")"),"@drfahrettinkoca This is a joke Demi irony 8 hours all kinds of schools among more than 1000 people")</f>
        <v>@drfahrettinkoca This is a joke Demi irony 8 hours all kinds of schools among more than 1000 people</v>
      </c>
    </row>
    <row r="11191" spans="1:5" ht="15" customHeight="1" x14ac:dyDescent="0.2">
      <c r="A11191" s="1" t="s">
        <v>22168</v>
      </c>
      <c r="B11191" s="1">
        <v>8</v>
      </c>
      <c r="C11191" s="3">
        <v>44534.763368055559</v>
      </c>
      <c r="D11191" s="1" t="s">
        <v>22169</v>
      </c>
      <c r="E11191" s="1" t="str">
        <f ca="1">IFERROR(__xludf.DUMMYFUNCTION("GOOGLETRANSLATE(A7990 , ""tr"" , ""en"")"),"@drfahrettinkoca # We want to call cabinet")</f>
        <v>@drfahrettinkoca # We want to call cabinet</v>
      </c>
    </row>
    <row r="11192" spans="1:5" ht="15" customHeight="1" x14ac:dyDescent="0.2">
      <c r="A11192" s="1" t="s">
        <v>22170</v>
      </c>
      <c r="B11192" s="1">
        <v>6</v>
      </c>
      <c r="C11192" s="3">
        <v>44534.762152777781</v>
      </c>
      <c r="D11192" s="1" t="s">
        <v>22171</v>
      </c>
      <c r="E11192" s="1" t="str">
        <f ca="1">IFERROR(__xludf.DUMMYFUNCTION("GOOGLETRANSLATE(A7991 , ""tr"" , ""en"")"),"@drfahrettinkoca we remain closed in schools indoor ambient is getting cold cold glass is unable to open everyone adjacent to the adjoining ... https://t.co/vr2kuclzpw")</f>
        <v>@drfahrettinkoca we remain closed in schools indoor ambient is getting cold cold glass is unable to open everyone adjacent to the adjoining ... https://t.co/vr2kuclzpw</v>
      </c>
    </row>
    <row r="11193" spans="1:5" ht="15" customHeight="1" x14ac:dyDescent="0.2">
      <c r="A11193" s="1" t="s">
        <v>22172</v>
      </c>
      <c r="B11193" s="1">
        <v>0</v>
      </c>
      <c r="C11193" s="3">
        <v>44534.762129629627</v>
      </c>
      <c r="D11193" s="1" t="s">
        <v>22173</v>
      </c>
      <c r="E11193" s="1" t="str">
        <f ca="1">IFERROR(__xludf.DUMMYFUNCTION("GOOGLETRANSLATE(A7992 , ""tr"" , ""en"")"),"@drfahrettinkoca indoor media ventilated outdoors mask plug ... oh head mis like ... 😀😃")</f>
        <v>@drfahrettinkoca indoor media ventilated outdoors mask plug ... oh head mis like ... 😀😃</v>
      </c>
    </row>
    <row r="11194" spans="1:5" ht="15" customHeight="1" x14ac:dyDescent="0.2">
      <c r="A11194" s="1" t="s">
        <v>22174</v>
      </c>
      <c r="B11194" s="1">
        <v>0</v>
      </c>
      <c r="C11194" s="3">
        <v>44534.761550925927</v>
      </c>
      <c r="D11194" s="1" t="s">
        <v>22175</v>
      </c>
      <c r="E11194" s="1" t="str">
        <f ca="1">IFERROR(__xludf.DUMMYFUNCTION("GOOGLETRANSLATE(A7993 , ""tr"" , ""en"")"),"@drfahrettinka https://t.co/4oozgze1dt")</f>
        <v>@drfahrettinka https://t.co/4oozgze1dt</v>
      </c>
    </row>
    <row r="11195" spans="1:5" ht="15" customHeight="1" x14ac:dyDescent="0.2">
      <c r="A11195" s="1" t="s">
        <v>22176</v>
      </c>
      <c r="B11195" s="1">
        <v>1</v>
      </c>
      <c r="C11195" s="3">
        <v>44534.761354166665</v>
      </c>
      <c r="D11195" s="1" t="s">
        <v>22177</v>
      </c>
      <c r="E11195" s="1" t="str">
        <f ca="1">IFERROR(__xludf.DUMMYFUNCTION("GOOGLETRANSLATE(A7994 , ""tr"" , ""en"")"),"@drfahrettinka Mr. Minister, how to avoid the indoor environment in the domestic and college, make a logical description of us to know")</f>
        <v>@drfahrettinka Mr. Minister, how to avoid the indoor environment in the domestic and college, make a logical description of us to know</v>
      </c>
    </row>
    <row r="11196" spans="1:5" ht="15" customHeight="1" x14ac:dyDescent="0.2">
      <c r="A11196" s="1" t="s">
        <v>22178</v>
      </c>
      <c r="B11196" s="1">
        <v>0</v>
      </c>
      <c r="C11196" s="3">
        <v>44534.760891203703</v>
      </c>
      <c r="D11196" s="1" t="s">
        <v>22179</v>
      </c>
      <c r="E11196" s="1" t="str">
        <f ca="1">IFERROR(__xludf.DUMMYFUNCTION("GOOGLETRANSLATE(A7995 , ""tr"" , ""en"")"),"@drfahrettinka 20,000 hxlzbdldhdkcjsldhkd Your lie is not your place to bed")</f>
        <v>@drfahrettinka 20,000 hxlzbdldhdkcjsldhkd Your lie is not your place to bed</v>
      </c>
    </row>
    <row r="11197" spans="1:5" ht="15" customHeight="1" x14ac:dyDescent="0.2">
      <c r="A11197" s="1" t="s">
        <v>22180</v>
      </c>
      <c r="B11197" s="1">
        <v>0</v>
      </c>
      <c r="C11197" s="3">
        <v>44534.759675925925</v>
      </c>
      <c r="D11197" s="1" t="s">
        <v>22181</v>
      </c>
      <c r="E11197" s="1" t="str">
        <f ca="1">IFERROR(__xludf.DUMMYFUNCTION("GOOGLETRANSLATE(A7996 , ""tr"" , ""en"")"),"@drfahrettinka Mr. Minister, prayers in mosques have also been removed social distance.")</f>
        <v>@drfahrettinka Mr. Minister, prayers in mosques have also been removed social distance.</v>
      </c>
    </row>
    <row r="11198" spans="1:5" ht="15" customHeight="1" x14ac:dyDescent="0.2">
      <c r="A11198" s="1" t="s">
        <v>22182</v>
      </c>
      <c r="B11198" s="1">
        <v>0</v>
      </c>
      <c r="C11198" s="3">
        <v>44534.759525462963</v>
      </c>
      <c r="D11198" s="1" t="s">
        <v>22183</v>
      </c>
      <c r="E11198" s="1" t="str">
        <f ca="1">IFERROR(__xludf.DUMMYFUNCTION("GOOGLETRANSLATE(A7997 , ""tr"" , ""en"")"),"@drfahrettinkoca Ministry of Ministry of Buy Center We have entered the last week for Allah consent Please publish this guide")</f>
        <v>@drfahrettinkoca Ministry of Ministry of Buy Center We have entered the last week for Allah consent Please publish this guide</v>
      </c>
    </row>
    <row r="11199" spans="1:5" ht="15" customHeight="1" x14ac:dyDescent="0.2">
      <c r="A11199" s="1" t="s">
        <v>22184</v>
      </c>
      <c r="B11199" s="1">
        <v>11</v>
      </c>
      <c r="C11199" s="3">
        <v>44534.759421296294</v>
      </c>
      <c r="D11199" s="1" t="s">
        <v>22185</v>
      </c>
      <c r="E11199" s="1" t="str">
        <f ca="1">IFERROR(__xludf.DUMMYFUNCTION("GOOGLETRANSLATE(A7998 , ""tr"" , ""en"")"),"@drfahrettinkoca I'm thinking you're kidding. ""Avoid taking a long time in crowded places ... https://t.co/rqydr7mbdl")</f>
        <v>@drfahrettinkoca I'm thinking you're kidding. "Avoid taking a long time in crowded places ... https://t.co/rqydr7mbdl</v>
      </c>
    </row>
    <row r="11200" spans="1:5" ht="15" customHeight="1" x14ac:dyDescent="0.2">
      <c r="A11200" s="1" t="s">
        <v>22186</v>
      </c>
      <c r="B11200" s="1">
        <v>0</v>
      </c>
      <c r="C11200" s="3">
        <v>44534.759386574071</v>
      </c>
      <c r="D11200" s="1" t="s">
        <v>22187</v>
      </c>
      <c r="E11200" s="1" t="str">
        <f ca="1">IFERROR(__xludf.DUMMYFUNCTION("GOOGLETRANSLATE(A7999 , ""tr"" , ""en"")"),"@drfahrettinkoca After this time you (s), ""Histoplasma Capsulatum"", you can't fade the public game to the public play!")</f>
        <v>@drfahrettinkoca After this time you (s), "Histoplasma Capsulatum", you can't fade the public game to the public play!</v>
      </c>
    </row>
    <row r="11201" spans="1:5" ht="15" customHeight="1" x14ac:dyDescent="0.2">
      <c r="A11201" s="1" t="s">
        <v>22188</v>
      </c>
      <c r="B11201" s="1">
        <v>0</v>
      </c>
      <c r="C11201" s="3">
        <v>44534.758402777778</v>
      </c>
      <c r="D11201" s="1" t="s">
        <v>22189</v>
      </c>
      <c r="E11201" s="1" t="str">
        <f ca="1">IFERROR(__xludf.DUMMYFUNCTION("GOOGLETRANSLATE(A8000 , ""tr"" , ""en"")"),"@drfahrettinkoca Mr. OK what to explain whatsoever we were there too much")</f>
        <v>@drfahrettinkoca Mr. OK what to explain whatsoever we were there too much</v>
      </c>
    </row>
    <row r="11202" spans="1:5" ht="15" customHeight="1" x14ac:dyDescent="0.2">
      <c r="A11202" s="1" t="s">
        <v>22190</v>
      </c>
      <c r="B11202" s="1">
        <v>0</v>
      </c>
      <c r="C11202" s="3">
        <v>44534.757789351854</v>
      </c>
      <c r="D11202" s="1" t="s">
        <v>22191</v>
      </c>
      <c r="E11202" s="1" t="str">
        <f ca="1">IFERROR(__xludf.DUMMYFUNCTION("GOOGLETRANSLATE(A8001 , ""tr"" , ""en"")"),"@drfahrettinkoca in schools? What do schools are unending to do in the diningery rows, for example, Mr. Minister?")</f>
        <v>@drfahrettinkoca in schools? What do schools are unending to do in the diningery rows, for example, Mr. Minister?</v>
      </c>
    </row>
    <row r="11203" spans="1:5" ht="15" customHeight="1" x14ac:dyDescent="0.2">
      <c r="A11203" s="1" t="s">
        <v>22192</v>
      </c>
      <c r="B11203" s="1">
        <v>1</v>
      </c>
      <c r="C11203" s="3">
        <v>44534.757175925923</v>
      </c>
      <c r="D11203" s="1" t="s">
        <v>22193</v>
      </c>
      <c r="E11203" s="1" t="str">
        <f ca="1">IFERROR(__xludf.DUMMYFUNCTION("GOOGLETRANSLATE(A8002 , ""tr"" , ""en"")"),"@drfahrettinkoca distance education")</f>
        <v>@drfahrettinkoca distance education</v>
      </c>
    </row>
    <row r="11204" spans="1:5" ht="15" customHeight="1" x14ac:dyDescent="0.2">
      <c r="A11204" s="1" t="s">
        <v>22194</v>
      </c>
      <c r="B11204" s="1">
        <v>1</v>
      </c>
      <c r="C11204" s="3">
        <v>44534.757141203707</v>
      </c>
      <c r="D11204" s="1" t="s">
        <v>22195</v>
      </c>
      <c r="E11204" s="1" t="str">
        <f ca="1">IFERROR(__xludf.DUMMYFUNCTION("GOOGLETRANSLATE(A8003 , ""tr"" , ""en"")"),"@drfahrettinka Mr. @drfahrettinkoca Assignment Attackage Waiters have sold out material spiritual. Now describe the guide please 🙌")</f>
        <v>@drfahrettinka Mr. @drfahrettinkoca Assignment Attackage Waiters have sold out material spiritual. Now describe the guide please 🙌</v>
      </c>
    </row>
    <row r="11205" spans="1:5" ht="15" customHeight="1" x14ac:dyDescent="0.2">
      <c r="A11205" s="1" t="s">
        <v>8741</v>
      </c>
      <c r="B11205" s="1">
        <v>1</v>
      </c>
      <c r="C11205" s="3">
        <v>44534.757060185184</v>
      </c>
      <c r="D11205" s="1" t="s">
        <v>22196</v>
      </c>
      <c r="E11205" s="1" t="str">
        <f ca="1">IFERROR(__xludf.DUMMYFUNCTION("GOOGLETRANSLATE(A8004 , ""tr"" , ""en"")"),"@drfahrettinkoca We want distance education")</f>
        <v>@drfahrettinkoca We want distance education</v>
      </c>
    </row>
    <row r="11206" spans="1:5" ht="15" customHeight="1" x14ac:dyDescent="0.2">
      <c r="A11206" s="1" t="s">
        <v>22197</v>
      </c>
      <c r="B11206" s="1">
        <v>0</v>
      </c>
      <c r="C11206" s="3">
        <v>44534.756469907406</v>
      </c>
      <c r="D11206" s="1" t="s">
        <v>22198</v>
      </c>
      <c r="E11206" s="1" t="str">
        <f ca="1">IFERROR(__xludf.DUMMYFUNCTION("GOOGLETRANSLATE(A8005 , ""tr"" , ""en"")"),"@drfahrettinkoca public transport tools very crowded school outlets crowded We are afraid of Malls so crowded ... https://t.co/dteuzmffzm")</f>
        <v>@drfahrettinkoca public transport tools very crowded school outlets crowded We are afraid of Malls so crowded ... https://t.co/dteuzmffzm</v>
      </c>
    </row>
    <row r="11207" spans="1:5" ht="15" customHeight="1" x14ac:dyDescent="0.2">
      <c r="A11207" s="1" t="s">
        <v>22199</v>
      </c>
      <c r="B11207" s="1">
        <v>0</v>
      </c>
      <c r="C11207" s="3">
        <v>44534.754918981482</v>
      </c>
      <c r="D11207" s="1" t="s">
        <v>22200</v>
      </c>
      <c r="E11207" s="1" t="str">
        <f ca="1">IFERROR(__xludf.DUMMYFUNCTION("GOOGLETRANSLATE(A8006 , ""tr"" , ""en"")"),"@drfahrettinkoca Are you a boiling, are the Minister of Health Allasen ...")</f>
        <v>@drfahrettinkoca Are you a boiling, are the Minister of Health Allasen ...</v>
      </c>
    </row>
    <row r="11208" spans="1:5" ht="15" customHeight="1" x14ac:dyDescent="0.2">
      <c r="A11208" s="1" t="s">
        <v>22201</v>
      </c>
      <c r="B11208" s="1">
        <v>30</v>
      </c>
      <c r="C11208" s="3">
        <v>44534.754247685189</v>
      </c>
      <c r="D11208" s="1" t="s">
        <v>22202</v>
      </c>
      <c r="E11208" s="1" t="str">
        <f ca="1">IFERROR(__xludf.DUMMYFUNCTION("GOOGLETRANSLATE(A8007 , ""tr"" , ""en"")"),"@drfahrettinkoca fahrettin hubby resign meat no longer marketing to vaccine companies that you are in the country that they are in the country ... https://t.co/zmgzpmgb5w")</f>
        <v>@drfahrettinkoca fahrettin hubby resign meat no longer marketing to vaccine companies that you are in the country that they are in the country ... https://t.co/zmgzpmgb5w</v>
      </c>
    </row>
    <row r="11209" spans="1:5" ht="15" customHeight="1" x14ac:dyDescent="0.2">
      <c r="A11209" s="1" t="s">
        <v>22203</v>
      </c>
      <c r="B11209" s="1">
        <v>0</v>
      </c>
      <c r="C11209" s="3">
        <v>44534.754212962966</v>
      </c>
      <c r="D11209" s="1" t="s">
        <v>22204</v>
      </c>
      <c r="E11209" s="1" t="str">
        <f ca="1">IFERROR(__xludf.DUMMYFUNCTION("GOOGLETRANSLATE(A8008 , ""tr"" , ""en"")"),"@drfahrettinkoca include schools to indoor environments ????")</f>
        <v>@drfahrettinkoca include schools to indoor environments ????</v>
      </c>
    </row>
    <row r="11210" spans="1:5" ht="15" customHeight="1" x14ac:dyDescent="0.2">
      <c r="A11210" s="1" t="s">
        <v>22205</v>
      </c>
      <c r="B11210" s="1">
        <v>2</v>
      </c>
      <c r="C11210" s="3">
        <v>44534.753877314812</v>
      </c>
      <c r="D11210" s="1" t="s">
        <v>22206</v>
      </c>
      <c r="E11210" s="1" t="str">
        <f ca="1">IFERROR(__xludf.DUMMYFUNCTION("GOOGLETRANSLATE(A8009 , ""tr"" , ""en"")"),"@drfahrettinkoca I wonder if you understand your own? I think I think you should quit asap a ... https://t.co/b42coq4xpn")</f>
        <v>@drfahrettinkoca I wonder if you understand your own? I think I think you should quit asap a ... https://t.co/b42coq4xpn</v>
      </c>
    </row>
    <row r="11211" spans="1:5" ht="15" customHeight="1" x14ac:dyDescent="0.2">
      <c r="A11211" s="1" t="s">
        <v>22207</v>
      </c>
      <c r="B11211" s="1">
        <v>0</v>
      </c>
      <c r="C11211" s="3">
        <v>44534.753611111111</v>
      </c>
      <c r="D11211" s="1" t="s">
        <v>22208</v>
      </c>
      <c r="E11211" s="1" t="str">
        <f ca="1">IFERROR(__xludf.DUMMYFUNCTION("GOOGLETRANSLATE(A8010 , ""tr"" , ""en"")"),"@drfahrettinkoca Swim these. The folks are going from the heart crisis you are still repeating the same shipping. Mr. CUSTOMER ... https://t.co/9vawbacr5h")</f>
        <v>@drfahrettinkoca Swim these. The folks are going from the heart crisis you are still repeating the same shipping. Mr. CUSTOMER ... https://t.co/9vawbacr5h</v>
      </c>
    </row>
    <row r="11212" spans="1:5" ht="15" customHeight="1" x14ac:dyDescent="0.2">
      <c r="A11212" s="1" t="s">
        <v>22209</v>
      </c>
      <c r="B11212" s="1">
        <v>7</v>
      </c>
      <c r="C11212" s="3">
        <v>44534.753587962965</v>
      </c>
      <c r="D11212" s="1" t="s">
        <v>22210</v>
      </c>
      <c r="E11212" s="1" t="str">
        <f ca="1">IFERROR(__xludf.DUMMYFUNCTION("GOOGLETRANSLATE(A8011 , ""tr"" , ""en"")"),"@drfahrettinkoca online we would like to be the minister #kabinezkusagionline")</f>
        <v>@drfahrettinkoca online we would like to be the minister #kabinezkusagionline</v>
      </c>
    </row>
    <row r="11213" spans="1:5" ht="15" customHeight="1" x14ac:dyDescent="0.2">
      <c r="A11213" s="1" t="s">
        <v>22211</v>
      </c>
      <c r="B11213" s="1">
        <v>0</v>
      </c>
      <c r="C11213" s="3">
        <v>44534.753449074073</v>
      </c>
      <c r="D11213" s="1" t="s">
        <v>22212</v>
      </c>
      <c r="E11213" s="1" t="str">
        <f ca="1">IFERROR(__xludf.DUMMYFUNCTION("GOOGLETRANSLATE(A8012 , ""tr"" , ""en"")"),"@drfahrettinkoca Every day 200 people are dying Everything you are treating as normal, take the precaution anymore")</f>
        <v>@drfahrettinkoca Every day 200 people are dying Everything you are treating as normal, take the precaution anymore</v>
      </c>
    </row>
    <row r="11214" spans="1:5" ht="15" customHeight="1" x14ac:dyDescent="0.2">
      <c r="A11214" s="1" t="s">
        <v>22213</v>
      </c>
      <c r="B11214" s="1">
        <v>13</v>
      </c>
      <c r="C11214" s="3">
        <v>44534.753171296295</v>
      </c>
      <c r="D11214" s="1" t="s">
        <v>22214</v>
      </c>
      <c r="E11214" s="1" t="str">
        <f ca="1">IFERROR(__xludf.DUMMYFUNCTION("GOOGLETRANSLATE(A8013 , ""tr"" , ""en"")"),"Would you wonder if @drfahrettinkoca focus on real patients? How many different kinds of children's disease is ... https://t.co/vmxhskqdfx")</f>
        <v>Would you wonder if @drfahrettinkoca focus on real patients? How many different kinds of children's disease is ... https://t.co/vmxhskqdfx</v>
      </c>
    </row>
    <row r="11215" spans="1:5" ht="15" customHeight="1" x14ac:dyDescent="0.2">
      <c r="A11215" s="1" t="s">
        <v>22215</v>
      </c>
      <c r="B11215" s="1">
        <v>1</v>
      </c>
      <c r="C11215" s="3">
        <v>44534.753067129626</v>
      </c>
      <c r="D11215" s="1" t="s">
        <v>22216</v>
      </c>
      <c r="E11215" s="1" t="str">
        <f ca="1">IFERROR(__xludf.DUMMYFUNCTION("GOOGLETRANSLATE(A8014 , ""tr"" , ""en"")"),"@drfahrettinkoca and all our belief that is the Minister of Safety is Bitmis")</f>
        <v>@drfahrettinkoca and all our belief that is the Minister of Safety is Bitmis</v>
      </c>
    </row>
    <row r="11216" spans="1:5" ht="15" customHeight="1" x14ac:dyDescent="0.2">
      <c r="A11216" s="1" t="s">
        <v>22217</v>
      </c>
      <c r="B11216" s="1">
        <v>3</v>
      </c>
      <c r="C11216" s="3">
        <v>44534.752696759257</v>
      </c>
      <c r="D11216" s="1" t="s">
        <v>22218</v>
      </c>
      <c r="E11216" s="1" t="str">
        <f ca="1">IFERROR(__xludf.DUMMYFUNCTION("GOOGLETRANSLATE(A8015 , ""tr"" , ""en"")"),"@drfahrettinkoca #kabinezkusagionlinistinistinist @drfahrettinkoca Mr. Minister You continue to do so in the chest ... https://t.co/ptkccpd9b3")</f>
        <v>@drfahrettinkoca #kabinezkusagionlinistinistinist @drfahrettinkoca Mr. Minister You continue to do so in the chest ... https://t.co/ptkccpd9b3</v>
      </c>
    </row>
    <row r="11217" spans="1:5" ht="15" customHeight="1" x14ac:dyDescent="0.2">
      <c r="A11217" s="1" t="s">
        <v>22219</v>
      </c>
      <c r="B11217" s="1">
        <v>4</v>
      </c>
      <c r="C11217" s="3">
        <v>44534.752581018518</v>
      </c>
      <c r="D11217" s="1" t="s">
        <v>22220</v>
      </c>
      <c r="E11217" s="1" t="str">
        <f ca="1">IFERROR(__xludf.DUMMYFUNCTION("GOOGLETRANSLATE(A8016 , ""tr"" , ""en"")"),"@drfahrettinkoca I guess this man is not living in this world Prifizer cases revealed hidden documents output 90 days 1200 ... https://t.co/qxx5ybz6d2")</f>
        <v>@drfahrettinkoca I guess this man is not living in this world Prifizer cases revealed hidden documents output 90 days 1200 ... https://t.co/qxx5ybz6d2</v>
      </c>
    </row>
    <row r="11218" spans="1:5" ht="15" customHeight="1" x14ac:dyDescent="0.2">
      <c r="A11218" s="1" t="s">
        <v>22221</v>
      </c>
      <c r="B11218" s="1">
        <v>0</v>
      </c>
      <c r="C11218" s="3">
        <v>44534.752118055556</v>
      </c>
      <c r="D11218" s="1" t="s">
        <v>22222</v>
      </c>
      <c r="E11218" s="1" t="str">
        <f ca="1">IFERROR(__xludf.DUMMYFUNCTION("GOOGLETRANSLATE(A8017 , ""tr"" , ""en"")"),"@drfahrettinkoca Yakanday7, Minister. As you are in the head of the beginning of those who live this pain, this world also ... https://t.co/xyx1r9805j")</f>
        <v>@drfahrettinkoca Yakanday7, Minister. As you are in the head of the beginning of those who live this pain, this world also ... https://t.co/xyx1r9805j</v>
      </c>
    </row>
    <row r="11219" spans="1:5" ht="15" customHeight="1" x14ac:dyDescent="0.2">
      <c r="A11219" s="1" t="s">
        <v>22223</v>
      </c>
      <c r="B11219" s="1">
        <v>1</v>
      </c>
      <c r="C11219" s="3">
        <v>44534.751805555556</v>
      </c>
      <c r="D11219" s="1" t="s">
        <v>22224</v>
      </c>
      <c r="E11219" s="1" t="str">
        <f ca="1">IFERROR(__xludf.DUMMYFUNCTION("GOOGLETRANSLATE(A8018 , ""tr"" , ""en"")"),"@drfahrettinka https://t.co/f2yw4gjqnh")</f>
        <v>@drfahrettinka https://t.co/f2yw4gjqnh</v>
      </c>
    </row>
    <row r="11220" spans="1:5" ht="15" customHeight="1" x14ac:dyDescent="0.2">
      <c r="A11220" s="1" t="s">
        <v>22225</v>
      </c>
      <c r="B11220" s="1">
        <v>0</v>
      </c>
      <c r="C11220" s="3">
        <v>44534.751331018517</v>
      </c>
      <c r="D11220" s="1" t="s">
        <v>22226</v>
      </c>
      <c r="E11220" s="1" t="str">
        <f ca="1">IFERROR(__xludf.DUMMYFUNCTION("GOOGLETRANSLATE(A8019 , ""tr"" , ""en"")"),"@drfahrettinkoca Your vaccine is no other job overlooking the external. You will pass on the head of the buyer. Drop ta normal ha ... https://t.co/fqcnknvcbx")</f>
        <v>@drfahrettinkoca Your vaccine is no other job overlooking the external. You will pass on the head of the buyer. Drop ta normal ha ... https://t.co/fqcnknvcbx</v>
      </c>
    </row>
    <row r="11221" spans="1:5" ht="15" customHeight="1" x14ac:dyDescent="0.2">
      <c r="A11221" s="1" t="s">
        <v>22227</v>
      </c>
      <c r="B11221" s="1">
        <v>0</v>
      </c>
      <c r="C11221" s="3">
        <v>44534.751192129632</v>
      </c>
      <c r="D11221" s="1" t="s">
        <v>22228</v>
      </c>
      <c r="E11221" s="1" t="str">
        <f ca="1">IFERROR(__xludf.DUMMYFUNCTION("GOOGLETRANSLATE(A8020 , ""tr"" , ""en"")"),"@drfahrettinka https://t.co/jkrwzbyyg1")</f>
        <v>@drfahrettinka https://t.co/jkrwzbyyg1</v>
      </c>
    </row>
    <row r="11222" spans="1:5" ht="15" customHeight="1" x14ac:dyDescent="0.2">
      <c r="A11222" s="1" t="s">
        <v>22229</v>
      </c>
      <c r="B11222" s="1">
        <v>0</v>
      </c>
      <c r="C11222" s="3">
        <v>44534.751134259262</v>
      </c>
      <c r="D11222" s="1" t="s">
        <v>22230</v>
      </c>
      <c r="E11222" s="1" t="str">
        <f ca="1">IFERROR(__xludf.DUMMYFUNCTION("GOOGLETRANSLATE(A8021 , ""tr"" , ""en"")"),"@drfahrettinkoca virus is that no one cares now, do not think you are anymore persistent. People are https://t.co/onuczqqtdo")</f>
        <v>@drfahrettinkoca virus is that no one cares now, do not think you are anymore persistent. People are https://t.co/onuczqqtdo</v>
      </c>
    </row>
    <row r="11223" spans="1:5" ht="15" customHeight="1" x14ac:dyDescent="0.2">
      <c r="A11223" s="1" t="s">
        <v>22231</v>
      </c>
      <c r="B11223" s="1">
        <v>0</v>
      </c>
      <c r="C11223" s="3">
        <v>44534.748981481483</v>
      </c>
      <c r="D11223" s="1" t="s">
        <v>22232</v>
      </c>
      <c r="E11223" s="1" t="str">
        <f ca="1">IFERROR(__xludf.DUMMYFUNCTION("GOOGLETRANSLATE(A8022 , ""tr"" , ""en"")"),"@drfahrettinka you are my voice my voice or you'll hear that like that. I'm going to bother with you until you give me the court ... https://t.co/kewnd62na")</f>
        <v>@drfahrettinka you are my voice my voice or you'll hear that like that. I'm going to bother with you until you give me the court ... https://t.co/kewnd62na</v>
      </c>
    </row>
    <row r="11224" spans="1:5" ht="15" customHeight="1" x14ac:dyDescent="0.2">
      <c r="A11224" s="1" t="s">
        <v>22233</v>
      </c>
      <c r="B11224" s="1">
        <v>7</v>
      </c>
      <c r="C11224" s="3">
        <v>44534.748819444445</v>
      </c>
      <c r="D11224" s="1" t="s">
        <v>22234</v>
      </c>
      <c r="E11224" s="1" t="str">
        <f ca="1">IFERROR(__xludf.DUMMYFUNCTION("GOOGLETRANSLATE(A8023 , ""tr"" , ""en"")"),"@drfahrettinkoca Mr. Fahrettin Husband, no one in this country is your tables and give you inn ... https://t.co/aamtaez1f4")</f>
        <v>@drfahrettinkoca Mr. Fahrettin Husband, no one in this country is your tables and give you inn ... https://t.co/aamtaez1f4</v>
      </c>
    </row>
    <row r="11225" spans="1:5" ht="15" customHeight="1" x14ac:dyDescent="0.2">
      <c r="A11225" s="1" t="s">
        <v>22235</v>
      </c>
      <c r="B11225" s="1">
        <v>0</v>
      </c>
      <c r="C11225" s="3">
        <v>44534.748495370368</v>
      </c>
      <c r="D11225" s="1" t="s">
        <v>22236</v>
      </c>
      <c r="E11225" s="1" t="str">
        <f ca="1">IFERROR(__xludf.DUMMYFUNCTION("GOOGLETRANSLATE(A8024 , ""tr"" , ""en"")"),"@drfahrettinkoca are these indoor places including schools?")</f>
        <v>@drfahrettinkoca are these indoor places including schools?</v>
      </c>
    </row>
    <row r="11226" spans="1:5" ht="15" customHeight="1" x14ac:dyDescent="0.2">
      <c r="A11226" s="1" t="s">
        <v>22237</v>
      </c>
      <c r="B11226" s="1">
        <v>1</v>
      </c>
      <c r="C11226" s="3">
        <v>44534.747858796298</v>
      </c>
      <c r="D11226" s="1" t="s">
        <v>22238</v>
      </c>
      <c r="E11226" s="1" t="str">
        <f ca="1">IFERROR(__xludf.DUMMYFUNCTION("GOOGLETRANSLATE(A8025 , ""tr"" , ""en"")"),"@drfahrettinka schools closed area and 40 people minister ??")</f>
        <v>@drfahrettinka schools closed area and 40 people minister ??</v>
      </c>
    </row>
    <row r="11227" spans="1:5" ht="15" customHeight="1" x14ac:dyDescent="0.2">
      <c r="A11227" s="1" t="s">
        <v>22239</v>
      </c>
      <c r="B11227" s="1">
        <v>6</v>
      </c>
      <c r="C11227" s="3">
        <v>44534.747581018521</v>
      </c>
      <c r="D11227" s="1" t="s">
        <v>22240</v>
      </c>
      <c r="E11227" s="1" t="str">
        <f ca="1">IFERROR(__xludf.DUMMYFUNCTION("GOOGLETRANSLATE(A8026 , ""tr"" , ""en"")"),"@drfahrettinkoca please @gokhanozoguz Please hear our voice hear our voice Without boring our voice without embarrassment ... https://t.co/mkrygxbt8q")</f>
        <v>@drfahrettinkoca please @gokhanozoguz Please hear our voice hear our voice Without boring our voice without embarrassment ... https://t.co/mkrygxbt8q</v>
      </c>
    </row>
    <row r="11228" spans="1:5" ht="15" customHeight="1" x14ac:dyDescent="0.2">
      <c r="A11228" s="1" t="s">
        <v>22241</v>
      </c>
      <c r="B11228" s="1">
        <v>0</v>
      </c>
      <c r="C11228" s="3">
        <v>44534.747476851851</v>
      </c>
      <c r="D11228" s="1" t="s">
        <v>22242</v>
      </c>
      <c r="E11228" s="1" t="str">
        <f ca="1">IFERROR(__xludf.DUMMYFUNCTION("GOOGLETRANSLATE(A8027 , ""tr"" , ""en"")"),"@drfahrettinkoca why do you say, especially the drs in the city hospitals, are going to escape ?? Inside of what game ... https://t.co/tx5y9ahbn9")</f>
        <v>@drfahrettinkoca why do you say, especially the drs in the city hospitals, are going to escape ?? Inside of what game ... https://t.co/tx5y9ahbn9</v>
      </c>
    </row>
    <row r="11229" spans="1:5" ht="15" customHeight="1" x14ac:dyDescent="0.2">
      <c r="A11229" s="1" t="s">
        <v>22243</v>
      </c>
      <c r="B11229" s="1">
        <v>1</v>
      </c>
      <c r="C11229" s="3">
        <v>44534.746979166666</v>
      </c>
      <c r="D11229" s="1" t="s">
        <v>22244</v>
      </c>
      <c r="E11229" s="1" t="str">
        <f ca="1">IFERROR(__xludf.DUMMYFUNCTION("GOOGLETRANSLATE(A8028 , ""tr"" , ""en"")"),"@drfahrettinkoca you have anymore forgiveness, every day you lose their human life every day and the boss in front of cameras ... https://t.co/npsnnho6lt")</f>
        <v>@drfahrettinkoca you have anymore forgiveness, every day you lose their human life every day and the boss in front of cameras ... https://t.co/npsnnho6lt</v>
      </c>
    </row>
    <row r="11230" spans="1:5" ht="15" customHeight="1" x14ac:dyDescent="0.2">
      <c r="A11230" s="1" t="s">
        <v>22245</v>
      </c>
      <c r="B11230" s="1">
        <v>8</v>
      </c>
      <c r="C11230" s="3">
        <v>44534.746249999997</v>
      </c>
      <c r="D11230" s="1" t="s">
        <v>22246</v>
      </c>
      <c r="E11230" s="1" t="str">
        <f ca="1">IFERROR(__xludf.DUMMYFUNCTION("GOOGLETRANSLATE(A8029 , ""tr"" , ""en"")"),"@drfahrettinkoca Our sake of Allah Our teachers Our parents are where you are the children of the hospitals of schools ... https://t.co/ohnu165ypo")</f>
        <v>@drfahrettinkoca Our sake of Allah Our teachers Our parents are where you are the children of the hospitals of schools ... https://t.co/ohnu165ypo</v>
      </c>
    </row>
    <row r="11231" spans="1:5" ht="15" customHeight="1" x14ac:dyDescent="0.2">
      <c r="A11231" s="1" t="s">
        <v>22247</v>
      </c>
      <c r="B11231" s="1">
        <v>0</v>
      </c>
      <c r="C11231" s="3">
        <v>44534.74596064815</v>
      </c>
      <c r="D11231" s="1" t="s">
        <v>22248</v>
      </c>
      <c r="E11231" s="1" t="str">
        <f ca="1">IFERROR(__xludf.DUMMYFUNCTION("GOOGLETRANSLATE(A8030 , ""tr"" , ""en"")"),"@drfahrettinkoca # Cabinethousonline")</f>
        <v>@drfahrettinkoca # Cabinethousonline</v>
      </c>
    </row>
    <row r="11232" spans="1:5" ht="15" customHeight="1" x14ac:dyDescent="0.2">
      <c r="A11232" s="1" t="s">
        <v>22249</v>
      </c>
      <c r="B11232" s="1">
        <v>0</v>
      </c>
      <c r="C11232" s="3">
        <v>44534.745370370372</v>
      </c>
      <c r="D11232" s="1" t="s">
        <v>22250</v>
      </c>
      <c r="E11232" s="1" t="str">
        <f ca="1">IFERROR(__xludf.DUMMYFUNCTION("GOOGLETRANSLATE(A8031 , ""tr"" , ""en"")"),"@drfahrettinkoca you can make your children in pain # cabinet")</f>
        <v>@drfahrettinkoca you can make your children in pain # cabinet</v>
      </c>
    </row>
    <row r="11233" spans="1:5" ht="15" customHeight="1" x14ac:dyDescent="0.2">
      <c r="A11233" s="1" t="s">
        <v>22251</v>
      </c>
      <c r="B11233" s="1">
        <v>4</v>
      </c>
      <c r="C11233" s="3">
        <v>44534.745208333334</v>
      </c>
      <c r="D11233" s="1" t="s">
        <v>22252</v>
      </c>
      <c r="E11233" s="1" t="str">
        <f ca="1">IFERROR(__xludf.DUMMYFUNCTION("GOOGLETRANSLATE(A8032 , ""tr"" , ""en"")"),"@drfahrettinkoca is masking while traveling no masks while eating everywhere. What is this pie contradiction Annne")</f>
        <v>@drfahrettinkoca is masking while traveling no masks while eating everywhere. What is this pie contradiction Annne</v>
      </c>
    </row>
    <row r="11234" spans="1:5" ht="15" customHeight="1" x14ac:dyDescent="0.2">
      <c r="A11234" s="1" t="s">
        <v>22253</v>
      </c>
      <c r="B11234" s="1">
        <v>0</v>
      </c>
      <c r="C11234" s="3">
        <v>44534.744942129626</v>
      </c>
      <c r="D11234" s="1" t="s">
        <v>22254</v>
      </c>
      <c r="E11234" s="1" t="str">
        <f ca="1">IFERROR(__xludf.DUMMYFUNCTION("GOOGLETRANSLATE(A8033 , ""tr"" , ""en"")"),"@drfahrettinkoca Mr. Ministry We stay in schools in schools until nightly")</f>
        <v>@drfahrettinkoca Mr. Ministry We stay in schools in schools until nightly</v>
      </c>
    </row>
    <row r="11235" spans="1:5" ht="15" customHeight="1" x14ac:dyDescent="0.2">
      <c r="A11235" s="1" t="s">
        <v>22255</v>
      </c>
      <c r="B11235" s="1">
        <v>0</v>
      </c>
      <c r="C11235" s="3">
        <v>44534.744826388887</v>
      </c>
      <c r="D11235" s="1" t="s">
        <v>22256</v>
      </c>
      <c r="E11235" s="1" t="str">
        <f ca="1">IFERROR(__xludf.DUMMYFUNCTION("GOOGLETRANSLATE(A8034 , ""tr"" , ""en"")"),"@drfahrettinkoca you have received Gene Saut's hands. Thoughts of the wife has the same food for 1 month or herself na ... https://t.co/9laopr1mud")</f>
        <v>@drfahrettinkoca you have received Gene Saut's hands. Thoughts of the wife has the same food for 1 month or herself na ... https://t.co/9laopr1mud</v>
      </c>
    </row>
    <row r="11236" spans="1:5" ht="15" customHeight="1" x14ac:dyDescent="0.2">
      <c r="A11236" s="1" t="s">
        <v>22257</v>
      </c>
      <c r="B11236" s="1">
        <v>0</v>
      </c>
      <c r="C11236" s="3">
        <v>44534.744780092595</v>
      </c>
      <c r="D11236" s="1" t="s">
        <v>22258</v>
      </c>
      <c r="E11236" s="1" t="str">
        <f ca="1">IFERROR(__xludf.DUMMYFUNCTION("GOOGLETRANSLATE(A8035 , ""tr"" , ""en"")"),"@drfahrettinkoca Mr. Ministry of Assignment What has been the word in November we did not explain the rooms in November")</f>
        <v>@drfahrettinkoca Mr. Ministry of Assignment What has been the word in November we did not explain the rooms in November</v>
      </c>
    </row>
    <row r="11237" spans="1:5" ht="15" customHeight="1" x14ac:dyDescent="0.2">
      <c r="A11237" s="1" t="s">
        <v>22259</v>
      </c>
      <c r="B11237" s="1">
        <v>0</v>
      </c>
      <c r="C11237" s="3">
        <v>44534.744513888887</v>
      </c>
      <c r="D11237" s="1" t="s">
        <v>22260</v>
      </c>
      <c r="E11237" s="1" t="str">
        <f ca="1">IFERROR(__xludf.DUMMYFUNCTION("GOOGLETRANSLATE(A8036 , ""tr"" , ""en"")"),"@drfahrettinkoca If the patient was your pineapple, the DEAL is the DEFT expert DR trail to DR trail? To you too 3 days of the week to us ... https://t.co/sjhcokhve3")</f>
        <v>@drfahrettinkoca If the patient was your pineapple, the DEAL is the DEFT expert DR trail to DR trail? To you too 3 days of the week to us ... https://t.co/sjhcokhve3</v>
      </c>
    </row>
    <row r="11238" spans="1:5" ht="15" customHeight="1" x14ac:dyDescent="0.2">
      <c r="A11238" s="1" t="s">
        <v>22261</v>
      </c>
      <c r="B11238" s="1">
        <v>0</v>
      </c>
      <c r="C11238" s="3">
        <v>44534.744201388887</v>
      </c>
      <c r="D11238" s="1" t="s">
        <v>22262</v>
      </c>
      <c r="E11238" s="1" t="str">
        <f ca="1">IFERROR(__xludf.DUMMYFUNCTION("GOOGLETRANSLATE(A8037 , ""tr"" , ""en"")"),"@drfahrettinkoca Sat you take out 😏")</f>
        <v>@drfahrettinkoca Sat you take out 😏</v>
      </c>
    </row>
    <row r="11239" spans="1:5" ht="15" customHeight="1" x14ac:dyDescent="0.2">
      <c r="A11239" s="1" t="s">
        <v>22263</v>
      </c>
      <c r="B11239" s="1">
        <v>15</v>
      </c>
      <c r="C11239" s="3">
        <v>44534.744097222225</v>
      </c>
      <c r="D11239" s="1" t="s">
        <v>22264</v>
      </c>
      <c r="E11239" s="1" t="str">
        <f ca="1">IFERROR(__xludf.DUMMYFUNCTION("GOOGLETRANSLATE(A8038 , ""tr"" , ""en"")"),"@drfahrettinkoca What you have told, open vaccines, define 5-11 years of age, ventilate schools, classes ... https://t.co/karib7bpx1")</f>
        <v>@drfahrettinkoca What you have told, open vaccines, define 5-11 years of age, ventilate schools, classes ... https://t.co/karib7bpx1</v>
      </c>
    </row>
    <row r="11240" spans="1:5" ht="15" customHeight="1" x14ac:dyDescent="0.2">
      <c r="A11240" s="1" t="s">
        <v>22265</v>
      </c>
      <c r="B11240" s="1">
        <v>1</v>
      </c>
      <c r="C11240" s="3">
        <v>44534.743587962963</v>
      </c>
      <c r="D11240" s="1" t="s">
        <v>22266</v>
      </c>
      <c r="E11240" s="1" t="str">
        <f ca="1">IFERROR(__xludf.DUMMYFUNCTION("GOOGLETRANSLATE(A8039 , ""tr"" , ""en"")"),"@drfahrettinkoca yes when you get home from kidslaaar school we wash our hands with at least 30 sec soap fingers iyic ... https://t.co/ls0xnl4nfm")</f>
        <v>@drfahrettinkoca yes when you get home from kidslaaar school we wash our hands with at least 30 sec soap fingers iyic ... https://t.co/ls0xnl4nfm</v>
      </c>
    </row>
    <row r="11241" spans="1:5" ht="15" customHeight="1" x14ac:dyDescent="0.2">
      <c r="A11241" s="1" t="s">
        <v>22247</v>
      </c>
      <c r="B11241" s="1">
        <v>1</v>
      </c>
      <c r="C11241" s="3">
        <v>44534.743518518517</v>
      </c>
      <c r="D11241" s="1" t="s">
        <v>22267</v>
      </c>
      <c r="E11241" s="1" t="str">
        <f ca="1">IFERROR(__xludf.DUMMYFUNCTION("GOOGLETRANSLATE(A8040 , ""tr"" , ""en"")"),"@drfahrettinkoca # Cabinethousonline")</f>
        <v>@drfahrettinkoca # Cabinethousonline</v>
      </c>
    </row>
    <row r="11242" spans="1:5" ht="15" customHeight="1" x14ac:dyDescent="0.2">
      <c r="A11242" s="1" t="s">
        <v>22268</v>
      </c>
      <c r="B11242" s="1">
        <v>0</v>
      </c>
      <c r="C11242" s="3">
        <v>44534.743425925924</v>
      </c>
      <c r="D11242" s="1" t="s">
        <v>22269</v>
      </c>
      <c r="E11242" s="1" t="str">
        <f ca="1">IFERROR(__xludf.DUMMYFUNCTION("GOOGLETRANSLATE(A8041 , ""tr"" , ""en"")"),"@drfahrettinkoca bi tell a day right")</f>
        <v>@drfahrettinkoca bi tell a day right</v>
      </c>
    </row>
    <row r="11243" spans="1:5" ht="15" customHeight="1" x14ac:dyDescent="0.2">
      <c r="A11243" s="1" t="s">
        <v>22270</v>
      </c>
      <c r="B11243" s="1">
        <v>0</v>
      </c>
      <c r="C11243" s="3">
        <v>44534.743252314816</v>
      </c>
      <c r="D11243" s="1" t="s">
        <v>22271</v>
      </c>
      <c r="E11243" s="1" t="str">
        <f ca="1">IFERROR(__xludf.DUMMYFUNCTION("GOOGLETRANSLATE(A8042 , ""tr"" , ""en"")"),"@drfahrettinkoca Assignment Guide Nerdeee")</f>
        <v>@drfahrettinkoca Assignment Guide Nerdeee</v>
      </c>
    </row>
    <row r="11244" spans="1:5" ht="15" customHeight="1" x14ac:dyDescent="0.2">
      <c r="A11244" s="1" t="s">
        <v>22272</v>
      </c>
      <c r="B11244" s="1">
        <v>28</v>
      </c>
      <c r="C11244" s="3">
        <v>44534.74322916667</v>
      </c>
      <c r="D11244" s="1" t="s">
        <v>22273</v>
      </c>
      <c r="E11244" s="1" t="str">
        <f ca="1">IFERROR(__xludf.DUMMYFUNCTION("GOOGLETRANSLATE(A8043 , ""tr"" , ""en"")"),"@drfahrettinkoca Kids How to Work in School Garden? They stop from the closed setting so far ... https://t.co/vm85tv25ux")</f>
        <v>@drfahrettinkoca Kids How to Work in School Garden? They stop from the closed setting so far ... https://t.co/vm85tv25ux</v>
      </c>
    </row>
    <row r="11245" spans="1:5" ht="15" customHeight="1" x14ac:dyDescent="0.2">
      <c r="A11245" s="1" t="s">
        <v>22274</v>
      </c>
      <c r="B11245" s="1">
        <v>0</v>
      </c>
      <c r="C11245" s="3">
        <v>44534.743159722224</v>
      </c>
      <c r="D11245" s="1" t="s">
        <v>22275</v>
      </c>
      <c r="E11245" s="1" t="str">
        <f ca="1">IFERROR(__xludf.DUMMYFUNCTION("GOOGLETRANSLATE(A8044 , ""tr"" , ""en"")"),"@drfahrettinkoca Look at the following table when we need to be opened by Halbuki.👇 @drfahrettinkoca @ rterdogan ... https://t.co/qkxnpsgrob")</f>
        <v>@drfahrettinkoca Look at the following table when we need to be opened by Halbuki.👇 @drfahrettinkoca @ rterdogan ... https://t.co/qkxnpsgrob</v>
      </c>
    </row>
    <row r="11246" spans="1:5" ht="15" customHeight="1" x14ac:dyDescent="0.2">
      <c r="A11246" s="1" t="s">
        <v>22276</v>
      </c>
      <c r="B11246" s="1">
        <v>4</v>
      </c>
      <c r="C11246" s="3">
        <v>44534.742743055554</v>
      </c>
      <c r="D11246" s="1" t="s">
        <v>22277</v>
      </c>
      <c r="E11246" s="1" t="str">
        <f ca="1">IFERROR(__xludf.DUMMYFUNCTION("GOOGLETRANSLATE(A8045 , ""tr"" , ""en"")"),"@drfahrettinkoca Mr. Mining Heavy Grip in my life I spent 1-2 times in my life and the method we know without going to the hospital ... https://t.co/ujmuus4xtp")</f>
        <v>@drfahrettinkoca Mr. Mining Heavy Grip in my life I spent 1-2 times in my life and the method we know without going to the hospital ... https://t.co/ujmuus4xtp</v>
      </c>
    </row>
    <row r="11247" spans="1:5" ht="15" customHeight="1" x14ac:dyDescent="0.2">
      <c r="A11247" s="1" t="s">
        <v>22278</v>
      </c>
      <c r="B11247" s="1">
        <v>29</v>
      </c>
      <c r="C11247" s="3">
        <v>44534.742592592593</v>
      </c>
      <c r="D11247" s="1" t="s">
        <v>22279</v>
      </c>
      <c r="E11247" s="1" t="str">
        <f ca="1">IFERROR(__xludf.DUMMYFUNCTION("GOOGLETRANSLATE(A8046 , ""tr"" , ""en"")"),"@drfahrettinkoca we ventilate closed areas and wear masks in the cool area. This is the Black Comedy this need. https://t.co/p2wp20h9kn")</f>
        <v>@drfahrettinkoca we ventilate closed areas and wear masks in the cool area. This is the Black Comedy this need. https://t.co/p2wp20h9kn</v>
      </c>
    </row>
    <row r="11248" spans="1:5" ht="15" customHeight="1" x14ac:dyDescent="0.2">
      <c r="A11248" s="1" t="s">
        <v>22280</v>
      </c>
      <c r="B11248" s="1">
        <v>0</v>
      </c>
      <c r="C11248" s="3">
        <v>44534.74255787037</v>
      </c>
      <c r="D11248" s="1" t="s">
        <v>22281</v>
      </c>
      <c r="E11248" s="1" t="str">
        <f ca="1">IFERROR(__xludf.DUMMYFUNCTION("GOOGLETRANSLATE(A8047 , ""tr"" , ""en"")"),"@drfahrettinkoca is how the intensive care specialist is how it is 2 months leave expendable to guards ?? Still Ank City Has ... https://t.co/0f9tcuc4jo")</f>
        <v>@drfahrettinkoca is how the intensive care specialist is how it is 2 months leave expendable to guards ?? Still Ank City Has ... https://t.co/0f9tcuc4jo</v>
      </c>
    </row>
    <row r="11249" spans="1:5" ht="15" customHeight="1" x14ac:dyDescent="0.2">
      <c r="A11249" s="1" t="s">
        <v>22282</v>
      </c>
      <c r="B11249" s="1">
        <v>0</v>
      </c>
      <c r="C11249" s="3">
        <v>44534.742002314815</v>
      </c>
      <c r="D11249" s="1" t="s">
        <v>22283</v>
      </c>
      <c r="E11249" s="1" t="str">
        <f ca="1">IFERROR(__xludf.DUMMYFUNCTION("GOOGLETRANSLATE(A8048 , ""tr"" , ""en"")"),"@drfahrettinkoca Our table of internal decision-to-type. 👇 @drfahrettinkoca @rterdogan # HEALERSHIP HTTPS://T.CO/CSFR3G3WHF")</f>
        <v>@drfahrettinkoca Our table of internal decision-to-type. 👇 @drfahrettinkoca @rterdogan # HEALERSHIP HTTPS://T.CO/CSFR3G3WHF</v>
      </c>
    </row>
    <row r="11250" spans="1:5" ht="15" customHeight="1" x14ac:dyDescent="0.2">
      <c r="A11250" s="1" t="s">
        <v>22284</v>
      </c>
      <c r="B11250" s="1">
        <v>0</v>
      </c>
      <c r="C11250" s="3">
        <v>44534.741666666669</v>
      </c>
      <c r="D11250" s="1" t="s">
        <v>22285</v>
      </c>
      <c r="E11250" s="1" t="str">
        <f ca="1">IFERROR(__xludf.DUMMYFUNCTION("GOOGLETRANSLATE(A8049 , ""tr"" , ""en"")"),"@drfahrettinkoca LAFIN has introduced the vaccine to the end")</f>
        <v>@drfahrettinkoca LAFIN has introduced the vaccine to the end</v>
      </c>
    </row>
    <row r="11251" spans="1:5" ht="15" customHeight="1" x14ac:dyDescent="0.2">
      <c r="A11251" s="1" t="s">
        <v>16035</v>
      </c>
      <c r="B11251" s="1">
        <v>0</v>
      </c>
      <c r="C11251" s="3">
        <v>44534.741423611114</v>
      </c>
      <c r="D11251" s="1" t="s">
        <v>22286</v>
      </c>
      <c r="E11251" s="1" t="str">
        <f ca="1">IFERROR(__xludf.DUMMYFUNCTION("GOOGLETRANSLATE(A8050 , ""tr"" , ""en"")"),"@drfahrettinkoca geese ate their new feed with appetite. https://t.co/3aiihmqbzgr")</f>
        <v>@drfahrettinkoca geese ate their new feed with appetite. https://t.co/3aiihmqbzgr</v>
      </c>
    </row>
    <row r="11252" spans="1:5" ht="15" customHeight="1" x14ac:dyDescent="0.2">
      <c r="A11252" s="1" t="s">
        <v>22287</v>
      </c>
      <c r="B11252" s="1">
        <v>5</v>
      </c>
      <c r="C11252" s="3">
        <v>44534.741284722222</v>
      </c>
      <c r="D11252" s="1" t="s">
        <v>22288</v>
      </c>
      <c r="E11252" s="1" t="str">
        <f ca="1">IFERROR(__xludf.DUMMYFUNCTION("GOOGLETRANSLATE(A8051 , ""tr"" , ""en"")"),"@drfahrettinkoca Cleaning When you say measures? Stay away from the enclosed setting? What conscience is in your sake of God ... https://t.co/ajs60cjrzb")</f>
        <v>@drfahrettinkoca Cleaning When you say measures? Stay away from the enclosed setting? What conscience is in your sake of God ... https://t.co/ajs60cjrzb</v>
      </c>
    </row>
    <row r="11253" spans="1:5" ht="15" customHeight="1" x14ac:dyDescent="0.2">
      <c r="A11253" s="1" t="s">
        <v>22289</v>
      </c>
      <c r="B11253" s="1">
        <v>0</v>
      </c>
      <c r="C11253" s="3">
        <v>44534.741180555553</v>
      </c>
      <c r="D11253" s="1" t="s">
        <v>22290</v>
      </c>
      <c r="E11253" s="1" t="str">
        <f ca="1">IFERROR(__xludf.DUMMYFUNCTION("GOOGLETRANSLATE(A8052 , ""tr"" , ""en"")"),"@drfahrettinkoca sn.Bakan vaccine range times are slightly abbreviated? 2 dose snovac +1 dose biontect ones, 6 ssen ... https://t.co/osslelul0r")</f>
        <v>@drfahrettinkoca sn.Bakan vaccine range times are slightly abbreviated? 2 dose snovac +1 dose biontect ones, 6 ssen ... https://t.co/osslelul0r</v>
      </c>
    </row>
    <row r="11254" spans="1:5" ht="15" customHeight="1" x14ac:dyDescent="0.2">
      <c r="A11254" s="1" t="s">
        <v>22291</v>
      </c>
      <c r="B11254" s="1">
        <v>3</v>
      </c>
      <c r="C11254" s="3">
        <v>44534.74114583333</v>
      </c>
      <c r="D11254" s="1" t="s">
        <v>22292</v>
      </c>
      <c r="E11254" s="1" t="str">
        <f ca="1">IFERROR(__xludf.DUMMYFUNCTION("GOOGLETRANSLATE(A8053 , ""tr"" , ""en"")"),"@drfahrettinkoca Health Management Graduates are not assigned to the title of their title even if KPSSDEN 100 Alsa. Health Direct ... https://t.co/jmlqbn286I")</f>
        <v>@drfahrettinkoca Health Management Graduates are not assigned to the title of their title even if KPSSDEN 100 Alsa. Health Direct ... https://t.co/jmlqbn286I</v>
      </c>
    </row>
    <row r="11255" spans="1:5" ht="15" customHeight="1" x14ac:dyDescent="0.2">
      <c r="A11255" s="1" t="s">
        <v>22293</v>
      </c>
      <c r="B11255" s="1">
        <v>1</v>
      </c>
      <c r="C11255" s="3">
        <v>44534.741099537037</v>
      </c>
      <c r="D11255" s="1" t="s">
        <v>22294</v>
      </c>
      <c r="E11255" s="1" t="str">
        <f ca="1">IFERROR(__xludf.DUMMYFUNCTION("GOOGLETRANSLATE(A8054 , ""tr"" , ""en"")"),"@drfahrettinkoca guide where is the minister ??????. @drfahrettinkoca @rterdogan # Health Player HTTPS://T.CO/CSFR3G3WHF")</f>
        <v>@drfahrettinkoca guide where is the minister ??????. @drfahrettinkoca @rterdogan # Health Player HTTPS://T.CO/CSFR3G3WHF</v>
      </c>
    </row>
    <row r="11256" spans="1:5" ht="15" customHeight="1" x14ac:dyDescent="0.2">
      <c r="A11256" s="1" t="s">
        <v>22295</v>
      </c>
      <c r="B11256" s="1">
        <v>0</v>
      </c>
      <c r="C11256" s="3">
        <v>44534.740729166668</v>
      </c>
      <c r="D11256" s="1" t="s">
        <v>22296</v>
      </c>
      <c r="E11256" s="1" t="str">
        <f ca="1">IFERROR(__xludf.DUMMYFUNCTION("GOOGLETRANSLATE(A8055 , ""tr"" , ""en"")"),"@drfahrettinkoca Your mind is out, Dr. From the nurses, from the nurses, health workers etc. I've ever been to your mind, h ... https://t.co/d2cpsvaoa3")</f>
        <v>@drfahrettinkoca Your mind is out, Dr. From the nurses, from the nurses, health workers etc. I've ever been to your mind, h ... https://t.co/d2cpsvaoa3</v>
      </c>
    </row>
    <row r="11257" spans="1:5" ht="15" customHeight="1" x14ac:dyDescent="0.2">
      <c r="A11257" s="1" t="s">
        <v>22297</v>
      </c>
      <c r="B11257" s="1">
        <v>1</v>
      </c>
      <c r="C11257" s="3">
        <v>44534.740706018521</v>
      </c>
      <c r="D11257" s="1" t="s">
        <v>22298</v>
      </c>
      <c r="E11257" s="1" t="str">
        <f ca="1">IFERROR(__xludf.DUMMYFUNCTION("GOOGLETRANSLATE(A8056 , ""tr"" , ""en"")"),"@drfahrettinkoca has many other maps you need to be very urgent. @drfahrettinkoca 👇 @ rterdogan ... https://t.co/yqbuk1tm1c")</f>
        <v>@drfahrettinkoca has many other maps you need to be very urgent. @drfahrettinkoca 👇 @ rterdogan ... https://t.co/yqbuk1tm1c</v>
      </c>
    </row>
    <row r="11258" spans="1:5" ht="15" customHeight="1" x14ac:dyDescent="0.2">
      <c r="A11258" s="1" t="s">
        <v>22299</v>
      </c>
      <c r="B11258" s="1">
        <v>0</v>
      </c>
      <c r="C11258" s="3">
        <v>44534.740486111114</v>
      </c>
      <c r="D11258" s="1" t="s">
        <v>22300</v>
      </c>
      <c r="E11258" s="1" t="str">
        <f ca="1">IFERROR(__xludf.DUMMYFUNCTION("GOOGLETRANSLATE(A8057 , ""tr"" , ""en"")"),"@drfahrettinkoca ""Book your vaccine"" We have to make our vaccinations of ""embrivacity"" to the discourse is also a positive come ... https://t.co/xghjdbxufe")</f>
        <v>@drfahrettinkoca "Book your vaccine" We have to make our vaccinations of "embrivacity" to the discourse is also a positive come ... https://t.co/xghjdbxufe</v>
      </c>
    </row>
    <row r="11259" spans="1:5" ht="15" customHeight="1" x14ac:dyDescent="0.2">
      <c r="A11259" s="1" t="s">
        <v>22301</v>
      </c>
      <c r="B11259" s="1">
        <v>0</v>
      </c>
      <c r="C11259" s="3">
        <v>44534.740474537037</v>
      </c>
      <c r="D11259" s="1" t="s">
        <v>22302</v>
      </c>
      <c r="E11259" s="1" t="str">
        <f ca="1">IFERROR(__xludf.DUMMYFUNCTION("GOOGLETRANSLATE(A8058 , ""tr"" , ""en"")"),"@drfahrettinka is being variant with vaccines and this vicious cycle can ever be asked if you are never finished?")</f>
        <v>@drfahrettinka is being variant with vaccines and this vicious cycle can ever be asked if you are never finished?</v>
      </c>
    </row>
    <row r="11260" spans="1:5" ht="15" customHeight="1" x14ac:dyDescent="0.2">
      <c r="A11260" s="1" t="s">
        <v>22303</v>
      </c>
      <c r="B11260" s="1">
        <v>0</v>
      </c>
      <c r="C11260" s="3">
        <v>44534.74013888889</v>
      </c>
      <c r="D11260" s="1" t="s">
        <v>22304</v>
      </c>
      <c r="E11260" s="1" t="str">
        <f ca="1">IFERROR(__xludf.DUMMYFUNCTION("GOOGLETRANSLATE(A8059 , ""tr"" , ""en"")"),"@drfahrettinkoca You are also interested in yours now !!! Health Ministry @drfahrettinkoca 👇 @ rterdogan ... https://t.co/kgb1duiyup")</f>
        <v>@drfahrettinkoca You are also interested in yours now !!! Health Ministry @drfahrettinkoca 👇 @ rterdogan ... https://t.co/kgb1duiyup</v>
      </c>
    </row>
    <row r="11261" spans="1:5" ht="15" customHeight="1" x14ac:dyDescent="0.2">
      <c r="A11261" s="1" t="s">
        <v>22305</v>
      </c>
      <c r="B11261" s="1">
        <v>0</v>
      </c>
      <c r="C11261" s="3">
        <v>44534.739606481482</v>
      </c>
      <c r="D11261" s="1" t="s">
        <v>22306</v>
      </c>
      <c r="E11261" s="1" t="str">
        <f ca="1">IFERROR(__xludf.DUMMYFUNCTION("GOOGLETRANSLATE(A8060 , ""tr"" , ""en"")"),"@drfahrettinkoca Old Care Houses have to be checked frequently, then Mr. Minister side by side in airless environments ... https://t.co/kafs17qczj")</f>
        <v>@drfahrettinkoca Old Care Houses have to be checked frequently, then Mr. Minister side by side in airless environments ... https://t.co/kafs17qczj</v>
      </c>
    </row>
    <row r="11262" spans="1:5" ht="15" customHeight="1" x14ac:dyDescent="0.2">
      <c r="A11262" s="1" t="s">
        <v>22307</v>
      </c>
      <c r="B11262" s="1">
        <v>0</v>
      </c>
      <c r="C11262" s="3">
        <v>44534.739525462966</v>
      </c>
      <c r="D11262" s="1" t="s">
        <v>22308</v>
      </c>
      <c r="E11262" s="1" t="str">
        <f ca="1">IFERROR(__xludf.DUMMYFUNCTION("GOOGLETRANSLATE(A8061 , ""tr"" , ""en"")"),"@drfahrettinkoca Write a table of lies in 30 thousands of cases in winter 20 thousand gele believe either")</f>
        <v>@drfahrettinkoca Write a table of lies in 30 thousands of cases in winter 20 thousand gele believe either</v>
      </c>
    </row>
    <row r="11263" spans="1:5" ht="15" customHeight="1" x14ac:dyDescent="0.2">
      <c r="A11263" s="1" t="s">
        <v>22309</v>
      </c>
      <c r="B11263" s="1">
        <v>0</v>
      </c>
      <c r="C11263" s="3">
        <v>44534.73951388889</v>
      </c>
      <c r="D11263" s="1" t="s">
        <v>22310</v>
      </c>
      <c r="E11263" s="1" t="str">
        <f ca="1">IFERROR(__xludf.DUMMYFUNCTION("GOOGLETRANSLATE(A8062 , ""tr"" , ""en"")"),"@drfahrettinkoca We have made all our vaccines from the jaundice to Tetanus Hocam is comfortable Bide Bide The following biontech vaccine license ... https://t.co/ujhzvbed54")</f>
        <v>@drfahrettinkoca We have made all our vaccines from the jaundice to Tetanus Hocam is comfortable Bide Bide The following biontech vaccine license ... https://t.co/ujhzvbed54</v>
      </c>
    </row>
    <row r="11264" spans="1:5" ht="15" customHeight="1" x14ac:dyDescent="0.2">
      <c r="A11264" s="1" t="s">
        <v>22311</v>
      </c>
      <c r="B11264" s="1">
        <v>0</v>
      </c>
      <c r="C11264" s="3">
        <v>44534.739189814813</v>
      </c>
      <c r="D11264" s="1" t="s">
        <v>22312</v>
      </c>
      <c r="E11264" s="1" t="str">
        <f ca="1">IFERROR(__xludf.DUMMYFUNCTION("GOOGLETRANSLATE(A8063 , ""tr"" , ""en"")"),"@drfahrettinkoca is not more colorless than the current map ???????? 👇 @drfahrettinkoca @ rterdogan ... https://t.co/EECHIIRCZY")</f>
        <v>@drfahrettinkoca is not more colorless than the current map ???????? 👇 @drfahrettinkoca @ rterdogan ... https://t.co/EECHIIRCZY</v>
      </c>
    </row>
    <row r="11265" spans="1:5" ht="15" customHeight="1" x14ac:dyDescent="0.2">
      <c r="A11265" s="1" t="s">
        <v>22313</v>
      </c>
      <c r="B11265" s="1">
        <v>1</v>
      </c>
      <c r="C11265" s="3">
        <v>44534.73914351852</v>
      </c>
      <c r="D11265" s="1" t="s">
        <v>22314</v>
      </c>
      <c r="E11265" s="1" t="str">
        <f ca="1">IFERROR(__xludf.DUMMYFUNCTION("GOOGLETRANSLATE(A8064 , ""tr"" , ""en"")"),"@drfahrettinkoca Kis In the season, the risks of patients and flu style infection increases during the season. This is Yuzyils Boyle ... https://t.co/rkhrolddvt")</f>
        <v>@drfahrettinkoca Kis In the season, the risks of patients and flu style infection increases during the season. This is Yuzyils Boyle ... https://t.co/rkhrolddvt</v>
      </c>
    </row>
    <row r="11266" spans="1:5" ht="15" customHeight="1" x14ac:dyDescent="0.2">
      <c r="A11266" s="1" t="s">
        <v>22315</v>
      </c>
      <c r="B11266" s="1">
        <v>29</v>
      </c>
      <c r="C11266" s="3">
        <v>44534.73878472222</v>
      </c>
      <c r="D11266" s="1" t="s">
        <v>22316</v>
      </c>
      <c r="E11266" s="1" t="str">
        <f ca="1">IFERROR(__xludf.DUMMYFUNCTION("GOOGLETRANSLATE(A8065 , ""tr"" , ""en"")"),"@drfahrettinkoca # Cabinetbowonlineliklinelişlızlinlızlı Hurda Social Distance Stands.")</f>
        <v>@drfahrettinkoca # Cabinetbowonlineliklinelişlızlinlızlı Hurda Social Distance Stands.</v>
      </c>
    </row>
    <row r="11267" spans="1:5" ht="15" customHeight="1" x14ac:dyDescent="0.2">
      <c r="A11267" s="1" t="s">
        <v>22317</v>
      </c>
      <c r="B11267" s="1">
        <v>3</v>
      </c>
      <c r="C11267" s="3">
        <v>44534.738541666666</v>
      </c>
      <c r="D11267" s="1" t="s">
        <v>22318</v>
      </c>
      <c r="E11267" s="1" t="str">
        <f ca="1">IFERROR(__xludf.DUMMYFUNCTION("GOOGLETRANSLATE(A8066 , ""tr"" , ""en"")"),"@drfahrettinkoca Health Management waiting for duty and job description @RterDogan @drfahrettinkoca @ drrecepakdag ... https://t.co/sertf9f8m5")</f>
        <v>@drfahrettinkoca Health Management waiting for duty and job description @RterDogan @drfahrettinkoca @ drrecepakdag ... https://t.co/sertf9f8m5</v>
      </c>
    </row>
    <row r="11268" spans="1:5" ht="15" customHeight="1" x14ac:dyDescent="0.2">
      <c r="A11268" s="1" t="s">
        <v>22319</v>
      </c>
      <c r="B11268" s="1">
        <v>0</v>
      </c>
      <c r="C11268" s="3">
        <v>44534.738379629627</v>
      </c>
      <c r="D11268" s="1" t="s">
        <v>22320</v>
      </c>
      <c r="E11268" s="1" t="str">
        <f ca="1">IFERROR(__xludf.DUMMYFUNCTION("GOOGLETRANSLATE(A8067 , ""tr"" , ""en"")"),"@drfahrettinkca In other maps you need to be interested in @drfahrettinkoca @rterdogan # Healthcovered Https://t.co/csfr3g3whf")</f>
        <v>@drfahrettinkca In other maps you need to be interested in @drfahrettinkoca @rterdogan # Healthcovered Https://t.co/csfr3g3whf</v>
      </c>
    </row>
    <row r="11269" spans="1:5" ht="15" customHeight="1" x14ac:dyDescent="0.2">
      <c r="A11269" s="1" t="s">
        <v>22321</v>
      </c>
      <c r="B11269" s="1">
        <v>17</v>
      </c>
      <c r="C11269" s="3">
        <v>44534.738356481481</v>
      </c>
      <c r="D11269" s="1" t="s">
        <v>22322</v>
      </c>
      <c r="E11269" s="1" t="str">
        <f ca="1">IFERROR(__xludf.DUMMYFUNCTION("GOOGLETRANSLATE(A8068 , ""tr"" , ""en"")"),"@drfahrettinkoca We are not satisfied with us to touch us !! We went to normal life a year ago yes oxygen and vitamin D ... https://t.co/lagkwrrt0x")</f>
        <v>@drfahrettinkoca We are not satisfied with us to touch us !! We went to normal life a year ago yes oxygen and vitamin D ... https://t.co/lagkwrrt0x</v>
      </c>
    </row>
    <row r="11270" spans="1:5" ht="15" customHeight="1" x14ac:dyDescent="0.2">
      <c r="A11270" s="1" t="s">
        <v>22323</v>
      </c>
      <c r="B11270" s="1">
        <v>4</v>
      </c>
      <c r="C11270" s="3">
        <v>44534.738229166665</v>
      </c>
      <c r="D11270" s="1" t="s">
        <v>22324</v>
      </c>
      <c r="E11270" s="1" t="str">
        <f ca="1">IFERROR(__xludf.DUMMYFUNCTION("GOOGLETRANSLATE(A8069 , ""tr"" , ""en"")"),"@drfahrettinkoca Ministry See also Saglia Management section, we have been struggled for years, if we have been not to be the effort a ... https://t.co/zzkfo8ck6n")</f>
        <v>@drfahrettinkoca Ministry See also Saglia Management section, we have been struggled for years, if we have been not to be the effort a ... https://t.co/zzkfo8ck6n</v>
      </c>
    </row>
    <row r="11271" spans="1:5" ht="15" customHeight="1" x14ac:dyDescent="0.2">
      <c r="A11271" s="1" t="s">
        <v>22325</v>
      </c>
      <c r="B11271" s="1">
        <v>0</v>
      </c>
      <c r="C11271" s="3">
        <v>44534.737476851849</v>
      </c>
      <c r="D11271" s="1" t="s">
        <v>22326</v>
      </c>
      <c r="E11271" s="1" t="str">
        <f ca="1">IFERROR(__xludf.DUMMYFUNCTION("GOOGLETRANSLATE(A8070 , ""tr"" , ""en"")"),"@drfahrettinkoca Your hand is worth the following map when I'm coloring? @drfahrettinkoca @ rterdogan ... https://t.co/ibtcgb3vqc")</f>
        <v>@drfahrettinkoca Your hand is worth the following map when I'm coloring? @drfahrettinkoca @ rterdogan ... https://t.co/ibtcgb3vqc</v>
      </c>
    </row>
    <row r="11272" spans="1:5" ht="15" customHeight="1" x14ac:dyDescent="0.2">
      <c r="A11272" s="1" t="s">
        <v>22327</v>
      </c>
      <c r="B11272" s="1">
        <v>4</v>
      </c>
      <c r="C11272" s="3">
        <v>44534.737210648149</v>
      </c>
      <c r="D11272" s="1" t="s">
        <v>22328</v>
      </c>
      <c r="E11272" s="1" t="str">
        <f ca="1">IFERROR(__xludf.DUMMYFUNCTION("GOOGLETRANSLATE(A8071 , ""tr"" , ""en"")"),"@drfahrettinkoca Winter Indoor Fields Crowds Risky Yes @tcmeb When do you realize this realizing? How many more can g ... https://t.co/1xn2ki0tf")</f>
        <v>@drfahrettinkoca Winter Indoor Fields Crowds Risky Yes @tcmeb When do you realize this realizing? How many more can g ... https://t.co/1xn2ki0tf</v>
      </c>
    </row>
    <row r="11273" spans="1:5" ht="15" customHeight="1" x14ac:dyDescent="0.2">
      <c r="A11273" s="1" t="s">
        <v>22329</v>
      </c>
      <c r="B11273" s="1">
        <v>2</v>
      </c>
      <c r="C11273" s="3">
        <v>44534.73709490741</v>
      </c>
      <c r="D11273" s="1" t="s">
        <v>22330</v>
      </c>
      <c r="E11273" s="1" t="str">
        <f ca="1">IFERROR(__xludf.DUMMYFUNCTION("GOOGLETRANSLATE(A8072 , ""tr"" , ""en"")"),"@drfahrettinkoca AMAN HA Do not take oxygen The carbon dioxide has left the carbon dioxide, if no one is outbreaking .Maske ... https://t.co/wyn91ziioo")</f>
        <v>@drfahrettinkoca AMAN HA Do not take oxygen The carbon dioxide has left the carbon dioxide, if no one is outbreaking .Maske ... https://t.co/wyn91ziioo</v>
      </c>
    </row>
    <row r="11274" spans="1:5" ht="15" customHeight="1" x14ac:dyDescent="0.2">
      <c r="A11274" s="1" t="s">
        <v>22331</v>
      </c>
      <c r="B11274" s="1">
        <v>0</v>
      </c>
      <c r="C11274" s="3">
        <v>44534.736840277779</v>
      </c>
      <c r="D11274" s="1" t="s">
        <v>22332</v>
      </c>
      <c r="E11274" s="1" t="str">
        <f ca="1">IFERROR(__xludf.DUMMYFUNCTION("GOOGLETRANSLATE(A8073 , ""tr"" , ""en"")"),"@drfahrettinkoca closed areas long surly (schools are acik airplaces: D)")</f>
        <v>@drfahrettinkoca closed areas long surly (schools are acik airplaces: D)</v>
      </c>
    </row>
    <row r="11275" spans="1:5" ht="15" customHeight="1" x14ac:dyDescent="0.2">
      <c r="A11275" s="1" t="s">
        <v>22333</v>
      </c>
      <c r="B11275" s="1">
        <v>0</v>
      </c>
      <c r="C11275" s="3">
        <v>44534.736724537041</v>
      </c>
      <c r="D11275" s="1" t="s">
        <v>22334</v>
      </c>
      <c r="E11275" s="1" t="str">
        <f ca="1">IFERROR(__xludf.DUMMYFUNCTION("GOOGLETRANSLATE(A8074 , ""tr"" , ""en"")"),"@drfahrettinkoca I'm traveling from Istanbul to Ankaraya with the right train.")</f>
        <v>@drfahrettinkoca I'm traveling from Istanbul to Ankaraya with the right train.</v>
      </c>
    </row>
    <row r="11276" spans="1:5" ht="15" customHeight="1" x14ac:dyDescent="0.2">
      <c r="A11276" s="1" t="s">
        <v>22335</v>
      </c>
      <c r="B11276" s="1">
        <v>2</v>
      </c>
      <c r="C11276" s="3">
        <v>44534.736666666664</v>
      </c>
      <c r="D11276" s="1" t="s">
        <v>22336</v>
      </c>
      <c r="E11276" s="1" t="str">
        <f ca="1">IFERROR(__xludf.DUMMYFUNCTION("GOOGLETRANSLATE(A8075 , ""tr"" , ""en"")"),"@drfahrettinkoca Health Advertisement of Graduates who want to perform his own profession, A ... HTTPS://T.CO/IND6DBALFR")</f>
        <v>@drfahrettinkoca Health Advertisement of Graduates who want to perform his own profession, A ... HTTPS://T.CO/IND6DBALFR</v>
      </c>
    </row>
    <row r="11277" spans="1:5" ht="15" customHeight="1" x14ac:dyDescent="0.2">
      <c r="A11277" s="1" t="s">
        <v>18602</v>
      </c>
      <c r="B11277" s="1">
        <v>11</v>
      </c>
      <c r="C11277" s="3">
        <v>44534.736655092594</v>
      </c>
      <c r="D11277" s="1" t="s">
        <v>22337</v>
      </c>
      <c r="E11277" s="1" t="str">
        <f ca="1">IFERROR(__xludf.DUMMYFUNCTION("GOOGLETRANSLATE(A8076 , ""tr"" , ""en"")"),"@drfahrettinkoca #kabinezkusagionlineline")</f>
        <v>@drfahrettinkoca #kabinezkusagionlineline</v>
      </c>
    </row>
    <row r="11278" spans="1:5" ht="15" customHeight="1" x14ac:dyDescent="0.2">
      <c r="A11278" s="1" t="s">
        <v>22338</v>
      </c>
      <c r="B11278" s="1">
        <v>8</v>
      </c>
      <c r="C11278" s="3">
        <v>44534.736631944441</v>
      </c>
      <c r="D11278" s="1" t="s">
        <v>22339</v>
      </c>
      <c r="E11278" s="1" t="str">
        <f ca="1">IFERROR(__xludf.DUMMYFUNCTION("GOOGLETRANSLATE(A8077 , ""tr"" , ""en"")"),"@drfahrettinkoca University at 70 people at 70 people at 70 people with no problem except to see a block of blocks. HTTPS://T.CO/T4V7EAHNIF")</f>
        <v>@drfahrettinkoca University at 70 people at 70 people at 70 people with no problem except to see a block of blocks. HTTPS://T.CO/T4V7EAHNIF</v>
      </c>
    </row>
    <row r="11279" spans="1:5" ht="15" customHeight="1" x14ac:dyDescent="0.2">
      <c r="A11279" s="1" t="s">
        <v>22340</v>
      </c>
      <c r="B11279" s="1">
        <v>0</v>
      </c>
      <c r="C11279" s="3">
        <v>44534.736516203702</v>
      </c>
      <c r="D11279" s="1" t="s">
        <v>22341</v>
      </c>
      <c r="E11279" s="1" t="str">
        <f ca="1">IFERROR(__xludf.DUMMYFUNCTION("GOOGLETRANSLATE(A8078 , ""tr"" , ""en"")"),"@drfahrettinkoca Minister Mavilesek @drfahrettinkoca @rterdogan # Healthcovered https://t.co/csfr3g3whf")</f>
        <v>@drfahrettinkoca Minister Mavilesek @drfahrettinkoca @rterdogan # Healthcovered https://t.co/csfr3g3whf</v>
      </c>
    </row>
    <row r="11280" spans="1:5" ht="15" customHeight="1" x14ac:dyDescent="0.2">
      <c r="A11280" s="1" t="s">
        <v>22342</v>
      </c>
      <c r="B11280" s="1">
        <v>6</v>
      </c>
      <c r="C11280" s="3">
        <v>44534.736493055556</v>
      </c>
      <c r="D11280" s="1" t="s">
        <v>22343</v>
      </c>
      <c r="E11280" s="1" t="str">
        <f ca="1">IFERROR(__xludf.DUMMYFUNCTION("GOOGLETRANSLATE(A8079 , ""tr"" , ""en"")"),"@drfahrettinkoca please don't stop vaccine 😉 https://t.co/I3st5mp8cm")</f>
        <v>@drfahrettinkoca please don't stop vaccine 😉 https://t.co/I3st5mp8cm</v>
      </c>
    </row>
    <row r="11281" spans="1:5" ht="15" customHeight="1" x14ac:dyDescent="0.2">
      <c r="A11281" s="1" t="s">
        <v>22344</v>
      </c>
      <c r="B11281" s="1">
        <v>5</v>
      </c>
      <c r="C11281" s="3">
        <v>44534.736435185187</v>
      </c>
      <c r="D11281" s="1" t="s">
        <v>22345</v>
      </c>
      <c r="E11281" s="1" t="str">
        <f ca="1">IFERROR(__xludf.DUMMYFUNCTION("GOOGLETRANSLATE(A8080 , ""tr"" , ""en"")"),"@drfahrettinkoca Health Management Department has been an existing fact for 58 years. Health Management Graduates for 58 years ... https://t.co/rcwbj557rw")</f>
        <v>@drfahrettinkoca Health Management Department has been an existing fact for 58 years. Health Management Graduates for 58 years ... https://t.co/rcwbj557rw</v>
      </c>
    </row>
    <row r="11282" spans="1:5" ht="15" customHeight="1" x14ac:dyDescent="0.2">
      <c r="A11282" s="1" t="s">
        <v>22346</v>
      </c>
      <c r="B11282" s="1">
        <v>54</v>
      </c>
      <c r="C11282" s="3">
        <v>44534.73642361111</v>
      </c>
      <c r="D11282" s="1" t="s">
        <v>22347</v>
      </c>
      <c r="E11282" s="1" t="str">
        <f ca="1">IFERROR(__xludf.DUMMYFUNCTION("GOOGLETRANSLATE(A8081 , ""tr"" , ""en"")"),"@drfahrettinkoca Ha TURKS figures, HA Health Ministry figures. 2 years, society maybe everyone's disease pate ... https://t.co/qec4eacxpo")</f>
        <v>@drfahrettinkoca Ha TURKS figures, HA Health Ministry figures. 2 years, society maybe everyone's disease pate ... https://t.co/qec4eacxpo</v>
      </c>
    </row>
    <row r="11283" spans="1:5" ht="15" customHeight="1" x14ac:dyDescent="0.2">
      <c r="A11283" s="1" t="s">
        <v>22348</v>
      </c>
      <c r="B11283" s="1">
        <v>1</v>
      </c>
      <c r="C11283" s="3">
        <v>44534.736168981479</v>
      </c>
      <c r="D11283" s="1" t="s">
        <v>22349</v>
      </c>
      <c r="E11283" s="1" t="str">
        <f ca="1">IFERROR(__xludf.DUMMYFUNCTION("GOOGLETRANSLATE(A8082 , ""tr"" , ""en"")"),"@drfahrettinkoca Launch 5-11 Age Vaccination Now how to protect our children outgoing our children out of the vaccine Well? ... https://t.co/fqhbfoy5hl")</f>
        <v>@drfahrettinkoca Launch 5-11 Age Vaccination Now how to protect our children outgoing our children out of the vaccine Well? ... https://t.co/fqhbfoy5hl</v>
      </c>
    </row>
    <row r="11284" spans="1:5" ht="15" customHeight="1" x14ac:dyDescent="0.2">
      <c r="A11284" s="1" t="s">
        <v>22350</v>
      </c>
      <c r="B11284" s="1">
        <v>5</v>
      </c>
      <c r="C11284" s="3">
        <v>44534.736076388886</v>
      </c>
      <c r="D11284" s="1" t="s">
        <v>22351</v>
      </c>
      <c r="E11284" s="1" t="str">
        <f ca="1">IFERROR(__xludf.DUMMYFUNCTION("GOOGLETRANSLATE(A8083 , ""tr"" , ""en"")"),"@drfahrettinkoca we should not be found in closed areas and crowds in winter season yes but you should forward this to us @tcmeb!")</f>
        <v>@drfahrettinkoca we should not be found in closed areas and crowds in winter season yes but you should forward this to us @tcmeb!</v>
      </c>
    </row>
    <row r="11285" spans="1:5" ht="15" customHeight="1" x14ac:dyDescent="0.2">
      <c r="A11285" s="1" t="s">
        <v>22352</v>
      </c>
      <c r="B11285" s="1">
        <v>0</v>
      </c>
      <c r="C11285" s="3">
        <v>44534.735810185186</v>
      </c>
      <c r="D11285" s="1" t="s">
        <v>22353</v>
      </c>
      <c r="E11285" s="1" t="str">
        <f ca="1">IFERROR(__xludf.DUMMYFUNCTION("GOOGLETRANSLATE(A8084 , ""tr"" , ""en"")"),"@drfahrettinkoca There are courses you need to take out of injustice")</f>
        <v>@drfahrettinkoca There are courses you need to take out of injustice</v>
      </c>
    </row>
    <row r="11286" spans="1:5" ht="15" customHeight="1" x14ac:dyDescent="0.2">
      <c r="A11286" s="1" t="s">
        <v>22354</v>
      </c>
      <c r="B11286" s="1">
        <v>0</v>
      </c>
      <c r="C11286" s="3">
        <v>44534.735636574071</v>
      </c>
      <c r="D11286" s="1" t="s">
        <v>22355</v>
      </c>
      <c r="E11286" s="1" t="str">
        <f ca="1">IFERROR(__xludf.DUMMYFUNCTION("GOOGLETRANSLATE(A8085 , ""tr"" , ""en"")"),"@drfahrettinkoca We invite this map in blue when you are worth it. . @drfahrettinkoca @ rterdogan ... https://t.co/uqae5rrzfa")</f>
        <v>@drfahrettinkoca We invite this map in blue when you are worth it. . @drfahrettinkoca @ rterdogan ... https://t.co/uqae5rrzfa</v>
      </c>
    </row>
    <row r="11287" spans="1:5" ht="15" customHeight="1" x14ac:dyDescent="0.2">
      <c r="A11287" s="1" t="s">
        <v>22356</v>
      </c>
      <c r="B11287" s="1">
        <v>1</v>
      </c>
      <c r="C11287" s="3">
        <v>44534.735543981478</v>
      </c>
      <c r="D11287" s="1" t="s">
        <v>22357</v>
      </c>
      <c r="E11287" s="1" t="str">
        <f ca="1">IFERROR(__xludf.DUMMYFUNCTION("GOOGLETRANSLATE(A8086 , ""tr"" , ""en"")"),"?")</f>
        <v>?</v>
      </c>
    </row>
    <row r="11288" spans="1:5" ht="15" customHeight="1" x14ac:dyDescent="0.2">
      <c r="A11288" s="1" t="s">
        <v>22358</v>
      </c>
      <c r="B11288" s="1">
        <v>1</v>
      </c>
      <c r="C11288" s="3">
        <v>44534.735277777778</v>
      </c>
      <c r="D11288" s="1" t="s">
        <v>22359</v>
      </c>
      <c r="E11288" s="1" t="str">
        <f ca="1">IFERROR(__xludf.DUMMYFUNCTION("GOOGLETRANSLATE(A8087 , ""tr"" , ""en"")"),"@drfahrettinkoca husband has the results that we have to take the year without assignment. The patience of people ... https://t.co/vgrabk13in")</f>
        <v>@drfahrettinkoca husband has the results that we have to take the year without assignment. The patience of people ... https://t.co/vgrabk13in</v>
      </c>
    </row>
    <row r="11289" spans="1:5" ht="15" customHeight="1" x14ac:dyDescent="0.2">
      <c r="A11289" s="1" t="s">
        <v>22360</v>
      </c>
      <c r="B11289" s="1">
        <v>1</v>
      </c>
      <c r="C11289" s="3">
        <v>44534.735011574077</v>
      </c>
      <c r="D11289" s="1" t="s">
        <v>22361</v>
      </c>
      <c r="E11289" s="1" t="str">
        <f ca="1">IFERROR(__xludf.DUMMYFUNCTION("GOOGLETRANSLATE(A8088 , ""tr"" , ""en"")"),"@drfahrettinka 5-11 vaccination for age. How are children protected at school?")</f>
        <v>@drfahrettinka 5-11 vaccination for age. How are children protected at school?</v>
      </c>
    </row>
    <row r="11290" spans="1:5" ht="15" customHeight="1" x14ac:dyDescent="0.2">
      <c r="A11290" s="1" t="s">
        <v>22362</v>
      </c>
      <c r="B11290" s="1">
        <v>6</v>
      </c>
      <c r="C11290" s="3">
        <v>44534.734791666669</v>
      </c>
      <c r="D11290" s="1" t="s">
        <v>22363</v>
      </c>
      <c r="E11290" s="1" t="str">
        <f ca="1">IFERROR(__xludf.DUMMYFUNCTION("GOOGLETRANSLATE(A8089 , ""tr"" , ""en"")"),"@drfahrettinkoca is difficult to appreciate the value of two things without hand; Health and Youth. ... https://t.co/vxz4bwybjt")</f>
        <v>@drfahrettinkoca is difficult to appreciate the value of two things without hand; Health and Youth. ... https://t.co/vxz4bwybjt</v>
      </c>
    </row>
    <row r="11291" spans="1:5" ht="15" customHeight="1" x14ac:dyDescent="0.2">
      <c r="A11291" s="1" t="s">
        <v>22364</v>
      </c>
      <c r="B11291" s="1">
        <v>2</v>
      </c>
      <c r="C11291" s="3">
        <v>44534.734699074077</v>
      </c>
      <c r="D11291" s="1" t="s">
        <v>22365</v>
      </c>
      <c r="E11291" s="1" t="str">
        <f ca="1">IFERROR(__xludf.DUMMYFUNCTION("GOOGLETRANSLATE(A8090 , ""tr"" , ""en"")"),"@drfahrettinkoca opened the glass; The virus is not finished. Contain doesn't end. Measure to be taken measure.")</f>
        <v>@drfahrettinkoca opened the glass; The virus is not finished. Contain doesn't end. Measure to be taken measure.</v>
      </c>
    </row>
    <row r="11292" spans="1:5" ht="15" customHeight="1" x14ac:dyDescent="0.2">
      <c r="A11292" s="1" t="s">
        <v>22366</v>
      </c>
      <c r="B11292" s="1">
        <v>6</v>
      </c>
      <c r="C11292" s="3">
        <v>44534.733842592592</v>
      </c>
      <c r="D11292" s="1" t="s">
        <v>22367</v>
      </c>
      <c r="E11292" s="1" t="str">
        <f ca="1">IFERROR(__xludf.DUMMYFUNCTION("GOOGLETRANSLATE(A8091 , ""tr"" , ""en"")"),"@drfahrettinkoca @drfahrettinkoca @trfahrettinkoca @tcbestepe @tcmeb @rterdogan @TCMEb @rterdogan @ChenbaRulu_ @ mehmetceyhan23 @bengibaser CLOSED ORT ... https://t.co/zwqu3bqjqu")</f>
        <v>@drfahrettinkoca @drfahrettinkoca @trfahrettinkoca @tcbestepe @tcmeb @rterdogan @TCMEb @rterdogan @ChenbaRulu_ @ mehmetceyhan23 @bengibaser CLOSED ORT ... https://t.co/zwqu3bqjqu</v>
      </c>
    </row>
    <row r="11293" spans="1:5" ht="15" customHeight="1" x14ac:dyDescent="0.2">
      <c r="A11293" s="1" t="s">
        <v>22368</v>
      </c>
      <c r="B11293" s="1">
        <v>0</v>
      </c>
      <c r="C11293" s="3">
        <v>44534.733344907407</v>
      </c>
      <c r="D11293" s="1" t="s">
        <v>22369</v>
      </c>
      <c r="E11293" s="1" t="str">
        <f ca="1">IFERROR(__xludf.DUMMYFUNCTION("GOOGLETRANSLATE(A8092 , ""tr"" , ""en"")"),"@drfahrettinkoca Walk to the glass? You open that glass. Do not give mind take measures anymore.")</f>
        <v>@drfahrettinkoca Walk to the glass? You open that glass. Do not give mind take measures anymore.</v>
      </c>
    </row>
    <row r="11294" spans="1:5" ht="15" customHeight="1" x14ac:dyDescent="0.2">
      <c r="A11294" s="1" t="s">
        <v>22370</v>
      </c>
      <c r="B11294" s="1">
        <v>2</v>
      </c>
      <c r="C11294" s="3">
        <v>44534.732939814814</v>
      </c>
      <c r="D11294" s="1" t="s">
        <v>22371</v>
      </c>
      <c r="E11294" s="1" t="str">
        <f ca="1">IFERROR(__xludf.DUMMYFUNCTION("GOOGLETRANSLATE(A8093 , ""tr"" , ""en"")"),"@drfahrettinkoca Your society is almost 90% of the threat. But it's still out of epidemic. Vaccine to die now ... https://t.co/bflhaqfccu")</f>
        <v>@drfahrettinkoca Your society is almost 90% of the threat. But it's still out of epidemic. Vaccine to die now ... https://t.co/bflhaqfccu</v>
      </c>
    </row>
    <row r="11295" spans="1:5" ht="15" customHeight="1" x14ac:dyDescent="0.2">
      <c r="A11295" s="1" t="s">
        <v>22372</v>
      </c>
      <c r="B11295" s="1">
        <v>0</v>
      </c>
      <c r="C11295" s="3">
        <v>44534.732476851852</v>
      </c>
      <c r="D11295" s="1" t="s">
        <v>22373</v>
      </c>
      <c r="E11295" s="1" t="str">
        <f ca="1">IFERROR(__xludf.DUMMYFUNCTION("GOOGLETRANSLATE(A8094 , ""tr"" , ""en"")"),"@drfahrettinkoca has not thrown the vaccine for 3 days. We were missed.")</f>
        <v>@drfahrettinkoca has not thrown the vaccine for 3 days. We were missed.</v>
      </c>
    </row>
    <row r="11296" spans="1:5" ht="15" customHeight="1" x14ac:dyDescent="0.2">
      <c r="A11296" s="1" t="s">
        <v>22374</v>
      </c>
      <c r="B11296" s="1">
        <v>2</v>
      </c>
      <c r="C11296" s="3">
        <v>44534.732094907406</v>
      </c>
      <c r="D11296" s="1" t="s">
        <v>22375</v>
      </c>
      <c r="E11296" s="1" t="str">
        <f ca="1">IFERROR(__xludf.DUMMYFUNCTION("GOOGLETRANSLATE(A8095 , ""tr"" , ""en"")"),"@drfahrettinkoca Let's ventilate the enclosed environments. But the carbon dioxide we give the mask in our mouth ... https://t.co/o6ejp1oa03")</f>
        <v>@drfahrettinkoca Let's ventilate the enclosed environments. But the carbon dioxide we give the mask in our mouth ... https://t.co/o6ejp1oa03</v>
      </c>
    </row>
    <row r="11297" spans="1:5" ht="15" customHeight="1" x14ac:dyDescent="0.2">
      <c r="A11297" s="1" t="s">
        <v>22376</v>
      </c>
      <c r="B11297" s="1">
        <v>2</v>
      </c>
      <c r="C11297" s="3">
        <v>44534.732083333336</v>
      </c>
      <c r="D11297" s="1" t="s">
        <v>22377</v>
      </c>
      <c r="E11297" s="1" t="str">
        <f ca="1">IFERROR(__xludf.DUMMYFUNCTION("GOOGLETRANSLATE(A8096 , ""tr"" , ""en"")"),"@drfahrettinkoca Shuta Schools")</f>
        <v>@drfahrettinkoca Shuta Schools</v>
      </c>
    </row>
    <row r="11298" spans="1:5" ht="15" customHeight="1" x14ac:dyDescent="0.2">
      <c r="A11298" s="1" t="s">
        <v>22378</v>
      </c>
      <c r="B11298" s="1">
        <v>1</v>
      </c>
      <c r="C11298" s="3">
        <v>44534.731932870367</v>
      </c>
      <c r="D11298" s="1" t="s">
        <v>22379</v>
      </c>
      <c r="E11298" s="1" t="str">
        <f ca="1">IFERROR(__xludf.DUMMYFUNCTION("GOOGLETRANSLATE(A8097 , ""tr"" , ""en"")"),"@drfahrettinkoca What do you recommend us to do? Go flying to school? Shall we do the lessons in the garden? Crowds v ... https://t.co/AesB3Iipal")</f>
        <v>@drfahrettinkoca What do you recommend us to do? Go flying to school? Shall we do the lessons in the garden? Crowds v ... https://t.co/AesB3Iipal</v>
      </c>
    </row>
    <row r="11299" spans="1:5" ht="15" customHeight="1" x14ac:dyDescent="0.2">
      <c r="A11299" s="1" t="s">
        <v>22380</v>
      </c>
      <c r="B11299" s="1">
        <v>0</v>
      </c>
      <c r="C11299" s="3">
        <v>44534.73164351852</v>
      </c>
      <c r="D11299" s="1" t="s">
        <v>22381</v>
      </c>
      <c r="E11299" s="1" t="str">
        <f ca="1">IFERROR(__xludf.DUMMYFUNCTION("GOOGLETRANSLATE(A8098 , ""tr"" , ""en"")"),"@drfahrettinka what about you have to stay in indoor areas? Universities need to go to online education urgently !!")</f>
        <v>@drfahrettinka what about you have to stay in indoor areas? Universities need to go to online education urgently !!</v>
      </c>
    </row>
    <row r="11300" spans="1:5" ht="15" customHeight="1" x14ac:dyDescent="0.2">
      <c r="A11300" s="1" t="s">
        <v>18602</v>
      </c>
      <c r="B11300" s="1">
        <v>4</v>
      </c>
      <c r="C11300" s="3">
        <v>44534.731180555558</v>
      </c>
      <c r="D11300" s="1" t="s">
        <v>22382</v>
      </c>
      <c r="E11300" s="1" t="str">
        <f ca="1">IFERROR(__xludf.DUMMYFUNCTION("GOOGLETRANSLATE(A8099 , ""tr"" , ""en"")"),"@drfahrettinkoca #kabinezkusagionlineline")</f>
        <v>@drfahrettinkoca #kabinezkusagionlineline</v>
      </c>
    </row>
    <row r="11301" spans="1:5" ht="15" customHeight="1" x14ac:dyDescent="0.2">
      <c r="A11301" s="1" t="s">
        <v>22383</v>
      </c>
      <c r="B11301" s="1">
        <v>0</v>
      </c>
      <c r="C11301" s="3">
        <v>44534.731122685182</v>
      </c>
      <c r="D11301" s="1" t="s">
        <v>22384</v>
      </c>
      <c r="E11301" s="1" t="str">
        <f ca="1">IFERROR(__xludf.DUMMYFUNCTION("GOOGLETRANSLATE(A8100 , ""tr"" , ""en"")"),"@drfahrettinkoca Ministry of Assignment When @drfahrettinkoca")</f>
        <v>@drfahrettinkoca Ministry of Assignment When @drfahrettinkoca</v>
      </c>
    </row>
    <row r="11302" spans="1:5" ht="15" customHeight="1" x14ac:dyDescent="0.2">
      <c r="A11302" s="1" t="s">
        <v>22385</v>
      </c>
      <c r="B11302" s="1">
        <v>2</v>
      </c>
      <c r="C11302" s="3">
        <v>44534.731099537035</v>
      </c>
      <c r="D11302" s="1" t="s">
        <v>22386</v>
      </c>
      <c r="E11302" s="1" t="str">
        <f ca="1">IFERROR(__xludf.DUMMYFUNCTION("GOOGLETRANSLATE(A8101 , ""tr"" , ""en"")"),"@drfahrettinkoca vaccine, while people were giving a slightly omitted even after 70 years of age were discharged with applause ... https://t.co/pzhfkhene8")</f>
        <v>@drfahrettinkoca vaccine, while people were giving a slightly omitted even after 70 years of age were discharged with applause ... https://t.co/pzhfkhene8</v>
      </c>
    </row>
    <row r="11303" spans="1:5" ht="15" customHeight="1" x14ac:dyDescent="0.2">
      <c r="A11303" s="1" t="s">
        <v>22387</v>
      </c>
      <c r="B11303" s="1">
        <v>0</v>
      </c>
      <c r="C11303" s="3">
        <v>44534.730949074074</v>
      </c>
      <c r="D11303" s="1" t="s">
        <v>22388</v>
      </c>
      <c r="E11303" s="1" t="str">
        <f ca="1">IFERROR(__xludf.DUMMYFUNCTION("GOOGLETRANSLATE(A8102 , ""tr"" , ""en"")"),"@drfahrettinkoca SchoolaAar")</f>
        <v>@drfahrettinkoca SchoolaAar</v>
      </c>
    </row>
    <row r="11304" spans="1:5" ht="15" customHeight="1" x14ac:dyDescent="0.2">
      <c r="A11304" s="1" t="s">
        <v>22389</v>
      </c>
      <c r="B11304" s="1">
        <v>0</v>
      </c>
      <c r="C11304" s="3">
        <v>44534.730949074074</v>
      </c>
      <c r="D11304" s="1" t="s">
        <v>22390</v>
      </c>
      <c r="E11304" s="1" t="str">
        <f ca="1">IFERROR(__xludf.DUMMYFUNCTION("GOOGLETRANSLATE(A8103 , ""tr"" , ""en"")"),"@drfahrettinkoca coin phenomenal")</f>
        <v>@drfahrettinkoca coin phenomenal</v>
      </c>
    </row>
    <row r="11305" spans="1:5" ht="15" customHeight="1" x14ac:dyDescent="0.2">
      <c r="A11305" s="1" t="s">
        <v>22391</v>
      </c>
      <c r="B11305" s="1">
        <v>0</v>
      </c>
      <c r="C11305" s="3">
        <v>44534.730810185189</v>
      </c>
      <c r="D11305" s="1" t="s">
        <v>22392</v>
      </c>
      <c r="E11305" s="1" t="str">
        <f ca="1">IFERROR(__xludf.DUMMYFUNCTION("GOOGLETRANSLATE(A8104 , ""tr"" , ""en"")"),"@drfahrettinka Ministry We invite you to make you blue. . @drfahrettinkoca @ rterdogan ... https://t.co/m776nb7iw1")</f>
        <v>@drfahrettinka Ministry We invite you to make you blue. . @drfahrettinkoca @ rterdogan ... https://t.co/m776nb7iw1</v>
      </c>
    </row>
    <row r="11306" spans="1:5" ht="15" customHeight="1" x14ac:dyDescent="0.2">
      <c r="A11306" s="1" t="s">
        <v>22393</v>
      </c>
      <c r="B11306" s="1">
        <v>0</v>
      </c>
      <c r="C11306" s="3">
        <v>44534.730532407404</v>
      </c>
      <c r="D11306" s="1" t="s">
        <v>22394</v>
      </c>
      <c r="E11306" s="1" t="str">
        <f ca="1">IFERROR(__xludf.DUMMYFUNCTION("GOOGLETRANSLATE(A8105 , ""tr"" , ""en"")"),"@drfahrettinkoca you make this map blue is vital for us @drfahrettinkoca # Healther Https://t.co/csfr3g3whf")</f>
        <v>@drfahrettinkoca you make this map blue is vital for us @drfahrettinkoca # Healther Https://t.co/csfr3g3whf</v>
      </c>
    </row>
    <row r="11307" spans="1:5" ht="15" customHeight="1" x14ac:dyDescent="0.2">
      <c r="A11307" s="1" t="s">
        <v>22395</v>
      </c>
      <c r="B11307" s="1">
        <v>0</v>
      </c>
      <c r="C11307" s="3">
        <v>44534.730347222219</v>
      </c>
      <c r="D11307" s="1" t="s">
        <v>22396</v>
      </c>
      <c r="E11307" s="1" t="str">
        <f ca="1">IFERROR(__xludf.DUMMYFUNCTION("GOOGLETRANSLATE(A8106 , ""tr"" , ""en"")"),"@drfahrettinkoca AVM s Clicks Click to say that it is not to say so Ordam these jobs Mr. Minister")</f>
        <v>@drfahrettinkoca AVM s Clicks Click to say that it is not to say so Ordam these jobs Mr. Minister</v>
      </c>
    </row>
    <row r="11308" spans="1:5" ht="15" customHeight="1" x14ac:dyDescent="0.2">
      <c r="A11308" s="1" t="s">
        <v>22397</v>
      </c>
      <c r="B11308" s="1">
        <v>128</v>
      </c>
      <c r="C11308" s="3">
        <v>44534.730173611111</v>
      </c>
      <c r="D11308" s="1" t="s">
        <v>22398</v>
      </c>
      <c r="E11308" s="1" t="str">
        <f ca="1">IFERROR(__xludf.DUMMYFUNCTION("GOOGLETRANSLATE(A8107 , ""tr"" , ""en"")"),"@drfahrettinkoca If you say not a long time in indoor places, my 9-year-old is my 9-year-old son then I am ... https://t.co/kwljsisu0b")</f>
        <v>@drfahrettinkoca If you say not a long time in indoor places, my 9-year-old is my 9-year-old son then I am ... https://t.co/kwljsisu0b</v>
      </c>
    </row>
    <row r="11309" spans="1:5" ht="15" customHeight="1" x14ac:dyDescent="0.2">
      <c r="A11309" s="1" t="s">
        <v>22399</v>
      </c>
      <c r="B11309" s="1">
        <v>0</v>
      </c>
      <c r="C11309" s="3">
        <v>44534.729930555557</v>
      </c>
      <c r="D11309" s="1" t="s">
        <v>22400</v>
      </c>
      <c r="E11309" s="1" t="str">
        <f ca="1">IFERROR(__xludf.DUMMYFUNCTION("GOOGLETRANSLATE(A8108 , ""tr"" , ""en"")"),"@drfahrettinka we invite you to make you blue. @drfahrettinkoca # HEALERSHIP HTTPS://T.CO/CSFR3G3WHF")</f>
        <v>@drfahrettinka we invite you to make you blue. @drfahrettinkoca # HEALERSHIP HTTPS://T.CO/CSFR3G3WHF</v>
      </c>
    </row>
    <row r="11310" spans="1:5" ht="15" customHeight="1" x14ac:dyDescent="0.2">
      <c r="A11310" s="1" t="s">
        <v>22401</v>
      </c>
      <c r="B11310" s="1">
        <v>0</v>
      </c>
      <c r="C11310" s="3">
        <v>44534.729687500003</v>
      </c>
      <c r="D11310" s="1" t="s">
        <v>22402</v>
      </c>
      <c r="E11310" s="1" t="str">
        <f ca="1">IFERROR(__xludf.DUMMYFUNCTION("GOOGLETRANSLATE(A8109 , ""tr"" , ""en"")"),"@drfahrettinkoca We will be blueless in this map")</f>
        <v>@drfahrettinkoca We will be blueless in this map</v>
      </c>
    </row>
    <row r="11311" spans="1:5" ht="15" customHeight="1" x14ac:dyDescent="0.2">
      <c r="A11311" s="1" t="s">
        <v>22403</v>
      </c>
      <c r="B11311" s="1">
        <v>2</v>
      </c>
      <c r="C11311" s="3">
        <v>44534.729166666664</v>
      </c>
      <c r="D11311" s="1" t="s">
        <v>22404</v>
      </c>
      <c r="E11311" s="1" t="str">
        <f ca="1">IFERROR(__xludf.DUMMYFUNCTION("GOOGLETRANSLATE(A8110 , ""tr"" , ""en"")"),"@drfahrettinkoca Would you make a statement about this topic? How many people passed away after vaccine in our country. Responsible ... https://t.co/pwwffoch0h")</f>
        <v>@drfahrettinkoca Would you make a statement about this topic? How many people passed away after vaccine in our country. Responsible ... https://t.co/pwwffoch0h</v>
      </c>
    </row>
    <row r="11312" spans="1:5" ht="15" customHeight="1" x14ac:dyDescent="0.2">
      <c r="A11312" s="1" t="s">
        <v>22405</v>
      </c>
      <c r="B11312" s="1">
        <v>0</v>
      </c>
      <c r="C11312" s="3">
        <v>44534.72896990741</v>
      </c>
      <c r="D11312" s="1" t="s">
        <v>22406</v>
      </c>
      <c r="E11312" s="1" t="str">
        <f ca="1">IFERROR(__xludf.DUMMYFUNCTION("GOOGLETRANSLATE(A8111 , ""tr"" , ""en"")"),"@drfahrettinkoca overlooking the Valla Bey does not exit a Result to 36 hours The patient is sick and we are going to be positive")</f>
        <v>@drfahrettinkoca overlooking the Valla Bey does not exit a Result to 36 hours The patient is sick and we are going to be positive</v>
      </c>
    </row>
    <row r="11313" spans="1:5" ht="15" customHeight="1" x14ac:dyDescent="0.2">
      <c r="A11313" s="1" t="s">
        <v>22407</v>
      </c>
      <c r="B11313" s="1">
        <v>5</v>
      </c>
      <c r="C11313" s="3">
        <v>44534.728784722225</v>
      </c>
      <c r="D11313" s="1" t="s">
        <v>22408</v>
      </c>
      <c r="E11313" s="1" t="str">
        <f ca="1">IFERROR(__xludf.DUMMYFUNCTION("GOOGLETRANSLATE(A8112 , ""tr"" , ""en"")"),"@drfahrettinkoca How is it? Like the dog? https://t.co/yx42x5gfdc")</f>
        <v>@drfahrettinkoca How is it? Like the dog? https://t.co/yx42x5gfdc</v>
      </c>
    </row>
    <row r="11314" spans="1:5" ht="15" customHeight="1" x14ac:dyDescent="0.2">
      <c r="A11314" s="1" t="s">
        <v>22409</v>
      </c>
      <c r="B11314" s="1">
        <v>1</v>
      </c>
      <c r="C11314" s="3">
        <v>44534.728495370371</v>
      </c>
      <c r="D11314" s="1" t="s">
        <v>22410</v>
      </c>
      <c r="E11314" s="1" t="str">
        <f ca="1">IFERROR(__xludf.DUMMYFUNCTION("GOOGLETRANSLATE(A8113 , ""tr"" , ""en"")"),"@drfahrettinkoca guide where is the minister? # Healthier")</f>
        <v>@drfahrettinkoca guide where is the minister? # Healthier</v>
      </c>
    </row>
    <row r="11315" spans="1:5" ht="15" customHeight="1" x14ac:dyDescent="0.2">
      <c r="A11315" s="1" t="s">
        <v>22411</v>
      </c>
      <c r="B11315" s="1">
        <v>1</v>
      </c>
      <c r="C11315" s="3">
        <v>44534.728460648148</v>
      </c>
      <c r="D11315" s="1" t="s">
        <v>22412</v>
      </c>
      <c r="E11315" s="1" t="str">
        <f ca="1">IFERROR(__xludf.DUMMYFUNCTION("GOOGLETRANSLATE(A8114 , ""tr"" , ""en"")"),"@drfahrettinka open up 5-11 age vaccines")</f>
        <v>@drfahrettinka open up 5-11 age vaccines</v>
      </c>
    </row>
    <row r="11316" spans="1:5" ht="15" customHeight="1" x14ac:dyDescent="0.2">
      <c r="A11316" s="1" t="s">
        <v>22413</v>
      </c>
      <c r="B11316" s="1">
        <v>0</v>
      </c>
      <c r="C11316" s="3">
        <v>44534.728229166663</v>
      </c>
      <c r="D11316" s="1" t="s">
        <v>22414</v>
      </c>
      <c r="E11316" s="1" t="str">
        <f ca="1">IFERROR(__xludf.DUMMYFUNCTION("GOOGLETRANSLATE(A8115 , ""tr"" , ""en"")"),"@drfahrettinkoca Look at the death figures, God help us.")</f>
        <v>@drfahrettinkoca Look at the death figures, God help us.</v>
      </c>
    </row>
    <row r="11317" spans="1:5" ht="15" customHeight="1" x14ac:dyDescent="0.2">
      <c r="A11317" s="1" t="s">
        <v>22415</v>
      </c>
      <c r="B11317" s="1">
        <v>0</v>
      </c>
      <c r="C11317" s="3">
        <v>44534.728067129632</v>
      </c>
      <c r="D11317" s="1" t="s">
        <v>22416</v>
      </c>
      <c r="E11317" s="1" t="str">
        <f ca="1">IFERROR(__xludf.DUMMYFUNCTION("GOOGLETRANSLATE(A8116 , ""tr"" , ""en"")"),"@drfahrettinkoca Allah give you the trouble in that poins. 34 years old because of your poisons ...")</f>
        <v>@drfahrettinkoca Allah give you the trouble in that poins. 34 years old because of your poisons ...</v>
      </c>
    </row>
    <row r="11318" spans="1:5" ht="15" customHeight="1" x14ac:dyDescent="0.2">
      <c r="A11318" s="1" t="s">
        <v>22417</v>
      </c>
      <c r="B11318" s="1">
        <v>0</v>
      </c>
      <c r="C11318" s="3">
        <v>44534.72792824074</v>
      </c>
      <c r="D11318" s="1" t="s">
        <v>22418</v>
      </c>
      <c r="E11318" s="1" t="str">
        <f ca="1">IFERROR(__xludf.DUMMYFUNCTION("GOOGLETRANSLATE(A8117 , ""tr"" , ""en"")"),"@drfahrettinkoca on the ground Batin healthcare year. Ended the year without assignment. May the labor be misfortunately. @drfahrettinkoca # Healthier")</f>
        <v>@drfahrettinkoca on the ground Batin healthcare year. Ended the year without assignment. May the labor be misfortunately. @drfahrettinkoca # Healthier</v>
      </c>
    </row>
    <row r="11319" spans="1:5" ht="15" customHeight="1" x14ac:dyDescent="0.2">
      <c r="A11319" s="1" t="s">
        <v>22419</v>
      </c>
      <c r="B11319" s="1">
        <v>0</v>
      </c>
      <c r="C11319" s="3">
        <v>44534.727743055555</v>
      </c>
      <c r="D11319" s="1" t="s">
        <v>22420</v>
      </c>
      <c r="E11319" s="1" t="str">
        <f ca="1">IFERROR(__xludf.DUMMYFUNCTION("GOOGLETRANSLATE(A8118 , ""tr"" , ""en"")"),"@drfahrettinkoca Say the embroider, say, say, say not to give the right, Say to give or thrust, continuously say to lie ... https://t.co/ide7tkspbx")</f>
        <v>@drfahrettinkoca Say the embroider, say, say, say not to give the right, Say to give or thrust, continuously say to lie ... https://t.co/ide7tkspbx</v>
      </c>
    </row>
    <row r="11320" spans="1:5" ht="15" customHeight="1" x14ac:dyDescent="0.2">
      <c r="A11320" s="1" t="s">
        <v>22421</v>
      </c>
      <c r="B11320" s="1">
        <v>0</v>
      </c>
      <c r="C11320" s="3">
        <v>44534.727662037039</v>
      </c>
      <c r="D11320" s="1" t="s">
        <v>22422</v>
      </c>
      <c r="E11320" s="1" t="str">
        <f ca="1">IFERROR(__xludf.DUMMYFUNCTION("GOOGLETRANSLATE(A8119 , ""tr"" , ""en"")"),"Even in @drfahrettinkoca healthcare year we didn't smile. @drfahrettinkoca @rterdogan # Healthier Https://t.co/pl9lal4okv")</f>
        <v>Even in @drfahrettinkoca healthcare year we didn't smile. @drfahrettinkoca @rterdogan # Healthier Https://t.co/pl9lal4okv</v>
      </c>
    </row>
    <row r="11321" spans="1:5" ht="15" customHeight="1" x14ac:dyDescent="0.2">
      <c r="A11321" s="1" t="s">
        <v>22423</v>
      </c>
      <c r="B11321" s="1">
        <v>0</v>
      </c>
      <c r="C11321" s="3">
        <v>44534.727592592593</v>
      </c>
      <c r="D11321" s="1" t="s">
        <v>22424</v>
      </c>
      <c r="E11321" s="1" t="str">
        <f ca="1">IFERROR(__xludf.DUMMYFUNCTION("GOOGLETRANSLATE(A8120 , ""tr"" , ""en"")"),"@drfahrettinkoca has studied labor, such infested bi year was not seen. year's passed high scores with blood vomit s ... https://t.co/nglbw5ulkl")</f>
        <v>@drfahrettinkoca has studied labor, such infested bi year was not seen. year's passed high scores with blood vomit s ... https://t.co/nglbw5ulkl</v>
      </c>
    </row>
    <row r="11322" spans="1:5" ht="15" customHeight="1" x14ac:dyDescent="0.2">
      <c r="A11322" s="1" t="s">
        <v>22425</v>
      </c>
      <c r="B11322" s="1">
        <v>0</v>
      </c>
      <c r="C11322" s="3">
        <v>44534.727511574078</v>
      </c>
      <c r="D11322" s="1" t="s">
        <v>22426</v>
      </c>
      <c r="E11322" s="1" t="str">
        <f ca="1">IFERROR(__xludf.DUMMYFUNCTION("GOOGLETRANSLATE(A8121 , ""tr"" , ""en"")"),"@drfahrettinkoca how to say proudly say that 40 thousand healthiers will be appointed. Https://t.co/SRPVQORBWI without more assignment")</f>
        <v>@drfahrettinkoca how to say proudly say that 40 thousand healthiers will be appointed. Https://t.co/SRPVQORBWI without more assignment</v>
      </c>
    </row>
    <row r="11323" spans="1:5" ht="15" customHeight="1" x14ac:dyDescent="0.2">
      <c r="A11323" s="1" t="s">
        <v>22427</v>
      </c>
      <c r="B11323" s="1">
        <v>0</v>
      </c>
      <c r="C11323" s="3">
        <v>44534.727476851855</v>
      </c>
      <c r="D11323" s="1" t="s">
        <v>22428</v>
      </c>
      <c r="E11323" s="1" t="str">
        <f ca="1">IFERROR(__xludf.DUMMYFUNCTION("GOOGLETRANSLATE(A8122 , ""tr"" , ""en"")"),"@drfahrettinkoca right to you halal degildir sec. @drfahrettinkoca!")</f>
        <v>@drfahrettinkoca right to you halal degildir sec. @drfahrettinkoca!</v>
      </c>
    </row>
    <row r="11324" spans="1:5" ht="15" customHeight="1" x14ac:dyDescent="0.2">
      <c r="A11324" s="1" t="s">
        <v>22429</v>
      </c>
      <c r="B11324" s="1">
        <v>1</v>
      </c>
      <c r="C11324" s="3">
        <v>44534.727430555555</v>
      </c>
      <c r="D11324" s="1" t="s">
        <v>22430</v>
      </c>
      <c r="E11324" s="1" t="str">
        <f ca="1">IFERROR(__xludf.DUMMYFUNCTION("GOOGLETRANSLATE(A8123 , ""tr"" , ""en"")"),"@drfahrettinkoca What did you do to the guide? @drfahrettinkoca # Healthier")</f>
        <v>@drfahrettinkoca What did you do to the guide? @drfahrettinkoca # Healthier</v>
      </c>
    </row>
    <row r="11325" spans="1:5" ht="15" customHeight="1" x14ac:dyDescent="0.2">
      <c r="A11325" s="1" t="s">
        <v>22431</v>
      </c>
      <c r="B11325" s="1">
        <v>0</v>
      </c>
      <c r="C11325" s="3">
        <v>44534.727372685185</v>
      </c>
      <c r="D11325" s="1" t="s">
        <v>22432</v>
      </c>
      <c r="E11325" s="1" t="str">
        <f ca="1">IFERROR(__xludf.DUMMYFUNCTION("GOOGLETRANSLATE(A8124 , ""tr"" , ""en"")"),"@drfahrettinka Ministry We invite you to make you blue. @drfahrettinkoca # HEALERSHIP HTTPS://T.CO/CSFR3G3WHF")</f>
        <v>@drfahrettinka Ministry We invite you to make you blue. @drfahrettinkoca # HEALERSHIP HTTPS://T.CO/CSFR3G3WHF</v>
      </c>
    </row>
    <row r="11326" spans="1:5" ht="15" customHeight="1" x14ac:dyDescent="0.2">
      <c r="A11326" s="1" t="s">
        <v>22433</v>
      </c>
      <c r="B11326" s="1">
        <v>0</v>
      </c>
      <c r="C11326" s="3">
        <v>44534.727314814816</v>
      </c>
      <c r="D11326" s="1" t="s">
        <v>22434</v>
      </c>
      <c r="E11326" s="1" t="str">
        <f ca="1">IFERROR(__xludf.DUMMYFUNCTION("GOOGLETRANSLATE(A8125 , ""tr"" , ""en"")"),"@drfahrettinkoca Hani that words you give? @drfahrettinkoca # HEALERSHIP HTTPS://T.CO/ZQS4RVRB7T")</f>
        <v>@drfahrettinkoca Hani that words you give? @drfahrettinkoca # HEALERSHIP HTTPS://T.CO/ZQS4RVRB7T</v>
      </c>
    </row>
    <row r="11327" spans="1:5" ht="15" customHeight="1" x14ac:dyDescent="0.2">
      <c r="A11327" s="1" t="s">
        <v>22435</v>
      </c>
      <c r="B11327" s="1">
        <v>0</v>
      </c>
      <c r="C11327" s="3">
        <v>44534.727233796293</v>
      </c>
      <c r="D11327" s="1" t="s">
        <v>22436</v>
      </c>
      <c r="E11327" s="1" t="str">
        <f ca="1">IFERROR(__xludf.DUMMYFUNCTION("GOOGLETRANSLATE(A8126 , ""tr"" , ""en"")"),"@drfahrettinkoca ogretmenim daily 8 hours 35 40 people do lessons in classes We are making a lesson on the mosque boys cold Acasak airless.")</f>
        <v>@drfahrettinkoca ogretmenim daily 8 hours 35 40 people do lessons in classes We are making a lesson on the mosque boys cold Acasak airless.</v>
      </c>
    </row>
    <row r="11328" spans="1:5" ht="15" customHeight="1" x14ac:dyDescent="0.2">
      <c r="A11328" s="1" t="s">
        <v>22437</v>
      </c>
      <c r="B11328" s="1">
        <v>0</v>
      </c>
      <c r="C11328" s="3">
        <v>44534.727175925924</v>
      </c>
      <c r="D11328" s="1" t="s">
        <v>22438</v>
      </c>
      <c r="E11328" s="1" t="str">
        <f ca="1">IFERROR(__xludf.DUMMYFUNCTION("GOOGLETRANSLATE(A8127 , ""tr"" , ""en"")"),"@drfahrettinkoca We have run out of us in these uncertainties you've received a very BUYHIE Even a description ... https://t.co/ve0ggkcjj0")</f>
        <v>@drfahrettinkoca We have run out of us in these uncertainties you've received a very BUYHIE Even a description ... https://t.co/ve0ggkcjj0</v>
      </c>
    </row>
    <row r="11329" spans="1:5" ht="15" customHeight="1" x14ac:dyDescent="0.2">
      <c r="A11329" s="1" t="s">
        <v>22439</v>
      </c>
      <c r="B11329" s="1">
        <v>0</v>
      </c>
      <c r="C11329" s="3">
        <v>44534.727164351854</v>
      </c>
      <c r="D11329" s="1" t="s">
        <v>22440</v>
      </c>
      <c r="E11329" s="1" t="str">
        <f ca="1">IFERROR(__xludf.DUMMYFUNCTION("GOOGLETRANSLATE(A8128 , ""tr"" , ""en"")"),"@drfahrettinka have my requirements of season? Escaped for example 2.Maske 3.Mesafe 4. Vaccination 5. 12 Vaccine ... https://t.co/3v6djpknob")</f>
        <v>@drfahrettinka have my requirements of season? Escaped for example 2.Maske 3.Mesafe 4. Vaccination 5. 12 Vaccine ... https://t.co/3v6djpknob</v>
      </c>
    </row>
    <row r="11330" spans="1:5" ht="15" customHeight="1" x14ac:dyDescent="0.2">
      <c r="A11330" s="1" t="s">
        <v>22441</v>
      </c>
      <c r="B11330" s="1">
        <v>0</v>
      </c>
      <c r="C11330" s="3">
        <v>44534.727152777778</v>
      </c>
      <c r="D11330" s="1" t="s">
        <v>22442</v>
      </c>
      <c r="E11330" s="1" t="str">
        <f ca="1">IFERROR(__xludf.DUMMYFUNCTION("GOOGLETRANSLATE(A8129 , ""tr"" , ""en"")"),"@drfahrettinkoca class how to ventilate this cold, there is a ventilation, class 40 people. Ridiculous")</f>
        <v>@drfahrettinkoca class how to ventilate this cold, there is a ventilation, class 40 people. Ridiculous</v>
      </c>
    </row>
    <row r="11331" spans="1:5" ht="15" customHeight="1" x14ac:dyDescent="0.2">
      <c r="A11331" s="1" t="s">
        <v>22443</v>
      </c>
      <c r="B11331" s="1">
        <v>0</v>
      </c>
      <c r="C11331" s="3">
        <v>44534.727106481485</v>
      </c>
      <c r="D11331" s="1" t="s">
        <v>22444</v>
      </c>
      <c r="E11331" s="1" t="str">
        <f ca="1">IFERROR(__xludf.DUMMYFUNCTION("GOOGLETRANSLATE(A8130 , ""tr"" , ""en"")"),"@drfahrettinkoca on this Adelet, Yeah Healthier Year @drfahrettinkoca Healthier Year, has been exhausted. # Healthier")</f>
        <v>@drfahrettinkoca on this Adelet, Yeah Healthier Year @drfahrettinkoca Healthier Year, has been exhausted. # Healthier</v>
      </c>
    </row>
    <row r="11332" spans="1:5" ht="15" customHeight="1" x14ac:dyDescent="0.2">
      <c r="A11332" s="1" t="s">
        <v>22445</v>
      </c>
      <c r="B11332" s="1">
        <v>1</v>
      </c>
      <c r="C11332" s="3">
        <v>44534.727025462962</v>
      </c>
      <c r="D11332" s="1" t="s">
        <v>22446</v>
      </c>
      <c r="E11332" s="1" t="str">
        <f ca="1">IFERROR(__xludf.DUMMYFUNCTION("GOOGLETRANSLATE(A8131 , ""tr"" , ""en"")"),"@drfahrettinkoca Our annoyances we have experienced an hour we have had an hour do not expect a DK both Klapu ... https://t.co/q7wepmfvvw")</f>
        <v>@drfahrettinkoca Our annoyances we have experienced an hour we have had an hour do not expect a DK both Klapu ... https://t.co/q7wepmfvvw</v>
      </c>
    </row>
    <row r="11333" spans="1:5" ht="15" customHeight="1" x14ac:dyDescent="0.2">
      <c r="A11333" s="1" t="s">
        <v>22447</v>
      </c>
      <c r="B11333" s="1">
        <v>0</v>
      </c>
      <c r="C11333" s="3">
        <v>44534.726921296293</v>
      </c>
      <c r="D11333" s="1" t="s">
        <v>22448</v>
      </c>
      <c r="E11333" s="1" t="str">
        <f ca="1">IFERROR(__xludf.DUMMYFUNCTION("GOOGLETRANSLATE(A8132 , ""tr"" , ""en"")"),"@drfahrettinkoca to put out concrete steps at a moment to the driving policies. Post the guide before the year ... https://t.co.coMBCPPIRK")</f>
        <v>@drfahrettinkoca to put out concrete steps at a moment to the driving policies. Post the guide before the year ... https://t.co.coMBCPPIRK</v>
      </c>
    </row>
    <row r="11334" spans="1:5" ht="15" customHeight="1" x14ac:dyDescent="0.2">
      <c r="A11334" s="1" t="s">
        <v>22449</v>
      </c>
      <c r="B11334" s="1">
        <v>1</v>
      </c>
      <c r="C11334" s="3">
        <v>44534.726840277777</v>
      </c>
      <c r="D11334" s="1" t="s">
        <v>22450</v>
      </c>
      <c r="E11334" s="1" t="str">
        <f ca="1">IFERROR(__xludf.DUMMYFUNCTION("GOOGLETRANSLATE(A8133 , ""tr"" , ""en"")"),"@drfahrettinkoca why ask us why you will ask you so much hurry up, why are you so slow to yourself ... https://t.co/k39mvjjnhh")</f>
        <v>@drfahrettinkoca why ask us why you will ask you so much hurry up, why are you so slow to yourself ... https://t.co/k39mvjjnhh</v>
      </c>
    </row>
    <row r="11335" spans="1:5" ht="15" customHeight="1" x14ac:dyDescent="0.2">
      <c r="A11335" s="1" t="s">
        <v>22451</v>
      </c>
      <c r="B11335" s="1">
        <v>2</v>
      </c>
      <c r="C11335" s="3">
        <v>44534.726747685185</v>
      </c>
      <c r="D11335" s="1" t="s">
        <v>22452</v>
      </c>
      <c r="E11335" s="1" t="str">
        <f ca="1">IFERROR(__xludf.DUMMYFUNCTION("GOOGLETRANSLATE(A8134 , ""tr"" , ""en"")"),"@drfahrettinkoca has been assigned to all public, health workers are waiting. # Healthier")</f>
        <v>@drfahrettinkoca has been assigned to all public, health workers are waiting. # Healthier</v>
      </c>
    </row>
    <row r="11336" spans="1:5" ht="15" customHeight="1" x14ac:dyDescent="0.2">
      <c r="A11336" s="1" t="s">
        <v>22453</v>
      </c>
      <c r="B11336" s="1">
        <v>0</v>
      </c>
      <c r="C11336" s="3">
        <v>44534.726689814815</v>
      </c>
      <c r="D11336" s="1" t="s">
        <v>22454</v>
      </c>
      <c r="E11336" s="1" t="str">
        <f ca="1">IFERROR(__xludf.DUMMYFUNCTION("GOOGLETRANSLATE(A8135 , ""tr"" , ""en"")"),"@drfahrettinka is spoken to assignment to health since July But this is the table that has been a year! ... https://t.co/90yjyoxfhn")</f>
        <v>@drfahrettinka is spoken to assignment to health since July But this is the table that has been a year! ... https://t.co/90yjyoxfhn</v>
      </c>
    </row>
    <row r="11337" spans="1:5" ht="15" customHeight="1" x14ac:dyDescent="0.2">
      <c r="A11337" s="1" t="s">
        <v>22455</v>
      </c>
      <c r="B11337" s="1">
        <v>0</v>
      </c>
      <c r="C11337" s="3">
        <v>44534.726643518516</v>
      </c>
      <c r="D11337" s="1" t="s">
        <v>22456</v>
      </c>
      <c r="E11337" s="1" t="str">
        <f ca="1">IFERROR(__xludf.DUMMYFUNCTION("GOOGLETRANSLATE(A8136 , ""tr"" , ""en"")"),"@drfahrettinkoca molassy pity is the sin is the sin fear of all those who died in the memory of the injuries of the injuries is ... https://t.co/kqzsxzwytm")</f>
        <v>@drfahrettinkoca molassy pity is the sin is the sin fear of all those who died in the memory of the injuries of the injuries is ... https://t.co/kqzsxzwytm</v>
      </c>
    </row>
    <row r="11338" spans="1:5" ht="15" customHeight="1" x14ac:dyDescent="0.2">
      <c r="A11338" s="1" t="s">
        <v>22457</v>
      </c>
      <c r="B11338" s="1">
        <v>0</v>
      </c>
      <c r="C11338" s="3">
        <v>44534.726585648146</v>
      </c>
      <c r="D11338" s="1" t="s">
        <v>22458</v>
      </c>
      <c r="E11338" s="1" t="str">
        <f ca="1">IFERROR(__xludf.DUMMYFUNCTION("GOOGLETRANSLATE(A8137 , ""tr"" , ""en"")"),"@drfahrettinkoca World Health Organization for 2021 years to be declared to declare the ""Healthcare Year"" and in their country ... https://t.co/s0f6hslpz4")</f>
        <v>@drfahrettinkoca World Health Organization for 2021 years to be declared to declare the "Healthcare Year" and in their country ... https://t.co/s0f6hslpz4</v>
      </c>
    </row>
    <row r="11339" spans="1:5" ht="15" customHeight="1" x14ac:dyDescent="0.2">
      <c r="A11339" s="1" t="s">
        <v>22459</v>
      </c>
      <c r="B11339" s="1">
        <v>0</v>
      </c>
      <c r="C11339" s="3">
        <v>44534.726539351854</v>
      </c>
      <c r="D11339" s="1" t="s">
        <v>22460</v>
      </c>
      <c r="E11339" s="1" t="str">
        <f ca="1">IFERROR(__xludf.DUMMYFUNCTION("GOOGLETRANSLATE(A8138 , ""tr"" , ""en"")"),"@drfahrettinkoca september even late saying late as joke but true @drfahrettinkoca # Healthier")</f>
        <v>@drfahrettinkoca september even late saying late as joke but true @drfahrettinkoca # Healthier</v>
      </c>
    </row>
    <row r="11340" spans="1:5" ht="15" customHeight="1" x14ac:dyDescent="0.2">
      <c r="A11340" s="1" t="s">
        <v>22461</v>
      </c>
      <c r="B11340" s="1">
        <v>0</v>
      </c>
      <c r="C11340" s="3">
        <v>44534.726493055554</v>
      </c>
      <c r="D11340" s="1" t="s">
        <v>22462</v>
      </c>
      <c r="E11340" s="1" t="str">
        <f ca="1">IFERROR(__xludf.DUMMYFUNCTION("GOOGLETRANSLATE(A8139 , ""tr"" , ""en"")"),"@drfahrettinkoca is not two but not three of the fully fully 13 months appointment waiting for preparations in this Koska 13 months ... https://t.co/qzdi49ekha")</f>
        <v>@drfahrettinkoca is not two but not three of the fully fully 13 months appointment waiting for preparations in this Koska 13 months ... https://t.co/qzdi49ekha</v>
      </c>
    </row>
    <row r="11341" spans="1:5" ht="15" customHeight="1" x14ac:dyDescent="0.2">
      <c r="A11341" s="1" t="s">
        <v>22463</v>
      </c>
      <c r="B11341" s="1">
        <v>1</v>
      </c>
      <c r="C11341" s="3">
        <v>44534.726493055554</v>
      </c>
      <c r="D11341" s="1" t="s">
        <v>22464</v>
      </c>
      <c r="E11341" s="1" t="str">
        <f ca="1">IFERROR(__xludf.DUMMYFUNCTION("GOOGLETRANSLATE(A8140 , ""tr"" , ""en"")"),"@drfahrettinkoca 40 thousand healthcare you said the presidential gospel came from you but the guide still never arrived please hear ... https://t.co/r0dwhbmvml")</f>
        <v>@drfahrettinkoca 40 thousand healthcare you said the presidential gospel came from you but the guide still never arrived please hear ... https://t.co/r0dwhbmvml</v>
      </c>
    </row>
    <row r="11342" spans="1:5" ht="15" customHeight="1" x14ac:dyDescent="0.2">
      <c r="A11342" s="1" t="s">
        <v>22465</v>
      </c>
      <c r="B11342" s="1">
        <v>4</v>
      </c>
      <c r="C11342" s="3">
        <v>44534.725856481484</v>
      </c>
      <c r="D11342" s="1" t="s">
        <v>22466</v>
      </c>
      <c r="E11342" s="1" t="str">
        <f ca="1">IFERROR(__xludf.DUMMYFUNCTION("GOOGLETRANSLATE(A8141 , ""tr"" , ""en"")"),"@drfahrettinka don't have any news as students are in crowds in enclosed areas and in public transport?")</f>
        <v>@drfahrettinka don't have any news as students are in crowds in enclosed areas and in public transport?</v>
      </c>
    </row>
    <row r="11343" spans="1:5" ht="15" customHeight="1" x14ac:dyDescent="0.2">
      <c r="A11343" s="1" t="s">
        <v>22467</v>
      </c>
      <c r="B11343" s="1">
        <v>0</v>
      </c>
      <c r="C11343" s="3">
        <v>44534.725717592592</v>
      </c>
      <c r="D11343" s="1" t="s">
        <v>22468</v>
      </c>
      <c r="E11343" s="1" t="str">
        <f ca="1">IFERROR(__xludf.DUMMYFUNCTION("GOOGLETRANSLATE(A8142 , ""tr"" , ""en"")"),"@drfahrettinkoca hocam you are a good grace, neither human education will be compromised by us Boyle Biline, good evening.")</f>
        <v>@drfahrettinkoca hocam you are a good grace, neither human education will be compromised by us Boyle Biline, good evening.</v>
      </c>
    </row>
    <row r="11344" spans="1:5" ht="15" customHeight="1" x14ac:dyDescent="0.2">
      <c r="A11344" s="1" t="s">
        <v>22469</v>
      </c>
      <c r="B11344" s="1">
        <v>0</v>
      </c>
      <c r="C11344" s="3">
        <v>44534.725648148145</v>
      </c>
      <c r="D11344" s="1" t="s">
        <v>22470</v>
      </c>
      <c r="E11344" s="1" t="str">
        <f ca="1">IFERROR(__xludf.DUMMYFUNCTION("GOOGLETRANSLATE(A8143 , ""tr"" , ""en"")"),"@drfahrettinkoca closed, crowded media = school?")</f>
        <v>@drfahrettinkoca closed, crowded media = school?</v>
      </c>
    </row>
    <row r="11345" spans="1:5" ht="15" customHeight="1" x14ac:dyDescent="0.2">
      <c r="A11345" s="1" t="s">
        <v>22471</v>
      </c>
      <c r="B11345" s="1">
        <v>0</v>
      </c>
      <c r="C11345" s="3">
        <v>44534.72483796296</v>
      </c>
      <c r="D11345" s="1" t="s">
        <v>22472</v>
      </c>
      <c r="E11345" s="1" t="str">
        <f ca="1">IFERROR(__xludf.DUMMYFUNCTION("GOOGLETRANSLATE(A8144 , ""tr"" , ""en"")"),"@drfahrettinkoca is the result that we remove from seasonal conditions == &amp; GT; Economic Pandemia .... 😛")</f>
        <v>@drfahrettinkoca is the result that we remove from seasonal conditions == &amp; GT; Economic Pandemia .... 😛</v>
      </c>
    </row>
    <row r="11346" spans="1:5" ht="15" customHeight="1" x14ac:dyDescent="0.2">
      <c r="A11346" s="1" t="s">
        <v>22473</v>
      </c>
      <c r="B11346" s="1">
        <v>0</v>
      </c>
      <c r="C11346" s="3">
        <v>44534.724814814814</v>
      </c>
      <c r="D11346" s="1" t="s">
        <v>22474</v>
      </c>
      <c r="E11346" s="1" t="str">
        <f ca="1">IFERROR(__xludf.DUMMYFUNCTION("GOOGLETRANSLATE(A8145 , ""tr"" , ""en"")"),"@drfahrettinkoca Minister Your NAPT us, you did not assign the assignment, you have not declared the healthcare year, you ignore the healther's right to")</f>
        <v>@drfahrettinkoca Minister Your NAPT us, you did not assign the assignment, you have not declared the healthcare year, you ignore the healther's right to</v>
      </c>
    </row>
    <row r="11347" spans="1:5" ht="15" customHeight="1" x14ac:dyDescent="0.2">
      <c r="A11347" s="1" t="s">
        <v>22475</v>
      </c>
      <c r="B11347" s="1">
        <v>2</v>
      </c>
      <c r="C11347" s="3">
        <v>44534.724803240744</v>
      </c>
      <c r="D11347" s="1" t="s">
        <v>22476</v>
      </c>
      <c r="E11347" s="1" t="str">
        <f ca="1">IFERROR(__xludf.DUMMYFUNCTION("GOOGLETRANSLATE(A8146 , ""tr"" , ""en"")"),"@drfahrettinkoca Be your vaccine, keep your recommendations to yourself. No one is your slave. Health ... https://t.co/AVP05IDAA8")</f>
        <v>@drfahrettinkoca Be your vaccine, keep your recommendations to yourself. No one is your slave. Health ... https://t.co/AVP05IDAA8</v>
      </c>
    </row>
    <row r="11348" spans="1:5" ht="15" customHeight="1" x14ac:dyDescent="0.2">
      <c r="A11348" s="1" t="s">
        <v>22477</v>
      </c>
      <c r="B11348" s="1">
        <v>1</v>
      </c>
      <c r="C11348" s="3">
        <v>44534.724791666667</v>
      </c>
      <c r="D11348" s="1" t="s">
        <v>22478</v>
      </c>
      <c r="E11348" s="1" t="str">
        <f ca="1">IFERROR(__xludf.DUMMYFUNCTION("GOOGLETRANSLATE(A8147 , ""tr"" , ""en"")"),"@drfahrettinkoca winter door window open to heat to heat We are dealing with Erzurum Greetings from Erzurum")</f>
        <v>@drfahrettinkoca winter door window open to heat to heat We are dealing with Erzurum Greetings from Erzurum</v>
      </c>
    </row>
    <row r="11349" spans="1:5" ht="15" customHeight="1" x14ac:dyDescent="0.2">
      <c r="A11349" s="1" t="s">
        <v>22479</v>
      </c>
      <c r="B11349" s="1">
        <v>0</v>
      </c>
      <c r="C11349" s="3">
        <v>44534.724780092591</v>
      </c>
      <c r="D11349" s="1" t="s">
        <v>22480</v>
      </c>
      <c r="E11349" s="1" t="str">
        <f ca="1">IFERROR(__xludf.DUMMYFUNCTION("GOOGLETRANSLATE(A8148 , ""tr"" , ""en"")"),"@drfahrettinkoca As if you have done it, Mr. Minister")</f>
        <v>@drfahrettinkoca As if you have done it, Mr. Minister</v>
      </c>
    </row>
    <row r="11350" spans="1:5" ht="15" customHeight="1" x14ac:dyDescent="0.2">
      <c r="A11350" s="1" t="s">
        <v>22481</v>
      </c>
      <c r="B11350" s="1">
        <v>5</v>
      </c>
      <c r="C11350" s="3">
        <v>44534.724675925929</v>
      </c>
      <c r="D11350" s="1" t="s">
        <v>22482</v>
      </c>
      <c r="E11350" s="1" t="str">
        <f ca="1">IFERROR(__xludf.DUMMYFUNCTION("GOOGLETRANSLATE(A8149 , ""tr"" , ""en"")"),"@drfahrettinkoca What is the measure for students? Open the glass?")</f>
        <v>@drfahrettinkoca What is the measure for students? Open the glass?</v>
      </c>
    </row>
    <row r="11351" spans="1:5" ht="15" customHeight="1" x14ac:dyDescent="0.2">
      <c r="A11351" s="1" t="s">
        <v>22483</v>
      </c>
      <c r="B11351" s="1">
        <v>0</v>
      </c>
      <c r="C11351" s="3">
        <v>44534.724490740744</v>
      </c>
      <c r="D11351" s="1" t="s">
        <v>22484</v>
      </c>
      <c r="E11351" s="1" t="str">
        <f ca="1">IFERROR(__xludf.DUMMYFUNCTION("GOOGLETRANSLATE(A8150 , ""tr"" , ""en"")"),"@drfahrettinkoca does not count in indoor environments already stuck bogging buses, no place to fit in classes, 6 k ... https://t.co/slvfilapom")</f>
        <v>@drfahrettinkoca does not count in indoor environments already stuck bogging buses, no place to fit in classes, 6 k ... https://t.co/slvfilapom</v>
      </c>
    </row>
    <row r="11352" spans="1:5" ht="15" customHeight="1" x14ac:dyDescent="0.2">
      <c r="A11352" s="1" t="s">
        <v>22485</v>
      </c>
      <c r="B11352" s="1">
        <v>0</v>
      </c>
      <c r="C11352" s="3">
        <v>44534.724409722221</v>
      </c>
      <c r="D11352" s="1" t="s">
        <v>22486</v>
      </c>
      <c r="E11352" s="1" t="str">
        <f ca="1">IFERROR(__xludf.DUMMYFUNCTION("GOOGLETRANSLATE(A8151 , ""tr"" , ""en"")"),"@drfahrettinkoca Tourism work is over the cases that are subject to increase. Pardon ... https://t.co/d4mrjhssbz")</f>
        <v>@drfahrettinkoca Tourism work is over the cases that are subject to increase. Pardon ... https://t.co/d4mrjhssbz</v>
      </c>
    </row>
    <row r="11353" spans="1:5" ht="15" customHeight="1" x14ac:dyDescent="0.2">
      <c r="A11353" s="1" t="s">
        <v>22487</v>
      </c>
      <c r="B11353" s="1">
        <v>1</v>
      </c>
      <c r="C11353" s="3">
        <v>44534.724270833336</v>
      </c>
      <c r="D11353" s="1" t="s">
        <v>22488</v>
      </c>
      <c r="E11353" s="1" t="str">
        <f ca="1">IFERROR(__xludf.DUMMYFUNCTION("GOOGLETRANSLATE(A8152 , ""tr"" , ""en"")"),"@drfahrettinkoca but 666 Fahri has already been accustomed to killing death medications because it turns to Kobay Hell ... https://t.co/pmamwj5urg")</f>
        <v>@drfahrettinkoca but 666 Fahri has already been accustomed to killing death medications because it turns to Kobay Hell ... https://t.co/pmamwj5urg</v>
      </c>
    </row>
    <row r="11354" spans="1:5" ht="15" customHeight="1" x14ac:dyDescent="0.2">
      <c r="A11354" s="1" t="s">
        <v>22489</v>
      </c>
      <c r="B11354" s="1">
        <v>1</v>
      </c>
      <c r="C11354" s="3">
        <v>44534.723796296297</v>
      </c>
      <c r="D11354" s="1" t="s">
        <v>22490</v>
      </c>
      <c r="E11354" s="1" t="str">
        <f ca="1">IFERROR(__xludf.DUMMYFUNCTION("GOOGLETRANSLATE(A8153 , ""tr"" , ""en"")"),"@drfahrettinkoca schoollaaaaar ???")</f>
        <v>@drfahrettinkoca schoollaaaaar ???</v>
      </c>
    </row>
    <row r="11355" spans="1:5" ht="15" customHeight="1" x14ac:dyDescent="0.2">
      <c r="A11355" s="1" t="s">
        <v>22491</v>
      </c>
      <c r="B11355" s="1">
        <v>0</v>
      </c>
      <c r="C11355" s="3">
        <v>44534.723217592589</v>
      </c>
      <c r="D11355" s="1" t="s">
        <v>22492</v>
      </c>
      <c r="E11355" s="1" t="str">
        <f ca="1">IFERROR(__xludf.DUMMYFUNCTION("GOOGLETRANSLATE(A8154 , ""tr"" , ""en"")"),"@drfahrettinkoca Country Vaccine Minister Asylar's Losses Nasil Storage Report Gormuyormus These Apacic Goz His ... https://t.co/x4ortgs2fl")</f>
        <v>@drfahrettinkoca Country Vaccine Minister Asylar's Losses Nasil Storage Report Gormuyormus These Apacic Goz His ... https://t.co/x4ortgs2fl</v>
      </c>
    </row>
    <row r="11356" spans="1:5" ht="15" customHeight="1" x14ac:dyDescent="0.2">
      <c r="A11356" s="1" t="s">
        <v>22493</v>
      </c>
      <c r="B11356" s="1">
        <v>1</v>
      </c>
      <c r="C11356" s="3">
        <v>44534.723194444443</v>
      </c>
      <c r="D11356" s="1" t="s">
        <v>22494</v>
      </c>
      <c r="E11356" s="1" t="str">
        <f ca="1">IFERROR(__xludf.DUMMYFUNCTION("GOOGLETRANSLATE(A8155 , ""tr"" , ""en"")"),"@drfahrettinkoca is the greatest risk of people like you are tidy traitors.😡😡😡😡😡 https://t.co/ej6ewzqqwk")</f>
        <v>@drfahrettinkoca is the greatest risk of people like you are tidy traitors.😡😡😡😡😡 https://t.co/ej6ewzqqwk</v>
      </c>
    </row>
    <row r="11357" spans="1:5" ht="15" customHeight="1" x14ac:dyDescent="0.2">
      <c r="A11357" s="1" t="s">
        <v>22495</v>
      </c>
      <c r="B11357" s="1">
        <v>4</v>
      </c>
      <c r="C11357" s="3">
        <v>44534.723090277781</v>
      </c>
      <c r="D11357" s="1" t="s">
        <v>22496</v>
      </c>
      <c r="E11357" s="1" t="str">
        <f ca="1">IFERROR(__xludf.DUMMYFUNCTION("GOOGLETRANSLATE(A8156 , ""tr"" , ""en"")"),"@drfahrettinkoca you know how much you heard you hear about us the right of your right to your guide to the artk year ... https://t.co/xtlcsnz32z")</f>
        <v>@drfahrettinkoca you know how much you heard you hear about us the right of your right to your guide to the artk year ... https://t.co/xtlcsnz32z</v>
      </c>
    </row>
    <row r="11358" spans="1:5" ht="15" customHeight="1" x14ac:dyDescent="0.2">
      <c r="A11358" s="1" t="s">
        <v>22497</v>
      </c>
      <c r="B11358" s="1">
        <v>0</v>
      </c>
      <c r="C11358" s="3">
        <v>44534.722974537035</v>
      </c>
      <c r="D11358" s="1" t="s">
        <v>22498</v>
      </c>
      <c r="E11358" s="1" t="str">
        <f ca="1">IFERROR(__xludf.DUMMYFUNCTION("GOOGLETRANSLATE(A8157 , ""tr"" , ""en"")"),"@drfahrettinkoca 3.Doz for 6 months stuffed requirement must be taken to be taken to an early, omicron is spreading rapidly ..!")</f>
        <v>@drfahrettinkoca 3.Doz for 6 months stuffed requirement must be taken to be taken to an early, omicron is spreading rapidly ..!</v>
      </c>
    </row>
    <row r="11359" spans="1:5" ht="15" customHeight="1" x14ac:dyDescent="0.2">
      <c r="A11359" s="1" t="s">
        <v>22499</v>
      </c>
      <c r="B11359" s="1">
        <v>18</v>
      </c>
      <c r="C11359" s="3">
        <v>44534.722743055558</v>
      </c>
      <c r="D11359" s="1" t="s">
        <v>22500</v>
      </c>
      <c r="E11359" s="1" t="str">
        <f ca="1">IFERROR(__xludf.DUMMYFUNCTION("GOOGLETRANSLATE(A8158 , ""tr"" , ""en"")"),"@drfahrettinkoca Mr. Minister, how to do the facial training, how to do them.")</f>
        <v>@drfahrettinkoca Mr. Minister, how to do the facial training, how to do them.</v>
      </c>
    </row>
    <row r="11360" spans="1:5" ht="15" customHeight="1" x14ac:dyDescent="0.2">
      <c r="A11360" s="1" t="s">
        <v>22501</v>
      </c>
      <c r="B11360" s="1">
        <v>0</v>
      </c>
      <c r="C11360" s="3">
        <v>44534.722592592596</v>
      </c>
      <c r="D11360" s="1" t="s">
        <v>22502</v>
      </c>
      <c r="E11360" s="1" t="str">
        <f ca="1">IFERROR(__xludf.DUMMYFUNCTION("GOOGLETRANSLATE(A8159 , ""tr"" , ""en"")"),"@drfahrettinkoca @saglikbakanligi Hocam Tuik e View these figures?")</f>
        <v>@drfahrettinkoca @saglikbakanligi Hocam Tuik e View these figures?</v>
      </c>
    </row>
    <row r="11361" spans="1:5" ht="15" customHeight="1" x14ac:dyDescent="0.2">
      <c r="A11361" s="1" t="s">
        <v>22503</v>
      </c>
      <c r="B11361" s="1">
        <v>0</v>
      </c>
      <c r="C11361" s="3">
        <v>44534.722511574073</v>
      </c>
      <c r="D11361" s="1" t="s">
        <v>22504</v>
      </c>
      <c r="E11361" s="1" t="str">
        <f ca="1">IFERROR(__xludf.DUMMYFUNCTION("GOOGLETRANSLATE(A8160 , ""tr"" , ""en"")"),"@drfahrettinkoca This virus and fitting WHO treatments were also provided to the opportunities. Health food and economy vu ... https://t.co/7shkrmh13v")</f>
        <v>@drfahrettinkoca This virus and fitting WHO treatments were also provided to the opportunities. Health food and economy vu ... https://t.co/7shkrmh13v</v>
      </c>
    </row>
    <row r="11362" spans="1:5" ht="15" customHeight="1" x14ac:dyDescent="0.2">
      <c r="A11362" s="1" t="s">
        <v>22505</v>
      </c>
      <c r="B11362" s="1">
        <v>0</v>
      </c>
      <c r="C11362" s="3">
        <v>44534.722303240742</v>
      </c>
      <c r="D11362" s="1" t="s">
        <v>22506</v>
      </c>
      <c r="E11362" s="1" t="str">
        <f ca="1">IFERROR(__xludf.DUMMYFUNCTION("GOOGLETRANSLATE(A8161 , ""tr"" , ""en"")"),"@drfahrettinkoca Ya Hu Guide Summer Bi Gun")</f>
        <v>@drfahrettinkoca Ya Hu Guide Summer Bi Gun</v>
      </c>
    </row>
    <row r="11363" spans="1:5" ht="15" customHeight="1" x14ac:dyDescent="0.2">
      <c r="A11363" s="1" t="s">
        <v>22507</v>
      </c>
      <c r="B11363" s="1">
        <v>5</v>
      </c>
      <c r="C11363" s="3">
        <v>44534.722210648149</v>
      </c>
      <c r="D11363" s="1" t="s">
        <v>22508</v>
      </c>
      <c r="E11363" s="1" t="str">
        <f ca="1">IFERROR(__xludf.DUMMYFUNCTION("GOOGLETRANSLATE(A8162 , ""tr"" , ""en"")"),"@drfahrettinkoca Vallahi I'm astonished I can't believe my eyes. There is a risk Yes we know that. What are we looking forward to ... https://t.co/kccxw16and")</f>
        <v>@drfahrettinkoca Vallahi I'm astonished I can't believe my eyes. There is a risk Yes we know that. What are we looking forward to ... https://t.co/kccxw16and</v>
      </c>
    </row>
    <row r="11364" spans="1:5" ht="15" customHeight="1" x14ac:dyDescent="0.2">
      <c r="A11364" s="1" t="s">
        <v>22509</v>
      </c>
      <c r="B11364" s="1">
        <v>1</v>
      </c>
      <c r="C11364" s="3">
        <v>44534.721412037034</v>
      </c>
      <c r="D11364" s="1" t="s">
        <v>22510</v>
      </c>
      <c r="E11364" s="1" t="str">
        <f ca="1">IFERROR(__xludf.DUMMYFUNCTION("GOOGLETRANSLATE(A8163 , ""tr"" , ""en"")"),"@drfahrettinkoca Mr. Overlooking Her this year is the champion this year? Severely the severity of these shares, let me ask that ...")</f>
        <v>@drfahrettinkoca Mr. Overlooking Her this year is the champion this year? Severely the severity of these shares, let me ask that ...</v>
      </c>
    </row>
    <row r="11365" spans="1:5" ht="15" customHeight="1" x14ac:dyDescent="0.2">
      <c r="A11365" s="1" t="s">
        <v>22511</v>
      </c>
      <c r="B11365" s="1">
        <v>32</v>
      </c>
      <c r="C11365" s="3">
        <v>44534.720833333333</v>
      </c>
      <c r="D11365" s="1" t="s">
        <v>22512</v>
      </c>
      <c r="E11365" s="1" t="str">
        <f ca="1">IFERROR(__xludf.DUMMYFUNCTION("GOOGLETRANSLATE(A8164 , ""tr"" , ""en"")"),"@drfahrettinkoca Late these. Mandate to immunization. Start the ages of 5-11 years. Health care of employees ... https://t.co/xnckolxf8p")</f>
        <v>@drfahrettinkoca Late these. Mandate to immunization. Start the ages of 5-11 years. Health care of employees ... https://t.co/xnckolxf8p</v>
      </c>
    </row>
    <row r="11366" spans="1:5" ht="15" customHeight="1" x14ac:dyDescent="0.2">
      <c r="A11366" s="1" t="s">
        <v>22513</v>
      </c>
      <c r="B11366" s="1">
        <v>3</v>
      </c>
      <c r="C11366" s="3">
        <v>44534.720694444448</v>
      </c>
      <c r="D11366" s="1" t="s">
        <v>22514</v>
      </c>
      <c r="E11366" s="1" t="str">
        <f ca="1">IFERROR(__xludf.DUMMYFUNCTION("GOOGLETRANSLATE(A8165 , ""tr"" , ""en"")"),"@drfahrettinkoca Covered areas in crowds have risk in public transports what we expect exactly what are we?")</f>
        <v>@drfahrettinkoca Covered areas in crowds have risk in public transports what we expect exactly what are we?</v>
      </c>
    </row>
    <row r="11367" spans="1:5" ht="15" customHeight="1" x14ac:dyDescent="0.2">
      <c r="A11367" s="1" t="s">
        <v>22515</v>
      </c>
      <c r="B11367" s="1">
        <v>0</v>
      </c>
      <c r="C11367" s="3">
        <v>44534.720659722225</v>
      </c>
      <c r="D11367" s="1" t="s">
        <v>22516</v>
      </c>
      <c r="E11367" s="1" t="str">
        <f ca="1">IFERROR(__xludf.DUMMYFUNCTION("GOOGLETRANSLATE(A8166 , ""tr"" , ""en"")"),"@drfahrettinkoca Doctors who disrupt doctors 40-year-old began to go to German courses")</f>
        <v>@drfahrettinkoca Doctors who disrupt doctors 40-year-old began to go to German courses</v>
      </c>
    </row>
    <row r="11368" spans="1:5" ht="15" customHeight="1" x14ac:dyDescent="0.2">
      <c r="A11368" s="1" t="s">
        <v>22517</v>
      </c>
      <c r="B11368" s="1">
        <v>33</v>
      </c>
      <c r="C11368" s="3">
        <v>44534.720532407409</v>
      </c>
      <c r="D11368" s="1" t="s">
        <v>22518</v>
      </c>
      <c r="E11368" s="1" t="str">
        <f ca="1">IFERROR(__xludf.DUMMYFUNCTION("GOOGLETRANSLATE(A8167 , ""tr"" , ""en"")"),"@drfahrettinkoca eviVttt alicann We've naked This is the opposite of the lovelies of the fake, this cuce degil, GUV to the power of Allah ... https://t.co/rbnjjq9vsf")</f>
        <v>@drfahrettinkoca eviVttt alicann We've naked This is the opposite of the lovelies of the fake, this cuce degil, GUV to the power of Allah ... https://t.co/rbnjjq9vsf</v>
      </c>
    </row>
    <row r="11369" spans="1:5" ht="15" customHeight="1" x14ac:dyDescent="0.2">
      <c r="A11369" s="1" t="s">
        <v>22519</v>
      </c>
      <c r="B11369" s="1">
        <v>1</v>
      </c>
      <c r="C11369" s="3">
        <v>44534.720532407409</v>
      </c>
      <c r="D11369" s="1" t="s">
        <v>22520</v>
      </c>
      <c r="E11369" s="1" t="str">
        <f ca="1">IFERROR(__xludf.DUMMYFUNCTION("GOOGLETRANSLATE(A8168 , ""tr"" , ""en"")"),"@drfahrettinka https://t.co/bzcofosqhi")</f>
        <v>@drfahrettinka https://t.co/bzcofosqhi</v>
      </c>
    </row>
    <row r="11370" spans="1:5" ht="15" customHeight="1" x14ac:dyDescent="0.2">
      <c r="A11370" s="1" t="s">
        <v>22521</v>
      </c>
      <c r="B11370" s="1">
        <v>0</v>
      </c>
      <c r="C11370" s="3">
        <v>44534.720208333332</v>
      </c>
      <c r="D11370" s="1" t="s">
        <v>22522</v>
      </c>
      <c r="E11370" s="1" t="str">
        <f ca="1">IFERROR(__xludf.DUMMYFUNCTION("GOOGLETRANSLATE(A8169 , ""tr"" , ""en"")"),"@drfahrettinkoca Do you look at the interesting in the enclosed environments, do not be found for a long time in the environments how schools are open.")</f>
        <v>@drfahrettinkoca Do you look at the interesting in the enclosed environments, do not be found for a long time in the environments how schools are open.</v>
      </c>
    </row>
    <row r="11371" spans="1:5" ht="15" customHeight="1" x14ac:dyDescent="0.2">
      <c r="A11371" s="1" t="s">
        <v>22523</v>
      </c>
      <c r="B11371" s="1">
        <v>0</v>
      </c>
      <c r="C11371" s="3">
        <v>44534.719861111109</v>
      </c>
      <c r="D11371" s="1" t="s">
        <v>22524</v>
      </c>
      <c r="E11371" s="1" t="str">
        <f ca="1">IFERROR(__xludf.DUMMYFUNCTION("GOOGLETRANSLATE(A8170 , ""tr"" , ""en"")"),"@drfahrettinkoca Mr. Minister Do not enter people in bulk fields You are warning.")</f>
        <v>@drfahrettinkoca Mr. Minister Do not enter people in bulk fields You are warning.</v>
      </c>
    </row>
    <row r="11372" spans="1:5" ht="15" customHeight="1" x14ac:dyDescent="0.2">
      <c r="A11372" s="1" t="s">
        <v>22525</v>
      </c>
      <c r="B11372" s="1">
        <v>0</v>
      </c>
      <c r="C11372" s="3">
        <v>44534.71979166667</v>
      </c>
      <c r="D11372" s="1" t="s">
        <v>22526</v>
      </c>
      <c r="E11372" s="1" t="str">
        <f ca="1">IFERROR(__xludf.DUMMYFUNCTION("GOOGLETRANSLATE(A8171 , ""tr"" , ""en"")"),"@drfahrettinkoca yeah Çökuk Kids We have made our principal don't get out of the house but 50 people class 40 ... https://t.co/hlhr2esewe")</f>
        <v>@drfahrettinkoca yeah Çökuk Kids We have made our principal don't get out of the house but 50 people class 40 ... https://t.co/hlhr2esewe</v>
      </c>
    </row>
    <row r="11373" spans="1:5" ht="15" customHeight="1" x14ac:dyDescent="0.2">
      <c r="A11373" s="1" t="s">
        <v>22527</v>
      </c>
      <c r="B11373" s="1">
        <v>21</v>
      </c>
      <c r="C11373" s="3">
        <v>44534.719710648147</v>
      </c>
      <c r="D11373" s="1" t="s">
        <v>22528</v>
      </c>
      <c r="E11373" s="1" t="str">
        <f ca="1">IFERROR(__xludf.DUMMYFUNCTION("GOOGLETRANSLATE(A8172 , ""tr"" , ""en"")"),"@drfahrettinkoca we know them. Measures to be taken overall. It's doing it right now. So ... https://t.co/x2jmmmbvcul")</f>
        <v>@drfahrettinkoca we know them. Measures to be taken overall. It's doing it right now. So ... https://t.co/x2jmmmbvcul</v>
      </c>
    </row>
    <row r="11374" spans="1:5" ht="15" customHeight="1" x14ac:dyDescent="0.2">
      <c r="A11374" s="1" t="s">
        <v>22529</v>
      </c>
      <c r="B11374" s="1">
        <v>0</v>
      </c>
      <c r="C11374" s="3">
        <v>44534.719189814816</v>
      </c>
      <c r="D11374" s="1" t="s">
        <v>22530</v>
      </c>
      <c r="E11374" s="1" t="str">
        <f ca="1">IFERROR(__xludf.DUMMYFUNCTION("GOOGLETRANSLATE(A8173 , ""tr"" , ""en"")"),"@drfahrettinkoca How many vaccines should we have to make number 1.2.3.4 ..... How many?")</f>
        <v>@drfahrettinkoca How many vaccines should we have to make number 1.2.3.4 ..... How many?</v>
      </c>
    </row>
    <row r="11375" spans="1:5" ht="15" customHeight="1" x14ac:dyDescent="0.2">
      <c r="A11375" s="1" t="s">
        <v>22531</v>
      </c>
      <c r="B11375" s="1">
        <v>0</v>
      </c>
      <c r="C11375" s="3">
        <v>44534.719097222223</v>
      </c>
      <c r="D11375" s="1" t="s">
        <v>22532</v>
      </c>
      <c r="E11375" s="1" t="str">
        <f ca="1">IFERROR(__xludf.DUMMYFUNCTION("GOOGLETRANSLATE(A8174 , ""tr"" , ""en"")"),"@drfahrettinkoca Covid didn't go more or I have forgotten Vallaha I went to late Derdine düstük.faturas rent month's end ... https://t.co/ialpea7ecd")</f>
        <v>@drfahrettinkoca Covid didn't go more or I have forgotten Vallaha I went to late Derdine düstük.faturas rent month's end ... https://t.co/ialpea7ecd</v>
      </c>
    </row>
    <row r="11376" spans="1:5" ht="15" customHeight="1" x14ac:dyDescent="0.2">
      <c r="A11376" s="1" t="s">
        <v>22533</v>
      </c>
      <c r="B11376" s="1">
        <v>0</v>
      </c>
      <c r="C11376" s="3">
        <v>44534.718865740739</v>
      </c>
      <c r="D11376" s="1" t="s">
        <v>22534</v>
      </c>
      <c r="E11376" s="1" t="str">
        <f ca="1">IFERROR(__xludf.DUMMYFUNCTION("GOOGLETRANSLATE(A8175 , ""tr"" , ""en"")"),"@drfahrettinka 4 December 2020 No vaccine! Number of tests: 194.435 Cases: 32,736 Number of patients: 6,903 Death: 193 4 Range ... https://t.co/1hdofxm72q")</f>
        <v>@drfahrettinka 4 December 2020 No vaccine! Number of tests: 194.435 Cases: 32,736 Number of patients: 6,903 Death: 193 4 Range ... https://t.co/1hdofxm72q</v>
      </c>
    </row>
    <row r="11377" spans="1:5" ht="15" customHeight="1" x14ac:dyDescent="0.2">
      <c r="A11377" s="1" t="s">
        <v>22535</v>
      </c>
      <c r="B11377" s="1">
        <v>2</v>
      </c>
      <c r="C11377" s="3">
        <v>44534.718506944446</v>
      </c>
      <c r="D11377" s="1" t="s">
        <v>22536</v>
      </c>
      <c r="E11377" s="1" t="str">
        <f ca="1">IFERROR(__xludf.DUMMYFUNCTION("GOOGLETRANSLATE(A8176 , ""tr"" , ""en"")"),"@drfahrettinka dearest teacher We are very good thankful Ultra Everything exactly continue. 3 days Birthday celebrated everyone ... https://t.co/zıutcoqkq2")</f>
        <v>@drfahrettinka dearest teacher We are very good thankful Ultra Everything exactly continue. 3 days Birthday celebrated everyone ... https://t.co/zıutcoqkq2</v>
      </c>
    </row>
    <row r="11378" spans="1:5" ht="15" customHeight="1" x14ac:dyDescent="0.2">
      <c r="A11378" s="1" t="s">
        <v>22537</v>
      </c>
      <c r="B11378" s="1">
        <v>2</v>
      </c>
      <c r="C11378" s="3">
        <v>44534.718356481484</v>
      </c>
      <c r="D11378" s="1" t="s">
        <v>22538</v>
      </c>
      <c r="E11378" s="1" t="str">
        <f ca="1">IFERROR(__xludf.DUMMYFUNCTION("GOOGLETRANSLATE(A8177 , ""tr"" , ""en"")"),"@drfahrettinkoca then give the flu acid to the market ...")</f>
        <v>@drfahrettinkoca then give the flu acid to the market ...</v>
      </c>
    </row>
    <row r="11379" spans="1:5" ht="15" customHeight="1" x14ac:dyDescent="0.2">
      <c r="A11379" s="1" t="s">
        <v>22539</v>
      </c>
      <c r="B11379" s="1">
        <v>10</v>
      </c>
      <c r="C11379" s="3">
        <v>44534.718043981484</v>
      </c>
      <c r="D11379" s="1" t="s">
        <v>22540</v>
      </c>
      <c r="E11379" s="1" t="str">
        <f ca="1">IFERROR(__xludf.DUMMYFUNCTION("GOOGLETRANSLATE(A8178 , ""tr"" , ""en"")"),"@drfahrettinkoca min overlooking, you have lost over 200 every day! We are listening to cleaning advice from you. Your stomach ... https://t.co/zomll21")</f>
        <v>@drfahrettinkoca min overlooking, you have lost over 200 every day! We are listening to cleaning advice from you. Your stomach ... https://t.co/zomll21</v>
      </c>
    </row>
    <row r="11380" spans="1:5" ht="15" customHeight="1" x14ac:dyDescent="0.2">
      <c r="A11380" s="1" t="s">
        <v>22541</v>
      </c>
      <c r="B11380" s="1">
        <v>0</v>
      </c>
      <c r="C11380" s="3">
        <v>44534.718009259261</v>
      </c>
      <c r="D11380" s="1" t="s">
        <v>22542</v>
      </c>
      <c r="E11380" s="1" t="str">
        <f ca="1">IFERROR(__xludf.DUMMYFUNCTION("GOOGLETRANSLATE(A8179 , ""tr"" , ""en"")"),"@drfahrettinkoca BES Mourning Alti Children, Amikrona Karsi, No Rating Parents, If you need to maintain, to school, to school c ... https://t.co/togqx7lok9")</f>
        <v>@drfahrettinkoca BES Mourning Alti Children, Amikrona Karsi, No Rating Parents, If you need to maintain, to school, to school c ... https://t.co/togqx7lok9</v>
      </c>
    </row>
    <row r="11381" spans="1:5" ht="15" customHeight="1" x14ac:dyDescent="0.2">
      <c r="A11381" s="1" t="s">
        <v>22543</v>
      </c>
      <c r="B11381" s="1">
        <v>0</v>
      </c>
      <c r="C11381" s="3">
        <v>44534.717835648145</v>
      </c>
      <c r="D11381" s="1" t="s">
        <v>22544</v>
      </c>
      <c r="E11381" s="1" t="str">
        <f ca="1">IFERROR(__xludf.DUMMYFUNCTION("GOOGLETRANSLATE(A8180 , ""tr"" , ""en"")"),"@drfahrettinkoca 👏👏👏👏👏👏Harika Your Lies Just Laughing Now")</f>
        <v>@drfahrettinkoca 👏👏👏👏👏👏Harika Your Lies Just Laughing Now</v>
      </c>
    </row>
    <row r="11382" spans="1:5" ht="15" customHeight="1" x14ac:dyDescent="0.2">
      <c r="A11382" s="1" t="s">
        <v>22545</v>
      </c>
      <c r="B11382" s="1">
        <v>0</v>
      </c>
      <c r="C11382" s="3">
        <v>44534.71775462963</v>
      </c>
      <c r="D11382" s="1" t="s">
        <v>22546</v>
      </c>
      <c r="E11382" s="1" t="str">
        <f ca="1">IFERROR(__xludf.DUMMYFUNCTION("GOOGLETRANSLATE(A8181 , ""tr"" , ""en"")"),"@drfahrettinka What do our children at school do?")</f>
        <v>@drfahrettinka What do our children at school do?</v>
      </c>
    </row>
    <row r="11383" spans="1:5" ht="15" customHeight="1" x14ac:dyDescent="0.2">
      <c r="A11383" s="1" t="s">
        <v>22547</v>
      </c>
      <c r="B11383" s="1">
        <v>0</v>
      </c>
      <c r="C11383" s="3">
        <v>44534.717685185184</v>
      </c>
      <c r="D11383" s="1" t="s">
        <v>22548</v>
      </c>
      <c r="E11383" s="1" t="str">
        <f ca="1">IFERROR(__xludf.DUMMYFUNCTION("GOOGLETRANSLATE(A8182 , ""tr"" , ""en"")"),"@drfahrettinkoca Mr. Ministry, you say not to be found in indoor environments, we find the teachers in the crowded grades ... https://t.co/foosr7zfkk")</f>
        <v>@drfahrettinkoca Mr. Ministry, you say not to be found in indoor environments, we find the teachers in the crowded grades ... https://t.co/foosr7zfkk</v>
      </c>
    </row>
    <row r="11384" spans="1:5" ht="15" customHeight="1" x14ac:dyDescent="0.2">
      <c r="A11384" s="1" t="s">
        <v>22549</v>
      </c>
      <c r="B11384" s="1">
        <v>2</v>
      </c>
      <c r="C11384" s="3">
        <v>44534.717650462961</v>
      </c>
      <c r="D11384" s="1" t="s">
        <v>22550</v>
      </c>
      <c r="E11384" s="1" t="str">
        <f ca="1">IFERROR(__xludf.DUMMYFUNCTION("GOOGLETRANSLATE(A8183 , ""tr"" , ""en"")"),"@drfahrettinkoca You are not usanned from us either # Healthier")</f>
        <v>@drfahrettinkoca You are not usanned from us either # Healthier</v>
      </c>
    </row>
    <row r="11385" spans="1:5" ht="15" customHeight="1" x14ac:dyDescent="0.2">
      <c r="A11385" s="1" t="s">
        <v>22551</v>
      </c>
      <c r="B11385" s="1">
        <v>38</v>
      </c>
      <c r="C11385" s="3">
        <v>44534.717268518521</v>
      </c>
      <c r="D11385" s="1" t="s">
        <v>22552</v>
      </c>
      <c r="E11385" s="1" t="str">
        <f ca="1">IFERROR(__xludf.DUMMYFUNCTION("GOOGLETRANSLATE(A8184 , ""tr"" , ""en"")"),"@drfahrettinkoca If we open windows in schools, we will be sick of the cold, we will close the windows, we will die in the virus ... https://t.co/waohein3m6")</f>
        <v>@drfahrettinkoca If we open windows in schools, we will be sick of the cold, we will close the windows, we will die in the virus ... https://t.co/waohein3m6</v>
      </c>
    </row>
    <row r="11386" spans="1:5" ht="15" customHeight="1" x14ac:dyDescent="0.2">
      <c r="A11386" s="1" t="s">
        <v>22553</v>
      </c>
      <c r="B11386" s="1">
        <v>0</v>
      </c>
      <c r="C11386" s="3">
        <v>44534.716631944444</v>
      </c>
      <c r="D11386" s="1" t="s">
        <v>22554</v>
      </c>
      <c r="E11386" s="1" t="str">
        <f ca="1">IFERROR(__xludf.DUMMYFUNCTION("GOOGLETRANSLATE(A8185 , ""tr"" , ""en"")"),"@drfahrettinka if it keeps vaccine napacaz? Where is Achilanacagiz? When will you make it? Who will all win when we all become vaccinated?")</f>
        <v>@drfahrettinka if it keeps vaccine napacaz? Where is Achilanacagiz? When will you make it? Who will all win when we all become vaccinated?</v>
      </c>
    </row>
    <row r="11387" spans="1:5" ht="15" customHeight="1" x14ac:dyDescent="0.2">
      <c r="A11387" s="1" t="s">
        <v>22555</v>
      </c>
      <c r="B11387" s="1">
        <v>0</v>
      </c>
      <c r="C11387" s="3">
        <v>44534.716597222221</v>
      </c>
      <c r="D11387" s="1" t="s">
        <v>22556</v>
      </c>
      <c r="E11387" s="1" t="str">
        <f ca="1">IFERROR(__xludf.DUMMYFUNCTION("GOOGLETRANSLATE(A8186 , ""tr"" , ""en"")"),"@drfahrettinkoca not to take risks to avoid having these liquids in trial phase is more sensible ultimately the risk of side effects too ... https://t.co/s78tpvgapz")</f>
        <v>@drfahrettinkoca not to take risks to avoid having these liquids in trial phase is more sensible ultimately the risk of side effects too ... https://t.co/s78tpvgapz</v>
      </c>
    </row>
    <row r="11388" spans="1:5" ht="15" customHeight="1" x14ac:dyDescent="0.2">
      <c r="A11388" s="1" t="s">
        <v>22557</v>
      </c>
      <c r="B11388" s="1">
        <v>7</v>
      </c>
      <c r="C11388" s="3">
        <v>44534.716192129628</v>
      </c>
      <c r="D11388" s="1" t="s">
        <v>22558</v>
      </c>
      <c r="E11388" s="1" t="str">
        <f ca="1">IFERROR(__xludf.DUMMYFUNCTION("GOOGLETRANSLATE(A8187 , ""tr"" , ""en"")"),"@drfahrettinkoca is so sad pity! To say that the enclosed areas and crowds are risks and no measures.")</f>
        <v>@drfahrettinkoca is so sad pity! To say that the enclosed areas and crowds are risks and no measures.</v>
      </c>
    </row>
    <row r="11389" spans="1:5" ht="15" customHeight="1" x14ac:dyDescent="0.2">
      <c r="A11389" s="1" t="s">
        <v>22559</v>
      </c>
      <c r="B11389" s="1">
        <v>0</v>
      </c>
      <c r="C11389" s="3">
        <v>44534.715173611112</v>
      </c>
      <c r="D11389" s="1" t="s">
        <v>22560</v>
      </c>
      <c r="E11389" s="1" t="str">
        <f ca="1">IFERROR(__xludf.DUMMYFUNCTION("GOOGLETRANSLATE(A8188 , ""tr"" , ""en"")"),"@drfahrettinkoca you have increased the risk you call children in crowded grades you call to education # distance")</f>
        <v>@drfahrettinkoca you have increased the risk you call children in crowded grades you call to education # distance</v>
      </c>
    </row>
    <row r="11390" spans="1:5" ht="15" customHeight="1" x14ac:dyDescent="0.2">
      <c r="A11390" s="1" t="s">
        <v>22561</v>
      </c>
      <c r="B11390" s="1">
        <v>0</v>
      </c>
      <c r="C11390" s="3">
        <v>44534.715162037035</v>
      </c>
      <c r="D11390" s="1" t="s">
        <v>22562</v>
      </c>
      <c r="E11390" s="1" t="str">
        <f ca="1">IFERROR(__xludf.DUMMYFUNCTION("GOOGLETRANSLATE(A8189 , ""tr"" , ""en"")"),"@drfahrettinka thank you. A vaccine minister is not easy to grow.")</f>
        <v>@drfahrettinka thank you. A vaccine minister is not easy to grow.</v>
      </c>
    </row>
    <row r="11391" spans="1:5" ht="15" customHeight="1" x14ac:dyDescent="0.2">
      <c r="A11391" s="1" t="s">
        <v>22563</v>
      </c>
      <c r="B11391" s="1">
        <v>0</v>
      </c>
      <c r="C11391" s="3">
        <v>44534.714849537035</v>
      </c>
      <c r="D11391" s="1" t="s">
        <v>22564</v>
      </c>
      <c r="E11391" s="1" t="str">
        <f ca="1">IFERROR(__xludf.DUMMYFUNCTION("GOOGLETRANSLATE(A8190 , ""tr"" , ""en"")"),"@drfahrettinkoca Fahrettin Bey Let's be the vaccine today, I didn't say, I'm going to go in and see if it is good, again when you think of life ... https://t.co/k9nfu9og4l")</f>
        <v>@drfahrettinkoca Fahrettin Bey Let's be the vaccine today, I didn't say, I'm going to go in and see if it is good, again when you think of life ... https://t.co/k9nfu9og4l</v>
      </c>
    </row>
    <row r="11392" spans="1:5" ht="15" customHeight="1" x14ac:dyDescent="0.2">
      <c r="A11392" s="1" t="s">
        <v>22565</v>
      </c>
      <c r="B11392" s="1">
        <v>44</v>
      </c>
      <c r="C11392" s="3">
        <v>44534.713993055557</v>
      </c>
      <c r="D11392" s="1" t="s">
        <v>22566</v>
      </c>
      <c r="E11392" s="1" t="str">
        <f ca="1">IFERROR(__xludf.DUMMYFUNCTION("GOOGLETRANSLATE(A8191 , ""tr"" , ""en"")"),"@drfahrettinkoca schools you say the safest place so you are aware of your contradiction with yourself both indoor ... https://t.co/gsqcıviqea")</f>
        <v>@drfahrettinkoca schools you say the safest place so you are aware of your contradiction with yourself both indoor ... https://t.co/gsqcıviqea</v>
      </c>
    </row>
    <row r="11393" spans="1:5" ht="15" customHeight="1" x14ac:dyDescent="0.2">
      <c r="A11393" s="1" t="s">
        <v>22567</v>
      </c>
      <c r="B11393" s="1">
        <v>3</v>
      </c>
      <c r="C11393" s="3">
        <v>44534.713263888887</v>
      </c>
      <c r="D11393" s="1" t="s">
        <v>22568</v>
      </c>
      <c r="E11393" s="1" t="str">
        <f ca="1">IFERROR(__xludf.DUMMYFUNCTION("GOOGLETRANSLATE(A8192 , ""tr"" , ""en"")"),"@drfahrettinkoca dose of dosens left behind the citizens that should forget 4 dose 3 dose of doses all the time ... https://t.co/X9WGHMBIGT")</f>
        <v>@drfahrettinkoca dose of dosens left behind the citizens that should forget 4 dose 3 dose of doses all the time ... https://t.co/X9WGHMBIGT</v>
      </c>
    </row>
    <row r="11394" spans="1:5" ht="15" customHeight="1" x14ac:dyDescent="0.2">
      <c r="A11394" s="1" t="s">
        <v>22569</v>
      </c>
      <c r="B11394" s="1">
        <v>1</v>
      </c>
      <c r="C11394" s="3">
        <v>44534.713229166664</v>
      </c>
      <c r="D11394" s="1" t="s">
        <v>22570</v>
      </c>
      <c r="E11394" s="1" t="str">
        <f ca="1">IFERROR(__xludf.DUMMYFUNCTION("GOOGLETRANSLATE(A8193 , ""tr"" , ""en"")"),"@drfahrettinka https://t.co/dsld4jeqrm")</f>
        <v>@drfahrettinka https://t.co/dsld4jeqrm</v>
      </c>
    </row>
    <row r="11395" spans="1:5" ht="15" customHeight="1" x14ac:dyDescent="0.2">
      <c r="A11395" s="1" t="s">
        <v>22571</v>
      </c>
      <c r="B11395" s="1">
        <v>70</v>
      </c>
      <c r="C11395" s="3">
        <v>44534.712997685187</v>
      </c>
      <c r="D11395" s="1" t="s">
        <v>22572</v>
      </c>
      <c r="E11395" s="1" t="str">
        <f ca="1">IFERROR(__xludf.DUMMYFUNCTION("GOOGLETRANSLATE(A8194 , ""tr"" , ""en"")"),"@drfahrettinka Do not enter both the crowded environments you say both the right to distance education and hours of our children ... https://t.co/ol9ve7IUID")</f>
        <v>@drfahrettinka Do not enter both the crowded environments you say both the right to distance education and hours of our children ... https://t.co/ol9ve7IUID</v>
      </c>
    </row>
    <row r="11396" spans="1:5" ht="15" customHeight="1" x14ac:dyDescent="0.2">
      <c r="A11396" s="1" t="s">
        <v>22573</v>
      </c>
      <c r="B11396" s="1">
        <v>3</v>
      </c>
      <c r="C11396" s="3">
        <v>44534.712824074071</v>
      </c>
      <c r="D11396" s="1" t="s">
        <v>22574</v>
      </c>
      <c r="E11396" s="1" t="str">
        <f ca="1">IFERROR(__xludf.DUMMYFUNCTION("GOOGLETRANSLATE(A8195 , ""tr"" , ""en"")"),"@drfahrettinkoca How are they to do this in prisons? Little more than we were getting back to my prisons. Punishment ... https://t.co/ksddtyiztp")</f>
        <v>@drfahrettinkoca How are they to do this in prisons? Little more than we were getting back to my prisons. Punishment ... https://t.co/ksddtyiztp</v>
      </c>
    </row>
    <row r="11397" spans="1:5" ht="15" customHeight="1" x14ac:dyDescent="0.2">
      <c r="A11397" s="1" t="s">
        <v>22575</v>
      </c>
      <c r="B11397" s="1">
        <v>2</v>
      </c>
      <c r="C11397" s="3">
        <v>44534.712800925925</v>
      </c>
      <c r="D11397" s="1" t="s">
        <v>22576</v>
      </c>
      <c r="E11397" s="1" t="str">
        <f ca="1">IFERROR(__xludf.DUMMYFUNCTION("GOOGLETRANSLATE(A8196 , ""tr"" , ""en"")"),"@drfahrettinkoca first 90 days 42,086 people dying 1223 unrecoverable 11.361 (nerves?) and unknown 9.400 but still r ... https://t.co/DBOBIXQYRY")</f>
        <v>@drfahrettinkoca first 90 days 42,086 people dying 1223 unrecoverable 11.361 (nerves?) and unknown 9.400 but still r ... https://t.co/DBOBIXQYRY</v>
      </c>
    </row>
    <row r="11398" spans="1:5" ht="15" customHeight="1" x14ac:dyDescent="0.2">
      <c r="A11398" s="1" t="s">
        <v>22577</v>
      </c>
      <c r="B11398" s="1">
        <v>0</v>
      </c>
      <c r="C11398" s="3">
        <v>44534.712650462963</v>
      </c>
      <c r="D11398" s="1" t="s">
        <v>22578</v>
      </c>
      <c r="E11398" s="1" t="str">
        <f ca="1">IFERROR(__xludf.DUMMYFUNCTION("GOOGLETRANSLATE(A8197 , ""tr"" , ""en"")"),"@drfahrettinkoca kilavusss")</f>
        <v>@drfahrettinkoca kilavusss</v>
      </c>
    </row>
    <row r="11399" spans="1:5" ht="15" customHeight="1" x14ac:dyDescent="0.2">
      <c r="A11399" s="1" t="s">
        <v>22579</v>
      </c>
      <c r="B11399" s="1">
        <v>3</v>
      </c>
      <c r="C11399" s="3">
        <v>44534.712650462963</v>
      </c>
      <c r="D11399" s="1" t="s">
        <v>22580</v>
      </c>
      <c r="E11399" s="1" t="str">
        <f ca="1">IFERROR(__xludf.DUMMYFUNCTION("GOOGLETRANSLATE(A8198 , ""tr"" , ""en"")"),"@drfahrettinka shut up at the school then")</f>
        <v>@drfahrettinka shut up at the school then</v>
      </c>
    </row>
    <row r="11400" spans="1:5" ht="15" customHeight="1" x14ac:dyDescent="0.2">
      <c r="A11400" s="1" t="s">
        <v>22581</v>
      </c>
      <c r="B11400" s="1">
        <v>0</v>
      </c>
      <c r="C11400" s="3">
        <v>44534.712592592594</v>
      </c>
      <c r="D11400" s="1" t="s">
        <v>22582</v>
      </c>
      <c r="E11400" s="1" t="str">
        <f ca="1">IFERROR(__xludf.DUMMYFUNCTION("GOOGLETRANSLATE(A8199 , ""tr"" , ""en"")"),"@drfahrettinkoca Mr. Minister This PFZer documents will be treated with hospitals and doctors m ... https://t.co/qq5ocwpwzl")</f>
        <v>@drfahrettinkoca Mr. Minister This PFZer documents will be treated with hospitals and doctors m ... https://t.co/qq5ocwpwzl</v>
      </c>
    </row>
    <row r="11401" spans="1:5" ht="15" customHeight="1" x14ac:dyDescent="0.2">
      <c r="A11401" s="1" t="s">
        <v>22583</v>
      </c>
      <c r="B11401" s="1">
        <v>2</v>
      </c>
      <c r="C11401" s="3">
        <v>44534.712407407409</v>
      </c>
      <c r="D11401" s="1" t="s">
        <v>22584</v>
      </c>
      <c r="E11401" s="1" t="str">
        <f ca="1">IFERROR(__xludf.DUMMYFUNCTION("GOOGLETRANSLATE(A8200 , ""tr"" , ""en"")"),"@drfahrettinkoca Ya Naplim Dormitory in schools What do you do in the dininghouses in 1000 people in the dormitories Abi How is you a Baka ... https://t.co/jydrbormkv")</f>
        <v>@drfahrettinkoca Ya Naplim Dormitory in schools What do you do in the dininghouses in 1000 people in the dormitories Abi How is you a Baka ... https://t.co/jydrbormkv</v>
      </c>
    </row>
    <row r="11402" spans="1:5" ht="15" customHeight="1" x14ac:dyDescent="0.2">
      <c r="A11402" s="1" t="s">
        <v>22585</v>
      </c>
      <c r="B11402" s="1">
        <v>7</v>
      </c>
      <c r="C11402" s="3">
        <v>44534.71234953704</v>
      </c>
      <c r="D11402" s="1" t="s">
        <v>22586</v>
      </c>
      <c r="E11402" s="1" t="str">
        <f ca="1">IFERROR(__xludf.DUMMYFUNCTION("GOOGLETRANSLATE(A8201 , ""tr"" , ""en"")"),"@drfahrettinka, for example, we should not stop in classes for 8 hours in the classroom Come on Come on Come on Come on Come Opening Winter Now Ne ... https://t.co/9leplwqnhw")</f>
        <v>@drfahrettinka, for example, we should not stop in classes for 8 hours in the classroom Come on Come on Come on Come on Come Opening Winter Now Ne ... https://t.co/9leplwqnhw</v>
      </c>
    </row>
    <row r="11403" spans="1:5" ht="15" customHeight="1" x14ac:dyDescent="0.2">
      <c r="A11403" s="1" t="s">
        <v>22587</v>
      </c>
      <c r="B11403" s="1">
        <v>0</v>
      </c>
      <c r="C11403" s="3">
        <v>44534.712268518517</v>
      </c>
      <c r="D11403" s="1" t="s">
        <v>22588</v>
      </c>
      <c r="E11403" s="1" t="str">
        <f ca="1">IFERROR(__xludf.DUMMYFUNCTION("GOOGLETRANSLATE(A8202 , ""tr"" , ""en"")"),"@drfahrettinkoca OK I have been vaccinated, but you have knowledge that will last more nexads to this vaccination ... The latest vaccines will last after how many years")</f>
        <v>@drfahrettinkoca OK I have been vaccinated, but you have knowledge that will last more nexads to this vaccination ... The latest vaccines will last after how many years</v>
      </c>
    </row>
    <row r="11404" spans="1:5" ht="15" customHeight="1" x14ac:dyDescent="0.2">
      <c r="A11404" s="1" t="s">
        <v>22589</v>
      </c>
      <c r="B11404" s="1">
        <v>7</v>
      </c>
      <c r="C11404" s="3">
        <v>44534.711701388886</v>
      </c>
      <c r="D11404" s="1" t="s">
        <v>22590</v>
      </c>
      <c r="E11404" s="1" t="str">
        <f ca="1">IFERROR(__xludf.DUMMYFUNCTION("GOOGLETRANSLATE(A8203 , ""tr"" , ""en"")"),"@drfahrettinkoca No one has left to see the following data. #Kabinezkusagionlineline")</f>
        <v>@drfahrettinkoca No one has left to see the following data. #Kabinezkusagionlineline</v>
      </c>
    </row>
    <row r="11405" spans="1:5" ht="15" customHeight="1" x14ac:dyDescent="0.2">
      <c r="A11405" s="1" t="s">
        <v>22591</v>
      </c>
      <c r="B11405" s="1">
        <v>4</v>
      </c>
      <c r="C11405" s="3">
        <v>44534.711678240739</v>
      </c>
      <c r="D11405" s="1" t="s">
        <v>22592</v>
      </c>
      <c r="E11405" s="1" t="str">
        <f ca="1">IFERROR(__xludf.DUMMYFUNCTION("GOOGLETRANSLATE(A8204 , ""tr"" , ""en"")"),"@drfahrettinkoca Prisoner Prisoner Continues to Cover Covid In Covered Criminal House Inmates Death Abandoned ... https://t.co/rhmvbjynfy")</f>
        <v>@drfahrettinkoca Prisoner Prisoner Continues to Cover Covid In Covered Criminal House Inmates Death Abandoned ... https://t.co/rhmvbjynfy</v>
      </c>
    </row>
    <row r="11406" spans="1:5" ht="15" customHeight="1" x14ac:dyDescent="0.2">
      <c r="A11406" s="1" t="s">
        <v>22593</v>
      </c>
      <c r="B11406" s="1">
        <v>0</v>
      </c>
      <c r="C11406" s="3">
        <v>44534.711631944447</v>
      </c>
      <c r="D11406" s="1" t="s">
        <v>22594</v>
      </c>
      <c r="E11406" s="1" t="str">
        <f ca="1">IFERROR(__xludf.DUMMYFUNCTION("GOOGLETRANSLATE(A8205 , ""tr"" , ""en"")"),"@drfahrettinkoca Gene You have made your daily routine jokkacii schools everyone else have no Baiyer Success or No.MoyyOk")</f>
        <v>@drfahrettinkoca Gene You have made your daily routine jokkacii schools everyone else have no Baiyer Success or No.MoyyOk</v>
      </c>
    </row>
    <row r="11407" spans="1:5" ht="15" customHeight="1" x14ac:dyDescent="0.2">
      <c r="A11407" s="1" t="s">
        <v>22595</v>
      </c>
      <c r="B11407" s="1">
        <v>13</v>
      </c>
      <c r="C11407" s="3">
        <v>44534.711539351854</v>
      </c>
      <c r="D11407" s="1" t="s">
        <v>22596</v>
      </c>
      <c r="E11407" s="1" t="str">
        <f ca="1">IFERROR(__xludf.DUMMYFUNCTION("GOOGLETRANSLATE(A8206 , ""tr"" , ""en"")"),"@drfahrettinkoca #kabinezkusagionlineist is the right of distance learning student! ️")</f>
        <v>@drfahrettinkoca #kabinezkusagionlineist is the right of distance learning student! ️</v>
      </c>
    </row>
    <row r="11408" spans="1:5" ht="15" customHeight="1" x14ac:dyDescent="0.2">
      <c r="A11408" s="1" t="s">
        <v>22597</v>
      </c>
      <c r="B11408" s="1">
        <v>0</v>
      </c>
      <c r="C11408" s="3">
        <v>44534.711504629631</v>
      </c>
      <c r="D11408" s="1" t="s">
        <v>22598</v>
      </c>
      <c r="E11408" s="1" t="str">
        <f ca="1">IFERROR(__xludf.DUMMYFUNCTION("GOOGLETRANSLATE(A8207 , ""tr"" , ""en"")"),"@drfahrettinkoca you must remove HEPP completely. Life does not fit home, we won't fit in fit people, robot ... https://t.co/zxap16rfzn")</f>
        <v>@drfahrettinkoca you must remove HEPP completely. Life does not fit home, we won't fit in fit people, robot ... https://t.co/zxap16rfzn</v>
      </c>
    </row>
    <row r="11409" spans="1:5" ht="15" customHeight="1" x14ac:dyDescent="0.2">
      <c r="A11409" s="1" t="s">
        <v>22599</v>
      </c>
      <c r="B11409" s="1">
        <v>0</v>
      </c>
      <c r="C11409" s="3">
        <v>44534.711400462962</v>
      </c>
      <c r="D11409" s="1" t="s">
        <v>22600</v>
      </c>
      <c r="E11409" s="1" t="str">
        <f ca="1">IFERROR(__xludf.DUMMYFUNCTION("GOOGLETRANSLATE(A8208 , ""tr"" , ""en"")"),"@drfahrettinkoca is the pointless mask that causes discussions among people as it doesn't work ... https://t.co/3oezmn6k2a")</f>
        <v>@drfahrettinkoca is the pointless mask that causes discussions among people as it doesn't work ... https://t.co/3oezmn6k2a</v>
      </c>
    </row>
    <row r="11410" spans="1:5" ht="15" customHeight="1" x14ac:dyDescent="0.2">
      <c r="A11410" s="1" t="s">
        <v>22601</v>
      </c>
      <c r="B11410" s="1">
        <v>1</v>
      </c>
      <c r="C11410" s="3">
        <v>44534.711377314816</v>
      </c>
      <c r="D11410" s="1" t="s">
        <v>22602</v>
      </c>
      <c r="E11410" s="1" t="str">
        <f ca="1">IFERROR(__xludf.DUMMYFUNCTION("GOOGLETRANSLATE(A8209 , ""tr"" , ""en"")"),"@drfahrettinkoca Ministry of Air Cold Foreign Countries are all currently forbidden Please have hibritis training with schools ... https://t.co/nit8dxeyt5")</f>
        <v>@drfahrettinkoca Ministry of Air Cold Foreign Countries are all currently forbidden Please have hibritis training with schools ... https://t.co/nit8dxeyt5</v>
      </c>
    </row>
    <row r="11411" spans="1:5" ht="15" customHeight="1" x14ac:dyDescent="0.2">
      <c r="A11411" s="1" t="s">
        <v>22603</v>
      </c>
      <c r="B11411" s="1">
        <v>11</v>
      </c>
      <c r="C11411" s="3">
        <v>44534.711354166669</v>
      </c>
      <c r="D11411" s="1" t="s">
        <v>22604</v>
      </c>
      <c r="E11411" s="1" t="str">
        <f ca="1">IFERROR(__xludf.DUMMYFUNCTION("GOOGLETRANSLATE(A8210 , ""tr"" , ""en"")"),"@drfahrettinkoca long story short; Schools are written here and none of the likes are possible. Good evening ... https://t.co/1bmx0fpde3")</f>
        <v>@drfahrettinkoca long story short; Schools are written here and none of the likes are possible. Good evening ... https://t.co/1bmx0fpde3</v>
      </c>
    </row>
    <row r="11412" spans="1:5" ht="15" customHeight="1" x14ac:dyDescent="0.2">
      <c r="A11412" s="1" t="s">
        <v>22605</v>
      </c>
      <c r="B11412" s="1">
        <v>6</v>
      </c>
      <c r="C11412" s="3">
        <v>44534.71125</v>
      </c>
      <c r="D11412" s="1" t="s">
        <v>22606</v>
      </c>
      <c r="E11412" s="1" t="str">
        <f ca="1">IFERROR(__xludf.DUMMYFUNCTION("GOOGLETRANSLATE(A8211 , ""tr"" , ""en"")"),"@drfahrettinkoca we say the same thing. 🤷♂ We are at risk in public transport in crowds in closed areas. ... https://t.co/w4nhvdxtbr")</f>
        <v>@drfahrettinkoca we say the same thing. 🤷♂ We are at risk in public transport in crowds in closed areas. ... https://t.co/w4nhvdxtbr</v>
      </c>
    </row>
    <row r="11413" spans="1:5" ht="15" customHeight="1" x14ac:dyDescent="0.2">
      <c r="A11413" s="1" t="s">
        <v>22607</v>
      </c>
      <c r="B11413" s="1">
        <v>3</v>
      </c>
      <c r="C11413" s="3">
        <v>44534.711238425924</v>
      </c>
      <c r="D11413" s="1" t="s">
        <v>22608</v>
      </c>
      <c r="E11413" s="1" t="str">
        <f ca="1">IFERROR(__xludf.DUMMYFUNCTION("GOOGLETRANSLATE(A8212 , ""tr"" , ""en"")"),"@drfahrettinkoca Get one mathematician to the following science board. Statistically f ... https://t.co/g021a51vz")</f>
        <v>@drfahrettinkoca Get one mathematician to the following science board. Statistically f ... https://t.co/g021a51vz</v>
      </c>
    </row>
    <row r="11414" spans="1:5" ht="15" customHeight="1" x14ac:dyDescent="0.2">
      <c r="A11414" s="1" t="s">
        <v>22609</v>
      </c>
      <c r="B11414" s="1">
        <v>1</v>
      </c>
      <c r="C11414" s="3">
        <v>44534.711192129631</v>
      </c>
      <c r="D11414" s="1" t="s">
        <v>22610</v>
      </c>
      <c r="E11414" s="1" t="str">
        <f ca="1">IFERROR(__xludf.DUMMYFUNCTION("GOOGLETRANSLATE(A8213 , ""tr"" , ""en"")"),"@drfahrettinkoca People think that you don't go to the artic test")</f>
        <v>@drfahrettinkoca People think that you don't go to the artic test</v>
      </c>
    </row>
    <row r="11415" spans="1:5" ht="15" customHeight="1" x14ac:dyDescent="0.2">
      <c r="A11415" s="1" t="s">
        <v>22611</v>
      </c>
      <c r="B11415" s="1">
        <v>1</v>
      </c>
      <c r="C11415" s="3">
        <v>44534.711145833331</v>
      </c>
      <c r="D11415" s="1" t="s">
        <v>22612</v>
      </c>
      <c r="E11415" s="1" t="str">
        <f ca="1">IFERROR(__xludf.DUMMYFUNCTION("GOOGLETRANSLATE(A8214 , ""tr"" , ""en"")"),"@drfahrettinkoca Distance Education Conditions All Although Cases on Your Pattern Cases Not Mirroring Truth ... https://t.co/ek4i6mvcsm")</f>
        <v>@drfahrettinkoca Distance Education Conditions All Although Cases on Your Pattern Cases Not Mirroring Truth ... https://t.co/ek4i6mvcsm</v>
      </c>
    </row>
    <row r="11416" spans="1:5" ht="15" customHeight="1" x14ac:dyDescent="0.2">
      <c r="A11416" s="1" t="s">
        <v>22613</v>
      </c>
      <c r="B11416" s="1">
        <v>0</v>
      </c>
      <c r="C11416" s="3">
        <v>44534.710949074077</v>
      </c>
      <c r="D11416" s="1" t="s">
        <v>22614</v>
      </c>
      <c r="E11416" s="1" t="str">
        <f ca="1">IFERROR(__xludf.DUMMYFUNCTION("GOOGLETRANSLATE(A8215 , ""tr"" , ""en"")"),"@drfahrettinkoca Minister Don't do Bos Allah Askina What Long Sure Stops on my school on the way to my school Ki on the bus ... https://t.co/sgebgggumyo")</f>
        <v>@drfahrettinkoca Minister Don't do Bos Allah Askina What Long Sure Stops on my school on the way to my school Ki on the bus ... https://t.co/sgebgggumyo</v>
      </c>
    </row>
    <row r="11417" spans="1:5" ht="15" customHeight="1" x14ac:dyDescent="0.2">
      <c r="A11417" s="1" t="s">
        <v>22615</v>
      </c>
      <c r="B11417" s="1">
        <v>0</v>
      </c>
      <c r="C11417" s="3">
        <v>44534.710833333331</v>
      </c>
      <c r="D11417" s="1" t="s">
        <v>22616</v>
      </c>
      <c r="E11417" s="1" t="str">
        <f ca="1">IFERROR(__xludf.DUMMYFUNCTION("GOOGLETRANSLATE(A8216 , ""tr"" , ""en"")"),"@drfahrettinkoca I stay in CE Mast This table is staying in vain to stay in Zoeunda Keep in the Turkish Halki Slaak")</f>
        <v>@drfahrettinkoca I stay in CE Mast This table is staying in vain to stay in Zoeunda Keep in the Turkish Halki Slaak</v>
      </c>
    </row>
    <row r="11418" spans="1:5" ht="15" customHeight="1" x14ac:dyDescent="0.2">
      <c r="A11418" s="1" t="s">
        <v>22617</v>
      </c>
      <c r="B11418" s="1">
        <v>3</v>
      </c>
      <c r="C11418" s="3">
        <v>44534.710810185185</v>
      </c>
      <c r="D11418" s="1" t="s">
        <v>22618</v>
      </c>
      <c r="E11418" s="1" t="str">
        <f ca="1">IFERROR(__xludf.DUMMYFUNCTION("GOOGLETRANSLATE(A8217 , ""tr"" , ""en"")"),"@drfahrettinkoca I swear my mind missing my mind. The result we have taken off the conditions of the season, we have to be obliged, I hope I don't die ... https://t.co/jm2fdtnc7p")</f>
        <v>@drfahrettinkoca I swear my mind missing my mind. The result we have taken off the conditions of the season, we have to be obliged, I hope I don't die ... https://t.co/jm2fdtnc7p</v>
      </c>
    </row>
    <row r="11419" spans="1:5" ht="15" customHeight="1" x14ac:dyDescent="0.2">
      <c r="A11419" s="1" t="s">
        <v>22619</v>
      </c>
      <c r="B11419" s="1">
        <v>0</v>
      </c>
      <c r="C11419" s="3">
        <v>44534.710729166669</v>
      </c>
      <c r="D11419" s="1" t="s">
        <v>22620</v>
      </c>
      <c r="E11419" s="1" t="str">
        <f ca="1">IFERROR(__xludf.DUMMYFUNCTION("GOOGLETRANSLATE(A8218 , ""tr"" , ""en"")"),"@drfahrettinkoca holiday is not a distance education we want !!!")</f>
        <v>@drfahrettinkoca holiday is not a distance education we want !!!</v>
      </c>
    </row>
    <row r="11420" spans="1:5" ht="15" customHeight="1" x14ac:dyDescent="0.2">
      <c r="A11420" s="1" t="s">
        <v>22621</v>
      </c>
      <c r="B11420" s="1">
        <v>0</v>
      </c>
      <c r="C11420" s="3">
        <v>44534.710289351853</v>
      </c>
      <c r="D11420" s="1" t="s">
        <v>22622</v>
      </c>
      <c r="E11420" s="1" t="str">
        <f ca="1">IFERROR(__xludf.DUMMYFUNCTION("GOOGLETRANSLATE(A8219 , ""tr"" , ""en"")"),"@drfahrettinkoca distance education!")</f>
        <v>@drfahrettinkoca distance education!</v>
      </c>
    </row>
    <row r="11421" spans="1:5" ht="15" customHeight="1" x14ac:dyDescent="0.2">
      <c r="A11421" s="1" t="s">
        <v>22623</v>
      </c>
      <c r="B11421" s="1">
        <v>4</v>
      </c>
      <c r="C11421" s="3">
        <v>44534.70994212963</v>
      </c>
      <c r="D11421" s="1" t="s">
        <v>22624</v>
      </c>
      <c r="E11421" s="1" t="str">
        <f ca="1">IFERROR(__xludf.DUMMYFUNCTION("GOOGLETRANSLATE(A8220 , ""tr"" , ""en"")"),"@drfahrettinkoca 30 thousand of 30 thousand to fall 20 thou m k a n s I z # cabinetlinelike")</f>
        <v>@drfahrettinkoca 30 thousand of 30 thousand to fall 20 thou m k a n s I z # cabinetlinelike</v>
      </c>
    </row>
    <row r="11422" spans="1:5" ht="15" customHeight="1" x14ac:dyDescent="0.2">
      <c r="A11422" s="1" t="s">
        <v>22625</v>
      </c>
      <c r="B11422" s="1">
        <v>1</v>
      </c>
      <c r="C11422" s="3">
        <v>44534.709861111114</v>
      </c>
      <c r="D11422" s="1" t="s">
        <v>22626</v>
      </c>
      <c r="E11422" s="1" t="str">
        <f ca="1">IFERROR(__xludf.DUMMYFUNCTION("GOOGLETRANSLATE(A8221 , ""tr"" , ""en"")"),"@drfahrettinkoca when will the vaccine be brought for ages 5-11?")</f>
        <v>@drfahrettinkoca when will the vaccine be brought for ages 5-11?</v>
      </c>
    </row>
    <row r="11423" spans="1:5" ht="15" customHeight="1" x14ac:dyDescent="0.2">
      <c r="A11423" s="1" t="s">
        <v>22627</v>
      </c>
      <c r="B11423" s="1">
        <v>0</v>
      </c>
      <c r="C11423" s="3">
        <v>44534.709710648145</v>
      </c>
      <c r="D11423" s="1" t="s">
        <v>22628</v>
      </c>
      <c r="E11423" s="1" t="str">
        <f ca="1">IFERROR(__xludf.DUMMYFUNCTION("GOOGLETRANSLATE(A8222 , ""tr"" , ""en"")"),"@drfahrettinka we want online education !!! A Healthy Training !!! @drfahrettinkoca")</f>
        <v>@drfahrettinka we want online education !!! A Healthy Training !!! @drfahrettinkoca</v>
      </c>
    </row>
    <row r="11424" spans="1:5" ht="15" customHeight="1" x14ac:dyDescent="0.2">
      <c r="A11424" s="1" t="s">
        <v>13832</v>
      </c>
      <c r="B11424" s="1">
        <v>0</v>
      </c>
      <c r="C11424" s="3">
        <v>44534.709664351853</v>
      </c>
      <c r="D11424" s="1" t="s">
        <v>22629</v>
      </c>
      <c r="E11424" s="1" t="str">
        <f ca="1">IFERROR(__xludf.DUMMYFUNCTION("GOOGLETRANSLATE(A8223 , ""tr"" , ""en"")"),"@drfahrettinkoca lie")</f>
        <v>@drfahrettinkoca lie</v>
      </c>
    </row>
    <row r="11425" spans="1:5" ht="15" customHeight="1" x14ac:dyDescent="0.2">
      <c r="A11425" s="1" t="s">
        <v>22630</v>
      </c>
      <c r="B11425" s="1">
        <v>2</v>
      </c>
      <c r="C11425" s="3">
        <v>44534.709641203706</v>
      </c>
      <c r="D11425" s="1" t="s">
        <v>22631</v>
      </c>
      <c r="E11425" s="1" t="str">
        <f ca="1">IFERROR(__xludf.DUMMYFUNCTION("GOOGLETRANSLATE(A8224 , ""tr"" , ""en"")"),"@drfahrettinkoca vaccines okay 45 people are whatever classes don't he or her")</f>
        <v>@drfahrettinkoca vaccines okay 45 people are whatever classes don't he or her</v>
      </c>
    </row>
    <row r="11426" spans="1:5" ht="15" customHeight="1" x14ac:dyDescent="0.2">
      <c r="A11426" s="1" t="s">
        <v>22632</v>
      </c>
      <c r="B11426" s="1">
        <v>35</v>
      </c>
      <c r="C11426" s="3">
        <v>44534.709456018521</v>
      </c>
      <c r="D11426" s="1" t="s">
        <v>22633</v>
      </c>
      <c r="E11426" s="1" t="str">
        <f ca="1">IFERROR(__xludf.DUMMYFUNCTION("GOOGLETRANSLATE(A8225 , ""tr"" , ""en"")"),"@drfahrettinkoca has gone to the territory of the country so the country has gone to close, the cases 40-50k, although they take measures 40-50k, our 0 measures ... https://t.co/rdgncjuvsq")</f>
        <v>@drfahrettinkoca has gone to the territory of the country so the country has gone to close, the cases 40-50k, although they take measures 40-50k, our 0 measures ... https://t.co/rdgncjuvsq</v>
      </c>
    </row>
    <row r="11427" spans="1:5" ht="15" customHeight="1" x14ac:dyDescent="0.2">
      <c r="A11427" s="1" t="s">
        <v>22634</v>
      </c>
      <c r="B11427" s="1">
        <v>0</v>
      </c>
      <c r="C11427" s="3">
        <v>44534.709444444445</v>
      </c>
      <c r="D11427" s="1" t="s">
        <v>22635</v>
      </c>
      <c r="E11427" s="1" t="str">
        <f ca="1">IFERROR(__xludf.DUMMYFUNCTION("GOOGLETRANSLATE(A8226 , ""tr"" , ""en"")"),"@drfahrettinkoca should we be gradually slow in periods where there is no risk? Case in the provinces where vaccination is high ... https://t.co/amgyegzyjm")</f>
        <v>@drfahrettinkoca should we be gradually slow in periods where there is no risk? Case in the provinces where vaccination is high ... https://t.co/amgyegzyjm</v>
      </c>
    </row>
    <row r="11428" spans="1:5" ht="15" customHeight="1" x14ac:dyDescent="0.2">
      <c r="A11428" s="1" t="s">
        <v>22636</v>
      </c>
      <c r="B11428" s="1">
        <v>0</v>
      </c>
      <c r="C11428" s="3">
        <v>44534.709444444445</v>
      </c>
      <c r="D11428" s="1" t="s">
        <v>22637</v>
      </c>
      <c r="E11428" s="1" t="str">
        <f ca="1">IFERROR(__xludf.DUMMYFUNCTION("GOOGLETRANSLATE(A8227 , ""tr"" , ""en"")"),"@drfahrettinka classes amphies? The weather cold glass cannot be opened too")</f>
        <v>@drfahrettinka classes amphies? The weather cold glass cannot be opened too</v>
      </c>
    </row>
    <row r="11429" spans="1:5" ht="15" customHeight="1" x14ac:dyDescent="0.2">
      <c r="A11429" s="1" t="s">
        <v>22638</v>
      </c>
      <c r="B11429" s="1">
        <v>0</v>
      </c>
      <c r="C11429" s="3">
        <v>44534.709201388891</v>
      </c>
      <c r="D11429" s="1" t="s">
        <v>22639</v>
      </c>
      <c r="E11429" s="1" t="str">
        <f ca="1">IFERROR(__xludf.DUMMYFUNCTION("GOOGLETRANSLATE(A8228 , ""tr"" , ""en"")"),"@drfahrettinkoca @saglikbakanligi Mersin City Hospital Babami Olume About Meats Ministers Dūyun This voice My Dad A ... HTTPS://T.CO/4ACOXR8IPA")</f>
        <v>@drfahrettinkoca @saglikbakanligi Mersin City Hospital Babami Olume About Meats Ministers Dūyun This voice My Dad A ... HTTPS://T.CO/4ACOXR8IPA</v>
      </c>
    </row>
    <row r="11430" spans="1:5" ht="15" customHeight="1" x14ac:dyDescent="0.2">
      <c r="A11430" s="1" t="s">
        <v>22640</v>
      </c>
      <c r="B11430" s="1">
        <v>4</v>
      </c>
      <c r="C11430" s="3">
        <v>44534.709166666667</v>
      </c>
      <c r="D11430" s="1" t="s">
        <v>22641</v>
      </c>
      <c r="E11430" s="1" t="str">
        <f ca="1">IFERROR(__xludf.DUMMYFUNCTION("GOOGLETRANSLATE(A8229 , ""tr"" , ""en"")"),"@drfahrettinka seriously can't give meaning. We don't have cleaner in our dorms, my roommates are very far from hygiene ... https://t.co/hpdzt084vt")</f>
        <v>@drfahrettinka seriously can't give meaning. We don't have cleaner in our dorms, my roommates are very far from hygiene ... https://t.co/hpdzt084vt</v>
      </c>
    </row>
    <row r="11431" spans="1:5" ht="15" customHeight="1" x14ac:dyDescent="0.2">
      <c r="A11431" s="1" t="s">
        <v>18602</v>
      </c>
      <c r="B11431" s="1">
        <v>2</v>
      </c>
      <c r="C11431" s="3">
        <v>44534.709166666667</v>
      </c>
      <c r="D11431" s="1" t="s">
        <v>22642</v>
      </c>
      <c r="E11431" s="1" t="str">
        <f ca="1">IFERROR(__xludf.DUMMYFUNCTION("GOOGLETRANSLATE(A8230 , ""tr"" , ""en"")"),"@drfahrettinkoca #kabinezkusagionlineline")</f>
        <v>@drfahrettinkoca #kabinezkusagionlineline</v>
      </c>
    </row>
    <row r="11432" spans="1:5" ht="15" customHeight="1" x14ac:dyDescent="0.2">
      <c r="A11432" s="1" t="s">
        <v>22643</v>
      </c>
      <c r="B11432" s="1">
        <v>0</v>
      </c>
      <c r="C11432" s="3">
        <v>44534.708923611113</v>
      </c>
      <c r="D11432" s="1" t="s">
        <v>22644</v>
      </c>
      <c r="E11432" s="1" t="str">
        <f ca="1">IFERROR(__xludf.DUMMYFUNCTION("GOOGLETRANSLATE(A8231 , ""tr"" , ""en"")"),"@drfahrettinkoca Stop the durling us now !! #Wealthy")</f>
        <v>@drfahrettinkoca Stop the durling us now !! #Wealthy</v>
      </c>
    </row>
    <row r="11433" spans="1:5" ht="15" customHeight="1" x14ac:dyDescent="0.2">
      <c r="A11433" s="1" t="s">
        <v>22645</v>
      </c>
      <c r="B11433" s="1">
        <v>0</v>
      </c>
      <c r="C11433" s="3">
        <v>44534.708645833336</v>
      </c>
      <c r="D11433" s="1" t="s">
        <v>22646</v>
      </c>
      <c r="E11433" s="1" t="str">
        <f ca="1">IFERROR(__xludf.DUMMYFUNCTION("GOOGLETRANSLATE(A8232 , ""tr"" , ""en"")"),"@drfahrettinkoca Turkish people learn cleaning from you? You have a clear of supurgun assholes under your carpet")</f>
        <v>@drfahrettinkoca Turkish people learn cleaning from you? You have a clear of supurgun assholes under your carpet</v>
      </c>
    </row>
    <row r="11434" spans="1:5" ht="15" customHeight="1" x14ac:dyDescent="0.2">
      <c r="A11434" s="1" t="s">
        <v>22647</v>
      </c>
      <c r="B11434" s="1">
        <v>0</v>
      </c>
      <c r="C11434" s="3">
        <v>44534.70853009259</v>
      </c>
      <c r="D11434" s="1" t="s">
        <v>22648</v>
      </c>
      <c r="E11434" s="1" t="str">
        <f ca="1">IFERROR(__xludf.DUMMYFUNCTION("GOOGLETRANSLATE(A8233 , ""tr"" , ""en"")"),"@drfahrettinkoca how to be in schools, please tell me if you have any idea of ​​bi")</f>
        <v>@drfahrettinkoca how to be in schools, please tell me if you have any idea of ​​bi</v>
      </c>
    </row>
    <row r="11435" spans="1:5" ht="15" customHeight="1" x14ac:dyDescent="0.2">
      <c r="A11435" s="1" t="s">
        <v>22649</v>
      </c>
      <c r="B11435" s="1">
        <v>2</v>
      </c>
      <c r="C11435" s="3">
        <v>44534.708495370367</v>
      </c>
      <c r="D11435" s="1" t="s">
        <v>22650</v>
      </c>
      <c r="E11435" s="1" t="str">
        <f ca="1">IFERROR(__xludf.DUMMYFUNCTION("GOOGLETRANSLATE(A8234 , ""tr"" , ""en"")"),"@drfahrettinkoca so the asshole nest co2 poisoning masks in the trash and vent your friends ...")</f>
        <v>@drfahrettinkoca so the asshole nest co2 poisoning masks in the trash and vent your friends ...</v>
      </c>
    </row>
    <row r="11436" spans="1:5" ht="15" customHeight="1" x14ac:dyDescent="0.2">
      <c r="A11436" s="1" t="s">
        <v>22651</v>
      </c>
      <c r="B11436" s="1">
        <v>0</v>
      </c>
      <c r="C11436" s="3">
        <v>44534.708437499998</v>
      </c>
      <c r="D11436" s="1" t="s">
        <v>22652</v>
      </c>
      <c r="E11436" s="1" t="str">
        <f ca="1">IFERROR(__xludf.DUMMYFUNCTION("GOOGLETRANSLATE(A8235 , ""tr"" , ""en"")"),"@drfahrettinkoca HOÖYTTT !!!")</f>
        <v>@drfahrettinkoca HOÖYTTT !!!</v>
      </c>
    </row>
    <row r="11437" spans="1:5" ht="15" customHeight="1" x14ac:dyDescent="0.2">
      <c r="A11437" s="1" t="s">
        <v>22653</v>
      </c>
      <c r="B11437" s="1">
        <v>0</v>
      </c>
      <c r="C11437" s="3">
        <v>44534.708333333336</v>
      </c>
      <c r="D11437" s="1" t="s">
        <v>22654</v>
      </c>
      <c r="E11437" s="1" t="str">
        <f ca="1">IFERROR(__xludf.DUMMYFUNCTION("GOOGLETRANSLATE(A8236 , ""tr"" , ""en"")"),"@drfahrettinka schools are closed in schools. Families collectively sick. How is the numbers falling everyday?")</f>
        <v>@drfahrettinka schools are closed in schools. Families collectively sick. How is the numbers falling everyday?</v>
      </c>
    </row>
    <row r="11438" spans="1:5" ht="15" customHeight="1" x14ac:dyDescent="0.2">
      <c r="A11438" s="1" t="s">
        <v>22655</v>
      </c>
      <c r="B11438" s="1">
        <v>0</v>
      </c>
      <c r="C11438" s="3">
        <v>44534.708298611113</v>
      </c>
      <c r="D11438" s="1" t="s">
        <v>22656</v>
      </c>
      <c r="E11438" s="1" t="str">
        <f ca="1">IFERROR(__xludf.DUMMYFUNCTION("GOOGLETRANSLATE(A8237 , ""tr"" , ""en"")"),"@drfahrettinkoca I had just been at your hospital nice :) but I'm against the vaccine I wonder if I'm looking for this drugs ... https://t.co/wpfakau4sd")</f>
        <v>@drfahrettinkoca I had just been at your hospital nice :) but I'm against the vaccine I wonder if I'm looking for this drugs ... https://t.co/wpfakau4sd</v>
      </c>
    </row>
    <row r="11439" spans="1:5" ht="15" customHeight="1" x14ac:dyDescent="0.2">
      <c r="A11439" s="1" t="s">
        <v>22657</v>
      </c>
      <c r="B11439" s="1">
        <v>0</v>
      </c>
      <c r="C11439" s="3">
        <v>44534.70821759259</v>
      </c>
      <c r="D11439" s="1" t="s">
        <v>22658</v>
      </c>
      <c r="E11439" s="1" t="str">
        <f ca="1">IFERROR(__xludf.DUMMYFUNCTION("GOOGLETRANSLATE(A8238 , ""tr"" , ""en"")"),"@drfahrettinkoca Minister I want to use what I'm using Harbi I want to use it on daily basis 🙏🏼")</f>
        <v>@drfahrettinkoca Minister I want to use what I'm using Harbi I want to use it on daily basis 🙏🏼</v>
      </c>
    </row>
    <row r="11440" spans="1:5" ht="15" customHeight="1" x14ac:dyDescent="0.2">
      <c r="A11440" s="1" t="s">
        <v>22659</v>
      </c>
      <c r="B11440" s="1">
        <v>1</v>
      </c>
      <c r="C11440" s="3">
        <v>44534.708113425928</v>
      </c>
      <c r="D11440" s="1" t="s">
        <v>22660</v>
      </c>
      <c r="E11440" s="1" t="str">
        <f ca="1">IFERROR(__xludf.DUMMYFUNCTION("GOOGLETRANSLATE(A8239 , ""tr"" , ""en"")"),"@drfahrettinkoca What you say you say in the closed areas where you are looking at the closed areas we are classes throughout schools Https://t.co/ugfurx26ql")</f>
        <v>@drfahrettinkoca What you say you say in the closed areas where you are looking at the closed areas we are classes throughout schools Https://t.co/ugfurx26ql</v>
      </c>
    </row>
    <row r="11441" spans="1:5" ht="15" customHeight="1" x14ac:dyDescent="0.2">
      <c r="A11441" s="1" t="s">
        <v>22661</v>
      </c>
      <c r="B11441" s="1">
        <v>11</v>
      </c>
      <c r="C11441" s="3">
        <v>44534.707986111112</v>
      </c>
      <c r="D11441" s="1" t="s">
        <v>22662</v>
      </c>
      <c r="E11441" s="1" t="str">
        <f ca="1">IFERROR(__xludf.DUMMYFUNCTION("GOOGLETRANSLATE(A8240 , ""tr"" , ""en"")"),"@drfahrettinkoca you are passing my wave schools do not stop in open and closed environments.")</f>
        <v>@drfahrettinkoca you are passing my wave schools do not stop in open and closed environments.</v>
      </c>
    </row>
    <row r="11442" spans="1:5" ht="15" customHeight="1" x14ac:dyDescent="0.2">
      <c r="A11442" s="1" t="s">
        <v>22663</v>
      </c>
      <c r="B11442" s="1">
        <v>2</v>
      </c>
      <c r="C11442" s="3">
        <v>44534.707986111112</v>
      </c>
      <c r="D11442" s="1" t="s">
        <v>22664</v>
      </c>
      <c r="E11442" s="1" t="str">
        <f ca="1">IFERROR(__xludf.DUMMYFUNCTION("GOOGLETRANSLATE(A8241 , ""tr"" , ""en"")"),"@drfahrettinkoca ⏩ Healthcare SN. When trying to explain the rating of the minister! ️ Don't approach me)! ️🇹 ... ... https://t.co/nabm5djbwj")</f>
        <v>@drfahrettinkoca ⏩ Healthcare SN. When trying to explain the rating of the minister! ️ Don't approach me)! ️🇹 ... ... https://t.co/nabm5djbwj</v>
      </c>
    </row>
    <row r="11443" spans="1:5" ht="15" customHeight="1" x14ac:dyDescent="0.2">
      <c r="A11443" s="1" t="s">
        <v>22665</v>
      </c>
      <c r="B11443" s="1">
        <v>64</v>
      </c>
      <c r="C11443" s="3">
        <v>44534.707928240743</v>
      </c>
      <c r="D11443" s="1" t="s">
        <v>22666</v>
      </c>
      <c r="E11443" s="1" t="str">
        <f ca="1">IFERROR(__xludf.DUMMYFUNCTION("GOOGLETRANSLATE(A8242 , ""tr"" , ""en"")"),"@drfahrettinkoca - We have to avoid having long time in crowded environments. -Full custard ... https://t.co/jl1rn6tnge")</f>
        <v>@drfahrettinkoca - We have to avoid having long time in crowded environments. -Full custard ... https://t.co/jl1rn6tnge</v>
      </c>
    </row>
    <row r="11444" spans="1:5" ht="15" customHeight="1" x14ac:dyDescent="0.2">
      <c r="A11444" s="1" t="s">
        <v>14057</v>
      </c>
      <c r="B11444" s="1">
        <v>0</v>
      </c>
      <c r="C11444" s="3">
        <v>44534.707800925928</v>
      </c>
      <c r="D11444" s="1" t="s">
        <v>22667</v>
      </c>
      <c r="E11444" s="1" t="str">
        <f ca="1">IFERROR(__xludf.DUMMYFUNCTION("GOOGLETRANSLATE(A8243 , ""tr"" , ""en"")"),"@drfahrettinka https://t.co/slyuxhb97x")</f>
        <v>@drfahrettinka https://t.co/slyuxhb97x</v>
      </c>
    </row>
    <row r="11445" spans="1:5" ht="15" customHeight="1" x14ac:dyDescent="0.2">
      <c r="A11445" s="1" t="s">
        <v>22668</v>
      </c>
      <c r="B11445" s="1">
        <v>5</v>
      </c>
      <c r="C11445" s="3">
        <v>44534.707777777781</v>
      </c>
      <c r="D11445" s="1" t="s">
        <v>22669</v>
      </c>
      <c r="E11445" s="1" t="str">
        <f ca="1">IFERROR(__xludf.DUMMYFUNCTION("GOOGLETRANSLATE(A8244 , ""tr"" , ""en"")"),"@drfahrettinkoca is joke? Dormitory life is not closed? Who are you talking to? !!! If we can take precaution, the Pied ... https://t.co/xv7otekw0")</f>
        <v>@drfahrettinkoca is joke? Dormitory life is not closed? Who are you talking to? !!! If we can take precaution, the Pied ... https://t.co/xv7otekw0</v>
      </c>
    </row>
    <row r="11446" spans="1:5" ht="15" customHeight="1" x14ac:dyDescent="0.2">
      <c r="A11446" s="1" t="s">
        <v>22670</v>
      </c>
      <c r="B11446" s="1">
        <v>17</v>
      </c>
      <c r="C11446" s="3">
        <v>44534.707766203705</v>
      </c>
      <c r="D11446" s="1" t="s">
        <v>22671</v>
      </c>
      <c r="E11446" s="1" t="str">
        <f ca="1">IFERROR(__xludf.DUMMYFUNCTION("GOOGLETRANSLATE(A8245 , ""tr"" , ""en"")"),"@drfahrettinkoca The seasonal conditions of the previous seasonal diseases were the same. Why have you ever mentioned the grip vaccinations and ... https://t.co/y013w7yo3c")</f>
        <v>@drfahrettinkoca The seasonal conditions of the previous seasonal diseases were the same. Why have you ever mentioned the grip vaccinations and ... https://t.co/y013w7yo3c</v>
      </c>
    </row>
    <row r="11447" spans="1:5" ht="15" customHeight="1" x14ac:dyDescent="0.2">
      <c r="A11447" s="1" t="s">
        <v>22672</v>
      </c>
      <c r="B11447" s="1">
        <v>5</v>
      </c>
      <c r="C11447" s="3">
        <v>44534.707743055558</v>
      </c>
      <c r="D11447" s="1" t="s">
        <v>22673</v>
      </c>
      <c r="E11447" s="1" t="str">
        <f ca="1">IFERROR(__xludf.DUMMYFUNCTION("GOOGLETRANSLATE(A8246 , ""tr"" , ""en"")"),"@drfahrettinkoca Seriously Don't Weld We Believe This # CabineticsLine")</f>
        <v>@drfahrettinkoca Seriously Don't Weld We Believe This # CabineticsLine</v>
      </c>
    </row>
    <row r="11448" spans="1:5" ht="15" customHeight="1" x14ac:dyDescent="0.2">
      <c r="A11448" s="1" t="s">
        <v>22674</v>
      </c>
      <c r="B11448" s="1">
        <v>3</v>
      </c>
      <c r="C11448" s="3">
        <v>44534.707673611112</v>
      </c>
      <c r="D11448" s="1" t="s">
        <v>22675</v>
      </c>
      <c r="E11448" s="1" t="str">
        <f ca="1">IFERROR(__xludf.DUMMYFUNCTION("GOOGLETRANSLATE(A8247 , ""tr"" , ""en"")"),"@drfahrettinkoca measure this glass open glass ???")</f>
        <v>@drfahrettinkoca measure this glass open glass ???</v>
      </c>
    </row>
    <row r="11449" spans="1:5" ht="15" customHeight="1" x14ac:dyDescent="0.2">
      <c r="A11449" s="1" t="s">
        <v>8741</v>
      </c>
      <c r="B11449" s="1">
        <v>0</v>
      </c>
      <c r="C11449" s="3">
        <v>44534.707638888889</v>
      </c>
      <c r="D11449" s="1" t="s">
        <v>22676</v>
      </c>
      <c r="E11449" s="1" t="str">
        <f ca="1">IFERROR(__xludf.DUMMYFUNCTION("GOOGLETRANSLATE(A8248 , ""tr"" , ""en"")"),"@drfahrettinkoca We want distance education")</f>
        <v>@drfahrettinkoca We want distance education</v>
      </c>
    </row>
    <row r="11450" spans="1:5" ht="15" customHeight="1" x14ac:dyDescent="0.2">
      <c r="A11450" s="1" t="s">
        <v>22677</v>
      </c>
      <c r="B11450" s="1">
        <v>7</v>
      </c>
      <c r="C11450" s="3">
        <v>44534.70758101852</v>
      </c>
      <c r="D11450" s="1" t="s">
        <v>22678</v>
      </c>
      <c r="E11450" s="1" t="str">
        <f ca="1">IFERROR(__xludf.DUMMYFUNCTION("GOOGLETRANSLATE(A8249 , ""tr"" , ""en"")"),"@drfahrettinkoca We wanted distance education #kabinezkusagionline")</f>
        <v>@drfahrettinkoca We wanted distance education #kabinezkusagionline</v>
      </c>
    </row>
    <row r="11451" spans="1:5" ht="15" customHeight="1" x14ac:dyDescent="0.2">
      <c r="A11451" s="1" t="s">
        <v>22679</v>
      </c>
      <c r="B11451" s="1">
        <v>0</v>
      </c>
      <c r="C11451" s="3">
        <v>44534.707546296297</v>
      </c>
      <c r="D11451" s="1" t="s">
        <v>22680</v>
      </c>
      <c r="E11451" s="1" t="str">
        <f ca="1">IFERROR(__xludf.DUMMYFUNCTION("GOOGLETRANSLATE(A8250 , ""tr"" , ""en"")"),"@drfahrettinka https://t.co/oixq4uprut https://t.co/sr0kgheeooj https://t.co/d9x3a5maym https://t.co/41aj1ybb7q... https://t.co/cidyd6aavp")</f>
        <v>@drfahrettinka https://t.co/oixq4uprut https://t.co/sr0kgheeooj https://t.co/d9x3a5maym https://t.co/41aj1ybb7q... https://t.co/cidyd6aavp</v>
      </c>
    </row>
    <row r="11452" spans="1:5" ht="15" customHeight="1" x14ac:dyDescent="0.2">
      <c r="A11452" s="1" t="s">
        <v>22681</v>
      </c>
      <c r="B11452" s="1">
        <v>3</v>
      </c>
      <c r="C11452" s="3">
        <v>44534.707488425927</v>
      </c>
      <c r="D11452" s="1" t="s">
        <v>22682</v>
      </c>
      <c r="E11452" s="1" t="str">
        <f ca="1">IFERROR(__xludf.DUMMYFUNCTION("GOOGLETRANSLATE(A8251 , ""tr"" , ""en"")"),"@drfahrettinka vaccine reduce ranges time is your job. 3. Pfizer for you have to wait 6 months to leave ... https://t.co/lyel3pwceg")</f>
        <v>@drfahrettinka vaccine reduce ranges time is your job. 3. Pfizer for you have to wait 6 months to leave ... https://t.co/lyel3pwceg</v>
      </c>
    </row>
    <row r="11453" spans="1:5" ht="15" customHeight="1" x14ac:dyDescent="0.2">
      <c r="A11453" s="1" t="s">
        <v>22683</v>
      </c>
      <c r="B11453" s="1">
        <v>0</v>
      </c>
      <c r="C11453" s="3">
        <v>44534.707476851851</v>
      </c>
      <c r="D11453" s="1" t="s">
        <v>22684</v>
      </c>
      <c r="E11453" s="1" t="str">
        <f ca="1">IFERROR(__xludf.DUMMYFUNCTION("GOOGLETRANSLATE(A8252 , ""tr"" , ""en"")"),"@drfahrettinkoca hunts close up")</f>
        <v>@drfahrettinkoca hunts close up</v>
      </c>
    </row>
    <row r="11454" spans="1:5" ht="15" customHeight="1" x14ac:dyDescent="0.2">
      <c r="A11454" s="1" t="s">
        <v>22685</v>
      </c>
      <c r="B11454" s="1">
        <v>0</v>
      </c>
      <c r="C11454" s="3">
        <v>44534.707430555558</v>
      </c>
      <c r="D11454" s="1" t="s">
        <v>22686</v>
      </c>
      <c r="E11454" s="1" t="str">
        <f ca="1">IFERROR(__xludf.DUMMYFUNCTION("GOOGLETRANSLATE(A8253 , ""tr"" , ""en"")"),"@drfahrettinka https://t.co/oixq4uprut https://t.co/sr0kgheeooj https://t.co/d9x3a5maym https://t.co/41aj1ybb7q... https://t.co/0dzin5w2qx")</f>
        <v>@drfahrettinka https://t.co/oixq4uprut https://t.co/sr0kgheeooj https://t.co/d9x3a5maym https://t.co/41aj1ybb7q... https://t.co/0dzin5w2qx</v>
      </c>
    </row>
    <row r="11455" spans="1:5" ht="15" customHeight="1" x14ac:dyDescent="0.2">
      <c r="A11455" s="1" t="s">
        <v>22687</v>
      </c>
      <c r="B11455" s="1">
        <v>1</v>
      </c>
      <c r="C11455" s="3">
        <v>44534.707430555558</v>
      </c>
      <c r="D11455" s="1" t="s">
        <v>22688</v>
      </c>
      <c r="E11455" s="1" t="str">
        <f ca="1">IFERROR(__xludf.DUMMYFUNCTION("GOOGLETRANSLATE(A8254 , ""tr"" , ""en"")"),"@drfahrettinka schools are not crowded? Universities so are they not crowded?")</f>
        <v>@drfahrettinka schools are not crowded? Universities so are they not crowded?</v>
      </c>
    </row>
    <row r="11456" spans="1:5" ht="15" customHeight="1" x14ac:dyDescent="0.2">
      <c r="A11456" s="1" t="s">
        <v>22689</v>
      </c>
      <c r="B11456" s="1">
        <v>27</v>
      </c>
      <c r="C11456" s="3">
        <v>44534.707395833335</v>
      </c>
      <c r="D11456" s="1" t="s">
        <v>22690</v>
      </c>
      <c r="E11456" s="1" t="str">
        <f ca="1">IFERROR(__xludf.DUMMYFUNCTION("GOOGLETRANSLATE(A8255 , ""tr"" , ""en"")"),"@drfahrettinkoca months are in crowds in crowds in crowds in crowds are either virus or we are spreading virus ... https://t.co/fwvhe4uqkg")</f>
        <v>@drfahrettinkoca months are in crowds in crowds in crowds in crowds are either virus or we are spreading virus ... https://t.co/fwvhe4uqkg</v>
      </c>
    </row>
    <row r="11457" spans="1:5" ht="15" customHeight="1" x14ac:dyDescent="0.2">
      <c r="A11457" s="1" t="s">
        <v>22691</v>
      </c>
      <c r="B11457" s="1">
        <v>0</v>
      </c>
      <c r="C11457" s="3">
        <v>44534.707395833335</v>
      </c>
      <c r="D11457" s="1" t="s">
        <v>22692</v>
      </c>
      <c r="E11457" s="1" t="str">
        <f ca="1">IFERROR(__xludf.DUMMYFUNCTION("GOOGLETRANSLATE(A8256 , ""tr"" , ""en"")"),"@drfahrettinka we have taken out our conclusion don't worry. Everyone knows you should do it.")</f>
        <v>@drfahrettinka we have taken out our conclusion don't worry. Everyone knows you should do it.</v>
      </c>
    </row>
    <row r="11458" spans="1:5" ht="15" customHeight="1" x14ac:dyDescent="0.2">
      <c r="A11458" s="1" t="s">
        <v>22693</v>
      </c>
      <c r="B11458" s="1">
        <v>0</v>
      </c>
      <c r="C11458" s="3">
        <v>44534.707337962966</v>
      </c>
      <c r="D11458" s="1" t="s">
        <v>22694</v>
      </c>
      <c r="E11458" s="1" t="str">
        <f ca="1">IFERROR(__xludf.DUMMYFUNCTION("GOOGLETRANSLATE(A8257 , ""tr"" , ""en"")"),"@drfahrettinka https://t.co/oixq4uprut https://t.co/sr0kgheeooj https://t.co/d9x3a5maym https://t.co/41aj1ybb7q... https://t.co/tmancxfhkv")</f>
        <v>@drfahrettinka https://t.co/oixq4uprut https://t.co/sr0kgheeooj https://t.co/d9x3a5maym https://t.co/41aj1ybb7q... https://t.co/tmancxfhkv</v>
      </c>
    </row>
    <row r="11459" spans="1:5" ht="15" customHeight="1" x14ac:dyDescent="0.2">
      <c r="A11459" s="1" t="s">
        <v>22695</v>
      </c>
      <c r="B11459" s="1">
        <v>2</v>
      </c>
      <c r="C11459" s="3">
        <v>44534.707129629627</v>
      </c>
      <c r="D11459" s="1" t="s">
        <v>22696</v>
      </c>
      <c r="E11459" s="1" t="str">
        <f ca="1">IFERROR(__xludf.DUMMYFUNCTION("GOOGLETRANSLATE(A8258 , ""tr"" , ""en"")"),"@drfahrettinkoca for example schools? What are the kids going to do? Then do the classroom hours 20-25 min .. is the solution? No!")</f>
        <v>@drfahrettinkoca for example schools? What are the kids going to do? Then do the classroom hours 20-25 min .. is the solution? No!</v>
      </c>
    </row>
    <row r="11460" spans="1:5" ht="15" customHeight="1" x14ac:dyDescent="0.2">
      <c r="A11460" s="1" t="s">
        <v>22697</v>
      </c>
      <c r="B11460" s="1">
        <v>4</v>
      </c>
      <c r="C11460" s="3">
        <v>44534.706921296296</v>
      </c>
      <c r="D11460" s="1" t="s">
        <v>22698</v>
      </c>
      <c r="E11460" s="1" t="str">
        <f ca="1">IFERROR(__xludf.DUMMYFUNCTION("GOOGLETRANSLATE(A8259 , ""tr"" , ""en"")"),"@drfahrettinkoca We should not be available in the indoor environment ??? We're standing in class 8 hours !!! What is the measure of what?")</f>
        <v>@drfahrettinkoca We should not be available in the indoor environment ??? We're standing in class 8 hours !!! What is the measure of what?</v>
      </c>
    </row>
    <row r="11461" spans="1:5" ht="15" customHeight="1" x14ac:dyDescent="0.2">
      <c r="A11461" s="1" t="s">
        <v>22699</v>
      </c>
      <c r="B11461" s="1">
        <v>0</v>
      </c>
      <c r="C11461" s="3">
        <v>44534.706886574073</v>
      </c>
      <c r="D11461" s="1" t="s">
        <v>22700</v>
      </c>
      <c r="E11461" s="1" t="str">
        <f ca="1">IFERROR(__xludf.DUMMYFUNCTION("GOOGLETRANSLATE(A8260 , ""tr"" , ""en"")"),"@drfahrettinkoca you come to universities online training # cabinet linizing")</f>
        <v>@drfahrettinkoca you come to universities online training # cabinet linizing</v>
      </c>
    </row>
    <row r="11462" spans="1:5" ht="15" customHeight="1" x14ac:dyDescent="0.2">
      <c r="A11462" s="1" t="s">
        <v>22701</v>
      </c>
      <c r="B11462" s="1">
        <v>0</v>
      </c>
      <c r="C11462" s="3">
        <v>44534.706875000003</v>
      </c>
      <c r="D11462" s="1" t="s">
        <v>22702</v>
      </c>
      <c r="E11462" s="1" t="str">
        <f ca="1">IFERROR(__xludf.DUMMYFUNCTION("GOOGLETRANSLATE(A8261 , ""tr"" , ""en"")"),"@drfahrettinkoca https://t.co/sr0kgheeooj https://t.co/d9x3a5maym https://t.co/41aj1ybb7q https://t.co/w7rz1fvılk... https://t.co/tdrcpzgoQI")</f>
        <v>@drfahrettinkoca https://t.co/sr0kgheeooj https://t.co/d9x3a5maym https://t.co/41aj1ybb7q https://t.co/w7rz1fvılk... https://t.co/tdrcpzgoQI</v>
      </c>
    </row>
    <row r="11463" spans="1:5" ht="15" customHeight="1" x14ac:dyDescent="0.2">
      <c r="A11463" s="1" t="s">
        <v>22703</v>
      </c>
      <c r="B11463" s="1">
        <v>0</v>
      </c>
      <c r="C11463" s="3">
        <v>44534.706828703704</v>
      </c>
      <c r="D11463" s="1" t="s">
        <v>22704</v>
      </c>
      <c r="E11463" s="1" t="str">
        <f ca="1">IFERROR(__xludf.DUMMYFUNCTION("GOOGLETRANSLATE(A8262 , ""tr"" , ""en"")"),"@drfahrettinkoca your life is lying")</f>
        <v>@drfahrettinkoca your life is lying</v>
      </c>
    </row>
    <row r="11464" spans="1:5" ht="15" customHeight="1" x14ac:dyDescent="0.2">
      <c r="A11464" s="1" t="s">
        <v>22705</v>
      </c>
      <c r="B11464" s="1">
        <v>0</v>
      </c>
      <c r="C11464" s="3">
        <v>44534.706805555557</v>
      </c>
      <c r="D11464" s="1" t="s">
        <v>22706</v>
      </c>
      <c r="E11464" s="1" t="str">
        <f ca="1">IFERROR(__xludf.DUMMYFUNCTION("GOOGLETRANSLATE(A8263 , ""tr"" , ""en"")"),"@drfahrettinka schools?")</f>
        <v>@drfahrettinka schools?</v>
      </c>
    </row>
    <row r="11465" spans="1:5" ht="15" customHeight="1" x14ac:dyDescent="0.2">
      <c r="A11465" s="1" t="s">
        <v>22707</v>
      </c>
      <c r="B11465" s="1">
        <v>1</v>
      </c>
      <c r="C11465" s="3">
        <v>44534.70648148148</v>
      </c>
      <c r="D11465" s="1" t="s">
        <v>22708</v>
      </c>
      <c r="E11465" s="1" t="str">
        <f ca="1">IFERROR(__xludf.DUMMYFUNCTION("GOOGLETRANSLATE(A8264 , ""tr"" , ""en"")"),"@drfahrettinkoca prisoner Give the pronunciation of pronunciation @dbDevletbahceli no longer eliminate the criminal discount Ni do not discriminate ini ... https://t.co/h8fiwetcdw")</f>
        <v>@drfahrettinkoca prisoner Give the pronunciation of pronunciation @dbDevletbahceli no longer eliminate the criminal discount Ni do not discriminate ini ... https://t.co/h8fiwetcdw</v>
      </c>
    </row>
    <row r="11466" spans="1:5" ht="15" customHeight="1" x14ac:dyDescent="0.2">
      <c r="A11466" s="1" t="s">
        <v>22709</v>
      </c>
      <c r="B11466" s="1">
        <v>0</v>
      </c>
      <c r="C11466" s="3">
        <v>44534.706469907411</v>
      </c>
      <c r="D11466" s="1" t="s">
        <v>22710</v>
      </c>
      <c r="E11466" s="1" t="str">
        <f ca="1">IFERROR(__xludf.DUMMYFUNCTION("GOOGLETRANSLATE(A8265 , ""tr"" , ""en"")"),"@drfahrettinkoca flu vaccine is 160 TL")</f>
        <v>@drfahrettinkoca flu vaccine is 160 TL</v>
      </c>
    </row>
    <row r="11467" spans="1:5" ht="15" customHeight="1" x14ac:dyDescent="0.2">
      <c r="A11467" s="1" t="s">
        <v>22711</v>
      </c>
      <c r="B11467" s="1">
        <v>0</v>
      </c>
      <c r="C11467" s="3">
        <v>44534.706400462965</v>
      </c>
      <c r="D11467" s="1" t="s">
        <v>22712</v>
      </c>
      <c r="E11467" s="1" t="str">
        <f ca="1">IFERROR(__xludf.DUMMYFUNCTION("GOOGLETRANSLATE(A8266 , ""tr"" , ""en"")"),"@drfahrettinkoca you say don't go to the crowds you say today TS played TS match at the Stad entrance of the Stad Entrance of the Stad ... https://t.co/oajgxvhbql")</f>
        <v>@drfahrettinkoca you say don't go to the crowds you say today TS played TS match at the Stad entrance of the Stad Entrance of the Stad ... https://t.co/oajgxvhbql</v>
      </c>
    </row>
    <row r="11468" spans="1:5" ht="15" customHeight="1" x14ac:dyDescent="0.2">
      <c r="A11468" s="1" t="s">
        <v>22713</v>
      </c>
      <c r="B11468" s="1">
        <v>0</v>
      </c>
      <c r="C11468" s="3">
        <v>44534.706250000003</v>
      </c>
      <c r="D11468" s="1" t="s">
        <v>22714</v>
      </c>
      <c r="E11468" s="1" t="str">
        <f ca="1">IFERROR(__xludf.DUMMYFUNCTION("GOOGLETRANSLATE(A8267 , ""tr"" , ""en"")"),"@drfahrettinkoca Ministry of Nasil Kacalim Classes CLASSES CLASSES CLASS CLASS CLASS CLASS CLICK ACSECIVE CRUSHIP")</f>
        <v>@drfahrettinkoca Ministry of Nasil Kacalim Classes CLASSES CLASSES CLASS CLASS CLASS CLASS CLICK ACSECIVE CRUSHIP</v>
      </c>
    </row>
    <row r="11469" spans="1:5" ht="15" customHeight="1" x14ac:dyDescent="0.2">
      <c r="A11469" s="1" t="s">
        <v>21245</v>
      </c>
      <c r="B11469" s="1">
        <v>0</v>
      </c>
      <c r="C11469" s="3">
        <v>44534.706030092595</v>
      </c>
      <c r="D11469" s="1" t="s">
        <v>22715</v>
      </c>
      <c r="E11469" s="1" t="str">
        <f ca="1">IFERROR(__xludf.DUMMYFUNCTION("GOOGLETRANSLATE(A8268 , ""tr"" , ""en"")"),"@drfahrettinkoca Healthparts Guide is not a two-week husband waiting for a year")</f>
        <v>@drfahrettinkoca Healthparts Guide is not a two-week husband waiting for a year</v>
      </c>
    </row>
    <row r="11470" spans="1:5" ht="15" customHeight="1" x14ac:dyDescent="0.2">
      <c r="A11470" s="1" t="s">
        <v>21249</v>
      </c>
      <c r="B11470" s="1">
        <v>0</v>
      </c>
      <c r="C11470" s="3">
        <v>44534.705995370372</v>
      </c>
      <c r="D11470" s="1" t="s">
        <v>22716</v>
      </c>
      <c r="E11470" s="1" t="str">
        <f ca="1">IFERROR(__xludf.DUMMYFUNCTION("GOOGLETRANSLATE(A8269 , ""tr"" , ""en"")"),"@drfahrettinkoca healthcare guide is not a two-week husband waiting for a year")</f>
        <v>@drfahrettinkoca healthcare guide is not a two-week husband waiting for a year</v>
      </c>
    </row>
    <row r="11471" spans="1:5" ht="15" customHeight="1" x14ac:dyDescent="0.2">
      <c r="A11471" s="1" t="s">
        <v>22717</v>
      </c>
      <c r="B11471" s="1">
        <v>0</v>
      </c>
      <c r="C11471" s="3">
        <v>44534.705960648149</v>
      </c>
      <c r="D11471" s="1" t="s">
        <v>22718</v>
      </c>
      <c r="E11471" s="1" t="str">
        <f ca="1">IFERROR(__xludf.DUMMYFUNCTION("GOOGLETRANSLATE(A8270 , ""tr"" , ""en"")"),"@drfahrettinkoca Mr. Overlooking Rürden Akşit, although there is a 3 dose of vaccines, it is said that it is said to lose life !!!")</f>
        <v>@drfahrettinkoca Mr. Overlooking Rürden Akşit, although there is a 3 dose of vaccines, it is said that it is said to lose life !!!</v>
      </c>
    </row>
    <row r="11472" spans="1:5" ht="15" customHeight="1" x14ac:dyDescent="0.2">
      <c r="A11472" s="1" t="s">
        <v>21255</v>
      </c>
      <c r="B11472" s="1">
        <v>0</v>
      </c>
      <c r="C11472" s="3">
        <v>44534.705960648149</v>
      </c>
      <c r="D11472" s="1" t="s">
        <v>22719</v>
      </c>
      <c r="E11472" s="1" t="str">
        <f ca="1">IFERROR(__xludf.DUMMYFUNCTION("GOOGLETRANSLATE(A8271 , ""tr"" , ""en"")"),"@drfahrettinkoca healthcare guide is not a two weeks in a husband waiting for a year")</f>
        <v>@drfahrettinkoca healthcare guide is not a two weeks in a husband waiting for a year</v>
      </c>
    </row>
    <row r="11473" spans="1:5" ht="15" customHeight="1" x14ac:dyDescent="0.2">
      <c r="A11473" s="1" t="s">
        <v>22720</v>
      </c>
      <c r="B11473" s="1">
        <v>1</v>
      </c>
      <c r="C11473" s="3">
        <v>44534.705937500003</v>
      </c>
      <c r="D11473" s="1" t="s">
        <v>22721</v>
      </c>
      <c r="E11473" s="1" t="str">
        <f ca="1">IFERROR(__xludf.DUMMYFUNCTION("GOOGLETRANSLATE(A8272 , ""tr"" , ""en"")"),"@drfahrettinkoca # CabineticsLineline #kabinezkusagionlineline")</f>
        <v>@drfahrettinkoca # CabineticsLineline #kabinezkusagionlineline</v>
      </c>
    </row>
    <row r="11474" spans="1:5" ht="15" customHeight="1" x14ac:dyDescent="0.2">
      <c r="A11474" s="1" t="s">
        <v>22722</v>
      </c>
      <c r="B11474" s="1">
        <v>0</v>
      </c>
      <c r="C11474" s="3">
        <v>44534.705937500003</v>
      </c>
      <c r="D11474" s="1" t="s">
        <v>22723</v>
      </c>
      <c r="E11474" s="1" t="str">
        <f ca="1">IFERROR(__xludf.DUMMYFUNCTION("GOOGLETRANSLATE(A8273 , ""tr"" , ""en"")"),"@drfahrettinka syn overlooking our own descellant in the closed areas we are keeping school mandatory or Https://t.co/snbmtlgyki")</f>
        <v>@drfahrettinka syn overlooking our own descellant in the closed areas we are keeping school mandatory or Https://t.co/snbmtlgyki</v>
      </c>
    </row>
    <row r="11475" spans="1:5" ht="15" customHeight="1" x14ac:dyDescent="0.2">
      <c r="A11475" s="1" t="s">
        <v>11857</v>
      </c>
      <c r="B11475" s="1">
        <v>0</v>
      </c>
      <c r="C11475" s="3">
        <v>44534.705937500003</v>
      </c>
      <c r="D11475" s="1" t="s">
        <v>22724</v>
      </c>
      <c r="E11475" s="1" t="str">
        <f ca="1">IFERROR(__xludf.DUMMYFUNCTION("GOOGLETRANSLATE(A8274 , ""tr"" , ""en"")"),"@drfahrettinkoca we want online education")</f>
        <v>@drfahrettinkoca we want online education</v>
      </c>
    </row>
    <row r="11476" spans="1:5" ht="15" customHeight="1" x14ac:dyDescent="0.2">
      <c r="A11476" s="1" t="s">
        <v>21261</v>
      </c>
      <c r="B11476" s="1">
        <v>0</v>
      </c>
      <c r="C11476" s="3">
        <v>44534.705914351849</v>
      </c>
      <c r="D11476" s="1" t="s">
        <v>22725</v>
      </c>
      <c r="E11476" s="1" t="str">
        <f ca="1">IFERROR(__xludf.DUMMYFUNCTION("GOOGLETRANSLATE(A8275 , ""tr"" , ""en"")"),"@drfahrettinkoca healthcare guide is not a two-week husband waiting for a year")</f>
        <v>@drfahrettinkoca healthcare guide is not a two-week husband waiting for a year</v>
      </c>
    </row>
    <row r="11477" spans="1:5" ht="15" customHeight="1" x14ac:dyDescent="0.2">
      <c r="A11477" s="1" t="s">
        <v>22726</v>
      </c>
      <c r="B11477" s="1">
        <v>0</v>
      </c>
      <c r="C11477" s="3">
        <v>44534.705879629626</v>
      </c>
      <c r="D11477" s="1" t="s">
        <v>22727</v>
      </c>
      <c r="E11477" s="1" t="str">
        <f ca="1">IFERROR(__xludf.DUMMYFUNCTION("GOOGLETRANSLATE(A8276 , ""tr"" , ""en"")"),"@drfahrettinkoca healthcare guide is not a two-week husband waiting for a year")</f>
        <v>@drfahrettinkoca healthcare guide is not a two-week husband waiting for a year</v>
      </c>
    </row>
    <row r="11478" spans="1:5" ht="15" customHeight="1" x14ac:dyDescent="0.2">
      <c r="A11478" s="1" t="s">
        <v>21267</v>
      </c>
      <c r="B11478" s="1">
        <v>0</v>
      </c>
      <c r="C11478" s="3">
        <v>44534.70584490741</v>
      </c>
      <c r="D11478" s="1" t="s">
        <v>22728</v>
      </c>
      <c r="E11478" s="1" t="str">
        <f ca="1">IFERROR(__xludf.DUMMYFUNCTION("GOOGLETRANSLATE(A8277 , ""tr"" , ""en"")"),"@drfahrettinkoca healthcare guide is a week not a husband waiting for a year")</f>
        <v>@drfahrettinkoca healthcare guide is a week not a husband waiting for a year</v>
      </c>
    </row>
    <row r="11479" spans="1:5" ht="15" customHeight="1" x14ac:dyDescent="0.2">
      <c r="A11479" s="1" t="s">
        <v>21271</v>
      </c>
      <c r="B11479" s="1">
        <v>0</v>
      </c>
      <c r="C11479" s="3">
        <v>44534.70579861111</v>
      </c>
      <c r="D11479" s="1" t="s">
        <v>22729</v>
      </c>
      <c r="E11479" s="1" t="str">
        <f ca="1">IFERROR(__xludf.DUMMYFUNCTION("GOOGLETRANSLATE(A8278 , ""tr"" , ""en"")"),"@drfahrettinkoca healthcare guide is not a two-week husband waiting for a year")</f>
        <v>@drfahrettinkoca healthcare guide is not a two-week husband waiting for a year</v>
      </c>
    </row>
    <row r="11480" spans="1:5" ht="15" customHeight="1" x14ac:dyDescent="0.2">
      <c r="A11480" s="1" t="s">
        <v>21273</v>
      </c>
      <c r="B11480" s="1">
        <v>0</v>
      </c>
      <c r="C11480" s="3">
        <v>44534.705763888887</v>
      </c>
      <c r="D11480" s="1" t="s">
        <v>22730</v>
      </c>
      <c r="E11480" s="1" t="str">
        <f ca="1">IFERROR(__xludf.DUMMYFUNCTION("GOOGLETRANSLATE(A8279 , ""tr"" , ""en"")"),"@drfahrettinkoca healthcare guide is not a two-week husband waiting for a year")</f>
        <v>@drfahrettinkoca healthcare guide is not a two-week husband waiting for a year</v>
      </c>
    </row>
    <row r="11481" spans="1:5" ht="15" customHeight="1" x14ac:dyDescent="0.2">
      <c r="A11481" s="1" t="s">
        <v>22731</v>
      </c>
      <c r="B11481" s="1">
        <v>5</v>
      </c>
      <c r="C11481" s="3">
        <v>44534.705729166664</v>
      </c>
      <c r="D11481" s="1" t="s">
        <v>22732</v>
      </c>
      <c r="E11481" s="1" t="str">
        <f ca="1">IFERROR(__xludf.DUMMYFUNCTION("GOOGLETRANSLATE(A8280 , ""tr"" , ""en"")"),"@drfahrettinkoca dormitories microbe slot.Yurt cleaning was the responsibility of the state but always so-called measure ... HTTPS://T.CO/OLBCIIDWZE")</f>
        <v>@drfahrettinkoca dormitories microbe slot.Yurt cleaning was the responsibility of the state but always so-called measure ... HTTPS://T.CO/OLBCIIDWZE</v>
      </c>
    </row>
    <row r="11482" spans="1:5" ht="15" customHeight="1" x14ac:dyDescent="0.2">
      <c r="A11482" s="1" t="s">
        <v>21281</v>
      </c>
      <c r="B11482" s="1">
        <v>0</v>
      </c>
      <c r="C11482" s="3">
        <v>44534.705729166664</v>
      </c>
      <c r="D11482" s="1" t="s">
        <v>22733</v>
      </c>
      <c r="E11482" s="1" t="str">
        <f ca="1">IFERROR(__xludf.DUMMYFUNCTION("GOOGLETRANSLATE(A8281 , ""tr"" , ""en"")"),"@drfahrettinkoca healthcare guide is a week not a husband waiting for a year")</f>
        <v>@drfahrettinkoca healthcare guide is a week not a husband waiting for a year</v>
      </c>
    </row>
    <row r="11483" spans="1:5" ht="15" customHeight="1" x14ac:dyDescent="0.2">
      <c r="A11483" s="1" t="s">
        <v>21285</v>
      </c>
      <c r="B11483" s="1">
        <v>0</v>
      </c>
      <c r="C11483" s="3">
        <v>44534.705682870372</v>
      </c>
      <c r="D11483" s="1" t="s">
        <v>22734</v>
      </c>
      <c r="E11483" s="1" t="str">
        <f ca="1">IFERROR(__xludf.DUMMYFUNCTION("GOOGLETRANSLATE(A8282 , ""tr"" , ""en"")"),"@drfahrettinkoca healthcare guide is not a two-week husband waiting for a year")</f>
        <v>@drfahrettinkoca healthcare guide is not a two-week husband waiting for a year</v>
      </c>
    </row>
    <row r="11484" spans="1:5" ht="15" customHeight="1" x14ac:dyDescent="0.2">
      <c r="A11484" s="1" t="s">
        <v>21289</v>
      </c>
      <c r="B11484" s="1">
        <v>0</v>
      </c>
      <c r="C11484" s="3">
        <v>44534.705636574072</v>
      </c>
      <c r="D11484" s="1" t="s">
        <v>22735</v>
      </c>
      <c r="E11484" s="1" t="str">
        <f ca="1">IFERROR(__xludf.DUMMYFUNCTION("GOOGLETRANSLATE(A8283 , ""tr"" , ""en"")"),"@drfahrettinkoca healthcare guide is a week not a husband waiting for a year")</f>
        <v>@drfahrettinkoca healthcare guide is a week not a husband waiting for a year</v>
      </c>
    </row>
    <row r="11485" spans="1:5" ht="15" customHeight="1" x14ac:dyDescent="0.2">
      <c r="A11485" s="1" t="s">
        <v>22736</v>
      </c>
      <c r="B11485" s="1">
        <v>0</v>
      </c>
      <c r="C11485" s="3">
        <v>44534.705625000002</v>
      </c>
      <c r="D11485" s="1" t="s">
        <v>22737</v>
      </c>
      <c r="E11485" s="1" t="str">
        <f ca="1">IFERROR(__xludf.DUMMYFUNCTION("GOOGLETRANSLATE(A8284 , ""tr"" , ""en"")"),"@drfahrettinkoca SYN Ministry of Ministry You say that you are in such a crowded setting in the penalties in the household all the time you do in the household ... https://t.co/5xuhcxjjjql")</f>
        <v>@drfahrettinkoca SYN Ministry of Ministry You say that you are in such a crowded setting in the penalties in the household all the time you do in the household ... https://t.co/5xuhcxjjjql</v>
      </c>
    </row>
    <row r="11486" spans="1:5" ht="15" customHeight="1" x14ac:dyDescent="0.2">
      <c r="A11486" s="1" t="s">
        <v>14067</v>
      </c>
      <c r="B11486" s="1">
        <v>0</v>
      </c>
      <c r="C11486" s="3">
        <v>44534.705613425926</v>
      </c>
      <c r="D11486" s="1" t="s">
        <v>22738</v>
      </c>
      <c r="E11486" s="1" t="str">
        <f ca="1">IFERROR(__xludf.DUMMYFUNCTION("GOOGLETRANSLATE(A8285 , ""tr"" , ""en"")"),"@drfahrettinka https://t.co/wjbkygqxvs")</f>
        <v>@drfahrettinka https://t.co/wjbkygqxvs</v>
      </c>
    </row>
    <row r="11487" spans="1:5" ht="15" customHeight="1" x14ac:dyDescent="0.2">
      <c r="A11487" s="1" t="s">
        <v>22739</v>
      </c>
      <c r="B11487" s="1">
        <v>5</v>
      </c>
      <c r="C11487" s="3">
        <v>44534.705590277779</v>
      </c>
      <c r="D11487" s="1" t="s">
        <v>22740</v>
      </c>
      <c r="E11487" s="1" t="str">
        <f ca="1">IFERROR(__xludf.DUMMYFUNCTION("GOOGLETRANSLATE(A8286 , ""tr"" , ""en"")"),"@drfahrettinkoca stop putting us in place of idiot. Open the job you do with the writing of the job you make no sensible ... https://t.co/kwe06dak1w")</f>
        <v>@drfahrettinkoca stop putting us in place of idiot. Open the job you do with the writing of the job you make no sensible ... https://t.co/kwe06dak1w</v>
      </c>
    </row>
    <row r="11488" spans="1:5" ht="15" customHeight="1" x14ac:dyDescent="0.2">
      <c r="A11488" s="1" t="s">
        <v>21291</v>
      </c>
      <c r="B11488" s="1">
        <v>0</v>
      </c>
      <c r="C11488" s="3">
        <v>44534.705590277779</v>
      </c>
      <c r="D11488" s="1" t="s">
        <v>22741</v>
      </c>
      <c r="E11488" s="1" t="str">
        <f ca="1">IFERROR(__xludf.DUMMYFUNCTION("GOOGLETRANSLATE(A8287 , ""tr"" , ""en"")"),"@drfahrettinkoca healthcare guide is not a two-week husband waiting for a year")</f>
        <v>@drfahrettinkoca healthcare guide is not a two-week husband waiting for a year</v>
      </c>
    </row>
    <row r="11489" spans="1:5" ht="15" customHeight="1" x14ac:dyDescent="0.2">
      <c r="A11489" s="1" t="s">
        <v>22742</v>
      </c>
      <c r="B11489" s="1">
        <v>52</v>
      </c>
      <c r="C11489" s="3">
        <v>44534.705578703702</v>
      </c>
      <c r="D11489" s="1" t="s">
        <v>22743</v>
      </c>
      <c r="E11489" s="1" t="str">
        <f ca="1">IFERROR(__xludf.DUMMYFUNCTION("GOOGLETRANSLATE(A8288 , ""tr"" , ""en"")"),"@drfahrettinkoca no @drfahrettinkoca I have never been very thankful I have a healthy life I haven't used mask my brain and my heart work ... HTTPS://T.CO/CIHM8RTGIW")</f>
        <v>@drfahrettinkoca no @drfahrettinkoca I have never been very thankful I have a healthy life I haven't used mask my brain and my heart work ... HTTPS://T.CO/CIHM8RTGIW</v>
      </c>
    </row>
    <row r="11490" spans="1:5" ht="15" customHeight="1" x14ac:dyDescent="0.2">
      <c r="A11490" s="1" t="s">
        <v>18602</v>
      </c>
      <c r="B11490" s="1">
        <v>4</v>
      </c>
      <c r="C11490" s="3">
        <v>44534.705555555556</v>
      </c>
      <c r="D11490" s="1" t="s">
        <v>22744</v>
      </c>
      <c r="E11490" s="1" t="str">
        <f ca="1">IFERROR(__xludf.DUMMYFUNCTION("GOOGLETRANSLATE(A8289 , ""tr"" , ""en"")"),"@drfahrettinkoca #kabinezkusagionlineline")</f>
        <v>@drfahrettinkoca #kabinezkusagionlineline</v>
      </c>
    </row>
    <row r="11491" spans="1:5" ht="15" customHeight="1" x14ac:dyDescent="0.2">
      <c r="A11491" s="1" t="s">
        <v>21295</v>
      </c>
      <c r="B11491" s="1">
        <v>0</v>
      </c>
      <c r="C11491" s="3">
        <v>44534.705543981479</v>
      </c>
      <c r="D11491" s="1" t="s">
        <v>22745</v>
      </c>
      <c r="E11491" s="1" t="str">
        <f ca="1">IFERROR(__xludf.DUMMYFUNCTION("GOOGLETRANSLATE(A8290 , ""tr"" , ""en"")"),"@drfahrettinkoca healthcare guide is a week not a husband waiting for a year")</f>
        <v>@drfahrettinkoca healthcare guide is a week not a husband waiting for a year</v>
      </c>
    </row>
    <row r="11492" spans="1:5" ht="15" customHeight="1" x14ac:dyDescent="0.2">
      <c r="A11492" s="1" t="s">
        <v>21297</v>
      </c>
      <c r="B11492" s="1">
        <v>0</v>
      </c>
      <c r="C11492" s="3">
        <v>44534.70548611111</v>
      </c>
      <c r="D11492" s="1" t="s">
        <v>22746</v>
      </c>
      <c r="E11492" s="1" t="str">
        <f ca="1">IFERROR(__xludf.DUMMYFUNCTION("GOOGLETRANSLATE(A8291 , ""tr"" , ""en"")"),"@drfahrettinkoca healthcare guide is a week not a husband waiting for a year 8")</f>
        <v>@drfahrettinkoca healthcare guide is a week not a husband waiting for a year 8</v>
      </c>
    </row>
    <row r="11493" spans="1:5" ht="15" customHeight="1" x14ac:dyDescent="0.2">
      <c r="A11493" s="1" t="s">
        <v>21301</v>
      </c>
      <c r="B11493" s="1">
        <v>0</v>
      </c>
      <c r="C11493" s="3">
        <v>44534.705439814818</v>
      </c>
      <c r="D11493" s="1" t="s">
        <v>22747</v>
      </c>
      <c r="E11493" s="1" t="str">
        <f ca="1">IFERROR(__xludf.DUMMYFUNCTION("GOOGLETRANSLATE(A8292 , ""tr"" , ""en"")"),"@drfahrettinkoca healthcare guide is a week not a husband waiting for a year 7")</f>
        <v>@drfahrettinkoca healthcare guide is a week not a husband waiting for a year 7</v>
      </c>
    </row>
    <row r="11494" spans="1:5" ht="15" customHeight="1" x14ac:dyDescent="0.2">
      <c r="A11494" s="1" t="s">
        <v>18602</v>
      </c>
      <c r="B11494" s="1">
        <v>21</v>
      </c>
      <c r="C11494" s="3">
        <v>44534.705428240741</v>
      </c>
      <c r="D11494" s="1" t="s">
        <v>22748</v>
      </c>
      <c r="E11494" s="1" t="str">
        <f ca="1">IFERROR(__xludf.DUMMYFUNCTION("GOOGLETRANSLATE(A8293 , ""tr"" , ""en"")"),"@drfahrettinkoca #kabinezkusagionlineline")</f>
        <v>@drfahrettinkoca #kabinezkusagionlineline</v>
      </c>
    </row>
    <row r="11495" spans="1:5" ht="15" customHeight="1" x14ac:dyDescent="0.2">
      <c r="A11495" s="1" t="s">
        <v>22749</v>
      </c>
      <c r="B11495" s="1">
        <v>7</v>
      </c>
      <c r="C11495" s="3">
        <v>44534.705416666664</v>
      </c>
      <c r="D11495" s="1" t="s">
        <v>22750</v>
      </c>
      <c r="E11495" s="1" t="str">
        <f ca="1">IFERROR(__xludf.DUMMYFUNCTION("GOOGLETRANSLATE(A8294 , ""tr"" , ""en"")"),"@drfahrettinkoca is the fact that it is the fact that it is the fact that I'm unable to genius the fact that it is very bad, immediately lost seconds ... https://t.co/dv4trm3wjn")</f>
        <v>@drfahrettinkoca is the fact that it is the fact that it is the fact that I'm unable to genius the fact that it is very bad, immediately lost seconds ... https://t.co/dv4trm3wjn</v>
      </c>
    </row>
    <row r="11496" spans="1:5" ht="15" customHeight="1" x14ac:dyDescent="0.2">
      <c r="A11496" s="1" t="s">
        <v>22751</v>
      </c>
      <c r="B11496" s="1">
        <v>0</v>
      </c>
      <c r="C11496" s="3">
        <v>44534.705393518518</v>
      </c>
      <c r="D11496" s="1" t="s">
        <v>22752</v>
      </c>
      <c r="E11496" s="1" t="str">
        <f ca="1">IFERROR(__xludf.DUMMYFUNCTION("GOOGLETRANSLATE(A8295 , ""tr"" , ""en"")"),"@drfahrettinkoca healthcare guide is a week not a husband waiting for a year 6")</f>
        <v>@drfahrettinkoca healthcare guide is a week not a husband waiting for a year 6</v>
      </c>
    </row>
    <row r="11497" spans="1:5" ht="15" customHeight="1" x14ac:dyDescent="0.2">
      <c r="A11497" s="1" t="s">
        <v>21311</v>
      </c>
      <c r="B11497" s="1">
        <v>0</v>
      </c>
      <c r="C11497" s="3">
        <v>44534.705347222225</v>
      </c>
      <c r="D11497" s="1" t="s">
        <v>22753</v>
      </c>
      <c r="E11497" s="1" t="str">
        <f ca="1">IFERROR(__xludf.DUMMYFUNCTION("GOOGLETRANSLATE(A8296 , ""tr"" , ""en"")"),"@drfahrettinkoca healthcare guide is a week not a husband waiting for a year 5")</f>
        <v>@drfahrettinkoca healthcare guide is a week not a husband waiting for a year 5</v>
      </c>
    </row>
    <row r="11498" spans="1:5" ht="15" customHeight="1" x14ac:dyDescent="0.2">
      <c r="A11498" s="1" t="s">
        <v>21315</v>
      </c>
      <c r="B11498" s="1">
        <v>0</v>
      </c>
      <c r="C11498" s="3">
        <v>44534.705300925925</v>
      </c>
      <c r="D11498" s="1" t="s">
        <v>22754</v>
      </c>
      <c r="E11498" s="1" t="str">
        <f ca="1">IFERROR(__xludf.DUMMYFUNCTION("GOOGLETRANSLATE(A8297 , ""tr"" , ""en"")"),"@drfahrettinkoca healthcare guide is not a two-week husband waiting for a year 4")</f>
        <v>@drfahrettinkoca healthcare guide is not a two-week husband waiting for a year 4</v>
      </c>
    </row>
    <row r="11499" spans="1:5" ht="15" customHeight="1" x14ac:dyDescent="0.2">
      <c r="A11499" s="1" t="s">
        <v>22755</v>
      </c>
      <c r="B11499" s="1">
        <v>1</v>
      </c>
      <c r="C11499" s="3">
        <v>44534.705277777779</v>
      </c>
      <c r="D11499" s="1" t="s">
        <v>22756</v>
      </c>
      <c r="E11499" s="1" t="str">
        <f ca="1">IFERROR(__xludf.DUMMYFUNCTION("GOOGLETRANSLATE(A8298 , ""tr"" , ""en"")"),"@drfahrettinka why are you looking for a long surge of yourself in school, the Minister?")</f>
        <v>@drfahrettinka why are you looking for a long surge of yourself in school, the Minister?</v>
      </c>
    </row>
    <row r="11500" spans="1:5" ht="15" customHeight="1" x14ac:dyDescent="0.2">
      <c r="A11500" s="1" t="s">
        <v>21327</v>
      </c>
      <c r="B11500" s="1">
        <v>0</v>
      </c>
      <c r="C11500" s="3">
        <v>44534.705254629633</v>
      </c>
      <c r="D11500" s="1" t="s">
        <v>22757</v>
      </c>
      <c r="E11500" s="1" t="str">
        <f ca="1">IFERROR(__xludf.DUMMYFUNCTION("GOOGLETRANSLATE(A8299 , ""tr"" , ""en"")"),"@drfahrettinkoca healthcare guide is a two weeks not husband waiting for a year 3")</f>
        <v>@drfahrettinkoca healthcare guide is a two weeks not husband waiting for a year 3</v>
      </c>
    </row>
    <row r="11501" spans="1:5" ht="15" customHeight="1" x14ac:dyDescent="0.2">
      <c r="A11501" s="1" t="s">
        <v>14069</v>
      </c>
      <c r="B11501" s="1">
        <v>0</v>
      </c>
      <c r="C11501" s="3">
        <v>44534.705243055556</v>
      </c>
      <c r="D11501" s="1" t="s">
        <v>22758</v>
      </c>
      <c r="E11501" s="1" t="str">
        <f ca="1">IFERROR(__xludf.DUMMYFUNCTION("GOOGLETRANSLATE(A8300 , ""tr"" , ""en"")"),"@drfahrettinka https://t.co/anrgdyxlbq")</f>
        <v>@drfahrettinka https://t.co/anrgdyxlbq</v>
      </c>
    </row>
    <row r="11502" spans="1:5" ht="15" customHeight="1" x14ac:dyDescent="0.2">
      <c r="A11502" s="1" t="s">
        <v>21333</v>
      </c>
      <c r="B11502" s="1">
        <v>0</v>
      </c>
      <c r="C11502" s="3">
        <v>44534.705208333333</v>
      </c>
      <c r="D11502" s="1" t="s">
        <v>22759</v>
      </c>
      <c r="E11502" s="1" t="str">
        <f ca="1">IFERROR(__xludf.DUMMYFUNCTION("GOOGLETRANSLATE(A8301 , ""tr"" , ""en"")"),"@drfahrettinkoca healthcare guide is not a two weeks a husband waiting for a year2")</f>
        <v>@drfahrettinkoca healthcare guide is not a two weeks a husband waiting for a year2</v>
      </c>
    </row>
    <row r="11503" spans="1:5" ht="15" customHeight="1" x14ac:dyDescent="0.2">
      <c r="A11503" s="1" t="s">
        <v>21339</v>
      </c>
      <c r="B11503" s="1">
        <v>0</v>
      </c>
      <c r="C11503" s="3">
        <v>44534.70516203704</v>
      </c>
      <c r="D11503" s="1" t="s">
        <v>22760</v>
      </c>
      <c r="E11503" s="1" t="str">
        <f ca="1">IFERROR(__xludf.DUMMYFUNCTION("GOOGLETRANSLATE(A8302 , ""tr"" , ""en"")"),"@drfahrettinkoca Healthparts Guide is a week not a husband waiting for a year 1")</f>
        <v>@drfahrettinkoca Healthparts Guide is a week not a husband waiting for a year 1</v>
      </c>
    </row>
    <row r="11504" spans="1:5" ht="15" customHeight="1" x14ac:dyDescent="0.2">
      <c r="A11504" s="1" t="s">
        <v>22761</v>
      </c>
      <c r="B11504" s="1">
        <v>4</v>
      </c>
      <c r="C11504" s="3">
        <v>44534.705138888887</v>
      </c>
      <c r="D11504" s="1" t="s">
        <v>22762</v>
      </c>
      <c r="E11504" s="1" t="str">
        <f ca="1">IFERROR(__xludf.DUMMYFUNCTION("GOOGLETRANSLATE(A8303 , ""tr"" , ""en"")"),"@drfahrettinkoca you say in vaccination decreased to Germany, Europe bursts even in Europe.")</f>
        <v>@drfahrettinkoca you say in vaccination decreased to Germany, Europe bursts even in Europe.</v>
      </c>
    </row>
    <row r="11505" spans="1:5" ht="15" customHeight="1" x14ac:dyDescent="0.2">
      <c r="A11505" s="1" t="s">
        <v>19732</v>
      </c>
      <c r="B11505" s="1">
        <v>0</v>
      </c>
      <c r="C11505" s="3">
        <v>44534.705092592594</v>
      </c>
      <c r="D11505" s="1" t="s">
        <v>22763</v>
      </c>
      <c r="E11505" s="1" t="str">
        <f ca="1">IFERROR(__xludf.DUMMYFUNCTION("GOOGLETRANSLATE(A8304 , ""tr"" , ""en"")"),"@drfahrettinkoca healthcare guide is a week not for a husband waiting for a year")</f>
        <v>@drfahrettinkoca healthcare guide is a week not for a husband waiting for a year</v>
      </c>
    </row>
    <row r="11506" spans="1:5" ht="15" customHeight="1" x14ac:dyDescent="0.2">
      <c r="A11506" s="1" t="s">
        <v>22764</v>
      </c>
      <c r="B11506" s="1">
        <v>2</v>
      </c>
      <c r="C11506" s="3">
        <v>44534.704942129632</v>
      </c>
      <c r="D11506" s="1" t="s">
        <v>22765</v>
      </c>
      <c r="E11506" s="1" t="str">
        <f ca="1">IFERROR(__xludf.DUMMYFUNCTION("GOOGLETRANSLATE(A8305 , ""tr"" , ""en"")"),"@drfahrettinkoca https://t.co/e4dxpvdsru What we see here is the marketing and product sale science of great drugs ... https://t.co/hkbfojinha")</f>
        <v>@drfahrettinkoca https://t.co/e4dxpvdsru What we see here is the marketing and product sale science of great drugs ... https://t.co/hkbfojinha</v>
      </c>
    </row>
    <row r="11507" spans="1:5" ht="15" customHeight="1" x14ac:dyDescent="0.2">
      <c r="A11507" s="1" t="s">
        <v>22766</v>
      </c>
      <c r="B11507" s="1">
        <v>0</v>
      </c>
      <c r="C11507" s="3">
        <v>44534.704722222225</v>
      </c>
      <c r="D11507" s="1" t="s">
        <v>22767</v>
      </c>
      <c r="E11507" s="1" t="str">
        <f ca="1">IFERROR(__xludf.DUMMYFUNCTION("GOOGLETRANSLATE(A8306 , ""tr"" , ""en"")"),"If you answer @drfahrettinka once you ripped the socks like the rest will come and the whole game is not exposed? Ring ... https://t.co/5fyımbiyyx")</f>
        <v>If you answer @drfahrettinka once you ripped the socks like the rest will come and the whole game is not exposed? Ring ... https://t.co/5fyımbiyyx</v>
      </c>
    </row>
    <row r="11508" spans="1:5" ht="15" customHeight="1" x14ac:dyDescent="0.2">
      <c r="A11508" s="1" t="s">
        <v>22768</v>
      </c>
      <c r="B11508" s="1">
        <v>18</v>
      </c>
      <c r="C11508" s="3">
        <v>44534.704618055555</v>
      </c>
      <c r="D11508" s="1" t="s">
        <v>22769</v>
      </c>
      <c r="E11508" s="1" t="str">
        <f ca="1">IFERROR(__xludf.DUMMYFUNCTION("GOOGLETRANSLATE(A8307 , ""tr"" , ""en"")"),"@drfahrettinkoca # Cabinethousonlineline # Cabinetbowlineline")</f>
        <v>@drfahrettinkoca # Cabinethousonlineline # Cabinetbowlineline</v>
      </c>
    </row>
    <row r="11509" spans="1:5" ht="15" customHeight="1" x14ac:dyDescent="0.2">
      <c r="A11509" s="1" t="s">
        <v>22770</v>
      </c>
      <c r="B11509" s="1">
        <v>0</v>
      </c>
      <c r="C11509" s="3">
        <v>44534.704594907409</v>
      </c>
      <c r="D11509" s="1" t="s">
        <v>22771</v>
      </c>
      <c r="E11509" s="1" t="str">
        <f ca="1">IFERROR(__xludf.DUMMYFUNCTION("GOOGLETRANSLATE(A8308 , ""tr"" , ""en"")"),"@drfahrettinkoca # CabineticsLineline Do you think schools are ventilated? Everything in theory ... https://t.co/0cdomwtroc")</f>
        <v>@drfahrettinkoca # CabineticsLineline Do you think schools are ventilated? Everything in theory ... https://t.co/0cdomwtroc</v>
      </c>
    </row>
    <row r="11510" spans="1:5" ht="15" customHeight="1" x14ac:dyDescent="0.2">
      <c r="A11510" s="1" t="s">
        <v>22772</v>
      </c>
      <c r="B11510" s="1">
        <v>1</v>
      </c>
      <c r="C11510" s="3">
        <v>44534.704594907409</v>
      </c>
      <c r="D11510" s="1" t="s">
        <v>22773</v>
      </c>
      <c r="E11510" s="1" t="str">
        <f ca="1">IFERROR(__xludf.DUMMYFUNCTION("GOOGLETRANSLATE(A8309 , ""tr"" , ""en"")"),"We should not wear @drfahrettinkoca and mask, and we should not be subjects, and the PFizer is to say the Board of Accounts.")</f>
        <v>We should not wear @drfahrettinkoca and mask, and we should not be subjects, and the PFizer is to say the Board of Accounts.</v>
      </c>
    </row>
    <row r="11511" spans="1:5" ht="15" customHeight="1" x14ac:dyDescent="0.2">
      <c r="A11511" s="1" t="s">
        <v>22774</v>
      </c>
      <c r="B11511" s="1">
        <v>9</v>
      </c>
      <c r="C11511" s="3">
        <v>44534.704583333332</v>
      </c>
      <c r="D11511" s="1" t="s">
        <v>22775</v>
      </c>
      <c r="E11511" s="1" t="str">
        <f ca="1">IFERROR(__xludf.DUMMYFUNCTION("GOOGLETRANSLATE(A8310 , ""tr"" , ""en"")"),"@drfahrettinkoca The only way to ventilation is the only problem with the kima as well as the air conditioning in 40 50 fattery classes ... https://t.co/rscereoawf")</f>
        <v>@drfahrettinkoca The only way to ventilation is the only problem with the kima as well as the air conditioning in 40 50 fattery classes ... https://t.co/rscereoawf</v>
      </c>
    </row>
    <row r="11512" spans="1:5" ht="15" customHeight="1" x14ac:dyDescent="0.2">
      <c r="A11512" s="1" t="s">
        <v>22776</v>
      </c>
      <c r="B11512" s="1">
        <v>26</v>
      </c>
      <c r="C11512" s="3">
        <v>44534.704560185186</v>
      </c>
      <c r="D11512" s="1" t="s">
        <v>22777</v>
      </c>
      <c r="E11512" s="1" t="str">
        <f ca="1">IFERROR(__xludf.DUMMYFUNCTION("GOOGLETRANSLATE(A8311 , ""tr"" , ""en"")"),"@drfahrettinkoca # Cabinethousonlineline # Cabinetbowlineline")</f>
        <v>@drfahrettinkoca # Cabinethousonlineline # Cabinetbowlineline</v>
      </c>
    </row>
    <row r="11513" spans="1:5" ht="15" customHeight="1" x14ac:dyDescent="0.2">
      <c r="A11513" s="1" t="s">
        <v>22778</v>
      </c>
      <c r="B11513" s="1">
        <v>0</v>
      </c>
      <c r="C11513" s="3">
        <v>44534.704444444447</v>
      </c>
      <c r="D11513" s="1" t="s">
        <v>22779</v>
      </c>
      <c r="E11513" s="1" t="str">
        <f ca="1">IFERROR(__xludf.DUMMYFUNCTION("GOOGLETRANSLATE(A8312 , ""tr"" , ""en"")"),"@drfahrettinkoca Health Organizing Covid Test Before You Start Treatment in Health Organization, Tens of Tests, Tested, ... https://t.co/FE2HVKMJIG")</f>
        <v>@drfahrettinkoca Health Organizing Covid Test Before You Start Treatment in Health Organization, Tens of Tests, Tested, ... https://t.co/FE2HVKMJIG</v>
      </c>
    </row>
    <row r="11514" spans="1:5" ht="15" customHeight="1" x14ac:dyDescent="0.2">
      <c r="A11514" s="1" t="s">
        <v>18602</v>
      </c>
      <c r="B11514" s="1">
        <v>46</v>
      </c>
      <c r="C11514" s="3">
        <v>44534.704398148147</v>
      </c>
      <c r="D11514" s="1" t="s">
        <v>22780</v>
      </c>
      <c r="E11514" s="1" t="str">
        <f ca="1">IFERROR(__xludf.DUMMYFUNCTION("GOOGLETRANSLATE(A8313 , ""tr"" , ""en"")"),"@drfahrettinkoca #kabinezkusagionlineline")</f>
        <v>@drfahrettinkoca #kabinezkusagionlineline</v>
      </c>
    </row>
    <row r="11515" spans="1:5" ht="15" customHeight="1" x14ac:dyDescent="0.2">
      <c r="A11515" s="1" t="s">
        <v>22781</v>
      </c>
      <c r="B11515" s="1">
        <v>0</v>
      </c>
      <c r="C11515" s="3">
        <v>44534.704224537039</v>
      </c>
      <c r="D11515" s="1" t="s">
        <v>22782</v>
      </c>
      <c r="E11515" s="1" t="str">
        <f ca="1">IFERROR(__xludf.DUMMYFUNCTION("GOOGLETRANSLATE(A8314 , ""tr"" , ""en"")"),"@drfahrettinkoca e where is the vaccine nerdee? What do you expect for 5-11 years old? You still have not applied?")</f>
        <v>@drfahrettinkoca e where is the vaccine nerdee? What do you expect for 5-11 years old? You still have not applied?</v>
      </c>
    </row>
    <row r="11516" spans="1:5" ht="15" customHeight="1" x14ac:dyDescent="0.2">
      <c r="A11516" s="1" t="s">
        <v>22783</v>
      </c>
      <c r="B11516" s="1">
        <v>14</v>
      </c>
      <c r="C11516" s="3">
        <v>44534.70412037037</v>
      </c>
      <c r="D11516" s="1" t="s">
        <v>22784</v>
      </c>
      <c r="E11516" s="1" t="str">
        <f ca="1">IFERROR(__xludf.DUMMYFUNCTION("GOOGLETRANSLATE(A8315 , ""tr"" , ""en"")"),"@drfahrettinkoca # cabinetsineline")</f>
        <v>@drfahrettinkoca # cabinetsineline</v>
      </c>
    </row>
    <row r="11517" spans="1:5" ht="15" customHeight="1" x14ac:dyDescent="0.2">
      <c r="A11517" s="1" t="s">
        <v>22785</v>
      </c>
      <c r="B11517" s="1">
        <v>0</v>
      </c>
      <c r="C11517" s="3">
        <v>44534.704050925924</v>
      </c>
      <c r="D11517" s="1" t="s">
        <v>22786</v>
      </c>
      <c r="E11517" s="1" t="str">
        <f ca="1">IFERROR(__xludf.DUMMYFUNCTION("GOOGLETRANSLATE(A8316 , ""tr"" , ""en"")"),"Why @drfahrettinkoca teacher has no vaccine inaccurate rate ??? If you are a little realistic")</f>
        <v>Why @drfahrettinkoca teacher has no vaccine inaccurate rate ??? If you are a little realistic</v>
      </c>
    </row>
    <row r="11518" spans="1:5" ht="15" customHeight="1" x14ac:dyDescent="0.2">
      <c r="A11518" s="1" t="s">
        <v>22787</v>
      </c>
      <c r="B11518" s="1">
        <v>0</v>
      </c>
      <c r="C11518" s="3">
        <v>44534.703993055555</v>
      </c>
      <c r="D11518" s="1" t="s">
        <v>22788</v>
      </c>
      <c r="E11518" s="1" t="str">
        <f ca="1">IFERROR(__xludf.DUMMYFUNCTION("GOOGLETRANSLATE(A8317 , ""tr"" , ""en"")"),"@drfahrettinkoca You saw the scattered documents Master. How many people died from the vaccine? 😡")</f>
        <v>@drfahrettinkoca You saw the scattered documents Master. How many people died from the vaccine? 😡</v>
      </c>
    </row>
    <row r="11519" spans="1:5" ht="15" customHeight="1" x14ac:dyDescent="0.2">
      <c r="A11519" s="1" t="s">
        <v>22789</v>
      </c>
      <c r="B11519" s="1">
        <v>8</v>
      </c>
      <c r="C11519" s="3">
        <v>44534.703981481478</v>
      </c>
      <c r="D11519" s="1" t="s">
        <v>22790</v>
      </c>
      <c r="E11519" s="1" t="str">
        <f ca="1">IFERROR(__xludf.DUMMYFUNCTION("GOOGLETRANSLATE(A8318 , ""tr"" , ""en"")"),"@drfahrettinkoca Pandemide Online Education is the right of our children. We want to have an online education on each tier. #The cabinet linizing")</f>
        <v>@drfahrettinkoca Pandemide Online Education is the right of our children. We want to have an online education on each tier. #The cabinet linizing</v>
      </c>
    </row>
    <row r="11520" spans="1:5" ht="15" customHeight="1" x14ac:dyDescent="0.2">
      <c r="A11520" s="1" t="s">
        <v>22791</v>
      </c>
      <c r="B11520" s="1">
        <v>0</v>
      </c>
      <c r="C11520" s="3">
        <v>44534.703599537039</v>
      </c>
      <c r="D11520" s="1" t="s">
        <v>22792</v>
      </c>
      <c r="E11520" s="1" t="str">
        <f ca="1">IFERROR(__xludf.DUMMYFUNCTION("GOOGLETRANSLATE(A8319 , ""tr"" , ""en"")"),"@drfahrettinkoca Saglikcilar Leaving work We want our unpaid Rights Vaccine Practice Aksayinci Mi Mister Minister")</f>
        <v>@drfahrettinkoca Saglikcilar Leaving work We want our unpaid Rights Vaccine Practice Aksayinci Mi Mister Minister</v>
      </c>
    </row>
    <row r="11521" spans="1:5" ht="15" customHeight="1" x14ac:dyDescent="0.2">
      <c r="A11521" s="1" t="s">
        <v>22793</v>
      </c>
      <c r="B11521" s="1">
        <v>0</v>
      </c>
      <c r="C11521" s="3">
        <v>44534.703483796293</v>
      </c>
      <c r="D11521" s="1" t="s">
        <v>22794</v>
      </c>
      <c r="E11521" s="1" t="str">
        <f ca="1">IFERROR(__xludf.DUMMYFUNCTION("GOOGLETRANSLATE(A8320 , ""tr"" , ""en"")"),"@drfahrettinkoca is a deemed to release the guide right away !!! @drfahrettinkoca")</f>
        <v>@drfahrettinkoca is a deemed to release the guide right away !!! @drfahrettinkoca</v>
      </c>
    </row>
    <row r="11522" spans="1:5" ht="15" customHeight="1" x14ac:dyDescent="0.2">
      <c r="A11522" s="1" t="s">
        <v>22795</v>
      </c>
      <c r="B11522" s="1">
        <v>1</v>
      </c>
      <c r="C11522" s="3">
        <v>44534.703414351854</v>
      </c>
      <c r="D11522" s="1" t="s">
        <v>22796</v>
      </c>
      <c r="E11522" s="1" t="str">
        <f ca="1">IFERROR(__xludf.DUMMYFUNCTION("GOOGLETRANSLATE(A8321 , ""tr"" , ""en"")"),"@drfahrettinkoca If I was one of the passers in that list, I didn't see these infamous days. You even dedicated this now.")</f>
        <v>@drfahrettinkoca If I was one of the passers in that list, I didn't see these infamous days. You even dedicated this now.</v>
      </c>
    </row>
    <row r="11523" spans="1:5" ht="15" customHeight="1" x14ac:dyDescent="0.2">
      <c r="A11523" s="1" t="s">
        <v>22797</v>
      </c>
      <c r="B11523" s="1">
        <v>0</v>
      </c>
      <c r="C11523" s="3">
        <v>44534.703333333331</v>
      </c>
      <c r="D11523" s="1" t="s">
        <v>22798</v>
      </c>
      <c r="E11523" s="1" t="str">
        <f ca="1">IFERROR(__xludf.DUMMYFUNCTION("GOOGLETRANSLATE(A8322 , ""tr"" , ""en"")"),"@drfahrettinka 500 people daily for measure for measure")</f>
        <v>@drfahrettinka 500 people daily for measure for measure</v>
      </c>
    </row>
    <row r="11524" spans="1:5" ht="15" customHeight="1" x14ac:dyDescent="0.2">
      <c r="A11524" s="1" t="s">
        <v>22799</v>
      </c>
      <c r="B11524" s="1">
        <v>0</v>
      </c>
      <c r="C11524" s="3">
        <v>44534.703125</v>
      </c>
      <c r="D11524" s="1" t="s">
        <v>22800</v>
      </c>
      <c r="E11524" s="1" t="str">
        <f ca="1">IFERROR(__xludf.DUMMYFUNCTION("GOOGLETRANSLATE(A8323 , ""tr"" , ""en"")"),"@drfahrettinkoca has not seen a person who loves you in 1 of the 363 reviews 1 Our self is the time to question even passing")</f>
        <v>@drfahrettinkoca has not seen a person who loves you in 1 of the 363 reviews 1 Our self is the time to question even passing</v>
      </c>
    </row>
    <row r="11525" spans="1:5" ht="15" customHeight="1" x14ac:dyDescent="0.2">
      <c r="A11525" s="1" t="s">
        <v>22801</v>
      </c>
      <c r="B11525" s="1">
        <v>2</v>
      </c>
      <c r="C11525" s="3">
        <v>44534.702789351853</v>
      </c>
      <c r="D11525" s="1" t="s">
        <v>22802</v>
      </c>
      <c r="E11525" s="1" t="str">
        <f ca="1">IFERROR(__xludf.DUMMYFUNCTION("GOOGLETRANSLATE(A8324 , ""tr"" , ""en"")"),"@drfahrettinkoca Nekadar has very death # cabinet linizing")</f>
        <v>@drfahrettinkoca Nekadar has very death # cabinet linizing</v>
      </c>
    </row>
    <row r="11526" spans="1:5" ht="15" customHeight="1" x14ac:dyDescent="0.2">
      <c r="A11526" s="1" t="s">
        <v>22803</v>
      </c>
      <c r="B11526" s="1">
        <v>0</v>
      </c>
      <c r="C11526" s="3">
        <v>44534.702743055554</v>
      </c>
      <c r="D11526" s="1" t="s">
        <v>22804</v>
      </c>
      <c r="E11526" s="1" t="str">
        <f ca="1">IFERROR(__xludf.DUMMYFUNCTION("GOOGLETRANSLATE(A8325 , ""tr"" , ""en"")"),"@drfahrettinkoca we will not be vaccine, you will not touch children https://t.co/k8qjpg3mro")</f>
        <v>@drfahrettinkoca we will not be vaccine, you will not touch children https://t.co/k8qjpg3mro</v>
      </c>
    </row>
    <row r="11527" spans="1:5" ht="15" customHeight="1" x14ac:dyDescent="0.2">
      <c r="A11527" s="1" t="s">
        <v>22805</v>
      </c>
      <c r="B11527" s="1">
        <v>7</v>
      </c>
      <c r="C11527" s="3">
        <v>44534.702488425923</v>
      </c>
      <c r="D11527" s="1" t="s">
        <v>22806</v>
      </c>
      <c r="E11527" s="1" t="str">
        <f ca="1">IFERROR(__xludf.DUMMYFUNCTION("GOOGLETRANSLATE(A8326 , ""tr"" , ""en"")"),"@drfahrettinkoca schools are the blind deaf mute when they are in question, I didn't mean that I didn't")</f>
        <v>@drfahrettinkoca schools are the blind deaf mute when they are in question, I didn't mean that I didn't</v>
      </c>
    </row>
    <row r="11528" spans="1:5" ht="15" customHeight="1" x14ac:dyDescent="0.2">
      <c r="A11528" s="1" t="s">
        <v>22807</v>
      </c>
      <c r="B11528" s="1">
        <v>0</v>
      </c>
      <c r="C11528" s="3">
        <v>44534.702430555553</v>
      </c>
      <c r="D11528" s="1" t="s">
        <v>22808</v>
      </c>
      <c r="E11528" s="1" t="str">
        <f ca="1">IFERROR(__xludf.DUMMYFUNCTION("GOOGLETRANSLATE(A8327 , ""tr"" , ""en"")"),"@drfahrettinkoca Come Tell it in your Yurdun's Dining")</f>
        <v>@drfahrettinkoca Come Tell it in your Yurdun's Dining</v>
      </c>
    </row>
    <row r="11529" spans="1:5" ht="15" customHeight="1" x14ac:dyDescent="0.2">
      <c r="A11529" s="1" t="s">
        <v>22809</v>
      </c>
      <c r="B11529" s="1">
        <v>0</v>
      </c>
      <c r="C11529" s="3">
        <v>44534.702245370368</v>
      </c>
      <c r="D11529" s="1" t="s">
        <v>22810</v>
      </c>
      <c r="E11529" s="1" t="str">
        <f ca="1">IFERROR(__xludf.DUMMYFUNCTION("GOOGLETRANSLATE(A8328 , ""tr"" , ""en"")"),"@drfahrettinkoca @drfahrettinkoca Guide where is Mr. Minister?")</f>
        <v>@drfahrettinkoca @drfahrettinkoca Guide where is Mr. Minister?</v>
      </c>
    </row>
    <row r="11530" spans="1:5" ht="15" customHeight="1" x14ac:dyDescent="0.2">
      <c r="A11530" s="1" t="s">
        <v>22811</v>
      </c>
      <c r="B11530" s="1">
        <v>0</v>
      </c>
      <c r="C11530" s="3">
        <v>44534.702233796299</v>
      </c>
      <c r="D11530" s="1" t="s">
        <v>22812</v>
      </c>
      <c r="E11530" s="1" t="str">
        <f ca="1">IFERROR(__xludf.DUMMYFUNCTION("GOOGLETRANSLATE(A8329 , ""tr"" , ""en"")"),"@drfahrettinkoca How do you ignore it really doesn't take my mind @drfahrettinkoca")</f>
        <v>@drfahrettinkoca How do you ignore it really doesn't take my mind @drfahrettinkoca</v>
      </c>
    </row>
    <row r="11531" spans="1:5" ht="15" customHeight="1" x14ac:dyDescent="0.2">
      <c r="A11531" s="1" t="s">
        <v>22813</v>
      </c>
      <c r="B11531" s="1">
        <v>0</v>
      </c>
      <c r="C11531" s="3">
        <v>44534.702141203707</v>
      </c>
      <c r="D11531" s="1" t="s">
        <v>22814</v>
      </c>
      <c r="E11531" s="1" t="str">
        <f ca="1">IFERROR(__xludf.DUMMYFUNCTION("GOOGLETRANSLATE(A8330 , ""tr"" , ""en"")"),"@drfahrettinkoca A $ HI took the Noloyor 😂😂😂 You are the joke.")</f>
        <v>@drfahrettinkoca A $ HI took the Noloyor 😂😂😂 You are the joke.</v>
      </c>
    </row>
    <row r="11532" spans="1:5" ht="15" customHeight="1" x14ac:dyDescent="0.2">
      <c r="A11532" s="1" t="s">
        <v>22815</v>
      </c>
      <c r="B11532" s="1">
        <v>19</v>
      </c>
      <c r="C11532" s="3">
        <v>44534.70212962963</v>
      </c>
      <c r="D11532" s="1" t="s">
        <v>22816</v>
      </c>
      <c r="E11532" s="1" t="str">
        <f ca="1">IFERROR(__xludf.DUMMYFUNCTION("GOOGLETRANSLATE(A8331 , ""tr"" , ""en"")"),"@drfahrettinkoca I was going to join the promise of the following experimental fluid ..")</f>
        <v>@drfahrettinkoca I was going to join the promise of the following experimental fluid ..</v>
      </c>
    </row>
    <row r="11533" spans="1:5" ht="15" customHeight="1" x14ac:dyDescent="0.2">
      <c r="A11533" s="1" t="s">
        <v>22817</v>
      </c>
      <c r="B11533" s="1">
        <v>215</v>
      </c>
      <c r="C11533" s="3">
        <v>44534.702002314814</v>
      </c>
      <c r="D11533" s="1" t="s">
        <v>22818</v>
      </c>
      <c r="E11533" s="1" t="str">
        <f ca="1">IFERROR(__xludf.DUMMYFUNCTION("GOOGLETRANSLATE(A8332 , ""tr"" , ""en"")"),"@drfahrettinka Science Board Meetings are made online because of the virus, but schools continue to face to face ... https://t.co/dmxhfhoqjj")</f>
        <v>@drfahrettinka Science Board Meetings are made online because of the virus, but schools continue to face to face ... https://t.co/dmxhfhoqjj</v>
      </c>
    </row>
    <row r="11534" spans="1:5" ht="15" customHeight="1" x14ac:dyDescent="0.2">
      <c r="A11534" s="1" t="s">
        <v>22819</v>
      </c>
      <c r="B11534" s="1">
        <v>2</v>
      </c>
      <c r="C11534" s="3">
        <v>44534.701874999999</v>
      </c>
      <c r="D11534" s="1" t="s">
        <v>22820</v>
      </c>
      <c r="E11534" s="1" t="str">
        <f ca="1">IFERROR(__xludf.DUMMYFUNCTION("GOOGLETRANSLATE(A8333 , ""tr"" , ""en"")"),"@drfahrettinkoca Mr. Minister The highest case rates on the table you published are blue ie vaccine ratio high, lowest ora ... https://t.co/jrgmouo477")</f>
        <v>@drfahrettinkoca Mr. Minister The highest case rates on the table you published are blue ie vaccine ratio high, lowest ora ... https://t.co/jrgmouo477</v>
      </c>
    </row>
    <row r="11535" spans="1:5" ht="15" customHeight="1" x14ac:dyDescent="0.2">
      <c r="A11535" s="1" t="s">
        <v>22821</v>
      </c>
      <c r="B11535" s="1">
        <v>0</v>
      </c>
      <c r="C11535" s="3">
        <v>44534.701793981483</v>
      </c>
      <c r="D11535" s="1" t="s">
        <v>22822</v>
      </c>
      <c r="E11535" s="1" t="str">
        <f ca="1">IFERROR(__xludf.DUMMYFUNCTION("GOOGLETRANSLATE(A8334 , ""tr"" , ""en"")"),"@drfahrettinkoca Calisans 12 Hours Complendent Thawtigi Mask People from Walking Mask for Greek Sefa Tactics ... https://t.co/72dnux9cyl")</f>
        <v>@drfahrettinkoca Calisans 12 Hours Complendent Thawtigi Mask People from Walking Mask for Greek Sefa Tactics ... https://t.co/72dnux9cyl</v>
      </c>
    </row>
    <row r="11536" spans="1:5" ht="15" customHeight="1" x14ac:dyDescent="0.2">
      <c r="A11536" s="1" t="s">
        <v>22823</v>
      </c>
      <c r="B11536" s="1">
        <v>5</v>
      </c>
      <c r="C11536" s="3">
        <v>44534.701724537037</v>
      </c>
      <c r="D11536" s="1" t="s">
        <v>22824</v>
      </c>
      <c r="E11536" s="1" t="str">
        <f ca="1">IFERROR(__xludf.DUMMYFUNCTION("GOOGLETRANSLATE(A8335 , ""tr"" , ""en"")"),"@drfahrettinkoca are you serious are you doing joking i don't get it i didn't get the barn to the big head animal as the students like the students ... https://t.co/dzddpshgjp")</f>
        <v>@drfahrettinkoca are you serious are you doing joking i don't get it i didn't get the barn to the big head animal as the students like the students ... https://t.co/dzddpshgjp</v>
      </c>
    </row>
    <row r="11537" spans="1:5" ht="15" customHeight="1" x14ac:dyDescent="0.2">
      <c r="A11537" s="1" t="s">
        <v>22825</v>
      </c>
      <c r="B11537" s="1">
        <v>15</v>
      </c>
      <c r="C11537" s="3">
        <v>44534.701516203706</v>
      </c>
      <c r="D11537" s="1" t="s">
        <v>22826</v>
      </c>
      <c r="E11537" s="1" t="str">
        <f ca="1">IFERROR(__xludf.DUMMYFUNCTION("GOOGLETRANSLATE(A8336 , ""tr"" , ""en"")"),"@drfahrettinkoca winter 80 people at 80 people frozen in amphies by processing the lesson from the corona to die from the cold rest the rest of us ... https://t.co/98euc0ysdw")</f>
        <v>@drfahrettinkoca winter 80 people at 80 people frozen in amphies by processing the lesson from the corona to die from the cold rest the rest of us ... https://t.co/98euc0ysdw</v>
      </c>
    </row>
    <row r="11538" spans="1:5" ht="15" customHeight="1" x14ac:dyDescent="0.2">
      <c r="A11538" s="1" t="s">
        <v>22827</v>
      </c>
      <c r="B11538" s="1">
        <v>93</v>
      </c>
      <c r="C11538" s="3">
        <v>44534.701354166667</v>
      </c>
      <c r="D11538" s="1" t="s">
        <v>22828</v>
      </c>
      <c r="E11538" s="1" t="str">
        <f ca="1">IFERROR(__xludf.DUMMYFUNCTION("GOOGLETRANSLATE(A8337 , ""tr"" , ""en"")"),"@drfahrettinkoca Either such contradictory statements are saving you in the indoor environments, these kids ... https://t.co/sw6qhjg85o")</f>
        <v>@drfahrettinkoca Either such contradictory statements are saving you in the indoor environments, these kids ... https://t.co/sw6qhjg85o</v>
      </c>
    </row>
    <row r="11539" spans="1:5" ht="15" customHeight="1" x14ac:dyDescent="0.2">
      <c r="A11539" s="1" t="s">
        <v>22829</v>
      </c>
      <c r="B11539" s="1">
        <v>1</v>
      </c>
      <c r="C11539" s="3">
        <v>44534.701319444444</v>
      </c>
      <c r="D11539" s="1" t="s">
        <v>22830</v>
      </c>
      <c r="E11539" s="1" t="str">
        <f ca="1">IFERROR(__xludf.DUMMYFUNCTION("GOOGLETRANSLATE(A8338 , ""tr"" , ""en"")"),"@drfahrettinkoca sec. Minister, sec. Does the President have news 🤣😂😅")</f>
        <v>@drfahrettinkoca sec. Minister, sec. Does the President have news 🤣😂😅</v>
      </c>
    </row>
    <row r="11540" spans="1:5" ht="15" customHeight="1" x14ac:dyDescent="0.2">
      <c r="A11540" s="1" t="s">
        <v>22831</v>
      </c>
      <c r="B11540" s="1">
        <v>13</v>
      </c>
      <c r="C11540" s="3">
        <v>44534.701296296298</v>
      </c>
      <c r="D11540" s="1" t="s">
        <v>22832</v>
      </c>
      <c r="E11540" s="1" t="str">
        <f ca="1">IFERROR(__xludf.DUMMYFUNCTION("GOOGLETRANSLATE(A8339 , ""tr"" , ""en"")"),"@drfahrettinkoca online training we want to look at life fits home # cabinetbowlinelike")</f>
        <v>@drfahrettinkoca online training we want to look at life fits home # cabinetbowlinelike</v>
      </c>
    </row>
    <row r="11541" spans="1:5" ht="15" customHeight="1" x14ac:dyDescent="0.2">
      <c r="A11541" s="1" t="s">
        <v>22833</v>
      </c>
      <c r="B11541" s="1">
        <v>1</v>
      </c>
      <c r="C11541" s="3">
        <v>44534.701284722221</v>
      </c>
      <c r="D11541" s="1" t="s">
        <v>22834</v>
      </c>
      <c r="E11541" s="1" t="str">
        <f ca="1">IFERROR(__xludf.DUMMYFUNCTION("GOOGLETRANSLATE(A8340 , ""tr"" , ""en"")"),"@drfahrettinkoca E Children's lesson work in the garden then ..?")</f>
        <v>@drfahrettinkoca E Children's lesson work in the garden then ..?</v>
      </c>
    </row>
    <row r="11542" spans="1:5" ht="15" customHeight="1" x14ac:dyDescent="0.2">
      <c r="A11542" s="1" t="s">
        <v>22835</v>
      </c>
      <c r="B11542" s="1">
        <v>0</v>
      </c>
      <c r="C11542" s="3">
        <v>44534.701273148145</v>
      </c>
      <c r="D11542" s="1" t="s">
        <v>22836</v>
      </c>
      <c r="E11542" s="1" t="str">
        <f ca="1">IFERROR(__xludf.DUMMYFUNCTION("GOOGLETRANSLATE(A8341 , ""tr"" , ""en"")"),"@drfahrettinkoca yap leave us bi leave for allah love. The pandemia mullem is now believing in this lie. In the course of the folks bread!")</f>
        <v>@drfahrettinkoca yap leave us bi leave for allah love. The pandemia mullem is now believing in this lie. In the course of the folks bread!</v>
      </c>
    </row>
    <row r="11543" spans="1:5" ht="15" customHeight="1" x14ac:dyDescent="0.2">
      <c r="A11543" s="1" t="s">
        <v>22837</v>
      </c>
      <c r="B11543" s="1">
        <v>0</v>
      </c>
      <c r="C11543" s="3">
        <v>44534.701064814813</v>
      </c>
      <c r="D11543" s="1" t="s">
        <v>22838</v>
      </c>
      <c r="E11543" s="1" t="str">
        <f ca="1">IFERROR(__xludf.DUMMYFUNCTION("GOOGLETRANSLATE(A8342 , ""tr"" , ""en"")"),"@drfahrettinka how to do the vaccine orange zone lowest case 😂")</f>
        <v>@drfahrettinka how to do the vaccine orange zone lowest case 😂</v>
      </c>
    </row>
    <row r="11544" spans="1:5" ht="15" customHeight="1" x14ac:dyDescent="0.2">
      <c r="A11544" s="1" t="s">
        <v>22839</v>
      </c>
      <c r="B11544" s="1">
        <v>1</v>
      </c>
      <c r="C11544" s="3">
        <v>44534.701053240744</v>
      </c>
      <c r="D11544" s="1" t="s">
        <v>22840</v>
      </c>
      <c r="E11544" s="1" t="str">
        <f ca="1">IFERROR(__xludf.DUMMYFUNCTION("GOOGLETRANSLATE(A8343 , ""tr"" , ""en"")"),"?")</f>
        <v>?</v>
      </c>
    </row>
    <row r="11545" spans="1:5" ht="15" customHeight="1" x14ac:dyDescent="0.2">
      <c r="A11545" s="1" t="s">
        <v>22841</v>
      </c>
      <c r="B11545" s="1">
        <v>0</v>
      </c>
      <c r="C11545" s="3">
        <v>44534.701053240744</v>
      </c>
      <c r="D11545" s="1" t="s">
        <v>22842</v>
      </c>
      <c r="E11545" s="1" t="str">
        <f ca="1">IFERROR(__xludf.DUMMYFUNCTION("GOOGLETRANSLATE(A8344 , ""tr"" , ""en"")"),"@drfahrettinkoca case counters, one of the bungun esim this pride is our pride we are all of us 👏🏻 are 2 years ... https://t.co/hrgharpuyo")</f>
        <v>@drfahrettinkoca case counters, one of the bungun esim this pride is our pride we are all of us 👏🏻 are 2 years ... https://t.co/hrgharpuyo</v>
      </c>
    </row>
    <row r="11546" spans="1:5" ht="15" customHeight="1" x14ac:dyDescent="0.2">
      <c r="A11546" s="1" t="s">
        <v>22843</v>
      </c>
      <c r="B11546" s="1">
        <v>0</v>
      </c>
      <c r="C11546" s="3">
        <v>44534.701053240744</v>
      </c>
      <c r="D11546" s="1" t="s">
        <v>22844</v>
      </c>
      <c r="E11546" s="1" t="str">
        <f ca="1">IFERROR(__xludf.DUMMYFUNCTION("GOOGLETRANSLATE(A8345 , ""tr"" , ""en"")"),"@drfahrettinka https://t.co/fljinix0wi")</f>
        <v>@drfahrettinka https://t.co/fljinix0wi</v>
      </c>
    </row>
    <row r="11547" spans="1:5" ht="15" customHeight="1" x14ac:dyDescent="0.2">
      <c r="A11547" s="1" t="s">
        <v>22845</v>
      </c>
      <c r="B11547" s="1">
        <v>0</v>
      </c>
      <c r="C11547" s="3">
        <v>44534.700914351852</v>
      </c>
      <c r="D11547" s="1" t="s">
        <v>22846</v>
      </c>
      <c r="E11547" s="1" t="str">
        <f ca="1">IFERROR(__xludf.DUMMYFUNCTION("GOOGLETRANSLATE(A8346 , ""tr"" , ""en"")"),"@drfahrettinkoca Allah Games, lies, brutality, poison into you!")</f>
        <v>@drfahrettinkoca Allah Games, lies, brutality, poison into you!</v>
      </c>
    </row>
    <row r="11548" spans="1:5" ht="15" customHeight="1" x14ac:dyDescent="0.2">
      <c r="A11548" s="1" t="s">
        <v>22847</v>
      </c>
      <c r="B11548" s="1">
        <v>2</v>
      </c>
      <c r="C11548" s="3">
        <v>44534.700787037036</v>
      </c>
      <c r="D11548" s="1" t="s">
        <v>22848</v>
      </c>
      <c r="E11548" s="1" t="str">
        <f ca="1">IFERROR(__xludf.DUMMYFUNCTION("GOOGLETRANSLATE(A8347 , ""tr"" , ""en"")"),"@drfahrettinkoca you describe schools in your tweeting SN overlooking the sec.")</f>
        <v>@drfahrettinkoca you describe schools in your tweeting SN overlooking the sec.</v>
      </c>
    </row>
    <row r="11549" spans="1:5" ht="15" customHeight="1" x14ac:dyDescent="0.2">
      <c r="A11549" s="1" t="s">
        <v>22849</v>
      </c>
      <c r="B11549" s="1">
        <v>0</v>
      </c>
      <c r="C11549" s="3">
        <v>44534.700613425928</v>
      </c>
      <c r="D11549" s="1" t="s">
        <v>22850</v>
      </c>
      <c r="E11549" s="1" t="str">
        <f ca="1">IFERROR(__xludf.DUMMYFUNCTION("GOOGLETRANSLATE(A8348 , ""tr"" , ""en"")"),"@drfahrettinka Mr. Minister, # Türkovac Exit date is not clear. I called the vaccine unit, phones study ... https://t.co/883qzllve5")</f>
        <v>@drfahrettinka Mr. Minister, # Türkovac Exit date is not clear. I called the vaccine unit, phones study ... https://t.co/883qzllve5</v>
      </c>
    </row>
    <row r="11550" spans="1:5" ht="15" customHeight="1" x14ac:dyDescent="0.2">
      <c r="A11550" s="1" t="s">
        <v>22851</v>
      </c>
      <c r="B11550" s="1">
        <v>0</v>
      </c>
      <c r="C11550" s="3">
        <v>44534.700555555559</v>
      </c>
      <c r="D11550" s="1" t="s">
        <v>22852</v>
      </c>
      <c r="E11550" s="1" t="str">
        <f ca="1">IFERROR(__xludf.DUMMYFUNCTION("GOOGLETRANSLATE(A8349 , ""tr"" , ""en"")"),"@drfahrettinkoca You must ensure cleaning and disinfect of dorms.")</f>
        <v>@drfahrettinkoca You must ensure cleaning and disinfect of dorms.</v>
      </c>
    </row>
    <row r="11551" spans="1:5" ht="15" customHeight="1" x14ac:dyDescent="0.2">
      <c r="A11551" s="1" t="s">
        <v>22853</v>
      </c>
      <c r="B11551" s="1">
        <v>0</v>
      </c>
      <c r="C11551" s="3">
        <v>44534.700324074074</v>
      </c>
      <c r="D11551" s="1" t="s">
        <v>22854</v>
      </c>
      <c r="E11551" s="1" t="str">
        <f ca="1">IFERROR(__xludf.DUMMYFUNCTION("GOOGLETRANSLATE(A8350 , ""tr"" , ""en"")"),"@drfahrettinkoca censure .. Schoolhis is open then")</f>
        <v>@drfahrettinkoca censure .. Schoolhis is open then</v>
      </c>
    </row>
    <row r="11552" spans="1:5" ht="15" customHeight="1" x14ac:dyDescent="0.2">
      <c r="A11552" s="1" t="s">
        <v>22855</v>
      </c>
      <c r="B11552" s="1">
        <v>6</v>
      </c>
      <c r="C11552" s="3">
        <v>44534.700196759259</v>
      </c>
      <c r="D11552" s="1" t="s">
        <v>22856</v>
      </c>
      <c r="E11552" s="1" t="str">
        <f ca="1">IFERROR(__xludf.DUMMYFUNCTION("GOOGLETRANSLATE(A8351 , ""tr"" , ""en"")"),"@drfahrettinkoca these are completely in the story practice no one supposed to suppose the rules what sanctions today ÖSYM ... https://t.co/xcx6gzob2d")</f>
        <v>@drfahrettinkoca these are completely in the story practice no one supposed to suppose the rules what sanctions today ÖSYM ... https://t.co/xcx6gzob2d</v>
      </c>
    </row>
    <row r="11553" spans="1:5" ht="15" customHeight="1" x14ac:dyDescent="0.2">
      <c r="A11553" s="1" t="s">
        <v>22857</v>
      </c>
      <c r="B11553" s="1">
        <v>0</v>
      </c>
      <c r="C11553" s="3">
        <v>44534.700150462966</v>
      </c>
      <c r="D11553" s="1" t="s">
        <v>22858</v>
      </c>
      <c r="E11553" s="1" t="str">
        <f ca="1">IFERROR(__xludf.DUMMYFUNCTION("GOOGLETRANSLATE(A8352 , ""tr"" , ""en"")"),"@drfahrettinkoca is the only closed environment of public transportation The Ministry of Public Transport is no nuisance except him ....")</f>
        <v>@drfahrettinkoca is the only closed environment of public transportation The Ministry of Public Transport is no nuisance except him ....</v>
      </c>
    </row>
    <row r="11554" spans="1:5" ht="15" customHeight="1" x14ac:dyDescent="0.2">
      <c r="A11554" s="1" t="s">
        <v>22859</v>
      </c>
      <c r="B11554" s="1">
        <v>7</v>
      </c>
      <c r="C11554" s="3">
        <v>44534.699930555558</v>
      </c>
      <c r="D11554" s="1" t="s">
        <v>22860</v>
      </c>
      <c r="E11554" s="1" t="str">
        <f ca="1">IFERROR(__xludf.DUMMYFUNCTION("GOOGLETRANSLATE(A8353 , ""tr"" , ""en"")"),"@drfahrettinka schools are already indoor environments we don't know that I don't understand anything from this administration is the clasp ... https://t.co/e977vtbllg")</f>
        <v>@drfahrettinka schools are already indoor environments we don't know that I don't understand anything from this administration is the clasp ... https://t.co/e977vtbllg</v>
      </c>
    </row>
    <row r="11555" spans="1:5" ht="15" customHeight="1" x14ac:dyDescent="0.2">
      <c r="A11555" s="1" t="s">
        <v>22861</v>
      </c>
      <c r="B11555" s="1">
        <v>16</v>
      </c>
      <c r="C11555" s="3">
        <v>44534.699907407405</v>
      </c>
      <c r="D11555" s="1" t="s">
        <v>22862</v>
      </c>
      <c r="E11555" s="1" t="str">
        <f ca="1">IFERROR(__xludf.DUMMYFUNCTION("GOOGLETRANSLATE(A8354 , ""tr"" , ""en"")"),"@drfahrettinkoca says correctly 0 Case You are not the case if you are writing 😁 @drfahrettinkoca # cabinetboundine")</f>
        <v>@drfahrettinkoca says correctly 0 Case You are not the case if you are writing 😁 @drfahrettinkoca # cabinetboundine</v>
      </c>
    </row>
    <row r="11556" spans="1:5" ht="15" customHeight="1" x14ac:dyDescent="0.2">
      <c r="A11556" s="1" t="s">
        <v>22863</v>
      </c>
      <c r="B11556" s="1">
        <v>0</v>
      </c>
      <c r="C11556" s="3">
        <v>44534.69971064815</v>
      </c>
      <c r="D11556" s="1" t="s">
        <v>22864</v>
      </c>
      <c r="E11556" s="1" t="str">
        <f ca="1">IFERROR(__xludf.DUMMYFUNCTION("GOOGLETRANSLATE(A8355 , ""tr"" , ""en"")"),"@drfahrettinkoca 🤦♂️🤦♂️🤦♂️🤦♂️🤦♂️🤦♂️🤦♂️🤦♂️🤦♂️🤦♂️ 🤦♂🤦♂🤦♂️🤦♂️ ... https://t.co/ZBIVIULD83")</f>
        <v>@drfahrettinkoca 🤦♂️🤦♂️🤦♂️🤦♂️🤦♂️🤦♂️🤦♂️🤦♂️🤦♂️🤦♂️ 🤦♂🤦♂🤦♂️🤦♂️ ... https://t.co/ZBIVIULD83</v>
      </c>
    </row>
    <row r="11557" spans="1:5" ht="15" customHeight="1" x14ac:dyDescent="0.2">
      <c r="A11557" s="1" t="s">
        <v>22865</v>
      </c>
      <c r="B11557" s="1">
        <v>0</v>
      </c>
      <c r="C11557" s="3">
        <v>44534.699652777781</v>
      </c>
      <c r="D11557" s="1" t="s">
        <v>22866</v>
      </c>
      <c r="E11557" s="1" t="str">
        <f ca="1">IFERROR(__xludf.DUMMYFUNCTION("GOOGLETRANSLATE(A8356 , ""tr"" , ""en"")"),"@drfahrettinkoca tika basa full of alisveris centers and maskless navigation people sitting in coats of coats in the cases ... https://t.co/lw5zrkjiwz")</f>
        <v>@drfahrettinkoca tika basa full of alisveris centers and maskless navigation people sitting in coats of coats in the cases ... https://t.co/lw5zrkjiwz</v>
      </c>
    </row>
    <row r="11558" spans="1:5" ht="15" customHeight="1" x14ac:dyDescent="0.2">
      <c r="A11558" s="1" t="s">
        <v>22867</v>
      </c>
      <c r="B11558" s="1">
        <v>15</v>
      </c>
      <c r="C11558" s="3">
        <v>44534.699571759258</v>
      </c>
      <c r="D11558" s="1" t="s">
        <v>22868</v>
      </c>
      <c r="E11558" s="1" t="str">
        <f ca="1">IFERROR(__xludf.DUMMYFUNCTION("GOOGLETRANSLATE(A8357 , ""tr"" , ""en"")"),"@drfahrettinkoca Your own collaboration to have your own university online, why are we online or face-to-face swim ... https://t.co/wkxnnccx96")</f>
        <v>@drfahrettinkoca Your own collaboration to have your own university online, why are we online or face-to-face swim ... https://t.co/wkxnnccx96</v>
      </c>
    </row>
    <row r="11559" spans="1:5" ht="15" customHeight="1" x14ac:dyDescent="0.2">
      <c r="A11559" s="1" t="s">
        <v>22869</v>
      </c>
      <c r="B11559" s="1">
        <v>0</v>
      </c>
      <c r="C11559" s="3">
        <v>44534.699560185189</v>
      </c>
      <c r="D11559" s="1" t="s">
        <v>22870</v>
      </c>
      <c r="E11559" s="1" t="str">
        <f ca="1">IFERROR(__xludf.DUMMYFUNCTION("GOOGLETRANSLATE(A8358 , ""tr"" , ""en"")"),"@drfahrettinkoca should not separate health workers as doctors and others in the dedicated to health workers.")</f>
        <v>@drfahrettinkoca should not separate health workers as doctors and others in the dedicated to health workers.</v>
      </c>
    </row>
    <row r="11560" spans="1:5" ht="15" customHeight="1" x14ac:dyDescent="0.2">
      <c r="A11560" s="1" t="s">
        <v>22871</v>
      </c>
      <c r="B11560" s="1">
        <v>5</v>
      </c>
      <c r="C11560" s="3">
        <v>44534.699548611112</v>
      </c>
      <c r="D11560" s="1" t="s">
        <v>22872</v>
      </c>
      <c r="E11560" s="1" t="str">
        <f ca="1">IFERROR(__xludf.DUMMYFUNCTION("GOOGLETRANSLATE(A8359 , ""tr"" , ""en"")"),"@drfahrettinkoca 19 thousand e 1 step stayed at the tomorrow 19 thousand also waiting for the year as per year Ends Ends Earlık😉 Omic ... https://t.co/hugvd21rjc")</f>
        <v>@drfahrettinkoca 19 thousand e 1 step stayed at the tomorrow 19 thousand also waiting for the year as per year Ends Ends Earlık😉 Omic ... https://t.co/hugvd21rjc</v>
      </c>
    </row>
    <row r="11561" spans="1:5" ht="15" customHeight="1" x14ac:dyDescent="0.2">
      <c r="A11561" s="1" t="s">
        <v>22873</v>
      </c>
      <c r="B11561" s="1">
        <v>1</v>
      </c>
      <c r="C11561" s="3">
        <v>44534.699456018519</v>
      </c>
      <c r="D11561" s="1" t="s">
        <v>22874</v>
      </c>
      <c r="E11561" s="1" t="str">
        <f ca="1">IFERROR(__xludf.DUMMYFUNCTION("GOOGLETRANSLATE(A8360 , ""tr"" , ""en"")"),"@drfahrettinkoca bro we go to school how to go to school away from crowded indoor environments")</f>
        <v>@drfahrettinkoca bro we go to school how to go to school away from crowded indoor environments</v>
      </c>
    </row>
    <row r="11562" spans="1:5" ht="15" customHeight="1" x14ac:dyDescent="0.2">
      <c r="A11562" s="1" t="s">
        <v>22875</v>
      </c>
      <c r="B11562" s="1">
        <v>9</v>
      </c>
      <c r="C11562" s="3">
        <v>44534.699259259258</v>
      </c>
      <c r="D11562" s="1" t="s">
        <v>22876</v>
      </c>
      <c r="E11562" s="1" t="str">
        <f ca="1">IFERROR(__xludf.DUMMYFUNCTION("GOOGLETRANSLATE(A8361 , ""tr"" , ""en"")"),"@drfahrettinkoca guide guide guide guide guide # Healthier")</f>
        <v>@drfahrettinkoca guide guide guide guide guide # Healthier</v>
      </c>
    </row>
    <row r="11563" spans="1:5" ht="15" customHeight="1" x14ac:dyDescent="0.2">
      <c r="A11563" s="1" t="s">
        <v>22877</v>
      </c>
      <c r="B11563" s="1">
        <v>1</v>
      </c>
      <c r="C11563" s="3">
        <v>44534.699120370373</v>
      </c>
      <c r="D11563" s="1" t="s">
        <v>22878</v>
      </c>
      <c r="E11563" s="1" t="str">
        <f ca="1">IFERROR(__xludf.DUMMYFUNCTION("GOOGLETRANSLATE(A8362 , ""tr"" , ""en"")"),"@drfahrettinkoca winter day crowded classes also how frequently ventilated, glass opening flu closed virus, you ... https://t.co/llpgwflrcf")</f>
        <v>@drfahrettinkoca winter day crowded classes also how frequently ventilated, glass opening flu closed virus, you ... https://t.co/llpgwflrcf</v>
      </c>
    </row>
    <row r="11564" spans="1:5" ht="15" customHeight="1" x14ac:dyDescent="0.2">
      <c r="A11564" s="1" t="s">
        <v>22879</v>
      </c>
      <c r="B11564" s="1">
        <v>0</v>
      </c>
      <c r="C11564" s="3">
        <v>44534.699108796296</v>
      </c>
      <c r="D11564" s="1" t="s">
        <v>22880</v>
      </c>
      <c r="E11564" s="1" t="str">
        <f ca="1">IFERROR(__xludf.DUMMYFUNCTION("GOOGLETRANSLATE(A8363 , ""tr"" , ""en"")"),"@drfahrettinkoca @tek_vatan__ Ditto")</f>
        <v>@drfahrettinkoca @tek_vatan__ Ditto</v>
      </c>
    </row>
    <row r="11565" spans="1:5" ht="15" customHeight="1" x14ac:dyDescent="0.2">
      <c r="A11565" s="1" t="s">
        <v>22881</v>
      </c>
      <c r="B11565" s="1">
        <v>0</v>
      </c>
      <c r="C11565" s="3">
        <v>44534.699108796296</v>
      </c>
      <c r="D11565" s="1" t="s">
        <v>22882</v>
      </c>
      <c r="E11565" s="1" t="str">
        <f ca="1">IFERROR(__xludf.DUMMYFUNCTION("GOOGLETRANSLATE(A8364 , ""tr"" , ""en"")"),"@drfahrettinkoca We should continue to give death drugs death vaccines 1,2,3,4 .. &amp; amp; We have to continue genociding, i ... https://t.co/zikhhfzczk")</f>
        <v>@drfahrettinkoca We should continue to give death drugs death vaccines 1,2,3,4 .. &amp; amp; We have to continue genociding, i ... https://t.co/zikhhfzczk</v>
      </c>
    </row>
    <row r="11566" spans="1:5" ht="15" customHeight="1" x14ac:dyDescent="0.2">
      <c r="A11566" s="1" t="s">
        <v>22883</v>
      </c>
      <c r="B11566" s="1">
        <v>0</v>
      </c>
      <c r="C11566" s="3">
        <v>44534.699108796296</v>
      </c>
      <c r="D11566" s="1" t="s">
        <v>22884</v>
      </c>
      <c r="E11566" s="1" t="str">
        <f ca="1">IFERROR(__xludf.DUMMYFUNCTION("GOOGLETRANSLATE(A8365 , ""tr"" , ""en"")"),"@drfahrettinkoca We should continue to give death drugs death vaccines 1,2,3,4 .. &amp; amp; We have to continue genocidalists, i ... https://t.co/HTKG50ZMIP")</f>
        <v>@drfahrettinkoca We should continue to give death drugs death vaccines 1,2,3,4 .. &amp; amp; We have to continue genocidalists, i ... https://t.co/HTKG50ZMIP</v>
      </c>
    </row>
    <row r="11567" spans="1:5" ht="15" customHeight="1" x14ac:dyDescent="0.2">
      <c r="A11567" s="1" t="s">
        <v>22885</v>
      </c>
      <c r="B11567" s="1">
        <v>0</v>
      </c>
      <c r="C11567" s="3">
        <v>44534.699050925927</v>
      </c>
      <c r="D11567" s="1" t="s">
        <v>22886</v>
      </c>
      <c r="E11567" s="1" t="str">
        <f ca="1">IFERROR(__xludf.DUMMYFUNCTION("GOOGLETRANSLATE(A8366 , ""tr"" , ""en"")"),"@drfahrettinkoca koskoca is a lie this toble")</f>
        <v>@drfahrettinkoca koskoca is a lie this toble</v>
      </c>
    </row>
    <row r="11568" spans="1:5" ht="15" customHeight="1" x14ac:dyDescent="0.2">
      <c r="A11568" s="1" t="s">
        <v>22887</v>
      </c>
      <c r="B11568" s="1">
        <v>0</v>
      </c>
      <c r="C11568" s="3">
        <v>44534.699004629627</v>
      </c>
      <c r="D11568" s="1" t="s">
        <v>22888</v>
      </c>
      <c r="E11568" s="1" t="str">
        <f ca="1">IFERROR(__xludf.DUMMYFUNCTION("GOOGLETRANSLATE(A8367 , ""tr"" , ""en"")"),"@drfahrettinkoca COUNTRY ELDEN GURYYYEEEHH.")</f>
        <v>@drfahrettinkoca COUNTRY ELDEN GURYYYEEEHH.</v>
      </c>
    </row>
    <row r="11569" spans="1:5" ht="15" customHeight="1" x14ac:dyDescent="0.2">
      <c r="A11569" s="1" t="s">
        <v>22889</v>
      </c>
      <c r="B11569" s="1">
        <v>10</v>
      </c>
      <c r="C11569" s="3">
        <v>44534.698900462965</v>
      </c>
      <c r="D11569" s="1" t="s">
        <v>22890</v>
      </c>
      <c r="E11569" s="1" t="str">
        <f ca="1">IFERROR(__xludf.DUMMYFUNCTION("GOOGLETRANSLATE(A8368 , ""tr"" , ""en"")"),"@drfahrettinkoca Covered environments with schools, dormitories, public transports are compulsory in these institutions of our children ... https://t.co/eevlzjhcrs")</f>
        <v>@drfahrettinkoca Covered environments with schools, dormitories, public transports are compulsory in these institutions of our children ... https://t.co/eevlzjhcrs</v>
      </c>
    </row>
    <row r="11570" spans="1:5" ht="15" customHeight="1" x14ac:dyDescent="0.2">
      <c r="A11570" s="1" t="s">
        <v>22891</v>
      </c>
      <c r="B11570" s="1">
        <v>0</v>
      </c>
      <c r="C11570" s="3">
        <v>44534.698819444442</v>
      </c>
      <c r="D11570" s="1" t="s">
        <v>22892</v>
      </c>
      <c r="E11570" s="1" t="str">
        <f ca="1">IFERROR(__xludf.DUMMYFUNCTION("GOOGLETRANSLATE(A8369 , ""tr"" , ""en"")"),"@drfahrettinkoca where we should avoid being in closed locations long time? Almost all of our present in school ... https://t.co/fak8z0jmqu")</f>
        <v>@drfahrettinkoca where we should avoid being in closed locations long time? Almost all of our present in school ... https://t.co/fak8z0jmqu</v>
      </c>
    </row>
    <row r="11571" spans="1:5" ht="15" customHeight="1" x14ac:dyDescent="0.2">
      <c r="A11571" s="1" t="s">
        <v>22893</v>
      </c>
      <c r="B11571" s="1">
        <v>1</v>
      </c>
      <c r="C11571" s="3">
        <v>44534.698784722219</v>
      </c>
      <c r="D11571" s="1" t="s">
        <v>22894</v>
      </c>
      <c r="E11571" s="1" t="str">
        <f ca="1">IFERROR(__xludf.DUMMYFUNCTION("GOOGLETRANSLATE(A8370 , ""tr"" , ""en"")"),"@drfahrettinkoca Valla If you are able to have a conclusion, I wish.")</f>
        <v>@drfahrettinkoca Valla If you are able to have a conclusion, I wish.</v>
      </c>
    </row>
    <row r="11572" spans="1:5" ht="15" customHeight="1" x14ac:dyDescent="0.2">
      <c r="A11572" s="1" t="s">
        <v>22895</v>
      </c>
      <c r="B11572" s="1">
        <v>4</v>
      </c>
      <c r="C11572" s="3">
        <v>44534.69872685185</v>
      </c>
      <c r="D11572" s="1" t="s">
        <v>22896</v>
      </c>
      <c r="E11572" s="1" t="str">
        <f ca="1">IFERROR(__xludf.DUMMYFUNCTION("GOOGLETRANSLATE(A8371 , ""tr"" , ""en"")"),"See @drfahrettinka See us now our patience left in this evening Branch breakdown # Healthier")</f>
        <v>See @drfahrettinka See us now our patience left in this evening Branch breakdown # Healthier</v>
      </c>
    </row>
    <row r="11573" spans="1:5" ht="15" customHeight="1" x14ac:dyDescent="0.2">
      <c r="A11573" s="1" t="s">
        <v>22897</v>
      </c>
      <c r="B11573" s="1">
        <v>0</v>
      </c>
      <c r="C11573" s="3">
        <v>44534.698703703703</v>
      </c>
      <c r="D11573" s="1" t="s">
        <v>22898</v>
      </c>
      <c r="E11573" s="1" t="str">
        <f ca="1">IFERROR(__xludf.DUMMYFUNCTION("GOOGLETRANSLATE(A8372 , ""tr"" , ""en"")"),"@drfahrettinkoca is you will not publish your Mr. Minister @drfahrettinkoca guide? # Is healthy")</f>
        <v>@drfahrettinkoca is you will not publish your Mr. Minister @drfahrettinkoca guide? # Is healthy</v>
      </c>
    </row>
    <row r="11574" spans="1:5" ht="15" customHeight="1" x14ac:dyDescent="0.2">
      <c r="A11574" s="1" t="s">
        <v>22899</v>
      </c>
      <c r="B11574" s="1">
        <v>42</v>
      </c>
      <c r="C11574" s="3">
        <v>44534.698680555557</v>
      </c>
      <c r="D11574" s="1" t="s">
        <v>22900</v>
      </c>
      <c r="E11574" s="1" t="str">
        <f ca="1">IFERROR(__xludf.DUMMYFUNCTION("GOOGLETRANSLATE(A8373 , ""tr"" , ""en"")"),"@drfahrettinkoca Which crowded environment are talking about schools Transportation tools Streets Streets or Streets ... https://t.co/x61kfurws6")</f>
        <v>@drfahrettinkoca Which crowded environment are talking about schools Transportation tools Streets Streets or Streets ... https://t.co/x61kfurws6</v>
      </c>
    </row>
    <row r="11575" spans="1:5" ht="15" customHeight="1" x14ac:dyDescent="0.2">
      <c r="A11575" s="1" t="s">
        <v>22901</v>
      </c>
      <c r="B11575" s="1">
        <v>0</v>
      </c>
      <c r="C11575" s="3">
        <v>44534.698634259257</v>
      </c>
      <c r="D11575" s="1" t="s">
        <v>22902</v>
      </c>
      <c r="E11575" s="1" t="str">
        <f ca="1">IFERROR(__xludf.DUMMYFUNCTION("GOOGLETRANSLATE(A8374 , ""tr"" , ""en"")"),"@drfahrettinka https://t.co/aoqaulmcjk")</f>
        <v>@drfahrettinka https://t.co/aoqaulmcjk</v>
      </c>
    </row>
    <row r="11576" spans="1:5" ht="15" customHeight="1" x14ac:dyDescent="0.2">
      <c r="A11576" s="1" t="s">
        <v>22903</v>
      </c>
      <c r="B11576" s="1">
        <v>0</v>
      </c>
      <c r="C11576" s="3">
        <v>44534.698541666665</v>
      </c>
      <c r="D11576" s="1" t="s">
        <v>22904</v>
      </c>
      <c r="E11576" s="1" t="str">
        <f ca="1">IFERROR(__xludf.DUMMYFUNCTION("GOOGLETRANSLATE(A8375 , ""tr"" , ""en"")"),"@drfahrettinka yuhhh yuhhh susmad's ba")</f>
        <v>@drfahrettinka yuhhh yuhhh susmad's ba</v>
      </c>
    </row>
    <row r="11577" spans="1:5" ht="15" customHeight="1" x14ac:dyDescent="0.2">
      <c r="A11577" s="1" t="s">
        <v>22905</v>
      </c>
      <c r="B11577" s="1">
        <v>0</v>
      </c>
      <c r="C11577" s="3">
        <v>44534.698379629626</v>
      </c>
      <c r="D11577" s="1" t="s">
        <v>22906</v>
      </c>
      <c r="E11577" s="1" t="str">
        <f ca="1">IFERROR(__xludf.DUMMYFUNCTION("GOOGLETRANSLATE(A8376 , ""tr"" , ""en"")"),"@drfahrettinkoca assignment When no longer runs out of healthcare patience @drfahrettinkoca")</f>
        <v>@drfahrettinkoca assignment When no longer runs out of healthcare patience @drfahrettinkoca</v>
      </c>
    </row>
    <row r="11578" spans="1:5" ht="15" customHeight="1" x14ac:dyDescent="0.2">
      <c r="A11578" s="1" t="s">
        <v>22907</v>
      </c>
      <c r="B11578" s="1">
        <v>0</v>
      </c>
      <c r="C11578" s="3">
        <v>44534.698171296295</v>
      </c>
      <c r="D11578" s="1" t="s">
        <v>22908</v>
      </c>
      <c r="E11578" s="1" t="str">
        <f ca="1">IFERROR(__xludf.DUMMYFUNCTION("GOOGLETRANSLATE(A8377 , ""tr"" , ""en"")"),"@drfahrettinkoca Minister We have made vaccinations, you can also get to know the right to optional online education to universities")</f>
        <v>@drfahrettinkoca Minister We have made vaccinations, you can also get to know the right to optional online education to universities</v>
      </c>
    </row>
    <row r="11579" spans="1:5" ht="15" customHeight="1" x14ac:dyDescent="0.2">
      <c r="A11579" s="1" t="s">
        <v>22909</v>
      </c>
      <c r="B11579" s="1">
        <v>2</v>
      </c>
      <c r="C11579" s="3">
        <v>44534.698148148149</v>
      </c>
      <c r="D11579" s="1" t="s">
        <v>22910</v>
      </c>
      <c r="E11579" s="1" t="str">
        <f ca="1">IFERROR(__xludf.DUMMYFUNCTION("GOOGLETRANSLATE(A8378 , ""tr"" , ""en"")"),"@drfahrettinkoca Yes This is all the course.")</f>
        <v>@drfahrettinkoca Yes This is all the course.</v>
      </c>
    </row>
    <row r="11580" spans="1:5" ht="15" customHeight="1" x14ac:dyDescent="0.2">
      <c r="A11580" s="1" t="s">
        <v>22911</v>
      </c>
      <c r="B11580" s="1">
        <v>0</v>
      </c>
      <c r="C11580" s="3">
        <v>44534.69809027778</v>
      </c>
      <c r="D11580" s="1" t="s">
        <v>22912</v>
      </c>
      <c r="E11580" s="1" t="str">
        <f ca="1">IFERROR(__xludf.DUMMYFUNCTION("GOOGLETRANSLATE(A8379 , ""tr"" , ""en"")"),"@drfahrettinkoca Yes Ditto do so don't stop in places with more than 100 people Mask pattern in a row 4 ... https://t.co/4dfvakrshi")</f>
        <v>@drfahrettinkoca Yes Ditto do so don't stop in places with more than 100 people Mask pattern in a row 4 ... https://t.co/4dfvakrshi</v>
      </c>
    </row>
    <row r="11581" spans="1:5" ht="15" customHeight="1" x14ac:dyDescent="0.2">
      <c r="A11581" s="1" t="s">
        <v>22913</v>
      </c>
      <c r="B11581" s="1">
        <v>10</v>
      </c>
      <c r="C11581" s="3">
        <v>44534.69804398148</v>
      </c>
      <c r="D11581" s="1" t="s">
        <v>22914</v>
      </c>
      <c r="E11581" s="1" t="str">
        <f ca="1">IFERROR(__xludf.DUMMYFUNCTION("GOOGLETRANSLATE(A8380 , ""tr"" , ""en"")"),"@drfahrettinka you don't see why students do not hear the voice. Mask can't breathe in classrooms on buses ... https://t.co/blojc4h10b")</f>
        <v>@drfahrettinka you don't see why students do not hear the voice. Mask can't breathe in classrooms on buses ... https://t.co/blojc4h10b</v>
      </c>
    </row>
    <row r="11582" spans="1:5" ht="15" customHeight="1" x14ac:dyDescent="0.2">
      <c r="A11582" s="1" t="s">
        <v>22915</v>
      </c>
      <c r="B11582" s="1">
        <v>31</v>
      </c>
      <c r="C11582" s="3">
        <v>44534.697881944441</v>
      </c>
      <c r="D11582" s="1" t="s">
        <v>22916</v>
      </c>
      <c r="E11582" s="1" t="str">
        <f ca="1">IFERROR(__xludf.DUMMYFUNCTION("GOOGLETRANSLATE(A8381 , ""tr"" , ""en"")"),"@drfahrettinkoca Minister, I'm sure you're making fun of us anymore. My class is 41 people, 2 hours in closed setting ... https://t.co/f1lkvazuji")</f>
        <v>@drfahrettinkoca Minister, I'm sure you're making fun of us anymore. My class is 41 people, 2 hours in closed setting ... https://t.co/f1lkvazuji</v>
      </c>
    </row>
    <row r="11583" spans="1:5" ht="15" customHeight="1" x14ac:dyDescent="0.2">
      <c r="A11583" s="1" t="s">
        <v>22917</v>
      </c>
      <c r="B11583" s="1">
        <v>1</v>
      </c>
      <c r="C11583" s="3">
        <v>44534.69771990741</v>
      </c>
      <c r="D11583" s="1" t="s">
        <v>22918</v>
      </c>
      <c r="E11583" s="1" t="str">
        <f ca="1">IFERROR(__xludf.DUMMYFUNCTION("GOOGLETRANSLATE(A8382 , ""tr"" , ""en"")"),"@drfahrettinkoca hic is not going to come ..")</f>
        <v>@drfahrettinkoca hic is not going to come ..</v>
      </c>
    </row>
    <row r="11584" spans="1:5" ht="15" customHeight="1" x14ac:dyDescent="0.2">
      <c r="A11584" s="1" t="s">
        <v>22919</v>
      </c>
      <c r="B11584" s="1">
        <v>2</v>
      </c>
      <c r="C11584" s="3">
        <v>44534.697662037041</v>
      </c>
      <c r="D11584" s="1" t="s">
        <v>22920</v>
      </c>
      <c r="E11584" s="1" t="str">
        <f ca="1">IFERROR(__xludf.DUMMYFUNCTION("GOOGLETRANSLATE(A8383 , ""tr"" , ""en"")"),"@drfahrettinkoca For example, in the classroom, the Minister of Diminate. 12 hours of lessons in 1 day. Indoor Media 35 people 🙄")</f>
        <v>@drfahrettinkoca For example, in the classroom, the Minister of Diminate. 12 hours of lessons in 1 day. Indoor Media 35 people 🙄</v>
      </c>
    </row>
    <row r="11585" spans="1:5" ht="15" customHeight="1" x14ac:dyDescent="0.2">
      <c r="A11585" s="1" t="s">
        <v>22921</v>
      </c>
      <c r="B11585" s="1">
        <v>143</v>
      </c>
      <c r="C11585" s="3">
        <v>44534.697662037041</v>
      </c>
      <c r="D11585" s="1" t="s">
        <v>22922</v>
      </c>
      <c r="E11585" s="1" t="str">
        <f ca="1">IFERROR(__xludf.DUMMYFUNCTION("GOOGLETRANSLATE(A8384 , ""tr"" , ""en"")"),"@drfahrettinkoca is not like believable these statements! 50-person tiny classes of fish stacking of fish ... https://t.co/4vp5fv8uzb")</f>
        <v>@drfahrettinkoca is not like believable these statements! 50-person tiny classes of fish stacking of fish ... https://t.co/4vp5fv8uzb</v>
      </c>
    </row>
    <row r="11586" spans="1:5" ht="15" customHeight="1" x14ac:dyDescent="0.2">
      <c r="A11586" s="1" t="s">
        <v>22923</v>
      </c>
      <c r="B11586" s="1">
        <v>12</v>
      </c>
      <c r="C11586" s="3">
        <v>44534.697638888887</v>
      </c>
      <c r="D11586" s="1" t="s">
        <v>22924</v>
      </c>
      <c r="E11586" s="1" t="str">
        <f ca="1">IFERROR(__xludf.DUMMYFUNCTION("GOOGLETRANSLATE(A8385 , ""tr"" , ""en"")"),"@drfahrettinkoca minister, we had our guide there are people in somewhere # Healthier")</f>
        <v>@drfahrettinkoca minister, we had our guide there are people in somewhere # Healthier</v>
      </c>
    </row>
    <row r="11587" spans="1:5" ht="15" customHeight="1" x14ac:dyDescent="0.2">
      <c r="A11587" s="1" t="s">
        <v>22925</v>
      </c>
      <c r="B11587" s="1">
        <v>0</v>
      </c>
      <c r="C11587" s="3">
        <v>44534.697557870371</v>
      </c>
      <c r="D11587" s="1" t="s">
        <v>22926</v>
      </c>
      <c r="E11587" s="1" t="str">
        <f ca="1">IFERROR(__xludf.DUMMYFUNCTION("GOOGLETRANSLATE(A8386 , ""tr"" , ""en"")"),"@drfahrettinka 8 evening 8.30 17.30 children in schools forty people who work in classes Nolcak Well ??")</f>
        <v>@drfahrettinka 8 evening 8.30 17.30 children in schools forty people who work in classes Nolcak Well ??</v>
      </c>
    </row>
    <row r="11588" spans="1:5" ht="15" customHeight="1" x14ac:dyDescent="0.2">
      <c r="A11588" s="1" t="s">
        <v>22927</v>
      </c>
      <c r="B11588" s="1">
        <v>0</v>
      </c>
      <c r="C11588" s="3">
        <v>44534.697465277779</v>
      </c>
      <c r="D11588" s="1" t="s">
        <v>22928</v>
      </c>
      <c r="E11588" s="1" t="str">
        <f ca="1">IFERROR(__xludf.DUMMYFUNCTION("GOOGLETRANSLATE(A8387 , ""tr"" , ""en"")"),"@drfahrettinkoca K I L A V U Z i s t i y o r u z!")</f>
        <v>@drfahrettinkoca K I L A V U Z i s t i y o r u z!</v>
      </c>
    </row>
    <row r="11589" spans="1:5" ht="15" customHeight="1" x14ac:dyDescent="0.2">
      <c r="A11589" s="1" t="s">
        <v>22929</v>
      </c>
      <c r="B11589" s="1">
        <v>7</v>
      </c>
      <c r="C11589" s="3">
        <v>44534.697384259256</v>
      </c>
      <c r="D11589" s="1" t="s">
        <v>22930</v>
      </c>
      <c r="E11589" s="1" t="str">
        <f ca="1">IFERROR(__xludf.DUMMYFUNCTION("GOOGLETRANSLATE(A8388 , ""tr"" , ""en"")"),"@drfahrettinkoca we don't get out of the house that the minister 7/24 we are following you maybe you will give you a news from our guide 😔😔")</f>
        <v>@drfahrettinkoca we don't get out of the house that the minister 7/24 we are following you maybe you will give you a news from our guide 😔😔</v>
      </c>
    </row>
    <row r="11590" spans="1:5" ht="15" customHeight="1" x14ac:dyDescent="0.2">
      <c r="A11590" s="1" t="s">
        <v>22931</v>
      </c>
      <c r="B11590" s="1">
        <v>0</v>
      </c>
      <c r="C11590" s="3">
        <v>44534.697337962964</v>
      </c>
      <c r="D11590" s="1" t="s">
        <v>22932</v>
      </c>
      <c r="E11590" s="1" t="str">
        <f ca="1">IFERROR(__xludf.DUMMYFUNCTION("GOOGLETRANSLATE(A8389 , ""tr"" , ""en"")"),"@drfahrettinkoca ha This week was tomorrow, he was waiting for a year. Thanks @drfahrettinkoca #health with health")</f>
        <v>@drfahrettinkoca ha This week was tomorrow, he was waiting for a year. Thanks @drfahrettinkoca #health with health</v>
      </c>
    </row>
    <row r="11591" spans="1:5" ht="15" customHeight="1" x14ac:dyDescent="0.2">
      <c r="A11591" s="1" t="s">
        <v>22933</v>
      </c>
      <c r="B11591" s="1">
        <v>0</v>
      </c>
      <c r="C11591" s="3">
        <v>44534.697256944448</v>
      </c>
      <c r="D11591" s="1" t="s">
        <v>22934</v>
      </c>
      <c r="E11591" s="1" t="str">
        <f ca="1">IFERROR(__xludf.DUMMYFUNCTION("GOOGLETRANSLATE(A8390 , ""tr"" , ""en"")"),"@drfahrettinkoca we don't believe we don't make it empty")</f>
        <v>@drfahrettinkoca we don't believe we don't make it empty</v>
      </c>
    </row>
    <row r="11592" spans="1:5" ht="15" customHeight="1" x14ac:dyDescent="0.2">
      <c r="A11592" s="1" t="s">
        <v>22935</v>
      </c>
      <c r="B11592" s="1">
        <v>0</v>
      </c>
      <c r="C11592" s="3">
        <v>44534.697141203702</v>
      </c>
      <c r="D11592" s="1" t="s">
        <v>22936</v>
      </c>
      <c r="E11592" s="1" t="str">
        <f ca="1">IFERROR(__xludf.DUMMYFUNCTION("GOOGLETRANSLATE(A8391 , ""tr"" , ""en"")"),"@drfahrettinkoca How contradictory you say ...... I wish I wish I wish to say to you ... https://t.co/np8ag4g969")</f>
        <v>@drfahrettinkoca How contradictory you say ...... I wish I wish I wish to say to you ... https://t.co/np8ag4g969</v>
      </c>
    </row>
    <row r="11593" spans="1:5" ht="15" customHeight="1" x14ac:dyDescent="0.2">
      <c r="A11593" s="1" t="s">
        <v>22937</v>
      </c>
      <c r="B11593" s="1">
        <v>19</v>
      </c>
      <c r="C11593" s="3">
        <v>44534.697048611109</v>
      </c>
      <c r="D11593" s="1" t="s">
        <v>22938</v>
      </c>
      <c r="E11593" s="1" t="str">
        <f ca="1">IFERROR(__xludf.DUMMYFUNCTION("GOOGLETRANSLATE(A8392 , ""tr"" , ""en"")"),"@drfahrettinkoca abooo How is this lying la #kabinezkusagionline")</f>
        <v>@drfahrettinkoca abooo How is this lying la #kabinezkusagionline</v>
      </c>
    </row>
    <row r="11594" spans="1:5" ht="15" customHeight="1" x14ac:dyDescent="0.2">
      <c r="A11594" s="1" t="s">
        <v>22939</v>
      </c>
      <c r="B11594" s="1">
        <v>0</v>
      </c>
      <c r="C11594" s="3">
        <v>44534.69703703704</v>
      </c>
      <c r="D11594" s="1" t="s">
        <v>22940</v>
      </c>
      <c r="E11594" s="1" t="str">
        <f ca="1">IFERROR(__xludf.DUMMYFUNCTION("GOOGLETRANSLATE(A8393 , ""tr"" , ""en"")"),"@drfahrettinkoca Publish the Guide to Allah Ask a Nolur")</f>
        <v>@drfahrettinkoca Publish the Guide to Allah Ask a Nolur</v>
      </c>
    </row>
    <row r="11595" spans="1:5" ht="15" customHeight="1" x14ac:dyDescent="0.2">
      <c r="A11595" s="1" t="s">
        <v>22941</v>
      </c>
      <c r="B11595" s="1">
        <v>0</v>
      </c>
      <c r="C11595" s="3">
        <v>44534.697025462963</v>
      </c>
      <c r="D11595" s="1" t="s">
        <v>22942</v>
      </c>
      <c r="E11595" s="1" t="str">
        <f ca="1">IFERROR(__xludf.DUMMYFUNCTION("GOOGLETRANSLATE(A8394 , ""tr"" , ""en"")"),"@drfahrettinkoca reisin Bulk openings in my opinion in my opinion")</f>
        <v>@drfahrettinkoca reisin Bulk openings in my opinion in my opinion</v>
      </c>
    </row>
    <row r="11596" spans="1:5" ht="15" customHeight="1" x14ac:dyDescent="0.2">
      <c r="A11596" s="1" t="s">
        <v>22943</v>
      </c>
      <c r="B11596" s="1">
        <v>1</v>
      </c>
      <c r="C11596" s="3">
        <v>44534.69699074074</v>
      </c>
      <c r="D11596" s="1" t="s">
        <v>22944</v>
      </c>
      <c r="E11596" s="1" t="str">
        <f ca="1">IFERROR(__xludf.DUMMYFUNCTION("GOOGLETRANSLATE(A8395 , ""tr"" , ""en"")"),"@drfahrettinkoca Let's go on a lesson in 15 minutes. Ultimately closed and crowded media")</f>
        <v>@drfahrettinkoca Let's go on a lesson in 15 minutes. Ultimately closed and crowded media</v>
      </c>
    </row>
    <row r="11597" spans="1:5" ht="15" customHeight="1" x14ac:dyDescent="0.2">
      <c r="A11597" s="1" t="s">
        <v>22945</v>
      </c>
      <c r="B11597" s="1">
        <v>0</v>
      </c>
      <c r="C11597" s="3">
        <v>44534.696759259263</v>
      </c>
      <c r="D11597" s="1" t="s">
        <v>22946</v>
      </c>
      <c r="E11597" s="1" t="str">
        <f ca="1">IFERROR(__xludf.DUMMYFUNCTION("GOOGLETRANSLATE(A8396 , ""tr"" , ""en"")"),"@drfahrettinkoca birakin figures will not end this disease. It will remain left to be left.")</f>
        <v>@drfahrettinkoca birakin figures will not end this disease. It will remain left to be left.</v>
      </c>
    </row>
    <row r="11598" spans="1:5" ht="15" customHeight="1" x14ac:dyDescent="0.2">
      <c r="A11598" s="1" t="s">
        <v>22947</v>
      </c>
      <c r="B11598" s="1">
        <v>0</v>
      </c>
      <c r="C11598" s="3">
        <v>44534.696655092594</v>
      </c>
      <c r="D11598" s="1" t="s">
        <v>22948</v>
      </c>
      <c r="E11598" s="1" t="str">
        <f ca="1">IFERROR(__xludf.DUMMYFUNCTION("GOOGLETRANSLATE(A8397 , ""tr"" , ""en"")"),"@drfahrettinkoca schools in schools are not applicable at all, how will they be? This is comfortable, and no to anywhere ... https://t.co/y7yyjyoppt")</f>
        <v>@drfahrettinkoca schools in schools are not applicable at all, how will they be? This is comfortable, and no to anywhere ... https://t.co/y7yyjyoppt</v>
      </c>
    </row>
    <row r="11599" spans="1:5" ht="15" customHeight="1" x14ac:dyDescent="0.2">
      <c r="A11599" s="1" t="s">
        <v>22949</v>
      </c>
      <c r="B11599" s="1">
        <v>2</v>
      </c>
      <c r="C11599" s="3">
        <v>44534.696574074071</v>
      </c>
      <c r="D11599" s="1" t="s">
        <v>22950</v>
      </c>
      <c r="E11599" s="1" t="str">
        <f ca="1">IFERROR(__xludf.DUMMYFUNCTION("GOOGLETRANSLATE(A8398 , ""tr"" , ""en"")"),"@drfahrettinka has the results of all of us to take off the terms of the day.")</f>
        <v>@drfahrettinka has the results of all of us to take off the terms of the day.</v>
      </c>
    </row>
    <row r="11600" spans="1:5" ht="15" customHeight="1" x14ac:dyDescent="0.2">
      <c r="A11600" s="1" t="s">
        <v>22951</v>
      </c>
      <c r="B11600" s="1">
        <v>0</v>
      </c>
      <c r="C11600" s="3">
        <v>44534.696504629632</v>
      </c>
      <c r="D11600" s="1" t="s">
        <v>22952</v>
      </c>
      <c r="E11600" s="1" t="str">
        <f ca="1">IFERROR(__xludf.DUMMYFUNCTION("GOOGLETRANSLATE(A8399 , ""tr"" , ""en"")"),"@drfahrettinkoca is no longer anyone taking you seriously.")</f>
        <v>@drfahrettinkoca is no longer anyone taking you seriously.</v>
      </c>
    </row>
    <row r="11601" spans="1:5" ht="15" customHeight="1" x14ac:dyDescent="0.2">
      <c r="A11601" s="1" t="s">
        <v>22953</v>
      </c>
      <c r="B11601" s="1">
        <v>7</v>
      </c>
      <c r="C11601" s="3">
        <v>44534.696504629632</v>
      </c>
      <c r="D11601" s="1" t="s">
        <v>22954</v>
      </c>
      <c r="E11601" s="1" t="str">
        <f ca="1">IFERROR(__xludf.DUMMYFUNCTION("GOOGLETRANSLATE(A8400 , ""tr"" , ""en"")"),"@drfahrettinkoca is true that you don't care about 228 people who died 228 people let me be on your")</f>
        <v>@drfahrettinkoca is true that you don't care about 228 people who died 228 people let me be on your</v>
      </c>
    </row>
    <row r="11602" spans="1:5" ht="15" customHeight="1" x14ac:dyDescent="0.2">
      <c r="A11602" s="1" t="s">
        <v>22955</v>
      </c>
      <c r="B11602" s="1">
        <v>0</v>
      </c>
      <c r="C11602" s="3">
        <v>44534.696481481478</v>
      </c>
      <c r="D11602" s="1" t="s">
        <v>22956</v>
      </c>
      <c r="E11602" s="1" t="str">
        <f ca="1">IFERROR(__xludf.DUMMYFUNCTION("GOOGLETRANSLATE(A8401 , ""tr"" , ""en"")"),"@drfahrettinkoca Mr. facing pots are not baked as well as you are still in the vaccine bike")</f>
        <v>@drfahrettinkoca Mr. facing pots are not baked as well as you are still in the vaccine bike</v>
      </c>
    </row>
    <row r="11603" spans="1:5" ht="15" customHeight="1" x14ac:dyDescent="0.2">
      <c r="A11603" s="1" t="s">
        <v>22957</v>
      </c>
      <c r="B11603" s="1">
        <v>2</v>
      </c>
      <c r="C11603" s="3">
        <v>44534.696400462963</v>
      </c>
      <c r="D11603" s="1" t="s">
        <v>22958</v>
      </c>
      <c r="E11603" s="1" t="str">
        <f ca="1">IFERROR(__xludf.DUMMYFUNCTION("GOOGLETRANSLATE(A8402 , ""tr"" , ""en"")"),"@drfahrettinkoca # Nice health institutions in the health management graduates. @drfahrettinkoca Profession Description ... https://t.co/u32oq5ygrs")</f>
        <v>@drfahrettinkoca # Nice health institutions in the health management graduates. @drfahrettinkoca Profession Description ... https://t.co/u32oq5ygrs</v>
      </c>
    </row>
    <row r="11604" spans="1:5" ht="15" customHeight="1" x14ac:dyDescent="0.2">
      <c r="A11604" s="1" t="s">
        <v>22959</v>
      </c>
      <c r="B11604" s="1">
        <v>0</v>
      </c>
      <c r="C11604" s="3">
        <v>44534.696377314816</v>
      </c>
      <c r="D11604" s="1" t="s">
        <v>22960</v>
      </c>
      <c r="E11604" s="1" t="str">
        <f ca="1">IFERROR(__xludf.DUMMYFUNCTION("GOOGLETRANSLATE(A8403 , ""tr"" , ""en"")"),"@drfahrettinkoca What said What did he say? !!!")</f>
        <v>@drfahrettinkoca What said What did he say? !!!</v>
      </c>
    </row>
    <row r="11605" spans="1:5" ht="15" customHeight="1" x14ac:dyDescent="0.2">
      <c r="A11605" s="1" t="s">
        <v>22961</v>
      </c>
      <c r="B11605" s="1">
        <v>1</v>
      </c>
      <c r="C11605" s="3">
        <v>44534.69635416667</v>
      </c>
      <c r="D11605" s="1" t="s">
        <v>22962</v>
      </c>
      <c r="E11605" s="1" t="str">
        <f ca="1">IFERROR(__xludf.DUMMYFUNCTION("GOOGLETRANSLATE(A8404 , ""tr"" , ""en"")"),"@drfahrettinka is taking my house shit, in the streets and at work I prefer cram places always")</f>
        <v>@drfahrettinka is taking my house shit, in the streets and at work I prefer cram places always</v>
      </c>
    </row>
    <row r="11606" spans="1:5" ht="15" customHeight="1" x14ac:dyDescent="0.2">
      <c r="A11606" s="1" t="s">
        <v>22963</v>
      </c>
      <c r="B11606" s="1">
        <v>0</v>
      </c>
      <c r="C11606" s="3">
        <v>44534.696273148147</v>
      </c>
      <c r="D11606" s="1" t="s">
        <v>22964</v>
      </c>
      <c r="E11606" s="1" t="str">
        <f ca="1">IFERROR(__xludf.DUMMYFUNCTION("GOOGLETRANSLATE(A8405 , ""tr"" , ""en"")"),"@drfahrettinkoca When will the guide come")</f>
        <v>@drfahrettinkoca When will the guide come</v>
      </c>
    </row>
    <row r="11607" spans="1:5" ht="15" customHeight="1" x14ac:dyDescent="0.2">
      <c r="A11607" s="1" t="s">
        <v>22965</v>
      </c>
      <c r="B11607" s="1">
        <v>0</v>
      </c>
      <c r="C11607" s="3">
        <v>44534.696261574078</v>
      </c>
      <c r="D11607" s="1" t="s">
        <v>22966</v>
      </c>
      <c r="E11607" s="1" t="str">
        <f ca="1">IFERROR(__xludf.DUMMYFUNCTION("GOOGLETRANSLATE(A8406 , ""tr"" , ""en"")"),"@drfahrettinkoca so seriously there is nothing consistent in what you don't have any reassign you have no hike you haven't said you haven't said you have any side?")</f>
        <v>@drfahrettinkoca so seriously there is nothing consistent in what you don't have any reassign you have no hike you haven't said you haven't said you have any side?</v>
      </c>
    </row>
    <row r="11608" spans="1:5" ht="15" customHeight="1" x14ac:dyDescent="0.2">
      <c r="A11608" s="1" t="s">
        <v>22967</v>
      </c>
      <c r="B11608" s="1">
        <v>1</v>
      </c>
      <c r="C11608" s="3">
        <v>44534.696111111109</v>
      </c>
      <c r="D11608" s="1" t="s">
        <v>22968</v>
      </c>
      <c r="E11608" s="1" t="str">
        <f ca="1">IFERROR(__xludf.DUMMYFUNCTION("GOOGLETRANSLATE(A8407 , ""tr"" , ""en"")"),"@drfahrettinkoca Today Izmir also claims to qualify for the right, ""Your employees"" prevailing public health ... HTTPS://t.co/5jnxtaiqtl")</f>
        <v>@drfahrettinkoca Today Izmir also claims to qualify for the right, "Your employees" prevailing public health ... HTTPS://t.co/5jnxtaiqtl</v>
      </c>
    </row>
    <row r="11609" spans="1:5" ht="15" customHeight="1" x14ac:dyDescent="0.2">
      <c r="A11609" s="1" t="s">
        <v>22969</v>
      </c>
      <c r="B11609" s="1">
        <v>0</v>
      </c>
      <c r="C11609" s="3">
        <v>44534.696018518516</v>
      </c>
      <c r="D11609" s="1" t="s">
        <v>22970</v>
      </c>
      <c r="E11609" s="1" t="str">
        <f ca="1">IFERROR(__xludf.DUMMYFUNCTION("GOOGLETRANSLATE(A8408 , ""tr"" , ""en"")"),"@drfahrettinkoca Malatya Turgut Özal Medicine Center 4D Public workers continue to receive minimum wages. SA ... https://t.co/mnhinflxpp")</f>
        <v>@drfahrettinkoca Malatya Turgut Özal Medicine Center 4D Public workers continue to receive minimum wages. SA ... https://t.co/mnhinflxpp</v>
      </c>
    </row>
    <row r="11610" spans="1:5" ht="15" customHeight="1" x14ac:dyDescent="0.2">
      <c r="A11610" s="1" t="s">
        <v>22971</v>
      </c>
      <c r="B11610" s="1">
        <v>0</v>
      </c>
      <c r="C11610" s="3">
        <v>44534.695983796293</v>
      </c>
      <c r="D11610" s="1" t="s">
        <v>22972</v>
      </c>
      <c r="E11610" s="1" t="str">
        <f ca="1">IFERROR(__xludf.DUMMYFUNCTION("GOOGLETRANSLATE(A8409 , ""tr"" , ""en"")"),"@drfahrettinkoca Fahrettin tale clock with grandparents")</f>
        <v>@drfahrettinkoca Fahrettin tale clock with grandparents</v>
      </c>
    </row>
    <row r="11611" spans="1:5" ht="15" customHeight="1" x14ac:dyDescent="0.2">
      <c r="A11611" s="1" t="s">
        <v>22973</v>
      </c>
      <c r="B11611" s="1">
        <v>4</v>
      </c>
      <c r="C11611" s="3">
        <v>44534.695972222224</v>
      </c>
      <c r="D11611" s="1" t="s">
        <v>22974</v>
      </c>
      <c r="E11611" s="1" t="str">
        <f ca="1">IFERROR(__xludf.DUMMYFUNCTION("GOOGLETRANSLATE(A8410 , ""tr"" , ""en"")"),"@drfahrettinkoca to whom we say hee three # Healthier")</f>
        <v>@drfahrettinkoca to whom we say hee three # Healthier</v>
      </c>
    </row>
    <row r="11612" spans="1:5" ht="15" customHeight="1" x14ac:dyDescent="0.2">
      <c r="A11612" s="1" t="s">
        <v>22975</v>
      </c>
      <c r="B11612" s="1">
        <v>0</v>
      </c>
      <c r="C11612" s="3">
        <v>44534.695879629631</v>
      </c>
      <c r="D11612" s="1" t="s">
        <v>22976</v>
      </c>
      <c r="E11612" s="1" t="str">
        <f ca="1">IFERROR(__xludf.DUMMYFUNCTION("GOOGLETRANSLATE(A8411 , ""tr"" , ""en"")"),"@drfahrettinka Mr. Minister; Although the case and dead numbers increase, despite your efforts of your effort 27 ... https://t.co/6zrwzkjays")</f>
        <v>@drfahrettinka Mr. Minister; Although the case and dead numbers increase, despite your efforts of your effort 27 ... https://t.co/6zrwzkjays</v>
      </c>
    </row>
    <row r="11613" spans="1:5" ht="15" customHeight="1" x14ac:dyDescent="0.2">
      <c r="A11613" s="1" t="s">
        <v>22977</v>
      </c>
      <c r="B11613" s="1">
        <v>3</v>
      </c>
      <c r="C11613" s="3">
        <v>44534.695775462962</v>
      </c>
      <c r="D11613" s="1" t="s">
        <v>22978</v>
      </c>
      <c r="E11613" s="1" t="str">
        <f ca="1">IFERROR(__xludf.DUMMYFUNCTION("GOOGLETRANSLATE(A8412 , ""tr"" , ""en"")"),"@drfahrettinkoca why do you don't want to hear us insistently @drfahrettinkca health management so m ... https://t.co/a4tpukwhhq")</f>
        <v>@drfahrettinkoca why do you don't want to hear us insistently @drfahrettinkca health management so m ... https://t.co/a4tpukwhhq</v>
      </c>
    </row>
    <row r="11614" spans="1:5" ht="15" customHeight="1" x14ac:dyDescent="0.2">
      <c r="A11614" s="1" t="s">
        <v>22979</v>
      </c>
      <c r="B11614" s="1">
        <v>0</v>
      </c>
      <c r="C11614" s="3">
        <v>44534.695613425924</v>
      </c>
      <c r="D11614" s="1" t="s">
        <v>22980</v>
      </c>
      <c r="E11614" s="1" t="str">
        <f ca="1">IFERROR(__xludf.DUMMYFUNCTION("GOOGLETRANSLATE(A8413 , ""tr"" , ""en"")"),"@drfahrettinkoca Did we tell assignment assignment assignment assignment?")</f>
        <v>@drfahrettinkoca Did we tell assignment assignment assignment assignment?</v>
      </c>
    </row>
    <row r="11615" spans="1:5" ht="15" customHeight="1" x14ac:dyDescent="0.2">
      <c r="A11615" s="1" t="s">
        <v>22981</v>
      </c>
      <c r="B11615" s="1">
        <v>9</v>
      </c>
      <c r="C11615" s="3">
        <v>44534.695601851854</v>
      </c>
      <c r="D11615" s="1" t="s">
        <v>22982</v>
      </c>
      <c r="E11615" s="1" t="str">
        <f ca="1">IFERROR(__xludf.DUMMYFUNCTION("GOOGLETRANSLATE(A8414 , ""tr"" , ""en"")"),"@drfahrettinkoca is either what is the inception. We tear ourselves in Burdah as we guide but you don't see us. ... https://t.co/om7u5c4tio")</f>
        <v>@drfahrettinkoca is either what is the inception. We tear ourselves in Burdah as we guide but you don't see us. ... https://t.co/om7u5c4tio</v>
      </c>
    </row>
    <row r="11616" spans="1:5" ht="15" customHeight="1" x14ac:dyDescent="0.2">
      <c r="A11616" s="1" t="s">
        <v>22983</v>
      </c>
      <c r="B11616" s="1">
        <v>25</v>
      </c>
      <c r="C11616" s="3">
        <v>44534.695555555554</v>
      </c>
      <c r="D11616" s="1" t="s">
        <v>22984</v>
      </c>
      <c r="E11616" s="1" t="str">
        <f ca="1">IFERROR(__xludf.DUMMYFUNCTION("GOOGLETRANSLATE(A8415 , ""tr"" , ""en"")"),"@drfahrettinkoca to make a more vaccination? I haven't heard of the event.")</f>
        <v>@drfahrettinkoca to make a more vaccination? I haven't heard of the event.</v>
      </c>
    </row>
    <row r="11617" spans="1:5" ht="15" customHeight="1" x14ac:dyDescent="0.2">
      <c r="A11617" s="1" t="s">
        <v>17352</v>
      </c>
      <c r="B11617" s="1">
        <v>0</v>
      </c>
      <c r="C11617" s="3">
        <v>44534.695474537039</v>
      </c>
      <c r="D11617" s="1" t="s">
        <v>22985</v>
      </c>
      <c r="E11617" s="1" t="str">
        <f ca="1">IFERROR(__xludf.DUMMYFUNCTION("GOOGLETRANSLATE(A8416 , ""tr"" , ""en"")"),"@drfahrettinka Ministry of Guide")</f>
        <v>@drfahrettinka Ministry of Guide</v>
      </c>
    </row>
    <row r="11618" spans="1:5" ht="15" customHeight="1" x14ac:dyDescent="0.2">
      <c r="A11618" s="1" t="s">
        <v>22986</v>
      </c>
      <c r="B11618" s="1">
        <v>9</v>
      </c>
      <c r="C11618" s="3">
        <v>44534.695393518516</v>
      </c>
      <c r="D11618" s="1" t="s">
        <v>22987</v>
      </c>
      <c r="E11618" s="1" t="str">
        <f ca="1">IFERROR(__xludf.DUMMYFUNCTION("GOOGLETRANSLATE(A8417 , ""tr"" , ""en"")"),"@drfahrettinkoca To avoid standing in indoor environments, our children's lesson times and times are less ... https://t.co/pkdcskrc3u")</f>
        <v>@drfahrettinkoca To avoid standing in indoor environments, our children's lesson times and times are less ... https://t.co/pkdcskrc3u</v>
      </c>
    </row>
    <row r="11619" spans="1:5" ht="15" customHeight="1" x14ac:dyDescent="0.2">
      <c r="A11619" s="1" t="s">
        <v>22988</v>
      </c>
      <c r="B11619" s="1">
        <v>1</v>
      </c>
      <c r="C11619" s="3">
        <v>44534.695393518516</v>
      </c>
      <c r="D11619" s="1" t="s">
        <v>22989</v>
      </c>
      <c r="E11619" s="1" t="str">
        <f ca="1">IFERROR(__xludf.DUMMYFUNCTION("GOOGLETRANSLATE(A8418 , ""tr"" , ""en"")"),"@drfahrettinkoca you think go on vacation very well coming in Turkey to come in a month when you return to the Covid Covid will not be left")</f>
        <v>@drfahrettinkoca you think go on vacation very well coming in Turkey to come in a month when you return to the Covid Covid will not be left</v>
      </c>
    </row>
    <row r="11620" spans="1:5" ht="15" customHeight="1" x14ac:dyDescent="0.2">
      <c r="A11620" s="1" t="s">
        <v>22990</v>
      </c>
      <c r="B11620" s="1">
        <v>0</v>
      </c>
      <c r="C11620" s="3">
        <v>44534.695393518516</v>
      </c>
      <c r="D11620" s="1" t="s">
        <v>22991</v>
      </c>
      <c r="E11620" s="1" t="str">
        <f ca="1">IFERROR(__xludf.DUMMYFUNCTION("GOOGLETRANSLATE(A8419 , ""tr"" , ""en"")"),"@drfahrettinka Mr. Minister You must not stop in closed places, but you are more than yesterday. Garden ... https://t.co/bywhz1lh89")</f>
        <v>@drfahrettinka Mr. Minister You must not stop in closed places, but you are more than yesterday. Garden ... https://t.co/bywhz1lh89</v>
      </c>
    </row>
    <row r="11621" spans="1:5" ht="15" customHeight="1" x14ac:dyDescent="0.2">
      <c r="A11621" s="1" t="s">
        <v>11962</v>
      </c>
      <c r="B11621" s="1">
        <v>0</v>
      </c>
      <c r="C11621" s="3">
        <v>44534.695335648146</v>
      </c>
      <c r="D11621" s="1" t="s">
        <v>22992</v>
      </c>
      <c r="E11621" s="1" t="str">
        <f ca="1">IFERROR(__xludf.DUMMYFUNCTION("GOOGLETRANSLATE(A8420 , ""tr"" , ""en"")"),"@drfahrettinkoca guide")</f>
        <v>@drfahrettinkoca guide</v>
      </c>
    </row>
    <row r="11622" spans="1:5" ht="15" customHeight="1" x14ac:dyDescent="0.2">
      <c r="A11622" s="1" t="s">
        <v>22993</v>
      </c>
      <c r="B11622" s="1">
        <v>0</v>
      </c>
      <c r="C11622" s="3">
        <v>44534.6952662037</v>
      </c>
      <c r="D11622" s="1" t="s">
        <v>22994</v>
      </c>
      <c r="E11622" s="1" t="str">
        <f ca="1">IFERROR(__xludf.DUMMYFUNCTION("GOOGLETRANSLATE(A8421 , ""tr"" , ""en"")"),"@drfahrettinkoca Ministry of Guide")</f>
        <v>@drfahrettinkoca Ministry of Guide</v>
      </c>
    </row>
    <row r="11623" spans="1:5" ht="15" customHeight="1" x14ac:dyDescent="0.2">
      <c r="A11623" s="1" t="s">
        <v>17718</v>
      </c>
      <c r="B11623" s="1">
        <v>0</v>
      </c>
      <c r="C11623" s="3">
        <v>44534.695196759261</v>
      </c>
      <c r="D11623" s="1" t="s">
        <v>22995</v>
      </c>
      <c r="E11623" s="1" t="str">
        <f ca="1">IFERROR(__xludf.DUMMYFUNCTION("GOOGLETRANSLATE(A8422 , ""tr"" , ""en"")"),"@drfahrettinkoca grid minister")</f>
        <v>@drfahrettinkoca grid minister</v>
      </c>
    </row>
    <row r="11624" spans="1:5" ht="15" customHeight="1" x14ac:dyDescent="0.2">
      <c r="A11624" s="1" t="s">
        <v>22996</v>
      </c>
      <c r="B11624" s="1">
        <v>0</v>
      </c>
      <c r="C11624" s="3">
        <v>44534.695185185185</v>
      </c>
      <c r="D11624" s="1" t="s">
        <v>22997</v>
      </c>
      <c r="E11624" s="1" t="str">
        <f ca="1">IFERROR(__xludf.DUMMYFUNCTION("GOOGLETRANSLATE(A8423 , ""tr"" , ""en"")"),"@drfahrettinkoca or assignment what happened to what you won't always make madem you will not make the nation lying to the nation ... https://t.co/ltyjumcab0")</f>
        <v>@drfahrettinkoca or assignment what happened to what you won't always make madem you will not make the nation lying to the nation ... https://t.co/ltyjumcab0</v>
      </c>
    </row>
    <row r="11625" spans="1:5" ht="15" customHeight="1" x14ac:dyDescent="0.2">
      <c r="A11625" s="1" t="s">
        <v>22998</v>
      </c>
      <c r="B11625" s="1">
        <v>7</v>
      </c>
      <c r="C11625" s="3">
        <v>44534.695173611108</v>
      </c>
      <c r="D11625" s="1" t="s">
        <v>22999</v>
      </c>
      <c r="E11625" s="1" t="str">
        <f ca="1">IFERROR(__xludf.DUMMYFUNCTION("GOOGLETRANSLATE(A8424 , ""tr"" , ""en"")"),"@drfahrettinkoca Last Week For us if you don't arrive this week this week don't wait for us to stay more ... https://t.co/zetaesssmk")</f>
        <v>@drfahrettinkoca Last Week For us if you don't arrive this week this week don't wait for us to stay more ... https://t.co/zetaesssmk</v>
      </c>
    </row>
    <row r="11626" spans="1:5" ht="15" customHeight="1" x14ac:dyDescent="0.2">
      <c r="A11626" s="1" t="s">
        <v>23000</v>
      </c>
      <c r="B11626" s="1">
        <v>0</v>
      </c>
      <c r="C11626" s="3">
        <v>44534.695115740738</v>
      </c>
      <c r="D11626" s="1" t="s">
        <v>23001</v>
      </c>
      <c r="E11626" s="1" t="str">
        <f ca="1">IFERROR(__xludf.DUMMYFUNCTION("GOOGLETRANSLATE(A8425 , ""tr"" , ""en"")"),"@drfahrettinkoca is the vaccine you say, you are not taking responsibility for your vaccine. If it's a very good thing, let's take care of the responsibility.")</f>
        <v>@drfahrettinkoca is the vaccine you say, you are not taking responsibility for your vaccine. If it's a very good thing, let's take care of the responsibility.</v>
      </c>
    </row>
    <row r="11627" spans="1:5" ht="15" customHeight="1" x14ac:dyDescent="0.2">
      <c r="A11627" s="1" t="s">
        <v>23002</v>
      </c>
      <c r="B11627" s="1">
        <v>21</v>
      </c>
      <c r="C11627" s="3">
        <v>44534.695104166669</v>
      </c>
      <c r="D11627" s="1" t="s">
        <v>23003</v>
      </c>
      <c r="E11627" s="1" t="str">
        <f ca="1">IFERROR(__xludf.DUMMYFUNCTION("GOOGLETRANSLATE(A8426 , ""tr"" , ""en"")"),"@drfahrettinkoca 228 how easy?")</f>
        <v>@drfahrettinkoca 228 how easy?</v>
      </c>
    </row>
    <row r="11628" spans="1:5" ht="15" customHeight="1" x14ac:dyDescent="0.2">
      <c r="A11628" s="1" t="s">
        <v>23004</v>
      </c>
      <c r="B11628" s="1">
        <v>0</v>
      </c>
      <c r="C11628" s="3">
        <v>44534.695092592592</v>
      </c>
      <c r="D11628" s="1" t="s">
        <v>23005</v>
      </c>
      <c r="E11628" s="1" t="str">
        <f ca="1">IFERROR(__xludf.DUMMYFUNCTION("GOOGLETRANSLATE(A8427 , ""tr"" , ""en"")"),"@drfahrettinka Get Permissions from our President Also publish the guide")</f>
        <v>@drfahrettinka Get Permissions from our President Also publish the guide</v>
      </c>
    </row>
    <row r="11629" spans="1:5" ht="15" customHeight="1" x14ac:dyDescent="0.2">
      <c r="A11629" s="1" t="s">
        <v>15806</v>
      </c>
      <c r="B11629" s="1">
        <v>0</v>
      </c>
      <c r="C11629" s="3">
        <v>44534.695081018515</v>
      </c>
      <c r="D11629" s="1" t="s">
        <v>23006</v>
      </c>
      <c r="E11629" s="1" t="str">
        <f ca="1">IFERROR(__xludf.DUMMYFUNCTION("GOOGLETRANSLATE(A8428 , ""tr"" , ""en"")"),"@drfahrettinkoca kilavuzz")</f>
        <v>@drfahrettinkoca kilavuzz</v>
      </c>
    </row>
    <row r="11630" spans="1:5" ht="15" customHeight="1" x14ac:dyDescent="0.2">
      <c r="A11630" s="1" t="s">
        <v>23007</v>
      </c>
      <c r="B11630" s="1">
        <v>0</v>
      </c>
      <c r="C11630" s="3">
        <v>44534.695081018515</v>
      </c>
      <c r="D11630" s="1" t="s">
        <v>23008</v>
      </c>
      <c r="E11630" s="1" t="str">
        <f ca="1">IFERROR(__xludf.DUMMYFUNCTION("GOOGLETRANSLATE(A8429 , ""tr"" , ""en"")"),"@drfahrettinkoca has not seen Syrians in our Homeland. You have to take care of your own citizen. My best ... https://t.co/n6hkw5jn0")</f>
        <v>@drfahrettinkoca has not seen Syrians in our Homeland. You have to take care of your own citizen. My best ... https://t.co/n6hkw5jn0</v>
      </c>
    </row>
    <row r="11631" spans="1:5" ht="15" customHeight="1" x14ac:dyDescent="0.2">
      <c r="A11631" s="1" t="s">
        <v>18838</v>
      </c>
      <c r="B11631" s="1">
        <v>0</v>
      </c>
      <c r="C11631" s="3">
        <v>44534.695081018515</v>
      </c>
      <c r="D11631" s="1" t="s">
        <v>23009</v>
      </c>
      <c r="E11631" s="1" t="str">
        <f ca="1">IFERROR(__xludf.DUMMYFUNCTION("GOOGLETRANSLATE(A8430 , ""tr"" , ""en"")"),"@drfahrettinkoca #kronikhastalarıidariizin @saglikbakanligi @sagliklicozum @meb @mebimdestek @tc_icisleri")</f>
        <v>@drfahrettinkoca #kronikhastalarıidariizin @saglikbakanligi @sagliklicozum @meb @mebimdestek @tc_icisleri</v>
      </c>
    </row>
    <row r="11632" spans="1:5" ht="15" customHeight="1" x14ac:dyDescent="0.2">
      <c r="A11632" s="1" t="s">
        <v>23010</v>
      </c>
      <c r="B11632" s="1">
        <v>0</v>
      </c>
      <c r="C11632" s="3">
        <v>44534.695069444446</v>
      </c>
      <c r="D11632" s="1" t="s">
        <v>23011</v>
      </c>
      <c r="E11632" s="1" t="str">
        <f ca="1">IFERROR(__xludf.DUMMYFUNCTION("GOOGLETRANSLATE(A8431 , ""tr"" , ""en"")"),"@drfahrettinkoca 12 years old vaccines in golden.")</f>
        <v>@drfahrettinkoca 12 years old vaccines in golden.</v>
      </c>
    </row>
    <row r="11633" spans="1:5" ht="15" customHeight="1" x14ac:dyDescent="0.2">
      <c r="A11633" s="1" t="s">
        <v>17610</v>
      </c>
      <c r="B11633" s="1">
        <v>0</v>
      </c>
      <c r="C11633" s="3">
        <v>44534.694988425923</v>
      </c>
      <c r="D11633" s="1" t="s">
        <v>23012</v>
      </c>
      <c r="E11633" s="1" t="str">
        <f ca="1">IFERROR(__xludf.DUMMYFUNCTION("GOOGLETRANSLATE(A8432 , ""tr"" , ""en"")"),"@drfahrettinkoca where is the guide")</f>
        <v>@drfahrettinkoca where is the guide</v>
      </c>
    </row>
    <row r="11634" spans="1:5" ht="15" customHeight="1" x14ac:dyDescent="0.2">
      <c r="A11634" s="1" t="s">
        <v>23013</v>
      </c>
      <c r="B11634" s="1">
        <v>0</v>
      </c>
      <c r="C11634" s="3">
        <v>44534.694907407407</v>
      </c>
      <c r="D11634" s="1" t="s">
        <v>23014</v>
      </c>
      <c r="E11634" s="1" t="str">
        <f ca="1">IFERROR(__xludf.DUMMYFUNCTION("GOOGLETRANSLATE(A8433 , ""tr"" , ""en"")"),"@drfahrettinkoca Funny Minister, I'm over clause Cockup")</f>
        <v>@drfahrettinkoca Funny Minister, I'm over clause Cockup</v>
      </c>
    </row>
    <row r="11635" spans="1:5" ht="15" customHeight="1" x14ac:dyDescent="0.2">
      <c r="A11635" s="1" t="s">
        <v>12681</v>
      </c>
      <c r="B11635" s="1">
        <v>0</v>
      </c>
      <c r="C11635" s="3">
        <v>44534.694895833331</v>
      </c>
      <c r="D11635" s="1" t="s">
        <v>23015</v>
      </c>
      <c r="E11635" s="1" t="str">
        <f ca="1">IFERROR(__xludf.DUMMYFUNCTION("GOOGLETRANSLATE(A8434 , ""tr"" , ""en"")"),"@drfahrettinkoca assignment")</f>
        <v>@drfahrettinkoca assignment</v>
      </c>
    </row>
    <row r="11636" spans="1:5" ht="15" customHeight="1" x14ac:dyDescent="0.2">
      <c r="A11636" s="1" t="s">
        <v>23016</v>
      </c>
      <c r="B11636" s="1">
        <v>0</v>
      </c>
      <c r="C11636" s="3">
        <v>44534.694768518515</v>
      </c>
      <c r="D11636" s="1" t="s">
        <v>23017</v>
      </c>
      <c r="E11636" s="1" t="str">
        <f ca="1">IFERROR(__xludf.DUMMYFUNCTION("GOOGLETRANSLATE(A8435 , ""tr"" , ""en"")"),"@drfahrettinkoca is the minister who gets to be left from his mouth. Yahu Bi Brans Tweet Veyahut Guide Tweet Throw Cokmu Zordrr")</f>
        <v>@drfahrettinkoca is the minister who gets to be left from his mouth. Yahu Bi Brans Tweet Veyahut Guide Tweet Throw Cokmu Zordrr</v>
      </c>
    </row>
    <row r="11637" spans="1:5" ht="15" customHeight="1" x14ac:dyDescent="0.2">
      <c r="A11637" s="1" t="s">
        <v>13434</v>
      </c>
      <c r="B11637" s="1">
        <v>0</v>
      </c>
      <c r="C11637" s="3">
        <v>44534.694687499999</v>
      </c>
      <c r="D11637" s="1" t="s">
        <v>23018</v>
      </c>
      <c r="E11637" s="1" t="str">
        <f ca="1">IFERROR(__xludf.DUMMYFUNCTION("GOOGLETRANSLATE(A8436 , ""tr"" , ""en"")"),"@drfahrettinkoca Guide you come")</f>
        <v>@drfahrettinkoca Guide you come</v>
      </c>
    </row>
    <row r="11638" spans="1:5" ht="15" customHeight="1" x14ac:dyDescent="0.2">
      <c r="A11638" s="1" t="s">
        <v>23019</v>
      </c>
      <c r="B11638" s="1">
        <v>2</v>
      </c>
      <c r="C11638" s="3">
        <v>44534.694675925923</v>
      </c>
      <c r="D11638" s="1" t="s">
        <v>23020</v>
      </c>
      <c r="E11638" s="1" t="str">
        <f ca="1">IFERROR(__xludf.DUMMYFUNCTION("GOOGLETRANSLATE(A8437 , ""tr"" , ""en"")"),"@drfahrettinkoca What is this in allah sake? Stop away from the indoor media Deyip Schools and Student Dormitories Test to fate ... https://t.co/onyltt2opf")</f>
        <v>@drfahrettinkoca What is this in allah sake? Stop away from the indoor media Deyip Schools and Student Dormitories Test to fate ... https://t.co/onyltt2opf</v>
      </c>
    </row>
    <row r="11639" spans="1:5" ht="15" customHeight="1" x14ac:dyDescent="0.2">
      <c r="A11639" s="1" t="s">
        <v>23021</v>
      </c>
      <c r="B11639" s="1">
        <v>0</v>
      </c>
      <c r="C11639" s="3">
        <v>44534.694664351853</v>
      </c>
      <c r="D11639" s="1" t="s">
        <v>23022</v>
      </c>
      <c r="E11639" s="1" t="str">
        <f ca="1">IFERROR(__xludf.DUMMYFUNCTION("GOOGLETRANSLATE(A8438 , ""tr"" , ""en"")"),"@drfahrettinkoca SMA You didn't keep sozes to children with children ... Don't you say it's not?")</f>
        <v>@drfahrettinkoca SMA You didn't keep sozes to children with children ... Don't you say it's not?</v>
      </c>
    </row>
    <row r="11640" spans="1:5" ht="15" customHeight="1" x14ac:dyDescent="0.2">
      <c r="A11640" s="1" t="s">
        <v>23023</v>
      </c>
      <c r="B11640" s="1">
        <v>11</v>
      </c>
      <c r="C11640" s="3">
        <v>44534.694652777776</v>
      </c>
      <c r="D11640" s="1" t="s">
        <v>23024</v>
      </c>
      <c r="E11640" s="1" t="str">
        <f ca="1">IFERROR(__xludf.DUMMYFUNCTION("GOOGLETRANSLATE(A8439 , ""tr"" , ""en"")"),"@drfahrettinkoca All levels should be passed to online education #kabinezkusagionline")</f>
        <v>@drfahrettinkoca All levels should be passed to online education #kabinezkusagionline</v>
      </c>
    </row>
    <row r="11641" spans="1:5" ht="15" customHeight="1" x14ac:dyDescent="0.2">
      <c r="A11641" s="1" t="s">
        <v>12176</v>
      </c>
      <c r="B11641" s="1">
        <v>0</v>
      </c>
      <c r="C11641" s="3">
        <v>44534.694641203707</v>
      </c>
      <c r="D11641" s="1" t="s">
        <v>23025</v>
      </c>
      <c r="E11641" s="1" t="str">
        <f ca="1">IFERROR(__xludf.DUMMYFUNCTION("GOOGLETRANSLATE(A8440 , ""tr"" , ""en"")"),"@drfahrettinkoca guide guide guide")</f>
        <v>@drfahrettinkoca guide guide guide</v>
      </c>
    </row>
    <row r="11642" spans="1:5" ht="15" customHeight="1" x14ac:dyDescent="0.2">
      <c r="A11642" s="1" t="s">
        <v>23026</v>
      </c>
      <c r="B11642" s="1">
        <v>0</v>
      </c>
      <c r="C11642" s="3">
        <v>44534.69462962963</v>
      </c>
      <c r="D11642" s="1" t="s">
        <v>23027</v>
      </c>
      <c r="E11642" s="1" t="str">
        <f ca="1">IFERROR(__xludf.DUMMYFUNCTION("GOOGLETRANSLATE(A8441 , ""tr"" , ""en"")"),"@drfahrettinka 10 hours in closed setting in school 10 hours is the most healthy place to be the most healthy place we can find you sincere")</f>
        <v>@drfahrettinka 10 hours in closed setting in school 10 hours is the most healthy place to be the most healthy place we can find you sincere</v>
      </c>
    </row>
    <row r="11643" spans="1:5" ht="15" customHeight="1" x14ac:dyDescent="0.2">
      <c r="A11643" s="1" t="s">
        <v>23028</v>
      </c>
      <c r="B11643" s="1">
        <v>4</v>
      </c>
      <c r="C11643" s="3">
        <v>44534.694247685184</v>
      </c>
      <c r="D11643" s="1" t="s">
        <v>23029</v>
      </c>
      <c r="E11643" s="1" t="str">
        <f ca="1">IFERROR(__xludf.DUMMYFUNCTION("GOOGLETRANSLATE(A8442 , ""tr"" , ""en"")"),"@drfahrettinkoca # I am looking at the Health Management section in 40 million pickups. Why @ drfahrettinkoca ... https://t.co/vw063we274")</f>
        <v>@drfahrettinkoca # I am looking at the Health Management section in 40 million pickups. Why @ drfahrettinkoca ... https://t.co/vw063we274</v>
      </c>
    </row>
    <row r="11644" spans="1:5" ht="15" customHeight="1" x14ac:dyDescent="0.2">
      <c r="A11644" s="1" t="s">
        <v>23030</v>
      </c>
      <c r="B11644" s="1">
        <v>0</v>
      </c>
      <c r="C11644" s="3">
        <v>44534.694120370368</v>
      </c>
      <c r="D11644" s="1" t="s">
        <v>23031</v>
      </c>
      <c r="E11644" s="1" t="str">
        <f ca="1">IFERROR(__xludf.DUMMYFUNCTION("GOOGLETRANSLATE(A8443 , ""tr"" , ""en"")"),"Greetings from @drfahrettinkoca as auto https://t.co/8r6I0gozn0")</f>
        <v>Greetings from @drfahrettinkoca as auto https://t.co/8r6I0gozn0</v>
      </c>
    </row>
    <row r="11645" spans="1:5" ht="15" customHeight="1" x14ac:dyDescent="0.2">
      <c r="A11645" s="1" t="s">
        <v>23032</v>
      </c>
      <c r="B11645" s="1">
        <v>1</v>
      </c>
      <c r="C11645" s="3">
        <v>44534.694050925929</v>
      </c>
      <c r="D11645" s="1" t="s">
        <v>23033</v>
      </c>
      <c r="E11645" s="1" t="str">
        <f ca="1">IFERROR(__xludf.DUMMYFUNCTION("GOOGLETRANSLATE(A8444 , ""tr"" , ""en"")"),"@drfahrettinka we already work in the garden in school AQ")</f>
        <v>@drfahrettinka we already work in the garden in school AQ</v>
      </c>
    </row>
    <row r="11646" spans="1:5" ht="15" customHeight="1" x14ac:dyDescent="0.2">
      <c r="A11646" s="1" t="s">
        <v>23034</v>
      </c>
      <c r="B11646" s="1">
        <v>1</v>
      </c>
      <c r="C11646" s="3">
        <v>44534.694039351853</v>
      </c>
      <c r="D11646" s="1" t="s">
        <v>23035</v>
      </c>
      <c r="E11646" s="1" t="str">
        <f ca="1">IFERROR(__xludf.DUMMYFUNCTION("GOOGLETRANSLATE(A8445 , ""tr"" , ""en"")"),"@drfahrettinkoca daily lying table Bidah was praising this man in the first place of the bidet epidemic. A complete colpaci right now")</f>
        <v>@drfahrettinkoca daily lying table Bidah was praising this man in the first place of the bidet epidemic. A complete colpaci right now</v>
      </c>
    </row>
    <row r="11647" spans="1:5" ht="15" customHeight="1" x14ac:dyDescent="0.2">
      <c r="A11647" s="1" t="s">
        <v>23036</v>
      </c>
      <c r="B11647" s="1">
        <v>28</v>
      </c>
      <c r="C11647" s="3">
        <v>44534.694039351853</v>
      </c>
      <c r="D11647" s="1" t="s">
        <v>23037</v>
      </c>
      <c r="E11647" s="1" t="str">
        <f ca="1">IFERROR(__xludf.DUMMYFUNCTION("GOOGLETRANSLATE(A8446 , ""tr"" , ""en"")"),"@drfahrettinka https://t.co/vwpic46l75")</f>
        <v>@drfahrettinka https://t.co/vwpic46l75</v>
      </c>
    </row>
    <row r="11648" spans="1:5" ht="15" customHeight="1" x14ac:dyDescent="0.2">
      <c r="A11648" s="1" t="s">
        <v>23038</v>
      </c>
      <c r="B11648" s="1">
        <v>12</v>
      </c>
      <c r="C11648" s="3">
        <v>44534.694039351853</v>
      </c>
      <c r="D11648" s="1" t="s">
        <v>23039</v>
      </c>
      <c r="E11648" s="1" t="str">
        <f ca="1">IFERROR(__xludf.DUMMYFUNCTION("GOOGLETRANSLATE(A8447 , ""tr"" , ""en"")"),"@drfahrettinkoca you're like a joke you're like a closed area you call thousands of danger every day as if you are not at risk.")</f>
        <v>@drfahrettinkoca you're like a joke you're like a closed area you call thousands of danger every day as if you are not at risk.</v>
      </c>
    </row>
    <row r="11649" spans="1:5" ht="15" customHeight="1" x14ac:dyDescent="0.2">
      <c r="A11649" s="1" t="s">
        <v>23040</v>
      </c>
      <c r="B11649" s="1">
        <v>1</v>
      </c>
      <c r="C11649" s="3">
        <v>44534.694027777776</v>
      </c>
      <c r="D11649" s="1" t="s">
        <v>23041</v>
      </c>
      <c r="E11649" s="1" t="str">
        <f ca="1">IFERROR(__xludf.DUMMYFUNCTION("GOOGLETRANSLATE(A8448 , ""tr"" , ""en"")"),"@drfahrettinkoca we should immediately do the assignment in a period where healthphonists are so frayed @drfahrettinkoca !!!")</f>
        <v>@drfahrettinkoca we should immediately do the assignment in a period where healthphonists are so frayed @drfahrettinkoca !!!</v>
      </c>
    </row>
    <row r="11650" spans="1:5" ht="15" customHeight="1" x14ac:dyDescent="0.2">
      <c r="A11650" s="1" t="s">
        <v>23042</v>
      </c>
      <c r="B11650" s="1">
        <v>131</v>
      </c>
      <c r="C11650" s="3">
        <v>44534.694016203706</v>
      </c>
      <c r="D11650" s="1" t="s">
        <v>23043</v>
      </c>
      <c r="E11650" s="1" t="str">
        <f ca="1">IFERROR(__xludf.DUMMYFUNCTION("GOOGLETRANSLATE(A8449 , ""tr"" , ""en"")"),"@drfahrettinkoca children are crowded in a crowded way in the classroom in the classroom. In this crowded setting ... https://t.co/50kxız1qtv")</f>
        <v>@drfahrettinkoca children are crowded in a crowded way in the classroom in the classroom. In this crowded setting ... https://t.co/50kxız1qtv</v>
      </c>
    </row>
    <row r="11651" spans="1:5" ht="15" customHeight="1" x14ac:dyDescent="0.2">
      <c r="A11651" s="1" t="s">
        <v>23044</v>
      </c>
      <c r="B11651" s="1">
        <v>2</v>
      </c>
      <c r="C11651" s="3">
        <v>44534.693993055553</v>
      </c>
      <c r="D11651" s="1" t="s">
        <v>23045</v>
      </c>
      <c r="E11651" s="1" t="str">
        <f ca="1">IFERROR(__xludf.DUMMYFUNCTION("GOOGLETRANSLATE(A8450 , ""tr"" , ""en"")"),"@drfahrettinka is waiting for 5-11 years of age vaccine right ... (for guardians asking ...) We also want to be 3rd overdose ...")</f>
        <v>@drfahrettinka is waiting for 5-11 years of age vaccine right ... (for guardians asking ...) We also want to be 3rd overdose ...</v>
      </c>
    </row>
    <row r="11652" spans="1:5" ht="15" customHeight="1" x14ac:dyDescent="0.2">
      <c r="A11652" s="1" t="s">
        <v>23046</v>
      </c>
      <c r="B11652" s="1">
        <v>1</v>
      </c>
      <c r="C11652" s="3">
        <v>44534.693912037037</v>
      </c>
      <c r="D11652" s="1" t="s">
        <v>23047</v>
      </c>
      <c r="E11652" s="1" t="str">
        <f ca="1">IFERROR(__xludf.DUMMYFUNCTION("GOOGLETRANSLATE(A8451 , ""tr"" , ""en"")"),"@drfahrettinkoca We can't stand anymore any whims You have left you still keeping quiet ... https://t.co/u63w0wzkkg")</f>
        <v>@drfahrettinkoca We can't stand anymore any whims You have left you still keeping quiet ... https://t.co/u63w0wzkkg</v>
      </c>
    </row>
    <row r="11653" spans="1:5" ht="15" customHeight="1" x14ac:dyDescent="0.2">
      <c r="A11653" s="1" t="s">
        <v>23048</v>
      </c>
      <c r="B11653" s="1">
        <v>5</v>
      </c>
      <c r="C11653" s="3">
        <v>44534.693749999999</v>
      </c>
      <c r="D11653" s="1" t="s">
        <v>23049</v>
      </c>
      <c r="E11653" s="1" t="str">
        <f ca="1">IFERROR(__xludf.DUMMYFUNCTION("GOOGLETRANSLATE(A8452 , ""tr"" , ""en"")"),"@drfahrettinkoca person knows self. He wrote everything he or she doesn't do. Cleaning is faith, dear, to you ... https://t.co/qlx6exs4ge")</f>
        <v>@drfahrettinkoca person knows self. He wrote everything he or she doesn't do. Cleaning is faith, dear, to you ... https://t.co/qlx6exs4ge</v>
      </c>
    </row>
    <row r="11654" spans="1:5" ht="15" customHeight="1" x14ac:dyDescent="0.2">
      <c r="A11654" s="1" t="s">
        <v>23050</v>
      </c>
      <c r="B11654" s="1">
        <v>11</v>
      </c>
      <c r="C11654" s="3">
        <v>44534.693692129629</v>
      </c>
      <c r="D11654" s="1" t="s">
        <v>23051</v>
      </c>
      <c r="E11654" s="1" t="str">
        <f ca="1">IFERROR(__xludf.DUMMYFUNCTION("GOOGLETRANSLATE(A8453 , ""tr"" , ""en"")"),"@drfahrettinkoca and the Ministry of Health should not believe")</f>
        <v>@drfahrettinkoca and the Ministry of Health should not believe</v>
      </c>
    </row>
    <row r="11655" spans="1:5" ht="15" customHeight="1" x14ac:dyDescent="0.2">
      <c r="A11655" s="1" t="s">
        <v>23052</v>
      </c>
      <c r="B11655" s="1">
        <v>0</v>
      </c>
      <c r="C11655" s="3">
        <v>44534.693680555552</v>
      </c>
      <c r="D11655" s="1" t="s">
        <v>23053</v>
      </c>
      <c r="E11655" s="1" t="str">
        <f ca="1">IFERROR(__xludf.DUMMYFUNCTION("GOOGLETRANSLATE(A8454 , ""tr"" , ""en"")"),"@drfahrettinkoca demin pickle juice overdrawing 297 dose")</f>
        <v>@drfahrettinkoca demin pickle juice overdrawing 297 dose</v>
      </c>
    </row>
    <row r="11656" spans="1:5" ht="15" customHeight="1" x14ac:dyDescent="0.2">
      <c r="A11656" s="1" t="s">
        <v>23054</v>
      </c>
      <c r="B11656" s="1">
        <v>2</v>
      </c>
      <c r="C11656" s="3">
        <v>44534.693657407406</v>
      </c>
      <c r="D11656" s="1" t="s">
        <v>23055</v>
      </c>
      <c r="E11656" s="1" t="str">
        <f ca="1">IFERROR(__xludf.DUMMYFUNCTION("GOOGLETRANSLATE(A8455 , ""tr"" , ""en"")"),"@drfahrettinkoca you didn't end a shutdown you didn't give up a")</f>
        <v>@drfahrettinkoca you didn't end a shutdown you didn't give up a</v>
      </c>
    </row>
    <row r="11657" spans="1:5" ht="15" customHeight="1" x14ac:dyDescent="0.2">
      <c r="A11657" s="1" t="s">
        <v>23056</v>
      </c>
      <c r="B11657" s="1">
        <v>0</v>
      </c>
      <c r="C11657" s="3">
        <v>44534.693564814814</v>
      </c>
      <c r="D11657" s="1" t="s">
        <v>23057</v>
      </c>
      <c r="E11657" s="1" t="str">
        <f ca="1">IFERROR(__xludf.DUMMYFUNCTION("GOOGLETRANSLATE(A8456 , ""tr"" , ""en"")"),"@drfahrettinkoca Seasons Assignment of all of us to remove the stove @drfahrettinkoca # Healthy")</f>
        <v>@drfahrettinkoca Seasons Assignment of all of us to remove the stove @drfahrettinkoca # Healthy</v>
      </c>
    </row>
    <row r="11658" spans="1:5" ht="15" customHeight="1" x14ac:dyDescent="0.2">
      <c r="A11658" s="1" t="s">
        <v>23058</v>
      </c>
      <c r="B11658" s="1">
        <v>1</v>
      </c>
      <c r="C11658" s="3">
        <v>44534.693333333336</v>
      </c>
      <c r="D11658" s="1" t="s">
        <v>23059</v>
      </c>
      <c r="E11658" s="1" t="str">
        <f ca="1">IFERROR(__xludf.DUMMYFUNCTION("GOOGLETRANSLATE(A8457 , ""tr"" , ""en"")"),"@drfahrettinkoca it is not the header, while we are frequently ventilating, oxyjone needykan, so ... https://t.co/goIS8odtut")</f>
        <v>@drfahrettinkoca it is not the header, while we are frequently ventilating, oxyjone needykan, so ... https://t.co/goIS8odtut</v>
      </c>
    </row>
    <row r="11659" spans="1:5" ht="15" customHeight="1" x14ac:dyDescent="0.2">
      <c r="A11659" s="1" t="s">
        <v>23060</v>
      </c>
      <c r="B11659" s="1">
        <v>0</v>
      </c>
      <c r="C11659" s="3">
        <v>44534.69327546296</v>
      </c>
      <c r="D11659" s="1" t="s">
        <v>23061</v>
      </c>
      <c r="E11659" s="1" t="str">
        <f ca="1">IFERROR(__xludf.DUMMYFUNCTION("GOOGLETRANSLATE(A8458 , ""tr"" , ""en"")"),"@drfahrettinkoca has become evil, if there is evil, the vaccine is in the morning in the morning in the morning of Cika Sin Construction.")</f>
        <v>@drfahrettinkoca has become evil, if there is evil, the vaccine is in the morning in the morning in the morning of Cika Sin Construction.</v>
      </c>
    </row>
    <row r="11660" spans="1:5" ht="15" customHeight="1" x14ac:dyDescent="0.2">
      <c r="A11660" s="1" t="s">
        <v>23062</v>
      </c>
      <c r="B11660" s="1">
        <v>71</v>
      </c>
      <c r="C11660" s="3">
        <v>44534.693252314813</v>
      </c>
      <c r="D11660" s="1" t="s">
        <v>23063</v>
      </c>
      <c r="E11660" s="1" t="str">
        <f ca="1">IFERROR(__xludf.DUMMYFUNCTION("GOOGLETRANSLATE(A8459 , ""tr"" , ""en"")"),"@drfahrettinkoca Indoor Environments Schools Dormitories Universities are public transports in our comparable parts of the ... https://t.co/nrhucixxxd4")</f>
        <v>@drfahrettinkoca Indoor Environments Schools Dormitories Universities are public transports in our comparable parts of the ... https://t.co/nrhucixxxd4</v>
      </c>
    </row>
    <row r="11661" spans="1:5" ht="15" customHeight="1" x14ac:dyDescent="0.2">
      <c r="A11661" s="1" t="s">
        <v>23064</v>
      </c>
      <c r="B11661" s="1">
        <v>8</v>
      </c>
      <c r="C11661" s="3">
        <v>44534.693240740744</v>
      </c>
      <c r="D11661" s="1" t="s">
        <v>23065</v>
      </c>
      <c r="E11661" s="1" t="str">
        <f ca="1">IFERROR(__xludf.DUMMYFUNCTION("GOOGLETRANSLATE(A8460 , ""tr"" , ""en"")"),"@drfahrettinkoca school already the most populous place has 3,000 people in the dormitory have 4 people in the room How to move away")</f>
        <v>@drfahrettinkoca school already the most populous place has 3,000 people in the dormitory have 4 people in the room How to move away</v>
      </c>
    </row>
    <row r="11662" spans="1:5" ht="15" customHeight="1" x14ac:dyDescent="0.2">
      <c r="A11662" s="1" t="s">
        <v>23066</v>
      </c>
      <c r="B11662" s="1">
        <v>0</v>
      </c>
      <c r="C11662" s="3">
        <v>44534.693113425928</v>
      </c>
      <c r="D11662" s="1" t="s">
        <v>23067</v>
      </c>
      <c r="E11662" s="1" t="str">
        <f ca="1">IFERROR(__xludf.DUMMYFUNCTION("GOOGLETRANSLATE(A8461 , ""tr"" , ""en"")"),"@drfahrettinkoca Does this map cover the 2nd Awesidan 6 months at night?")</f>
        <v>@drfahrettinkoca Does this map cover the 2nd Awesidan 6 months at night?</v>
      </c>
    </row>
    <row r="11663" spans="1:5" ht="15" customHeight="1" x14ac:dyDescent="0.2">
      <c r="A11663" s="1" t="s">
        <v>18171</v>
      </c>
      <c r="B11663" s="1">
        <v>1</v>
      </c>
      <c r="C11663" s="3">
        <v>44534.692986111113</v>
      </c>
      <c r="D11663" s="1" t="s">
        <v>23068</v>
      </c>
      <c r="E11663" s="1" t="str">
        <f ca="1">IFERROR(__xludf.DUMMYFUNCTION("GOOGLETRANSLATE(A8462 , ""tr"" , ""en"")"),"@drfahrettinkoca Guide")</f>
        <v>@drfahrettinkoca Guide</v>
      </c>
    </row>
    <row r="11664" spans="1:5" ht="15" customHeight="1" x14ac:dyDescent="0.2">
      <c r="A11664" s="1" t="s">
        <v>23069</v>
      </c>
      <c r="B11664" s="1">
        <v>0</v>
      </c>
      <c r="C11664" s="3">
        <v>44534.692916666667</v>
      </c>
      <c r="D11664" s="1" t="s">
        <v>23070</v>
      </c>
      <c r="E11664" s="1" t="str">
        <f ca="1">IFERROR(__xludf.DUMMYFUNCTION("GOOGLETRANSLATE(A8463 , ""tr"" , ""en"")"),"@drfahrettinka Mr. Ministry of Brush Sevenki again after disclosure")</f>
        <v>@drfahrettinka Mr. Ministry of Brush Sevenki again after disclosure</v>
      </c>
    </row>
    <row r="11665" spans="1:5" ht="15" customHeight="1" x14ac:dyDescent="0.2">
      <c r="A11665" s="1" t="s">
        <v>23071</v>
      </c>
      <c r="B11665" s="1">
        <v>35</v>
      </c>
      <c r="C11665" s="3">
        <v>44534.692881944444</v>
      </c>
      <c r="D11665" s="1" t="s">
        <v>23072</v>
      </c>
      <c r="E11665" s="1" t="str">
        <f ca="1">IFERROR(__xludf.DUMMYFUNCTION("GOOGLETRANSLATE(A8464 , ""tr"" , ""en"")"),"@drfahrettinkoca Off Environments for a long time remain in environments but 8 hours a day students Tikarsin Tikarsin Estens ... https://t.co/zqdrhvjwtu")</f>
        <v>@drfahrettinkoca Off Environments for a long time remain in environments but 8 hours a day students Tikarsin Tikarsin Estens ... https://t.co/zqdrhvjwtu</v>
      </c>
    </row>
    <row r="11666" spans="1:5" ht="15" customHeight="1" x14ac:dyDescent="0.2">
      <c r="A11666" s="1" t="s">
        <v>23073</v>
      </c>
      <c r="B11666" s="1">
        <v>0</v>
      </c>
      <c r="C11666" s="3">
        <v>44534.692835648151</v>
      </c>
      <c r="D11666" s="1" t="s">
        <v>23074</v>
      </c>
      <c r="E11666" s="1" t="str">
        <f ca="1">IFERROR(__xludf.DUMMYFUNCTION("GOOGLETRANSLATE(A8465 , ""tr"" , ""en"")"),"@drfahrettinkoca Ministry of Appointment What do you expect to assignance wondering Do you die @drfahrettinkoca @gozdekirisciogl")</f>
        <v>@drfahrettinkoca Ministry of Appointment What do you expect to assignance wondering Do you die @drfahrettinkoca @gozdekirisciogl</v>
      </c>
    </row>
    <row r="11667" spans="1:5" ht="15" customHeight="1" x14ac:dyDescent="0.2">
      <c r="A11667" s="1" t="s">
        <v>23075</v>
      </c>
      <c r="B11667" s="1">
        <v>0</v>
      </c>
      <c r="C11667" s="3">
        <v>44534.692835648151</v>
      </c>
      <c r="D11667" s="1" t="s">
        <v>23076</v>
      </c>
      <c r="E11667" s="1" t="str">
        <f ca="1">IFERROR(__xludf.DUMMYFUNCTION("GOOGLETRANSLATE(A8466 , ""tr"" , ""en"")"),"@drfahrettinkoca SMA Treatment Done Again")</f>
        <v>@drfahrettinkoca SMA Treatment Done Again</v>
      </c>
    </row>
    <row r="11668" spans="1:5" ht="15" customHeight="1" x14ac:dyDescent="0.2">
      <c r="A11668" s="1" t="s">
        <v>23077</v>
      </c>
      <c r="B11668" s="1">
        <v>4</v>
      </c>
      <c r="C11668" s="3">
        <v>44534.692835648151</v>
      </c>
      <c r="D11668" s="1" t="s">
        <v>23078</v>
      </c>
      <c r="E11668" s="1" t="str">
        <f ca="1">IFERROR(__xludf.DUMMYFUNCTION("GOOGLETRANSLATE(A8467 , ""tr"" , ""en"")"),"@drfahrettinka schools outdoor environment ??")</f>
        <v>@drfahrettinka schools outdoor environment ??</v>
      </c>
    </row>
    <row r="11669" spans="1:5" ht="15" customHeight="1" x14ac:dyDescent="0.2">
      <c r="A11669" s="1" t="s">
        <v>23079</v>
      </c>
      <c r="B11669" s="1">
        <v>18</v>
      </c>
      <c r="C11669" s="3">
        <v>44534.692777777775</v>
      </c>
      <c r="D11669" s="1" t="s">
        <v>23080</v>
      </c>
      <c r="E11669" s="1" t="str">
        <f ca="1">IFERROR(__xludf.DUMMYFUNCTION("GOOGLETRANSLATE(A8468 , ""tr"" , ""en"")"),"@drfahrettinkoca The only result I'm removing is that the Ministry of Health is in the service of globalists.")</f>
        <v>@drfahrettinkoca The only result I'm removing is that the Ministry of Health is in the service of globalists.</v>
      </c>
    </row>
    <row r="11670" spans="1:5" ht="15" customHeight="1" x14ac:dyDescent="0.2">
      <c r="A11670" s="1" t="s">
        <v>23081</v>
      </c>
      <c r="B11670" s="1">
        <v>0</v>
      </c>
      <c r="C11670" s="3">
        <v>44534.692777777775</v>
      </c>
      <c r="D11670" s="1" t="s">
        <v>23082</v>
      </c>
      <c r="E11670" s="1" t="str">
        <f ca="1">IFERROR(__xludf.DUMMYFUNCTION("GOOGLETRANSLATE(A8469 , ""tr"" , ""en"")"),"@drfahrettinkoca Do not extract your vaccine Make your vaccine Side effect Maturmed What will be dishonorable")</f>
        <v>@drfahrettinkoca Do not extract your vaccine Make your vaccine Side effect Maturmed What will be dishonorable</v>
      </c>
    </row>
    <row r="11671" spans="1:5" ht="15" customHeight="1" x14ac:dyDescent="0.2">
      <c r="A11671" s="1" t="s">
        <v>23083</v>
      </c>
      <c r="B11671" s="1">
        <v>0</v>
      </c>
      <c r="C11671" s="3">
        <v>44534.692719907405</v>
      </c>
      <c r="D11671" s="1" t="s">
        <v>23084</v>
      </c>
      <c r="E11671" s="1" t="str">
        <f ca="1">IFERROR(__xludf.DUMMYFUNCTION("GOOGLETRANSLATE(A8470 , ""tr"" , ""en"")"),"@drfahrettinkoca people agenda is no longer Covid, ranks and a living shortage.")</f>
        <v>@drfahrettinkoca people agenda is no longer Covid, ranks and a living shortage.</v>
      </c>
    </row>
    <row r="11672" spans="1:5" ht="15" customHeight="1" x14ac:dyDescent="0.2">
      <c r="A11672" s="1" t="s">
        <v>23085</v>
      </c>
      <c r="B11672" s="1">
        <v>9</v>
      </c>
      <c r="C11672" s="3">
        <v>44534.692719907405</v>
      </c>
      <c r="D11672" s="1" t="s">
        <v>23086</v>
      </c>
      <c r="E11672" s="1" t="str">
        <f ca="1">IFERROR(__xludf.DUMMYFUNCTION("GOOGLETRANSLATE(A8471 , ""tr"" , ""en"")"),"@drfahrettinkoca Posted our guide now Enough @drfahrettinkoca # Healthier Https://t.co/axozowycnr")</f>
        <v>@drfahrettinkoca Posted our guide now Enough @drfahrettinkoca # Healthier Https://t.co/axozowycnr</v>
      </c>
    </row>
    <row r="11673" spans="1:5" ht="15" customHeight="1" x14ac:dyDescent="0.2">
      <c r="A11673" s="1" t="s">
        <v>23087</v>
      </c>
      <c r="B11673" s="1">
        <v>0</v>
      </c>
      <c r="C11673" s="3">
        <v>44534.692673611113</v>
      </c>
      <c r="D11673" s="1" t="s">
        <v>23088</v>
      </c>
      <c r="E11673" s="1" t="str">
        <f ca="1">IFERROR(__xludf.DUMMYFUNCTION("GOOGLETRANSLATE(A8472 , ""tr"" , ""en"")"),"@drfahrettinka need fresh blood to the health military. Please post the guide now")</f>
        <v>@drfahrettinka need fresh blood to the health military. Please post the guide now</v>
      </c>
    </row>
    <row r="11674" spans="1:5" ht="15" customHeight="1" x14ac:dyDescent="0.2">
      <c r="A11674" s="1" t="s">
        <v>23089</v>
      </c>
      <c r="B11674" s="1">
        <v>3</v>
      </c>
      <c r="C11674" s="3">
        <v>44534.692488425928</v>
      </c>
      <c r="D11674" s="1" t="s">
        <v>23090</v>
      </c>
      <c r="E11674" s="1" t="str">
        <f ca="1">IFERROR(__xludf.DUMMYFUNCTION("GOOGLETRANSLATE(A8473 , ""tr"" , ""en"")"),"@drfahrettinkoca # I have no intention to be the resort to the Health Management section in I'm looking @drfahrettinkoca @foxhaber")</f>
        <v>@drfahrettinkoca # I have no intention to be the resort to the Health Management section in I'm looking @drfahrettinkoca @foxhaber</v>
      </c>
    </row>
    <row r="11675" spans="1:5" ht="15" customHeight="1" x14ac:dyDescent="0.2">
      <c r="A11675" s="1" t="s">
        <v>23091</v>
      </c>
      <c r="B11675" s="1">
        <v>0</v>
      </c>
      <c r="C11675" s="3">
        <v>44534.692442129628</v>
      </c>
      <c r="D11675" s="1" t="s">
        <v>23092</v>
      </c>
      <c r="E11675" s="1" t="str">
        <f ca="1">IFERROR(__xludf.DUMMYFUNCTION("GOOGLETRANSLATE(A8474 , ""tr"" , ""en"")"),"@drfahrettinkoca you have stored people to assign people in months. You didn't even do the assignment that you said the healthcare year. Plus ... https://t.co/fnpfdu0xpn")</f>
        <v>@drfahrettinkoca you have stored people to assign people in months. You didn't even do the assignment that you said the healthcare year. Plus ... https://t.co/fnpfdu0xpn</v>
      </c>
    </row>
    <row r="11676" spans="1:5" ht="15" customHeight="1" x14ac:dyDescent="0.2">
      <c r="A11676" s="1" t="s">
        <v>23093</v>
      </c>
      <c r="B11676" s="1">
        <v>176</v>
      </c>
      <c r="C11676" s="3">
        <v>44534.692430555559</v>
      </c>
      <c r="D11676" s="1" t="s">
        <v>23094</v>
      </c>
      <c r="E11676" s="1" t="str">
        <f ca="1">IFERROR(__xludf.DUMMYFUNCTION("GOOGLETRANSLATE(A8475 , ""tr"" , ""en"")"),"@drfahrettinkoca Well 8 hours in 60-person grades are included in stubbornly or remote education ... https://t.co/nmzivt7dbt")</f>
        <v>@drfahrettinkoca Well 8 hours in 60-person grades are included in stubbornly or remote education ... https://t.co/nmzivt7dbt</v>
      </c>
    </row>
    <row r="11677" spans="1:5" ht="15" customHeight="1" x14ac:dyDescent="0.2">
      <c r="A11677" s="1" t="s">
        <v>23095</v>
      </c>
      <c r="B11677" s="1">
        <v>0</v>
      </c>
      <c r="C11677" s="3">
        <v>44534.692395833335</v>
      </c>
      <c r="D11677" s="1" t="s">
        <v>23096</v>
      </c>
      <c r="E11677" s="1" t="str">
        <f ca="1">IFERROR(__xludf.DUMMYFUNCTION("GOOGLETRANSLATE(A8476 , ""tr"" , ""en"")"),"@drfahrettinkoca What did he say? What did he say? Has Bush told? Saying Bush about Salaries :))")</f>
        <v>@drfahrettinkoca What did he say? What did he say? Has Bush told? Saying Bush about Salaries :))</v>
      </c>
    </row>
    <row r="11678" spans="1:5" ht="15" customHeight="1" x14ac:dyDescent="0.2">
      <c r="A11678" s="1" t="s">
        <v>23097</v>
      </c>
      <c r="B11678" s="1">
        <v>7</v>
      </c>
      <c r="C11678" s="3">
        <v>44534.692337962966</v>
      </c>
      <c r="D11678" s="1" t="s">
        <v>23098</v>
      </c>
      <c r="E11678" s="1" t="str">
        <f ca="1">IFERROR(__xludf.DUMMYFUNCTION("GOOGLETRANSLATE(A8477 , ""tr"" , ""en"")"),"@drfahrettinkoca stilt sabredit that you have sold out our patience sold out no longer exhausted our guide to the guide ... https://t.co/gkiqvrgnrg")</f>
        <v>@drfahrettinkoca stilt sabredit that you have sold out our patience sold out no longer exhausted our guide to the guide ... https://t.co/gkiqvrgnrg</v>
      </c>
    </row>
    <row r="11679" spans="1:5" ht="15" customHeight="1" x14ac:dyDescent="0.2">
      <c r="A11679" s="1" t="s">
        <v>23099</v>
      </c>
      <c r="B11679" s="1">
        <v>0</v>
      </c>
      <c r="C11679" s="3">
        <v>44534.692303240743</v>
      </c>
      <c r="D11679" s="1" t="s">
        <v>23100</v>
      </c>
      <c r="E11679" s="1" t="str">
        <f ca="1">IFERROR(__xludf.DUMMYFUNCTION("GOOGLETRANSLATE(A8478 , ""tr"" , ""en"")"),"@drfahrettinkoca naughty boy whats up")</f>
        <v>@drfahrettinkoca naughty boy whats up</v>
      </c>
    </row>
    <row r="11680" spans="1:5" ht="15" customHeight="1" x14ac:dyDescent="0.2">
      <c r="A11680" s="1" t="s">
        <v>23101</v>
      </c>
      <c r="B11680" s="1">
        <v>5</v>
      </c>
      <c r="C11680" s="3">
        <v>44534.692280092589</v>
      </c>
      <c r="D11680" s="1" t="s">
        <v>23102</v>
      </c>
      <c r="E11680" s="1" t="str">
        <f ca="1">IFERROR(__xludf.DUMMYFUNCTION("GOOGLETRANSLATE(A8479 , ""tr"" , ""en"")"),"@drfahrettinkoca We must ventilate indoor environments, we should wear masks when you go to the outdoor air")</f>
        <v>@drfahrettinkoca We must ventilate indoor environments, we should wear masks when you go to the outdoor air</v>
      </c>
    </row>
    <row r="11681" spans="1:5" ht="15" customHeight="1" x14ac:dyDescent="0.2">
      <c r="A11681" s="1" t="s">
        <v>23103</v>
      </c>
      <c r="B11681" s="1">
        <v>0</v>
      </c>
      <c r="C11681" s="3">
        <v>44534.692280092589</v>
      </c>
      <c r="D11681" s="1" t="s">
        <v>23104</v>
      </c>
      <c r="E11681" s="1" t="str">
        <f ca="1">IFERROR(__xludf.DUMMYFUNCTION("GOOGLETRANSLATE(A8480 , ""tr"" , ""en"")"),"@drfahrettinkoca I love your eye, make an adepte of life conditions in a decentralization of the seasonal conditions everyone is unemployed every ... https://t.co/1l33e3zohe")</f>
        <v>@drfahrettinkoca I love your eye, make an adepte of life conditions in a decentralization of the seasonal conditions everyone is unemployed every ... https://t.co/1l33e3zohe</v>
      </c>
    </row>
    <row r="11682" spans="1:5" ht="15" customHeight="1" x14ac:dyDescent="0.2">
      <c r="A11682" s="1" t="s">
        <v>23105</v>
      </c>
      <c r="B11682" s="1">
        <v>1</v>
      </c>
      <c r="C11682" s="3">
        <v>44534.69222222222</v>
      </c>
      <c r="D11682" s="1" t="s">
        <v>23106</v>
      </c>
      <c r="E11682" s="1" t="str">
        <f ca="1">IFERROR(__xludf.DUMMYFUNCTION("GOOGLETRANSLATE(A8481 , ""tr"" , ""en"")"),"@drfahrettinkoca Our guide Wherever the love of Allah has passed a year of your love What is still @drfahrettinkoca")</f>
        <v>@drfahrettinkoca Our guide Wherever the love of Allah has passed a year of your love What is still @drfahrettinkoca</v>
      </c>
    </row>
    <row r="11683" spans="1:5" ht="15" customHeight="1" x14ac:dyDescent="0.2">
      <c r="A11683" s="1" t="s">
        <v>23107</v>
      </c>
      <c r="B11683" s="1">
        <v>0</v>
      </c>
      <c r="C11683" s="3">
        <v>44534.692210648151</v>
      </c>
      <c r="D11683" s="1" t="s">
        <v>23108</v>
      </c>
      <c r="E11683" s="1" t="str">
        <f ca="1">IFERROR(__xludf.DUMMYFUNCTION("GOOGLETRANSLATE(A8482 , ""tr"" , ""en"")"),"@drfahrettinkoca guide guide guide guide guide guide guide")</f>
        <v>@drfahrettinkoca guide guide guide guide guide guide guide</v>
      </c>
    </row>
    <row r="11684" spans="1:5" ht="15" customHeight="1" x14ac:dyDescent="0.2">
      <c r="A11684" s="1" t="s">
        <v>23109</v>
      </c>
      <c r="B11684" s="1">
        <v>0</v>
      </c>
      <c r="C11684" s="3">
        <v>44534.692187499997</v>
      </c>
      <c r="D11684" s="1" t="s">
        <v>23110</v>
      </c>
      <c r="E11684" s="1" t="str">
        <f ca="1">IFERROR(__xludf.DUMMYFUNCTION("GOOGLETRANSLATE(A8483 , ""tr"" , ""en"")"),"@drfahrettinkoca why not numbers 0 come here.")</f>
        <v>@drfahrettinkoca why not numbers 0 come here.</v>
      </c>
    </row>
    <row r="11685" spans="1:5" ht="15" customHeight="1" x14ac:dyDescent="0.2">
      <c r="A11685" s="1" t="s">
        <v>23111</v>
      </c>
      <c r="B11685" s="1">
        <v>0</v>
      </c>
      <c r="C11685" s="3">
        <v>44534.692118055558</v>
      </c>
      <c r="D11685" s="1" t="s">
        <v>23112</v>
      </c>
      <c r="E11685" s="1" t="str">
        <f ca="1">IFERROR(__xludf.DUMMYFUNCTION("GOOGLETRANSLATE(A8484 , ""tr"" , ""en"")"),"@drfahrettinkoca #Geliyelmekteolan # nationals #pfizerhesapver #the GovernmentIistItifa # Earlier https://t.co/zihzefrkwg")</f>
        <v>@drfahrettinkoca #Geliyelmekteolan # nationals #pfizerhesapver #the GovernmentIistItifa # Earlier https://t.co/zihzefrkwg</v>
      </c>
    </row>
    <row r="11686" spans="1:5" ht="15" customHeight="1" x14ac:dyDescent="0.2">
      <c r="A11686" s="1" t="s">
        <v>23113</v>
      </c>
      <c r="B11686" s="1">
        <v>0</v>
      </c>
      <c r="C11686" s="3">
        <v>44534.692118055558</v>
      </c>
      <c r="D11686" s="1" t="s">
        <v>23114</v>
      </c>
      <c r="E11686" s="1" t="str">
        <f ca="1">IFERROR(__xludf.DUMMYFUNCTION("GOOGLETRANSLATE(A8485 , ""tr"" , ""en"")"),"@drfahrettinkoca guide guide guide guide guide")</f>
        <v>@drfahrettinkoca guide guide guide guide guide</v>
      </c>
    </row>
    <row r="11687" spans="1:5" ht="15" customHeight="1" x14ac:dyDescent="0.2">
      <c r="A11687" s="1" t="s">
        <v>23115</v>
      </c>
      <c r="B11687" s="1">
        <v>0</v>
      </c>
      <c r="C11687" s="3">
        <v>44534.692060185182</v>
      </c>
      <c r="D11687" s="1" t="s">
        <v>23116</v>
      </c>
      <c r="E11687" s="1" t="str">
        <f ca="1">IFERROR(__xludf.DUMMYFUNCTION("GOOGLETRANSLATE(A8486 , ""tr"" , ""en"")"),"@drfahrettinkoca Minister You say crowd Every day Bulk Transports CLICKLIM CLICKED DOMESTICS Like the same way E ... https://t.co/klmrqs74lz")</f>
        <v>@drfahrettinkoca Minister You say crowd Every day Bulk Transports CLICKLIM CLICKED DOMESTICS Like the same way E ... https://t.co/klmrqs74lz</v>
      </c>
    </row>
    <row r="11688" spans="1:5" ht="15" customHeight="1" x14ac:dyDescent="0.2">
      <c r="A11688" s="1" t="s">
        <v>23117</v>
      </c>
      <c r="B11688" s="1">
        <v>4</v>
      </c>
      <c r="C11688" s="3">
        <v>44534.692060185182</v>
      </c>
      <c r="D11688" s="1" t="s">
        <v>23118</v>
      </c>
      <c r="E11688" s="1" t="str">
        <f ca="1">IFERROR(__xludf.DUMMYFUNCTION("GOOGLETRANSLATE(A8487 , ""tr"" , ""en"")"),"@drfahrettinkoca How many days are healthiers how are you able to ignore it on the agenda? Guide are welcome ... https://t.co/cqzq9vqeye")</f>
        <v>@drfahrettinkoca How many days are healthiers how are you able to ignore it on the agenda? Guide are welcome ... https://t.co/cqzq9vqeye</v>
      </c>
    </row>
    <row r="11689" spans="1:5" ht="15" customHeight="1" x14ac:dyDescent="0.2">
      <c r="A11689" s="1" t="s">
        <v>23119</v>
      </c>
      <c r="B11689" s="1">
        <v>0</v>
      </c>
      <c r="C11689" s="3">
        <v>44534.692048611112</v>
      </c>
      <c r="D11689" s="1" t="s">
        <v>23120</v>
      </c>
      <c r="E11689" s="1" t="str">
        <f ca="1">IFERROR(__xludf.DUMMYFUNCTION("GOOGLETRANSLATE(A8488 , ""tr"" , ""en"")"),"@drfahrettinkoca guide guide guide guide guide guide")</f>
        <v>@drfahrettinkoca guide guide guide guide guide guide</v>
      </c>
    </row>
    <row r="11690" spans="1:5" ht="15" customHeight="1" x14ac:dyDescent="0.2">
      <c r="A11690" s="1" t="s">
        <v>23121</v>
      </c>
      <c r="B11690" s="1">
        <v>7</v>
      </c>
      <c r="C11690" s="3">
        <v>44534.692037037035</v>
      </c>
      <c r="D11690" s="1" t="s">
        <v>23122</v>
      </c>
      <c r="E11690" s="1" t="str">
        <f ca="1">IFERROR(__xludf.DUMMYFUNCTION("GOOGLETRANSLATE(A8489 , ""tr"" , ""en"")"),"@drfahrettinkoca Cadro Ruler In the Health Management Department Name and Code (4597) We are not assigned because they are not available Firsat equally ... https://t.co/2cnqkszkcp")</f>
        <v>@drfahrettinkoca Cadro Ruler In the Health Management Department Name and Code (4597) We are not assigned because they are not available Firsat equally ... https://t.co/2cnqkszkcp</v>
      </c>
    </row>
    <row r="11691" spans="1:5" ht="15" customHeight="1" x14ac:dyDescent="0.2">
      <c r="A11691" s="1" t="s">
        <v>23123</v>
      </c>
      <c r="B11691" s="1">
        <v>0</v>
      </c>
      <c r="C11691" s="3">
        <v>44534.691990740743</v>
      </c>
      <c r="D11691" s="1" t="s">
        <v>23124</v>
      </c>
      <c r="E11691" s="1" t="str">
        <f ca="1">IFERROR(__xludf.DUMMYFUNCTION("GOOGLETRANSLATE(A8490 , ""tr"" , ""en"")"),"@drfahrettinkoca guide guide guide guide guide guide")</f>
        <v>@drfahrettinkoca guide guide guide guide guide guide</v>
      </c>
    </row>
    <row r="11692" spans="1:5" ht="15" customHeight="1" x14ac:dyDescent="0.2">
      <c r="A11692" s="1" t="s">
        <v>23125</v>
      </c>
      <c r="B11692" s="1">
        <v>0</v>
      </c>
      <c r="C11692" s="3">
        <v>44534.691979166666</v>
      </c>
      <c r="D11692" s="1" t="s">
        <v>23126</v>
      </c>
      <c r="E11692" s="1" t="str">
        <f ca="1">IFERROR(__xludf.DUMMYFUNCTION("GOOGLETRANSLATE(A8491 , ""tr"" , ""en"")"),"@drfahrettinkoca hunger killed people before you get dined before you saturate the nation's stomach")</f>
        <v>@drfahrettinkoca hunger killed people before you get dined before you saturate the nation's stomach</v>
      </c>
    </row>
    <row r="11693" spans="1:5" ht="15" customHeight="1" x14ac:dyDescent="0.2">
      <c r="A11693" s="1" t="s">
        <v>23127</v>
      </c>
      <c r="B11693" s="1">
        <v>0</v>
      </c>
      <c r="C11693" s="3">
        <v>44534.691921296297</v>
      </c>
      <c r="D11693" s="1" t="s">
        <v>23128</v>
      </c>
      <c r="E11693" s="1" t="str">
        <f ca="1">IFERROR(__xludf.DUMMYFUNCTION("GOOGLETRANSLATE(A8492 , ""tr"" , ""en"")"),"@drfahrettinkoca guide guide guide guide guide guide")</f>
        <v>@drfahrettinkoca guide guide guide guide guide guide</v>
      </c>
    </row>
    <row r="11694" spans="1:5" ht="15" customHeight="1" x14ac:dyDescent="0.2">
      <c r="A11694" s="1" t="s">
        <v>23129</v>
      </c>
      <c r="B11694" s="1">
        <v>0</v>
      </c>
      <c r="C11694" s="3">
        <v>44534.69190972222</v>
      </c>
      <c r="D11694" s="1" t="s">
        <v>23130</v>
      </c>
      <c r="E11694" s="1" t="str">
        <f ca="1">IFERROR(__xludf.DUMMYFUNCTION("GOOGLETRANSLATE(A8493 , ""tr"" , ""en"")"),"@drfahrettinkoca so let's do the lessons in the garden? At 8, the Mrskleki has as many as 17 courses. 30 ... https://t.co/f2rcrvrxem")</f>
        <v>@drfahrettinkoca so let's do the lessons in the garden? At 8, the Mrskleki has as many as 17 courses. 30 ... https://t.co/f2rcrvrxem</v>
      </c>
    </row>
    <row r="11695" spans="1:5" ht="15" customHeight="1" x14ac:dyDescent="0.2">
      <c r="A11695" s="1" t="s">
        <v>23131</v>
      </c>
      <c r="B11695" s="1">
        <v>22</v>
      </c>
      <c r="C11695" s="3">
        <v>44534.691886574074</v>
      </c>
      <c r="D11695" s="1" t="s">
        <v>23132</v>
      </c>
      <c r="E11695" s="1" t="str">
        <f ca="1">IFERROR(__xludf.DUMMYFUNCTION("GOOGLETRANSLATE(A8494 , ""tr"" , ""en"")"),"@drfahrettinkoca #kabinezkusagionline is now important health is important from everything")</f>
        <v>@drfahrettinkoca #kabinezkusagionline is now important health is important from everything</v>
      </c>
    </row>
    <row r="11696" spans="1:5" ht="15" customHeight="1" x14ac:dyDescent="0.2">
      <c r="A11696" s="1" t="s">
        <v>23133</v>
      </c>
      <c r="B11696" s="1">
        <v>0</v>
      </c>
      <c r="C11696" s="3">
        <v>44534.691863425927</v>
      </c>
      <c r="D11696" s="1" t="s">
        <v>23134</v>
      </c>
      <c r="E11696" s="1" t="str">
        <f ca="1">IFERROR(__xludf.DUMMYFUNCTION("GOOGLETRANSLATE(A8495 , ""tr"" , ""en"")"),"@drfahrettinkoca guide guide guide guide guide guide")</f>
        <v>@drfahrettinkoca guide guide guide guide guide guide</v>
      </c>
    </row>
    <row r="11697" spans="1:5" ht="15" customHeight="1" x14ac:dyDescent="0.2">
      <c r="A11697" s="1" t="s">
        <v>23135</v>
      </c>
      <c r="B11697" s="1">
        <v>0</v>
      </c>
      <c r="C11697" s="3">
        <v>44534.691805555558</v>
      </c>
      <c r="D11697" s="1" t="s">
        <v>23136</v>
      </c>
      <c r="E11697" s="1" t="str">
        <f ca="1">IFERROR(__xludf.DUMMYFUNCTION("GOOGLETRANSLATE(A8496 , ""tr"" , ""en"")"),"@drfahrettinkoca guide guide guide guide guide guide")</f>
        <v>@drfahrettinkoca guide guide guide guide guide guide</v>
      </c>
    </row>
    <row r="11698" spans="1:5" ht="15" customHeight="1" x14ac:dyDescent="0.2">
      <c r="A11698" s="1" t="s">
        <v>23137</v>
      </c>
      <c r="B11698" s="1">
        <v>14</v>
      </c>
      <c r="C11698" s="3">
        <v>44534.691782407404</v>
      </c>
      <c r="D11698" s="1" t="s">
        <v>23138</v>
      </c>
      <c r="E11698" s="1" t="str">
        <f ca="1">IFERROR(__xludf.DUMMYFUNCTION("GOOGLETRANSLATE(A8497 , ""tr"" , ""en"")"),"@drfahrettinkoca Sabgredin Stayed Sabgredin We have sold out our patience Now publish our guide to my guide ... https://t.co/kvp5c3wdeu")</f>
        <v>@drfahrettinkoca Sabgredin Stayed Sabgredin We have sold out our patience Now publish our guide to my guide ... https://t.co/kvp5c3wdeu</v>
      </c>
    </row>
    <row r="11699" spans="1:5" ht="15" customHeight="1" x14ac:dyDescent="0.2">
      <c r="A11699" s="1" t="s">
        <v>23139</v>
      </c>
      <c r="B11699" s="1">
        <v>0</v>
      </c>
      <c r="C11699" s="3">
        <v>44534.691759259258</v>
      </c>
      <c r="D11699" s="1" t="s">
        <v>23140</v>
      </c>
      <c r="E11699" s="1" t="str">
        <f ca="1">IFERROR(__xludf.DUMMYFUNCTION("GOOGLETRANSLATE(A8498 , ""tr"" , ""en"")"),"@drfahrettinkoca guide guide guide guide guide guide")</f>
        <v>@drfahrettinkoca guide guide guide guide guide guide</v>
      </c>
    </row>
    <row r="11700" spans="1:5" ht="15" customHeight="1" x14ac:dyDescent="0.2">
      <c r="A11700" s="1" t="s">
        <v>23141</v>
      </c>
      <c r="B11700" s="1">
        <v>0</v>
      </c>
      <c r="C11700" s="3">
        <v>44534.691678240742</v>
      </c>
      <c r="D11700" s="1" t="s">
        <v>23142</v>
      </c>
      <c r="E11700" s="1" t="str">
        <f ca="1">IFERROR(__xludf.DUMMYFUNCTION("GOOGLETRANSLATE(A8499 , ""tr"" , ""en"")"),"@drfahrettinkoca Allah consent ICIN hesies ICIN Food Suts will help you have the prayer I would be very glin ... https://t.co/yf93s5fbiw")</f>
        <v>@drfahrettinkoca Allah consent ICIN hesies ICIN Food Suts will help you have the prayer I would be very glin ... https://t.co/yf93s5fbiw</v>
      </c>
    </row>
    <row r="11701" spans="1:5" ht="15" customHeight="1" x14ac:dyDescent="0.2">
      <c r="A11701" s="1" t="s">
        <v>23143</v>
      </c>
      <c r="B11701" s="1">
        <v>0</v>
      </c>
      <c r="C11701" s="3">
        <v>44534.691666666666</v>
      </c>
      <c r="D11701" s="1" t="s">
        <v>23144</v>
      </c>
      <c r="E11701" s="1" t="str">
        <f ca="1">IFERROR(__xludf.DUMMYFUNCTION("GOOGLETRANSLATE(A8500 , ""tr"" , ""en"")"),"@drfahrettinkoca guide guide guide guide guide guide guide")</f>
        <v>@drfahrettinkoca guide guide guide guide guide guide guide</v>
      </c>
    </row>
    <row r="11702" spans="1:5" ht="15" customHeight="1" x14ac:dyDescent="0.2">
      <c r="A11702" s="1" t="s">
        <v>23145</v>
      </c>
      <c r="B11702" s="1">
        <v>7</v>
      </c>
      <c r="C11702" s="3">
        <v>44534.691666666666</v>
      </c>
      <c r="D11702" s="1" t="s">
        <v>23146</v>
      </c>
      <c r="E11702" s="1" t="str">
        <f ca="1">IFERROR(__xludf.DUMMYFUNCTION("GOOGLETRANSLATE(A8501 , ""tr"" , ""en"")"),"@drfahrettinkoca #kabinezkusagionlineist is @erolozvar")</f>
        <v>@drfahrettinkoca #kabinezkusagionlineist is @erolozvar</v>
      </c>
    </row>
    <row r="11703" spans="1:5" ht="15" customHeight="1" x14ac:dyDescent="0.2">
      <c r="A11703" s="1" t="s">
        <v>23147</v>
      </c>
      <c r="B11703" s="1">
        <v>16</v>
      </c>
      <c r="C11703" s="3">
        <v>44534.691655092596</v>
      </c>
      <c r="D11703" s="1" t="s">
        <v>23148</v>
      </c>
      <c r="E11703" s="1" t="str">
        <f ca="1">IFERROR(__xludf.DUMMYFUNCTION("GOOGLETRANSLATE(A8502 , ""tr"" , ""en"")"),"@drfahrettinkoca forget this year the heart of the kurus @drfahrettinka @Drfahrettinka @Drfahrettinkoca @GozaydiiriSciog @sanayi")</f>
        <v>@drfahrettinkoca forget this year the heart of the kurus @drfahrettinka @Drfahrettinka @Drfahrettinkoca @GozaydiiriSciog @sanayi</v>
      </c>
    </row>
    <row r="11704" spans="1:5" ht="15" customHeight="1" x14ac:dyDescent="0.2">
      <c r="A11704" s="1" t="s">
        <v>23149</v>
      </c>
      <c r="B11704" s="1">
        <v>1</v>
      </c>
      <c r="C11704" s="3">
        <v>44534.691655092596</v>
      </c>
      <c r="D11704" s="1" t="s">
        <v>23150</v>
      </c>
      <c r="E11704" s="1" t="str">
        <f ca="1">IFERROR(__xludf.DUMMYFUNCTION("GOOGLETRANSLATE(A8503 , ""tr"" , ""en"")"),"@drfahrettinkoca has a great trump on our hand, ""not catch"" Well expects to assign the healthpieces")</f>
        <v>@drfahrettinkoca has a great trump on our hand, "not catch" Well expects to assign the healthpieces</v>
      </c>
    </row>
    <row r="11705" spans="1:5" ht="15" customHeight="1" x14ac:dyDescent="0.2">
      <c r="A11705" s="1" t="s">
        <v>23151</v>
      </c>
      <c r="B11705" s="1">
        <v>4</v>
      </c>
      <c r="C11705" s="3">
        <v>44534.691620370373</v>
      </c>
      <c r="D11705" s="1" t="s">
        <v>23152</v>
      </c>
      <c r="E11705" s="1" t="str">
        <f ca="1">IFERROR(__xludf.DUMMYFUNCTION("GOOGLETRANSLATE(A8504 , ""tr"" , ""en"")"),"@drfahrettinkoca is the last 27 days to the year but no guide in the middle @drfahrettinkoca @drfahrettinkoca @ Suikebirinci ... https://t.coh555l0oheh")</f>
        <v>@drfahrettinkoca is the last 27 days to the year but no guide in the middle @drfahrettinkoca @drfahrettinkoca @ Suikebirinci ... https://t.coh555l0oheh</v>
      </c>
    </row>
    <row r="11706" spans="1:5" ht="15" customHeight="1" x14ac:dyDescent="0.2">
      <c r="A11706" s="1" t="s">
        <v>23153</v>
      </c>
      <c r="B11706" s="1">
        <v>0</v>
      </c>
      <c r="C11706" s="3">
        <v>44534.691620370373</v>
      </c>
      <c r="D11706" s="1" t="s">
        <v>23154</v>
      </c>
      <c r="E11706" s="1" t="str">
        <f ca="1">IFERROR(__xludf.DUMMYFUNCTION("GOOGLETRANSLATE(A8505 , ""tr"" , ""en"")"),"@drfahrettinkoca guide guide guide guide guide guide")</f>
        <v>@drfahrettinkoca guide guide guide guide guide guide</v>
      </c>
    </row>
    <row r="11707" spans="1:5" ht="15" customHeight="1" x14ac:dyDescent="0.2">
      <c r="A11707" s="1" t="s">
        <v>23155</v>
      </c>
      <c r="B11707" s="1">
        <v>22</v>
      </c>
      <c r="C11707" s="3">
        <v>44534.691608796296</v>
      </c>
      <c r="D11707" s="1" t="s">
        <v>23156</v>
      </c>
      <c r="E11707" s="1" t="str">
        <f ca="1">IFERROR(__xludf.DUMMYFUNCTION("GOOGLETRANSLATE(A8506 , ""tr"" , ""en"")"),"@drfahrettinkoca vaccines protect. The grafted ones are sick. https://t.co/gbkzvpopsw")</f>
        <v>@drfahrettinkoca vaccines protect. The grafted ones are sick. https://t.co/gbkzvpopsw</v>
      </c>
    </row>
    <row r="11708" spans="1:5" ht="15" customHeight="1" x14ac:dyDescent="0.2">
      <c r="A11708" s="1" t="s">
        <v>23157</v>
      </c>
      <c r="B11708" s="1">
        <v>0</v>
      </c>
      <c r="C11708" s="3">
        <v>44534.69159722222</v>
      </c>
      <c r="D11708" s="1" t="s">
        <v>23158</v>
      </c>
      <c r="E11708" s="1" t="str">
        <f ca="1">IFERROR(__xludf.DUMMYFUNCTION("GOOGLETRANSLATE(A8507 , ""tr"" , ""en"")"),"@drfahrettinkoca guide you will come guide guide Gelance Gelin Guide Gelin Guide Gelin Guide Come ... HTTPS://T.CO/YEFIWKQ76Z")</f>
        <v>@drfahrettinkoca guide you will come guide guide Gelance Gelin Guide Gelin Guide Gelin Guide Come ... HTTPS://T.CO/YEFIWKQ76Z</v>
      </c>
    </row>
    <row r="11709" spans="1:5" ht="15" customHeight="1" x14ac:dyDescent="0.2">
      <c r="A11709" s="1" t="s">
        <v>23159</v>
      </c>
      <c r="B11709" s="1">
        <v>5</v>
      </c>
      <c r="C11709" s="3">
        <v>44534.69159722222</v>
      </c>
      <c r="D11709" s="1" t="s">
        <v>23160</v>
      </c>
      <c r="E11709" s="1" t="str">
        <f ca="1">IFERROR(__xludf.DUMMYFUNCTION("GOOGLETRANSLATE(A8508 , ""tr"" , ""en"")"),"@drfahrettinka Mr. Minister Minister Still Killing COVID AFFI @rterdogan @dbdevletbahceli prisoner @dbdevletbahceli prisoner")</f>
        <v>@drfahrettinka Mr. Minister Minister Still Killing COVID AFFI @rterdogan @dbdevletbahceli prisoner @dbdevletbahceli prisoner</v>
      </c>
    </row>
    <row r="11710" spans="1:5" ht="15" customHeight="1" x14ac:dyDescent="0.2">
      <c r="A11710" s="1" t="s">
        <v>23161</v>
      </c>
      <c r="B11710" s="1">
        <v>0</v>
      </c>
      <c r="C11710" s="3">
        <v>44534.69158564815</v>
      </c>
      <c r="D11710" s="1" t="s">
        <v>23162</v>
      </c>
      <c r="E11710" s="1" t="str">
        <f ca="1">IFERROR(__xludf.DUMMYFUNCTION("GOOGLETRANSLATE(A8509 , ""tr"" , ""en"")"),"@drfahrettinkoca week is also a child's school quarantine guys who are tired of getting tested now")</f>
        <v>@drfahrettinkoca week is also a child's school quarantine guys who are tired of getting tested now</v>
      </c>
    </row>
    <row r="11711" spans="1:5" ht="15" customHeight="1" x14ac:dyDescent="0.2">
      <c r="A11711" s="1" t="s">
        <v>23163</v>
      </c>
      <c r="B11711" s="1">
        <v>0</v>
      </c>
      <c r="C11711" s="3">
        <v>44534.691562499997</v>
      </c>
      <c r="D11711" s="1" t="s">
        <v>23164</v>
      </c>
      <c r="E11711" s="1" t="str">
        <f ca="1">IFERROR(__xludf.DUMMYFUNCTION("GOOGLETRANSLATE(A8510 , ""tr"" , ""en"")"),"@drfahrettinkoca Allah consent ICIN hesies ICIN Food Suts Do you have a prayer I would be your prayer, are very welcomed k ... https://t.co/ytiaerwb4e")</f>
        <v>@drfahrettinkoca Allah consent ICIN hesies ICIN Food Suts Do you have a prayer I would be your prayer, are very welcomed k ... https://t.co/ytiaerwb4e</v>
      </c>
    </row>
    <row r="11712" spans="1:5" ht="15" customHeight="1" x14ac:dyDescent="0.2">
      <c r="A11712" s="1" t="s">
        <v>23165</v>
      </c>
      <c r="B11712" s="1">
        <v>0</v>
      </c>
      <c r="C11712" s="3">
        <v>44534.691562499997</v>
      </c>
      <c r="D11712" s="1" t="s">
        <v>23166</v>
      </c>
      <c r="E11712" s="1" t="str">
        <f ca="1">IFERROR(__xludf.DUMMYFUNCTION("GOOGLETRANSLATE(A8511 , ""tr"" , ""en"")"),"@drfahrettinkoca guide guide guide guide guide guide")</f>
        <v>@drfahrettinkoca guide guide guide guide guide guide</v>
      </c>
    </row>
    <row r="11713" spans="1:5" ht="15" customHeight="1" x14ac:dyDescent="0.2">
      <c r="A11713" s="1" t="s">
        <v>23167</v>
      </c>
      <c r="B11713" s="1">
        <v>7</v>
      </c>
      <c r="C11713" s="3">
        <v>44534.691504629627</v>
      </c>
      <c r="D11713" s="1" t="s">
        <v>23168</v>
      </c>
      <c r="E11713" s="1" t="str">
        <f ca="1">IFERROR(__xludf.DUMMYFUNCTION("GOOGLETRANSLATE(A8512 , ""tr"" , ""en"")"),"@drfahrettinkoca Please hear our voice now Our patience left to wait # Healthier")</f>
        <v>@drfahrettinkoca Please hear our voice now Our patience left to wait # Healthier</v>
      </c>
    </row>
    <row r="11714" spans="1:5" ht="15" customHeight="1" x14ac:dyDescent="0.2">
      <c r="A11714" s="1" t="s">
        <v>23169</v>
      </c>
      <c r="B11714" s="1">
        <v>0</v>
      </c>
      <c r="C11714" s="3">
        <v>44534.691504629627</v>
      </c>
      <c r="D11714" s="1" t="s">
        <v>23170</v>
      </c>
      <c r="E11714" s="1" t="str">
        <f ca="1">IFERROR(__xludf.DUMMYFUNCTION("GOOGLETRANSLATE(A8513 , ""tr"" , ""en"")"),"@drfahrettinkoca guide guide guide guide guide guide")</f>
        <v>@drfahrettinkoca guide guide guide guide guide guide</v>
      </c>
    </row>
    <row r="11715" spans="1:5" ht="15" customHeight="1" x14ac:dyDescent="0.2">
      <c r="A11715" s="1" t="s">
        <v>23171</v>
      </c>
      <c r="B11715" s="1">
        <v>0</v>
      </c>
      <c r="C11715" s="3">
        <v>44534.691504629627</v>
      </c>
      <c r="D11715" s="1" t="s">
        <v>23172</v>
      </c>
      <c r="E11715" s="1" t="str">
        <f ca="1">IFERROR(__xludf.DUMMYFUNCTION("GOOGLETRANSLATE(A8514 , ""tr"" , ""en"")"),"@drfahrettinkoca is enough of the minister what do you expect")</f>
        <v>@drfahrettinkoca is enough of the minister what do you expect</v>
      </c>
    </row>
    <row r="11716" spans="1:5" ht="15" customHeight="1" x14ac:dyDescent="0.2">
      <c r="A11716" s="1" t="s">
        <v>23173</v>
      </c>
      <c r="B11716" s="1">
        <v>10</v>
      </c>
      <c r="C11716" s="3">
        <v>44534.691469907404</v>
      </c>
      <c r="D11716" s="1" t="s">
        <v>23174</v>
      </c>
      <c r="E11716" s="1" t="str">
        <f ca="1">IFERROR(__xludf.DUMMYFUNCTION("GOOGLETRANSLATE(A8515 , ""tr"" , ""en"")"),"@drfahrettinka vaccine ratio Balikesir, which is the highest provinces, is currently breaking from Coronan!")</f>
        <v>@drfahrettinka vaccine ratio Balikesir, which is the highest provinces, is currently breaking from Coronan!</v>
      </c>
    </row>
    <row r="11717" spans="1:5" ht="15" customHeight="1" x14ac:dyDescent="0.2">
      <c r="A11717" s="1" t="s">
        <v>23175</v>
      </c>
      <c r="B11717" s="1">
        <v>8</v>
      </c>
      <c r="C11717" s="3">
        <v>44534.691458333335</v>
      </c>
      <c r="D11717" s="1" t="s">
        <v>23176</v>
      </c>
      <c r="E11717" s="1" t="str">
        <f ca="1">IFERROR(__xludf.DUMMYFUNCTION("GOOGLETRANSLATE(A8516 , ""tr"" , ""en"")"),"@drfahrettinkoca you are either kidding. How many school secludes have ventilation. At all to the school toilet ... https://t.co/ewesmtyl")</f>
        <v>@drfahrettinkoca you are either kidding. How many school secludes have ventilation. At all to the school toilet ... https://t.co/ewesmtyl</v>
      </c>
    </row>
    <row r="11718" spans="1:5" ht="15" customHeight="1" x14ac:dyDescent="0.2">
      <c r="A11718" s="1" t="s">
        <v>18602</v>
      </c>
      <c r="B11718" s="1">
        <v>25</v>
      </c>
      <c r="C11718" s="3">
        <v>44534.691458333335</v>
      </c>
      <c r="D11718" s="1" t="s">
        <v>23177</v>
      </c>
      <c r="E11718" s="1" t="str">
        <f ca="1">IFERROR(__xludf.DUMMYFUNCTION("GOOGLETRANSLATE(A8517 , ""tr"" , ""en"")"),"@drfahrettinkoca #kabinezkusagionlineline")</f>
        <v>@drfahrettinkoca #kabinezkusagionlineline</v>
      </c>
    </row>
    <row r="11719" spans="1:5" ht="15" customHeight="1" x14ac:dyDescent="0.2">
      <c r="A11719" s="1" t="s">
        <v>23178</v>
      </c>
      <c r="B11719" s="1">
        <v>0</v>
      </c>
      <c r="C11719" s="3">
        <v>44534.691423611112</v>
      </c>
      <c r="D11719" s="1" t="s">
        <v>23179</v>
      </c>
      <c r="E11719" s="1" t="str">
        <f ca="1">IFERROR(__xludf.DUMMYFUNCTION("GOOGLETRANSLATE(A8518 , ""tr"" , ""en"")"),"@drfahrettinkoca Allah consent ICIN hesies ICIN Food Suts will help you have a prayer that you would be very glin ... https://t.co/bunw1amoya")</f>
        <v>@drfahrettinkoca Allah consent ICIN hesies ICIN Food Suts will help you have a prayer that you would be very glin ... https://t.co/bunw1amoya</v>
      </c>
    </row>
    <row r="11720" spans="1:5" ht="15" customHeight="1" x14ac:dyDescent="0.2">
      <c r="A11720" s="1" t="s">
        <v>23180</v>
      </c>
      <c r="B11720" s="1">
        <v>0</v>
      </c>
      <c r="C11720" s="3">
        <v>44534.691412037035</v>
      </c>
      <c r="D11720" s="1" t="s">
        <v>23181</v>
      </c>
      <c r="E11720" s="1" t="str">
        <f ca="1">IFERROR(__xludf.DUMMYFUNCTION("GOOGLETRANSLATE(A8519 , ""tr"" , ""en"")"),"@drfahrettinkoca is a long time not to be appointed, publish guide @drfahrettinkoca")</f>
        <v>@drfahrettinkoca is a long time not to be appointed, publish guide @drfahrettinkoca</v>
      </c>
    </row>
    <row r="11721" spans="1:5" ht="15" customHeight="1" x14ac:dyDescent="0.2">
      <c r="A11721" s="1" t="s">
        <v>23182</v>
      </c>
      <c r="B11721" s="1">
        <v>6</v>
      </c>
      <c r="C11721" s="3">
        <v>44534.691412037035</v>
      </c>
      <c r="D11721" s="1" t="s">
        <v>23183</v>
      </c>
      <c r="E11721" s="1" t="str">
        <f ca="1">IFERROR(__xludf.DUMMYFUNCTION("GOOGLETRANSLATE(A8520 , ""tr"" , ""en"")"),"@drfahrettinkoca squad ruler is not assigned as the Health Management Department Name and Code (4597) is not assigned.Firsat equals ... https://t.co/lpeweqlrqi")</f>
        <v>@drfahrettinkoca squad ruler is not assigned as the Health Management Department Name and Code (4597) is not assigned.Firsat equals ... https://t.co/lpeweqlrqi</v>
      </c>
    </row>
    <row r="11722" spans="1:5" ht="15" customHeight="1" x14ac:dyDescent="0.2">
      <c r="A11722" s="1" t="s">
        <v>23184</v>
      </c>
      <c r="B11722" s="1">
        <v>0</v>
      </c>
      <c r="C11722" s="3">
        <v>44534.691377314812</v>
      </c>
      <c r="D11722" s="1" t="s">
        <v>23185</v>
      </c>
      <c r="E11722" s="1" t="str">
        <f ca="1">IFERROR(__xludf.DUMMYFUNCTION("GOOGLETRANSLATE(A8521 , ""tr"" , ""en"")"),"@drfahrettinkoca What is the vaccine if every measure continues?")</f>
        <v>@drfahrettinkoca What is the vaccine if every measure continues?</v>
      </c>
    </row>
    <row r="11723" spans="1:5" ht="15" customHeight="1" x14ac:dyDescent="0.2">
      <c r="A11723" s="1" t="s">
        <v>23186</v>
      </c>
      <c r="B11723" s="1">
        <v>0</v>
      </c>
      <c r="C11723" s="3">
        <v>44534.691365740742</v>
      </c>
      <c r="D11723" s="1" t="s">
        <v>23187</v>
      </c>
      <c r="E11723" s="1" t="str">
        <f ca="1">IFERROR(__xludf.DUMMYFUNCTION("GOOGLETRANSLATE(A8522 , ""tr"" , ""en"")"),"@drfahrettinkoca kilavzu")</f>
        <v>@drfahrettinkoca kilavzu</v>
      </c>
    </row>
    <row r="11724" spans="1:5" ht="15" customHeight="1" x14ac:dyDescent="0.2">
      <c r="A11724" s="1" t="s">
        <v>23188</v>
      </c>
      <c r="B11724" s="1">
        <v>2</v>
      </c>
      <c r="C11724" s="3">
        <v>44534.691365740742</v>
      </c>
      <c r="D11724" s="1" t="s">
        <v>23189</v>
      </c>
      <c r="E11724" s="1" t="str">
        <f ca="1">IFERROR(__xludf.DUMMYFUNCTION("GOOGLETRANSLATE(A8523 , ""tr"" , ""en"")"),"@drfahrettinkoca is the last 27 days to the year but no guide in the middle @drfahrettinkoca @drfahrettinkoca @ Suikebirinci ... https://t.co/4myrcjbqgx")</f>
        <v>@drfahrettinkoca is the last 27 days to the year but no guide in the middle @drfahrettinkoca @drfahrettinkoca @ Suikebirinci ... https://t.co/4myrcjbqgx</v>
      </c>
    </row>
    <row r="11725" spans="1:5" ht="15" customHeight="1" x14ac:dyDescent="0.2">
      <c r="A11725" s="1" t="s">
        <v>23190</v>
      </c>
      <c r="B11725" s="1">
        <v>8</v>
      </c>
      <c r="C11725" s="3">
        <v>44534.691319444442</v>
      </c>
      <c r="D11725" s="1" t="s">
        <v>23191</v>
      </c>
      <c r="E11725" s="1" t="str">
        <f ca="1">IFERROR(__xludf.DUMMYFUNCTION("GOOGLETRANSLATE(A8524 , ""tr"" , ""en"")"),"@drfahrettinkoca squad ruler is not assigned as the name and code code (4597) in the ruler (4597 ).Firsat equals ... https://t.co/g1kljqbsq2")</f>
        <v>@drfahrettinkoca squad ruler is not assigned as the name and code code (4597) in the ruler (4597 ).Firsat equals ... https://t.co/g1kljqbsq2</v>
      </c>
    </row>
    <row r="11726" spans="1:5" ht="15" customHeight="1" x14ac:dyDescent="0.2">
      <c r="A11726" s="1" t="s">
        <v>23192</v>
      </c>
      <c r="B11726" s="1">
        <v>0</v>
      </c>
      <c r="C11726" s="3">
        <v>44534.691319444442</v>
      </c>
      <c r="D11726" s="1" t="s">
        <v>23193</v>
      </c>
      <c r="E11726" s="1" t="str">
        <f ca="1">IFERROR(__xludf.DUMMYFUNCTION("GOOGLETRANSLATE(A8525 , ""tr"" , ""en"")"),"@drfahrettinkoca Attention ❗❗❗Bubir Crime Announcement: @FettahTamince belongs to @embolinsashince As a result of the business accident he has been ... https://t.co/n5dpqn3wzy")</f>
        <v>@drfahrettinkoca Attention ❗❗❗Bubir Crime Announcement: @FettahTamince belongs to @embolinsashince As a result of the business accident he has been ... https://t.co/n5dpqn3wzy</v>
      </c>
    </row>
    <row r="11727" spans="1:5" ht="15" customHeight="1" x14ac:dyDescent="0.2">
      <c r="A11727" s="1" t="s">
        <v>23194</v>
      </c>
      <c r="B11727" s="1">
        <v>12</v>
      </c>
      <c r="C11727" s="3">
        <v>44534.69127314815</v>
      </c>
      <c r="D11727" s="1" t="s">
        <v>23195</v>
      </c>
      <c r="E11727" s="1" t="str">
        <f ca="1">IFERROR(__xludf.DUMMYFUNCTION("GOOGLETRANSLATE(A8526 , ""tr"" , ""en"")"),"@drfahrettinkoca you still call cleaning Yaaa You have eaten like a joke as you are taking us in touch Aloooo S ... https://t.co/kgkplctcop")</f>
        <v>@drfahrettinkoca you still call cleaning Yaaa You have eaten like a joke as you are taking us in touch Aloooo S ... https://t.co/kgkplctcop</v>
      </c>
    </row>
    <row r="11728" spans="1:5" ht="15" customHeight="1" x14ac:dyDescent="0.2">
      <c r="A11728" s="1" t="s">
        <v>23196</v>
      </c>
      <c r="B11728" s="1">
        <v>0</v>
      </c>
      <c r="C11728" s="3">
        <v>44534.69127314815</v>
      </c>
      <c r="D11728" s="1" t="s">
        <v>23197</v>
      </c>
      <c r="E11728" s="1" t="str">
        <f ca="1">IFERROR(__xludf.DUMMYFUNCTION("GOOGLETRANSLATE(A8527 , ""tr"" , ""en"")"),"@drfahrettinkoca crime we will also believe in and we will be assigned to our families")</f>
        <v>@drfahrettinkoca crime we will also believe in and we will be assigned to our families</v>
      </c>
    </row>
    <row r="11729" spans="1:5" ht="15" customHeight="1" x14ac:dyDescent="0.2">
      <c r="A11729" s="1" t="s">
        <v>23198</v>
      </c>
      <c r="B11729" s="1">
        <v>9</v>
      </c>
      <c r="C11729" s="3">
        <v>44534.69127314815</v>
      </c>
      <c r="D11729" s="1" t="s">
        <v>23199</v>
      </c>
      <c r="E11729" s="1" t="str">
        <f ca="1">IFERROR(__xludf.DUMMYFUNCTION("GOOGLETRANSLATE(A8528 , ""tr"" , ""en"")"),"@drfahrettinkoca One day I think the number of cases in the number of passes a day, stop replacing the idiot ... https://t.co/xyrbsxbypb")</f>
        <v>@drfahrettinkoca One day I think the number of cases in the number of passes a day, stop replacing the idiot ... https://t.co/xyrbsxbypb</v>
      </c>
    </row>
    <row r="11730" spans="1:5" ht="15" customHeight="1" x14ac:dyDescent="0.2">
      <c r="A11730" s="1" t="s">
        <v>23200</v>
      </c>
      <c r="B11730" s="1">
        <v>75</v>
      </c>
      <c r="C11730" s="3">
        <v>44534.691250000003</v>
      </c>
      <c r="D11730" s="1" t="s">
        <v>23201</v>
      </c>
      <c r="E11730" s="1" t="str">
        <f ca="1">IFERROR(__xludf.DUMMYFUNCTION("GOOGLETRANSLATE(A8529 , ""tr"" , ""en"")"),"@drfahrettinkoca is either your joke. #Kabinezkusagionlineline")</f>
        <v>@drfahrettinkoca is either your joke. #Kabinezkusagionlineline</v>
      </c>
    </row>
    <row r="11731" spans="1:5" ht="15" customHeight="1" x14ac:dyDescent="0.2">
      <c r="A11731" s="1" t="s">
        <v>23202</v>
      </c>
      <c r="B11731" s="1">
        <v>1</v>
      </c>
      <c r="C11731" s="3">
        <v>44534.691238425927</v>
      </c>
      <c r="D11731" s="1" t="s">
        <v>23203</v>
      </c>
      <c r="E11731" s="1" t="str">
        <f ca="1">IFERROR(__xludf.DUMMYFUNCTION("GOOGLETRANSLATE(A8530 , ""tr"" , ""en"")"),"@drfahrettinkoca Mr. Mr. Minister Now Assignments # Healthier")</f>
        <v>@drfahrettinkoca Mr. Mr. Minister Now Assignments # Healthier</v>
      </c>
    </row>
    <row r="11732" spans="1:5" ht="15" customHeight="1" x14ac:dyDescent="0.2">
      <c r="A11732" s="1" t="s">
        <v>23204</v>
      </c>
      <c r="B11732" s="1">
        <v>4</v>
      </c>
      <c r="C11732" s="3">
        <v>44534.69121527778</v>
      </c>
      <c r="D11732" s="1" t="s">
        <v>23205</v>
      </c>
      <c r="E11732" s="1" t="str">
        <f ca="1">IFERROR(__xludf.DUMMYFUNCTION("GOOGLETRANSLATE(A8531 , ""tr"" , ""en"")"),"@drfahrettinkoca squad ruler is not assigned as the Health Management Department Name and Code (4597) is not assigned.Firsat equals ... https://t.co/l1pjfglwmb")</f>
        <v>@drfahrettinkoca squad ruler is not assigned as the Health Management Department Name and Code (4597) is not assigned.Firsat equals ... https://t.co/l1pjfglwmb</v>
      </c>
    </row>
    <row r="11733" spans="1:5" ht="15" customHeight="1" x14ac:dyDescent="0.2">
      <c r="A11733" s="1" t="s">
        <v>23206</v>
      </c>
      <c r="B11733" s="1">
        <v>1</v>
      </c>
      <c r="C11733" s="3">
        <v>44534.691192129627</v>
      </c>
      <c r="D11733" s="1" t="s">
        <v>23207</v>
      </c>
      <c r="E11733" s="1" t="str">
        <f ca="1">IFERROR(__xludf.DUMMYFUNCTION("GOOGLETRANSLATE(A8532 , ""tr"" , ""en"")"),"@drfahrettinkoca Do not stay in the closed setting DION us to class, school pension You are always massed in the European Costs Vallah ... HTTPS://T.CO/VCISDTPAIQ")</f>
        <v>@drfahrettinkoca Do not stay in the closed setting DION us to class, school pension You are always massed in the European Costs Vallah ... HTTPS://T.CO/VCISDTPAIQ</v>
      </c>
    </row>
    <row r="11734" spans="1:5" ht="15" customHeight="1" x14ac:dyDescent="0.2">
      <c r="A11734" s="1" t="s">
        <v>23208</v>
      </c>
      <c r="B11734" s="1">
        <v>0</v>
      </c>
      <c r="C11734" s="3">
        <v>44534.691180555557</v>
      </c>
      <c r="D11734" s="1" t="s">
        <v>23209</v>
      </c>
      <c r="E11734" s="1" t="str">
        <f ca="1">IFERROR(__xludf.DUMMYFUNCTION("GOOGLETRANSLATE(A8533 , ""tr"" , ""en"")"),"@drfahrettinkoca Mr. Ministry of Corona has spent 3rd Dose MRNA Vaccine for chronic patients and seniors 6 months wait ... https://t.co/8occrpvhrs")</f>
        <v>@drfahrettinkoca Mr. Ministry of Corona has spent 3rd Dose MRNA Vaccine for chronic patients and seniors 6 months wait ... https://t.co/8occrpvhrs</v>
      </c>
    </row>
    <row r="11735" spans="1:5" ht="15" customHeight="1" x14ac:dyDescent="0.2">
      <c r="A11735" s="1" t="s">
        <v>23210</v>
      </c>
      <c r="B11735" s="1">
        <v>0</v>
      </c>
      <c r="C11735" s="3">
        <v>44534.691168981481</v>
      </c>
      <c r="D11735" s="1" t="s">
        <v>23211</v>
      </c>
      <c r="E11735" s="1" t="str">
        <f ca="1">IFERROR(__xludf.DUMMYFUNCTION("GOOGLETRANSLATE(A8534 , ""tr"" , ""en"")"),"@drfahrettinkoca You have shown this message in advance Did you point to Reis ""?")</f>
        <v>@drfahrettinkoca You have shown this message in advance Did you point to Reis "?</v>
      </c>
    </row>
    <row r="11736" spans="1:5" ht="15" customHeight="1" x14ac:dyDescent="0.2">
      <c r="A11736" s="1" t="s">
        <v>23212</v>
      </c>
      <c r="B11736" s="1">
        <v>0</v>
      </c>
      <c r="C11736" s="3">
        <v>44534.691157407404</v>
      </c>
      <c r="D11736" s="1" t="s">
        <v>23213</v>
      </c>
      <c r="E11736" s="1" t="str">
        <f ca="1">IFERROR(__xludf.DUMMYFUNCTION("GOOGLETRANSLATE(A8535 , ""tr"" , ""en"")"),"Why @drfahrettinkoca were lied to doctors and for healthparties?")</f>
        <v>Why @drfahrettinkoca were lied to doctors and for healthparties?</v>
      </c>
    </row>
    <row r="11737" spans="1:5" ht="15" customHeight="1" x14ac:dyDescent="0.2">
      <c r="A11737" s="1" t="s">
        <v>23214</v>
      </c>
      <c r="B11737" s="1">
        <v>1</v>
      </c>
      <c r="C11737" s="3">
        <v>44534.691145833334</v>
      </c>
      <c r="D11737" s="1" t="s">
        <v>23215</v>
      </c>
      <c r="E11737" s="1" t="str">
        <f ca="1">IFERROR(__xludf.DUMMYFUNCTION("GOOGLETRANSLATE(A8536 , ""tr"" , ""en"")"),"@drfahrettinkoca About Haram Get poison")</f>
        <v>@drfahrettinkoca About Haram Get poison</v>
      </c>
    </row>
    <row r="11738" spans="1:5" ht="15" customHeight="1" x14ac:dyDescent="0.2">
      <c r="A11738" s="1" t="s">
        <v>23216</v>
      </c>
      <c r="B11738" s="1">
        <v>0</v>
      </c>
      <c r="C11738" s="3">
        <v>44534.691134259258</v>
      </c>
      <c r="D11738" s="1" t="s">
        <v>23217</v>
      </c>
      <c r="E11738" s="1" t="str">
        <f ca="1">IFERROR(__xludf.DUMMYFUNCTION("GOOGLETRANSLATE(A8537 , ""tr"" , ""en"")"),"@drfahrettinkoca Allah consent ICIN hesies ICIN Food Suts will help you are your prayer I would be very glin ... https://t.co/cwınw03o8q")</f>
        <v>@drfahrettinkoca Allah consent ICIN hesies ICIN Food Suts will help you are your prayer I would be very glin ... https://t.co/cwınw03o8q</v>
      </c>
    </row>
    <row r="11739" spans="1:5" ht="15" customHeight="1" x14ac:dyDescent="0.2">
      <c r="A11739" s="1" t="s">
        <v>23218</v>
      </c>
      <c r="B11739" s="1">
        <v>2</v>
      </c>
      <c r="C11739" s="3">
        <v>44534.691099537034</v>
      </c>
      <c r="D11739" s="1" t="s">
        <v>23219</v>
      </c>
      <c r="E11739" s="1" t="str">
        <f ca="1">IFERROR(__xludf.DUMMYFUNCTION("GOOGLETRANSLATE(A8538 , ""tr"" , ""en"")"),"@drfahrettinka is the last 27 days to the year but no guide in the middle @drfahrettinka @drfahrettinkoca @ suibayurinci ... https://t.co/ufxctjvchu")</f>
        <v>@drfahrettinka is the last 27 days to the year but no guide in the middle @drfahrettinka @drfahrettinkoca @ suibayurinci ... https://t.co/ufxctjvchu</v>
      </c>
    </row>
    <row r="11740" spans="1:5" ht="15" customHeight="1" x14ac:dyDescent="0.2">
      <c r="A11740" s="1" t="s">
        <v>23220</v>
      </c>
      <c r="B11740" s="1">
        <v>0</v>
      </c>
      <c r="C11740" s="3">
        <v>44536.920624999999</v>
      </c>
      <c r="D11740" s="1" t="s">
        <v>23221</v>
      </c>
      <c r="E11740" s="1" t="str">
        <f ca="1">IFERROR(__xludf.DUMMYFUNCTION("GOOGLETRANSLATE(A8539 , ""tr"" , ""en"")"),"@drfahrettinkoca 45 people stand 8 hours in class Yes Yes correct motion 👍")</f>
        <v>@drfahrettinkoca 45 people stand 8 hours in class Yes Yes correct motion 👍</v>
      </c>
    </row>
    <row r="11741" spans="1:5" ht="15" customHeight="1" x14ac:dyDescent="0.2">
      <c r="A11741" s="1" t="s">
        <v>23222</v>
      </c>
      <c r="B11741" s="1">
        <v>0</v>
      </c>
      <c r="C11741" s="3">
        <v>44536.885462962964</v>
      </c>
      <c r="D11741" s="1" t="s">
        <v>23223</v>
      </c>
      <c r="E11741" s="1" t="str">
        <f ca="1">IFERROR(__xludf.DUMMYFUNCTION("GOOGLETRANSLATE(A8540 , ""tr"" , ""en"")"),"@drfahrettinkoca he heeee ... children work in the outdoor area in children.")</f>
        <v>@drfahrettinkoca he heeee ... children work in the outdoor area in children.</v>
      </c>
    </row>
    <row r="11742" spans="1:5" ht="15" customHeight="1" x14ac:dyDescent="0.2">
      <c r="A11742" s="1" t="s">
        <v>23224</v>
      </c>
      <c r="B11742" s="1">
        <v>0</v>
      </c>
      <c r="C11742" s="3">
        <v>44536.851689814815</v>
      </c>
      <c r="D11742" s="1" t="s">
        <v>23225</v>
      </c>
      <c r="E11742" s="1" t="str">
        <f ca="1">IFERROR(__xludf.DUMMYFUNCTION("GOOGLETRANSLATE(A8541 , ""tr"" , ""en"")"),"@drfahrettinkoca pfizer documents have revealed more than 1200 vaccines in the 90-day trial period ... https://t.co/h3rtjdqvwf")</f>
        <v>@drfahrettinkoca pfizer documents have revealed more than 1200 vaccines in the 90-day trial period ... https://t.co/h3rtjdqvwf</v>
      </c>
    </row>
    <row r="11743" spans="1:5" ht="15" customHeight="1" x14ac:dyDescent="0.2">
      <c r="A11743" s="1" t="s">
        <v>23226</v>
      </c>
      <c r="B11743" s="1">
        <v>0</v>
      </c>
      <c r="C11743" s="3">
        <v>44535.744502314818</v>
      </c>
      <c r="D11743" s="1" t="s">
        <v>23227</v>
      </c>
      <c r="E11743" s="1" t="str">
        <f ca="1">IFERROR(__xludf.DUMMYFUNCTION("GOOGLETRANSLATE(A8542 , ""tr"" , ""en"")"),"@drfahrettinkoca Mr. Minister The costs of our babies with SMA patient are greeted by the state Bebe ... https://t.co/8hrkc3ne7l")</f>
        <v>@drfahrettinkoca Mr. Minister The costs of our babies with SMA patient are greeted by the state Bebe ... https://t.co/8hrkc3ne7l</v>
      </c>
    </row>
    <row r="11744" spans="1:5" ht="15" customHeight="1" x14ac:dyDescent="0.2">
      <c r="A11744" s="1" t="s">
        <v>23228</v>
      </c>
      <c r="B11744" s="1">
        <v>0</v>
      </c>
      <c r="C11744" s="3">
        <v>44537.844097222223</v>
      </c>
      <c r="D11744" s="1" t="s">
        <v>23229</v>
      </c>
      <c r="E11744" s="1" t="str">
        <f ca="1">IFERROR(__xludf.DUMMYFUNCTION("GOOGLETRANSLATE(A8543 , ""tr"" , ""en"")"),"@drfahrettinkoca Keep your children's hands, our Yureg Paramparca, for afterwards, ok Guzel, but water moment in Aci CEKE ... https://t.co/4xn2hhpyj8")</f>
        <v>@drfahrettinkoca Keep your children's hands, our Yureg Paramparca, for afterwards, ok Guzel, but water moment in Aci CEKE ... https://t.co/4xn2hhpyj8</v>
      </c>
    </row>
    <row r="11745" spans="1:5" ht="15" customHeight="1" x14ac:dyDescent="0.2">
      <c r="A11745" s="1" t="s">
        <v>23230</v>
      </c>
      <c r="B11745" s="1">
        <v>0</v>
      </c>
      <c r="C11745" s="3">
        <v>44539.296550925923</v>
      </c>
      <c r="D11745" s="1" t="s">
        <v>23231</v>
      </c>
      <c r="E11745" s="1" t="str">
        <f ca="1">IFERROR(__xludf.DUMMYFUNCTION("GOOGLETRANSLATE(A8544 , ""tr"" , ""en"")"),"@drfahrettinkoca hospitals collapsed Dear Minister We have become a teeth that we can't take a political discourse GERC ... https://t.co/7wbglgpash")</f>
        <v>@drfahrettinkoca hospitals collapsed Dear Minister We have become a teeth that we can't take a political discourse GERC ... https://t.co/7wbglgpash</v>
      </c>
    </row>
    <row r="11746" spans="1:5" ht="15" customHeight="1" x14ac:dyDescent="0.2">
      <c r="A11746" s="1" t="s">
        <v>23232</v>
      </c>
      <c r="B11746" s="1">
        <v>0</v>
      </c>
      <c r="C11746" s="3">
        <v>44538.778599537036</v>
      </c>
      <c r="D11746" s="1" t="s">
        <v>23233</v>
      </c>
      <c r="E11746" s="1" t="str">
        <f ca="1">IFERROR(__xludf.DUMMYFUNCTION("GOOGLETRANSLATE(A8545 , ""tr"" , ""en"")"),"@drfahrettinkoca school no electricity built heater panel damaged children are sick from cold Meanwhile there is no water ... https://t.co/7fmbr7pn21")</f>
        <v>@drfahrettinkoca school no electricity built heater panel damaged children are sick from cold Meanwhile there is no water ... https://t.co/7fmbr7pn21</v>
      </c>
    </row>
    <row r="11747" spans="1:5" ht="15" customHeight="1" x14ac:dyDescent="0.2">
      <c r="A11747" s="1" t="s">
        <v>23234</v>
      </c>
      <c r="B11747" s="1">
        <v>0</v>
      </c>
      <c r="C11747" s="3">
        <v>44541.870358796295</v>
      </c>
      <c r="D11747" s="1" t="s">
        <v>23235</v>
      </c>
      <c r="E11747" s="1" t="str">
        <f ca="1">IFERROR(__xludf.DUMMYFUNCTION("GOOGLETRANSLATE(A8546 , ""tr"" , ""en"")"),"@drfahrettinkoca @drfahrettinkoca @drfahrettinkoca @rterdogan How do you people black out our lives We are your teenage Kidki ... https://t.co/jsddskkyaf")</f>
        <v>@drfahrettinkoca @drfahrettinkoca @drfahrettinkoca @rterdogan How do you people black out our lives We are your teenage Kidki ... https://t.co/jsddskkyaf</v>
      </c>
    </row>
    <row r="11748" spans="1:5" ht="15" customHeight="1" x14ac:dyDescent="0.2">
      <c r="A11748" s="1" t="s">
        <v>23236</v>
      </c>
      <c r="B11748" s="1">
        <v>0</v>
      </c>
      <c r="C11748" s="3">
        <v>44534.937939814816</v>
      </c>
      <c r="D11748" s="1" t="s">
        <v>23237</v>
      </c>
      <c r="E11748" s="1" t="str">
        <f ca="1">IFERROR(__xludf.DUMMYFUNCTION("GOOGLETRANSLATE(A8547 , ""tr"" , ""en"")"),"@drfahrettinkoca sn overlooking the decision you received Sn erdogan's news in front of Malum TVs from your conversation in front of the ... https://t.co/o899kas6bo")</f>
        <v>@drfahrettinkoca sn overlooking the decision you received Sn erdogan's news in front of Malum TVs from your conversation in front of the ... https://t.co/o899kas6bo</v>
      </c>
    </row>
    <row r="11749" spans="1:5" ht="15" customHeight="1" x14ac:dyDescent="0.2">
      <c r="A11749" s="1" t="s">
        <v>23238</v>
      </c>
      <c r="B11749" s="1">
        <v>0</v>
      </c>
      <c r="C11749" s="3">
        <v>44534.927800925929</v>
      </c>
      <c r="D11749" s="1" t="s">
        <v>23239</v>
      </c>
      <c r="E11749" s="1" t="str">
        <f ca="1">IFERROR(__xludf.DUMMYFUNCTION("GOOGLETRANSLATE(A8548 , ""tr"" , ""en"")"),"@drfahrettinkoca is a correct decision in so on. The tube is provided as a result of healthy embryo transfer with genetic scanning ... https://t.co/c02i1htswm")</f>
        <v>@drfahrettinkoca is a correct decision in so on. The tube is provided as a result of healthy embryo transfer with genetic scanning ... https://t.co/c02i1htswm</v>
      </c>
    </row>
    <row r="11750" spans="1:5" ht="15" customHeight="1" x14ac:dyDescent="0.2">
      <c r="A11750" s="1" t="s">
        <v>23240</v>
      </c>
      <c r="B11750" s="1">
        <v>1</v>
      </c>
      <c r="C11750" s="3">
        <v>44534.924340277779</v>
      </c>
      <c r="D11750" s="1" t="s">
        <v>23241</v>
      </c>
      <c r="E11750" s="1" t="str">
        <f ca="1">IFERROR(__xludf.DUMMYFUNCTION("GOOGLETRANSLATE(A8549 , ""tr"" , ""en"")"),"@drfahrettinkoca #theekimleriştifaizing Minister. Note Pediatrics and Female Dogum will not stay. Who is this diagnostic ... https://t.co/6qbt9fyiI7")</f>
        <v>@drfahrettinkoca #theekimleriştifaizing Minister. Note Pediatrics and Female Dogum will not stay. Who is this diagnostic ... https://t.co/6qbt9fyiI7</v>
      </c>
    </row>
    <row r="11751" spans="1:5" ht="15" customHeight="1" x14ac:dyDescent="0.2">
      <c r="A11751" s="1" t="s">
        <v>7770</v>
      </c>
      <c r="B11751" s="1">
        <v>1</v>
      </c>
      <c r="C11751" s="3">
        <v>44534.896435185183</v>
      </c>
      <c r="D11751" s="1" t="s">
        <v>23242</v>
      </c>
      <c r="E11751" s="1" t="str">
        <f ca="1">IFERROR(__xludf.DUMMYFUNCTION("GOOGLETRANSLATE(A8550 , ""tr"" , ""en"")"),"@drfahrettinkoca dietitians are welcomed to assign the assignment to the dietitians Sayin Minister 91 Score of Cardiacy Still Acikta")</f>
        <v>@drfahrettinkoca dietitians are welcomed to assign the assignment to the dietitians Sayin Minister 91 Score of Cardiacy Still Acikta</v>
      </c>
    </row>
    <row r="11752" spans="1:5" ht="15" customHeight="1" x14ac:dyDescent="0.2">
      <c r="A11752" s="1" t="s">
        <v>23243</v>
      </c>
      <c r="B11752" s="1">
        <v>0</v>
      </c>
      <c r="C11752" s="3">
        <v>44534.865601851852</v>
      </c>
      <c r="D11752" s="1" t="s">
        <v>23244</v>
      </c>
      <c r="E11752" s="1" t="str">
        <f ca="1">IFERROR(__xludf.DUMMYFUNCTION("GOOGLETRANSLATE(A8551 , ""tr"" , ""en"")"),"@drfahrettinka https://t.co/45f8dv7nys")</f>
        <v>@drfahrettinka https://t.co/45f8dv7nys</v>
      </c>
    </row>
    <row r="11753" spans="1:5" ht="15" customHeight="1" x14ac:dyDescent="0.2">
      <c r="A11753" s="1" t="s">
        <v>23245</v>
      </c>
      <c r="B11753" s="1">
        <v>0</v>
      </c>
      <c r="C11753" s="3">
        <v>44534.858842592592</v>
      </c>
      <c r="D11753" s="1" t="s">
        <v>23246</v>
      </c>
      <c r="E11753" s="1" t="str">
        <f ca="1">IFERROR(__xludf.DUMMYFUNCTION("GOOGLETRANSLATE(A8552 , ""tr"" , ""en"")"),"@drfahrettinkoca tube baby niyemis I don't want to have any other reason we don't believe are what you say")</f>
        <v>@drfahrettinkoca tube baby niyemis I don't want to have any other reason we don't believe are what you say</v>
      </c>
    </row>
    <row r="11754" spans="1:5" ht="15" customHeight="1" x14ac:dyDescent="0.2">
      <c r="A11754" s="1" t="s">
        <v>23247</v>
      </c>
      <c r="B11754" s="1">
        <v>1</v>
      </c>
      <c r="C11754" s="3">
        <v>44534.849699074075</v>
      </c>
      <c r="D11754" s="1" t="s">
        <v>23248</v>
      </c>
      <c r="E11754" s="1" t="str">
        <f ca="1">IFERROR(__xludf.DUMMYFUNCTION("GOOGLETRANSLATE(A8553 , ""tr"" , ""en"")"),"@drfahrettinkoca 1morum Our hope is not over. We don't have the power to wait for other Springs in it ... https://t.co/0oiapwhgp7")</f>
        <v>@drfahrettinkoca 1morum Our hope is not over. We don't have the power to wait for other Springs in it ... https://t.co/0oiapwhgp7</v>
      </c>
    </row>
    <row r="11755" spans="1:5" ht="15" customHeight="1" x14ac:dyDescent="0.2">
      <c r="A11755" s="1" t="s">
        <v>23249</v>
      </c>
      <c r="B11755" s="1">
        <v>1</v>
      </c>
      <c r="C11755" s="3">
        <v>44534.849490740744</v>
      </c>
      <c r="D11755" s="1" t="s">
        <v>23250</v>
      </c>
      <c r="E11755" s="1" t="str">
        <f ca="1">IFERROR(__xludf.DUMMYFUNCTION("GOOGLETRANSLATE(A8554 , ""tr"" , ""en"")"),"@drfahrettinkoca The Ministry of Health, Since December 2020, the health worker has not had. 39 Near 800 thousand in branches ... https://t.co/ycr12ldouh")</f>
        <v>@drfahrettinkoca The Ministry of Health, Since December 2020, the health worker has not had. 39 Near 800 thousand in branches ... https://t.co/ycr12ldouh</v>
      </c>
    </row>
    <row r="11756" spans="1:5" ht="15" customHeight="1" x14ac:dyDescent="0.2">
      <c r="A11756" s="1" t="s">
        <v>23251</v>
      </c>
      <c r="B11756" s="1">
        <v>0</v>
      </c>
      <c r="C11756" s="3">
        <v>44534.847210648149</v>
      </c>
      <c r="D11756" s="1" t="s">
        <v>23252</v>
      </c>
      <c r="E11756" s="1" t="str">
        <f ca="1">IFERROR(__xludf.DUMMYFUNCTION("GOOGLETRANSLATE(A8555 , ""tr"" , ""en"")"),"@drfahrettinka 600 nationv. 17 Minister 1 CB 1 CBY You all receive salary above 22,000 pounds, an allowance occurred ... https://t.co/ormzvoxsqt")</f>
        <v>@drfahrettinka 600 nationv. 17 Minister 1 CB 1 CBY You all receive salary above 22,000 pounds, an allowance occurred ... https://t.co/ormzvoxsqt</v>
      </c>
    </row>
    <row r="11757" spans="1:5" ht="15" customHeight="1" x14ac:dyDescent="0.2">
      <c r="A11757" s="1" t="s">
        <v>23253</v>
      </c>
      <c r="B11757" s="1">
        <v>0</v>
      </c>
      <c r="C11757" s="3">
        <v>44534.842511574076</v>
      </c>
      <c r="D11757" s="1" t="s">
        <v>23254</v>
      </c>
      <c r="E11757" s="1" t="str">
        <f ca="1">IFERROR(__xludf.DUMMYFUNCTION("GOOGLETRANSLATE(A8556 , ""tr"" , ""en"")"),"@drfahrettinkoca Fahrettin Hocam = 🫂🫂 I ürüm My RABB let you give you healthy long auspicious lifetry 🤲🤲💙😇😇")</f>
        <v>@drfahrettinkoca Fahrettin Hocam = 🫂🫂 I ürüm My RABB let you give you healthy long auspicious lifetry 🤲🤲💙😇😇</v>
      </c>
    </row>
    <row r="11758" spans="1:5" ht="15" customHeight="1" x14ac:dyDescent="0.2">
      <c r="A11758" s="1" t="s">
        <v>23255</v>
      </c>
      <c r="B11758" s="1">
        <v>0</v>
      </c>
      <c r="C11758" s="3">
        <v>44534.837511574071</v>
      </c>
      <c r="D11758" s="1" t="s">
        <v>23256</v>
      </c>
      <c r="E11758" s="1" t="str">
        <f ca="1">IFERROR(__xludf.DUMMYFUNCTION("GOOGLETRANSLATE(A8557 , ""tr"" , ""en"")"),"@drfahrettinka radiology technicians and all of the other branches to take the numbers that all hope ... Guide angle ... HTTPS://T.CO/GJ76HBL0QJ")</f>
        <v>@drfahrettinka radiology technicians and all of the other branches to take the numbers that all hope ... Guide angle ... HTTPS://T.CO/GJ76HBL0QJ</v>
      </c>
    </row>
    <row r="11759" spans="1:5" ht="15" customHeight="1" x14ac:dyDescent="0.2">
      <c r="A11759" s="1" t="s">
        <v>23257</v>
      </c>
      <c r="B11759" s="1">
        <v>0</v>
      </c>
      <c r="C11759" s="3">
        <v>44534.836041666669</v>
      </c>
      <c r="D11759" s="1" t="s">
        <v>23258</v>
      </c>
      <c r="E11759" s="1" t="str">
        <f ca="1">IFERROR(__xludf.DUMMYFUNCTION("GOOGLETRANSLATE(A8558 , ""tr"" , ""en"")"),"@drfahrettinkoca Good Guzel We are fishing for it .Awe where is Zolgensma You, SMA Science Board Zolgensin ... https://t.co/xb6s3wwmjd")</f>
        <v>@drfahrettinkoca Good Guzel We are fishing for it .Awe where is Zolgensma You, SMA Science Board Zolgensin ... https://t.co/xb6s3wwmjd</v>
      </c>
    </row>
    <row r="11760" spans="1:5" ht="15" customHeight="1" x14ac:dyDescent="0.2">
      <c r="A11760" s="1" t="s">
        <v>23259</v>
      </c>
      <c r="B11760" s="1">
        <v>0</v>
      </c>
      <c r="C11760" s="3">
        <v>44534.81695601852</v>
      </c>
      <c r="D11760" s="1" t="s">
        <v>23260</v>
      </c>
      <c r="E11760" s="1" t="str">
        <f ca="1">IFERROR(__xludf.DUMMYFUNCTION("GOOGLETRANSLATE(A8559 , ""tr"" , ""en"")"),"@drfahrettinkoca #Sheekimleristifaizing This scans will make the physician will not stay in the hometown.")</f>
        <v>@drfahrettinkoca #Sheekimleristifaizing This scans will make the physician will not stay in the hometown.</v>
      </c>
    </row>
    <row r="11761" spans="1:5" ht="15" customHeight="1" x14ac:dyDescent="0.2">
      <c r="A11761" s="1" t="s">
        <v>22022</v>
      </c>
      <c r="B11761" s="1">
        <v>0</v>
      </c>
      <c r="C11761" s="3">
        <v>44534.79246527778</v>
      </c>
      <c r="D11761" s="1" t="s">
        <v>23261</v>
      </c>
      <c r="E11761" s="1" t="str">
        <f ca="1">IFERROR(__xludf.DUMMYFUNCTION("GOOGLETRANSLATE(A8560 , ""tr"" , ""en"")"),"@drfahrettinka https://t.co/qjrg1l5338")</f>
        <v>@drfahrettinka https://t.co/qjrg1l5338</v>
      </c>
    </row>
    <row r="11762" spans="1:5" ht="15" customHeight="1" x14ac:dyDescent="0.2">
      <c r="A11762" s="1" t="s">
        <v>23262</v>
      </c>
      <c r="B11762" s="1">
        <v>0</v>
      </c>
      <c r="C11762" s="3">
        <v>44534.781423611108</v>
      </c>
      <c r="D11762" s="1" t="s">
        <v>23263</v>
      </c>
      <c r="E11762" s="1" t="str">
        <f ca="1">IFERROR(__xludf.DUMMYFUNCTION("GOOGLETRANSLATE(A8561 , ""tr"" , ""en"")"),"@drfahrettinkoca Ministry My 2 children were born from the genetic carrier because of a 6-year-old, the other is to 3 years old ... https://t.co/2t4tdyk4sa")</f>
        <v>@drfahrettinkoca Ministry My 2 children were born from the genetic carrier because of a 6-year-old, the other is to 3 years old ... https://t.co/2t4tdyk4sa</v>
      </c>
    </row>
    <row r="11763" spans="1:5" ht="15" customHeight="1" x14ac:dyDescent="0.2">
      <c r="A11763" s="1" t="s">
        <v>23264</v>
      </c>
      <c r="B11763" s="1">
        <v>3</v>
      </c>
      <c r="C11763" s="3">
        <v>44534.77888888889</v>
      </c>
      <c r="D11763" s="1" t="s">
        <v>23265</v>
      </c>
      <c r="E11763" s="1" t="str">
        <f ca="1">IFERROR(__xludf.DUMMYFUNCTION("GOOGLETRANSLATE(A8562 , ""tr"" , ""en"")"),"@drfahrettinkoca #theekimlariStifaizes You can prohibit the remedy.")</f>
        <v>@drfahrettinkoca #theekimlariStifaizes You can prohibit the remedy.</v>
      </c>
    </row>
    <row r="11764" spans="1:5" ht="15" customHeight="1" x14ac:dyDescent="0.2">
      <c r="A11764" s="1" t="s">
        <v>23266</v>
      </c>
      <c r="B11764" s="1">
        <v>0</v>
      </c>
      <c r="C11764" s="3">
        <v>44534.759965277779</v>
      </c>
      <c r="D11764" s="1" t="s">
        <v>23267</v>
      </c>
      <c r="E11764" s="1" t="str">
        <f ca="1">IFERROR(__xludf.DUMMYFUNCTION("GOOGLETRANSLATE(A8563 , ""tr"" , ""en"")"),"@drfahrettinkoca gene treatment and decision to zolgensma ... Our children's life is not 3 cents' tenderers Z ... https://t.co/wdudlıjw2q")</f>
        <v>@drfahrettinkoca gene treatment and decision to zolgensma ... Our children's life is not 3 cents' tenderers Z ... https://t.co/wdudlıjw2q</v>
      </c>
    </row>
    <row r="11765" spans="1:5" ht="15" customHeight="1" x14ac:dyDescent="0.2">
      <c r="A11765" s="1" t="s">
        <v>23268</v>
      </c>
      <c r="B11765" s="1">
        <v>0</v>
      </c>
      <c r="C11765" s="3">
        <v>44534.748217592591</v>
      </c>
      <c r="D11765" s="1" t="s">
        <v>23269</v>
      </c>
      <c r="E11765" s="1" t="str">
        <f ca="1">IFERROR(__xludf.DUMMYFUNCTION("GOOGLETRANSLATE(A8564 , ""tr"" , ""en"")"),"@drfahrettinkoca Mr. Minister My daughter Wilson Hospital Medicine 3 Months No Yurdish In Yurdish, please find a remedy Kids ... https://t.co/spyklfe4oy")</f>
        <v>@drfahrettinkoca Mr. Minister My daughter Wilson Hospital Medicine 3 Months No Yurdish In Yurdish, please find a remedy Kids ... https://t.co/spyklfe4oy</v>
      </c>
    </row>
    <row r="11766" spans="1:5" ht="15" customHeight="1" x14ac:dyDescent="0.2">
      <c r="A11766" s="1" t="s">
        <v>23270</v>
      </c>
      <c r="B11766" s="1">
        <v>0</v>
      </c>
      <c r="C11766" s="3">
        <v>44534.719224537039</v>
      </c>
      <c r="D11766" s="1" t="s">
        <v>23271</v>
      </c>
      <c r="E11766" s="1" t="str">
        <f ca="1">IFERROR(__xludf.DUMMYFUNCTION("GOOGLETRANSLATE(A8565 , ""tr"" , ""en"")"),"@drfahrettinkoca We will ask for it.")</f>
        <v>@drfahrettinkoca We will ask for it.</v>
      </c>
    </row>
    <row r="11767" spans="1:5" ht="15" customHeight="1" x14ac:dyDescent="0.2">
      <c r="A11767" s="1" t="s">
        <v>23272</v>
      </c>
      <c r="B11767" s="1">
        <v>0</v>
      </c>
      <c r="C11767" s="3">
        <v>44534.717187499999</v>
      </c>
      <c r="D11767" s="1" t="s">
        <v>23273</v>
      </c>
      <c r="E11767" s="1" t="str">
        <f ca="1">IFERROR(__xludf.DUMMYFUNCTION("GOOGLETRANSLATE(A8566 , ""tr"" , ""en"")"),"@drfahrettinkoca Mr. Ministry of SMA patient should not leave our children as the state as the state.")</f>
        <v>@drfahrettinkoca Mr. Ministry of SMA patient should not leave our children as the state as the state.</v>
      </c>
    </row>
    <row r="11768" spans="1:5" ht="15" customHeight="1" x14ac:dyDescent="0.2">
      <c r="A11768" s="1" t="s">
        <v>23274</v>
      </c>
      <c r="B11768" s="1">
        <v>6</v>
      </c>
      <c r="C11768" s="3">
        <v>44534.714409722219</v>
      </c>
      <c r="D11768" s="1" t="s">
        <v>23275</v>
      </c>
      <c r="E11768" s="1" t="str">
        <f ca="1">IFERROR(__xludf.DUMMYFUNCTION("GOOGLETRANSLATE(A8567 , ""tr"" , ""en"")"),"@drfahrettinka Mr. Ministry of Health Management Department Occupation Description Problem and Assignment Problem Still Solved ... https://t.co/y2nvspq3yt")</f>
        <v>@drfahrettinka Mr. Ministry of Health Management Department Occupation Description Problem and Assignment Problem Still Solved ... https://t.co/y2nvspq3yt</v>
      </c>
    </row>
    <row r="11769" spans="1:5" ht="15" customHeight="1" x14ac:dyDescent="0.2">
      <c r="A11769" s="1" t="s">
        <v>23276</v>
      </c>
      <c r="B11769" s="1">
        <v>0</v>
      </c>
      <c r="C11769" s="3">
        <v>44534.713784722226</v>
      </c>
      <c r="D11769" s="1" t="s">
        <v>23277</v>
      </c>
      <c r="E11769" s="1" t="str">
        <f ca="1">IFERROR(__xludf.DUMMYFUNCTION("GOOGLETRANSLATE(A8568 , ""tr"" , ""en"")"),"@drfahrettinkoca hocam we love you ..")</f>
        <v>@drfahrettinkoca hocam we love you ..</v>
      </c>
    </row>
    <row r="11770" spans="1:5" ht="15" customHeight="1" x14ac:dyDescent="0.2">
      <c r="A11770" s="1" t="s">
        <v>23278</v>
      </c>
      <c r="B11770" s="1">
        <v>0</v>
      </c>
      <c r="C11770" s="3">
        <v>44534.712152777778</v>
      </c>
      <c r="D11770" s="1" t="s">
        <v>23279</v>
      </c>
      <c r="E11770" s="1" t="str">
        <f ca="1">IFERROR(__xludf.DUMMYFUNCTION("GOOGLETRANSLATE(A8569 , ""tr"" , ""en"")"),"@drfahrettinkoca Today the sun is an angel in the baby, the Angels will be on your Vebali SN. Husband. https://t.co/uymqwprbly")</f>
        <v>@drfahrettinkoca Today the sun is an angel in the baby, the Angels will be on your Vebali SN. Husband. https://t.co/uymqwprbly</v>
      </c>
    </row>
    <row r="11771" spans="1:5" ht="15" customHeight="1" x14ac:dyDescent="0.2">
      <c r="A11771" s="1" t="s">
        <v>23280</v>
      </c>
      <c r="B11771" s="1">
        <v>0</v>
      </c>
      <c r="C11771" s="3">
        <v>44534.707002314812</v>
      </c>
      <c r="D11771" s="1" t="s">
        <v>23281</v>
      </c>
      <c r="E11771" s="1" t="str">
        <f ca="1">IFERROR(__xludf.DUMMYFUNCTION("GOOGLETRANSLATE(A8570 , ""tr"" , ""en"")"),"@drfahrettinka https://t.co/sr0kgheeooj https://t.co/d9x3a5maym https://t.co/41aj1ybb7q https://t.co/w7rz1fvılk... https://t.co/41dhascjhn")</f>
        <v>@drfahrettinka https://t.co/sr0kgheeooj https://t.co/d9x3a5maym https://t.co/41aj1ybb7q https://t.co/w7rz1fvılk... https://t.co/41dhascjhn</v>
      </c>
    </row>
    <row r="11772" spans="1:5" ht="15" customHeight="1" x14ac:dyDescent="0.2">
      <c r="A11772" s="1" t="s">
        <v>22843</v>
      </c>
      <c r="B11772" s="1">
        <v>0</v>
      </c>
      <c r="C11772" s="3">
        <v>44534.703287037039</v>
      </c>
      <c r="D11772" s="1" t="s">
        <v>23282</v>
      </c>
      <c r="E11772" s="1" t="str">
        <f ca="1">IFERROR(__xludf.DUMMYFUNCTION("GOOGLETRANSLATE(A8571 , ""tr"" , ""en"")"),"@drfahrettinka https://t.co/fljinix0wi")</f>
        <v>@drfahrettinka https://t.co/fljinix0wi</v>
      </c>
    </row>
    <row r="11773" spans="1:5" ht="15" customHeight="1" x14ac:dyDescent="0.2">
      <c r="A11773" s="1" t="s">
        <v>23283</v>
      </c>
      <c r="B11773" s="1">
        <v>0</v>
      </c>
      <c r="C11773" s="3">
        <v>44534.702974537038</v>
      </c>
      <c r="D11773" s="1" t="s">
        <v>23284</v>
      </c>
      <c r="E11773" s="1" t="str">
        <f ca="1">IFERROR(__xludf.DUMMYFUNCTION("GOOGLETRANSLATE(A8572 , ""tr"" , ""en"")"),"@drfahrettinkoca # I'm looking at Health Administration section None @drrecepakdag https://t.co/vlq9t0m6IC")</f>
        <v>@drfahrettinkoca # I'm looking at Health Administration section None @drrecepakdag https://t.co/vlq9t0m6IC</v>
      </c>
    </row>
    <row r="11774" spans="1:5" ht="15" customHeight="1" x14ac:dyDescent="0.2">
      <c r="A11774" s="1" t="s">
        <v>23285</v>
      </c>
      <c r="B11774" s="1">
        <v>1</v>
      </c>
      <c r="C11774" s="3">
        <v>44534.701909722222</v>
      </c>
      <c r="D11774" s="1" t="s">
        <v>23286</v>
      </c>
      <c r="E11774" s="1" t="str">
        <f ca="1">IFERROR(__xludf.DUMMYFUNCTION("GOOGLETRANSLATE(A8573 , ""tr"" , ""en"")"),"@drfahrettinkoca # I'm looking at Health Administration Department No Https://T.CO/MCIDDMH8UL")</f>
        <v>@drfahrettinkoca # I'm looking at Health Administration Department No Https://T.CO/MCIDDMH8UL</v>
      </c>
    </row>
    <row r="11775" spans="1:5" ht="15" customHeight="1" x14ac:dyDescent="0.2">
      <c r="A11775" s="1" t="s">
        <v>23287</v>
      </c>
      <c r="B11775" s="1">
        <v>1</v>
      </c>
      <c r="C11775" s="3">
        <v>44534.699432870373</v>
      </c>
      <c r="D11775" s="1" t="s">
        <v>23288</v>
      </c>
      <c r="E11775" s="1" t="str">
        <f ca="1">IFERROR(__xludf.DUMMYFUNCTION("GOOGLETRANSLATE(A8574 , ""tr"" , ""en"")"),"@drfahrettinkoca # I'm looking at Health Management Graduates all the victim doesn't hear that https://t.co/0rsshx0t9u")</f>
        <v>@drfahrettinkoca # I'm looking at Health Management Graduates all the victim doesn't hear that https://t.co/0rsshx0t9u</v>
      </c>
    </row>
    <row r="11776" spans="1:5" ht="15" customHeight="1" x14ac:dyDescent="0.2">
      <c r="A11776" s="1" t="s">
        <v>23289</v>
      </c>
      <c r="B11776" s="1">
        <v>2</v>
      </c>
      <c r="C11776" s="3">
        <v>44534.697766203702</v>
      </c>
      <c r="D11776" s="1" t="s">
        <v>23290</v>
      </c>
      <c r="E11776" s="1" t="str">
        <f ca="1">IFERROR(__xludf.DUMMYFUNCTION("GOOGLETRANSLATE(A8575 , ""tr"" , ""en"")"),"@drfahrettinkoca #time everyone is the Health Management Department when everyone is suspicence @drrecepakdag")</f>
        <v>@drfahrettinkoca #time everyone is the Health Management Department when everyone is suspicence @drrecepakdag</v>
      </c>
    </row>
    <row r="11777" spans="1:5" ht="15" customHeight="1" x14ac:dyDescent="0.2">
      <c r="A11777" s="1" t="s">
        <v>23291</v>
      </c>
      <c r="B11777" s="1">
        <v>2</v>
      </c>
      <c r="C11777" s="3">
        <v>44534.696053240739</v>
      </c>
      <c r="D11777" s="1" t="s">
        <v>23292</v>
      </c>
      <c r="E11777" s="1" t="str">
        <f ca="1">IFERROR(__xludf.DUMMYFUNCTION("GOOGLETRANSLATE(A8576 , ""tr"" , ""en"")"),"@drfahrettinkoca # I'm looking at Health Management Voice of Graduates @DrFahrettinka @drrecepakdag")</f>
        <v>@drfahrettinkoca # I'm looking at Health Management Voice of Graduates @DrFahrettinka @drrecepakdag</v>
      </c>
    </row>
    <row r="11778" spans="1:5" ht="15" customHeight="1" x14ac:dyDescent="0.2">
      <c r="A11778" s="1" t="s">
        <v>23293</v>
      </c>
      <c r="B11778" s="1">
        <v>0</v>
      </c>
      <c r="C11778" s="3">
        <v>44534.695902777778</v>
      </c>
      <c r="D11778" s="1" t="s">
        <v>23294</v>
      </c>
      <c r="E11778" s="1" t="str">
        <f ca="1">IFERROR(__xludf.DUMMYFUNCTION("GOOGLETRANSLATE(A8577 , ""tr"" , ""en"")"),"@drfahrettinkoca Available SMA Hastasi What will be the situation of children? These people expect cozum.")</f>
        <v>@drfahrettinkoca Available SMA Hastasi What will be the situation of children? These people expect cozum.</v>
      </c>
    </row>
    <row r="11779" spans="1:5" ht="15" customHeight="1" x14ac:dyDescent="0.2">
      <c r="A11779" s="1" t="s">
        <v>23295</v>
      </c>
      <c r="B11779" s="1">
        <v>0</v>
      </c>
      <c r="C11779" s="3">
        <v>44534.695451388892</v>
      </c>
      <c r="D11779" s="1" t="s">
        <v>23296</v>
      </c>
      <c r="E11779" s="1" t="str">
        <f ca="1">IFERROR(__xludf.DUMMYFUNCTION("GOOGLETRANSLATE(A8578 , ""tr"" , ""en"")"),"@drfahrettinkoca yeah this principle has not been seen by the helpers of the Syrian refugees that it has not been ignored but it is ... https://t.co/uvrypkncbo")</f>
        <v>@drfahrettinkoca yeah this principle has not been seen by the helpers of the Syrian refugees that it has not been ignored but it is ... https://t.co/uvrypkncbo</v>
      </c>
    </row>
    <row r="11780" spans="1:5" ht="15" customHeight="1" x14ac:dyDescent="0.2">
      <c r="A11780" s="1" t="s">
        <v>23297</v>
      </c>
      <c r="B11780" s="1">
        <v>0</v>
      </c>
      <c r="C11780" s="3">
        <v>44534.695069444446</v>
      </c>
      <c r="D11780" s="1" t="s">
        <v>23298</v>
      </c>
      <c r="E11780" s="1" t="str">
        <f ca="1">IFERROR(__xludf.DUMMYFUNCTION("GOOGLETRANSLATE(A8579 , ""tr"" , ""en"")"),"@drfahrettinkoca # When you are looking at the health management section, everyone is suspic. More than 100 thousand graduates ... https://t.co/arbsh9ylsm")</f>
        <v>@drfahrettinkoca # When you are looking at the health management section, everyone is suspic. More than 100 thousand graduates ... https://t.co/arbsh9ylsm</v>
      </c>
    </row>
    <row r="11781" spans="1:5" ht="15" customHeight="1" x14ac:dyDescent="0.2">
      <c r="A11781" s="1" t="s">
        <v>23299</v>
      </c>
      <c r="B11781" s="1">
        <v>0</v>
      </c>
      <c r="C11781" s="3">
        <v>44534.694918981484</v>
      </c>
      <c r="D11781" s="1" t="s">
        <v>23300</v>
      </c>
      <c r="E11781" s="1" t="str">
        <f ca="1">IFERROR(__xludf.DUMMYFUNCTION("GOOGLETRANSLATE(A8580 , ""tr"" , ""en"")"),"@drfahrettinkoca # When you are looking at the health management section, everyone is suspic. More than 100 thousand graduates ... https://t.co/eq3gqsv2zz")</f>
        <v>@drfahrettinkoca # When you are looking at the health management section, everyone is suspic. More than 100 thousand graduates ... https://t.co/eq3gqsv2zz</v>
      </c>
    </row>
    <row r="11782" spans="1:5" ht="15" customHeight="1" x14ac:dyDescent="0.2">
      <c r="A11782" s="1" t="s">
        <v>23301</v>
      </c>
      <c r="B11782" s="1">
        <v>0</v>
      </c>
      <c r="C11782" s="3">
        <v>44534.693680555552</v>
      </c>
      <c r="D11782" s="1" t="s">
        <v>23302</v>
      </c>
      <c r="E11782" s="1" t="str">
        <f ca="1">IFERROR(__xludf.DUMMYFUNCTION("GOOGLETRANSLATE(A8581 , ""tr"" , ""en"")"),"@drfahrettinkoca # When you are looking at the health management section, everyone is suspic. More than 100,000 graduates ... https://t.co/u8jzvnew4l")</f>
        <v>@drfahrettinkoca # When you are looking at the health management section, everyone is suspic. More than 100,000 graduates ... https://t.co/u8jzvnew4l</v>
      </c>
    </row>
    <row r="11783" spans="1:5" ht="15" customHeight="1" x14ac:dyDescent="0.2">
      <c r="A11783" s="1" t="s">
        <v>23303</v>
      </c>
      <c r="B11783" s="1">
        <v>2</v>
      </c>
      <c r="C11783" s="3">
        <v>44534.693425925929</v>
      </c>
      <c r="D11783" s="1" t="s">
        <v>23304</v>
      </c>
      <c r="E11783" s="1" t="str">
        <f ca="1">IFERROR(__xludf.DUMMYFUNCTION("GOOGLETRANSLATE(A8582 , ""tr"" , ""en"")"),"@drfahrettinkoca squad ruler is not assigned because the Health Management Department name and code (4597) is not available.Firsat equals ... https://t.co/hwvjwnp7jm")</f>
        <v>@drfahrettinkoca squad ruler is not assigned because the Health Management Department name and code (4597) is not available.Firsat equals ... https://t.co/hwvjwnp7jm</v>
      </c>
    </row>
    <row r="11784" spans="1:5" ht="15" customHeight="1" x14ac:dyDescent="0.2">
      <c r="A11784" s="1" t="s">
        <v>23305</v>
      </c>
      <c r="B11784" s="1">
        <v>0</v>
      </c>
      <c r="C11784" s="3">
        <v>44534.692337962966</v>
      </c>
      <c r="D11784" s="1" t="s">
        <v>23306</v>
      </c>
      <c r="E11784" s="1" t="str">
        <f ca="1">IFERROR(__xludf.DUMMYFUNCTION("GOOGLETRANSLATE(A8583 , ""tr"" , ""en"")"),"@drfahrettinkoca # When you are looking at the health management section, everyone is suspic. More than 100 thousand graduates ... https://t.co/nhgtdbkbfa")</f>
        <v>@drfahrettinkoca # When you are looking at the health management section, everyone is suspic. More than 100 thousand graduates ... https://t.co/nhgtdbkbfa</v>
      </c>
    </row>
    <row r="11785" spans="1:5" ht="15" customHeight="1" x14ac:dyDescent="0.2">
      <c r="A11785" s="1" t="s">
        <v>23307</v>
      </c>
      <c r="B11785" s="1">
        <v>0</v>
      </c>
      <c r="C11785" s="3">
        <v>44534.692002314812</v>
      </c>
      <c r="D11785" s="1" t="s">
        <v>23308</v>
      </c>
      <c r="E11785" s="1" t="str">
        <f ca="1">IFERROR(__xludf.DUMMYFUNCTION("GOOGLETRANSLATE(A8584 , ""tr"" , ""en"")"),"@drfahrettinkoca # When you are looking at the health management section, everyone is suspic. More than 100 thousand graduates ... https://t.co/wfiqrbovhe")</f>
        <v>@drfahrettinkoca # When you are looking at the health management section, everyone is suspic. More than 100 thousand graduates ... https://t.co/wfiqrbovhe</v>
      </c>
    </row>
    <row r="11786" spans="1:5" ht="15" customHeight="1" x14ac:dyDescent="0.2">
      <c r="A11786" s="1" t="s">
        <v>23309</v>
      </c>
      <c r="B11786" s="1">
        <v>0</v>
      </c>
      <c r="C11786" s="3">
        <v>44534.691724537035</v>
      </c>
      <c r="D11786" s="1" t="s">
        <v>23310</v>
      </c>
      <c r="E11786" s="1" t="str">
        <f ca="1">IFERROR(__xludf.DUMMYFUNCTION("GOOGLETRANSLATE(A8585 , ""tr"" , ""en"")"),"@drfahrettinkoca # When you are looking at the health management section, everyone is suspic. More than 100,000 graduates ... https://t.co/d1j7ajqsnd")</f>
        <v>@drfahrettinkoca # When you are looking at the health management section, everyone is suspic. More than 100,000 graduates ... https://t.co/d1j7ajqsnd</v>
      </c>
    </row>
    <row r="11787" spans="1:5" ht="15" customHeight="1" x14ac:dyDescent="0.2">
      <c r="A11787" s="1" t="s">
        <v>23311</v>
      </c>
      <c r="B11787" s="1">
        <v>1</v>
      </c>
      <c r="C11787" s="3">
        <v>44534.691469907404</v>
      </c>
      <c r="D11787" s="1" t="s">
        <v>23312</v>
      </c>
      <c r="E11787" s="1" t="str">
        <f ca="1">IFERROR(__xludf.DUMMYFUNCTION("GOOGLETRANSLATE(A8586 , ""tr"" , ""en"")"),"@drfahrettinkoca # When you are looking at the health management section, everyone is suspic. More than 100 thousand graduates ... https://t.co/pfk7frfy8i")</f>
        <v>@drfahrettinkoca # When you are looking at the health management section, everyone is suspic. More than 100 thousand graduates ... https://t.co/pfk7frfy8i</v>
      </c>
    </row>
    <row r="11788" spans="1:5" ht="15" customHeight="1" x14ac:dyDescent="0.2">
      <c r="A11788" s="1" t="s">
        <v>23313</v>
      </c>
      <c r="B11788" s="1">
        <v>0</v>
      </c>
      <c r="C11788" s="3">
        <v>44534.691307870373</v>
      </c>
      <c r="D11788" s="1" t="s">
        <v>23314</v>
      </c>
      <c r="E11788" s="1" t="str">
        <f ca="1">IFERROR(__xludf.DUMMYFUNCTION("GOOGLETRANSLATE(A8587 , ""tr"" , ""en"")"),"@drfahrettinkoca # When you are looking at the health management section, everyone is suspic. More than 100 thousand graduates ... https://t.co/V9DBKICOYV")</f>
        <v>@drfahrettinkoca # When you are looking at the health management section, everyone is suspic. More than 100 thousand graduates ... https://t.co/V9DBKICOYV</v>
      </c>
    </row>
    <row r="11789" spans="1:5" ht="15" customHeight="1" x14ac:dyDescent="0.2">
      <c r="A11789" s="1" t="s">
        <v>23315</v>
      </c>
      <c r="B11789" s="1">
        <v>0</v>
      </c>
      <c r="C11789" s="3">
        <v>44534.691099537034</v>
      </c>
      <c r="D11789" s="1" t="s">
        <v>23316</v>
      </c>
      <c r="E11789" s="1" t="str">
        <f ca="1">IFERROR(__xludf.DUMMYFUNCTION("GOOGLETRANSLATE(A8588 , ""tr"" , ""en"")"),"@drfahrettinkoca # When you are looking at the health management section, everyone is suspic. More than 100 thousand graduates ... https://t.co/5e2shxljpo")</f>
        <v>@drfahrettinkoca # When you are looking at the health management section, everyone is suspic. More than 100 thousand graduates ... https://t.co/5e2shxljpo</v>
      </c>
    </row>
    <row r="11790" spans="1:5" ht="15" customHeight="1" x14ac:dyDescent="0.2">
      <c r="A11790" s="1" t="s">
        <v>23317</v>
      </c>
      <c r="B11790" s="1">
        <v>0</v>
      </c>
      <c r="C11790" s="3">
        <v>44536.937523148146</v>
      </c>
      <c r="D11790" s="1" t="s">
        <v>23318</v>
      </c>
      <c r="E11790" s="1" t="str">
        <f ca="1">IFERROR(__xludf.DUMMYFUNCTION("GOOGLETRANSLATE(A8589 , ""tr"" , ""en"")"),"@drfahrettinkoca Mr. Minister, our country has been working no day during the health of our country in these Covidli days ... https://t.co/feaduw3axv")</f>
        <v>@drfahrettinkoca Mr. Minister, our country has been working no day during the health of our country in these Covidli days ... https://t.co/feaduw3axv</v>
      </c>
    </row>
    <row r="11791" spans="1:5" ht="15" customHeight="1" x14ac:dyDescent="0.2">
      <c r="A11791" s="1" t="s">
        <v>23319</v>
      </c>
      <c r="B11791" s="1">
        <v>0</v>
      </c>
      <c r="C11791" s="3">
        <v>44541.870428240742</v>
      </c>
      <c r="D11791" s="1" t="s">
        <v>23320</v>
      </c>
      <c r="E11791" s="1" t="str">
        <f ca="1">IFERROR(__xludf.DUMMYFUNCTION("GOOGLETRANSLATE(A8590 , ""tr"" , ""en"")"),"@drfahrettinkoca @drfahrettinkoca @drfahrettinkoca @rterdogan How do you people black out our youth our blood ... https://t.co/c3mwuukn5e")</f>
        <v>@drfahrettinkoca @drfahrettinkoca @drfahrettinkoca @rterdogan How do you people black out our youth our blood ... https://t.co/c3mwuukn5e</v>
      </c>
    </row>
    <row r="11792" spans="1:5" ht="15" customHeight="1" x14ac:dyDescent="0.2">
      <c r="A11792" s="1" t="s">
        <v>23321</v>
      </c>
      <c r="B11792" s="1">
        <v>0</v>
      </c>
      <c r="C11792" s="3">
        <v>44534.944328703707</v>
      </c>
      <c r="D11792" s="1" t="s">
        <v>23322</v>
      </c>
      <c r="E11792" s="1" t="str">
        <f ca="1">IFERROR(__xludf.DUMMYFUNCTION("GOOGLETRANSLATE(A8591 , ""tr"" , ""en"")"),"@drfahrettinkoca @saglikbakanligi Sayin Minister We're hard in Mersin City Hospital Dun Babami datiye Babur ... https://t.co/cabz2x3UIQ")</f>
        <v>@drfahrettinkoca @saglikbakanligi Sayin Minister We're hard in Mersin City Hospital Dun Babami datiye Babur ... https://t.co/cabz2x3UIQ</v>
      </c>
    </row>
    <row r="11793" spans="1:5" ht="15" customHeight="1" x14ac:dyDescent="0.2">
      <c r="A11793" s="1" t="s">
        <v>7770</v>
      </c>
      <c r="B11793" s="1">
        <v>1</v>
      </c>
      <c r="C11793" s="3">
        <v>44534.89634259259</v>
      </c>
      <c r="D11793" s="1" t="s">
        <v>23323</v>
      </c>
      <c r="E11793" s="1" t="str">
        <f ca="1">IFERROR(__xludf.DUMMYFUNCTION("GOOGLETRANSLATE(A8592 , ""tr"" , ""en"")"),"@drfahrettinkoca dietitians are welcomed to assign the assignment to the dietitians Sayin Minister 91 Score of Cardiacy Still Acikta")</f>
        <v>@drfahrettinkoca dietitians are welcomed to assign the assignment to the dietitians Sayin Minister 91 Score of Cardiacy Still Acikta</v>
      </c>
    </row>
    <row r="11794" spans="1:5" ht="15" customHeight="1" x14ac:dyDescent="0.2">
      <c r="A11794" s="1" t="s">
        <v>23324</v>
      </c>
      <c r="B11794" s="1">
        <v>0</v>
      </c>
      <c r="C11794" s="3">
        <v>44534.818506944444</v>
      </c>
      <c r="D11794" s="1" t="s">
        <v>23325</v>
      </c>
      <c r="E11794" s="1" t="str">
        <f ca="1">IFERROR(__xludf.DUMMYFUNCTION("GOOGLETRANSLATE(A8593 , ""tr"" , ""en"")"),"@drfahrettinkoca School Close Fighting My BabaAnnenle")</f>
        <v>@drfahrettinkoca School Close Fighting My BabaAnnenle</v>
      </c>
    </row>
    <row r="11795" spans="1:5" ht="15" customHeight="1" x14ac:dyDescent="0.2">
      <c r="A11795" s="1" t="s">
        <v>23326</v>
      </c>
      <c r="B11795" s="1">
        <v>0</v>
      </c>
      <c r="C11795" s="3">
        <v>44534.815532407411</v>
      </c>
      <c r="D11795" s="1" t="s">
        <v>23327</v>
      </c>
      <c r="E11795" s="1" t="str">
        <f ca="1">IFERROR(__xludf.DUMMYFUNCTION("GOOGLETRANSLATE(A8594 , ""tr"" , ""en"")"),"@drfahrettinkoca @saglikbakanligi Mr. Minister Me and my parents 16 days ago We've skipped the corona 3 vaccines output a ... https://t.co/gyvgsdjkge")</f>
        <v>@drfahrettinkoca @saglikbakanligi Mr. Minister Me and my parents 16 days ago We've skipped the corona 3 vaccines output a ... https://t.co/gyvgsdjkge</v>
      </c>
    </row>
    <row r="11796" spans="1:5" ht="15" customHeight="1" x14ac:dyDescent="0.2">
      <c r="A11796" s="1" t="s">
        <v>23328</v>
      </c>
      <c r="B11796" s="1">
        <v>0</v>
      </c>
      <c r="C11796" s="3">
        <v>44534.786041666666</v>
      </c>
      <c r="D11796" s="1" t="s">
        <v>23329</v>
      </c>
      <c r="E11796" s="1" t="str">
        <f ca="1">IFERROR(__xludf.DUMMYFUNCTION("GOOGLETRANSLATE(A8595 , ""tr"" , ""en"")"),"@drfahrettinkoca How much sin ... very sad depreciation")</f>
        <v>@drfahrettinkoca How much sin ... very sad depreciation</v>
      </c>
    </row>
    <row r="11797" spans="1:5" ht="15" customHeight="1" x14ac:dyDescent="0.2">
      <c r="A11797" s="1" t="s">
        <v>23330</v>
      </c>
      <c r="B11797" s="1">
        <v>0</v>
      </c>
      <c r="C11797" s="3">
        <v>44534.722418981481</v>
      </c>
      <c r="D11797" s="1" t="s">
        <v>23331</v>
      </c>
      <c r="E11797" s="1" t="str">
        <f ca="1">IFERROR(__xludf.DUMMYFUNCTION("GOOGLETRANSLATE(A8596 , ""tr"" , ""en"")"),"@drfahrettinka https://t.co/xmbyuu8qf4")</f>
        <v>@drfahrettinka https://t.co/xmbyuu8qf4</v>
      </c>
    </row>
    <row r="11798" spans="1:5" ht="15" customHeight="1" x14ac:dyDescent="0.2">
      <c r="A11798" s="1" t="s">
        <v>23332</v>
      </c>
      <c r="B11798" s="1">
        <v>1</v>
      </c>
      <c r="C11798" s="3">
        <v>44534.722349537034</v>
      </c>
      <c r="D11798" s="1" t="s">
        <v>23333</v>
      </c>
      <c r="E11798" s="1" t="str">
        <f ca="1">IFERROR(__xludf.DUMMYFUNCTION("GOOGLETRANSLATE(A8597 , ""tr"" , ""en"")"),"@drfahrettinkoca 13 months It's been your hand to your conscience Mr. President Mr. Ministry of employment")</f>
        <v>@drfahrettinkoca 13 months It's been your hand to your conscience Mr. President Mr. Ministry of employment</v>
      </c>
    </row>
    <row r="11799" spans="1:5" ht="15" customHeight="1" x14ac:dyDescent="0.2">
      <c r="A11799" s="1" t="s">
        <v>23334</v>
      </c>
      <c r="B11799" s="1">
        <v>0</v>
      </c>
      <c r="C11799" s="3">
        <v>44534.722222222219</v>
      </c>
      <c r="D11799" s="1" t="s">
        <v>23335</v>
      </c>
      <c r="E11799" s="1" t="str">
        <f ca="1">IFERROR(__xludf.DUMMYFUNCTION("GOOGLETRANSLATE(A8598 , ""tr"" , ""en"")"),"@drfahrettinka 40 thousand healthcare you said the presidential gospel came from you but the guide still didn't come please hear ... https://t.co/yccvf3xsvb")</f>
        <v>@drfahrettinka 40 thousand healthcare you said the presidential gospel came from you but the guide still didn't come please hear ... https://t.co/yccvf3xsvb</v>
      </c>
    </row>
    <row r="11800" spans="1:5" ht="15" customHeight="1" x14ac:dyDescent="0.2">
      <c r="A11800" s="1" t="s">
        <v>23336</v>
      </c>
      <c r="B11800" s="1">
        <v>2</v>
      </c>
      <c r="C11800" s="3">
        <v>44534.710810185185</v>
      </c>
      <c r="D11800" s="1" t="s">
        <v>23337</v>
      </c>
      <c r="E11800" s="1" t="str">
        <f ca="1">IFERROR(__xludf.DUMMYFUNCTION("GOOGLETRANSLATE(A8599 , ""tr"" , ""en"")"),"@drfahrettinkoca Sayin Minister Mersin Sehir Hospital Babami Difths Deals Daddy Dad Tacks At Home Care For Allah")</f>
        <v>@drfahrettinkoca Sayin Minister Mersin Sehir Hospital Babami Difths Deals Daddy Dad Tacks At Home Care For Allah</v>
      </c>
    </row>
    <row r="11801" spans="1:5" ht="15" customHeight="1" x14ac:dyDescent="0.2">
      <c r="A11801" s="1" t="s">
        <v>23338</v>
      </c>
      <c r="B11801" s="1">
        <v>0</v>
      </c>
      <c r="C11801" s="3">
        <v>44534.70716435185</v>
      </c>
      <c r="D11801" s="1" t="s">
        <v>23339</v>
      </c>
      <c r="E11801" s="1" t="str">
        <f ca="1">IFERROR(__xludf.DUMMYFUNCTION("GOOGLETRANSLATE(A8600 , ""tr"" , ""en"")"),"@drfahrettinka https://t.co/sr0kghemdr https://t.co/d9x3a5n8nu https://t.co/41aj1yc8xo https://t.co/w7rz1fwggbi... https://t.co/mvl0ed5w2c")</f>
        <v>@drfahrettinka https://t.co/sr0kghemdr https://t.co/d9x3a5n8nu https://t.co/41aj1yc8xo https://t.co/w7rz1fwggbi... https://t.co/mvl0ed5w2c</v>
      </c>
    </row>
    <row r="11802" spans="1:5" ht="15" customHeight="1" x14ac:dyDescent="0.2">
      <c r="A11802" s="1" t="s">
        <v>23340</v>
      </c>
      <c r="B11802" s="1">
        <v>0</v>
      </c>
      <c r="C11802" s="3">
        <v>44534.699050925927</v>
      </c>
      <c r="D11802" s="1" t="s">
        <v>23341</v>
      </c>
      <c r="E11802" s="1" t="str">
        <f ca="1">IFERROR(__xludf.DUMMYFUNCTION("GOOGLETRANSLATE(A8601 , ""tr"" , ""en"")"),"@drfahrettinkoca why did these pups have not seen as much as Syrian li s Syria.")</f>
        <v>@drfahrettinkoca why did these pups have not seen as much as Syrian li s Syria.</v>
      </c>
    </row>
    <row r="11803" spans="1:5" ht="15" customHeight="1" x14ac:dyDescent="0.2">
      <c r="A11803" s="1" t="s">
        <v>23342</v>
      </c>
      <c r="B11803" s="1">
        <v>0</v>
      </c>
      <c r="C11803" s="3">
        <v>44534.695289351854</v>
      </c>
      <c r="D11803" s="1" t="s">
        <v>23343</v>
      </c>
      <c r="E11803" s="1" t="str">
        <f ca="1">IFERROR(__xludf.DUMMYFUNCTION("GOOGLETRANSLATE(A8602 , ""tr"" , ""en"")"),"@drfahrettinkoca MaharaLahin You have the Minister You came to come along with the Nasil Başardin Vallahi I wonder?")</f>
        <v>@drfahrettinkoca MaharaLahin You have the Minister You came to come along with the Nasil Başardin Vallahi I wonder?</v>
      </c>
    </row>
    <row r="11804" spans="1:5" ht="15" customHeight="1" x14ac:dyDescent="0.2">
      <c r="A11804" s="1" t="s">
        <v>23344</v>
      </c>
      <c r="B11804" s="1">
        <v>0</v>
      </c>
      <c r="C11804" s="3">
        <v>44536.858888888892</v>
      </c>
      <c r="D11804" s="1" t="s">
        <v>23345</v>
      </c>
      <c r="E11804" s="1" t="str">
        <f ca="1">IFERROR(__xludf.DUMMYFUNCTION("GOOGLETRANSLATE(A8603 , ""tr"" , ""en"")"),"@drfahrettinkoca ""Before Ghazwa E Hind, Allah Conveyed The News of My Dreams to Army Chief of Pakistan. Prophet Muh ... https://t.co/sxjtqhsz8p")</f>
        <v>@drfahrettinkoca "Before Ghazwa E Hind, Allah Conveyed The News of My Dreams to Army Chief of Pakistan. Prophet Muh ... https://t.co/sxjtqhsz8p</v>
      </c>
    </row>
    <row r="11805" spans="1:5" ht="15" customHeight="1" x14ac:dyDescent="0.2">
      <c r="A11805" s="1" t="s">
        <v>23346</v>
      </c>
      <c r="B11805" s="1">
        <v>1</v>
      </c>
      <c r="C11805" s="3">
        <v>44537.883229166669</v>
      </c>
      <c r="D11805" s="1" t="s">
        <v>23347</v>
      </c>
      <c r="E11805" s="1" t="str">
        <f ca="1">IFERROR(__xludf.DUMMYFUNCTION("GOOGLETRANSLATE(A8604 , ""tr"" , ""en"")"),"@drfahrettinkoca for Dolls All Treatments in Our Country Not Applicable # ZolgesMasGKKAPSAMINGIRSSUSSUSSMASGKKAPSAMSAMINGIRSE All Families Zo ... https://t.co/mvwudbkfqc")</f>
        <v>@drfahrettinkoca for Dolls All Treatments in Our Country Not Applicable # ZolgesMasGKKAPSAMINGIRSSUSSUSSMASGKKAPSAMSAMINGIRSE All Families Zo ... https://t.co/mvwudbkfqc</v>
      </c>
    </row>
    <row r="11806" spans="1:5" ht="15" customHeight="1" x14ac:dyDescent="0.2">
      <c r="A11806" s="1" t="s">
        <v>23348</v>
      </c>
      <c r="B11806" s="1">
        <v>1</v>
      </c>
      <c r="C11806" s="3">
        <v>44537.877939814818</v>
      </c>
      <c r="D11806" s="1" t="s">
        <v>23349</v>
      </c>
      <c r="E11806" s="1" t="str">
        <f ca="1">IFERROR(__xludf.DUMMYFUNCTION("GOOGLETRANSLATE(A8605 , ""tr"" , ""en"")"),"@drfahrettinkoca # ZOLGESMASGKKAPSAMINGIRSE drug treatment is not applicable in our country. All treatments have been applied ... https://t.co/v9ll9mmtdt")</f>
        <v>@drfahrettinkoca # ZOLGESMASGKKAPSAMINGIRSE drug treatment is not applicable in our country. All treatments have been applied ... https://t.co/v9ll9mmtdt</v>
      </c>
    </row>
    <row r="11807" spans="1:5" ht="15" customHeight="1" x14ac:dyDescent="0.2">
      <c r="A11807" s="1" t="s">
        <v>16850</v>
      </c>
      <c r="B11807" s="1">
        <v>1</v>
      </c>
      <c r="C11807" s="3">
        <v>44537.769062500003</v>
      </c>
      <c r="D11807" s="1" t="s">
        <v>23350</v>
      </c>
      <c r="E11807" s="1" t="str">
        <f ca="1">IFERROR(__xludf.DUMMYFUNCTION("GOOGLETRANSLATE(A8606 , ""tr"" , ""en"")"),"@drfahrettinkoca flu vaccine people cavid-19 a very quickly caught. Body should not fall out of strength.")</f>
        <v>@drfahrettinkoca flu vaccine people cavid-19 a very quickly caught. Body should not fall out of strength.</v>
      </c>
    </row>
    <row r="11808" spans="1:5" ht="15" customHeight="1" x14ac:dyDescent="0.2">
      <c r="A11808" s="1" t="s">
        <v>23351</v>
      </c>
      <c r="B11808" s="1">
        <v>0</v>
      </c>
      <c r="C11808" s="3">
        <v>44539.384328703702</v>
      </c>
      <c r="D11808" s="1" t="s">
        <v>23352</v>
      </c>
      <c r="E11808" s="1" t="str">
        <f ca="1">IFERROR(__xludf.DUMMYFUNCTION("GOOGLETRANSLATE(A8607 , ""tr"" , ""en"")"),"@drfahrettinkoca @saglikbakanligi Mr. Minister where you get your Gitlu Located and MILLI vaccine")</f>
        <v>@drfahrettinkoca @saglikbakanligi Mr. Minister where you get your Gitlu Located and MILLI vaccine</v>
      </c>
    </row>
    <row r="11809" spans="1:5" ht="15" customHeight="1" x14ac:dyDescent="0.2">
      <c r="A11809" s="1" t="s">
        <v>23353</v>
      </c>
      <c r="B11809" s="1">
        <v>0</v>
      </c>
      <c r="C11809" s="3">
        <v>44541.870520833334</v>
      </c>
      <c r="D11809" s="1" t="s">
        <v>23354</v>
      </c>
      <c r="E11809" s="1" t="str">
        <f ca="1">IFERROR(__xludf.DUMMYFUNCTION("GOOGLETRANSLATE(A8608 , ""tr"" , ""en"")"),"@drfahrettinkoca @drfahrettinkoca @drfahrettinkoca @rterdogan How are you people blacking our lives We are your teenage Kidh ... https://t.co/ucosqrj4mz")</f>
        <v>@drfahrettinkoca @drfahrettinkoca @drfahrettinkoca @rterdogan How are you people blacking our lives We are your teenage Kidh ... https://t.co/ucosqrj4mz</v>
      </c>
    </row>
    <row r="11810" spans="1:5" ht="15" customHeight="1" x14ac:dyDescent="0.2">
      <c r="A11810" s="1" t="s">
        <v>23355</v>
      </c>
      <c r="B11810" s="1">
        <v>0</v>
      </c>
      <c r="C11810" s="3">
        <v>44534.949664351851</v>
      </c>
      <c r="D11810" s="1" t="s">
        <v>23356</v>
      </c>
      <c r="E11810" s="1" t="str">
        <f ca="1">IFERROR(__xludf.DUMMYFUNCTION("GOOGLETRANSLATE(A8609 , ""tr"" , ""en"")"),"@drfahrettinkoca Phase Works Unending Asilari Positive Results Alindigi I asked for .. Positive SO ... https://t.co/aqq5w8ui3e")</f>
        <v>@drfahrettinkoca Phase Works Unending Asilari Positive Results Alindigi I asked for .. Positive SO ... https://t.co/aqq5w8ui3e</v>
      </c>
    </row>
    <row r="11811" spans="1:5" ht="15" customHeight="1" x14ac:dyDescent="0.2">
      <c r="A11811" s="1" t="s">
        <v>7770</v>
      </c>
      <c r="B11811" s="1">
        <v>0</v>
      </c>
      <c r="C11811" s="3">
        <v>44534.896122685182</v>
      </c>
      <c r="D11811" s="1" t="s">
        <v>23357</v>
      </c>
      <c r="E11811" s="1" t="str">
        <f ca="1">IFERROR(__xludf.DUMMYFUNCTION("GOOGLETRANSLATE(A8610 , ""tr"" , ""en"")"),"@drfahrettinkoca dietitians are welcomed to assign the assignment to the dietitians Sayin Minister 91 Score of Cardiacy Still Acikta")</f>
        <v>@drfahrettinkoca dietitians are welcomed to assign the assignment to the dietitians Sayin Minister 91 Score of Cardiacy Still Acikta</v>
      </c>
    </row>
    <row r="11812" spans="1:5" ht="15" customHeight="1" x14ac:dyDescent="0.2">
      <c r="A11812" s="1" t="s">
        <v>23243</v>
      </c>
      <c r="B11812" s="1">
        <v>0</v>
      </c>
      <c r="C11812" s="3">
        <v>44534.866527777776</v>
      </c>
      <c r="D11812" s="1" t="s">
        <v>23358</v>
      </c>
      <c r="E11812" s="1" t="str">
        <f ca="1">IFERROR(__xludf.DUMMYFUNCTION("GOOGLETRANSLATE(A8611 , ""tr"" , ""en"")"),"@drfahrettinka https://t.co/45f8dv7nys")</f>
        <v>@drfahrettinka https://t.co/45f8dv7nys</v>
      </c>
    </row>
    <row r="11813" spans="1:5" ht="15" customHeight="1" x14ac:dyDescent="0.2">
      <c r="A11813" s="1" t="s">
        <v>23359</v>
      </c>
      <c r="B11813" s="1">
        <v>0</v>
      </c>
      <c r="C11813" s="3">
        <v>44534.775277777779</v>
      </c>
      <c r="D11813" s="1" t="s">
        <v>23360</v>
      </c>
      <c r="E11813" s="1" t="str">
        <f ca="1">IFERROR(__xludf.DUMMYFUNCTION("GOOGLETRANSLATE(A8612 , ""tr"" , ""en"")"),"@drfahrettinkoca @saglikbakanligi You will pay how these children and their families will pay.To Covid vaccine also ... https://t.co/3ogm5m3twh")</f>
        <v>@drfahrettinkoca @saglikbakanligi You will pay how these children and their families will pay.To Covid vaccine also ... https://t.co/3ogm5m3twh</v>
      </c>
    </row>
    <row r="11814" spans="1:5" ht="15" customHeight="1" x14ac:dyDescent="0.2">
      <c r="A11814" s="1" t="s">
        <v>23361</v>
      </c>
      <c r="B11814" s="1">
        <v>0</v>
      </c>
      <c r="C11814" s="3">
        <v>44534.732430555552</v>
      </c>
      <c r="D11814" s="1" t="s">
        <v>23362</v>
      </c>
      <c r="E11814" s="1" t="str">
        <f ca="1">IFERROR(__xludf.DUMMYFUNCTION("GOOGLETRANSLATE(A8613 , ""tr"" , ""en"")"),"@drfahrettinkoca @drfahrettinkoca ie SMA Li can be to our children and hope you will have to be hope ... https://t.co/d6weax74ox")</f>
        <v>@drfahrettinkoca @drfahrettinkoca ie SMA Li can be to our children and hope you will have to be hope ... https://t.co/d6weax74ox</v>
      </c>
    </row>
    <row r="11815" spans="1:5" ht="15" customHeight="1" x14ac:dyDescent="0.2">
      <c r="A11815" s="1" t="s">
        <v>23363</v>
      </c>
      <c r="B11815" s="1">
        <v>0</v>
      </c>
      <c r="C11815" s="3">
        <v>44534.731111111112</v>
      </c>
      <c r="D11815" s="1" t="s">
        <v>23364</v>
      </c>
      <c r="E11815" s="1" t="str">
        <f ca="1">IFERROR(__xludf.DUMMYFUNCTION("GOOGLETRANSLATE(A8614 , ""tr"" , ""en"")"),"@drfahrettinka https://t.co/6uitu9e15b")</f>
        <v>@drfahrettinka https://t.co/6uitu9e15b</v>
      </c>
    </row>
    <row r="11816" spans="1:5" ht="15" customHeight="1" x14ac:dyDescent="0.2">
      <c r="A11816" s="1" t="s">
        <v>23365</v>
      </c>
      <c r="B11816" s="1">
        <v>0</v>
      </c>
      <c r="C11816" s="3">
        <v>44534.731099537035</v>
      </c>
      <c r="D11816" s="1" t="s">
        <v>23366</v>
      </c>
      <c r="E11816" s="1" t="str">
        <f ca="1">IFERROR(__xludf.DUMMYFUNCTION("GOOGLETRANSLATE(A8615 , ""tr"" , ""en"")"),"@drfahrettinkoca Izmir, I went to Heart Vascular Surgery to Tepecik Education Research Hospital Varis Surgery GE ... https://t.co/0ofpzuIosq")</f>
        <v>@drfahrettinkoca Izmir, I went to Heart Vascular Surgery to Tepecik Education Research Hospital Varis Surgery GE ... https://t.co/0ofpzuIosq</v>
      </c>
    </row>
    <row r="11817" spans="1:5" ht="15" customHeight="1" x14ac:dyDescent="0.2">
      <c r="A11817" s="1" t="s">
        <v>23367</v>
      </c>
      <c r="B11817" s="1">
        <v>0</v>
      </c>
      <c r="C11817" s="3">
        <v>44534.716053240743</v>
      </c>
      <c r="D11817" s="1" t="s">
        <v>23368</v>
      </c>
      <c r="E11817" s="1" t="str">
        <f ca="1">IFERROR(__xludf.DUMMYFUNCTION("GOOGLETRANSLATE(A8616 , ""tr"" , ""en"")"),"@drfahrettinkoca Your ministry does not do anything other than throwing the ball on the ball. Fancy lafs empty sequel.")</f>
        <v>@drfahrettinkoca Your ministry does not do anything other than throwing the ball on the ball. Fancy lafs empty sequel.</v>
      </c>
    </row>
    <row r="11818" spans="1:5" ht="15" customHeight="1" x14ac:dyDescent="0.2">
      <c r="A11818" s="1" t="s">
        <v>23369</v>
      </c>
      <c r="B11818" s="1">
        <v>0</v>
      </c>
      <c r="C11818" s="3">
        <v>44534.714733796296</v>
      </c>
      <c r="D11818" s="1" t="s">
        <v>23370</v>
      </c>
      <c r="E11818" s="1" t="str">
        <f ca="1">IFERROR(__xludf.DUMMYFUNCTION("GOOGLETRANSLATE(A8617 , ""tr"" , ""en"")"),"@drfahrettinka Mr. Minister but I don't see an effort I need to be done such a quick thing in my idea sm ... https://t.co/su3t7djvj9")</f>
        <v>@drfahrettinka Mr. Minister but I don't see an effort I need to be done such a quick thing in my idea sm ... https://t.co/su3t7djvj9</v>
      </c>
    </row>
    <row r="11819" spans="1:5" ht="15" customHeight="1" x14ac:dyDescent="0.2">
      <c r="A11819" s="1" t="s">
        <v>23371</v>
      </c>
      <c r="B11819" s="1">
        <v>0</v>
      </c>
      <c r="C11819" s="3">
        <v>44536.861435185187</v>
      </c>
      <c r="D11819" s="1" t="s">
        <v>23372</v>
      </c>
      <c r="E11819" s="1" t="str">
        <f ca="1">IFERROR(__xludf.DUMMYFUNCTION("GOOGLETRANSLATE(A8618 , ""tr"" , ""en"")"),"@drfahrettinkoca Muhammad Qasim Ibn Abdul Karim Has Seen Many Dreams in Which Allah and Prophet Muhammad (PBUH) Adv ... https://t.co/ahufn8lama")</f>
        <v>@drfahrettinkoca Muhammad Qasim Ibn Abdul Karim Has Seen Many Dreams in Which Allah and Prophet Muhammad (PBUH) Adv ... https://t.co/ahufn8lama</v>
      </c>
    </row>
    <row r="11820" spans="1:5" ht="15" customHeight="1" x14ac:dyDescent="0.2">
      <c r="A11820" s="1" t="s">
        <v>23373</v>
      </c>
      <c r="B11820" s="1">
        <v>0</v>
      </c>
      <c r="C11820" s="3">
        <v>44535.712164351855</v>
      </c>
      <c r="D11820" s="1" t="s">
        <v>23374</v>
      </c>
      <c r="E11820" s="1" t="str">
        <f ca="1">IFERROR(__xludf.DUMMYFUNCTION("GOOGLETRANSLATE(A8619 , ""tr"" , ""en"")"),"Why @drfahrettinkoca sma disease becomes common?")</f>
        <v>Why @drfahrettinkoca sma disease becomes common?</v>
      </c>
    </row>
    <row r="11821" spans="1:5" ht="15" customHeight="1" x14ac:dyDescent="0.2">
      <c r="A11821" s="1" t="s">
        <v>23375</v>
      </c>
      <c r="B11821" s="1">
        <v>0</v>
      </c>
      <c r="C11821" s="3">
        <v>44537.722615740742</v>
      </c>
      <c r="D11821" s="1" t="s">
        <v>23376</v>
      </c>
      <c r="E11821" s="1" t="str">
        <f ca="1">IFERROR(__xludf.DUMMYFUNCTION("GOOGLETRANSLATE(A8620 , ""tr"" , ""en"")"),"@drfahrettinkoca SMA scan newly married but will be valid for couples who do not have children?")</f>
        <v>@drfahrettinkoca SMA scan newly married but will be valid for couples who do not have children?</v>
      </c>
    </row>
    <row r="11822" spans="1:5" ht="15" customHeight="1" x14ac:dyDescent="0.2">
      <c r="A11822" s="1" t="s">
        <v>23377</v>
      </c>
      <c r="B11822" s="1">
        <v>0</v>
      </c>
      <c r="C11822" s="3">
        <v>44541.87059027778</v>
      </c>
      <c r="D11822" s="1" t="s">
        <v>23378</v>
      </c>
      <c r="E11822" s="1" t="str">
        <f ca="1">IFERROR(__xludf.DUMMYFUNCTION("GOOGLETRANSLATE(A8621 , ""tr"" , ""en"")"),"@drfahrettinkoca @drfahrettinkoca @drfahrettinkoca @rterdogan how are you people darken our youth our koney ... https://t.co/8flewfybd6")</f>
        <v>@drfahrettinkoca @drfahrettinkoca @drfahrettinkoca @rterdogan how are you people darken our youth our koney ... https://t.co/8flewfybd6</v>
      </c>
    </row>
    <row r="11823" spans="1:5" ht="15" customHeight="1" x14ac:dyDescent="0.2">
      <c r="A11823" s="1" t="s">
        <v>7770</v>
      </c>
      <c r="B11823" s="1">
        <v>1</v>
      </c>
      <c r="C11823" s="3">
        <v>44534.895729166667</v>
      </c>
      <c r="D11823" s="1" t="s">
        <v>23379</v>
      </c>
      <c r="E11823" s="1" t="str">
        <f ca="1">IFERROR(__xludf.DUMMYFUNCTION("GOOGLETRANSLATE(A8622 , ""tr"" , ""en"")"),"@drfahrettinkoca dietitians are welcomed to assign the assignment to the dietitians Sayin Minister 91 Score of Cardiacy Still Acikta")</f>
        <v>@drfahrettinkoca dietitians are welcomed to assign the assignment to the dietitians Sayin Minister 91 Score of Cardiacy Still Acikta</v>
      </c>
    </row>
    <row r="11824" spans="1:5" ht="15" customHeight="1" x14ac:dyDescent="0.2">
      <c r="A11824" s="1" t="s">
        <v>23380</v>
      </c>
      <c r="B11824" s="1">
        <v>0</v>
      </c>
      <c r="C11824" s="3">
        <v>44534.861400462964</v>
      </c>
      <c r="D11824" s="1" t="s">
        <v>23381</v>
      </c>
      <c r="E11824" s="1" t="str">
        <f ca="1">IFERROR(__xludf.DUMMYFUNCTION("GOOGLETRANSLATE(A8623 , ""tr"" , ""en"")"),"@drfahrettinkoca zolgensma We have no news when we are met in our country?")</f>
        <v>@drfahrettinkoca zolgensma We have no news when we are met in our country?</v>
      </c>
    </row>
    <row r="11825" spans="1:5" ht="15" customHeight="1" x14ac:dyDescent="0.2">
      <c r="A11825" s="1" t="s">
        <v>23382</v>
      </c>
      <c r="B11825" s="1">
        <v>0</v>
      </c>
      <c r="C11825" s="3">
        <v>44534.799293981479</v>
      </c>
      <c r="D11825" s="1" t="s">
        <v>23383</v>
      </c>
      <c r="E11825" s="1" t="str">
        <f ca="1">IFERROR(__xludf.DUMMYFUNCTION("GOOGLETRANSLATE(A8624 , ""tr"" , ""en"")"),"@drfahrettinkoca Yahu TVs in the country which country are held in size. You are instrumental to instrument the members of the cruelty.")</f>
        <v>@drfahrettinkoca Yahu TVs in the country which country are held in size. You are instrumental to instrument the members of the cruelty.</v>
      </c>
    </row>
    <row r="11826" spans="1:5" ht="15" customHeight="1" x14ac:dyDescent="0.2">
      <c r="A11826" s="1" t="s">
        <v>23384</v>
      </c>
      <c r="B11826" s="1">
        <v>0</v>
      </c>
      <c r="C11826" s="3">
        <v>44534.790324074071</v>
      </c>
      <c r="D11826" s="1" t="s">
        <v>23385</v>
      </c>
      <c r="E11826" s="1" t="str">
        <f ca="1">IFERROR(__xludf.DUMMYFUNCTION("GOOGLETRANSLATE(A8625 , ""tr"" , ""en"")"),"@drfahrettinkoca Allah bless you, the information you have is the obstacle that you can not be able to public for political reasons ... https://t.co/vhxkydqttt")</f>
        <v>@drfahrettinkoca Allah bless you, the information you have is the obstacle that you can not be able to public for political reasons ... https://t.co/vhxkydqttt</v>
      </c>
    </row>
    <row r="11827" spans="1:5" ht="15" customHeight="1" x14ac:dyDescent="0.2">
      <c r="A11827" s="1" t="s">
        <v>23386</v>
      </c>
      <c r="B11827" s="1">
        <v>0</v>
      </c>
      <c r="C11827" s="3">
        <v>44534.779340277775</v>
      </c>
      <c r="D11827" s="1" t="s">
        <v>23387</v>
      </c>
      <c r="E11827" s="1" t="str">
        <f ca="1">IFERROR(__xludf.DUMMYFUNCTION("GOOGLETRANSLATE(A8626 , ""tr"" , ""en"")"),"@drfahrettinkoca #It guide to the healthcare now explained")</f>
        <v>@drfahrettinkoca #It guide to the healthcare now explained</v>
      </c>
    </row>
    <row r="11828" spans="1:5" ht="15" customHeight="1" x14ac:dyDescent="0.2">
      <c r="A11828" s="1" t="s">
        <v>23388</v>
      </c>
      <c r="B11828" s="1">
        <v>0</v>
      </c>
      <c r="C11828" s="3">
        <v>44534.760601851849</v>
      </c>
      <c r="D11828" s="1" t="s">
        <v>23389</v>
      </c>
      <c r="E11828" s="1" t="str">
        <f ca="1">IFERROR(__xludf.DUMMYFUNCTION("GOOGLETRANSLATE(A8627 , ""tr"" , ""en"")"),"@drfahrettinkoca You are coming to fill again Mr. Minister, please pay attention to the surroundings.")</f>
        <v>@drfahrettinkoca You are coming to fill again Mr. Minister, please pay attention to the surroundings.</v>
      </c>
    </row>
    <row r="11829" spans="1:5" ht="15" customHeight="1" x14ac:dyDescent="0.2">
      <c r="A11829" s="1" t="s">
        <v>23390</v>
      </c>
      <c r="B11829" s="1">
        <v>0</v>
      </c>
      <c r="C11829" s="3">
        <v>44534.747349537036</v>
      </c>
      <c r="D11829" s="1" t="s">
        <v>23391</v>
      </c>
      <c r="E11829" s="1" t="str">
        <f ca="1">IFERROR(__xludf.DUMMYFUNCTION("GOOGLETRANSLATE(A8628 , ""tr"" , ""en"")"),"@drfahrettinkoca is staying late for these dolls Mr. Ministry, the most effective medicine is the most effective drug what zolgensma ... https://t.co/8mpblfdayo")</f>
        <v>@drfahrettinkoca is staying late for these dolls Mr. Ministry, the most effective medicine is the most effective drug what zolgensma ... https://t.co/8mpblfdayo</v>
      </c>
    </row>
    <row r="11830" spans="1:5" ht="15" customHeight="1" x14ac:dyDescent="0.2">
      <c r="A11830" s="1" t="s">
        <v>23392</v>
      </c>
      <c r="B11830" s="1">
        <v>0</v>
      </c>
      <c r="C11830" s="3">
        <v>44534.741655092592</v>
      </c>
      <c r="D11830" s="1" t="s">
        <v>23393</v>
      </c>
      <c r="E11830" s="1" t="str">
        <f ca="1">IFERROR(__xludf.DUMMYFUNCTION("GOOGLETRANSLATE(A8629 , ""tr"" , ""en"")"),"@drfahrettinka Mr. Fahrettin Bey is really impossible not to see their efforts and services to the vitia ....Fakat is the latest lake ... https://t.co/9mcfbqjwel")</f>
        <v>@drfahrettinka Mr. Fahrettin Bey is really impossible not to see their efforts and services to the vitia ....Fakat is the latest lake ... https://t.co/9mcfbqjwel</v>
      </c>
    </row>
    <row r="11831" spans="1:5" ht="15" customHeight="1" x14ac:dyDescent="0.2">
      <c r="A11831" s="1" t="s">
        <v>23394</v>
      </c>
      <c r="B11831" s="1">
        <v>0</v>
      </c>
      <c r="C11831" s="3">
        <v>44534.73945601852</v>
      </c>
      <c r="D11831" s="1" t="s">
        <v>23395</v>
      </c>
      <c r="E11831" s="1" t="str">
        <f ca="1">IFERROR(__xludf.DUMMYFUNCTION("GOOGLETRANSLATE(A8630 , ""tr"" , ""en"")"),"@drfahrettinka https://t.co/ataoclhued")</f>
        <v>@drfahrettinka https://t.co/ataoclhued</v>
      </c>
    </row>
    <row r="11832" spans="1:5" ht="15" customHeight="1" x14ac:dyDescent="0.2">
      <c r="A11832" s="1" t="s">
        <v>23396</v>
      </c>
      <c r="B11832" s="1">
        <v>0</v>
      </c>
      <c r="C11832" s="3">
        <v>44534.720370370371</v>
      </c>
      <c r="D11832" s="1" t="s">
        <v>23397</v>
      </c>
      <c r="E11832" s="1" t="str">
        <f ca="1">IFERROR(__xludf.DUMMYFUNCTION("GOOGLETRANSLATE(A8631 , ""tr"" , ""en"")"),"@drfahrettinkoca Ministry of view of the genetic therapy should not be compared with the short-term effect of a drug. Let's meet ... https://t.co/jdbkg3mfg4")</f>
        <v>@drfahrettinkoca Ministry of view of the genetic therapy should not be compared with the short-term effect of a drug. Let's meet ... https://t.co/jdbkg3mfg4</v>
      </c>
    </row>
    <row r="11833" spans="1:5" ht="15" customHeight="1" x14ac:dyDescent="0.2">
      <c r="A11833" s="1" t="s">
        <v>23398</v>
      </c>
      <c r="B11833" s="1">
        <v>0</v>
      </c>
      <c r="C11833" s="3">
        <v>44534.714629629627</v>
      </c>
      <c r="D11833" s="1" t="s">
        <v>23399</v>
      </c>
      <c r="E11833" s="1" t="str">
        <f ca="1">IFERROR(__xludf.DUMMYFUNCTION("GOOGLETRANSLATE(A8632 , ""tr"" , ""en"")"),"@drfahrettinkoca Did you get confirmation for description?")</f>
        <v>@drfahrettinkoca Did you get confirmation for description?</v>
      </c>
    </row>
    <row r="11834" spans="1:5" ht="15" customHeight="1" x14ac:dyDescent="0.2">
      <c r="A11834" s="1" t="s">
        <v>23400</v>
      </c>
      <c r="B11834" s="1">
        <v>0</v>
      </c>
      <c r="C11834" s="3">
        <v>44534.707928240743</v>
      </c>
      <c r="D11834" s="1" t="s">
        <v>23401</v>
      </c>
      <c r="E11834" s="1" t="str">
        <f ca="1">IFERROR(__xludf.DUMMYFUNCTION("GOOGLETRANSLATE(A8633 , ""tr"" , ""en"")"),"@drfahrettinkoca Mr. Ministry of Fate of 9 million in prisoners of the prisoners of the prisoner of the prisoners of fate ... https://t.co/LSW1QCHTIB")</f>
        <v>@drfahrettinkoca Mr. Ministry of Fate of 9 million in prisoners of the prisoners of the prisoner of the prisoners of fate ... https://t.co/LSW1QCHTIB</v>
      </c>
    </row>
    <row r="11835" spans="1:5" ht="15" customHeight="1" x14ac:dyDescent="0.2">
      <c r="A11835" s="1" t="s">
        <v>23402</v>
      </c>
      <c r="B11835" s="1">
        <v>0</v>
      </c>
      <c r="C11835" s="3">
        <v>44534.696689814817</v>
      </c>
      <c r="D11835" s="1" t="s">
        <v>23403</v>
      </c>
      <c r="E11835" s="1" t="str">
        <f ca="1">IFERROR(__xludf.DUMMYFUNCTION("GOOGLETRANSLATE(A8634 , ""tr"" , ""en"")"),"@drfahrettinkoca Malatya Turgut Özal Medicine Center 4D Public workers continue to take minimum wages. SA ... https://t.co/airzaenz6u")</f>
        <v>@drfahrettinkoca Malatya Turgut Özal Medicine Center 4D Public workers continue to take minimum wages. SA ... https://t.co/airzaenz6u</v>
      </c>
    </row>
    <row r="11836" spans="1:5" ht="15" customHeight="1" x14ac:dyDescent="0.2">
      <c r="A11836" s="1" t="s">
        <v>23404</v>
      </c>
      <c r="B11836" s="1">
        <v>0</v>
      </c>
      <c r="C11836" s="3">
        <v>44536.864062499997</v>
      </c>
      <c r="D11836" s="1" t="s">
        <v>23405</v>
      </c>
      <c r="E11836" s="1" t="str">
        <f ca="1">IFERROR(__xludf.DUMMYFUNCTION("GOOGLETRANSLATE(A8635 , ""tr"" , ""en"")"),"@drfahrettinkoca where is iMam Al-Mahvedi? Are We Not Living in The Times Mentioned by Prophet Muhammad Saw? The Time ... https://t.co/10qvzcu8wz")</f>
        <v>@drfahrettinkoca where is iMam Al-Mahvedi? Are We Not Living in The Times Mentioned by Prophet Muhammad Saw? The Time ... https://t.co/10qvzcu8wz</v>
      </c>
    </row>
    <row r="11837" spans="1:5" ht="15" customHeight="1" x14ac:dyDescent="0.2">
      <c r="A11837" s="1" t="s">
        <v>23406</v>
      </c>
      <c r="B11837" s="1">
        <v>0</v>
      </c>
      <c r="C11837" s="3">
        <v>44535.900173611109</v>
      </c>
      <c r="D11837" s="1" t="s">
        <v>23407</v>
      </c>
      <c r="E11837" s="1" t="str">
        <f ca="1">IFERROR(__xludf.DUMMYFUNCTION("GOOGLETRANSLATE(A8636 , ""tr"" , ""en"")"),"@drfahrettinkoca Sayin Minister, the patient diapers used by the disabled people and probe participation fees are increasing every month. We want support from the Ministry.")</f>
        <v>@drfahrettinkoca Sayin Minister, the patient diapers used by the disabled people and probe participation fees are increasing every month. We want support from the Ministry.</v>
      </c>
    </row>
    <row r="11838" spans="1:5" ht="15" customHeight="1" x14ac:dyDescent="0.2">
      <c r="A11838" s="1" t="s">
        <v>23408</v>
      </c>
      <c r="B11838" s="1">
        <v>0</v>
      </c>
      <c r="C11838" s="3">
        <v>44534.885208333333</v>
      </c>
      <c r="D11838" s="1" t="s">
        <v>23409</v>
      </c>
      <c r="E11838" s="1" t="str">
        <f ca="1">IFERROR(__xludf.DUMMYFUNCTION("GOOGLETRANSLATE(A8637 , ""tr"" , ""en"")"),"@drfahrettinkoca @ lord_1979 When using these phrases What are you doing in this State for disabled people ... https://t.co/hdxvl2mk6x")</f>
        <v>@drfahrettinkoca @ lord_1979 When using these phrases What are you doing in this State for disabled people ... https://t.co/hdxvl2mk6x</v>
      </c>
    </row>
    <row r="11839" spans="1:5" ht="15" customHeight="1" x14ac:dyDescent="0.2">
      <c r="A11839" s="1" t="s">
        <v>23410</v>
      </c>
      <c r="B11839" s="1">
        <v>0</v>
      </c>
      <c r="C11839" s="3">
        <v>44534.876828703702</v>
      </c>
      <c r="D11839" s="1" t="s">
        <v>23411</v>
      </c>
      <c r="E11839" s="1" t="str">
        <f ca="1">IFERROR(__xludf.DUMMYFUNCTION("GOOGLETRANSLATE(A8638 , ""tr"" , ""en"")"),"@drfahrettinkoca 🙏🏻👍")</f>
        <v>@drfahrettinkoca 🙏🏻👍</v>
      </c>
    </row>
    <row r="11840" spans="1:5" ht="15" customHeight="1" x14ac:dyDescent="0.2">
      <c r="A11840" s="1" t="s">
        <v>23412</v>
      </c>
      <c r="B11840" s="1">
        <v>0</v>
      </c>
      <c r="C11840" s="3">
        <v>44534.838206018518</v>
      </c>
      <c r="D11840" s="1" t="s">
        <v>23413</v>
      </c>
      <c r="E11840" s="1" t="str">
        <f ca="1">IFERROR(__xludf.DUMMYFUNCTION("GOOGLETRANSLATE(A8639 , ""tr"" , ""en"")"),"@drfahrettinkoca guide is explained anymore Mr. Minister. We want high and fair numbers ☢️👌🏻")</f>
        <v>@drfahrettinkoca guide is explained anymore Mr. Minister. We want high and fair numbers ☢️👌🏻</v>
      </c>
    </row>
    <row r="11841" spans="1:5" ht="15" customHeight="1" x14ac:dyDescent="0.2">
      <c r="A11841" s="1" t="s">
        <v>23414</v>
      </c>
      <c r="B11841" s="1">
        <v>0</v>
      </c>
      <c r="C11841" s="3">
        <v>44534.832997685182</v>
      </c>
      <c r="D11841" s="1" t="s">
        <v>23415</v>
      </c>
      <c r="E11841" s="1" t="str">
        <f ca="1">IFERROR(__xludf.DUMMYFUNCTION("GOOGLETRANSLATE(A8640 , ""tr"" , ""en"")"),"@drfahrettinkoca KPSS Healthiers are stemmed while the staff are given to EKPSS healthcare people who have been not given in 4 years when this is ... Https://t.co/lsgdhvmdrj")</f>
        <v>@drfahrettinkoca KPSS Healthiers are stemmed while the staff are given to EKPSS healthcare people who have been not given in 4 years when this is ... Https://t.co/lsgdhvmdrj</v>
      </c>
    </row>
    <row r="11842" spans="1:5" ht="15" customHeight="1" x14ac:dyDescent="0.2">
      <c r="A11842" s="1" t="s">
        <v>23416</v>
      </c>
      <c r="B11842" s="1">
        <v>1</v>
      </c>
      <c r="C11842" s="3">
        <v>44533.98715277778</v>
      </c>
      <c r="D11842" s="1" t="s">
        <v>23417</v>
      </c>
      <c r="E11842" s="1" t="str">
        <f ca="1">IFERROR(__xludf.DUMMYFUNCTION("GOOGLETRANSLATE(A8641 , ""tr"" , ""en"")"),"@drfahrettinkoca did you get permission to throw tweet")</f>
        <v>@drfahrettinkoca did you get permission to throw tweet</v>
      </c>
    </row>
    <row r="11843" spans="1:5" ht="15" customHeight="1" x14ac:dyDescent="0.2">
      <c r="A11843" s="1" t="s">
        <v>23418</v>
      </c>
      <c r="B11843" s="1">
        <v>0</v>
      </c>
      <c r="C11843" s="3">
        <v>44533.986250000002</v>
      </c>
      <c r="D11843" s="1" t="s">
        <v>23419</v>
      </c>
      <c r="E11843" s="1" t="str">
        <f ca="1">IFERROR(__xludf.DUMMYFUNCTION("GOOGLETRANSLATE(A8642 , ""tr"" , ""en"")"),"@drfahrettinka Mr. Ministry of hearing disabled people need no rights to hearing aid in the hearing aid ... https://t.co/w3xvozms1b")</f>
        <v>@drfahrettinka Mr. Ministry of hearing disabled people need no rights to hearing aid in the hearing aid ... https://t.co/w3xvozms1b</v>
      </c>
    </row>
    <row r="11844" spans="1:5" ht="15" customHeight="1" x14ac:dyDescent="0.2">
      <c r="A11844" s="1" t="s">
        <v>23420</v>
      </c>
      <c r="B11844" s="1">
        <v>0</v>
      </c>
      <c r="C11844" s="3">
        <v>44533.975856481484</v>
      </c>
      <c r="D11844" s="1" t="s">
        <v>23421</v>
      </c>
      <c r="E11844" s="1" t="str">
        <f ca="1">IFERROR(__xludf.DUMMYFUNCTION("GOOGLETRANSLATE(A8643 , ""tr"" , ""en"")"),"@drfahrettinkoca assignment when will i count")</f>
        <v>@drfahrettinkoca assignment when will i count</v>
      </c>
    </row>
    <row r="11845" spans="1:5" ht="15" customHeight="1" x14ac:dyDescent="0.2">
      <c r="A11845" s="1" t="s">
        <v>23422</v>
      </c>
      <c r="B11845" s="1">
        <v>0</v>
      </c>
      <c r="C11845" s="3">
        <v>44533.970960648148</v>
      </c>
      <c r="D11845" s="1" t="s">
        <v>23423</v>
      </c>
      <c r="E11845" s="1" t="str">
        <f ca="1">IFERROR(__xludf.DUMMYFUNCTION("GOOGLETRANSLATE(A8644 , ""tr"" , ""en"")"),"@drfahrettinkoca you drove my disabled bac before you get it off work. Mobing first to the court to apply the court to the court ... https://t.co/uljmxu85da")</f>
        <v>@drfahrettinkoca you drove my disabled bac before you get it off work. Mobing first to the court to apply the court to the court ... https://t.co/uljmxu85da</v>
      </c>
    </row>
    <row r="11846" spans="1:5" ht="15" customHeight="1" x14ac:dyDescent="0.2">
      <c r="A11846" s="1" t="s">
        <v>23424</v>
      </c>
      <c r="B11846" s="1">
        <v>0</v>
      </c>
      <c r="C11846" s="3">
        <v>44533.946979166663</v>
      </c>
      <c r="D11846" s="1" t="s">
        <v>23425</v>
      </c>
      <c r="E11846" s="1" t="str">
        <f ca="1">IFERROR(__xludf.DUMMYFUNCTION("GOOGLETRANSLATE(A8645 , ""tr"" , ""en"")"),"@DRFAHRETTINKA #PFIZERHHESAPVER #PFIZERHHESAPVER")</f>
        <v>@DRFAHRETTINKA #PFIZERHHESAPVER #PFIZERHHESAPVER</v>
      </c>
    </row>
    <row r="11847" spans="1:5" ht="15" customHeight="1" x14ac:dyDescent="0.2">
      <c r="A11847" s="1" t="s">
        <v>23426</v>
      </c>
      <c r="B11847" s="1">
        <v>1</v>
      </c>
      <c r="C11847" s="3">
        <v>44533.934664351851</v>
      </c>
      <c r="D11847" s="1" t="s">
        <v>23427</v>
      </c>
      <c r="E11847" s="1" t="str">
        <f ca="1">IFERROR(__xludf.DUMMYFUNCTION("GOOGLETRANSLATE(A8646 , ""tr"" , ""en"")"),"@drfahrettinkoca Celebrate! You do not celebrate the share of the participation in the disabled people !!!")</f>
        <v>@drfahrettinkoca Celebrate! You do not celebrate the share of the participation in the disabled people !!!</v>
      </c>
    </row>
    <row r="11848" spans="1:5" ht="15" customHeight="1" x14ac:dyDescent="0.2">
      <c r="A11848" s="1" t="s">
        <v>23428</v>
      </c>
      <c r="B11848" s="1">
        <v>3</v>
      </c>
      <c r="C11848" s="3">
        <v>44533.914699074077</v>
      </c>
      <c r="D11848" s="1" t="s">
        <v>23429</v>
      </c>
      <c r="E11848" s="1" t="str">
        <f ca="1">IFERROR(__xludf.DUMMYFUNCTION("GOOGLETRANSLATE(A8647 , ""tr"" , ""en"")"),"@drfahrettinka https://t.co/oitvobufxf")</f>
        <v>@drfahrettinka https://t.co/oitvobufxf</v>
      </c>
    </row>
    <row r="11849" spans="1:5" ht="15" customHeight="1" x14ac:dyDescent="0.2">
      <c r="A11849" s="1" t="s">
        <v>23430</v>
      </c>
      <c r="B11849" s="1">
        <v>3</v>
      </c>
      <c r="C11849" s="3">
        <v>44533.914618055554</v>
      </c>
      <c r="D11849" s="1" t="s">
        <v>23431</v>
      </c>
      <c r="E11849" s="1" t="str">
        <f ca="1">IFERROR(__xludf.DUMMYFUNCTION("GOOGLETRANSLATE(A8648 , ""tr"" , ""en"")"),"@drfahrettinkoca A'raf Surah 11 'Demon Surizers have not been from those who have been 19' on 30 'Abuses 19' or ... https://t.co/ggvigg4nxI")</f>
        <v>@drfahrettinkoca A'raf Surah 11 'Demon Surizers have not been from those who have been 19' on 30 'Abuses 19' or ... https://t.co/ggvigg4nxI</v>
      </c>
    </row>
    <row r="11850" spans="1:5" ht="15" customHeight="1" x14ac:dyDescent="0.2">
      <c r="A11850" s="1" t="s">
        <v>23432</v>
      </c>
      <c r="B11850" s="1">
        <v>1</v>
      </c>
      <c r="C11850" s="3">
        <v>44533.914548611108</v>
      </c>
      <c r="D11850" s="1" t="s">
        <v>23433</v>
      </c>
      <c r="E11850" s="1" t="str">
        <f ca="1">IFERROR(__xludf.DUMMYFUNCTION("GOOGLETRANSLATE(A8649 , ""tr"" , ""en"")"),"@drfahrettinka https://t.co/qdykibvrf9")</f>
        <v>@drfahrettinka https://t.co/qdykibvrf9</v>
      </c>
    </row>
    <row r="11851" spans="1:5" ht="15" customHeight="1" x14ac:dyDescent="0.2">
      <c r="A11851" s="1" t="s">
        <v>23434</v>
      </c>
      <c r="B11851" s="1">
        <v>1</v>
      </c>
      <c r="C11851" s="3">
        <v>44533.914479166669</v>
      </c>
      <c r="D11851" s="1" t="s">
        <v>23435</v>
      </c>
      <c r="E11851" s="1" t="str">
        <f ca="1">IFERROR(__xludf.DUMMYFUNCTION("GOOGLETRANSLATE(A8650 , ""tr"" , ""en"")"),"@drfahrettinka https://t.co/kaxgbuwwke")</f>
        <v>@drfahrettinka https://t.co/kaxgbuwwke</v>
      </c>
    </row>
    <row r="11852" spans="1:5" ht="15" customHeight="1" x14ac:dyDescent="0.2">
      <c r="A11852" s="1" t="s">
        <v>23436</v>
      </c>
      <c r="B11852" s="1">
        <v>0</v>
      </c>
      <c r="C11852" s="3">
        <v>44533.907013888886</v>
      </c>
      <c r="D11852" s="1" t="s">
        <v>23437</v>
      </c>
      <c r="E11852" s="1" t="str">
        <f ca="1">IFERROR(__xludf.DUMMYFUNCTION("GOOGLETRANSLATE(A8651 , ""tr"" , ""en"")"),"@drfahrettinkoca Your obstacle Neydide Padisah rebuked you in Ommetin and did not trust you. One feed ... https://t.co/wgomsqykc5")</f>
        <v>@drfahrettinkoca Your obstacle Neydide Padisah rebuked you in Ommetin and did not trust you. One feed ... https://t.co/wgomsqykc5</v>
      </c>
    </row>
    <row r="11853" spans="1:5" ht="15" customHeight="1" x14ac:dyDescent="0.2">
      <c r="A11853" s="1" t="s">
        <v>23438</v>
      </c>
      <c r="B11853" s="1">
        <v>2</v>
      </c>
      <c r="C11853" s="3">
        <v>44533.90662037037</v>
      </c>
      <c r="D11853" s="1" t="s">
        <v>23439</v>
      </c>
      <c r="E11853" s="1" t="str">
        <f ca="1">IFERROR(__xludf.DUMMYFUNCTION("GOOGLETRANSLATE(A8652 , ""tr"" , ""en"")"),"@drfahrettinkoca positive discrimination passed over us that you are not able to give us the very certain sec 4 years high pua ... https://t.co/b1pi81wnnw")</f>
        <v>@drfahrettinkoca positive discrimination passed over us that you are not able to give us the very certain sec 4 years high pua ... https://t.co/b1pi81wnnw</v>
      </c>
    </row>
    <row r="11854" spans="1:5" ht="15" customHeight="1" x14ac:dyDescent="0.2">
      <c r="A11854" s="1" t="s">
        <v>23440</v>
      </c>
      <c r="B11854" s="1">
        <v>1</v>
      </c>
      <c r="C11854" s="3">
        <v>44533.9065625</v>
      </c>
      <c r="D11854" s="1" t="s">
        <v>23441</v>
      </c>
      <c r="E11854" s="1" t="str">
        <f ca="1">IFERROR(__xludf.DUMMYFUNCTION("GOOGLETRANSLATE(A8653 , ""tr"" , ""en"")"),"@drfahrettinkoca Positive discrimination Passed to give us a very certain sec Minister We have been to 4 years High Pua ... https://t.co/zr50yjdefz")</f>
        <v>@drfahrettinkoca Positive discrimination Passed to give us a very certain sec Minister We have been to 4 years High Pua ... https://t.co/zr50yjdefz</v>
      </c>
    </row>
    <row r="11855" spans="1:5" ht="15" customHeight="1" x14ac:dyDescent="0.2">
      <c r="A11855" s="1" t="s">
        <v>23442</v>
      </c>
      <c r="B11855" s="1">
        <v>1</v>
      </c>
      <c r="C11855" s="3">
        <v>44533.906493055554</v>
      </c>
      <c r="D11855" s="1" t="s">
        <v>23443</v>
      </c>
      <c r="E11855" s="1" t="str">
        <f ca="1">IFERROR(__xludf.DUMMYFUNCTION("GOOGLETRANSLATE(A8654 , ""tr"" , ""en"")"),"@drfahrettinkoca Positive discrimination Passed to give us the very certain sec Minister We have been the high Pua for 4 years ... https://t.co/j2hycznd6i")</f>
        <v>@drfahrettinkoca Positive discrimination Passed to give us the very certain sec Minister We have been the high Pua for 4 years ... https://t.co/j2hycznd6i</v>
      </c>
    </row>
    <row r="11856" spans="1:5" ht="15" customHeight="1" x14ac:dyDescent="0.2">
      <c r="A11856" s="1" t="s">
        <v>23444</v>
      </c>
      <c r="B11856" s="1">
        <v>1</v>
      </c>
      <c r="C11856" s="3">
        <v>44533.904999999999</v>
      </c>
      <c r="D11856" s="1" t="s">
        <v>23445</v>
      </c>
      <c r="E11856" s="1" t="str">
        <f ca="1">IFERROR(__xludf.DUMMYFUNCTION("GOOGLETRANSLATE(A8655 , ""tr"" , ""en"")"),"@drfahrettinkoca Photo of Ankara Konurde street with the intersection of the street with the street. A.B. Mail ... https://t.co/dv2ab4ak50")</f>
        <v>@drfahrettinkoca Photo of Ankara Konurde street with the intersection of the street with the street. A.B. Mail ... https://t.co/dv2ab4ak50</v>
      </c>
    </row>
    <row r="11857" spans="1:5" ht="15" customHeight="1" x14ac:dyDescent="0.2">
      <c r="A11857" s="1" t="s">
        <v>23446</v>
      </c>
      <c r="B11857" s="1">
        <v>0</v>
      </c>
      <c r="C11857" s="3">
        <v>44533.900578703702</v>
      </c>
      <c r="D11857" s="1" t="s">
        <v>23447</v>
      </c>
      <c r="E11857" s="1" t="str">
        <f ca="1">IFERROR(__xludf.DUMMYFUNCTION("GOOGLETRANSLATE(A8656 , ""tr"" , ""en"")"),"@drfahrettinkoca Mr. Precious Minister, traffic casualty with motorcycle is the possible barrier of barriers as citizens. Broken ... https://t.co/uqcjp5xbpw")</f>
        <v>@drfahrettinkoca Mr. Precious Minister, traffic casualty with motorcycle is the possible barrier of barriers as citizens. Broken ... https://t.co/uqcjp5xbpw</v>
      </c>
    </row>
    <row r="11858" spans="1:5" ht="15" customHeight="1" x14ac:dyDescent="0.2">
      <c r="A11858" s="1" t="s">
        <v>23448</v>
      </c>
      <c r="B11858" s="1">
        <v>14</v>
      </c>
      <c r="C11858" s="3">
        <v>44533.900451388887</v>
      </c>
      <c r="D11858" s="1" t="s">
        <v>23449</v>
      </c>
      <c r="E11858" s="1" t="str">
        <f ca="1">IFERROR(__xludf.DUMMYFUNCTION("GOOGLETRANSLATE(A8657 , ""tr"" , ""en"")"),"@drfahrettinkoca We do not say positive discrimination Mr. Minister, call the opportunity equity. Error, disabled individuals ... https://t.co/bw3mvtbnb7")</f>
        <v>@drfahrettinkoca We do not say positive discrimination Mr. Minister, call the opportunity equity. Error, disabled individuals ... https://t.co/bw3mvtbnb7</v>
      </c>
    </row>
    <row r="11859" spans="1:5" ht="15" customHeight="1" x14ac:dyDescent="0.2">
      <c r="A11859" s="1" t="s">
        <v>23450</v>
      </c>
      <c r="B11859" s="1">
        <v>0</v>
      </c>
      <c r="C11859" s="3">
        <v>44533.88689814815</v>
      </c>
      <c r="D11859" s="1" t="s">
        <v>23451</v>
      </c>
      <c r="E11859" s="1" t="str">
        <f ca="1">IFERROR(__xludf.DUMMYFUNCTION("GOOGLETRANSLATE(A8658 , ""tr"" , ""en"")"),"@drfahrettinkoca physicians can also deceive a lie in which they do not escape abroad, help the health Persian ... https://t.co/gqbtbqg3hw")</f>
        <v>@drfahrettinkoca physicians can also deceive a lie in which they do not escape abroad, help the health Persian ... https://t.co/gqbtbqg3hw</v>
      </c>
    </row>
    <row r="11860" spans="1:5" ht="15" customHeight="1" x14ac:dyDescent="0.2">
      <c r="A11860" s="1" t="s">
        <v>23452</v>
      </c>
      <c r="B11860" s="1">
        <v>0</v>
      </c>
      <c r="C11860" s="3">
        <v>44533.883206018516</v>
      </c>
      <c r="D11860" s="1" t="s">
        <v>23453</v>
      </c>
      <c r="E11860" s="1" t="str">
        <f ca="1">IFERROR(__xludf.DUMMYFUNCTION("GOOGLETRANSLATE(A8659 , ""tr"" , ""en"")"),"@drfahrettinkoca Thousands of health workers are deaf mute and blind, as it is seen to be disabled to be disabled. ... https://t.co/qbk8n17vds")</f>
        <v>@drfahrettinkoca Thousands of health workers are deaf mute and blind, as it is seen to be disabled to be disabled. ... https://t.co/qbk8n17vds</v>
      </c>
    </row>
    <row r="11861" spans="1:5" ht="15" customHeight="1" x14ac:dyDescent="0.2">
      <c r="A11861" s="1" t="s">
        <v>23454</v>
      </c>
      <c r="B11861" s="1">
        <v>0</v>
      </c>
      <c r="C11861" s="3">
        <v>44533.88077546296</v>
      </c>
      <c r="D11861" s="1" t="s">
        <v>23455</v>
      </c>
      <c r="E11861" s="1" t="str">
        <f ca="1">IFERROR(__xludf.DUMMYFUNCTION("GOOGLETRANSLATE(A8660 , ""tr"" , ""en"")"),"@drfahrettinkoca female ultrasound crosses sin i'm mommy says block them")</f>
        <v>@drfahrettinkoca female ultrasound crosses sin i'm mommy says block them</v>
      </c>
    </row>
    <row r="11862" spans="1:5" ht="15" customHeight="1" x14ac:dyDescent="0.2">
      <c r="A11862" s="1" t="s">
        <v>23456</v>
      </c>
      <c r="B11862" s="1">
        <v>0</v>
      </c>
      <c r="C11862" s="3">
        <v>44533.880543981482</v>
      </c>
      <c r="D11862" s="1" t="s">
        <v>23457</v>
      </c>
      <c r="E11862" s="1" t="str">
        <f ca="1">IFERROR(__xludf.DUMMYFUNCTION("GOOGLETRANSLATE(A8661 , ""tr"" , ""en"")"),"@drfahrettinka https://t.co/0xkmgf6h0w")</f>
        <v>@drfahrettinka https://t.co/0xkmgf6h0w</v>
      </c>
    </row>
    <row r="11863" spans="1:5" ht="15" customHeight="1" x14ac:dyDescent="0.2">
      <c r="A11863" s="1" t="s">
        <v>23458</v>
      </c>
      <c r="B11863" s="1">
        <v>0</v>
      </c>
      <c r="C11863" s="3">
        <v>44533.878148148149</v>
      </c>
      <c r="D11863" s="1" t="s">
        <v>23459</v>
      </c>
      <c r="E11863" s="1" t="str">
        <f ca="1">IFERROR(__xludf.DUMMYFUNCTION("GOOGLETRANSLATE(A8662 , ""tr"" , ""en"")"),"@drfahrettinkoca for 1 year Non-Sagliga assignment, Mujde Verip Guide is unpredentive to the dreams of people who don't even have a safe ... https://t.co/gy9gshvi5m")</f>
        <v>@drfahrettinkoca for 1 year Non-Sagliga assignment, Mujde Verip Guide is unpredentive to the dreams of people who don't even have a safe ... https://t.co/gy9gshvi5m</v>
      </c>
    </row>
    <row r="11864" spans="1:5" ht="15" customHeight="1" x14ac:dyDescent="0.2">
      <c r="A11864" s="1" t="s">
        <v>23460</v>
      </c>
      <c r="B11864" s="1">
        <v>1</v>
      </c>
      <c r="C11864" s="3">
        <v>44533.874976851854</v>
      </c>
      <c r="D11864" s="1" t="s">
        <v>23461</v>
      </c>
      <c r="E11864" s="1" t="str">
        <f ca="1">IFERROR(__xludf.DUMMYFUNCTION("GOOGLETRANSLATE(A8663 , ""tr"" , ""en"")"),"@drfahrettinkoca Minister Doctors do not leave the rights that do not leave the rights do not remove the rights we are hoping do not extinguish our light.")</f>
        <v>@drfahrettinkoca Minister Doctors do not leave the rights that do not leave the rights do not remove the rights we are hoping do not extinguish our light.</v>
      </c>
    </row>
    <row r="11865" spans="1:5" ht="15" customHeight="1" x14ac:dyDescent="0.2">
      <c r="A11865" s="1" t="s">
        <v>23462</v>
      </c>
      <c r="B11865" s="1">
        <v>1</v>
      </c>
      <c r="C11865" s="3">
        <v>44533.863495370373</v>
      </c>
      <c r="D11865" s="1" t="s">
        <v>23463</v>
      </c>
      <c r="E11865" s="1" t="str">
        <f ca="1">IFERROR(__xludf.DUMMYFUNCTION("GOOGLETRANSLATE(A8664 , ""tr"" , ""en"")"),"@drfahrettinkoca health unity draw and disrupt the integrity You are not staying in the work peace is happy ... https://t.co/nbdlfjbcsx")</f>
        <v>@drfahrettinkoca health unity draw and disrupt the integrity You are not staying in the work peace is happy ... https://t.co/nbdlfjbcsx</v>
      </c>
    </row>
    <row r="11866" spans="1:5" ht="15" customHeight="1" x14ac:dyDescent="0.2">
      <c r="A11866" s="1" t="s">
        <v>23464</v>
      </c>
      <c r="B11866" s="1">
        <v>1</v>
      </c>
      <c r="C11866" s="3">
        <v>44533.860185185185</v>
      </c>
      <c r="D11866" s="1" t="s">
        <v>23465</v>
      </c>
      <c r="E11866" s="1" t="str">
        <f ca="1">IFERROR(__xludf.DUMMYFUNCTION("GOOGLETRANSLATE(A8665 , ""tr"" , ""en"")"),"@drfahrettinkoca sec Minister The disabled people are also welcome to discount as well as water")</f>
        <v>@drfahrettinkoca sec Minister The disabled people are also welcome to discount as well as water</v>
      </c>
    </row>
    <row r="11867" spans="1:5" ht="15" customHeight="1" x14ac:dyDescent="0.2">
      <c r="A11867" s="1" t="s">
        <v>23466</v>
      </c>
      <c r="B11867" s="1">
        <v>0</v>
      </c>
      <c r="C11867" s="3">
        <v>44533.860011574077</v>
      </c>
      <c r="D11867" s="1" t="s">
        <v>23467</v>
      </c>
      <c r="E11867" s="1" t="str">
        <f ca="1">IFERROR(__xludf.DUMMYFUNCTION("GOOGLETRANSLATE(A8666 , ""tr"" , ""en"")"),"@drfahrettinka Mr. Ministry Do you consider the comments that are sent to you if you are getting it DA ... HTTPS://T.CO/DX36Q2W8L3")</f>
        <v>@drfahrettinka Mr. Ministry Do you consider the comments that are sent to you if you are getting it DA ... HTTPS://T.CO/DX36Q2W8L3</v>
      </c>
    </row>
    <row r="11868" spans="1:5" ht="15" customHeight="1" x14ac:dyDescent="0.2">
      <c r="A11868" s="1" t="s">
        <v>23468</v>
      </c>
      <c r="B11868" s="1">
        <v>2</v>
      </c>
      <c r="C11868" s="3">
        <v>44533.856550925928</v>
      </c>
      <c r="D11868" s="1" t="s">
        <v>23469</v>
      </c>
      <c r="E11868" s="1" t="str">
        <f ca="1">IFERROR(__xludf.DUMMYFUNCTION("GOOGLETRANSLATE(A8667 , ""tr"" , ""en"")"),"@drfahrettinka Mr. Minister; Disabled people experience very difficulties while reporting in hospitals. Take a trouble ... https://t.co/hjiv9lqsps")</f>
        <v>@drfahrettinka Mr. Minister; Disabled people experience very difficulties while reporting in hospitals. Take a trouble ... https://t.co/hjiv9lqsps</v>
      </c>
    </row>
    <row r="11869" spans="1:5" ht="15" customHeight="1" x14ac:dyDescent="0.2">
      <c r="A11869" s="1" t="s">
        <v>23470</v>
      </c>
      <c r="B11869" s="1">
        <v>0</v>
      </c>
      <c r="C11869" s="3">
        <v>44533.856053240743</v>
      </c>
      <c r="D11869" s="1" t="s">
        <v>23471</v>
      </c>
      <c r="E11869" s="1" t="str">
        <f ca="1">IFERROR(__xludf.DUMMYFUNCTION("GOOGLETRANSLATE(A8668 , ""tr"" , ""en"")"),"@drfahrettinkoca we want guide !!")</f>
        <v>@drfahrettinkoca we want guide !!</v>
      </c>
    </row>
    <row r="11870" spans="1:5" ht="15" customHeight="1" x14ac:dyDescent="0.2">
      <c r="A11870" s="1" t="s">
        <v>23472</v>
      </c>
      <c r="B11870" s="1">
        <v>2</v>
      </c>
      <c r="C11870" s="3">
        <v>44533.854155092595</v>
      </c>
      <c r="D11870" s="1" t="s">
        <v>23473</v>
      </c>
      <c r="E11870" s="1" t="str">
        <f ca="1">IFERROR(__xludf.DUMMYFUNCTION("GOOGLETRANSLATE(A8669 , ""tr"" , ""en"")"),"@drfahrettinkoca We would like to remind you of Article 36 of the State Officers Law No. 657. Each cone in this country ... https://t.co/qb6hqyd31y")</f>
        <v>@drfahrettinkoca We would like to remind you of Article 36 of the State Officers Law No. 657. Each cone in this country ... https://t.co/qb6hqyd31y</v>
      </c>
    </row>
    <row r="11871" spans="1:5" ht="15" customHeight="1" x14ac:dyDescent="0.2">
      <c r="A11871" s="1" t="s">
        <v>23474</v>
      </c>
      <c r="B11871" s="1">
        <v>0</v>
      </c>
      <c r="C11871" s="3">
        <v>44533.854050925926</v>
      </c>
      <c r="D11871" s="1" t="s">
        <v>23475</v>
      </c>
      <c r="E11871" s="1" t="str">
        <f ca="1">IFERROR(__xludf.DUMMYFUNCTION("GOOGLETRANSLATE(A8670 , ""tr"" , ""en"")"),"@drfahrettinkoca Disabled healthcare people who have not been opened for 4 years")</f>
        <v>@drfahrettinkoca Disabled healthcare people who have not been opened for 4 years</v>
      </c>
    </row>
    <row r="11872" spans="1:5" ht="15" customHeight="1" x14ac:dyDescent="0.2">
      <c r="A11872" s="1" t="s">
        <v>23476</v>
      </c>
      <c r="B11872" s="1">
        <v>0</v>
      </c>
      <c r="C11872" s="3">
        <v>44533.853877314818</v>
      </c>
      <c r="D11872" s="1" t="s">
        <v>23477</v>
      </c>
      <c r="E11872" s="1" t="str">
        <f ca="1">IFERROR(__xludf.DUMMYFUNCTION("GOOGLETRANSLATE(A8671 , ""tr"" , ""en"")"),"@drfahrettinkoca Disabled Healthcare Health People who have not been opened for 4 years We are the victim of the disabled healthcare people ... https://t.co/tnvfzpxvyy")</f>
        <v>@drfahrettinkoca Disabled Healthcare Health People who have not been opened for 4 years We are the victim of the disabled healthcare people ... https://t.co/tnvfzpxvyy</v>
      </c>
    </row>
    <row r="11873" spans="1:5" ht="15" customHeight="1" x14ac:dyDescent="0.2">
      <c r="A11873" s="1" t="s">
        <v>23478</v>
      </c>
      <c r="B11873" s="1">
        <v>0</v>
      </c>
      <c r="C11873" s="3">
        <v>44533.85361111111</v>
      </c>
      <c r="D11873" s="1" t="s">
        <v>23479</v>
      </c>
      <c r="E11873" s="1" t="str">
        <f ca="1">IFERROR(__xludf.DUMMYFUNCTION("GOOGLETRANSLATE(A8672 , ""tr"" , ""en"")"),"@drfahrettinkoca Disabled healthcare People who have not been opened for 4 years")</f>
        <v>@drfahrettinkoca Disabled healthcare People who have not been opened for 4 years</v>
      </c>
    </row>
    <row r="11874" spans="1:5" ht="15" customHeight="1" x14ac:dyDescent="0.2">
      <c r="A11874" s="1" t="s">
        <v>23480</v>
      </c>
      <c r="B11874" s="1">
        <v>0</v>
      </c>
      <c r="C11874" s="3">
        <v>44533.853495370371</v>
      </c>
      <c r="D11874" s="1" t="s">
        <v>23481</v>
      </c>
      <c r="E11874" s="1" t="str">
        <f ca="1">IFERROR(__xludf.DUMMYFUNCTION("GOOGLETRANSLATE(A8673 , ""tr"" , ""en"")"),"@drfahrettinkoca Disabled healthcare people who have not been opened for 4 years")</f>
        <v>@drfahrettinkoca Disabled healthcare people who have not been opened for 4 years</v>
      </c>
    </row>
    <row r="11875" spans="1:5" ht="15" customHeight="1" x14ac:dyDescent="0.2">
      <c r="A11875" s="1" t="s">
        <v>23482</v>
      </c>
      <c r="B11875" s="1">
        <v>3</v>
      </c>
      <c r="C11875" s="3">
        <v>44533.853379629632</v>
      </c>
      <c r="D11875" s="1" t="s">
        <v>23483</v>
      </c>
      <c r="E11875" s="1" t="str">
        <f ca="1">IFERROR(__xludf.DUMMYFUNCTION("GOOGLETRANSLATE(A8674 , ""tr"" , ""en"")"),"@drfahrettinkoca Disabled healthcare people have been victimized for 4 years")</f>
        <v>@drfahrettinkoca Disabled healthcare people have been victimized for 4 years</v>
      </c>
    </row>
    <row r="11876" spans="1:5" ht="15" customHeight="1" x14ac:dyDescent="0.2">
      <c r="A11876" s="1" t="s">
        <v>23484</v>
      </c>
      <c r="B11876" s="1">
        <v>1</v>
      </c>
      <c r="C11876" s="3">
        <v>44533.852743055555</v>
      </c>
      <c r="D11876" s="1" t="s">
        <v>23485</v>
      </c>
      <c r="E11876" s="1" t="str">
        <f ca="1">IFERROR(__xludf.DUMMYFUNCTION("GOOGLETRANSLATE(A8675 , ""tr"" , ""en"")"),"@drfahrettinkoca disabled healthcare people have been victimized for 4 years")</f>
        <v>@drfahrettinkoca disabled healthcare people have been victimized for 4 years</v>
      </c>
    </row>
    <row r="11877" spans="1:5" ht="15" customHeight="1" x14ac:dyDescent="0.2">
      <c r="A11877" s="1" t="s">
        <v>23486</v>
      </c>
      <c r="B11877" s="1">
        <v>0</v>
      </c>
      <c r="C11877" s="3">
        <v>44533.852627314816</v>
      </c>
      <c r="D11877" s="1" t="s">
        <v>23487</v>
      </c>
      <c r="E11877" s="1" t="str">
        <f ca="1">IFERROR(__xludf.DUMMYFUNCTION("GOOGLETRANSLATE(A8676 , ""tr"" , ""en"")"),"@drfahrettinkoca Disabled healthcare people who have not been opened in 4 years")</f>
        <v>@drfahrettinkoca Disabled healthcare people who have not been opened in 4 years</v>
      </c>
    </row>
    <row r="11878" spans="1:5" ht="15" customHeight="1" x14ac:dyDescent="0.2">
      <c r="A11878" s="1" t="s">
        <v>23488</v>
      </c>
      <c r="B11878" s="1">
        <v>0</v>
      </c>
      <c r="C11878" s="3">
        <v>44533.852511574078</v>
      </c>
      <c r="D11878" s="1" t="s">
        <v>23489</v>
      </c>
      <c r="E11878" s="1" t="str">
        <f ca="1">IFERROR(__xludf.DUMMYFUNCTION("GOOGLETRANSLATE(A8677 , ""tr"" , ""en"")"),"@drfahrettinkoca Protect robust people, do not turn disability. There are disabled animals from the head Has the circulating between us ... https://t.co/3w9m62wxle")</f>
        <v>@drfahrettinkoca Protect robust people, do not turn disability. There are disabled animals from the head Has the circulating between us ... https://t.co/3w9m62wxle</v>
      </c>
    </row>
    <row r="11879" spans="1:5" ht="15" customHeight="1" x14ac:dyDescent="0.2">
      <c r="A11879" s="1" t="s">
        <v>23490</v>
      </c>
      <c r="B11879" s="1">
        <v>0</v>
      </c>
      <c r="C11879" s="3">
        <v>44533.852442129632</v>
      </c>
      <c r="D11879" s="1" t="s">
        <v>23491</v>
      </c>
      <c r="E11879" s="1" t="str">
        <f ca="1">IFERROR(__xludf.DUMMYFUNCTION("GOOGLETRANSLATE(A8678 , ""tr"" , ""en"")"),"@drfahrettinkoca Disabled healthcare people have not been opened for 4 years, we have been the victim of the non-disabled healthparts ... https://t.co/y7qrmw6yhi")</f>
        <v>@drfahrettinkoca Disabled healthcare people have not been opened for 4 years, we have been the victim of the non-disabled healthparts ... https://t.co/y7qrmw6yhi</v>
      </c>
    </row>
    <row r="11880" spans="1:5" ht="15" customHeight="1" x14ac:dyDescent="0.2">
      <c r="A11880" s="1" t="s">
        <v>23492</v>
      </c>
      <c r="B11880" s="1">
        <v>0</v>
      </c>
      <c r="C11880" s="3">
        <v>44533.852337962962</v>
      </c>
      <c r="D11880" s="1" t="s">
        <v>23493</v>
      </c>
      <c r="E11880" s="1" t="str">
        <f ca="1">IFERROR(__xludf.DUMMYFUNCTION("GOOGLETRANSLATE(A8679 , ""tr"" , ""en"")"),"@drfahrettinkoca Disabled healthcare people have been victimized for 4 years")</f>
        <v>@drfahrettinkoca Disabled healthcare people have been victimized for 4 years</v>
      </c>
    </row>
    <row r="11881" spans="1:5" ht="15" customHeight="1" x14ac:dyDescent="0.2">
      <c r="A11881" s="1" t="s">
        <v>23494</v>
      </c>
      <c r="B11881" s="1">
        <v>0</v>
      </c>
      <c r="C11881" s="3">
        <v>44533.85224537037</v>
      </c>
      <c r="D11881" s="1" t="s">
        <v>23495</v>
      </c>
      <c r="E11881" s="1" t="str">
        <f ca="1">IFERROR(__xludf.DUMMYFUNCTION("GOOGLETRANSLATE(A8680 , ""tr"" , ""en"")"),"@drfahrettinkoca Disabled Healthiers Was the Vacuitant Unpacked in 4 years We have been the victim of quotas we have disabled as healthiers ... https://t.co/4GEIG1CCPQ")</f>
        <v>@drfahrettinkoca Disabled Healthiers Was the Vacuitant Unpacked in 4 years We have been the victim of quotas we have disabled as healthiers ... https://t.co/4GEIG1CCPQ</v>
      </c>
    </row>
    <row r="11882" spans="1:5" ht="15" customHeight="1" x14ac:dyDescent="0.2">
      <c r="A11882" s="1" t="s">
        <v>23496</v>
      </c>
      <c r="B11882" s="1">
        <v>0</v>
      </c>
      <c r="C11882" s="3">
        <v>44533.852175925924</v>
      </c>
      <c r="D11882" s="1" t="s">
        <v>23497</v>
      </c>
      <c r="E11882" s="1" t="str">
        <f ca="1">IFERROR(__xludf.DUMMYFUNCTION("GOOGLETRANSLATE(A8681 , ""tr"" , ""en"")"),"@drfahrettinkoca Disabled healthcare people who have not been opened for 4 years")</f>
        <v>@drfahrettinkoca Disabled healthcare people who have not been opened for 4 years</v>
      </c>
    </row>
    <row r="11883" spans="1:5" ht="15" customHeight="1" x14ac:dyDescent="0.2">
      <c r="A11883" s="1" t="s">
        <v>23498</v>
      </c>
      <c r="B11883" s="1">
        <v>0</v>
      </c>
      <c r="C11883" s="3">
        <v>44533.852037037039</v>
      </c>
      <c r="D11883" s="1" t="s">
        <v>23499</v>
      </c>
      <c r="E11883" s="1" t="str">
        <f ca="1">IFERROR(__xludf.DUMMYFUNCTION("GOOGLETRANSLATE(A8682 , ""tr"" , ""en"")"),"@drfahrettinkoca Disabled healthcare people who have not been opened to 4 years")</f>
        <v>@drfahrettinkoca Disabled healthcare people who have not been opened to 4 years</v>
      </c>
    </row>
    <row r="11884" spans="1:5" ht="15" customHeight="1" x14ac:dyDescent="0.2">
      <c r="A11884" s="1" t="s">
        <v>23500</v>
      </c>
      <c r="B11884" s="1">
        <v>0</v>
      </c>
      <c r="C11884" s="3">
        <v>44533.851967592593</v>
      </c>
      <c r="D11884" s="1" t="s">
        <v>23501</v>
      </c>
      <c r="E11884" s="1" t="str">
        <f ca="1">IFERROR(__xludf.DUMMYFUNCTION("GOOGLETRANSLATE(A8683 , ""tr"" , ""en"")"),"@drfahrettinkoca disabled healthcare people have been victimized for 4 years")</f>
        <v>@drfahrettinkoca disabled healthcare people have been victimized for 4 years</v>
      </c>
    </row>
    <row r="11885" spans="1:5" ht="15" customHeight="1" x14ac:dyDescent="0.2">
      <c r="A11885" s="1" t="s">
        <v>23502</v>
      </c>
      <c r="B11885" s="1">
        <v>0</v>
      </c>
      <c r="C11885" s="3">
        <v>44533.851863425924</v>
      </c>
      <c r="D11885" s="1" t="s">
        <v>23503</v>
      </c>
      <c r="E11885" s="1" t="str">
        <f ca="1">IFERROR(__xludf.DUMMYFUNCTION("GOOGLETRANSLATE(A8684 , ""tr"" , ""en"")"),"@drfahrettinkoca Mr. Ministry I'm at 112 Att Yim.")</f>
        <v>@drfahrettinkoca Mr. Ministry I'm at 112 Att Yim.</v>
      </c>
    </row>
    <row r="11886" spans="1:5" ht="15" customHeight="1" x14ac:dyDescent="0.2">
      <c r="A11886" s="1" t="s">
        <v>23504</v>
      </c>
      <c r="B11886" s="1">
        <v>0</v>
      </c>
      <c r="C11886" s="3">
        <v>44533.851863425924</v>
      </c>
      <c r="D11886" s="1" t="s">
        <v>23505</v>
      </c>
      <c r="E11886" s="1" t="str">
        <f ca="1">IFERROR(__xludf.DUMMYFUNCTION("GOOGLETRANSLATE(A8685 , ""tr"" , ""en"")"),"@drfahrettinkoca Disabled healthcare people who have not been opened for 4 years")</f>
        <v>@drfahrettinkoca Disabled healthcare people who have not been opened for 4 years</v>
      </c>
    </row>
    <row r="11887" spans="1:5" ht="15" customHeight="1" x14ac:dyDescent="0.2">
      <c r="A11887" s="1" t="s">
        <v>23506</v>
      </c>
      <c r="B11887" s="1">
        <v>2</v>
      </c>
      <c r="C11887" s="3">
        <v>44533.851793981485</v>
      </c>
      <c r="D11887" s="1" t="s">
        <v>23507</v>
      </c>
      <c r="E11887" s="1" t="str">
        <f ca="1">IFERROR(__xludf.DUMMYFUNCTION("GOOGLETRANSLATE(A8686 , ""tr"" , ""en"")"),"@drfahrettinkoca disabled healthcare people have been victimized for 4 years")</f>
        <v>@drfahrettinkoca disabled healthcare people have been victimized for 4 years</v>
      </c>
    </row>
    <row r="11888" spans="1:5" ht="15" customHeight="1" x14ac:dyDescent="0.2">
      <c r="A11888" s="1" t="s">
        <v>23508</v>
      </c>
      <c r="B11888" s="1">
        <v>1</v>
      </c>
      <c r="C11888" s="3">
        <v>44533.85119212963</v>
      </c>
      <c r="D11888" s="1" t="s">
        <v>23509</v>
      </c>
      <c r="E11888" s="1" t="str">
        <f ca="1">IFERROR(__xludf.DUMMYFUNCTION("GOOGLETRANSLATE(A8687 , ""tr"" , ""en"")"),"@drfahrettinkoca # fkocayetumutumutum")</f>
        <v>@drfahrettinkoca # fkocayetumutumutum</v>
      </c>
    </row>
    <row r="11889" spans="1:5" ht="15" customHeight="1" x14ac:dyDescent="0.2">
      <c r="A11889" s="1" t="s">
        <v>23510</v>
      </c>
      <c r="B11889" s="1">
        <v>0</v>
      </c>
      <c r="C11889" s="3">
        <v>44533.850925925923</v>
      </c>
      <c r="D11889" s="1" t="s">
        <v>23511</v>
      </c>
      <c r="E11889" s="1" t="str">
        <f ca="1">IFERROR(__xludf.DUMMYFUNCTION("GOOGLETRANSLATE(A8688 , ""tr"" , ""en"")"),"@drfahrettinkoca keep your word no longer")</f>
        <v>@drfahrettinkoca keep your word no longer</v>
      </c>
    </row>
    <row r="11890" spans="1:5" ht="15" customHeight="1" x14ac:dyDescent="0.2">
      <c r="A11890" s="1" t="s">
        <v>23512</v>
      </c>
      <c r="B11890" s="1">
        <v>0</v>
      </c>
      <c r="C11890" s="3">
        <v>44533.85056712963</v>
      </c>
      <c r="D11890" s="1" t="s">
        <v>23513</v>
      </c>
      <c r="E11890" s="1" t="str">
        <f ca="1">IFERROR(__xludf.DUMMYFUNCTION("GOOGLETRANSLATE(A8689 , ""tr"" , ""en"")"),"@drfahrettinkoca 4 years is a lovely disabled healthcare appointment assignment of 4 years")</f>
        <v>@drfahrettinkoca 4 years is a lovely disabled healthcare appointment assignment of 4 years</v>
      </c>
    </row>
    <row r="11891" spans="1:5" ht="15" customHeight="1" x14ac:dyDescent="0.2">
      <c r="A11891" s="1" t="s">
        <v>23514</v>
      </c>
      <c r="B11891" s="1">
        <v>0</v>
      </c>
      <c r="C11891" s="3">
        <v>44533.850451388891</v>
      </c>
      <c r="D11891" s="1" t="s">
        <v>23515</v>
      </c>
      <c r="E11891" s="1" t="str">
        <f ca="1">IFERROR(__xludf.DUMMYFUNCTION("GOOGLETRANSLATE(A8690 , ""tr"" , ""en"")"),"@drfahrettinka ditto ditto 3 4 years have no disabled healthcare. You are very helpful you are alright")</f>
        <v>@drfahrettinka ditto ditto 3 4 years have no disabled healthcare. You are very helpful you are alright</v>
      </c>
    </row>
    <row r="11892" spans="1:5" ht="15" customHeight="1" x14ac:dyDescent="0.2">
      <c r="A11892" s="1" t="s">
        <v>23516</v>
      </c>
      <c r="B11892" s="1">
        <v>0</v>
      </c>
      <c r="C11892" s="3">
        <v>44533.849548611113</v>
      </c>
      <c r="D11892" s="1" t="s">
        <v>23517</v>
      </c>
      <c r="E11892" s="1" t="str">
        <f ca="1">IFERROR(__xludf.DUMMYFUNCTION("GOOGLETRANSLATE(A8691 , ""tr"" , ""en"")"),"@drfahrettinkoca Overlooking you Hayirdr sting at the bottom of the reinin The place is still a little honors in the human beef.")</f>
        <v>@drfahrettinkoca Overlooking you Hayirdr sting at the bottom of the reinin The place is still a little honors in the human beef.</v>
      </c>
    </row>
    <row r="11893" spans="1:5" ht="15" customHeight="1" x14ac:dyDescent="0.2">
      <c r="A11893" s="1" t="s">
        <v>23518</v>
      </c>
      <c r="B11893" s="1">
        <v>0</v>
      </c>
      <c r="C11893" s="3">
        <v>44533.849409722221</v>
      </c>
      <c r="D11893" s="1" t="s">
        <v>23519</v>
      </c>
      <c r="E11893" s="1" t="str">
        <f ca="1">IFERROR(__xludf.DUMMYFUNCTION("GOOGLETRANSLATE(A8692 , ""tr"" , ""en"")"),"@drfahrettinkoca is a single we are aware of our week you are aware of Mr. Ministry @drfahrettinkoca ?? My powers ... https://t.co/TBCHWIGP8C")</f>
        <v>@drfahrettinkoca is a single we are aware of our week you are aware of Mr. Ministry @drfahrettinkoca ?? My powers ... https://t.co/TBCHWIGP8C</v>
      </c>
    </row>
    <row r="11894" spans="1:5" ht="15" customHeight="1" x14ac:dyDescent="0.2">
      <c r="A11894" s="1" t="s">
        <v>23520</v>
      </c>
      <c r="B11894" s="1">
        <v>0</v>
      </c>
      <c r="C11894" s="3">
        <v>44533.846493055556</v>
      </c>
      <c r="D11894" s="1" t="s">
        <v>23521</v>
      </c>
      <c r="E11894" s="1" t="str">
        <f ca="1">IFERROR(__xludf.DUMMYFUNCTION("GOOGLETRANSLATE(A8693 , ""tr"" , ""en"")"),"@drfahrettinkoca Ministry of Assignment")</f>
        <v>@drfahrettinkoca Ministry of Assignment</v>
      </c>
    </row>
    <row r="11895" spans="1:5" ht="15" customHeight="1" x14ac:dyDescent="0.2">
      <c r="A11895" s="1" t="s">
        <v>23522</v>
      </c>
      <c r="B11895" s="1">
        <v>0</v>
      </c>
      <c r="C11895" s="3">
        <v>44533.845243055555</v>
      </c>
      <c r="D11895" s="1" t="s">
        <v>23523</v>
      </c>
      <c r="E11895" s="1" t="str">
        <f ca="1">IFERROR(__xludf.DUMMYFUNCTION("GOOGLETRANSLATE(A8694 , ""tr"" , ""en"")"),"@drfahrettinkoca Miss a very nice issue as a disabled minister Mr. Health Minister. President ... https://t.co/w9vskgdgjt")</f>
        <v>@drfahrettinkoca Miss a very nice issue as a disabled minister Mr. Health Minister. President ... https://t.co/w9vskgdgjt</v>
      </c>
    </row>
    <row r="11896" spans="1:5" ht="15" customHeight="1" x14ac:dyDescent="0.2">
      <c r="A11896" s="1" t="s">
        <v>23524</v>
      </c>
      <c r="B11896" s="1">
        <v>0</v>
      </c>
      <c r="C11896" s="3">
        <v>44533.84101851852</v>
      </c>
      <c r="D11896" s="1" t="s">
        <v>23525</v>
      </c>
      <c r="E11896" s="1" t="str">
        <f ca="1">IFERROR(__xludf.DUMMYFUNCTION("GOOGLETRANSLATE(A8695 , ""tr"" , ""en"")"),"@drfahrettinka Mr. Minister, partial dependent rapo to patient with six spinal spinal paralyzes in the chest, which is robust of the arms ... https://t.co/BLIasvyohd")</f>
        <v>@drfahrettinka Mr. Minister, partial dependent rapo to patient with six spinal spinal paralyzes in the chest, which is robust of the arms ... https://t.co/BLIasvyohd</v>
      </c>
    </row>
    <row r="11897" spans="1:5" ht="15" customHeight="1" x14ac:dyDescent="0.2">
      <c r="A11897" s="1" t="s">
        <v>23526</v>
      </c>
      <c r="B11897" s="1">
        <v>0</v>
      </c>
      <c r="C11897" s="3">
        <v>44533.84002314815</v>
      </c>
      <c r="D11897" s="1" t="s">
        <v>23527</v>
      </c>
      <c r="E11897" s="1" t="str">
        <f ca="1">IFERROR(__xludf.DUMMYFUNCTION("GOOGLETRANSLATE(A8696 , ""tr"" , ""en"")"),"@drfahrettinka physician have eaten the right to external")</f>
        <v>@drfahrettinka physician have eaten the right to external</v>
      </c>
    </row>
    <row r="11898" spans="1:5" ht="15" customHeight="1" x14ac:dyDescent="0.2">
      <c r="A11898" s="1" t="s">
        <v>23528</v>
      </c>
      <c r="B11898" s="1">
        <v>0</v>
      </c>
      <c r="C11898" s="3">
        <v>44533.838750000003</v>
      </c>
      <c r="D11898" s="1" t="s">
        <v>23529</v>
      </c>
      <c r="E11898" s="1" t="str">
        <f ca="1">IFERROR(__xludf.DUMMYFUNCTION("GOOGLETRANSLATE(A8697 , ""tr"" , ""en"")"),"@drfahrettinkoca Ankara Sehir Hospital is taking element over the iskur.Iskur process officially psychological torture ... https://t.co/kusmbvzvIVIVIVI")</f>
        <v>@drfahrettinkoca Ankara Sehir Hospital is taking element over the iskur.Iskur process officially psychological torture ... https://t.co/kusmbvzvIVIVIVI</v>
      </c>
    </row>
    <row r="11899" spans="1:5" ht="15" customHeight="1" x14ac:dyDescent="0.2">
      <c r="A11899" s="1" t="s">
        <v>23530</v>
      </c>
      <c r="B11899" s="1">
        <v>0</v>
      </c>
      <c r="C11899" s="3">
        <v>44533.836157407408</v>
      </c>
      <c r="D11899" s="1" t="s">
        <v>23531</v>
      </c>
      <c r="E11899" s="1" t="str">
        <f ca="1">IFERROR(__xludf.DUMMYFUNCTION("GOOGLETRANSLATE(A8698 , ""tr"" , ""en"")"),"@drfahrettinkoca I'm an individual of health but I'm disabled now Mr. Mr. Minister HTTPS://t.co/s3be0nud8a")</f>
        <v>@drfahrettinkoca I'm an individual of health but I'm disabled now Mr. Mr. Minister HTTPS://t.co/s3be0nud8a</v>
      </c>
    </row>
    <row r="11900" spans="1:5" ht="15" customHeight="1" x14ac:dyDescent="0.2">
      <c r="A11900" s="1" t="s">
        <v>23532</v>
      </c>
      <c r="B11900" s="1">
        <v>0</v>
      </c>
      <c r="C11900" s="3">
        <v>44533.836134259262</v>
      </c>
      <c r="D11900" s="1" t="s">
        <v>23533</v>
      </c>
      <c r="E11900" s="1" t="str">
        <f ca="1">IFERROR(__xludf.DUMMYFUNCTION("GOOGLETRANSLATE(A8699 , ""tr"" , ""en"")"),"@drfahrettinkoca Bi CVP Gender Grandson of Allahless Pharaoh! You've never had trash on your brain? Nation to the nation ... https://t.co/ywuj76qv8c")</f>
        <v>@drfahrettinkoca Bi CVP Gender Grandson of Allahless Pharaoh! You've never had trash on your brain? Nation to the nation ... https://t.co/ywuj76qv8c</v>
      </c>
    </row>
    <row r="11901" spans="1:5" ht="15" customHeight="1" x14ac:dyDescent="0.2">
      <c r="A11901" s="1" t="s">
        <v>23534</v>
      </c>
      <c r="B11901" s="1">
        <v>0</v>
      </c>
      <c r="C11901" s="3">
        <v>44533.836122685185</v>
      </c>
      <c r="D11901" s="1" t="s">
        <v>23535</v>
      </c>
      <c r="E11901" s="1" t="str">
        <f ca="1">IFERROR(__xludf.DUMMYFUNCTION("GOOGLETRANSLATE(A8700 , ""tr"" , ""en"")"),"@drfahrettinkoca lavatory patients report their reports required for home care at home health services ... https://t.co/okavbmohet")</f>
        <v>@drfahrettinkoca lavatory patients report their reports required for home care at home health services ... https://t.co/okavbmohet</v>
      </c>
    </row>
    <row r="11902" spans="1:5" ht="15" customHeight="1" x14ac:dyDescent="0.2">
      <c r="A11902" s="1" t="s">
        <v>23536</v>
      </c>
      <c r="B11902" s="1">
        <v>0</v>
      </c>
      <c r="C11902" s="3">
        <v>44533.833831018521</v>
      </c>
      <c r="D11902" s="1" t="s">
        <v>23537</v>
      </c>
      <c r="E11902" s="1" t="str">
        <f ca="1">IFERROR(__xludf.DUMMYFUNCTION("GOOGLETRANSLATE(A8701 , ""tr"" , ""en"")"),"@drfahrettinkoca Godless bookless fucker, Deccale service Why did you think of you and quit, go to the bottom of hell!")</f>
        <v>@drfahrettinkoca Godless bookless fucker, Deccale service Why did you think of you and quit, go to the bottom of hell!</v>
      </c>
    </row>
    <row r="11903" spans="1:5" ht="15" customHeight="1" x14ac:dyDescent="0.2">
      <c r="A11903" s="1" t="s">
        <v>23538</v>
      </c>
      <c r="B11903" s="1">
        <v>2</v>
      </c>
      <c r="C11903" s="3">
        <v>44533.833356481482</v>
      </c>
      <c r="D11903" s="1" t="s">
        <v>23539</v>
      </c>
      <c r="E11903" s="1" t="str">
        <f ca="1">IFERROR(__xludf.DUMMYFUNCTION("GOOGLETRANSLATE(A8702 , ""tr"" , ""en"")"),"@drfahrettinkoca We want guide @drfahrettinkoca @rterdogan # FKOYUZUZ")</f>
        <v>@drfahrettinkoca We want guide @drfahrettinkoca @rterdogan # FKOYUZUZ</v>
      </c>
    </row>
    <row r="11904" spans="1:5" ht="15" customHeight="1" x14ac:dyDescent="0.2">
      <c r="A11904" s="1" t="s">
        <v>23540</v>
      </c>
      <c r="B11904" s="1">
        <v>0</v>
      </c>
      <c r="C11904" s="3">
        <v>44533.83184027778</v>
      </c>
      <c r="D11904" s="1" t="s">
        <v>23541</v>
      </c>
      <c r="E11904" s="1" t="str">
        <f ca="1">IFERROR(__xludf.DUMMYFUNCTION("GOOGLETRANSLATE(A8703 , ""tr"" , ""en"")"),"@drfahrettinkoca yes being disabled is not defect but because I'm disabled to be unmanaged Tica for the disability ... https://t.co/oxercuhrol")</f>
        <v>@drfahrettinkoca yes being disabled is not defect but because I'm disabled to be unmanaged Tica for the disability ... https://t.co/oxercuhrol</v>
      </c>
    </row>
    <row r="11905" spans="1:5" ht="15" customHeight="1" x14ac:dyDescent="0.2">
      <c r="A11905" s="1" t="s">
        <v>23542</v>
      </c>
      <c r="B11905" s="1">
        <v>0</v>
      </c>
      <c r="C11905" s="3">
        <v>44533.830937500003</v>
      </c>
      <c r="D11905" s="1" t="s">
        <v>23543</v>
      </c>
      <c r="E11905" s="1" t="str">
        <f ca="1">IFERROR(__xludf.DUMMYFUNCTION("GOOGLETRANSLATE(A8704 , ""tr"" , ""en"")"),"@drfahrettinka you have destroyed thousands of health waiting for assignment. Manual Nerdeee Done Finished We're Finished")</f>
        <v>@drfahrettinka you have destroyed thousands of health waiting for assignment. Manual Nerdeee Done Finished We're Finished</v>
      </c>
    </row>
    <row r="11906" spans="1:5" ht="15" customHeight="1" x14ac:dyDescent="0.2">
      <c r="A11906" s="1" t="s">
        <v>23544</v>
      </c>
      <c r="B11906" s="1">
        <v>1</v>
      </c>
      <c r="C11906" s="3">
        <v>44533.830393518518</v>
      </c>
      <c r="D11906" s="1" t="s">
        <v>23545</v>
      </c>
      <c r="E11906" s="1" t="str">
        <f ca="1">IFERROR(__xludf.DUMMYFUNCTION("GOOGLETRANSLATE(A8705 , ""tr"" , ""en"")"),"@drfahrettinkoca I'm hurt you as a father yesterday.")</f>
        <v>@drfahrettinkoca I'm hurt you as a father yesterday.</v>
      </c>
    </row>
    <row r="11907" spans="1:5" ht="15" customHeight="1" x14ac:dyDescent="0.2">
      <c r="A11907" s="1" t="s">
        <v>23546</v>
      </c>
      <c r="B11907" s="1">
        <v>2</v>
      </c>
      <c r="C11907" s="3">
        <v>44533.82949074074</v>
      </c>
      <c r="D11907" s="1" t="s">
        <v>23547</v>
      </c>
      <c r="E11907" s="1" t="str">
        <f ca="1">IFERROR(__xludf.DUMMYFUNCTION("GOOGLETRANSLATE(A8706 , ""tr"" , ""en"")"),"@drfahrettinkoca sucks on your sucky BI finish the clasks where you will remove")</f>
        <v>@drfahrettinkoca sucks on your sucky BI finish the clasks where you will remove</v>
      </c>
    </row>
    <row r="11908" spans="1:5" ht="15" customHeight="1" x14ac:dyDescent="0.2">
      <c r="A11908" s="1" t="s">
        <v>23548</v>
      </c>
      <c r="B11908" s="1">
        <v>0</v>
      </c>
      <c r="C11908" s="3">
        <v>44533.829050925924</v>
      </c>
      <c r="D11908" s="1" t="s">
        <v>23549</v>
      </c>
      <c r="E11908" s="1" t="str">
        <f ca="1">IFERROR(__xludf.DUMMYFUNCTION("GOOGLETRANSLATE(A8707 , ""tr"" , ""en"")"),"@drfahrettinkoca Leave the dating manual Give your manual ARTK year You are finished")</f>
        <v>@drfahrettinkoca Leave the dating manual Give your manual ARTK year You are finished</v>
      </c>
    </row>
    <row r="11909" spans="1:5" ht="15" customHeight="1" x14ac:dyDescent="0.2">
      <c r="A11909" s="1" t="s">
        <v>19687</v>
      </c>
      <c r="B11909" s="1">
        <v>0</v>
      </c>
      <c r="C11909" s="3">
        <v>44533.828796296293</v>
      </c>
      <c r="D11909" s="1" t="s">
        <v>23550</v>
      </c>
      <c r="E11909" s="1" t="str">
        <f ca="1">IFERROR(__xludf.DUMMYFUNCTION("GOOGLETRANSLATE(A8708 , ""tr"" , ""en"")"),"@drfahrettinkoca klavuzzzzzzzz")</f>
        <v>@drfahrettinkoca klavuzzzzzzzz</v>
      </c>
    </row>
    <row r="11910" spans="1:5" ht="15" customHeight="1" x14ac:dyDescent="0.2">
      <c r="A11910" s="1" t="s">
        <v>23551</v>
      </c>
      <c r="B11910" s="1">
        <v>0</v>
      </c>
      <c r="C11910" s="3">
        <v>44533.828472222223</v>
      </c>
      <c r="D11910" s="1" t="s">
        <v>23552</v>
      </c>
      <c r="E11910" s="1" t="str">
        <f ca="1">IFERROR(__xludf.DUMMYFUNCTION("GOOGLETRANSLATE(A8709 , ""tr"" , ""en"")"),"@drfahrettinkoca Mr. Fahrettin Husband, you said to be vaccinated to Mom to Mom DIM 1 week After I lost my mother ... https://t.co/5yhgecr27u")</f>
        <v>@drfahrettinkoca Mr. Fahrettin Husband, you said to be vaccinated to Mom to Mom DIM 1 week After I lost my mother ... https://t.co/5yhgecr27u</v>
      </c>
    </row>
    <row r="11911" spans="1:5" ht="15" customHeight="1" x14ac:dyDescent="0.2">
      <c r="A11911" s="1" t="s">
        <v>23553</v>
      </c>
      <c r="B11911" s="1">
        <v>0</v>
      </c>
      <c r="C11911" s="3">
        <v>44533.827719907407</v>
      </c>
      <c r="D11911" s="1" t="s">
        <v>23554</v>
      </c>
      <c r="E11911" s="1" t="str">
        <f ca="1">IFERROR(__xludf.DUMMYFUNCTION("GOOGLETRANSLATE(A8710 , ""tr"" , ""en"")"),"Help your @drfahrettinkoca SMA patient children")</f>
        <v>Help your @drfahrettinkoca SMA patient children</v>
      </c>
    </row>
    <row r="11912" spans="1:5" ht="15" customHeight="1" x14ac:dyDescent="0.2">
      <c r="A11912" s="1" t="s">
        <v>23555</v>
      </c>
      <c r="B11912" s="1">
        <v>1</v>
      </c>
      <c r="C11912" s="3">
        <v>44533.827430555553</v>
      </c>
      <c r="D11912" s="1" t="s">
        <v>23556</v>
      </c>
      <c r="E11912" s="1" t="str">
        <f ca="1">IFERROR(__xludf.DUMMYFUNCTION("GOOGLETRANSLATE(A8711 , ""tr"" , ""en"")"),"@drfahrettinkoca Mr. Hocam I have been healthy like you, but now I'm disabled I'm hurting https://t.co/ij5qrqxbvr")</f>
        <v>@drfahrettinkoca Mr. Hocam I have been healthy like you, but now I'm disabled I'm hurting https://t.co/ij5qrqxbvr</v>
      </c>
    </row>
    <row r="11913" spans="1:5" ht="15" customHeight="1" x14ac:dyDescent="0.2">
      <c r="A11913" s="1" t="s">
        <v>23557</v>
      </c>
      <c r="B11913" s="1">
        <v>0</v>
      </c>
      <c r="C11913" s="3">
        <v>44533.827141203707</v>
      </c>
      <c r="D11913" s="1" t="s">
        <v>23558</v>
      </c>
      <c r="E11913" s="1" t="str">
        <f ca="1">IFERROR(__xludf.DUMMYFUNCTION("GOOGLETRANSLATE(A8712 , ""tr"" , ""en"")"),"@drfahrettinka schools close up")</f>
        <v>@drfahrettinka schools close up</v>
      </c>
    </row>
    <row r="11914" spans="1:5" ht="15" customHeight="1" x14ac:dyDescent="0.2">
      <c r="A11914" s="1" t="s">
        <v>23559</v>
      </c>
      <c r="B11914" s="1">
        <v>2</v>
      </c>
      <c r="C11914" s="3">
        <v>44533.826932870368</v>
      </c>
      <c r="D11914" s="1" t="s">
        <v>23560</v>
      </c>
      <c r="E11914" s="1" t="str">
        <f ca="1">IFERROR(__xludf.DUMMYFUNCTION("GOOGLETRANSLATE(A8713 , ""tr"" , ""en"")"),"@drfahrettinkoca Disabled Health People Want to be Provided for 4 years Nadirara / phyndx85qd")</f>
        <v>@drfahrettinkoca Disabled Health People Want to be Provided for 4 years Nadirara / phyndx85qd</v>
      </c>
    </row>
    <row r="11915" spans="1:5" ht="15" customHeight="1" x14ac:dyDescent="0.2">
      <c r="A11915" s="1" t="s">
        <v>23561</v>
      </c>
      <c r="B11915" s="1">
        <v>2</v>
      </c>
      <c r="C11915" s="3">
        <v>44533.826655092591</v>
      </c>
      <c r="D11915" s="1" t="s">
        <v>23562</v>
      </c>
      <c r="E11915" s="1" t="str">
        <f ca="1">IFERROR(__xludf.DUMMYFUNCTION("GOOGLETRANSLATE(A8714 , ""tr"" , ""en"")"),"@drfahrettinkoca Health Minister Tweet in every issue except health")</f>
        <v>@drfahrettinkoca Health Minister Tweet in every issue except health</v>
      </c>
    </row>
    <row r="11916" spans="1:5" ht="15" customHeight="1" x14ac:dyDescent="0.2">
      <c r="A11916" s="1" t="s">
        <v>23563</v>
      </c>
      <c r="B11916" s="1">
        <v>3</v>
      </c>
      <c r="C11916" s="3">
        <v>44533.826643518521</v>
      </c>
      <c r="D11916" s="1" t="s">
        <v>23564</v>
      </c>
      <c r="E11916" s="1" t="str">
        <f ca="1">IFERROR(__xludf.DUMMYFUNCTION("GOOGLETRANSLATE(A8715 , ""tr"" , ""en"")"),"@drfahrettinkoca Disabled Health People Want to be Provided for 4 years Nadirara / Keasnbvgfq")</f>
        <v>@drfahrettinkoca Disabled Health People Want to be Provided for 4 years Nadirara / Keasnbvgfq</v>
      </c>
    </row>
    <row r="11917" spans="1:5" ht="15" customHeight="1" x14ac:dyDescent="0.2">
      <c r="A11917" s="1" t="s">
        <v>23565</v>
      </c>
      <c r="B11917" s="1">
        <v>0</v>
      </c>
      <c r="C11917" s="3">
        <v>44533.825740740744</v>
      </c>
      <c r="D11917" s="1" t="s">
        <v>23566</v>
      </c>
      <c r="E11917" s="1" t="str">
        <f ca="1">IFERROR(__xludf.DUMMYFUNCTION("GOOGLETRANSLATE(A8716 , ""tr"" , ""en"")"),"@drfahrettinkoca Health workers who ruined the underwriting of the tweets of tweets Already the health state every day ... https://t.co/v4I1af15rs")</f>
        <v>@drfahrettinkoca Health workers who ruined the underwriting of the tweets of tweets Already the health state every day ... https://t.co/v4I1af15rs</v>
      </c>
    </row>
    <row r="11918" spans="1:5" ht="15" customHeight="1" x14ac:dyDescent="0.2">
      <c r="A11918" s="1" t="s">
        <v>23567</v>
      </c>
      <c r="B11918" s="1">
        <v>1</v>
      </c>
      <c r="C11918" s="3">
        <v>44533.82104166667</v>
      </c>
      <c r="D11918" s="1" t="s">
        <v>23568</v>
      </c>
      <c r="E11918" s="1" t="str">
        <f ca="1">IFERROR(__xludf.DUMMYFUNCTION("GOOGLETRANSLATE(A8717 , ""tr"" , ""en"")"),"@drfahrettinkoca Mr. Ministry, KPSS 90+ Field 1200 88+ Field 2000 Physiotherapist is waiting for assignment.")</f>
        <v>@drfahrettinkoca Mr. Ministry, KPSS 90+ Field 1200 88+ Field 2000 Physiotherapist is waiting for assignment.</v>
      </c>
    </row>
    <row r="11919" spans="1:5" ht="15" customHeight="1" x14ac:dyDescent="0.2">
      <c r="A11919" s="1" t="s">
        <v>23569</v>
      </c>
      <c r="B11919" s="1">
        <v>1</v>
      </c>
      <c r="C11919" s="3">
        <v>44533.820150462961</v>
      </c>
      <c r="D11919" s="1" t="s">
        <v>23570</v>
      </c>
      <c r="E11919" s="1" t="str">
        <f ca="1">IFERROR(__xludf.DUMMYFUNCTION("GOOGLETRANSLATE(A8718 , ""tr"" , ""en"")"),"@drfahrettinka Mr. Ministry, we expect 2000 stories to physiotherapists, which are the most successful occupational group of KPSS.")</f>
        <v>@drfahrettinka Mr. Ministry, we expect 2000 stories to physiotherapists, which are the most successful occupational group of KPSS.</v>
      </c>
    </row>
    <row r="11920" spans="1:5" ht="15" customHeight="1" x14ac:dyDescent="0.2">
      <c r="A11920" s="1" t="s">
        <v>23571</v>
      </c>
      <c r="B11920" s="1">
        <v>0</v>
      </c>
      <c r="C11920" s="3">
        <v>44533.816203703704</v>
      </c>
      <c r="D11920" s="1" t="s">
        <v>23572</v>
      </c>
      <c r="E11920" s="1" t="str">
        <f ca="1">IFERROR(__xludf.DUMMYFUNCTION("GOOGLETRANSLATE(A8719 , ""tr"" , ""en"")"),"@drfahrettinkoca quit")</f>
        <v>@drfahrettinkoca quit</v>
      </c>
    </row>
    <row r="11921" spans="1:5" ht="15" customHeight="1" x14ac:dyDescent="0.2">
      <c r="A11921" s="1" t="s">
        <v>23573</v>
      </c>
      <c r="B11921" s="1">
        <v>0</v>
      </c>
      <c r="C11921" s="3">
        <v>44533.815960648149</v>
      </c>
      <c r="D11921" s="1" t="s">
        <v>23574</v>
      </c>
      <c r="E11921" s="1" t="str">
        <f ca="1">IFERROR(__xludf.DUMMYFUNCTION("GOOGLETRANSLATE(A8720 , ""tr"" , ""en"")"),"@drfahrettinkoca eveett Health workers have dropped together Congratulations Baganım")</f>
        <v>@drfahrettinkoca eveett Health workers have dropped together Congratulations Baganım</v>
      </c>
    </row>
    <row r="11922" spans="1:5" ht="15" customHeight="1" x14ac:dyDescent="0.2">
      <c r="A11922" s="1" t="s">
        <v>23575</v>
      </c>
      <c r="B11922" s="1">
        <v>0</v>
      </c>
      <c r="C11922" s="3">
        <v>44533.810717592591</v>
      </c>
      <c r="D11922" s="1" t="s">
        <v>23576</v>
      </c>
      <c r="E11922" s="1" t="str">
        <f ca="1">IFERROR(__xludf.DUMMYFUNCTION("GOOGLETRANSLATE(A8721 , ""tr"" , ""en"")"),"@drfahrettinkoca Did you get permission to make this description Did Reiz Dear husband")</f>
        <v>@drfahrettinkoca Did you get permission to make this description Did Reiz Dear husband</v>
      </c>
    </row>
    <row r="11923" spans="1:5" ht="15" customHeight="1" x14ac:dyDescent="0.2">
      <c r="A11923" s="1" t="s">
        <v>23577</v>
      </c>
      <c r="B11923" s="1">
        <v>5</v>
      </c>
      <c r="C11923" s="3">
        <v>44533.810069444444</v>
      </c>
      <c r="D11923" s="1" t="s">
        <v>23578</v>
      </c>
      <c r="E11923" s="1" t="str">
        <f ca="1">IFERROR(__xludf.DUMMYFUNCTION("GOOGLETRANSLATE(A8722 , ""tr"" , ""en"")"),"@drfahrettinkoca #sevimnuricinsesol https://t.co/1jrwpza5nl")</f>
        <v>@drfahrettinkoca #sevimnuricinsesol https://t.co/1jrwpza5nl</v>
      </c>
    </row>
    <row r="11924" spans="1:5" ht="15" customHeight="1" x14ac:dyDescent="0.2">
      <c r="A11924" s="1" t="s">
        <v>23579</v>
      </c>
      <c r="B11924" s="1">
        <v>1</v>
      </c>
      <c r="C11924" s="3">
        <v>44533.809189814812</v>
      </c>
      <c r="D11924" s="1" t="s">
        <v>23580</v>
      </c>
      <c r="E11924" s="1" t="str">
        <f ca="1">IFERROR(__xludf.DUMMYFUNCTION("GOOGLETRANSLATE(A8723 , ""tr"" , ""en"")"),"@drfahrettinka Mr. Minister Looking forward to the employment of disabled people today ... https://t.co/fnh4yeoeaz")</f>
        <v>@drfahrettinka Mr. Minister Looking forward to the employment of disabled people today ... https://t.co/fnh4yeoeaz</v>
      </c>
    </row>
    <row r="11925" spans="1:5" ht="15" customHeight="1" x14ac:dyDescent="0.2">
      <c r="A11925" s="1" t="s">
        <v>23581</v>
      </c>
      <c r="B11925" s="1">
        <v>0</v>
      </c>
      <c r="C11925" s="3">
        <v>44533.80841435185</v>
      </c>
      <c r="D11925" s="1" t="s">
        <v>23582</v>
      </c>
      <c r="E11925" s="1" t="str">
        <f ca="1">IFERROR(__xludf.DUMMYFUNCTION("GOOGLETRANSLATE(A8724 , ""tr"" , ""en"")"),"@drfahrettinkoca 62 percent 28/5 item has disability roporum but can't retire because my last service period is most ... https://t.co/xhkqfbfdb0")</f>
        <v>@drfahrettinkoca 62 percent 28/5 item has disability roporum but can't retire because my last service period is most ... https://t.co/xhkqfbfdb0</v>
      </c>
    </row>
    <row r="11926" spans="1:5" ht="15" customHeight="1" x14ac:dyDescent="0.2">
      <c r="A11926" s="1" t="s">
        <v>23583</v>
      </c>
      <c r="B11926" s="1">
        <v>0</v>
      </c>
      <c r="C11926" s="3">
        <v>44533.807754629626</v>
      </c>
      <c r="D11926" s="1" t="s">
        <v>23584</v>
      </c>
      <c r="E11926" s="1" t="str">
        <f ca="1">IFERROR(__xludf.DUMMYFUNCTION("GOOGLETRANSLATE(A8725 , ""tr"" , ""en"")"),"@drfahrettinkoca Mr. Minister BNM has been handicapped in my father, but cannot benefit from a kind of rights in my father ... https://t.co/raav583JIG")</f>
        <v>@drfahrettinkoca Mr. Minister BNM has been handicapped in my father, but cannot benefit from a kind of rights in my father ... https://t.co/raav583JIG</v>
      </c>
    </row>
    <row r="11927" spans="1:5" ht="15" customHeight="1" x14ac:dyDescent="0.2">
      <c r="A11927" s="1" t="s">
        <v>23585</v>
      </c>
      <c r="B11927" s="1">
        <v>0</v>
      </c>
      <c r="C11927" s="3">
        <v>44533.807337962964</v>
      </c>
      <c r="D11927" s="1" t="s">
        <v>23586</v>
      </c>
      <c r="E11927" s="1" t="str">
        <f ca="1">IFERROR(__xludf.DUMMYFUNCTION("GOOGLETRANSLATE(A8726 , ""tr"" , ""en"")"),"@drfahrettinkoca I say again, I will always say. Racism is only in the context of tan or religious belief ... https://t.co/peguahrb9l")</f>
        <v>@drfahrettinkoca I say again, I will always say. Racism is only in the context of tan or religious belief ... https://t.co/peguahrb9l</v>
      </c>
    </row>
    <row r="11928" spans="1:5" ht="15" customHeight="1" x14ac:dyDescent="0.2">
      <c r="A11928" s="1" t="s">
        <v>23587</v>
      </c>
      <c r="B11928" s="1">
        <v>0</v>
      </c>
      <c r="C11928" s="3">
        <v>44533.803761574076</v>
      </c>
      <c r="D11928" s="1" t="s">
        <v>23588</v>
      </c>
      <c r="E11928" s="1" t="str">
        <f ca="1">IFERROR(__xludf.DUMMYFUNCTION("GOOGLETRANSLATE(A8727 , ""tr"" , ""en"")"),"We understood that @drfahrettinkoca doltor is the most hate that is YSP. Eyvalah")</f>
        <v>We understood that @drfahrettinkoca doltor is the most hate that is YSP. Eyvalah</v>
      </c>
    </row>
    <row r="11929" spans="1:5" ht="15" customHeight="1" x14ac:dyDescent="0.2">
      <c r="A11929" s="1" t="s">
        <v>23589</v>
      </c>
      <c r="B11929" s="1">
        <v>0</v>
      </c>
      <c r="C11929" s="3">
        <v>44533.803761574076</v>
      </c>
      <c r="D11929" s="1" t="s">
        <v>23590</v>
      </c>
      <c r="E11929" s="1" t="str">
        <f ca="1">IFERROR(__xludf.DUMMYFUNCTION("GOOGLETRANSLATE(A8728 , ""tr"" , ""en"")"),"@drfahrettinkoca is the only doctors of the institution you have made your ministry only doctors Beyfendi? Your dry ... https://t.co/pn2dvakaic")</f>
        <v>@drfahrettinkoca is the only doctors of the institution you have made your ministry only doctors Beyfendi? Your dry ... https://t.co/pn2dvakaic</v>
      </c>
    </row>
    <row r="11930" spans="1:5" ht="15" customHeight="1" x14ac:dyDescent="0.2">
      <c r="A11930" s="1" t="s">
        <v>23591</v>
      </c>
      <c r="B11930" s="1">
        <v>4</v>
      </c>
      <c r="C11930" s="3">
        <v>44533.803252314814</v>
      </c>
      <c r="D11930" s="1" t="s">
        <v>23592</v>
      </c>
      <c r="E11930" s="1" t="str">
        <f ca="1">IFERROR(__xludf.DUMMYFUNCTION("GOOGLETRANSLATE(A8729 , ""tr"" , ""en"")"),"@drfahrettinkoca omicron variant, taste, fragrance loss, cough, nasal flow.")</f>
        <v>@drfahrettinkoca omicron variant, taste, fragrance loss, cough, nasal flow.</v>
      </c>
    </row>
    <row r="11931" spans="1:5" ht="15" customHeight="1" x14ac:dyDescent="0.2">
      <c r="A11931" s="1" t="s">
        <v>23593</v>
      </c>
      <c r="B11931" s="1">
        <v>0</v>
      </c>
      <c r="C11931" s="3">
        <v>44533.801122685189</v>
      </c>
      <c r="D11931" s="1" t="s">
        <v>23594</v>
      </c>
      <c r="E11931" s="1" t="str">
        <f ca="1">IFERROR(__xludf.DUMMYFUNCTION("GOOGLETRANSLATE(A8730 , ""tr"" , ""en"")"),"@drfahrettinkoca how long have you had a sense of grudge sense to doctors have done well you have done this feelings")</f>
        <v>@drfahrettinkoca how long have you had a sense of grudge sense to doctors have done well you have done this feelings</v>
      </c>
    </row>
    <row r="11932" spans="1:5" ht="15" customHeight="1" x14ac:dyDescent="0.2">
      <c r="A11932" s="1" t="s">
        <v>23595</v>
      </c>
      <c r="B11932" s="1">
        <v>3</v>
      </c>
      <c r="C11932" s="3">
        <v>44533.799409722225</v>
      </c>
      <c r="D11932" s="1" t="s">
        <v>23596</v>
      </c>
      <c r="E11932" s="1" t="str">
        <f ca="1">IFERROR(__xludf.DUMMYFUNCTION("GOOGLETRANSLATE(A8731 , ""tr"" , ""en"")"),"@drfahrettinkoca Lancet Whether the bulk inoculation stops disease, FUL grafted people rise the disease rate ... https://t.co/j4m9txvppt")</f>
        <v>@drfahrettinkoca Lancet Whether the bulk inoculation stops disease, FUL grafted people rise the disease rate ... https://t.co/j4m9txvppt</v>
      </c>
    </row>
    <row r="11933" spans="1:5" ht="15" customHeight="1" x14ac:dyDescent="0.2">
      <c r="A11933" s="1" t="s">
        <v>23597</v>
      </c>
      <c r="B11933" s="1">
        <v>0</v>
      </c>
      <c r="C11933" s="3">
        <v>44533.798090277778</v>
      </c>
      <c r="D11933" s="1" t="s">
        <v>23598</v>
      </c>
      <c r="E11933" s="1" t="str">
        <f ca="1">IFERROR(__xludf.DUMMYFUNCTION("GOOGLETRANSLATE(A8732 , ""tr"" , ""en"")"),"@drfahrettinka you hated us on the profession. Thanks to each other thanks @drfahrettinkoca is the largest applause size👏👏👏")</f>
        <v>@drfahrettinka you hated us on the profession. Thanks to each other thanks @drfahrettinkoca is the largest applause size👏👏👏</v>
      </c>
    </row>
    <row r="11934" spans="1:5" ht="15" customHeight="1" x14ac:dyDescent="0.2">
      <c r="A11934" s="1" t="s">
        <v>23599</v>
      </c>
      <c r="B11934" s="1">
        <v>1</v>
      </c>
      <c r="C11934" s="3">
        <v>44533.797696759262</v>
      </c>
      <c r="D11934" s="1" t="s">
        <v>23600</v>
      </c>
      <c r="E11934" s="1" t="str">
        <f ca="1">IFERROR(__xludf.DUMMYFUNCTION("GOOGLETRANSLATE(A8733 , ""tr"" , ""en"")"),"@drfahrettinkoca I'm no longer able to protect my mental health I want to be appointed my minister and you are still not assigning ... https://t.co/6gl740zcgn")</f>
        <v>@drfahrettinkoca I'm no longer able to protect my mental health I want to be appointed my minister and you are still not assigning ... https://t.co/6gl740zcgn</v>
      </c>
    </row>
    <row r="11935" spans="1:5" ht="15" customHeight="1" x14ac:dyDescent="0.2">
      <c r="A11935" s="1" t="s">
        <v>23601</v>
      </c>
      <c r="B11935" s="1">
        <v>4</v>
      </c>
      <c r="C11935" s="3">
        <v>44533.797685185185</v>
      </c>
      <c r="D11935" s="1" t="s">
        <v>23602</v>
      </c>
      <c r="E11935" s="1" t="str">
        <f ca="1">IFERROR(__xludf.DUMMYFUNCTION("GOOGLETRANSLATE(A8734 , ""tr"" , ""en"")"),"@drfahrettinkoca Be Sevimnurun Sound to Sound Fahrettin Bey Hear This Giant Girl # Sevimnuricinsesol ... https://t.co/wdjwipISCD")</f>
        <v>@drfahrettinkoca Be Sevimnurun Sound to Sound Fahrettin Bey Hear This Giant Girl # Sevimnuricinsesol ... https://t.co/wdjwipISCD</v>
      </c>
    </row>
    <row r="11936" spans="1:5" ht="15" customHeight="1" x14ac:dyDescent="0.2">
      <c r="A11936" s="1" t="s">
        <v>23603</v>
      </c>
      <c r="B11936" s="1">
        <v>0</v>
      </c>
      <c r="C11936" s="3">
        <v>44533.796122685184</v>
      </c>
      <c r="D11936" s="1" t="s">
        <v>23604</v>
      </c>
      <c r="E11936" s="1" t="str">
        <f ca="1">IFERROR(__xludf.DUMMYFUNCTION("GOOGLETRANSLATE(A8735 , ""tr"" , ""en"")"),"@drfahrettinka Mr. Minister The reason for the sense of the day of the day, such ornate sentences such as fancy sentences are beautiful, plenty of plumbs ... https://t.co/ow67eqikgl")</f>
        <v>@drfahrettinka Mr. Minister The reason for the sense of the day of the day, such ornate sentences such as fancy sentences are beautiful, plenty of plumbs ... https://t.co/ow67eqikgl</v>
      </c>
    </row>
    <row r="11937" spans="1:5" ht="15" customHeight="1" x14ac:dyDescent="0.2">
      <c r="A11937" s="1" t="s">
        <v>23605</v>
      </c>
      <c r="B11937" s="1">
        <v>0</v>
      </c>
      <c r="C11937" s="3">
        <v>44533.795925925922</v>
      </c>
      <c r="D11937" s="1" t="s">
        <v>23606</v>
      </c>
      <c r="E11937" s="1" t="str">
        <f ca="1">IFERROR(__xludf.DUMMYFUNCTION("GOOGLETRANSLATE(A8736 , ""tr"" , ""en"")"),"@drfahrettinkoca Pfizer money for money began to disclose us with drugs, vaccines in America in America ... https://t.co/5kqzuezxzx")</f>
        <v>@drfahrettinkoca Pfizer money for money began to disclose us with drugs, vaccines in America in America ... https://t.co/5kqzuezxzx</v>
      </c>
    </row>
    <row r="11938" spans="1:5" ht="15" customHeight="1" x14ac:dyDescent="0.2">
      <c r="A11938" s="1" t="s">
        <v>23607</v>
      </c>
      <c r="B11938" s="1">
        <v>0</v>
      </c>
      <c r="C11938" s="3">
        <v>44533.794085648151</v>
      </c>
      <c r="D11938" s="1" t="s">
        <v>23608</v>
      </c>
      <c r="E11938" s="1" t="str">
        <f ca="1">IFERROR(__xludf.DUMMYFUNCTION("GOOGLETRANSLATE(A8737 , ""tr"" , ""en"")"),"@drfahrettinkoca Math Geometry YKS AYT TYT LGS KPSS AYT TYT LGS KPSS AYTS DGS Thread Expression Question Cozumler Trial Cozumler ... https://t.co/thf6an15hy")</f>
        <v>@drfahrettinkoca Math Geometry YKS AYT TYT LGS KPSS AYT TYT LGS KPSS AYTS DGS Thread Expression Question Cozumler Trial Cozumler ... https://t.co/thf6an15hy</v>
      </c>
    </row>
    <row r="11939" spans="1:5" ht="15" customHeight="1" x14ac:dyDescent="0.2">
      <c r="A11939" s="1" t="s">
        <v>23609</v>
      </c>
      <c r="B11939" s="1">
        <v>1</v>
      </c>
      <c r="C11939" s="3">
        <v>44533.793819444443</v>
      </c>
      <c r="D11939" s="1" t="s">
        <v>23610</v>
      </c>
      <c r="E11939" s="1" t="str">
        <f ca="1">IFERROR(__xludf.DUMMYFUNCTION("GOOGLETRANSLATE(A8738 , ""tr"" , ""en"")"),"@drfahrettinkoca wall spoken though though it is no longer able to post the guide to the President Explained the President ... https://t.co/cdorustusl")</f>
        <v>@drfahrettinkoca wall spoken though though it is no longer able to post the guide to the President Explained the President ... https://t.co/cdorustusl</v>
      </c>
    </row>
    <row r="11940" spans="1:5" ht="15" customHeight="1" x14ac:dyDescent="0.2">
      <c r="A11940" s="1" t="s">
        <v>23611</v>
      </c>
      <c r="B11940" s="1">
        <v>1</v>
      </c>
      <c r="C11940" s="3">
        <v>44533.791967592595</v>
      </c>
      <c r="D11940" s="1" t="s">
        <v>23612</v>
      </c>
      <c r="E11940" s="1" t="str">
        <f ca="1">IFERROR(__xludf.DUMMYFUNCTION("GOOGLETRANSLATE(A8739 , ""tr"" , ""en"")"),"@drfahrettinkoca Either allah is enough to say to the sake of allah or is it hard to say that is it so much it's all in your eye")</f>
        <v>@drfahrettinkoca Either allah is enough to say to the sake of allah or is it hard to say that is it so much it's all in your eye</v>
      </c>
    </row>
    <row r="11941" spans="1:5" ht="15" customHeight="1" x14ac:dyDescent="0.2">
      <c r="A11941" s="1" t="s">
        <v>23613</v>
      </c>
      <c r="B11941" s="1">
        <v>0</v>
      </c>
      <c r="C11941" s="3">
        <v>44533.791331018518</v>
      </c>
      <c r="D11941" s="1" t="s">
        <v>23614</v>
      </c>
      <c r="E11941" s="1" t="str">
        <f ca="1">IFERROR(__xludf.DUMMYFUNCTION("GOOGLETRANSLATE(A8740 , ""tr"" , ""en"")"),"@drfahrettinkoca Ministry of Union. We don't want to raise the salary. Leasoned Union EBE Nurse Att Executives Latest V ... https://t.co/m4wtsgg8yo")</f>
        <v>@drfahrettinkoca Ministry of Union. We don't want to raise the salary. Leasoned Union EBE Nurse Att Executives Latest V ... https://t.co/m4wtsgg8yo</v>
      </c>
    </row>
    <row r="11942" spans="1:5" ht="15" customHeight="1" x14ac:dyDescent="0.2">
      <c r="A11942" s="1" t="s">
        <v>23615</v>
      </c>
      <c r="B11942" s="1">
        <v>0</v>
      </c>
      <c r="C11942" s="3">
        <v>44533.788472222222</v>
      </c>
      <c r="D11942" s="1" t="s">
        <v>23616</v>
      </c>
      <c r="E11942" s="1" t="str">
        <f ca="1">IFERROR(__xludf.DUMMYFUNCTION("GOOGLETRANSLATE(A8741 , ""tr"" , ""en"")"),"@drfahrettinkoca for you is the value of the human value with the experiment mouse SU 566 honorary money you are selling the death drugs you get ... https://t.co/8unbg4vqjm")</f>
        <v>@drfahrettinkoca for you is the value of the human value with the experiment mouse SU 566 honorary money you are selling the death drugs you get ... https://t.co/8unbg4vqjm</v>
      </c>
    </row>
    <row r="11943" spans="1:5" ht="15" customHeight="1" x14ac:dyDescent="0.2">
      <c r="A11943" s="1" t="s">
        <v>23617</v>
      </c>
      <c r="B11943" s="1">
        <v>0</v>
      </c>
      <c r="C11943" s="3">
        <v>44533.787685185183</v>
      </c>
      <c r="D11943" s="1" t="s">
        <v>23618</v>
      </c>
      <c r="E11943" s="1" t="str">
        <f ca="1">IFERROR(__xludf.DUMMYFUNCTION("GOOGLETRANSLATE(A8742 , ""tr"" , ""en"")"),"@drfahrettinkoca These pats are worth # obstacle 10")</f>
        <v>@drfahrettinkoca These pats are worth # obstacle 10</v>
      </c>
    </row>
    <row r="11944" spans="1:5" ht="15" customHeight="1" x14ac:dyDescent="0.2">
      <c r="A11944" s="1" t="s">
        <v>23619</v>
      </c>
      <c r="B11944" s="1">
        <v>0</v>
      </c>
      <c r="C11944" s="3">
        <v>44533.787245370368</v>
      </c>
      <c r="D11944" s="1" t="s">
        <v>23620</v>
      </c>
      <c r="E11944" s="1" t="str">
        <f ca="1">IFERROR(__xludf.DUMMYFUNCTION("GOOGLETRANSLATE(A8743 , ""tr"" , ""en"")"),"@drfahrettinkoca is the largest obstacle overlooking the healthpieces of the health care")</f>
        <v>@drfahrettinkoca is the largest obstacle overlooking the healthpieces of the health care</v>
      </c>
    </row>
    <row r="11945" spans="1:5" ht="15" customHeight="1" x14ac:dyDescent="0.2">
      <c r="A11945" s="1" t="s">
        <v>23621</v>
      </c>
      <c r="B11945" s="1">
        <v>5</v>
      </c>
      <c r="C11945" s="3">
        <v>44533.785034722219</v>
      </c>
      <c r="D11945" s="1" t="s">
        <v>23622</v>
      </c>
      <c r="E11945" s="1" t="str">
        <f ca="1">IFERROR(__xludf.DUMMYFUNCTION("GOOGLETRANSLATE(A8744 , ""tr"" , ""en"")"),"@drfahrettinkoca Support Waiting #Sevimnuricinsesol https://t.co/6vls4IMPCP")</f>
        <v>@drfahrettinkoca Support Waiting #Sevimnuricinsesol https://t.co/6vls4IMPCP</v>
      </c>
    </row>
    <row r="11946" spans="1:5" ht="15" customHeight="1" x14ac:dyDescent="0.2">
      <c r="A11946" s="1" t="s">
        <v>23623</v>
      </c>
      <c r="B11946" s="1">
        <v>1</v>
      </c>
      <c r="C11946" s="3">
        <v>44533.784722222219</v>
      </c>
      <c r="D11946" s="1" t="s">
        <v>23624</v>
      </c>
      <c r="E11946" s="1" t="str">
        <f ca="1">IFERROR(__xludf.DUMMYFUNCTION("GOOGLETRANSLATE(A8745 , ""tr"" , ""en"")"),"@drfahrettinkoca Mr. Minister We waited 3 weeks to supply the flu vaccine for my 97% disabled mother. About 2 hours ... https://t.co/B6llGXLIB4")</f>
        <v>@drfahrettinkoca Mr. Minister We waited 3 weeks to supply the flu vaccine for my 97% disabled mother. About 2 hours ... https://t.co/B6llGXLIB4</v>
      </c>
    </row>
    <row r="11947" spans="1:5" ht="15" customHeight="1" x14ac:dyDescent="0.2">
      <c r="A11947" s="1" t="s">
        <v>15979</v>
      </c>
      <c r="B11947" s="1">
        <v>0</v>
      </c>
      <c r="C11947" s="3">
        <v>44533.78402777778</v>
      </c>
      <c r="D11947" s="1" t="s">
        <v>23625</v>
      </c>
      <c r="E11947" s="1" t="str">
        <f ca="1">IFERROR(__xludf.DUMMYFUNCTION("GOOGLETRANSLATE(A8746 , ""tr"" , ""en"")"),"@drfahrettinkoca guanuzzz")</f>
        <v>@drfahrettinkoca guanuzzz</v>
      </c>
    </row>
    <row r="11948" spans="1:5" ht="15" customHeight="1" x14ac:dyDescent="0.2">
      <c r="A11948" s="1" t="s">
        <v>23626</v>
      </c>
      <c r="B11948" s="1">
        <v>11</v>
      </c>
      <c r="C11948" s="3">
        <v>44533.782719907409</v>
      </c>
      <c r="D11948" s="1" t="s">
        <v>23627</v>
      </c>
      <c r="E11948" s="1" t="str">
        <f ca="1">IFERROR(__xludf.DUMMYFUNCTION("GOOGLETRANSLATE(A8747 , ""tr"" , ""en"")"),"@drfahrettinkoca discarded Twatler Asked Questions Minister when you will hear us for a year for a year wait ... https://t.co/5bqzxyykw4")</f>
        <v>@drfahrettinkoca discarded Twatler Asked Questions Minister when you will hear us for a year for a year wait ... https://t.co/5bqzxyykw4</v>
      </c>
    </row>
    <row r="11949" spans="1:5" ht="15" customHeight="1" x14ac:dyDescent="0.2">
      <c r="A11949" s="1" t="s">
        <v>23628</v>
      </c>
      <c r="B11949" s="1">
        <v>0</v>
      </c>
      <c r="C11949" s="3">
        <v>44533.782141203701</v>
      </c>
      <c r="D11949" s="1" t="s">
        <v>23629</v>
      </c>
      <c r="E11949" s="1" t="str">
        <f ca="1">IFERROR(__xludf.DUMMYFUNCTION("GOOGLETRANSLATE(A8748 , ""tr"" , ""en"")"),"@drfahrettinkoca There is no full people! Has not been, it will not be.")</f>
        <v>@drfahrettinkoca There is no full people! Has not been, it will not be.</v>
      </c>
    </row>
    <row r="11950" spans="1:5" ht="15" customHeight="1" x14ac:dyDescent="0.2">
      <c r="A11950" s="1" t="s">
        <v>23630</v>
      </c>
      <c r="B11950" s="1">
        <v>0</v>
      </c>
      <c r="C11950" s="3">
        <v>44533.781446759262</v>
      </c>
      <c r="D11950" s="1" t="s">
        <v>23631</v>
      </c>
      <c r="E11950" s="1" t="str">
        <f ca="1">IFERROR(__xludf.DUMMYFUNCTION("GOOGLETRANSLATE(A8749 , ""tr"" , ""en"")"),"@drfahrettinka months are ignoring people waiting for the months is that the right that you do? @MozdeDiScioGL @drfahrettinkoca")</f>
        <v>@drfahrettinka months are ignoring people waiting for the months is that the right that you do? @MozdeDiScioGL @drfahrettinkoca</v>
      </c>
    </row>
    <row r="11951" spans="1:5" ht="15" customHeight="1" x14ac:dyDescent="0.2">
      <c r="A11951" s="1" t="s">
        <v>23632</v>
      </c>
      <c r="B11951" s="1">
        <v>0</v>
      </c>
      <c r="C11951" s="3">
        <v>44533.781319444446</v>
      </c>
      <c r="D11951" s="1" t="s">
        <v>23633</v>
      </c>
      <c r="E11951" s="1" t="str">
        <f ca="1">IFERROR(__xludf.DUMMYFUNCTION("GOOGLETRANSLATE(A8750 , ""tr"" , ""en"")"),"@drfahrettinkoca orthotics, prosthesis, causing foreign currency as high fees in electronic disabled devices ... https://t.co/dpxkatl9iy")</f>
        <v>@drfahrettinkoca orthotics, prosthesis, causing foreign currency as high fees in electronic disabled devices ... https://t.co/dpxkatl9iy</v>
      </c>
    </row>
    <row r="11952" spans="1:5" ht="15" customHeight="1" x14ac:dyDescent="0.2">
      <c r="A11952" s="1" t="s">
        <v>23634</v>
      </c>
      <c r="B11952" s="1">
        <v>17</v>
      </c>
      <c r="C11952" s="3">
        <v>44533.779861111114</v>
      </c>
      <c r="D11952" s="1" t="s">
        <v>23635</v>
      </c>
      <c r="E11952" s="1" t="str">
        <f ca="1">IFERROR(__xludf.DUMMYFUNCTION("GOOGLETRANSLATE(A8751 , ""tr"" , ""en"")"),"@drfahrettinkoca is waiting for assigning physiotherapists to eliminate obstacles more obstacle ... https://t.co/v4zwbvcp4x")</f>
        <v>@drfahrettinkoca is waiting for assigning physiotherapists to eliminate obstacles more obstacle ... https://t.co/v4zwbvcp4x</v>
      </c>
    </row>
    <row r="11953" spans="1:5" ht="15" customHeight="1" x14ac:dyDescent="0.2">
      <c r="A11953" s="1" t="s">
        <v>23636</v>
      </c>
      <c r="B11953" s="1">
        <v>0</v>
      </c>
      <c r="C11953" s="3">
        <v>44533.77983796296</v>
      </c>
      <c r="D11953" s="1" t="s">
        <v>23637</v>
      </c>
      <c r="E11953" s="1" t="str">
        <f ca="1">IFERROR(__xludf.DUMMYFUNCTION("GOOGLETRANSLATE(A8752 , ""tr"" , ""en"")"),"@drfahrettinkoca Allah in your bulletin for Allah in your Newsletter Why has no single assignment whereas you have given words")</f>
        <v>@drfahrettinkoca Allah in your bulletin for Allah in your Newsletter Why has no single assignment whereas you have given words</v>
      </c>
    </row>
    <row r="11954" spans="1:5" ht="15" customHeight="1" x14ac:dyDescent="0.2">
      <c r="A11954" s="1" t="s">
        <v>23638</v>
      </c>
      <c r="B11954" s="1">
        <v>3</v>
      </c>
      <c r="C11954" s="3">
        <v>44533.779085648152</v>
      </c>
      <c r="D11954" s="1" t="s">
        <v>23639</v>
      </c>
      <c r="E11954" s="1" t="str">
        <f ca="1">IFERROR(__xludf.DUMMYFUNCTION("GOOGLETRANSLATE(A8753 , ""tr"" , ""en"")"),"@drfahrettinkoca You are playing with our dreams You have been words for months You don't keep your waiting for your waiters ... https://t.co/xn4lrkjqqjj")</f>
        <v>@drfahrettinkoca You are playing with our dreams You have been words for months You don't keep your waiting for your waiters ... https://t.co/xn4lrkjqqjj</v>
      </c>
    </row>
    <row r="11955" spans="1:5" ht="15" customHeight="1" x14ac:dyDescent="0.2">
      <c r="A11955" s="1" t="s">
        <v>23640</v>
      </c>
      <c r="B11955" s="1">
        <v>1</v>
      </c>
      <c r="C11955" s="3">
        <v>44533.778981481482</v>
      </c>
      <c r="D11955" s="1" t="s">
        <v>23641</v>
      </c>
      <c r="E11955" s="1" t="str">
        <f ca="1">IFERROR(__xludf.DUMMYFUNCTION("GOOGLETRANSLATE(A8754 , ""tr"" , ""en"")"),"@drfahrettinka Mr. Ministry @drfahrettinka barrier as healthcareists as our own occupation with great impatience ... https://t.co/7tddpobubz")</f>
        <v>@drfahrettinka Mr. Ministry @drfahrettinka barrier as healthcareists as our own occupation with great impatience ... https://t.co/7tddpobubz</v>
      </c>
    </row>
    <row r="11956" spans="1:5" ht="15" customHeight="1" x14ac:dyDescent="0.2">
      <c r="A11956" s="1" t="s">
        <v>23642</v>
      </c>
      <c r="B11956" s="1">
        <v>5</v>
      </c>
      <c r="C11956" s="3">
        <v>44533.778611111113</v>
      </c>
      <c r="D11956" s="1" t="s">
        <v>23643</v>
      </c>
      <c r="E11956" s="1" t="str">
        <f ca="1">IFERROR(__xludf.DUMMYFUNCTION("GOOGLETRANSLATE(A8755 , ""tr"" , ""en"")"),"@DrFahrettinkoca # When will the payment on medical company will be made? Mr. Ministry @drfahrettinka gentleman this search ... https://t.co/ux4joug46t")</f>
        <v>@DrFahrettinkoca # When will the payment on medical company will be made? Mr. Ministry @drfahrettinka gentleman this search ... https://t.co/ux4joug46t</v>
      </c>
    </row>
    <row r="11957" spans="1:5" ht="15" customHeight="1" x14ac:dyDescent="0.2">
      <c r="A11957" s="1" t="s">
        <v>23644</v>
      </c>
      <c r="B11957" s="1">
        <v>2</v>
      </c>
      <c r="C11957" s="3">
        <v>44533.777708333335</v>
      </c>
      <c r="D11957" s="1" t="s">
        <v>23645</v>
      </c>
      <c r="E11957" s="1" t="str">
        <f ca="1">IFERROR(__xludf.DUMMYFUNCTION("GOOGLETRANSLATE(A8756 , ""tr"" , ""en"")"),"@drfahrettinka Mr. Ministry We have received the diploma in the same conditions as our other healthcare friends, but the right ... HTTPS://T.CO/AXTFOMCWIA")</f>
        <v>@drfahrettinka Mr. Ministry We have received the diploma in the same conditions as our other healthcare friends, but the right ... HTTPS://T.CO/AXTFOMCWIA</v>
      </c>
    </row>
    <row r="11958" spans="1:5" ht="15" customHeight="1" x14ac:dyDescent="0.2">
      <c r="A11958" s="1" t="s">
        <v>23646</v>
      </c>
      <c r="B11958" s="1">
        <v>0</v>
      </c>
      <c r="C11958" s="3">
        <v>44533.777372685188</v>
      </c>
      <c r="D11958" s="1" t="s">
        <v>23647</v>
      </c>
      <c r="E11958" s="1" t="str">
        <f ca="1">IFERROR(__xludf.DUMMYFUNCTION("GOOGLETRANSLATE(A8757 , ""tr"" , ""en"")"),"@drfahrettinkoca help my minister")</f>
        <v>@drfahrettinkoca help my minister</v>
      </c>
    </row>
    <row r="11959" spans="1:5" ht="15" customHeight="1" x14ac:dyDescent="0.2">
      <c r="A11959" s="1" t="s">
        <v>23648</v>
      </c>
      <c r="B11959" s="1">
        <v>0</v>
      </c>
      <c r="C11959" s="3">
        <v>44533.776921296296</v>
      </c>
      <c r="D11959" s="1" t="s">
        <v>23649</v>
      </c>
      <c r="E11959" s="1" t="str">
        <f ca="1">IFERROR(__xludf.DUMMYFUNCTION("GOOGLETRANSLATE(A8758 , ""tr"" , ""en"")"),"@drfahrettinkoca Ministry of Health Doctors in Health Committees are also reporting bribery cars as well as me ... https://t.co/hzlbcxjezx")</f>
        <v>@drfahrettinkoca Ministry of Health Doctors in Health Committees are also reporting bribery cars as well as me ... https://t.co/hzlbcxjezx</v>
      </c>
    </row>
    <row r="11960" spans="1:5" ht="15" customHeight="1" x14ac:dyDescent="0.2">
      <c r="A11960" s="1" t="s">
        <v>23650</v>
      </c>
      <c r="B11960" s="1">
        <v>1</v>
      </c>
      <c r="C11960" s="3">
        <v>44533.776886574073</v>
      </c>
      <c r="D11960" s="1" t="s">
        <v>23651</v>
      </c>
      <c r="E11960" s="1" t="str">
        <f ca="1">IFERROR(__xludf.DUMMYFUNCTION("GOOGLETRANSLATE(A8759 , ""tr"" , ""en"")"),"@drfahrettinkoca Mr. Ministry @drfahrettinkoca for 4 years we have been obstacle healthcare agencies Department of Health Bi ... https://t.co/3nlvdrkb3s")</f>
        <v>@drfahrettinkoca Mr. Ministry @drfahrettinkoca for 4 years we have been obstacle healthcare agencies Department of Health Bi ... https://t.co/3nlvdrkb3s</v>
      </c>
    </row>
    <row r="11961" spans="1:5" ht="15" customHeight="1" x14ac:dyDescent="0.2">
      <c r="A11961" s="1" t="s">
        <v>23652</v>
      </c>
      <c r="B11961" s="1">
        <v>1</v>
      </c>
      <c r="C11961" s="3">
        <v>44533.776400462964</v>
      </c>
      <c r="D11961" s="1" t="s">
        <v>23653</v>
      </c>
      <c r="E11961" s="1" t="str">
        <f ca="1">IFERROR(__xludf.DUMMYFUNCTION("GOOGLETRANSLATE(A8760 , ""tr"" , ""en"")"),"@drfahrettinkoca yaw bi go, you're the biggest obstacle to living. In two cihta, you will also give your account / can't give it built.")</f>
        <v>@drfahrettinkoca yaw bi go, you're the biggest obstacle to living. In two cihta, you will also give your account / can't give it built.</v>
      </c>
    </row>
    <row r="11962" spans="1:5" ht="15" customHeight="1" x14ac:dyDescent="0.2">
      <c r="A11962" s="1" t="s">
        <v>23654</v>
      </c>
      <c r="B11962" s="1">
        <v>1</v>
      </c>
      <c r="C11962" s="3">
        <v>44533.775451388887</v>
      </c>
      <c r="D11962" s="1" t="s">
        <v>23655</v>
      </c>
      <c r="E11962" s="1" t="str">
        <f ca="1">IFERROR(__xludf.DUMMYFUNCTION("GOOGLETRANSLATE(A8761 , ""tr"" , ""en"")"),"@drfahrettinkoca Stop Disability Cross anymore! We have entered EkpsS with the hope of being appointed 4 years Staff did not open Bug ... https://t.co/qpwfxmrjav")</f>
        <v>@drfahrettinkoca Stop Disability Cross anymore! We have entered EkpsS with the hope of being appointed 4 years Staff did not open Bug ... https://t.co/qpwfxmrjav</v>
      </c>
    </row>
    <row r="11963" spans="1:5" ht="15" customHeight="1" x14ac:dyDescent="0.2">
      <c r="A11963" s="1" t="s">
        <v>23656</v>
      </c>
      <c r="B11963" s="1">
        <v>0</v>
      </c>
      <c r="C11963" s="3">
        <v>44533.775196759256</v>
      </c>
      <c r="D11963" s="1" t="s">
        <v>23657</v>
      </c>
      <c r="E11963" s="1" t="str">
        <f ca="1">IFERROR(__xludf.DUMMYFUNCTION("GOOGLETRANSLATE(A8762 , ""tr"" , ""en"")"),"@drfahrettinkoca obstacle not in the head The obstacle in the body is not very important")</f>
        <v>@drfahrettinkoca obstacle not in the head The obstacle in the body is not very important</v>
      </c>
    </row>
    <row r="11964" spans="1:5" ht="15" customHeight="1" x14ac:dyDescent="0.2">
      <c r="A11964" s="1" t="s">
        <v>23658</v>
      </c>
      <c r="B11964" s="1">
        <v>1</v>
      </c>
      <c r="C11964" s="3">
        <v>44533.775104166663</v>
      </c>
      <c r="D11964" s="1" t="s">
        <v>23659</v>
      </c>
      <c r="E11964" s="1" t="str">
        <f ca="1">IFERROR(__xludf.DUMMYFUNCTION("GOOGLETRANSLATE(A8763 , ""tr"" , ""en"")"),"@drfahrettinkoca Stop Disability Cross anymore! We entered EKPSS in the hope of being appointed 4 years You didn't open the staff even ... https://t.co/3n5v22s21c")</f>
        <v>@drfahrettinkoca Stop Disability Cross anymore! We entered EKPSS in the hope of being appointed 4 years You didn't open the staff even ... https://t.co/3n5v22s21c</v>
      </c>
    </row>
    <row r="11965" spans="1:5" ht="15" customHeight="1" x14ac:dyDescent="0.2">
      <c r="A11965" s="1" t="s">
        <v>23660</v>
      </c>
      <c r="B11965" s="1">
        <v>1</v>
      </c>
      <c r="C11965" s="3">
        <v>44533.774189814816</v>
      </c>
      <c r="D11965" s="1" t="s">
        <v>23661</v>
      </c>
      <c r="E11965" s="1" t="str">
        <f ca="1">IFERROR(__xludf.DUMMYFUNCTION("GOOGLETRANSLATE(A8764 , ""tr"" , ""en"")"),"@drfahrettinkoca # 3arışırıyaEnglasses DOWN SENDROMA with Sever Report in EngineerGore, but also past day ... https://t.co/nkjnnz3lzy")</f>
        <v>@drfahrettinkoca # 3arışırıyaEnglasses DOWN SENDROMA with Sever Report in EngineerGore, but also past day ... https://t.co/nkjnnz3lzy</v>
      </c>
    </row>
    <row r="11966" spans="1:5" ht="15" customHeight="1" x14ac:dyDescent="0.2">
      <c r="A11966" s="1" t="s">
        <v>23662</v>
      </c>
      <c r="B11966" s="1">
        <v>0</v>
      </c>
      <c r="C11966" s="3">
        <v>44533.774178240739</v>
      </c>
      <c r="D11966" s="1" t="s">
        <v>23663</v>
      </c>
      <c r="E11966" s="1" t="str">
        <f ca="1">IFERROR(__xludf.DUMMYFUNCTION("GOOGLETRANSLATE(A8765 , ""tr"" , ""en"")"),"@drfahrettinkoca yeah today is an obstacle day minister for us in just 3 ranges as a disability in the minister ... https://t.co/xu7fouynz3")</f>
        <v>@drfahrettinkoca yeah today is an obstacle day minister for us in just 3 ranges as a disability in the minister ... https://t.co/xu7fouynz3</v>
      </c>
    </row>
    <row r="11967" spans="1:5" ht="15" customHeight="1" x14ac:dyDescent="0.2">
      <c r="A11967" s="1" t="s">
        <v>23664</v>
      </c>
      <c r="B11967" s="1">
        <v>4</v>
      </c>
      <c r="C11967" s="3">
        <v>44533.773981481485</v>
      </c>
      <c r="D11967" s="1" t="s">
        <v>23665</v>
      </c>
      <c r="E11967" s="1" t="str">
        <f ca="1">IFERROR(__xludf.DUMMYFUNCTION("GOOGLETRANSLATE(A8766 , ""tr"" , ""en"")"),"@drfahrettinkoca #sevimnuricinses Please make you support on your Sevimnur by supporting you ... https://t.co/vzndeoyqhk")</f>
        <v>@drfahrettinkoca #sevimnuricinses Please make you support on your Sevimnur by supporting you ... https://t.co/vzndeoyqhk</v>
      </c>
    </row>
    <row r="11968" spans="1:5" ht="15" customHeight="1" x14ac:dyDescent="0.2">
      <c r="A11968" s="1" t="s">
        <v>23666</v>
      </c>
      <c r="B11968" s="1">
        <v>4</v>
      </c>
      <c r="C11968" s="3">
        <v>44533.773229166669</v>
      </c>
      <c r="D11968" s="1" t="s">
        <v>23667</v>
      </c>
      <c r="E11968" s="1" t="str">
        <f ca="1">IFERROR(__xludf.DUMMYFUNCTION("GOOGLETRANSLATE(A8767 , ""tr"" , ""en"")"),"@drfahrettinkoca There are ministries with obstacles for disabled people Please hear our voice Disabled Healthiers Assignment Welded ... https://t.co/imalwolg8t")</f>
        <v>@drfahrettinkoca There are ministries with obstacles for disabled people Please hear our voice Disabled Healthiers Assignment Welded ... https://t.co/imalwolg8t</v>
      </c>
    </row>
    <row r="11969" spans="1:5" ht="15" customHeight="1" x14ac:dyDescent="0.2">
      <c r="A11969" s="1" t="s">
        <v>23668</v>
      </c>
      <c r="B11969" s="1">
        <v>0</v>
      </c>
      <c r="C11969" s="3">
        <v>44533.772557870368</v>
      </c>
      <c r="D11969" s="1" t="s">
        <v>23669</v>
      </c>
      <c r="E11969" s="1" t="str">
        <f ca="1">IFERROR(__xludf.DUMMYFUNCTION("GOOGLETRANSLATE(A8768 , ""tr"" , ""en"")"),"@drfahrettinkoca Seriously I'm so wondering how much you will be able to release the manual to not publish the manual. Si ... https://t.co/vdc1kwtzl3")</f>
        <v>@drfahrettinkoca Seriously I'm so wondering how much you will be able to release the manual to not publish the manual. Si ... https://t.co/vdc1kwtzl3</v>
      </c>
    </row>
    <row r="11970" spans="1:5" ht="15" customHeight="1" x14ac:dyDescent="0.2">
      <c r="A11970" s="1" t="s">
        <v>23670</v>
      </c>
      <c r="B11970" s="1">
        <v>3</v>
      </c>
      <c r="C11970" s="3">
        <v>44533.77134259259</v>
      </c>
      <c r="D11970" s="1" t="s">
        <v>23671</v>
      </c>
      <c r="E11970" s="1" t="str">
        <f ca="1">IFERROR(__xludf.DUMMYFUNCTION("GOOGLETRANSLATE(A8769 , ""tr"" , ""en"")"),"@drfahrettinkoca Positive discrimination Passed to give us a very certain sec Minister We have been high Pua for 4 years ... https://t.co/cnhwcvkfsp")</f>
        <v>@drfahrettinkoca Positive discrimination Passed to give us a very certain sec Minister We have been high Pua for 4 years ... https://t.co/cnhwcvkfsp</v>
      </c>
    </row>
    <row r="11971" spans="1:5" ht="15" customHeight="1" x14ac:dyDescent="0.2">
      <c r="A11971" s="1" t="s">
        <v>23672</v>
      </c>
      <c r="B11971" s="1">
        <v>1</v>
      </c>
      <c r="C11971" s="3">
        <v>44533.771157407406</v>
      </c>
      <c r="D11971" s="1" t="s">
        <v>23673</v>
      </c>
      <c r="E11971" s="1" t="str">
        <f ca="1">IFERROR(__xludf.DUMMYFUNCTION("GOOGLETRANSLATE(A8770 , ""tr"" , ""en"")"),"@drfahrettinkoca positive discrimination passed the very very certain sec minator that you have passed us to give us 4 years high pua ... https://t.co/kwwjhykrbd")</f>
        <v>@drfahrettinkoca positive discrimination passed the very very certain sec minator that you have passed us to give us 4 years high pua ... https://t.co/kwwjhykrbd</v>
      </c>
    </row>
    <row r="11972" spans="1:5" ht="15" customHeight="1" x14ac:dyDescent="0.2">
      <c r="A11972" s="1" t="s">
        <v>23674</v>
      </c>
      <c r="B11972" s="1">
        <v>3</v>
      </c>
      <c r="C11972" s="3">
        <v>44533.770879629628</v>
      </c>
      <c r="D11972" s="1" t="s">
        <v>23675</v>
      </c>
      <c r="E11972" s="1" t="str">
        <f ca="1">IFERROR(__xludf.DUMMYFUNCTION("GOOGLETRANSLATE(A8771 , ""tr"" , ""en"")"),"@drfahrettinkoca positive discrimination passed the very certain sec minator that you did not give us the very close sec 4 years high pua ... https://t.co/IYI0VZLDPS")</f>
        <v>@drfahrettinkoca positive discrimination passed the very certain sec minator that you did not give us the very close sec 4 years high pua ... https://t.co/IYI0VZLDPS</v>
      </c>
    </row>
    <row r="11973" spans="1:5" ht="15" customHeight="1" x14ac:dyDescent="0.2">
      <c r="A11973" s="1" t="s">
        <v>23676</v>
      </c>
      <c r="B11973" s="1">
        <v>1</v>
      </c>
      <c r="C11973" s="3">
        <v>44533.770752314813</v>
      </c>
      <c r="D11973" s="1" t="s">
        <v>23677</v>
      </c>
      <c r="E11973" s="1" t="str">
        <f ca="1">IFERROR(__xludf.DUMMYFUNCTION("GOOGLETRANSLATE(A8772 , ""tr"" , ""en"")"),"@drfahrettinkoca Positive discrimination Passed to give us a very certain sec Minister We have been in 4 years High Pua ... https://t.co/zucrv631zk")</f>
        <v>@drfahrettinkoca Positive discrimination Passed to give us a very certain sec Minister We have been in 4 years High Pua ... https://t.co/zucrv631zk</v>
      </c>
    </row>
    <row r="11974" spans="1:5" ht="15" customHeight="1" x14ac:dyDescent="0.2">
      <c r="A11974" s="1" t="s">
        <v>23678</v>
      </c>
      <c r="B11974" s="1">
        <v>1</v>
      </c>
      <c r="C11974" s="3">
        <v>44533.770462962966</v>
      </c>
      <c r="D11974" s="1" t="s">
        <v>23679</v>
      </c>
      <c r="E11974" s="1" t="str">
        <f ca="1">IFERROR(__xludf.DUMMYFUNCTION("GOOGLETRANSLATE(A8773 , ""tr"" , ""en"")"),"@drfahrettinkoca positive discrimination has passed the right to give us the very certain sec Minister We have been in 4 years High Pua ... https://t.co/xzf8pzsy6v")</f>
        <v>@drfahrettinkoca positive discrimination has passed the right to give us the very certain sec Minister We have been in 4 years High Pua ... https://t.co/xzf8pzsy6v</v>
      </c>
    </row>
    <row r="11975" spans="1:5" ht="15" customHeight="1" x14ac:dyDescent="0.2">
      <c r="A11975" s="1" t="s">
        <v>13539</v>
      </c>
      <c r="B11975" s="1">
        <v>0</v>
      </c>
      <c r="C11975" s="3">
        <v>44533.769780092596</v>
      </c>
      <c r="D11975" s="1" t="s">
        <v>23680</v>
      </c>
      <c r="E11975" s="1" t="str">
        <f ca="1">IFERROR(__xludf.DUMMYFUNCTION("GOOGLETRANSLATE(A8774 , ""tr"" , ""en"")"),"@drfahrettinkoca guide guide guide")</f>
        <v>@drfahrettinkoca guide guide guide</v>
      </c>
    </row>
    <row r="11976" spans="1:5" ht="15" customHeight="1" x14ac:dyDescent="0.2">
      <c r="A11976" s="1" t="s">
        <v>23681</v>
      </c>
      <c r="B11976" s="1">
        <v>0</v>
      </c>
      <c r="C11976" s="3">
        <v>44533.769768518519</v>
      </c>
      <c r="D11976" s="1" t="s">
        <v>23682</v>
      </c>
      <c r="E11976" s="1" t="str">
        <f ca="1">IFERROR(__xludf.DUMMYFUNCTION("GOOGLETRANSLATE(A8775 , ""tr"" , ""en"")"),"@drfahrettinkoca guide where is #drfahrettinkoca # fcking")</f>
        <v>@drfahrettinkoca guide where is #drfahrettinkoca # fcking</v>
      </c>
    </row>
    <row r="11977" spans="1:5" ht="15" customHeight="1" x14ac:dyDescent="0.2">
      <c r="A11977" s="1" t="s">
        <v>23683</v>
      </c>
      <c r="B11977" s="1">
        <v>0</v>
      </c>
      <c r="C11977" s="3">
        <v>44533.768923611111</v>
      </c>
      <c r="D11977" s="1" t="s">
        <v>23684</v>
      </c>
      <c r="E11977" s="1" t="str">
        <f ca="1">IFERROR(__xludf.DUMMYFUNCTION("GOOGLETRANSLATE(A8776 , ""tr"" , ""en"")"),"@drfahrettinkoca where ndde guide")</f>
        <v>@drfahrettinkoca where ndde guide</v>
      </c>
    </row>
    <row r="11978" spans="1:5" ht="15" customHeight="1" x14ac:dyDescent="0.2">
      <c r="A11978" s="1" t="s">
        <v>23685</v>
      </c>
      <c r="B11978" s="1">
        <v>0</v>
      </c>
      <c r="C11978" s="3">
        <v>44533.767534722225</v>
      </c>
      <c r="D11978" s="1" t="s">
        <v>23686</v>
      </c>
      <c r="E11978" s="1" t="str">
        <f ca="1">IFERROR(__xludf.DUMMYFUNCTION("GOOGLETRANSLATE(A8777 , ""tr"" , ""en"")"),"@drfahrettinkoca stand to stand in the word reminds you the dealer reminds you to say")</f>
        <v>@drfahrettinkoca stand to stand in the word reminds you the dealer reminds you to say</v>
      </c>
    </row>
    <row r="11979" spans="1:5" ht="15" customHeight="1" x14ac:dyDescent="0.2">
      <c r="A11979" s="1" t="s">
        <v>23687</v>
      </c>
      <c r="B11979" s="1">
        <v>0</v>
      </c>
      <c r="C11979" s="3">
        <v>44533.767048611109</v>
      </c>
      <c r="D11979" s="1" t="s">
        <v>23688</v>
      </c>
      <c r="E11979" s="1" t="str">
        <f ca="1">IFERROR(__xludf.DUMMYFUNCTION("GOOGLETRANSLATE(A8778 , ""tr"" , ""en"")"),"@drfahrettinkoca Wolf Hirch-Horn Chromosom Disorder We have 98% bindzihinsel disabled children. Of chromosome disorder ... https://t.co/g1hmg6apsz")</f>
        <v>@drfahrettinkoca Wolf Hirch-Horn Chromosom Disorder We have 98% bindzihinsel disabled children. Of chromosome disorder ... https://t.co/g1hmg6apsz</v>
      </c>
    </row>
    <row r="11980" spans="1:5" ht="15" customHeight="1" x14ac:dyDescent="0.2">
      <c r="A11980" s="1" t="s">
        <v>23689</v>
      </c>
      <c r="B11980" s="1">
        <v>6</v>
      </c>
      <c r="C11980" s="3">
        <v>44533.766782407409</v>
      </c>
      <c r="D11980" s="1" t="s">
        <v>23690</v>
      </c>
      <c r="E11980" s="1" t="str">
        <f ca="1">IFERROR(__xludf.DUMMYFUNCTION("GOOGLETRANSLATE(A8779 , ""tr"" , ""en"")"),"@drfahrettinkoca positive discrimination We do not want to be the right of us, hundreds of thousands of healthcare survivors ... https://t.co/jlb0kurzdn")</f>
        <v>@drfahrettinkoca positive discrimination We do not want to be the right of us, hundreds of thousands of healthcare survivors ... https://t.co/jlb0kurzdn</v>
      </c>
    </row>
    <row r="11981" spans="1:5" ht="15" customHeight="1" x14ac:dyDescent="0.2">
      <c r="A11981" s="1" t="s">
        <v>23691</v>
      </c>
      <c r="B11981" s="1">
        <v>0</v>
      </c>
      <c r="C11981" s="3">
        <v>44533.766469907408</v>
      </c>
      <c r="D11981" s="1" t="s">
        <v>23692</v>
      </c>
      <c r="E11981" s="1" t="str">
        <f ca="1">IFERROR(__xludf.DUMMYFUNCTION("GOOGLETRANSLATE(A8780 , ""tr"" , ""en"")"),"@drfahrettinkoca https://t.co/9phqykqzıx https://t.co/IS5SrivMey https://T.CO/IHJSMFICD6 https://t.co/SSB2I0qbep... https://t.co/kmkjt6frfj")</f>
        <v>@drfahrettinkoca https://t.co/9phqykqzıx https://t.co/IS5SrivMey https://T.CO/IHJSMFICD6 https://t.co/SSB2I0qbep... https://t.co/kmkjt6frfj</v>
      </c>
    </row>
    <row r="11982" spans="1:5" ht="15" customHeight="1" x14ac:dyDescent="0.2">
      <c r="A11982" s="1" t="s">
        <v>23693</v>
      </c>
      <c r="B11982" s="1">
        <v>1</v>
      </c>
      <c r="C11982" s="3">
        <v>44533.765902777777</v>
      </c>
      <c r="D11982" s="1" t="s">
        <v>23694</v>
      </c>
      <c r="E11982" s="1" t="str">
        <f ca="1">IFERROR(__xludf.DUMMYFUNCTION("GOOGLETRANSLATE(A8781 , ""tr"" , ""en"")"),"@drfahrettinkoca will be assignment")</f>
        <v>@drfahrettinkoca will be assignment</v>
      </c>
    </row>
    <row r="11983" spans="1:5" ht="15" customHeight="1" x14ac:dyDescent="0.2">
      <c r="A11983" s="1" t="s">
        <v>23695</v>
      </c>
      <c r="B11983" s="1">
        <v>0</v>
      </c>
      <c r="C11983" s="3">
        <v>44533.765706018516</v>
      </c>
      <c r="D11983" s="1" t="s">
        <v>23696</v>
      </c>
      <c r="E11983" s="1" t="str">
        <f ca="1">IFERROR(__xludf.DUMMYFUNCTION("GOOGLETRANSLATE(A8782 , ""tr"" , ""en"")"),"@drfahrettinka let's join the military and ......")</f>
        <v>@drfahrettinka let's join the military and ......</v>
      </c>
    </row>
    <row r="11984" spans="1:5" ht="15" customHeight="1" x14ac:dyDescent="0.2">
      <c r="A11984" s="1" t="s">
        <v>23697</v>
      </c>
      <c r="B11984" s="1">
        <v>0</v>
      </c>
      <c r="C11984" s="3">
        <v>44533.765520833331</v>
      </c>
      <c r="D11984" s="1" t="s">
        <v>23698</v>
      </c>
      <c r="E11984" s="1" t="str">
        <f ca="1">IFERROR(__xludf.DUMMYFUNCTION("GOOGLETRANSLATE(A8783 , ""tr"" , ""en"")"),"@drfahrettinkoca patient inferiority difference 780 TL is paying SSI 300 TL.")</f>
        <v>@drfahrettinkoca patient inferiority difference 780 TL is paying SSI 300 TL.</v>
      </c>
    </row>
    <row r="11985" spans="1:5" ht="15" customHeight="1" x14ac:dyDescent="0.2">
      <c r="A11985" s="1" t="s">
        <v>23699</v>
      </c>
      <c r="B11985" s="1">
        <v>0</v>
      </c>
      <c r="C11985" s="3">
        <v>44533.765393518515</v>
      </c>
      <c r="D11985" s="1" t="s">
        <v>23700</v>
      </c>
      <c r="E11985" s="1" t="str">
        <f ca="1">IFERROR(__xludf.DUMMYFUNCTION("GOOGLETRANSLATE(A8784 , ""tr"" , ""en"")"),"@drfahrettinkoca is also obstacles to a duty, yesterday's videos instead of someone else instead of someone else is embarrassed")</f>
        <v>@drfahrettinkoca is also obstacles to a duty, yesterday's videos instead of someone else instead of someone else is embarrassed</v>
      </c>
    </row>
    <row r="11986" spans="1:5" ht="15" customHeight="1" x14ac:dyDescent="0.2">
      <c r="A11986" s="1" t="s">
        <v>19282</v>
      </c>
      <c r="B11986" s="1">
        <v>0</v>
      </c>
      <c r="C11986" s="3">
        <v>44533.764988425923</v>
      </c>
      <c r="D11986" s="1" t="s">
        <v>23701</v>
      </c>
      <c r="E11986" s="1" t="str">
        <f ca="1">IFERROR(__xludf.DUMMYFUNCTION("GOOGLETRANSLATE(A8785 , ""tr"" , ""en"")"),"@drfahrettinkoca claved?")</f>
        <v>@drfahrettinkoca claved?</v>
      </c>
    </row>
    <row r="11987" spans="1:5" ht="15" customHeight="1" x14ac:dyDescent="0.2">
      <c r="A11987" s="1" t="s">
        <v>23702</v>
      </c>
      <c r="B11987" s="1">
        <v>1</v>
      </c>
      <c r="C11987" s="3">
        <v>44533.764456018522</v>
      </c>
      <c r="D11987" s="1" t="s">
        <v>23703</v>
      </c>
      <c r="E11987" s="1" t="str">
        <f ca="1">IFERROR(__xludf.DUMMYFUNCTION("GOOGLETRANSLATE(A8786 , ""tr"" , ""en"")"),"@drfahrettinkoca 13 months are waiting for. I will be assignment")</f>
        <v>@drfahrettinkoca 13 months are waiting for. I will be assignment</v>
      </c>
    </row>
    <row r="11988" spans="1:5" ht="15" customHeight="1" x14ac:dyDescent="0.2">
      <c r="A11988" s="1" t="s">
        <v>23704</v>
      </c>
      <c r="B11988" s="1">
        <v>1</v>
      </c>
      <c r="C11988" s="3">
        <v>44533.763090277775</v>
      </c>
      <c r="D11988" s="1" t="s">
        <v>23705</v>
      </c>
      <c r="E11988" s="1" t="str">
        <f ca="1">IFERROR(__xludf.DUMMYFUNCTION("GOOGLETRANSLATE(A8787 , ""tr"" , ""en"")"),"@drfahrettinkoca SMA patient has a lot of injustice to babies Why stay all the criterion that we are staying in the campaign ... https://t.co/2lylmhe9t8")</f>
        <v>@drfahrettinkoca SMA patient has a lot of injustice to babies Why stay all the criterion that we are staying in the campaign ... https://t.co/2lylmhe9t8</v>
      </c>
    </row>
    <row r="11989" spans="1:5" ht="15" customHeight="1" x14ac:dyDescent="0.2">
      <c r="A11989" s="1" t="s">
        <v>23706</v>
      </c>
      <c r="B11989" s="1">
        <v>3</v>
      </c>
      <c r="C11989" s="3">
        <v>44533.762615740743</v>
      </c>
      <c r="D11989" s="1" t="s">
        <v>23707</v>
      </c>
      <c r="E11989" s="1" t="str">
        <f ca="1">IFERROR(__xludf.DUMMYFUNCTION("GOOGLETRANSLATE(A8788 , ""tr"" , ""en"")"),"@drfahrettinkoca darken our a year We have finished at 2021 You have finished the master Hani where you finished your guide ... https://t.co/fnshhehbqq")</f>
        <v>@drfahrettinkoca darken our a year We have finished at 2021 You have finished the master Hani where you finished your guide ... https://t.co/fnshhehbqq</v>
      </c>
    </row>
    <row r="11990" spans="1:5" ht="15" customHeight="1" x14ac:dyDescent="0.2">
      <c r="A11990" s="1" t="s">
        <v>23708</v>
      </c>
      <c r="B11990" s="1">
        <v>1</v>
      </c>
      <c r="C11990" s="3">
        <v>44533.762453703705</v>
      </c>
      <c r="D11990" s="1" t="s">
        <v>23709</v>
      </c>
      <c r="E11990" s="1" t="str">
        <f ca="1">IFERROR(__xludf.DUMMYFUNCTION("GOOGLETRANSLATE(A8789 , ""tr"" , ""en"")"),"@drfahrettinkoca you are not being taken on the agenda you are up to you Mr. Minister # Fkoyavuzada")</f>
        <v>@drfahrettinkoca you are not being taken on the agenda you are up to you Mr. Minister # Fkoyavuzada</v>
      </c>
    </row>
    <row r="11991" spans="1:5" ht="15" customHeight="1" x14ac:dyDescent="0.2">
      <c r="A11991" s="1" t="s">
        <v>23710</v>
      </c>
      <c r="B11991" s="1">
        <v>5</v>
      </c>
      <c r="C11991" s="3">
        <v>44533.762106481481</v>
      </c>
      <c r="D11991" s="1" t="s">
        <v>23711</v>
      </c>
      <c r="E11991" s="1" t="str">
        <f ca="1">IFERROR(__xludf.DUMMYFUNCTION("GOOGLETRANSLATE(A8790 , ""tr"" , ""en"")"),"@drfahrettinkoca guide look forward to # fcking")</f>
        <v>@drfahrettinkoca guide look forward to # fcking</v>
      </c>
    </row>
    <row r="11992" spans="1:5" ht="15" customHeight="1" x14ac:dyDescent="0.2">
      <c r="A11992" s="1" t="s">
        <v>23712</v>
      </c>
      <c r="B11992" s="1">
        <v>5</v>
      </c>
      <c r="C11992" s="3">
        <v>44533.761770833335</v>
      </c>
      <c r="D11992" s="1" t="s">
        <v>23713</v>
      </c>
      <c r="E11992" s="1" t="str">
        <f ca="1">IFERROR(__xludf.DUMMYFUNCTION("GOOGLETRANSLATE(A8791 , ""tr"" , ""en"")"),"@drfahrettinkoca as a disability, Ricam from you in Ricam, this post is to be implemented in life by all right ... https://t.co/nuvryvxq1l")</f>
        <v>@drfahrettinkoca as a disability, Ricam from you in Ricam, this post is to be implemented in life by all right ... https://t.co/nuvryvxq1l</v>
      </c>
    </row>
    <row r="11993" spans="1:5" ht="15" customHeight="1" x14ac:dyDescent="0.2">
      <c r="A11993" s="1" t="s">
        <v>23714</v>
      </c>
      <c r="B11993" s="1">
        <v>0</v>
      </c>
      <c r="C11993" s="3">
        <v>44533.761712962965</v>
      </c>
      <c r="D11993" s="1" t="s">
        <v>23715</v>
      </c>
      <c r="E11993" s="1" t="str">
        <f ca="1">IFERROR(__xludf.DUMMYFUNCTION("GOOGLETRANSLATE(A8792 , ""tr"" , ""en"")"),"@drfahrettinkoca master did you give you your permission to go to the toilet eating today")</f>
        <v>@drfahrettinkoca master did you give you your permission to go to the toilet eating today</v>
      </c>
    </row>
    <row r="11994" spans="1:5" ht="15" customHeight="1" x14ac:dyDescent="0.2">
      <c r="A11994" s="1" t="s">
        <v>23716</v>
      </c>
      <c r="B11994" s="1">
        <v>0</v>
      </c>
      <c r="C11994" s="3">
        <v>44533.761423611111</v>
      </c>
      <c r="D11994" s="1" t="s">
        <v>23717</v>
      </c>
      <c r="E11994" s="1" t="str">
        <f ca="1">IFERROR(__xludf.DUMMYFUNCTION("GOOGLETRANSLATE(A8793 , ""tr"" , ""en"")"),"@drfahrettinkoca smali dolls dying ❗❗❗ https://t.co/gvdiifq5q7")</f>
        <v>@drfahrettinkoca smali dolls dying ❗❗❗ https://t.co/gvdiifq5q7</v>
      </c>
    </row>
    <row r="11995" spans="1:5" ht="15" customHeight="1" x14ac:dyDescent="0.2">
      <c r="A11995" s="1" t="s">
        <v>23718</v>
      </c>
      <c r="B11995" s="1">
        <v>0</v>
      </c>
      <c r="C11995" s="3">
        <v>44533.760891203703</v>
      </c>
      <c r="D11995" s="1" t="s">
        <v>23719</v>
      </c>
      <c r="E11995" s="1" t="str">
        <f ca="1">IFERROR(__xludf.DUMMYFUNCTION("GOOGLETRANSLATE(A8794 , ""tr"" , ""en"")"),"@drfahrettinkoca Disabled people just remembered in the disabled day ...")</f>
        <v>@drfahrettinkoca Disabled people just remembered in the disabled day ...</v>
      </c>
    </row>
    <row r="11996" spans="1:5" ht="15" customHeight="1" x14ac:dyDescent="0.2">
      <c r="A11996" s="1" t="s">
        <v>23720</v>
      </c>
      <c r="B11996" s="1">
        <v>2</v>
      </c>
      <c r="C11996" s="3">
        <v>44533.760601851849</v>
      </c>
      <c r="D11996" s="1" t="s">
        <v>23721</v>
      </c>
      <c r="E11996" s="1" t="str">
        <f ca="1">IFERROR(__xludf.DUMMYFUNCTION("GOOGLETRANSLATE(A8795 , ""tr"" , ""en"")"),"@drfahrettinkoca you are the largest obstacle to Turkey ..")</f>
        <v>@drfahrettinkoca you are the largest obstacle to Turkey ..</v>
      </c>
    </row>
    <row r="11997" spans="1:5" ht="15" customHeight="1" x14ac:dyDescent="0.2">
      <c r="A11997" s="1" t="s">
        <v>23722</v>
      </c>
      <c r="B11997" s="1">
        <v>0</v>
      </c>
      <c r="C11997" s="3">
        <v>44533.76059027778</v>
      </c>
      <c r="D11997" s="1" t="s">
        <v>23723</v>
      </c>
      <c r="E11997" s="1" t="str">
        <f ca="1">IFERROR(__xludf.DUMMYFUNCTION("GOOGLETRANSLATE(A8796 , ""tr"" , ""en"")"),"@drfahrettinkoca Sayin What are the Side Effects of Sivilaries that are built when people are disabled in disability")</f>
        <v>@drfahrettinkoca Sayin What are the Side Effects of Sivilaries that are built when people are disabled in disability</v>
      </c>
    </row>
    <row r="11998" spans="1:5" ht="15" customHeight="1" x14ac:dyDescent="0.2">
      <c r="A11998" s="1" t="s">
        <v>23724</v>
      </c>
      <c r="B11998" s="1">
        <v>0</v>
      </c>
      <c r="C11998" s="3">
        <v>44533.760231481479</v>
      </c>
      <c r="D11998" s="1" t="s">
        <v>23725</v>
      </c>
      <c r="E11998" s="1" t="str">
        <f ca="1">IFERROR(__xludf.DUMMYFUNCTION("GOOGLETRANSLATE(A8797 , ""tr"" , ""en"")"),"@drfahrettinkoca is awaiting the guide for a healthman")</f>
        <v>@drfahrettinkoca is awaiting the guide for a healthman</v>
      </c>
    </row>
    <row r="11999" spans="1:5" ht="15" customHeight="1" x14ac:dyDescent="0.2">
      <c r="A11999" s="1" t="s">
        <v>16770</v>
      </c>
      <c r="B11999" s="1">
        <v>0</v>
      </c>
      <c r="C11999" s="3">
        <v>44533.760115740741</v>
      </c>
      <c r="D11999" s="1" t="s">
        <v>23726</v>
      </c>
      <c r="E11999" s="1" t="str">
        <f ca="1">IFERROR(__xludf.DUMMYFUNCTION("GOOGLETRANSLATE(A8798 , ""tr"" , ""en"")"),"@drfahrettinkoca guide")</f>
        <v>@drfahrettinkoca guide</v>
      </c>
    </row>
    <row r="12000" spans="1:5" ht="15" customHeight="1" x14ac:dyDescent="0.2">
      <c r="A12000" s="1" t="s">
        <v>16768</v>
      </c>
      <c r="B12000" s="1">
        <v>0</v>
      </c>
      <c r="C12000" s="3">
        <v>44533.760057870371</v>
      </c>
      <c r="D12000" s="1" t="s">
        <v>23727</v>
      </c>
      <c r="E12000" s="1" t="str">
        <f ca="1">IFERROR(__xludf.DUMMYFUNCTION("GOOGLETRANSLATE(A8799 , ""tr"" , ""en"")"),"@drfahrettinkoca KKIIllaavvuuzz")</f>
        <v>@drfahrettinkoca KKIIllaavvuuzz</v>
      </c>
    </row>
    <row r="12001" spans="1:5" ht="15" customHeight="1" x14ac:dyDescent="0.2">
      <c r="A12001" s="1" t="s">
        <v>16774</v>
      </c>
      <c r="B12001" s="1">
        <v>0</v>
      </c>
      <c r="C12001" s="3">
        <v>44533.759988425925</v>
      </c>
      <c r="D12001" s="1" t="s">
        <v>23728</v>
      </c>
      <c r="E12001" s="1" t="str">
        <f ca="1">IFERROR(__xludf.DUMMYFUNCTION("GOOGLETRANSLATE(A8800 , ""tr"" , ""en"")"),"@drfahrettinkoca guide.")</f>
        <v>@drfahrettinkoca guide.</v>
      </c>
    </row>
    <row r="12002" spans="1:5" ht="15" customHeight="1" x14ac:dyDescent="0.2">
      <c r="A12002" s="1" t="s">
        <v>10058</v>
      </c>
      <c r="B12002" s="1">
        <v>0</v>
      </c>
      <c r="C12002" s="3">
        <v>44533.759918981479</v>
      </c>
      <c r="D12002" s="1" t="s">
        <v>23729</v>
      </c>
      <c r="E12002" s="1" t="str">
        <f ca="1">IFERROR(__xludf.DUMMYFUNCTION("GOOGLETRANSLATE(A8801 , ""tr"" , ""en"")"),"@drfahrettinkoca Guide")</f>
        <v>@drfahrettinkoca Guide</v>
      </c>
    </row>
    <row r="12003" spans="1:5" ht="15" customHeight="1" x14ac:dyDescent="0.2">
      <c r="A12003" s="1" t="s">
        <v>23730</v>
      </c>
      <c r="B12003" s="1">
        <v>0</v>
      </c>
      <c r="C12003" s="3">
        <v>44533.758668981478</v>
      </c>
      <c r="D12003" s="1" t="s">
        <v>23731</v>
      </c>
      <c r="E12003" s="1" t="str">
        <f ca="1">IFERROR(__xludf.DUMMYFUNCTION("GOOGLETRANSLATE(A8802 , ""tr"" , ""en"")"),"@drfahrettinkoca Lan AQ Disabled If Close to School A")</f>
        <v>@drfahrettinkoca Lan AQ Disabled If Close to School A</v>
      </c>
    </row>
    <row r="12004" spans="1:5" ht="15" customHeight="1" x14ac:dyDescent="0.2">
      <c r="A12004" s="1" t="s">
        <v>23732</v>
      </c>
      <c r="B12004" s="1">
        <v>0</v>
      </c>
      <c r="C12004" s="3">
        <v>44533.758379629631</v>
      </c>
      <c r="D12004" s="1" t="s">
        <v>23733</v>
      </c>
      <c r="E12004" s="1" t="str">
        <f ca="1">IFERROR(__xludf.DUMMYFUNCTION("GOOGLETRANSLATE(A8803 , ""tr"" , ""en"")"),"@drfahrettinkoca SN Minister I am a disabled health career. The title change is going hard for us. We Pandem ... https://t.co/6bzfatyIPQ")</f>
        <v>@drfahrettinkoca SN Minister I am a disabled health career. The title change is going hard for us. We Pandem ... https://t.co/6bzfatyIPQ</v>
      </c>
    </row>
    <row r="12005" spans="1:5" ht="15" customHeight="1" x14ac:dyDescent="0.2">
      <c r="A12005" s="1" t="s">
        <v>23734</v>
      </c>
      <c r="B12005" s="1">
        <v>0</v>
      </c>
      <c r="C12005" s="3">
        <v>44533.757719907408</v>
      </c>
      <c r="D12005" s="1" t="s">
        <v>23735</v>
      </c>
      <c r="E12005" s="1" t="str">
        <f ca="1">IFERROR(__xludf.DUMMYFUNCTION("GOOGLETRANSLATE(A8804 , ""tr"" , ""en"")"),"@drfahrettinkoca Covid Darkness This evidence will not end without emerging! Especially the AK Party no deputies ... https://t.co/mzdsuotn7j")</f>
        <v>@drfahrettinkoca Covid Darkness This evidence will not end without emerging! Especially the AK Party no deputies ... https://t.co/mzdsuotn7j</v>
      </c>
    </row>
    <row r="12006" spans="1:5" ht="15" customHeight="1" x14ac:dyDescent="0.2">
      <c r="A12006" s="1" t="s">
        <v>23736</v>
      </c>
      <c r="B12006" s="1">
        <v>0</v>
      </c>
      <c r="C12006" s="3">
        <v>44533.757673611108</v>
      </c>
      <c r="D12006" s="1" t="s">
        <v>23737</v>
      </c>
      <c r="E12006" s="1" t="str">
        <f ca="1">IFERROR(__xludf.DUMMYFUNCTION("GOOGLETRANSLATE(A8805 , ""tr"" , ""en"")"),"@drfahrettinka adam ridicule with generation they are preparing the end we are in us. EM from themselves ... https://t.co/tujbvqvqswsw")</f>
        <v>@drfahrettinka adam ridicule with generation they are preparing the end we are in us. EM from themselves ... https://t.co/tujbvqvqswsw</v>
      </c>
    </row>
    <row r="12007" spans="1:5" ht="15" customHeight="1" x14ac:dyDescent="0.2">
      <c r="A12007" s="1" t="s">
        <v>23738</v>
      </c>
      <c r="B12007" s="1">
        <v>0</v>
      </c>
      <c r="C12007" s="3">
        <v>44533.757349537038</v>
      </c>
      <c r="D12007" s="1" t="s">
        <v>23739</v>
      </c>
      <c r="E12007" s="1" t="str">
        <f ca="1">IFERROR(__xludf.DUMMYFUNCTION("GOOGLETRANSLATE(A8806 , ""tr"" , ""en"")"),"@drfahrettinkoca guide guide guide guide guide guide guide guide guide guide guide guide kina ... https://t.co/tttatismrr")</f>
        <v>@drfahrettinkoca guide guide guide guide guide guide guide guide guide guide guide guide kina ... https://t.co/tttatismrr</v>
      </c>
    </row>
    <row r="12008" spans="1:5" ht="15" customHeight="1" x14ac:dyDescent="0.2">
      <c r="A12008" s="1" t="s">
        <v>23740</v>
      </c>
      <c r="B12008" s="1">
        <v>1</v>
      </c>
      <c r="C12008" s="3">
        <v>44533.756886574076</v>
      </c>
      <c r="D12008" s="1" t="s">
        <v>23741</v>
      </c>
      <c r="E12008" s="1" t="str">
        <f ca="1">IFERROR(__xludf.DUMMYFUNCTION("GOOGLETRANSLATE(A8807 , ""tr"" , ""en"")"),"@drfahrettinkoca Ministry If everything is OK, is this assignment that waiting for this assignment is not enough !!! @drfahrettinkoca")</f>
        <v>@drfahrettinkoca Ministry If everything is OK, is this assignment that waiting for this assignment is not enough !!! @drfahrettinkoca</v>
      </c>
    </row>
    <row r="12009" spans="1:5" ht="15" customHeight="1" x14ac:dyDescent="0.2">
      <c r="A12009" s="1" t="s">
        <v>23742</v>
      </c>
      <c r="B12009" s="1">
        <v>0</v>
      </c>
      <c r="C12009" s="3">
        <v>44533.756284722222</v>
      </c>
      <c r="D12009" s="1" t="s">
        <v>23743</v>
      </c>
      <c r="E12009" s="1" t="str">
        <f ca="1">IFERROR(__xludf.DUMMYFUNCTION("GOOGLETRANSLATE(A8808 , ""tr"" , ""en"")"),"@drfahrettinkoca Bos Bos Overlooking the Construction of Bos! Cumle Görtu what happened !!!")</f>
        <v>@drfahrettinkoca Bos Bos Overlooking the Construction of Bos! Cumle Görtu what happened !!!</v>
      </c>
    </row>
    <row r="12010" spans="1:5" ht="15" customHeight="1" x14ac:dyDescent="0.2">
      <c r="A12010" s="1" t="s">
        <v>23744</v>
      </c>
      <c r="B12010" s="1">
        <v>0</v>
      </c>
      <c r="C12010" s="3">
        <v>44533.75608796296</v>
      </c>
      <c r="D12010" s="1" t="s">
        <v>23745</v>
      </c>
      <c r="E12010" s="1" t="str">
        <f ca="1">IFERROR(__xludf.DUMMYFUNCTION("GOOGLETRANSLATE(A8809 , ""tr"" , ""en"")"),"@drfahrettinkoca your conscience is deaf shame # fcking")</f>
        <v>@drfahrettinkoca your conscience is deaf shame # fcking</v>
      </c>
    </row>
    <row r="12011" spans="1:5" ht="15" customHeight="1" x14ac:dyDescent="0.2">
      <c r="A12011" s="1" t="s">
        <v>23746</v>
      </c>
      <c r="B12011" s="1">
        <v>1</v>
      </c>
      <c r="C12011" s="3">
        <v>44533.756018518521</v>
      </c>
      <c r="D12011" s="1" t="s">
        <v>23747</v>
      </c>
      <c r="E12011" s="1" t="str">
        <f ca="1">IFERROR(__xludf.DUMMYFUNCTION("GOOGLETRANSLATE(A8810 , ""tr"" , ""en"")"),"@drfahrettinkoca does not arrive at the week in front of the week if it does not arrive 2022 ENABLE LONGER LONGER LONGER DROVING BUTTIN ... https://t.co/bzwoujoyql")</f>
        <v>@drfahrettinkoca does not arrive at the week in front of the week if it does not arrive 2022 ENABLE LONGER LONGER LONGER DROVING BUTTIN ... https://t.co/bzwoujoyql</v>
      </c>
    </row>
    <row r="12012" spans="1:5" ht="15" customHeight="1" x14ac:dyDescent="0.2">
      <c r="A12012" s="1" t="s">
        <v>17681</v>
      </c>
      <c r="B12012" s="1">
        <v>0</v>
      </c>
      <c r="C12012" s="3">
        <v>44533.755312499998</v>
      </c>
      <c r="D12012" s="1" t="s">
        <v>23748</v>
      </c>
      <c r="E12012" s="1" t="str">
        <f ca="1">IFERROR(__xludf.DUMMYFUNCTION("GOOGLETRANSLATE(A8811 , ""tr"" , ""en"")"),"@drfahrettinka minister manual")</f>
        <v>@drfahrettinka minister manual</v>
      </c>
    </row>
    <row r="12013" spans="1:5" ht="15" customHeight="1" x14ac:dyDescent="0.2">
      <c r="A12013" s="1" t="s">
        <v>23749</v>
      </c>
      <c r="B12013" s="1">
        <v>0</v>
      </c>
      <c r="C12013" s="3">
        <v>44533.755208333336</v>
      </c>
      <c r="D12013" s="1" t="s">
        <v>23750</v>
      </c>
      <c r="E12013" s="1" t="str">
        <f ca="1">IFERROR(__xludf.DUMMYFUNCTION("GOOGLETRANSLATE(A8812 , ""tr"" , ""en"")"),"@drfahrettinkoca ""It will not extend"" @drfahrettinkoca # fcking weave https://t.co/nnamwfqsuv")</f>
        <v>@drfahrettinkoca "It will not extend" @drfahrettinkoca # fcking weave https://t.co/nnamwfqsuv</v>
      </c>
    </row>
    <row r="12014" spans="1:5" ht="15" customHeight="1" x14ac:dyDescent="0.2">
      <c r="A12014" s="1" t="s">
        <v>17352</v>
      </c>
      <c r="B12014" s="1">
        <v>0</v>
      </c>
      <c r="C12014" s="3">
        <v>44533.755011574074</v>
      </c>
      <c r="D12014" s="1" t="s">
        <v>23751</v>
      </c>
      <c r="E12014" s="1" t="str">
        <f ca="1">IFERROR(__xludf.DUMMYFUNCTION("GOOGLETRANSLATE(A8813 , ""tr"" , ""en"")"),"@drfahrettinka Ministry of Guide")</f>
        <v>@drfahrettinka Ministry of Guide</v>
      </c>
    </row>
    <row r="12015" spans="1:5" ht="15" customHeight="1" x14ac:dyDescent="0.2">
      <c r="A12015" s="1" t="s">
        <v>23752</v>
      </c>
      <c r="B12015" s="1">
        <v>0</v>
      </c>
      <c r="C12015" s="3">
        <v>44533.754976851851</v>
      </c>
      <c r="D12015" s="1" t="s">
        <v>23753</v>
      </c>
      <c r="E12015" s="1" t="str">
        <f ca="1">IFERROR(__xludf.DUMMYFUNCTION("GOOGLETRANSLATE(A8814 , ""tr"" , ""en"")"),"@drfahrettinkoca You're so contradicent to what you wrote, because I know myself what I know what to your government Https://t.co/lmmncbepqm")</f>
        <v>@drfahrettinkoca You're so contradicent to what you wrote, because I know myself what I know what to your government Https://t.co/lmmncbepqm</v>
      </c>
    </row>
    <row r="12016" spans="1:5" ht="15" customHeight="1" x14ac:dyDescent="0.2">
      <c r="A12016" s="1" t="s">
        <v>17718</v>
      </c>
      <c r="B12016" s="1">
        <v>0</v>
      </c>
      <c r="C12016" s="3">
        <v>44533.754756944443</v>
      </c>
      <c r="D12016" s="1" t="s">
        <v>23754</v>
      </c>
      <c r="E12016" s="1" t="str">
        <f ca="1">IFERROR(__xludf.DUMMYFUNCTION("GOOGLETRANSLATE(A8815 , ""tr"" , ""en"")"),"@drfahrettinkoca grid minister")</f>
        <v>@drfahrettinkoca grid minister</v>
      </c>
    </row>
    <row r="12017" spans="1:5" ht="15" customHeight="1" x14ac:dyDescent="0.2">
      <c r="A12017" s="1" t="s">
        <v>10058</v>
      </c>
      <c r="B12017" s="1">
        <v>0</v>
      </c>
      <c r="C12017" s="3">
        <v>44533.754652777781</v>
      </c>
      <c r="D12017" s="1" t="s">
        <v>23755</v>
      </c>
      <c r="E12017" s="1" t="str">
        <f ca="1">IFERROR(__xludf.DUMMYFUNCTION("GOOGLETRANSLATE(A8816 , ""tr"" , ""en"")"),"@drfahrettinkoca Guide")</f>
        <v>@drfahrettinkoca Guide</v>
      </c>
    </row>
    <row r="12018" spans="1:5" ht="15" customHeight="1" x14ac:dyDescent="0.2">
      <c r="A12018" s="1" t="s">
        <v>23756</v>
      </c>
      <c r="B12018" s="1">
        <v>1</v>
      </c>
      <c r="C12018" s="3">
        <v>44533.754594907405</v>
      </c>
      <c r="D12018" s="1" t="s">
        <v>23757</v>
      </c>
      <c r="E12018" s="1" t="str">
        <f ca="1">IFERROR(__xludf.DUMMYFUNCTION("GOOGLETRANSLATE(A8817 , ""tr"" , ""en"")"),"@drfahrettinkoca AHH The Ministry of Ministry If you see us, if you hear our voice @drfahrettinkoca @ gozdekirisciogl ... https://t.co/34y6safhsi")</f>
        <v>@drfahrettinkoca AHH The Ministry of Ministry If you see us, if you hear our voice @drfahrettinkoca @ gozdekirisciogl ... https://t.co/34y6safhsi</v>
      </c>
    </row>
    <row r="12019" spans="1:5" ht="15" customHeight="1" x14ac:dyDescent="0.2">
      <c r="A12019" s="1" t="s">
        <v>23758</v>
      </c>
      <c r="B12019" s="1">
        <v>5</v>
      </c>
      <c r="C12019" s="3">
        <v>44533.754571759258</v>
      </c>
      <c r="D12019" s="1" t="s">
        <v>23759</v>
      </c>
      <c r="E12019" s="1" t="str">
        <f ca="1">IFERROR(__xludf.DUMMYFUNCTION("GOOGLETRANSLATE(A8818 , ""tr"" , ""en"")"),"@drfahrettinkoca a tweet can you assign it for us too #fo")</f>
        <v>@drfahrettinkoca a tweet can you assign it for us too #fo</v>
      </c>
    </row>
    <row r="12020" spans="1:5" ht="15" customHeight="1" x14ac:dyDescent="0.2">
      <c r="A12020" s="1" t="s">
        <v>23760</v>
      </c>
      <c r="B12020" s="1">
        <v>0</v>
      </c>
      <c r="C12020" s="3">
        <v>44533.754386574074</v>
      </c>
      <c r="D12020" s="1" t="s">
        <v>23761</v>
      </c>
      <c r="E12020" s="1" t="str">
        <f ca="1">IFERROR(__xludf.DUMMYFUNCTION("GOOGLETRANSLATE(A8819 , ""tr"" , ""en"")"),"@drfahrettinkoca Description of the Guide, Minister ..")</f>
        <v>@drfahrettinkoca Description of the Guide, Minister ..</v>
      </c>
    </row>
    <row r="12021" spans="1:5" ht="15" customHeight="1" x14ac:dyDescent="0.2">
      <c r="A12021" s="1" t="s">
        <v>23762</v>
      </c>
      <c r="B12021" s="1">
        <v>3</v>
      </c>
      <c r="C12021" s="3">
        <v>44533.754328703704</v>
      </c>
      <c r="D12021" s="1" t="s">
        <v>23763</v>
      </c>
      <c r="E12021" s="1" t="str">
        <f ca="1">IFERROR(__xludf.DUMMYFUNCTION("GOOGLETRANSLATE(A8820 , ""tr"" , ""en"")"),"@drfahrettinkoca is waiting for 367 days assignment. What is I better? @drfahrettinkoca # fcking")</f>
        <v>@drfahrettinkoca is waiting for 367 days assignment. What is I better? @drfahrettinkoca # fcking</v>
      </c>
    </row>
    <row r="12022" spans="1:5" ht="15" customHeight="1" x14ac:dyDescent="0.2">
      <c r="A12022" s="1" t="s">
        <v>23764</v>
      </c>
      <c r="B12022" s="1">
        <v>2</v>
      </c>
      <c r="C12022" s="3">
        <v>44533.754247685189</v>
      </c>
      <c r="D12022" s="1" t="s">
        <v>23765</v>
      </c>
      <c r="E12022" s="1" t="str">
        <f ca="1">IFERROR(__xludf.DUMMYFUNCTION("GOOGLETRANSLATE(A8821 , ""tr"" , ""en"")"),"@drfahrettinkoca do not play with our psychology anymore @drfahrettinkoca # fusable")</f>
        <v>@drfahrettinkoca do not play with our psychology anymore @drfahrettinkoca # fusable</v>
      </c>
    </row>
    <row r="12023" spans="1:5" ht="15" customHeight="1" x14ac:dyDescent="0.2">
      <c r="A12023" s="1" t="s">
        <v>23766</v>
      </c>
      <c r="B12023" s="1">
        <v>0</v>
      </c>
      <c r="C12023" s="3">
        <v>44533.754247685189</v>
      </c>
      <c r="D12023" s="1" t="s">
        <v>23767</v>
      </c>
      <c r="E12023" s="1" t="str">
        <f ca="1">IFERROR(__xludf.DUMMYFUNCTION("GOOGLETRANSLATE(A8822 , ""tr"" , ""en"")"),"@drfahrettinkoca Look forward to the description of the manuscript SN. I'm the Minister. . .")</f>
        <v>@drfahrettinkoca Look forward to the description of the manuscript SN. I'm the Minister. . .</v>
      </c>
    </row>
    <row r="12024" spans="1:5" ht="15" customHeight="1" x14ac:dyDescent="0.2">
      <c r="A12024" s="1" t="s">
        <v>23768</v>
      </c>
      <c r="B12024" s="1">
        <v>0</v>
      </c>
      <c r="C12024" s="3">
        <v>44533.754224537035</v>
      </c>
      <c r="D12024" s="1" t="s">
        <v>23769</v>
      </c>
      <c r="E12024" s="1" t="str">
        <f ca="1">IFERROR(__xludf.DUMMYFUNCTION("GOOGLETRANSLATE(A8823 , ""tr"" , ""en"")"),"@drfahrettinkoca Minister Statement Guide")</f>
        <v>@drfahrettinkoca Minister Statement Guide</v>
      </c>
    </row>
    <row r="12025" spans="1:5" ht="15" customHeight="1" x14ac:dyDescent="0.2">
      <c r="A12025" s="1" t="s">
        <v>23770</v>
      </c>
      <c r="B12025" s="1">
        <v>1</v>
      </c>
      <c r="C12025" s="3">
        <v>44533.754212962966</v>
      </c>
      <c r="D12025" s="1" t="s">
        <v>23771</v>
      </c>
      <c r="E12025" s="1" t="str">
        <f ca="1">IFERROR(__xludf.DUMMYFUNCTION("GOOGLETRANSLATE(A8824 , ""tr"" , ""en"")"),"@drfahrettinkoca yav is enough to give your love of allah no age left in my eyes Urgent type technique ... https://t.co/up5ft64jqu")</f>
        <v>@drfahrettinkoca yav is enough to give your love of allah no age left in my eyes Urgent type technique ... https://t.co/up5ft64jqu</v>
      </c>
    </row>
    <row r="12026" spans="1:5" ht="15" customHeight="1" x14ac:dyDescent="0.2">
      <c r="A12026" s="1" t="s">
        <v>23772</v>
      </c>
      <c r="B12026" s="1">
        <v>1</v>
      </c>
      <c r="C12026" s="3">
        <v>44533.754189814812</v>
      </c>
      <c r="D12026" s="1" t="s">
        <v>23773</v>
      </c>
      <c r="E12026" s="1" t="str">
        <f ca="1">IFERROR(__xludf.DUMMYFUNCTION("GOOGLETRANSLATE(A8825 , ""tr"" , ""en"")"),"@drfahrettinkoca expect to assign the one hand on the one hand assigned colleagues, violence, mobinge ... https://t.co/ijibsszfoh")</f>
        <v>@drfahrettinkoca expect to assign the one hand on the one hand assigned colleagues, violence, mobinge ... https://t.co/ijibsszfoh</v>
      </c>
    </row>
    <row r="12027" spans="1:5" ht="15" customHeight="1" x14ac:dyDescent="0.2">
      <c r="A12027" s="1" t="s">
        <v>23774</v>
      </c>
      <c r="B12027" s="1">
        <v>1</v>
      </c>
      <c r="C12027" s="3">
        <v>44533.754050925927</v>
      </c>
      <c r="D12027" s="1" t="s">
        <v>23775</v>
      </c>
      <c r="E12027" s="1" t="str">
        <f ca="1">IFERROR(__xludf.DUMMYFUNCTION("GOOGLETRANSLATE(A8826 , ""tr"" , ""en"")"),"@drfahrettinkoca expect to assign on the one hand, on the one hand assigned colleagues, violence, Mobinge ... https://t.co/nfhnegff9w")</f>
        <v>@drfahrettinkoca expect to assign on the one hand, on the one hand assigned colleagues, violence, Mobinge ... https://t.co/nfhnegff9w</v>
      </c>
    </row>
    <row r="12028" spans="1:5" ht="15" customHeight="1" x14ac:dyDescent="0.2">
      <c r="A12028" s="1" t="s">
        <v>23776</v>
      </c>
      <c r="B12028" s="1">
        <v>0</v>
      </c>
      <c r="C12028" s="3">
        <v>44533.754050925927</v>
      </c>
      <c r="D12028" s="1" t="s">
        <v>23777</v>
      </c>
      <c r="E12028" s="1" t="str">
        <f ca="1">IFERROR(__xludf.DUMMYFUNCTION("GOOGLETRANSLATE(A8827 , ""tr"" , ""en"")"),"@drfahrettinkoca Bakaim Allah Guide to the love of God Today")</f>
        <v>@drfahrettinkoca Bakaim Allah Guide to the love of God Today</v>
      </c>
    </row>
    <row r="12029" spans="1:5" ht="15" customHeight="1" x14ac:dyDescent="0.2">
      <c r="A12029" s="1" t="s">
        <v>23778</v>
      </c>
      <c r="B12029" s="1">
        <v>0</v>
      </c>
      <c r="C12029" s="3">
        <v>44533.753958333335</v>
      </c>
      <c r="D12029" s="1" t="s">
        <v>23779</v>
      </c>
      <c r="E12029" s="1" t="str">
        <f ca="1">IFERROR(__xludf.DUMMYFUNCTION("GOOGLETRANSLATE(A8828 , ""tr"" , ""en"")"),"@drfahrettinkoca guide to God's sake")</f>
        <v>@drfahrettinkoca guide to God's sake</v>
      </c>
    </row>
    <row r="12030" spans="1:5" ht="15" customHeight="1" x14ac:dyDescent="0.2">
      <c r="A12030" s="1" t="s">
        <v>15806</v>
      </c>
      <c r="B12030" s="1">
        <v>0</v>
      </c>
      <c r="C12030" s="3">
        <v>44533.753854166665</v>
      </c>
      <c r="D12030" s="1" t="s">
        <v>23780</v>
      </c>
      <c r="E12030" s="1" t="str">
        <f ca="1">IFERROR(__xludf.DUMMYFUNCTION("GOOGLETRANSLATE(A8829 , ""tr"" , ""en"")"),"@drfahrettinkoca kilavuzz")</f>
        <v>@drfahrettinkoca kilavuzz</v>
      </c>
    </row>
    <row r="12031" spans="1:5" ht="15" customHeight="1" x14ac:dyDescent="0.2">
      <c r="A12031" s="1" t="s">
        <v>23781</v>
      </c>
      <c r="B12031" s="1">
        <v>1</v>
      </c>
      <c r="C12031" s="3">
        <v>44533.753842592596</v>
      </c>
      <c r="D12031" s="1" t="s">
        <v>23782</v>
      </c>
      <c r="E12031" s="1" t="str">
        <f ca="1">IFERROR(__xludf.DUMMYFUNCTION("GOOGLETRANSLATE(A8830 , ""tr"" , ""en"")"),"@drfahrettinkoca us every month you have a new word and you have perception that you have perception No assignment we have training and ... https://t.co/yehxfa53xa")</f>
        <v>@drfahrettinkoca us every month you have a new word and you have perception that you have perception No assignment we have training and ... https://t.co/yehxfa53xa</v>
      </c>
    </row>
    <row r="12032" spans="1:5" ht="15" customHeight="1" x14ac:dyDescent="0.2">
      <c r="A12032" s="1" t="s">
        <v>23783</v>
      </c>
      <c r="B12032" s="1">
        <v>0</v>
      </c>
      <c r="C12032" s="3">
        <v>44533.753761574073</v>
      </c>
      <c r="D12032" s="1" t="s">
        <v>23784</v>
      </c>
      <c r="E12032" s="1" t="str">
        <f ca="1">IFERROR(__xludf.DUMMYFUNCTION("GOOGLETRANSLATE(A8831 , ""tr"" , ""en"")"),"@drfahrettinkoca See us for Allah's love now kilavuzz")</f>
        <v>@drfahrettinkoca See us for Allah's love now kilavuzz</v>
      </c>
    </row>
    <row r="12033" spans="1:5" ht="15" customHeight="1" x14ac:dyDescent="0.2">
      <c r="A12033" s="1" t="s">
        <v>23785</v>
      </c>
      <c r="B12033" s="1">
        <v>0</v>
      </c>
      <c r="C12033" s="3">
        <v>44533.75309027778</v>
      </c>
      <c r="D12033" s="1" t="s">
        <v>23786</v>
      </c>
      <c r="E12033" s="1" t="str">
        <f ca="1">IFERROR(__xludf.DUMMYFUNCTION("GOOGLETRANSLATE(A8832 , ""tr"" , ""en"")"),"@drfahrettinkoca Mr. Minister The branches in November will be the assignment that you have to be assigned to come again as healthiers as healthiers")</f>
        <v>@drfahrettinkoca Mr. Minister The branches in November will be the assignment that you have to be assigned to come again as healthiers as healthiers</v>
      </c>
    </row>
    <row r="12034" spans="1:5" ht="15" customHeight="1" x14ac:dyDescent="0.2">
      <c r="A12034" s="1" t="s">
        <v>23787</v>
      </c>
      <c r="B12034" s="1">
        <v>0</v>
      </c>
      <c r="C12034" s="3">
        <v>44533.752962962964</v>
      </c>
      <c r="D12034" s="1" t="s">
        <v>23788</v>
      </c>
      <c r="E12034" s="1" t="str">
        <f ca="1">IFERROR(__xludf.DUMMYFUNCTION("GOOGLETRANSLATE(A8833 , ""tr"" , ""en"")"),"@drfahrettinkoca # fcking")</f>
        <v>@drfahrettinkoca # fcking</v>
      </c>
    </row>
    <row r="12035" spans="1:5" ht="15" customHeight="1" x14ac:dyDescent="0.2">
      <c r="A12035" s="1" t="s">
        <v>23789</v>
      </c>
      <c r="B12035" s="1">
        <v>0</v>
      </c>
      <c r="C12035" s="3">
        <v>44533.752835648149</v>
      </c>
      <c r="D12035" s="1" t="s">
        <v>23790</v>
      </c>
      <c r="E12035" s="1" t="str">
        <f ca="1">IFERROR(__xludf.DUMMYFUNCTION("GOOGLETRANSLATE(A8834 , ""tr"" , ""en"")"),"@drfahrettinkoca yav enough enough to cry in the love of allah no age left in my eyes Urgent type technique ... https://t.co/pmsx5oyyjq")</f>
        <v>@drfahrettinkoca yav enough enough to cry in the love of allah no age left in my eyes Urgent type technique ... https://t.co/pmsx5oyyjq</v>
      </c>
    </row>
    <row r="12036" spans="1:5" ht="15" customHeight="1" x14ac:dyDescent="0.2">
      <c r="A12036" s="1" t="s">
        <v>23791</v>
      </c>
      <c r="B12036" s="1">
        <v>0</v>
      </c>
      <c r="C12036" s="3">
        <v>44533.752766203703</v>
      </c>
      <c r="D12036" s="1" t="s">
        <v>23792</v>
      </c>
      <c r="E12036" s="1" t="str">
        <f ca="1">IFERROR(__xludf.DUMMYFUNCTION("GOOGLETRANSLATE(A8835 , ""tr"" , ""en"")"),"@drfahrettinkoca yav enough enough to give your love in the eyes that haven't been in my eye on my eyes Urgent type technique ... https://t.co/hopdy5tcwz")</f>
        <v>@drfahrettinkoca yav enough enough to give your love in the eyes that haven't been in my eye on my eyes Urgent type technique ... https://t.co/hopdy5tcwz</v>
      </c>
    </row>
    <row r="12037" spans="1:5" ht="15" customHeight="1" x14ac:dyDescent="0.2">
      <c r="A12037" s="1" t="s">
        <v>23793</v>
      </c>
      <c r="B12037" s="1">
        <v>0</v>
      </c>
      <c r="C12037" s="3">
        <v>44533.752175925925</v>
      </c>
      <c r="D12037" s="1" t="s">
        <v>23794</v>
      </c>
      <c r="E12037" s="1" t="str">
        <f ca="1">IFERROR(__xludf.DUMMYFUNCTION("GOOGLETRANSLATE(A8836 , ""tr"" , ""en"")"),"@drfahrettinkoca yav enough enough to cry in the eyes of allah no age left in my eyes Urgent type technique ... https://t.co/fz1aclgp1y")</f>
        <v>@drfahrettinkoca yav enough enough to cry in the eyes of allah no age left in my eyes Urgent type technique ... https://t.co/fz1aclgp1y</v>
      </c>
    </row>
    <row r="12038" spans="1:5" ht="15" customHeight="1" x14ac:dyDescent="0.2">
      <c r="A12038" s="1" t="s">
        <v>23795</v>
      </c>
      <c r="B12038" s="1">
        <v>1</v>
      </c>
      <c r="C12038" s="3">
        <v>44533.752118055556</v>
      </c>
      <c r="D12038" s="1" t="s">
        <v>23796</v>
      </c>
      <c r="E12038" s="1" t="str">
        <f ca="1">IFERROR(__xludf.DUMMYFUNCTION("GOOGLETRANSLATE(A8837 , ""tr"" , ""en"")"),"@drfahrettinkoca yav is enough to give your love of allah no age left in my eye olderrrrrrr the manual ver urgent type technique ... https://t.co/kvrw7gqcj7")</f>
        <v>@drfahrettinkoca yav is enough to give your love of allah no age left in my eye olderrrrrrr the manual ver urgent type technique ... https://t.co/kvrw7gqcj7</v>
      </c>
    </row>
    <row r="12039" spans="1:5" ht="15" customHeight="1" x14ac:dyDescent="0.2">
      <c r="A12039" s="1" t="s">
        <v>23797</v>
      </c>
      <c r="B12039" s="1">
        <v>0</v>
      </c>
      <c r="C12039" s="3">
        <v>44533.752060185187</v>
      </c>
      <c r="D12039" s="1" t="s">
        <v>23798</v>
      </c>
      <c r="E12039" s="1" t="str">
        <f ca="1">IFERROR(__xludf.DUMMYFUNCTION("GOOGLETRANSLATE(A8838 , ""tr"" , ""en"")"),"@drfahrettinkoca yav enough enough to give your love in the eyes of crying olanrrrrrrrrrrr please give urgent type technique ... https://t.co/edycmvztud")</f>
        <v>@drfahrettinkoca yav enough enough to give your love in the eyes of crying olanrrrrrrrrrrr please give urgent type technique ... https://t.co/edycmvztud</v>
      </c>
    </row>
    <row r="12040" spans="1:5" ht="15" customHeight="1" x14ac:dyDescent="0.2">
      <c r="A12040" s="1" t="s">
        <v>23799</v>
      </c>
      <c r="B12040" s="1">
        <v>0</v>
      </c>
      <c r="C12040" s="3">
        <v>44533.752002314817</v>
      </c>
      <c r="D12040" s="1" t="s">
        <v>23800</v>
      </c>
      <c r="E12040" s="1" t="str">
        <f ca="1">IFERROR(__xludf.DUMMYFUNCTION("GOOGLETRANSLATE(A8839 , ""tr"" , ""en"")"),"@drfahrettinkoca yav enough enough to love the love of allah no age left in my eyes Urgent type technique ... https://t.co/zz22voswxn")</f>
        <v>@drfahrettinkoca yav enough enough to love the love of allah no age left in my eyes Urgent type technique ... https://t.co/zz22voswxn</v>
      </c>
    </row>
    <row r="12041" spans="1:5" ht="15" customHeight="1" x14ac:dyDescent="0.2">
      <c r="A12041" s="1" t="s">
        <v>23801</v>
      </c>
      <c r="B12041" s="1">
        <v>0</v>
      </c>
      <c r="C12041" s="3">
        <v>44533.751909722225</v>
      </c>
      <c r="D12041" s="1" t="s">
        <v>23802</v>
      </c>
      <c r="E12041" s="1" t="str">
        <f ca="1">IFERROR(__xludf.DUMMYFUNCTION("GOOGLETRANSLATE(A8840 , ""tr"" , ""en"")"),"@drfahrettinka yav enough enough to cry in the eyes of allah no age left in my eyes Urgent type technique ... https://t.co/twmsgajyqj")</f>
        <v>@drfahrettinka yav enough enough to cry in the eyes of allah no age left in my eyes Urgent type technique ... https://t.co/twmsgajyqj</v>
      </c>
    </row>
    <row r="12042" spans="1:5" ht="15" customHeight="1" x14ac:dyDescent="0.2">
      <c r="A12042" s="1" t="s">
        <v>23803</v>
      </c>
      <c r="B12042" s="1">
        <v>2</v>
      </c>
      <c r="C12042" s="3">
        <v>44533.751840277779</v>
      </c>
      <c r="D12042" s="1" t="s">
        <v>23804</v>
      </c>
      <c r="E12042" s="1" t="str">
        <f ca="1">IFERROR(__xludf.DUMMYFUNCTION("GOOGLETRANSLATE(A8841 , ""tr"" , ""en"")"),"@drfahrettinkoca yav enough enough to give your sake of allah no age left in my eyes Urgent type technique ... https://t.co/tenugni8ob")</f>
        <v>@drfahrettinkoca yav enough enough to give your sake of allah no age left in my eyes Urgent type technique ... https://t.co/tenugni8ob</v>
      </c>
    </row>
    <row r="12043" spans="1:5" ht="15" customHeight="1" x14ac:dyDescent="0.2">
      <c r="A12043" s="1" t="s">
        <v>23805</v>
      </c>
      <c r="B12043" s="1">
        <v>0</v>
      </c>
      <c r="C12043" s="3">
        <v>44533.751701388886</v>
      </c>
      <c r="D12043" s="1" t="s">
        <v>23806</v>
      </c>
      <c r="E12043" s="1" t="str">
        <f ca="1">IFERROR(__xludf.DUMMYFUNCTION("GOOGLETRANSLATE(A8842 , ""tr"" , ""en"")"),"@drfahrettinkoca I wish you could be a minister who worked up to MEB minister and thinking about the staff.")</f>
        <v>@drfahrettinkoca I wish you could be a minister who worked up to MEB minister and thinking about the staff.</v>
      </c>
    </row>
    <row r="12044" spans="1:5" ht="15" customHeight="1" x14ac:dyDescent="0.2">
      <c r="A12044" s="1" t="s">
        <v>23807</v>
      </c>
      <c r="B12044" s="1">
        <v>0</v>
      </c>
      <c r="C12044" s="3">
        <v>44533.751331018517</v>
      </c>
      <c r="D12044" s="1" t="s">
        <v>23808</v>
      </c>
      <c r="E12044" s="1" t="str">
        <f ca="1">IFERROR(__xludf.DUMMYFUNCTION("GOOGLETRANSLATE(A8843 , ""tr"" , ""en"")"),"@drfahrettinkoca is the state of 2021 healthcare (Bilo-İlyas Salman). # FKOYUZUZUZUZUZUZ HTTPS://T.CO/LKYFAAWKYK")</f>
        <v>@drfahrettinkoca is the state of 2021 healthcare (Bilo-İlyas Salman). # FKOYUZUZUZUZUZUZ HTTPS://T.CO/LKYFAAWKYK</v>
      </c>
    </row>
    <row r="12045" spans="1:5" ht="15" customHeight="1" x14ac:dyDescent="0.2">
      <c r="A12045" s="1" t="s">
        <v>23809</v>
      </c>
      <c r="B12045" s="1">
        <v>9</v>
      </c>
      <c r="C12045" s="3">
        <v>44533.751261574071</v>
      </c>
      <c r="D12045" s="1" t="s">
        <v>23810</v>
      </c>
      <c r="E12045" s="1" t="str">
        <f ca="1">IFERROR(__xludf.DUMMYFUNCTION("GOOGLETRANSLATE(A8844 , ""tr"" , ""en"")"),"@drfahrettinkoca Why are you still silent about a purchase that I don't understand? @ drfahrettinkoca ... https://t.co/zf4rwk2p4b")</f>
        <v>@drfahrettinkoca Why are you still silent about a purchase that I don't understand? @ drfahrettinkoca ... https://t.co/zf4rwk2p4b</v>
      </c>
    </row>
    <row r="12046" spans="1:5" ht="15" customHeight="1" x14ac:dyDescent="0.2">
      <c r="A12046" s="1" t="s">
        <v>23811</v>
      </c>
      <c r="B12046" s="1">
        <v>3</v>
      </c>
      <c r="C12046" s="3">
        <v>44533.751134259262</v>
      </c>
      <c r="D12046" s="1" t="s">
        <v>23812</v>
      </c>
      <c r="E12046" s="1" t="str">
        <f ca="1">IFERROR(__xludf.DUMMYFUNCTION("GOOGLETRANSLATE(A8845 , ""tr"" , ""en"")"),"@drfahrettinkoca colleagues how long will we expect more of our minister, everyone has stayed in the duo ... https://t.co/7b6bfbt355")</f>
        <v>@drfahrettinkoca colleagues how long will we expect more of our minister, everyone has stayed in the duo ... https://t.co/7b6bfbt355</v>
      </c>
    </row>
    <row r="12047" spans="1:5" ht="15" customHeight="1" x14ac:dyDescent="0.2">
      <c r="A12047" s="1" t="s">
        <v>23813</v>
      </c>
      <c r="B12047" s="1">
        <v>0</v>
      </c>
      <c r="C12047" s="3">
        <v>44533.750578703701</v>
      </c>
      <c r="D12047" s="1" t="s">
        <v>23814</v>
      </c>
      <c r="E12047" s="1" t="str">
        <f ca="1">IFERROR(__xludf.DUMMYFUNCTION("GOOGLETRANSLATE(A8846 , ""tr"" , ""en"")"),"@drfahrettinkoca had our guide")</f>
        <v>@drfahrettinkoca had our guide</v>
      </c>
    </row>
    <row r="12048" spans="1:5" ht="15" customHeight="1" x14ac:dyDescent="0.2">
      <c r="A12048" s="1" t="s">
        <v>23815</v>
      </c>
      <c r="B12048" s="1">
        <v>0</v>
      </c>
      <c r="C12048" s="3">
        <v>44533.750567129631</v>
      </c>
      <c r="D12048" s="1" t="s">
        <v>23816</v>
      </c>
      <c r="E12048" s="1" t="str">
        <f ca="1">IFERROR(__xludf.DUMMYFUNCTION("GOOGLETRANSLATE(A8847 , ""tr"" , ""en"")"),"@drfahrettinkca don't talk without acknowledgment from my boss, then hit the crash")</f>
        <v>@drfahrettinkca don't talk without acknowledgment from my boss, then hit the crash</v>
      </c>
    </row>
    <row r="12049" spans="1:5" ht="15" customHeight="1" x14ac:dyDescent="0.2">
      <c r="A12049" s="1" t="s">
        <v>23817</v>
      </c>
      <c r="B12049" s="1">
        <v>0</v>
      </c>
      <c r="C12049" s="3">
        <v>44533.750208333331</v>
      </c>
      <c r="D12049" s="1" t="s">
        <v>23818</v>
      </c>
      <c r="E12049" s="1" t="str">
        <f ca="1">IFERROR(__xludf.DUMMYFUNCTION("GOOGLETRANSLATE(A8848 , ""tr"" , ""en"")"),"@drfahrettinkoca you didn't say to be vaccination at the end of the amazement sentence 😅")</f>
        <v>@drfahrettinkoca you didn't say to be vaccination at the end of the amazement sentence 😅</v>
      </c>
    </row>
    <row r="12050" spans="1:5" ht="15" customHeight="1" x14ac:dyDescent="0.2">
      <c r="A12050" s="1" t="s">
        <v>23819</v>
      </c>
      <c r="B12050" s="1">
        <v>0</v>
      </c>
      <c r="C12050" s="3">
        <v>44533.7500462963</v>
      </c>
      <c r="D12050" s="1" t="s">
        <v>23820</v>
      </c>
      <c r="E12050" s="1" t="str">
        <f ca="1">IFERROR(__xludf.DUMMYFUNCTION("GOOGLETRANSLATE(A8849 , ""tr"" , ""en"")"),"@drfahrettinkoca Overlooking What positive is Negative No Discrimination Only Accessibility Criteria ... https://t.co/rqvcaze69w")</f>
        <v>@drfahrettinkoca Overlooking What positive is Negative No Discrimination Only Accessibility Criteria ... https://t.co/rqvcaze69w</v>
      </c>
    </row>
    <row r="12051" spans="1:5" ht="15" customHeight="1" x14ac:dyDescent="0.2">
      <c r="A12051" s="1" t="s">
        <v>23821</v>
      </c>
      <c r="B12051" s="1">
        <v>0</v>
      </c>
      <c r="C12051" s="3">
        <v>44533.749826388892</v>
      </c>
      <c r="D12051" s="1" t="s">
        <v>23822</v>
      </c>
      <c r="E12051" s="1" t="str">
        <f ca="1">IFERROR(__xludf.DUMMYFUNCTION("GOOGLETRANSLATE(A8850 , ""tr"" , ""en"")"),"@drfahrettinkoca Your goal is to assignment and what to do what to do with the love of Allah or we were fi fi culty")</f>
        <v>@drfahrettinkoca Your goal is to assignment and what to do what to do with the love of Allah or we were fi fi culty</v>
      </c>
    </row>
    <row r="12052" spans="1:5" ht="15" customHeight="1" x14ac:dyDescent="0.2">
      <c r="A12052" s="1" t="s">
        <v>23823</v>
      </c>
      <c r="B12052" s="1">
        <v>0</v>
      </c>
      <c r="C12052" s="3">
        <v>44533.749513888892</v>
      </c>
      <c r="D12052" s="1" t="s">
        <v>23824</v>
      </c>
      <c r="E12052" s="1" t="str">
        <f ca="1">IFERROR(__xludf.DUMMYFUNCTION("GOOGLETRANSLATE(A8851 , ""tr"" , ""en"")"),"@drfahrettinkoca Having the right of the obstacle has the Minister of Health Effective Health")</f>
        <v>@drfahrettinkoca Having the right of the obstacle has the Minister of Health Effective Health</v>
      </c>
    </row>
    <row r="12053" spans="1:5" ht="15" customHeight="1" x14ac:dyDescent="0.2">
      <c r="A12053" s="1" t="s">
        <v>23825</v>
      </c>
      <c r="B12053" s="1">
        <v>0</v>
      </c>
      <c r="C12053" s="3">
        <v>44533.749502314815</v>
      </c>
      <c r="D12053" s="1" t="s">
        <v>23826</v>
      </c>
      <c r="E12053" s="1" t="str">
        <f ca="1">IFERROR(__xludf.DUMMYFUNCTION("GOOGLETRANSLATE(A8852 , ""tr"" , ""en"")"),"@drfahrettinkoca has seen a minister who has not participated in the budget call of their staff. Thank you so much.")</f>
        <v>@drfahrettinkoca has seen a minister who has not participated in the budget call of their staff. Thank you so much.</v>
      </c>
    </row>
    <row r="12054" spans="1:5" ht="15" customHeight="1" x14ac:dyDescent="0.2">
      <c r="A12054" s="1" t="s">
        <v>23827</v>
      </c>
      <c r="B12054" s="1">
        <v>1</v>
      </c>
      <c r="C12054" s="3">
        <v>44533.749293981484</v>
      </c>
      <c r="D12054" s="1" t="s">
        <v>23828</v>
      </c>
      <c r="E12054" s="1" t="str">
        <f ca="1">IFERROR(__xludf.DUMMYFUNCTION("GOOGLETRANSLATE(A8853 , ""tr"" , ""en"")"),"@drfahrettinkoca why you ignore the insistence we want the guide. You are the affiliation that you've strolled in #fo")</f>
        <v>@drfahrettinkoca why you ignore the insistence we want the guide. You are the affiliation that you've strolled in #fo</v>
      </c>
    </row>
    <row r="12055" spans="1:5" ht="15" customHeight="1" x14ac:dyDescent="0.2">
      <c r="A12055" s="1" t="s">
        <v>23829</v>
      </c>
      <c r="B12055" s="1">
        <v>1</v>
      </c>
      <c r="C12055" s="3">
        <v>44533.749293981484</v>
      </c>
      <c r="D12055" s="1" t="s">
        <v>23830</v>
      </c>
      <c r="E12055" s="1" t="str">
        <f ca="1">IFERROR(__xludf.DUMMYFUNCTION("GOOGLETRANSLATE(A8854 , ""tr"" , ""en"")"),"@drfahrettinkoca Minister What will be appointments of disabled healthcare? Will not be done?")</f>
        <v>@drfahrettinkoca Minister What will be appointments of disabled healthcare? Will not be done?</v>
      </c>
    </row>
    <row r="12056" spans="1:5" ht="15" customHeight="1" x14ac:dyDescent="0.2">
      <c r="A12056" s="1" t="s">
        <v>23831</v>
      </c>
      <c r="B12056" s="1">
        <v>1</v>
      </c>
      <c r="C12056" s="3">
        <v>44533.749166666668</v>
      </c>
      <c r="D12056" s="1" t="s">
        <v>23832</v>
      </c>
      <c r="E12056" s="1" t="str">
        <f ca="1">IFERROR(__xludf.DUMMYFUNCTION("GOOGLETRANSLATE(A8855 , ""tr"" , ""en"")"),"@drfahrettinkoca Cluider Don't wait The teenagers give the doctor to the doctor and they ignored the nurses who ignored the nurses.")</f>
        <v>@drfahrettinkoca Cluider Don't wait The teenagers give the doctor to the doctor and they ignored the nurses who ignored the nurses.</v>
      </c>
    </row>
    <row r="12057" spans="1:5" ht="15" customHeight="1" x14ac:dyDescent="0.2">
      <c r="A12057" s="1" t="s">
        <v>23833</v>
      </c>
      <c r="B12057" s="1">
        <v>0</v>
      </c>
      <c r="C12057" s="3">
        <v>44533.749143518522</v>
      </c>
      <c r="D12057" s="1" t="s">
        <v>23834</v>
      </c>
      <c r="E12057" s="1" t="str">
        <f ca="1">IFERROR(__xludf.DUMMYFUNCTION("GOOGLETRANSLATE(A8856 , ""tr"" , ""en"")"),"@drfahrettinkoca Healthiers are waiting for the guide")</f>
        <v>@drfahrettinkoca Healthiers are waiting for the guide</v>
      </c>
    </row>
    <row r="12058" spans="1:5" ht="15" customHeight="1" x14ac:dyDescent="0.2">
      <c r="A12058" s="1" t="s">
        <v>23835</v>
      </c>
      <c r="B12058" s="1">
        <v>0</v>
      </c>
      <c r="C12058" s="3">
        <v>44533.749039351853</v>
      </c>
      <c r="D12058" s="1" t="s">
        <v>23836</v>
      </c>
      <c r="E12058" s="1" t="str">
        <f ca="1">IFERROR(__xludf.DUMMYFUNCTION("GOOGLETRANSLATE(A8857 , ""tr"" , ""en"")"),"@drfahrettinkoca Publish Quick Guide Mr. @drfahrettinkoca")</f>
        <v>@drfahrettinkoca Publish Quick Guide Mr. @drfahrettinkoca</v>
      </c>
    </row>
    <row r="12059" spans="1:5" ht="15" customHeight="1" x14ac:dyDescent="0.2">
      <c r="A12059" s="1" t="s">
        <v>23837</v>
      </c>
      <c r="B12059" s="1">
        <v>0</v>
      </c>
      <c r="C12059" s="3">
        <v>44533.749027777776</v>
      </c>
      <c r="D12059" s="1" t="s">
        <v>23838</v>
      </c>
      <c r="E12059" s="1" t="str">
        <f ca="1">IFERROR(__xludf.DUMMYFUNCTION("GOOGLETRANSLATE(A8858 , ""tr"" , ""en"")"),"@drfahrettinkoca Healthier Guide is waiting")</f>
        <v>@drfahrettinkoca Healthier Guide is waiting</v>
      </c>
    </row>
    <row r="12060" spans="1:5" ht="15" customHeight="1" x14ac:dyDescent="0.2">
      <c r="A12060" s="1" t="s">
        <v>23839</v>
      </c>
      <c r="B12060" s="1">
        <v>0</v>
      </c>
      <c r="C12060" s="3">
        <v>44533.748912037037</v>
      </c>
      <c r="D12060" s="1" t="s">
        <v>23840</v>
      </c>
      <c r="E12060" s="1" t="str">
        <f ca="1">IFERROR(__xludf.DUMMYFUNCTION("GOOGLETRANSLATE(A8859 , ""tr"" , ""en"")"),"@drfahrettinkoca Health Guide is waiting for")</f>
        <v>@drfahrettinkoca Health Guide is waiting for</v>
      </c>
    </row>
    <row r="12061" spans="1:5" ht="15" customHeight="1" x14ac:dyDescent="0.2">
      <c r="A12061" s="1" t="s">
        <v>16768</v>
      </c>
      <c r="B12061" s="1">
        <v>0</v>
      </c>
      <c r="C12061" s="3">
        <v>44533.748796296299</v>
      </c>
      <c r="D12061" s="1" t="s">
        <v>23841</v>
      </c>
      <c r="E12061" s="1" t="str">
        <f ca="1">IFERROR(__xludf.DUMMYFUNCTION("GOOGLETRANSLATE(A8860 , ""tr"" , ""en"")"),"@drfahrettinkoca KKIIllaavvuuzz")</f>
        <v>@drfahrettinkoca KKIIllaavvuuzz</v>
      </c>
    </row>
    <row r="12062" spans="1:5" ht="15" customHeight="1" x14ac:dyDescent="0.2">
      <c r="A12062" s="1" t="s">
        <v>23842</v>
      </c>
      <c r="B12062" s="1">
        <v>0</v>
      </c>
      <c r="C12062" s="3">
        <v>44533.748715277776</v>
      </c>
      <c r="D12062" s="1" t="s">
        <v>23843</v>
      </c>
      <c r="E12062" s="1" t="str">
        <f ca="1">IFERROR(__xludf.DUMMYFUNCTION("GOOGLETRANSLATE(A8861 , ""tr"" , ""en"")"),"@drfahrettinkoca guide ..")</f>
        <v>@drfahrettinkoca guide ..</v>
      </c>
    </row>
    <row r="12063" spans="1:5" ht="15" customHeight="1" x14ac:dyDescent="0.2">
      <c r="A12063" s="1" t="s">
        <v>16774</v>
      </c>
      <c r="B12063" s="1">
        <v>0</v>
      </c>
      <c r="C12063" s="3">
        <v>44533.748622685183</v>
      </c>
      <c r="D12063" s="1" t="s">
        <v>23844</v>
      </c>
      <c r="E12063" s="1" t="str">
        <f ca="1">IFERROR(__xludf.DUMMYFUNCTION("GOOGLETRANSLATE(A8862 , ""tr"" , ""en"")"),"@drfahrettinkoca guide.")</f>
        <v>@drfahrettinkoca guide.</v>
      </c>
    </row>
    <row r="12064" spans="1:5" ht="15" customHeight="1" x14ac:dyDescent="0.2">
      <c r="A12064" s="1" t="s">
        <v>23845</v>
      </c>
      <c r="B12064" s="1">
        <v>0</v>
      </c>
      <c r="C12064" s="3">
        <v>44533.748541666668</v>
      </c>
      <c r="D12064" s="1" t="s">
        <v>23846</v>
      </c>
      <c r="E12064" s="1" t="str">
        <f ca="1">IFERROR(__xludf.DUMMYFUNCTION("GOOGLETRANSLATE(A8863 , ""tr"" , ""en"")"),"@drfahrettinkoca guanuzzz")</f>
        <v>@drfahrettinkoca guanuzzz</v>
      </c>
    </row>
    <row r="12065" spans="1:5" ht="15" customHeight="1" x14ac:dyDescent="0.2">
      <c r="A12065" s="1" t="s">
        <v>16770</v>
      </c>
      <c r="B12065" s="1">
        <v>0</v>
      </c>
      <c r="C12065" s="3">
        <v>44533.748483796298</v>
      </c>
      <c r="D12065" s="1" t="s">
        <v>23847</v>
      </c>
      <c r="E12065" s="1" t="str">
        <f ca="1">IFERROR(__xludf.DUMMYFUNCTION("GOOGLETRANSLATE(A8864 , ""tr"" , ""en"")"),"@drfahrettinkoca guide")</f>
        <v>@drfahrettinkoca guide</v>
      </c>
    </row>
    <row r="12066" spans="1:5" ht="15" customHeight="1" x14ac:dyDescent="0.2">
      <c r="A12066" s="1" t="s">
        <v>10058</v>
      </c>
      <c r="B12066" s="1">
        <v>0</v>
      </c>
      <c r="C12066" s="3">
        <v>44533.748425925929</v>
      </c>
      <c r="D12066" s="1" t="s">
        <v>23848</v>
      </c>
      <c r="E12066" s="1" t="str">
        <f ca="1">IFERROR(__xludf.DUMMYFUNCTION("GOOGLETRANSLATE(A8865 , ""tr"" , ""en"")"),"@drfahrettinkoca Guide")</f>
        <v>@drfahrettinkoca Guide</v>
      </c>
    </row>
    <row r="12067" spans="1:5" ht="15" customHeight="1" x14ac:dyDescent="0.2">
      <c r="A12067" s="1" t="s">
        <v>23849</v>
      </c>
      <c r="B12067" s="1">
        <v>2</v>
      </c>
      <c r="C12067" s="3">
        <v>44533.748333333337</v>
      </c>
      <c r="D12067" s="1" t="s">
        <v>23850</v>
      </c>
      <c r="E12067" s="1" t="str">
        <f ca="1">IFERROR(__xludf.DUMMYFUNCTION("GOOGLETRANSLATE(A8866 , ""tr"" , ""en"")"),"@drfahrettinka https://t.co/ln5jkswq4I")</f>
        <v>@drfahrettinka https://t.co/ln5jkswq4I</v>
      </c>
    </row>
    <row r="12068" spans="1:5" ht="15" customHeight="1" x14ac:dyDescent="0.2">
      <c r="A12068" s="1" t="s">
        <v>23851</v>
      </c>
      <c r="B12068" s="1">
        <v>1</v>
      </c>
      <c r="C12068" s="3">
        <v>44533.748182870368</v>
      </c>
      <c r="D12068" s="1" t="s">
        <v>23852</v>
      </c>
      <c r="E12068" s="1" t="str">
        <f ca="1">IFERROR(__xludf.DUMMYFUNCTION("GOOGLETRANSLATE(A8867 , ""tr"" , ""en"")"),"@drfahrettinkoca assignment is tired of waiting healthpieces waiting. Koskoca has passed a year without assignment. Approval also received HA ... https://t.co/vtjrmpyajx")</f>
        <v>@drfahrettinkoca assignment is tired of waiting healthpieces waiting. Koskoca has passed a year without assignment. Approval also received HA ... https://t.co/vtjrmpyajx</v>
      </c>
    </row>
    <row r="12069" spans="1:5" ht="15" customHeight="1" x14ac:dyDescent="0.2">
      <c r="A12069" s="1" t="s">
        <v>23853</v>
      </c>
      <c r="B12069" s="1">
        <v>1</v>
      </c>
      <c r="C12069" s="3">
        <v>44533.747928240744</v>
      </c>
      <c r="D12069" s="1" t="s">
        <v>23854</v>
      </c>
      <c r="E12069" s="1" t="str">
        <f ca="1">IFERROR(__xludf.DUMMYFUNCTION("GOOGLETRANSLATE(A8868 , ""tr"" , ""en"")"),"@drfahrettinkoca doesn't top it hard to make it hard, do it at once you need to do it no longer. @ drfahrettinkoca ... https://t.co/zq8phfsgfw")</f>
        <v>@drfahrettinkoca doesn't top it hard to make it hard, do it at once you need to do it no longer. @ drfahrettinkoca ... https://t.co/zq8phfsgfw</v>
      </c>
    </row>
    <row r="12070" spans="1:5" ht="15" customHeight="1" x14ac:dyDescent="0.2">
      <c r="A12070" s="1" t="s">
        <v>23855</v>
      </c>
      <c r="B12070" s="1">
        <v>1</v>
      </c>
      <c r="C12070" s="3">
        <v>44533.747719907406</v>
      </c>
      <c r="D12070" s="1" t="s">
        <v>23856</v>
      </c>
      <c r="E12070" s="1" t="str">
        <f ca="1">IFERROR(__xludf.DUMMYFUNCTION("GOOGLETRANSLATE(A8869 , ""tr"" , ""en"")"),"@drfahrettinkoca eee guide?")</f>
        <v>@drfahrettinkoca eee guide?</v>
      </c>
    </row>
    <row r="12071" spans="1:5" ht="15" customHeight="1" x14ac:dyDescent="0.2">
      <c r="A12071" s="1" t="s">
        <v>23857</v>
      </c>
      <c r="B12071" s="1">
        <v>0</v>
      </c>
      <c r="C12071" s="3">
        <v>44533.747569444444</v>
      </c>
      <c r="D12071" s="1" t="s">
        <v>23858</v>
      </c>
      <c r="E12071" s="1" t="str">
        <f ca="1">IFERROR(__xludf.DUMMYFUNCTION("GOOGLETRANSLATE(A8870 , ""tr"" , ""en"")"),"@drfahrettinkoca I'm not permission from you I'm saying sir if you don't let you sir")</f>
        <v>@drfahrettinkoca I'm not permission from you I'm saying sir if you don't let you sir</v>
      </c>
    </row>
    <row r="12072" spans="1:5" ht="15" customHeight="1" x14ac:dyDescent="0.2">
      <c r="A12072" s="1" t="s">
        <v>23859</v>
      </c>
      <c r="B12072" s="1">
        <v>2</v>
      </c>
      <c r="C12072" s="3">
        <v>44533.747546296298</v>
      </c>
      <c r="D12072" s="1" t="s">
        <v>23860</v>
      </c>
      <c r="E12072" s="1" t="str">
        <f ca="1">IFERROR(__xludf.DUMMYFUNCTION("GOOGLETRANSLATE(A8871 , ""tr"" , ""en"")"),"@drfahrettinkoca husband Why doesn't a year assignment finished guide? #Fe to fcking")</f>
        <v>@drfahrettinkoca husband Why doesn't a year assignment finished guide? #Fe to fcking</v>
      </c>
    </row>
    <row r="12073" spans="1:5" ht="15" customHeight="1" x14ac:dyDescent="0.2">
      <c r="A12073" s="1" t="s">
        <v>23861</v>
      </c>
      <c r="B12073" s="1">
        <v>0</v>
      </c>
      <c r="C12073" s="3">
        <v>44533.747430555559</v>
      </c>
      <c r="D12073" s="1" t="s">
        <v>23862</v>
      </c>
      <c r="E12073" s="1" t="str">
        <f ca="1">IFERROR(__xludf.DUMMYFUNCTION("GOOGLETRANSLATE(A8872 , ""tr"" , ""en"")"),"@drfahrettinkoca guide looking forward to promise")</f>
        <v>@drfahrettinkoca guide looking forward to promise</v>
      </c>
    </row>
    <row r="12074" spans="1:5" ht="15" customHeight="1" x14ac:dyDescent="0.2">
      <c r="A12074" s="1" t="s">
        <v>23863</v>
      </c>
      <c r="B12074" s="1">
        <v>1</v>
      </c>
      <c r="C12074" s="3">
        <v>44533.747407407405</v>
      </c>
      <c r="D12074" s="1" t="s">
        <v>23864</v>
      </c>
      <c r="E12074" s="1" t="str">
        <f ca="1">IFERROR(__xludf.DUMMYFUNCTION("GOOGLETRANSLATE(A8873 , ""tr"" , ""en"")"),"@drfahrettinkoca has not been able to decide what are you in 25 days Neyde has not reconciliated all this teenager who has been waiting for a year still ... https://t.co/l9gek9sqph")</f>
        <v>@drfahrettinkoca has not been able to decide what are you in 25 days Neyde has not reconciliated all this teenager who has been waiting for a year still ... https://t.co/l9gek9sqph</v>
      </c>
    </row>
    <row r="12075" spans="1:5" ht="15" customHeight="1" x14ac:dyDescent="0.2">
      <c r="A12075" s="1" t="s">
        <v>23865</v>
      </c>
      <c r="B12075" s="1">
        <v>0</v>
      </c>
      <c r="C12075" s="3">
        <v>44533.747291666667</v>
      </c>
      <c r="D12075" s="1" t="s">
        <v>23866</v>
      </c>
      <c r="E12075" s="1" t="str">
        <f ca="1">IFERROR(__xludf.DUMMYFUNCTION("GOOGLETRANSLATE(A8874 , ""tr"" , ""en"")"),"@drfahrettinkoca Atamaaaaaaaaa")</f>
        <v>@drfahrettinkoca Atamaaaaaaaaa</v>
      </c>
    </row>
    <row r="12076" spans="1:5" ht="15" customHeight="1" x14ac:dyDescent="0.2">
      <c r="A12076" s="1" t="s">
        <v>23867</v>
      </c>
      <c r="B12076" s="1">
        <v>0</v>
      </c>
      <c r="C12076" s="3">
        <v>44533.74722222222</v>
      </c>
      <c r="D12076" s="1" t="s">
        <v>23868</v>
      </c>
      <c r="E12076" s="1" t="str">
        <f ca="1">IFERROR(__xludf.DUMMYFUNCTION("GOOGLETRANSLATE(A8875 , ""tr"" , ""en"")"),"@drfahrettinkoca is a hospital for Als though Mr. Ministry.")</f>
        <v>@drfahrettinkoca is a hospital for Als though Mr. Ministry.</v>
      </c>
    </row>
    <row r="12077" spans="1:5" ht="15" customHeight="1" x14ac:dyDescent="0.2">
      <c r="A12077" s="1" t="s">
        <v>23869</v>
      </c>
      <c r="B12077" s="1">
        <v>0</v>
      </c>
      <c r="C12077" s="3">
        <v>44533.747094907405</v>
      </c>
      <c r="D12077" s="1" t="s">
        <v>23870</v>
      </c>
      <c r="E12077" s="1" t="str">
        <f ca="1">IFERROR(__xludf.DUMMYFUNCTION("GOOGLETRANSLATE(A8876 , ""tr"" , ""en"")"),"@drfahrettinkoca doesn't top it hard to make it hard, do it at once you need to do it no longer. @ drfahrettinkoca ... https://t.co/0dhtltlqbl")</f>
        <v>@drfahrettinkoca doesn't top it hard to make it hard, do it at once you need to do it no longer. @ drfahrettinkoca ... https://t.co/0dhtltlqbl</v>
      </c>
    </row>
    <row r="12078" spans="1:5" ht="15" customHeight="1" x14ac:dyDescent="0.2">
      <c r="A12078" s="1" t="s">
        <v>23787</v>
      </c>
      <c r="B12078" s="1">
        <v>1</v>
      </c>
      <c r="C12078" s="3">
        <v>44533.747094907405</v>
      </c>
      <c r="D12078" s="1" t="s">
        <v>23871</v>
      </c>
      <c r="E12078" s="1" t="str">
        <f ca="1">IFERROR(__xludf.DUMMYFUNCTION("GOOGLETRANSLATE(A8877 , ""tr"" , ""en"")"),"@drfahrettinkoca # fcking")</f>
        <v>@drfahrettinkoca # fcking</v>
      </c>
    </row>
    <row r="12079" spans="1:5" ht="15" customHeight="1" x14ac:dyDescent="0.2">
      <c r="A12079" s="1" t="s">
        <v>23872</v>
      </c>
      <c r="B12079" s="1">
        <v>1</v>
      </c>
      <c r="C12079" s="3">
        <v>44533.747071759259</v>
      </c>
      <c r="D12079" s="1" t="s">
        <v>23873</v>
      </c>
      <c r="E12079" s="1" t="str">
        <f ca="1">IFERROR(__xludf.DUMMYFUNCTION("GOOGLETRANSLATE(A8878 , ""tr"" , ""en"")"),"@drfahrettinka you destroy students' life")</f>
        <v>@drfahrettinka you destroy students' life</v>
      </c>
    </row>
    <row r="12080" spans="1:5" ht="15" customHeight="1" x14ac:dyDescent="0.2">
      <c r="A12080" s="1" t="s">
        <v>23874</v>
      </c>
      <c r="B12080" s="1">
        <v>2</v>
      </c>
      <c r="C12080" s="3">
        <v>44533.747071759259</v>
      </c>
      <c r="D12080" s="1" t="s">
        <v>23875</v>
      </c>
      <c r="E12080" s="1" t="str">
        <f ca="1">IFERROR(__xludf.DUMMYFUNCTION("GOOGLETRANSLATE(A8879 , ""tr"" , ""en"")"),"@drfahrettinka https://t.co/jyj7sl8hgv")</f>
        <v>@drfahrettinka https://t.co/jyj7sl8hgv</v>
      </c>
    </row>
    <row r="12081" spans="1:5" ht="15" customHeight="1" x14ac:dyDescent="0.2">
      <c r="A12081" s="1" t="s">
        <v>23876</v>
      </c>
      <c r="B12081" s="1">
        <v>4</v>
      </c>
      <c r="C12081" s="3">
        <v>44533.747002314813</v>
      </c>
      <c r="D12081" s="1" t="s">
        <v>23877</v>
      </c>
      <c r="E12081" s="1" t="str">
        <f ca="1">IFERROR(__xludf.DUMMYFUNCTION("GOOGLETRANSLATE(A8880 , ""tr"" , ""en"")"),"@drfahrettinkoca Ministry We know that we are caring about us, but you are ignoring us why you are ... https://t.co/mn3nflwzzq")</f>
        <v>@drfahrettinkoca Ministry We know that we are caring about us, but you are ignoring us why you are ... https://t.co/mn3nflwzzq</v>
      </c>
    </row>
    <row r="12082" spans="1:5" ht="15" customHeight="1" x14ac:dyDescent="0.2">
      <c r="A12082" s="1" t="s">
        <v>23878</v>
      </c>
      <c r="B12082" s="1">
        <v>1</v>
      </c>
      <c r="C12082" s="3">
        <v>44533.74695601852</v>
      </c>
      <c r="D12082" s="1" t="s">
        <v>23879</v>
      </c>
      <c r="E12082" s="1" t="str">
        <f ca="1">IFERROR(__xludf.DUMMYFUNCTION("GOOGLETRANSLATE(A8881 , ""tr"" , ""en"")"),"@drfahrettinkoca #the fucking is fed up with usandic @gozdeşirisciogl")</f>
        <v>@drfahrettinkoca #the fucking is fed up with usandic @gozdeşirisciogl</v>
      </c>
    </row>
    <row r="12083" spans="1:5" ht="15" customHeight="1" x14ac:dyDescent="0.2">
      <c r="A12083" s="1" t="s">
        <v>23880</v>
      </c>
      <c r="B12083" s="1">
        <v>2</v>
      </c>
      <c r="C12083" s="3">
        <v>44533.746944444443</v>
      </c>
      <c r="D12083" s="1" t="s">
        <v>23881</v>
      </c>
      <c r="E12083" s="1" t="str">
        <f ca="1">IFERROR(__xludf.DUMMYFUNCTION("GOOGLETRANSLATE(A8882 , ""tr"" , ""en"")"),"@drfahrettinkoca assign @drfahrettinkoca @drfahrettinkoca @kilicdarogluk @meral_aksener @alibabacan @herkesicinchp @ mhp_bilgi ... https://t.co/jbwbwcepaq")</f>
        <v>@drfahrettinkoca assign @drfahrettinkoca @drfahrettinkoca @kilicdarogluk @meral_aksener @alibabacan @herkesicinchp @ mhp_bilgi ... https://t.co/jbwbwcepaq</v>
      </c>
    </row>
    <row r="12084" spans="1:5" ht="15" customHeight="1" x14ac:dyDescent="0.2">
      <c r="A12084" s="1" t="s">
        <v>23882</v>
      </c>
      <c r="B12084" s="1">
        <v>2</v>
      </c>
      <c r="C12084" s="3">
        <v>44533.746874999997</v>
      </c>
      <c r="D12084" s="1" t="s">
        <v>23883</v>
      </c>
      <c r="E12084" s="1" t="str">
        <f ca="1">IFERROR(__xludf.DUMMYFUNCTION("GOOGLETRANSLATE(A8883 , ""tr"" , ""en"")"),"@drfahrettinkoca I hope you see the students you have regarded to the sake of economics on all the European closure")</f>
        <v>@drfahrettinkoca I hope you see the students you have regarded to the sake of economics on all the European closure</v>
      </c>
    </row>
    <row r="12085" spans="1:5" ht="15" customHeight="1" x14ac:dyDescent="0.2">
      <c r="A12085" s="1" t="s">
        <v>23884</v>
      </c>
      <c r="B12085" s="1">
        <v>6</v>
      </c>
      <c r="C12085" s="3">
        <v>44533.746874999997</v>
      </c>
      <c r="D12085" s="1" t="s">
        <v>23885</v>
      </c>
      <c r="E12085" s="1" t="str">
        <f ca="1">IFERROR(__xludf.DUMMYFUNCTION("GOOGLETRANSLATE(A8884 , ""tr"" , ""en"")"),"@drfahrettinka https://t.co/5qxkrmhgad")</f>
        <v>@drfahrettinka https://t.co/5qxkrmhgad</v>
      </c>
    </row>
    <row r="12086" spans="1:5" ht="15" customHeight="1" x14ac:dyDescent="0.2">
      <c r="A12086" s="1" t="s">
        <v>23886</v>
      </c>
      <c r="B12086" s="1">
        <v>0</v>
      </c>
      <c r="C12086" s="3">
        <v>44533.746863425928</v>
      </c>
      <c r="D12086" s="1" t="s">
        <v>23887</v>
      </c>
      <c r="E12086" s="1" t="str">
        <f ca="1">IFERROR(__xludf.DUMMYFUNCTION("GOOGLETRANSLATE(A8885 , ""tr"" , ""en"")"),"@drfahrettinkoca dietitians are welcomed to assign a large number of assignments")</f>
        <v>@drfahrettinkoca dietitians are welcomed to assign a large number of assignments</v>
      </c>
    </row>
    <row r="12087" spans="1:5" ht="15" customHeight="1" x14ac:dyDescent="0.2">
      <c r="A12087" s="1" t="s">
        <v>23888</v>
      </c>
      <c r="B12087" s="1">
        <v>2</v>
      </c>
      <c r="C12087" s="3">
        <v>44533.746793981481</v>
      </c>
      <c r="D12087" s="1" t="s">
        <v>23889</v>
      </c>
      <c r="E12087" s="1" t="str">
        <f ca="1">IFERROR(__xludf.DUMMYFUNCTION("GOOGLETRANSLATE(A8886 , ""tr"" , ""en"")"),"@drfahrettinkoca doesn't top it hard to make it hard, do it at once you need to do it no longer. @ drfahrettinkoca ... https://t.co/lojnyıkjm2")</f>
        <v>@drfahrettinkoca doesn't top it hard to make it hard, do it at once you need to do it no longer. @ drfahrettinkoca ... https://t.co/lojnyıkjm2</v>
      </c>
    </row>
    <row r="12088" spans="1:5" ht="15" customHeight="1" x14ac:dyDescent="0.2">
      <c r="A12088" s="1" t="s">
        <v>23890</v>
      </c>
      <c r="B12088" s="1">
        <v>2</v>
      </c>
      <c r="C12088" s="3">
        <v>44533.746759259258</v>
      </c>
      <c r="D12088" s="1" t="s">
        <v>23891</v>
      </c>
      <c r="E12088" s="1" t="str">
        <f ca="1">IFERROR(__xludf.DUMMYFUNCTION("GOOGLETRANSLATE(A8887 , ""tr"" , ""en"")"),"@drfahrettinka https://t.co/53x5mfxbhy")</f>
        <v>@drfahrettinka https://t.co/53x5mfxbhy</v>
      </c>
    </row>
    <row r="12089" spans="1:5" ht="15" customHeight="1" x14ac:dyDescent="0.2">
      <c r="A12089" s="1" t="s">
        <v>23892</v>
      </c>
      <c r="B12089" s="1">
        <v>4</v>
      </c>
      <c r="C12089" s="3">
        <v>44533.746759259258</v>
      </c>
      <c r="D12089" s="1" t="s">
        <v>23893</v>
      </c>
      <c r="E12089" s="1" t="str">
        <f ca="1">IFERROR(__xludf.DUMMYFUNCTION("GOOGLETRANSLATE(A8888 , ""tr"" , ""en"")"),"@drfahrettinkoca We are waiting for you also explanate # fusable")</f>
        <v>@drfahrettinkoca We are waiting for you also explanate # fusable</v>
      </c>
    </row>
    <row r="12090" spans="1:5" ht="15" customHeight="1" x14ac:dyDescent="0.2">
      <c r="A12090" s="1" t="s">
        <v>23894</v>
      </c>
      <c r="B12090" s="1">
        <v>3</v>
      </c>
      <c r="C12090" s="3">
        <v>44533.746655092589</v>
      </c>
      <c r="D12090" s="1" t="s">
        <v>23895</v>
      </c>
      <c r="E12090" s="1" t="str">
        <f ca="1">IFERROR(__xludf.DUMMYFUNCTION("GOOGLETRANSLATE(A8889 , ""tr"" , ""en"")"),"@drfahrettinka https://t.co/driyfiolg")</f>
        <v>@drfahrettinka https://t.co/driyfiolg</v>
      </c>
    </row>
    <row r="12091" spans="1:5" ht="15" customHeight="1" x14ac:dyDescent="0.2">
      <c r="A12091" s="1" t="s">
        <v>23896</v>
      </c>
      <c r="B12091" s="1">
        <v>1</v>
      </c>
      <c r="C12091" s="3">
        <v>44533.746631944443</v>
      </c>
      <c r="D12091" s="1" t="s">
        <v>23897</v>
      </c>
      <c r="E12091" s="1" t="str">
        <f ca="1">IFERROR(__xludf.DUMMYFUNCTION("GOOGLETRANSLATE(A8890 , ""tr"" , ""en"")"),"@drfahrettinkoca Mentioned 30 Those assignment must be done in an emergency sec. @drfahrettinkoca @ rterdogan ... https://t.co/6hanrglknu")</f>
        <v>@drfahrettinkoca Mentioned 30 Those assignment must be done in an emergency sec. @drfahrettinkoca @ rterdogan ... https://t.co/6hanrglknu</v>
      </c>
    </row>
    <row r="12092" spans="1:5" ht="15" customHeight="1" x14ac:dyDescent="0.2">
      <c r="A12092" s="1" t="s">
        <v>23898</v>
      </c>
      <c r="B12092" s="1">
        <v>0</v>
      </c>
      <c r="C12092" s="3">
        <v>44533.746631944443</v>
      </c>
      <c r="D12092" s="1" t="s">
        <v>23899</v>
      </c>
      <c r="E12092" s="1" t="str">
        <f ca="1">IFERROR(__xludf.DUMMYFUNCTION("GOOGLETRANSLATE(A8891 , ""tr"" , ""en"")"),"@drfahrettinkoca we exped to exhausted expedited exhausted expedition to expanded we expanded we expanded to expire ... https://t.co/HYMIMSJKFR")</f>
        <v>@drfahrettinkoca we exped to exhausted expedited exhausted expedition to expanded we expanded we expanded to expire ... https://t.co/HYMIMSJKFR</v>
      </c>
    </row>
    <row r="12093" spans="1:5" ht="15" customHeight="1" x14ac:dyDescent="0.2">
      <c r="A12093" s="1" t="s">
        <v>23900</v>
      </c>
      <c r="B12093" s="1">
        <v>1</v>
      </c>
      <c r="C12093" s="3">
        <v>44533.746620370373</v>
      </c>
      <c r="D12093" s="1" t="s">
        <v>23901</v>
      </c>
      <c r="E12093" s="1" t="str">
        <f ca="1">IFERROR(__xludf.DUMMYFUNCTION("GOOGLETRANSLATE(A8892 , ""tr"" , ""en"")"),"@drfahrettinkoca atamaaaa @drfahrettinkoca @drfahrettinkoca @kilicdarogluk @meral_aksener @alibabacan @herkesicinchp @ mhp_bilgi ... https://t.co/yf1dlkfvds")</f>
        <v>@drfahrettinkoca atamaaaa @drfahrettinkoca @drfahrettinkoca @kilicdarogluk @meral_aksener @alibabacan @herkesicinchp @ mhp_bilgi ... https://t.co/yf1dlkfvds</v>
      </c>
    </row>
    <row r="12094" spans="1:5" ht="15" customHeight="1" x14ac:dyDescent="0.2">
      <c r="A12094" s="1" t="s">
        <v>23902</v>
      </c>
      <c r="B12094" s="1">
        <v>5</v>
      </c>
      <c r="C12094" s="3">
        <v>44533.746516203704</v>
      </c>
      <c r="D12094" s="1" t="s">
        <v>23903</v>
      </c>
      <c r="E12094" s="1" t="str">
        <f ca="1">IFERROR(__xludf.DUMMYFUNCTION("GOOGLETRANSLATE(A8893 , ""tr"" , ""en"")"),"@drfahrettinka is ignoring 740 thousand healthcare. Pity # fcking wool https://t.co/mnebnqig2y")</f>
        <v>@drfahrettinka is ignoring 740 thousand healthcare. Pity # fcking wool https://t.co/mnebnqig2y</v>
      </c>
    </row>
    <row r="12095" spans="1:5" ht="15" customHeight="1" x14ac:dyDescent="0.2">
      <c r="A12095" s="1" t="s">
        <v>23904</v>
      </c>
      <c r="B12095" s="1">
        <v>2</v>
      </c>
      <c r="C12095" s="3">
        <v>44533.746458333335</v>
      </c>
      <c r="D12095" s="1" t="s">
        <v>23905</v>
      </c>
      <c r="E12095" s="1" t="str">
        <f ca="1">IFERROR(__xludf.DUMMYFUNCTION("GOOGLETRANSLATE(A8894 , ""tr"" , ""en"")"),"@drfahrettinkoca We're fed up guarinely in the guide you come # fuseless")</f>
        <v>@drfahrettinkoca We're fed up guarinely in the guide you come # fuseless</v>
      </c>
    </row>
    <row r="12096" spans="1:5" ht="15" customHeight="1" x14ac:dyDescent="0.2">
      <c r="A12096" s="1" t="s">
        <v>23906</v>
      </c>
      <c r="B12096" s="1">
        <v>0</v>
      </c>
      <c r="C12096" s="3">
        <v>44533.746446759258</v>
      </c>
      <c r="D12096" s="1" t="s">
        <v>23907</v>
      </c>
      <c r="E12096" s="1" t="str">
        <f ca="1">IFERROR(__xludf.DUMMYFUNCTION("GOOGLETRANSLATE(A8895 , ""tr"" , ""en"")"),"@drfahrettinkoca assignment to assignment to the thousands of healthcare, stop closing the ear of your eye, it was now a husband Year ... https://t.co/dnurtgsecr")</f>
        <v>@drfahrettinkoca assignment to assignment to the thousands of healthcare, stop closing the ear of your eye, it was now a husband Year ... https://t.co/dnurtgsecr</v>
      </c>
    </row>
    <row r="12097" spans="1:5" ht="15" customHeight="1" x14ac:dyDescent="0.2">
      <c r="A12097" s="1" t="s">
        <v>23908</v>
      </c>
      <c r="B12097" s="1">
        <v>1</v>
      </c>
      <c r="C12097" s="3">
        <v>44533.746446759258</v>
      </c>
      <c r="D12097" s="1" t="s">
        <v>23909</v>
      </c>
      <c r="E12097" s="1" t="str">
        <f ca="1">IFERROR(__xludf.DUMMYFUNCTION("GOOGLETRANSLATE(A8896 , ""tr"" , ""en"")"),"@drfahrettinka us at the end, what do you say as you are going out to the Prayer of Assignment? @ drfahrettinkoca ... https://t.co/mxlugwxman")</f>
        <v>@drfahrettinka us at the end, what do you say as you are going out to the Prayer of Assignment? @ drfahrettinkoca ... https://t.co/mxlugwxman</v>
      </c>
    </row>
    <row r="12098" spans="1:5" ht="15" customHeight="1" x14ac:dyDescent="0.2">
      <c r="A12098" s="1" t="s">
        <v>23910</v>
      </c>
      <c r="B12098" s="1">
        <v>0</v>
      </c>
      <c r="C12098" s="3">
        <v>44533.746423611112</v>
      </c>
      <c r="D12098" s="1" t="s">
        <v>23911</v>
      </c>
      <c r="E12098" s="1" t="str">
        <f ca="1">IFERROR(__xludf.DUMMYFUNCTION("GOOGLETRANSLATE(A8897 , ""tr"" , ""en"")"),"@drfahrettinkoca dieticians are looking forward to assigning a large number of assignments")</f>
        <v>@drfahrettinkoca dieticians are looking forward to assigning a large number of assignments</v>
      </c>
    </row>
    <row r="12099" spans="1:5" ht="15" customHeight="1" x14ac:dyDescent="0.2">
      <c r="A12099" s="1" t="s">
        <v>23912</v>
      </c>
      <c r="B12099" s="1">
        <v>6</v>
      </c>
      <c r="C12099" s="3">
        <v>44533.746388888889</v>
      </c>
      <c r="D12099" s="1" t="s">
        <v>23913</v>
      </c>
      <c r="E12099" s="1" t="str">
        <f ca="1">IFERROR(__xludf.DUMMYFUNCTION("GOOGLETRANSLATE(A8898 , ""tr"" , ""en"")"),"@drfahrettinkoca Minister What did you do What did you do to us ahhhhhhhhhh😢😭😭😭 @drfahrettinkoca # Fkoyağaşuyeuruhuyeuruhuyauhuyauhuye")</f>
        <v>@drfahrettinkoca Minister What did you do What did you do to us ahhhhhhhhhh😢😭😭😭 @drfahrettinkoca # Fkoyağaşuyeuruhuyeuruhuyauhuyauhuye</v>
      </c>
    </row>
    <row r="12100" spans="1:5" ht="15" customHeight="1" x14ac:dyDescent="0.2">
      <c r="A12100" s="1" t="s">
        <v>23914</v>
      </c>
      <c r="B12100" s="1">
        <v>8</v>
      </c>
      <c r="C12100" s="3">
        <v>44533.746307870373</v>
      </c>
      <c r="D12100" s="1" t="s">
        <v>23915</v>
      </c>
      <c r="E12100" s="1" t="str">
        <f ca="1">IFERROR(__xludf.DUMMYFUNCTION("GOOGLETRANSLATE(A8899 , ""tr"" , ""en"")"),"@drfahrettinkoca psychologically I didn't have any other period I feel so bad. Be the health worker ... https://t.co/ap3r4f0hm0")</f>
        <v>@drfahrettinkoca psychologically I didn't have any other period I feel so bad. Be the health worker ... https://t.co/ap3r4f0hm0</v>
      </c>
    </row>
    <row r="12101" spans="1:5" ht="15" customHeight="1" x14ac:dyDescent="0.2">
      <c r="A12101" s="1" t="s">
        <v>23916</v>
      </c>
      <c r="B12101" s="1">
        <v>0</v>
      </c>
      <c r="C12101" s="3">
        <v>44533.746307870373</v>
      </c>
      <c r="D12101" s="1" t="s">
        <v>23917</v>
      </c>
      <c r="E12101" s="1" t="str">
        <f ca="1">IFERROR(__xludf.DUMMYFUNCTION("GOOGLETRANSLATE(A8900 , ""tr"" , ""en"")"),"@drfahrettinkoca clasks we want to count")</f>
        <v>@drfahrettinkoca clasks we want to count</v>
      </c>
    </row>
    <row r="12102" spans="1:5" ht="15" customHeight="1" x14ac:dyDescent="0.2">
      <c r="A12102" s="1" t="s">
        <v>23918</v>
      </c>
      <c r="B12102" s="1">
        <v>1</v>
      </c>
      <c r="C12102" s="3">
        <v>44533.74622685185</v>
      </c>
      <c r="D12102" s="1" t="s">
        <v>23919</v>
      </c>
      <c r="E12102" s="1" t="str">
        <f ca="1">IFERROR(__xludf.DUMMYFUNCTION("GOOGLETRANSLATE(A8901 , ""tr"" , ""en"")"),"@drfahrettinkoca ""Ah Milena ... Today the rain is raining to the eyelids."" Says Franz Kafka is raining on our 13 months o ... https://t.co/otieodgmzt")</f>
        <v>@drfahrettinkoca "Ah Milena ... Today the rain is raining to the eyelids." Says Franz Kafka is raining on our 13 months o ... https://t.co/otieodgmzt</v>
      </c>
    </row>
    <row r="12103" spans="1:5" ht="15" customHeight="1" x14ac:dyDescent="0.2">
      <c r="A12103" s="1" t="s">
        <v>23920</v>
      </c>
      <c r="B12103" s="1">
        <v>0</v>
      </c>
      <c r="C12103" s="3">
        <v>44533.746203703704</v>
      </c>
      <c r="D12103" s="1" t="s">
        <v>23921</v>
      </c>
      <c r="E12103" s="1" t="str">
        <f ca="1">IFERROR(__xludf.DUMMYFUNCTION("GOOGLETRANSLATE(A8902 , ""tr"" , ""en"")"),"@drfahrettinkoca sn cb @rterdogan 40 thousand gospel you did not have given the date we do not want to wait # fusable")</f>
        <v>@drfahrettinkoca sn cb @rterdogan 40 thousand gospel you did not have given the date we do not want to wait # fusable</v>
      </c>
    </row>
    <row r="12104" spans="1:5" ht="15" customHeight="1" x14ac:dyDescent="0.2">
      <c r="A12104" s="1" t="s">
        <v>23922</v>
      </c>
      <c r="B12104" s="1">
        <v>10</v>
      </c>
      <c r="C12104" s="3">
        <v>44533.746180555558</v>
      </c>
      <c r="D12104" s="1" t="s">
        <v>23923</v>
      </c>
      <c r="E12104" s="1" t="str">
        <f ca="1">IFERROR(__xludf.DUMMYFUNCTION("GOOGLETRANSLATE(A8903 , ""tr"" , ""en"")"),"@drfahrettinkoca estimated when assignment is the bi twit income minister for those who wait # fcking")</f>
        <v>@drfahrettinkoca estimated when assignment is the bi twit income minister for those who wait # fcking</v>
      </c>
    </row>
    <row r="12105" spans="1:5" ht="15" customHeight="1" x14ac:dyDescent="0.2">
      <c r="A12105" s="1" t="s">
        <v>13539</v>
      </c>
      <c r="B12105" s="1">
        <v>0</v>
      </c>
      <c r="C12105" s="3">
        <v>44533.746180555558</v>
      </c>
      <c r="D12105" s="1" t="s">
        <v>23924</v>
      </c>
      <c r="E12105" s="1" t="str">
        <f ca="1">IFERROR(__xludf.DUMMYFUNCTION("GOOGLETRANSLATE(A8904 , ""tr"" , ""en"")"),"@drfahrettinkoca guide guide guide")</f>
        <v>@drfahrettinkoca guide guide guide</v>
      </c>
    </row>
    <row r="12106" spans="1:5" ht="15" customHeight="1" x14ac:dyDescent="0.2">
      <c r="A12106" s="1" t="s">
        <v>23787</v>
      </c>
      <c r="B12106" s="1">
        <v>0</v>
      </c>
      <c r="C12106" s="3">
        <v>44533.746122685188</v>
      </c>
      <c r="D12106" s="1" t="s">
        <v>23925</v>
      </c>
      <c r="E12106" s="1" t="str">
        <f ca="1">IFERROR(__xludf.DUMMYFUNCTION("GOOGLETRANSLATE(A8905 , ""tr"" , ""en"")"),"@drfahrettinkoca # fcking")</f>
        <v>@drfahrettinkoca # fcking</v>
      </c>
    </row>
    <row r="12107" spans="1:5" ht="15" customHeight="1" x14ac:dyDescent="0.2">
      <c r="A12107" s="1" t="s">
        <v>23926</v>
      </c>
      <c r="B12107" s="1">
        <v>0</v>
      </c>
      <c r="C12107" s="3">
        <v>44533.746099537035</v>
      </c>
      <c r="D12107" s="1" t="s">
        <v>23927</v>
      </c>
      <c r="E12107" s="1" t="str">
        <f ca="1">IFERROR(__xludf.DUMMYFUNCTION("GOOGLETRANSLATE(A8906 , ""tr"" , ""en"")"),"@drfahrettinkoca guide guide guide guide guide guide guide guide guide guide guide guide kina ... https://t.co/rjiyq36fvg")</f>
        <v>@drfahrettinkoca guide guide guide guide guide guide guide guide guide guide guide guide kina ... https://t.co/rjiyq36fvg</v>
      </c>
    </row>
    <row r="12108" spans="1:5" ht="15" customHeight="1" x14ac:dyDescent="0.2">
      <c r="A12108" s="1" t="s">
        <v>23928</v>
      </c>
      <c r="B12108" s="1">
        <v>1</v>
      </c>
      <c r="C12108" s="3">
        <v>44533.746099537035</v>
      </c>
      <c r="D12108" s="1" t="s">
        <v>23929</v>
      </c>
      <c r="E12108" s="1" t="str">
        <f ca="1">IFERROR(__xludf.DUMMYFUNCTION("GOOGLETRANSLATE(A8907 , ""tr"" , ""en"")"),"@drfahrettinkoca Don't ignore us anymore for Allah's love. What you are now seeing the following assignment Healthparts ... https://t.co/eatjhydlmi")</f>
        <v>@drfahrettinkoca Don't ignore us anymore for Allah's love. What you are now seeing the following assignment Healthparts ... https://t.co/eatjhydlmi</v>
      </c>
    </row>
    <row r="12109" spans="1:5" ht="15" customHeight="1" x14ac:dyDescent="0.2">
      <c r="A12109" s="1" t="s">
        <v>23930</v>
      </c>
      <c r="B12109" s="1">
        <v>0</v>
      </c>
      <c r="C12109" s="3">
        <v>44533.746087962965</v>
      </c>
      <c r="D12109" s="1" t="s">
        <v>23931</v>
      </c>
      <c r="E12109" s="1" t="str">
        <f ca="1">IFERROR(__xludf.DUMMYFUNCTION("GOOGLETRANSLATE(A8908 , ""tr"" , ""en"")"),"@drfahrettinkoca 1 month was the purchase description still no guide, no branch contour, do you have a bracket? #Fe to fcking")</f>
        <v>@drfahrettinkoca 1 month was the purchase description still no guide, no branch contour, do you have a bracket? #Fe to fcking</v>
      </c>
    </row>
    <row r="12110" spans="1:5" ht="15" customHeight="1" x14ac:dyDescent="0.2">
      <c r="A12110" s="1" t="s">
        <v>23932</v>
      </c>
      <c r="B12110" s="1">
        <v>4</v>
      </c>
      <c r="C12110" s="3">
        <v>44533.746053240742</v>
      </c>
      <c r="D12110" s="1" t="s">
        <v>23933</v>
      </c>
      <c r="E12110" s="1" t="str">
        <f ca="1">IFERROR(__xludf.DUMMYFUNCTION("GOOGLETRANSLATE(A8909 , ""tr"" , ""en"")"),"@drfahrettinkoca Capital and Rant Dressing People's Lives for the People's Voice Before You Do Https://t.co/lwefpbu2qk")</f>
        <v>@drfahrettinkoca Capital and Rant Dressing People's Lives for the People's Voice Before You Do Https://t.co/lwefpbu2qk</v>
      </c>
    </row>
    <row r="12111" spans="1:5" ht="15" customHeight="1" x14ac:dyDescent="0.2">
      <c r="A12111" s="1" t="s">
        <v>23934</v>
      </c>
      <c r="B12111" s="1">
        <v>2</v>
      </c>
      <c r="C12111" s="3">
        <v>44533.745937500003</v>
      </c>
      <c r="D12111" s="1" t="s">
        <v>23935</v>
      </c>
      <c r="E12111" s="1" t="str">
        <f ca="1">IFERROR(__xludf.DUMMYFUNCTION("GOOGLETRANSLATE(A8910 , ""tr"" , ""en"")"),"@drfahrettinkoca is the state of 2021 healthcare (Bilo-İlyas Salman). # Fcking fi fi fi ng https://t.co/2ogprdxh16")</f>
        <v>@drfahrettinkoca is the state of 2021 healthcare (Bilo-İlyas Salman). # Fcking fi fi fi ng https://t.co/2ogprdxh16</v>
      </c>
    </row>
    <row r="12112" spans="1:5" ht="15" customHeight="1" x14ac:dyDescent="0.2">
      <c r="A12112" s="1" t="s">
        <v>23936</v>
      </c>
      <c r="B12112" s="1">
        <v>0</v>
      </c>
      <c r="C12112" s="3">
        <v>44533.745833333334</v>
      </c>
      <c r="D12112" s="1" t="s">
        <v>23937</v>
      </c>
      <c r="E12112" s="1" t="str">
        <f ca="1">IFERROR(__xludf.DUMMYFUNCTION("GOOGLETRANSLATE(A8911 , ""tr"" , ""en"")"),"@drfahrettinkoca Sabri We have not stayed More Guide you come to @drfahrettinkoca")</f>
        <v>@drfahrettinkoca Sabri We have not stayed More Guide you come to @drfahrettinkoca</v>
      </c>
    </row>
    <row r="12113" spans="1:5" ht="15" customHeight="1" x14ac:dyDescent="0.2">
      <c r="A12113" s="1" t="s">
        <v>23938</v>
      </c>
      <c r="B12113" s="1">
        <v>0</v>
      </c>
      <c r="C12113" s="3">
        <v>44533.745810185188</v>
      </c>
      <c r="D12113" s="1" t="s">
        <v>23939</v>
      </c>
      <c r="E12113" s="1" t="str">
        <f ca="1">IFERROR(__xludf.DUMMYFUNCTION("GOOGLETRANSLATE(A8912 , ""tr"" , ""en"")"),"@drfahrettinkoca I hated a few and the words of the gospel.")</f>
        <v>@drfahrettinkoca I hated a few and the words of the gospel.</v>
      </c>
    </row>
    <row r="12114" spans="1:5" ht="15" customHeight="1" x14ac:dyDescent="0.2">
      <c r="A12114" s="1" t="s">
        <v>7770</v>
      </c>
      <c r="B12114" s="1">
        <v>0</v>
      </c>
      <c r="C12114" s="3">
        <v>44533.745775462965</v>
      </c>
      <c r="D12114" s="1" t="s">
        <v>23940</v>
      </c>
      <c r="E12114" s="1" t="str">
        <f ca="1">IFERROR(__xludf.DUMMYFUNCTION("GOOGLETRANSLATE(A8913 , ""tr"" , ""en"")"),"@drfahrettinkoca dietitians are welcomed to assign the assignment to the dietitians Sayin Minister 91 Score of Cardiacy Still Acikta")</f>
        <v>@drfahrettinkoca dietitians are welcomed to assign the assignment to the dietitians Sayin Minister 91 Score of Cardiacy Still Acikta</v>
      </c>
    </row>
    <row r="12115" spans="1:5" ht="15" customHeight="1" x14ac:dyDescent="0.2">
      <c r="A12115" s="1" t="s">
        <v>23941</v>
      </c>
      <c r="B12115" s="1">
        <v>0</v>
      </c>
      <c r="C12115" s="3">
        <v>44533.745763888888</v>
      </c>
      <c r="D12115" s="1" t="s">
        <v>23942</v>
      </c>
      <c r="E12115" s="1" t="str">
        <f ca="1">IFERROR(__xludf.DUMMYFUNCTION("GOOGLETRANSLATE(A8914 , ""tr"" , ""en"")"),"@drfahrettinka Mr. @drfahrettinkoca is correct! Being disabled is not defect but not able to do positive discrimination ... https://t.co/yf7flijjmf")</f>
        <v>@drfahrettinka Mr. @drfahrettinkoca is correct! Being disabled is not defect but not able to do positive discrimination ... https://t.co/yf7flijjmf</v>
      </c>
    </row>
    <row r="12116" spans="1:5" ht="15" customHeight="1" x14ac:dyDescent="0.2">
      <c r="A12116" s="1" t="s">
        <v>23943</v>
      </c>
      <c r="B12116" s="1">
        <v>4</v>
      </c>
      <c r="C12116" s="3">
        <v>44533.745532407411</v>
      </c>
      <c r="D12116" s="1" t="s">
        <v>23944</v>
      </c>
      <c r="E12116" s="1" t="str">
        <f ca="1">IFERROR(__xludf.DUMMYFUNCTION("GOOGLETRANSLATE(A8915 , ""tr"" , ""en"")"),"@drfahrettinka students don't want to die online wants online training")</f>
        <v>@drfahrettinka students don't want to die online wants online training</v>
      </c>
    </row>
    <row r="12117" spans="1:5" ht="15" customHeight="1" x14ac:dyDescent="0.2">
      <c r="A12117" s="1" t="s">
        <v>23945</v>
      </c>
      <c r="B12117" s="1">
        <v>0</v>
      </c>
      <c r="C12117" s="3">
        <v>44533.745532407411</v>
      </c>
      <c r="D12117" s="1" t="s">
        <v>23946</v>
      </c>
      <c r="E12117" s="1" t="str">
        <f ca="1">IFERROR(__xludf.DUMMYFUNCTION("GOOGLETRANSLATE(A8916 , ""tr"" , ""en"")"),"@drfahrettinkoca guide guide guide guide guide guide guide guide guide guide guide guide kina ... https://t.co/sl61ymodk1")</f>
        <v>@drfahrettinkoca guide guide guide guide guide guide guide guide guide guide guide guide kina ... https://t.co/sl61ymodk1</v>
      </c>
    </row>
    <row r="12118" spans="1:5" ht="15" customHeight="1" x14ac:dyDescent="0.2">
      <c r="A12118" s="1" t="s">
        <v>23947</v>
      </c>
      <c r="B12118" s="1">
        <v>0</v>
      </c>
      <c r="C12118" s="3">
        <v>44533.745428240742</v>
      </c>
      <c r="D12118" s="1" t="s">
        <v>23948</v>
      </c>
      <c r="E12118" s="1" t="str">
        <f ca="1">IFERROR(__xludf.DUMMYFUNCTION("GOOGLETRANSLATE(A8917 , ""tr"" , ""en"")"),"@drfahrettinkoca guide guide guide guide guide guide guide guide guide guide guide guide kina ... https://t.co/dbra1g5tsz")</f>
        <v>@drfahrettinkoca guide guide guide guide guide guide guide guide guide guide guide guide kina ... https://t.co/dbra1g5tsz</v>
      </c>
    </row>
    <row r="12119" spans="1:5" ht="15" customHeight="1" x14ac:dyDescent="0.2">
      <c r="A12119" s="1" t="s">
        <v>23949</v>
      </c>
      <c r="B12119" s="1">
        <v>0</v>
      </c>
      <c r="C12119" s="3">
        <v>44533.745393518519</v>
      </c>
      <c r="D12119" s="1" t="s">
        <v>23950</v>
      </c>
      <c r="E12119" s="1" t="str">
        <f ca="1">IFERROR(__xludf.DUMMYFUNCTION("GOOGLETRANSLATE(A8918 , ""tr"" , ""en"")"),"@drfahrettinkoca guide guide guide guide guide guide guide guide guide guide guide guide kina ... https://t.co/fznro8fmqz")</f>
        <v>@drfahrettinkoca guide guide guide guide guide guide guide guide guide guide guide guide kina ... https://t.co/fznro8fmqz</v>
      </c>
    </row>
    <row r="12120" spans="1:5" ht="15" customHeight="1" x14ac:dyDescent="0.2">
      <c r="A12120" s="1" t="s">
        <v>23951</v>
      </c>
      <c r="B12120" s="1">
        <v>0</v>
      </c>
      <c r="C12120" s="3">
        <v>44533.745347222219</v>
      </c>
      <c r="D12120" s="1" t="s">
        <v>23952</v>
      </c>
      <c r="E12120" s="1" t="str">
        <f ca="1">IFERROR(__xludf.DUMMYFUNCTION("GOOGLETRANSLATE(A8919 , ""tr"" , ""en"")"),"@drfahrettinkoca @drfahrettinkoca @ismgovtr @sagliklicozum @medicalparkhg 03.11. 21Bourly appointment by bahçelievl ... https://t.co/u5cı4IC3xc")</f>
        <v>@drfahrettinkoca @drfahrettinkoca @ismgovtr @sagliklicozum @medicalparkhg 03.11. 21Bourly appointment by bahçelievl ... https://t.co/u5cı4IC3xc</v>
      </c>
    </row>
    <row r="12121" spans="1:5" ht="15" customHeight="1" x14ac:dyDescent="0.2">
      <c r="A12121" s="1" t="s">
        <v>23953</v>
      </c>
      <c r="B12121" s="1">
        <v>0</v>
      </c>
      <c r="C12121" s="3">
        <v>44533.745312500003</v>
      </c>
      <c r="D12121" s="1" t="s">
        <v>23954</v>
      </c>
      <c r="E12121" s="1" t="str">
        <f ca="1">IFERROR(__xludf.DUMMYFUNCTION("GOOGLETRANSLATE(A8920 , ""tr"" , ""en"")"),"@drfahrettinkoca guide guide guide guide guide guide guide guide guide guide guide guide kina ... https://t.co/hjokxındftx")</f>
        <v>@drfahrettinkoca guide guide guide guide guide guide guide guide guide guide guide guide kina ... https://t.co/hjokxındftx</v>
      </c>
    </row>
    <row r="12122" spans="1:5" ht="15" customHeight="1" x14ac:dyDescent="0.2">
      <c r="A12122" s="1" t="s">
        <v>23955</v>
      </c>
      <c r="B12122" s="1">
        <v>3</v>
      </c>
      <c r="C12122" s="3">
        <v>44533.745266203703</v>
      </c>
      <c r="D12122" s="1" t="s">
        <v>23956</v>
      </c>
      <c r="E12122" s="1" t="str">
        <f ca="1">IFERROR(__xludf.DUMMYFUNCTION("GOOGLETRANSLATE(A8921 , ""tr"" , ""en"")"),"@drfahrettinkoca year ends Mr. Minister Did not afford this wait @drfahrettinkoca # Fkoyavuzada")</f>
        <v>@drfahrettinkoca year ends Mr. Minister Did not afford this wait @drfahrettinkoca # Fkoyavuzada</v>
      </c>
    </row>
    <row r="12123" spans="1:5" ht="15" customHeight="1" x14ac:dyDescent="0.2">
      <c r="A12123" s="1" t="s">
        <v>23957</v>
      </c>
      <c r="B12123" s="1">
        <v>0</v>
      </c>
      <c r="C12123" s="3">
        <v>44533.745219907411</v>
      </c>
      <c r="D12123" s="1" t="s">
        <v>23958</v>
      </c>
      <c r="E12123" s="1" t="str">
        <f ca="1">IFERROR(__xludf.DUMMYFUNCTION("GOOGLETRANSLATE(A8922 , ""tr"" , ""en"")"),"@drfahrettinkoca guide guide guide guide guide guide guide guide guide guide guide guide kina ... https://t.co/dr5e7iad2v")</f>
        <v>@drfahrettinkoca guide guide guide guide guide guide guide guide guide guide guide guide kina ... https://t.co/dr5e7iad2v</v>
      </c>
    </row>
    <row r="12124" spans="1:5" ht="15" customHeight="1" x14ac:dyDescent="0.2">
      <c r="A12124" s="1" t="s">
        <v>23959</v>
      </c>
      <c r="B12124" s="1">
        <v>0</v>
      </c>
      <c r="C12124" s="3">
        <v>44533.745138888888</v>
      </c>
      <c r="D12124" s="1" t="s">
        <v>23960</v>
      </c>
      <c r="E12124" s="1" t="str">
        <f ca="1">IFERROR(__xludf.DUMMYFUNCTION("GOOGLETRANSLATE(A8923 , ""tr"" , ""en"")"),"@drfahrettinkoca guide guide guide guide guide guide guide guide guide guide guide guide kina ... https://t.co/pqyk1eskwk")</f>
        <v>@drfahrettinkoca guide guide guide guide guide guide guide guide guide guide guide guide kina ... https://t.co/pqyk1eskwk</v>
      </c>
    </row>
    <row r="12125" spans="1:5" ht="15" customHeight="1" x14ac:dyDescent="0.2">
      <c r="A12125" s="1" t="s">
        <v>23961</v>
      </c>
      <c r="B12125" s="1">
        <v>4</v>
      </c>
      <c r="C12125" s="3">
        <v>44533.745092592595</v>
      </c>
      <c r="D12125" s="1" t="s">
        <v>23962</v>
      </c>
      <c r="E12125" s="1" t="str">
        <f ca="1">IFERROR(__xludf.DUMMYFUNCTION("GOOGLETRANSLATE(A8924 , ""tr"" , ""en"")"),"@drfahrettinkoca anymore guide you come by @gozdekirisciogl # fusable")</f>
        <v>@drfahrettinkoca anymore guide you come by @gozdekirisciogl # fusable</v>
      </c>
    </row>
    <row r="12126" spans="1:5" ht="15" customHeight="1" x14ac:dyDescent="0.2">
      <c r="A12126" s="1" t="s">
        <v>15957</v>
      </c>
      <c r="B12126" s="1">
        <v>1</v>
      </c>
      <c r="C12126" s="3">
        <v>44533.745000000003</v>
      </c>
      <c r="D12126" s="1" t="s">
        <v>23963</v>
      </c>
      <c r="E12126" s="1" t="str">
        <f ca="1">IFERROR(__xludf.DUMMYFUNCTION("GOOGLETRANSLATE(A8925 , ""tr"" , ""en"")"),"@drfahrettinkoca atamaaaa")</f>
        <v>@drfahrettinkoca atamaaaa</v>
      </c>
    </row>
    <row r="12127" spans="1:5" ht="15" customHeight="1" x14ac:dyDescent="0.2">
      <c r="A12127" s="1" t="s">
        <v>23787</v>
      </c>
      <c r="B12127" s="1">
        <v>4</v>
      </c>
      <c r="C12127" s="3">
        <v>44533.744837962964</v>
      </c>
      <c r="D12127" s="1" t="s">
        <v>23964</v>
      </c>
      <c r="E12127" s="1" t="str">
        <f ca="1">IFERROR(__xludf.DUMMYFUNCTION("GOOGLETRANSLATE(A8926 , ""tr"" , ""en"")"),"@drfahrettinkoca # fcking")</f>
        <v>@drfahrettinkoca # fcking</v>
      </c>
    </row>
    <row r="12128" spans="1:5" ht="15" customHeight="1" x14ac:dyDescent="0.2">
      <c r="A12128" s="1" t="s">
        <v>23965</v>
      </c>
      <c r="B12128" s="1">
        <v>2</v>
      </c>
      <c r="C12128" s="3">
        <v>44533.744837962964</v>
      </c>
      <c r="D12128" s="1" t="s">
        <v>23966</v>
      </c>
      <c r="E12128" s="1" t="str">
        <f ca="1">IFERROR(__xludf.DUMMYFUNCTION("GOOGLETRANSLATE(A8927 , ""tr"" , ""en"")"),"@drfahrettinka don't do anything other than at risk of students and their families")</f>
        <v>@drfahrettinka don't do anything other than at risk of students and their families</v>
      </c>
    </row>
    <row r="12129" spans="1:5" ht="15" customHeight="1" x14ac:dyDescent="0.2">
      <c r="A12129" s="1" t="s">
        <v>23967</v>
      </c>
      <c r="B12129" s="1">
        <v>1</v>
      </c>
      <c r="C12129" s="3">
        <v>44533.744826388887</v>
      </c>
      <c r="D12129" s="1" t="s">
        <v>23968</v>
      </c>
      <c r="E12129" s="1" t="str">
        <f ca="1">IFERROR(__xludf.DUMMYFUNCTION("GOOGLETRANSLATE(A8928 , ""tr"" , ""en"")"),"@drfahrettinka https://t.co/cev3l5bosl")</f>
        <v>@drfahrettinka https://t.co/cev3l5bosl</v>
      </c>
    </row>
    <row r="12130" spans="1:5" ht="15" customHeight="1" x14ac:dyDescent="0.2">
      <c r="A12130" s="1" t="s">
        <v>23969</v>
      </c>
      <c r="B12130" s="1">
        <v>0</v>
      </c>
      <c r="C12130" s="3">
        <v>44533.744814814818</v>
      </c>
      <c r="D12130" s="1" t="s">
        <v>23970</v>
      </c>
      <c r="E12130" s="1" t="str">
        <f ca="1">IFERROR(__xludf.DUMMYFUNCTION("GOOGLETRANSLATE(A8929 , ""tr"" , ""en"")"),"@drfahrettinkoca guide guide guide guide guide guide guide guide guide guide guide guide kina ... https://t.co/hjehnr6sjx")</f>
        <v>@drfahrettinkoca guide guide guide guide guide guide guide guide guide guide guide guide kina ... https://t.co/hjehnr6sjx</v>
      </c>
    </row>
    <row r="12131" spans="1:5" ht="15" customHeight="1" x14ac:dyDescent="0.2">
      <c r="A12131" s="1" t="s">
        <v>23971</v>
      </c>
      <c r="B12131" s="1">
        <v>5</v>
      </c>
      <c r="C12131" s="3">
        <v>44533.744814814818</v>
      </c>
      <c r="D12131" s="1" t="s">
        <v>23972</v>
      </c>
      <c r="E12131" s="1" t="str">
        <f ca="1">IFERROR(__xludf.DUMMYFUNCTION("GOOGLETRANSLATE(A8930 , ""tr"" , ""en"")"),"@drfahrettinkoca guide are looking forward # fcking")</f>
        <v>@drfahrettinkoca guide are looking forward # fcking</v>
      </c>
    </row>
    <row r="12132" spans="1:5" ht="15" customHeight="1" x14ac:dyDescent="0.2">
      <c r="A12132" s="1" t="s">
        <v>23973</v>
      </c>
      <c r="B12132" s="1">
        <v>1</v>
      </c>
      <c r="C12132" s="3">
        <v>44533.744791666664</v>
      </c>
      <c r="D12132" s="1" t="s">
        <v>23974</v>
      </c>
      <c r="E12132" s="1" t="str">
        <f ca="1">IFERROR(__xludf.DUMMYFUNCTION("GOOGLETRANSLATE(A8931 , ""tr"" , ""en"")"),"@drfahrettinkoca guide If you explain your explanation, we will also know # FKYAFUGLY @gozdekiriscioGL")</f>
        <v>@drfahrettinkoca guide If you explain your explanation, we will also know # FKYAFUGLY @gozdekiriscioGL</v>
      </c>
    </row>
    <row r="12133" spans="1:5" ht="15" customHeight="1" x14ac:dyDescent="0.2">
      <c r="A12133" s="1" t="s">
        <v>23975</v>
      </c>
      <c r="B12133" s="1">
        <v>0</v>
      </c>
      <c r="C12133" s="3">
        <v>44533.744745370372</v>
      </c>
      <c r="D12133" s="1" t="s">
        <v>23976</v>
      </c>
      <c r="E12133" s="1" t="str">
        <f ca="1">IFERROR(__xludf.DUMMYFUNCTION("GOOGLETRANSLATE(A8932 , ""tr"" , ""en"")"),"Post @drfahrettinkoca manual posting")</f>
        <v>Post @drfahrettinkoca manual posting</v>
      </c>
    </row>
    <row r="12134" spans="1:5" ht="15" customHeight="1" x14ac:dyDescent="0.2">
      <c r="A12134" s="1" t="s">
        <v>23977</v>
      </c>
      <c r="B12134" s="1">
        <v>2</v>
      </c>
      <c r="C12134" s="3">
        <v>44533.744699074072</v>
      </c>
      <c r="D12134" s="1" t="s">
        <v>23978</v>
      </c>
      <c r="E12134" s="1" t="str">
        <f ca="1">IFERROR(__xludf.DUMMYFUNCTION("GOOGLETRANSLATE(A8933 , ""tr"" , ""en"")"),"@drfahrettinkoca guide guide guide guide guide guide guide guide guide guide guide guide kina ... https://t.co/lxc71zae0f")</f>
        <v>@drfahrettinkoca guide guide guide guide guide guide guide guide guide guide guide guide kina ... https://t.co/lxc71zae0f</v>
      </c>
    </row>
    <row r="12135" spans="1:5" ht="15" customHeight="1" x14ac:dyDescent="0.2">
      <c r="A12135" s="1" t="s">
        <v>23979</v>
      </c>
      <c r="B12135" s="1">
        <v>0</v>
      </c>
      <c r="C12135" s="3">
        <v>44533.744606481479</v>
      </c>
      <c r="D12135" s="1" t="s">
        <v>23980</v>
      </c>
      <c r="E12135" s="1" t="str">
        <f ca="1">IFERROR(__xludf.DUMMYFUNCTION("GOOGLETRANSLATE(A8934 , ""tr"" , ""en"")"),"@drfahrettinka guide guide guide guide guide guide guide guide guide guide guide guide kina ... https://t.co/1qhzsgelsx")</f>
        <v>@drfahrettinka guide guide guide guide guide guide guide guide guide guide guide guide kina ... https://t.co/1qhzsgelsx</v>
      </c>
    </row>
    <row r="12136" spans="1:5" ht="15" customHeight="1" x14ac:dyDescent="0.2">
      <c r="A12136" s="1" t="s">
        <v>23981</v>
      </c>
      <c r="B12136" s="1">
        <v>6</v>
      </c>
      <c r="C12136" s="3">
        <v>44533.744571759256</v>
      </c>
      <c r="D12136" s="1" t="s">
        <v>23982</v>
      </c>
      <c r="E12136" s="1" t="str">
        <f ca="1">IFERROR(__xludf.DUMMYFUNCTION("GOOGLETRANSLATE(A8935 , ""tr"" , ""en"")"),"@drfahrettinkoca 740 thousand healthcare No Country Minister Now We are waiting for us guide now. ... https://t.co/oguwznıgrf")</f>
        <v>@drfahrettinkoca 740 thousand healthcare No Country Minister Now We are waiting for us guide now. ... https://t.co/oguwznıgrf</v>
      </c>
    </row>
    <row r="12137" spans="1:5" ht="15" customHeight="1" x14ac:dyDescent="0.2">
      <c r="A12137" s="1" t="s">
        <v>23983</v>
      </c>
      <c r="B12137" s="1">
        <v>0</v>
      </c>
      <c r="C12137" s="3">
        <v>44533.744537037041</v>
      </c>
      <c r="D12137" s="1" t="s">
        <v>23984</v>
      </c>
      <c r="E12137" s="1" t="str">
        <f ca="1">IFERROR(__xludf.DUMMYFUNCTION("GOOGLETRANSLATE(A8936 , ""tr"" , ""en"")"),"@drfahrettinkoca guide guide guide guide guide guide guide guide guide guide guide guide kina ... https://t.co/iyhhb1hbhd")</f>
        <v>@drfahrettinkoca guide guide guide guide guide guide guide guide guide guide guide guide kina ... https://t.co/iyhhb1hbhd</v>
      </c>
    </row>
    <row r="12138" spans="1:5" ht="15" customHeight="1" x14ac:dyDescent="0.2">
      <c r="A12138" s="1" t="s">
        <v>23985</v>
      </c>
      <c r="B12138" s="1">
        <v>2</v>
      </c>
      <c r="C12138" s="3">
        <v>44533.744479166664</v>
      </c>
      <c r="D12138" s="1" t="s">
        <v>23986</v>
      </c>
      <c r="E12138" s="1" t="str">
        <f ca="1">IFERROR(__xludf.DUMMYFUNCTION("GOOGLETRANSLATE(A8937 , ""tr"" , ""en"")"),"@drfahrettinkoca is dying this baby every moment you ignore. Look, announce the unexpected sound Material spiritual Si ... https://t.co/zkpytej25t")</f>
        <v>@drfahrettinkoca is dying this baby every moment you ignore. Look, announce the unexpected sound Material spiritual Si ... https://t.co/zkpytej25t</v>
      </c>
    </row>
    <row r="12139" spans="1:5" ht="15" customHeight="1" x14ac:dyDescent="0.2">
      <c r="A12139" s="1" t="s">
        <v>23987</v>
      </c>
      <c r="B12139" s="1">
        <v>0</v>
      </c>
      <c r="C12139" s="3">
        <v>44533.744479166664</v>
      </c>
      <c r="D12139" s="1" t="s">
        <v>23988</v>
      </c>
      <c r="E12139" s="1" t="str">
        <f ca="1">IFERROR(__xludf.DUMMYFUNCTION("GOOGLETRANSLATE(A8938 , ""tr"" , ""en"")"),"@drfahrettinkoca This expecting is no longer last")</f>
        <v>@drfahrettinkoca This expecting is no longer last</v>
      </c>
    </row>
    <row r="12140" spans="1:5" ht="15" customHeight="1" x14ac:dyDescent="0.2">
      <c r="A12140" s="1" t="s">
        <v>23989</v>
      </c>
      <c r="B12140" s="1">
        <v>23</v>
      </c>
      <c r="C12140" s="3">
        <v>44533.744467592594</v>
      </c>
      <c r="D12140" s="1" t="s">
        <v>23990</v>
      </c>
      <c r="E12140" s="1" t="str">
        <f ca="1">IFERROR(__xludf.DUMMYFUNCTION("GOOGLETRANSLATE(A8939 , ""tr"" , ""en"")"),"@drfahrettinkoca Autism with children in hospitals in hospitals maybe we can be together at that time. ... https://t.co/wkdim7myh")</f>
        <v>@drfahrettinkoca Autism with children in hospitals in hospitals maybe we can be together at that time. ... https://t.co/wkdim7myh</v>
      </c>
    </row>
    <row r="12141" spans="1:5" ht="15" customHeight="1" x14ac:dyDescent="0.2">
      <c r="A12141" s="1" t="s">
        <v>23991</v>
      </c>
      <c r="B12141" s="1">
        <v>0</v>
      </c>
      <c r="C12141" s="3">
        <v>44533.744444444441</v>
      </c>
      <c r="D12141" s="1" t="s">
        <v>23992</v>
      </c>
      <c r="E12141" s="1" t="str">
        <f ca="1">IFERROR(__xludf.DUMMYFUNCTION("GOOGLETRANSLATE(A8940 , ""tr"" , ""en"")"),"@drfahrettinkoca guide guide guide guide guide guide guide guide guide guide guide guide kina ... https://t.co/yzacgdh375")</f>
        <v>@drfahrettinkoca guide guide guide guide guide guide guide guide guide guide guide guide kina ... https://t.co/yzacgdh375</v>
      </c>
    </row>
    <row r="12142" spans="1:5" ht="15" customHeight="1" x14ac:dyDescent="0.2">
      <c r="A12142" s="1" t="s">
        <v>23993</v>
      </c>
      <c r="B12142" s="1">
        <v>2</v>
      </c>
      <c r="C12142" s="3">
        <v>44533.744386574072</v>
      </c>
      <c r="D12142" s="1" t="s">
        <v>23994</v>
      </c>
      <c r="E12142" s="1" t="str">
        <f ca="1">IFERROR(__xludf.DUMMYFUNCTION("GOOGLETRANSLATE(A8941 , ""tr"" , ""en"")"),"@drfahrettinkoca to be assigned to be assigned to the guide you come # fusable")</f>
        <v>@drfahrettinkoca to be assigned to be assigned to the guide you come # fusable</v>
      </c>
    </row>
    <row r="12143" spans="1:5" ht="15" customHeight="1" x14ac:dyDescent="0.2">
      <c r="A12143" s="1" t="s">
        <v>23995</v>
      </c>
      <c r="B12143" s="1">
        <v>2</v>
      </c>
      <c r="C12143" s="3">
        <v>44533.744270833333</v>
      </c>
      <c r="D12143" s="1" t="s">
        <v>23996</v>
      </c>
      <c r="E12143" s="1" t="str">
        <f ca="1">IFERROR(__xludf.DUMMYFUNCTION("GOOGLETRANSLATE(A8942 , ""tr"" , ""en"")"),"@drfahrettinkoca will be a question of Mr. Statistical Minister; How many people have disabled with the side effect on the vaccine? Thanks...")</f>
        <v>@drfahrettinkoca will be a question of Mr. Statistical Minister; How many people have disabled with the side effect on the vaccine? Thanks...</v>
      </c>
    </row>
    <row r="12144" spans="1:5" ht="15" customHeight="1" x14ac:dyDescent="0.2">
      <c r="A12144" s="1" t="s">
        <v>23997</v>
      </c>
      <c r="B12144" s="1">
        <v>1</v>
      </c>
      <c r="C12144" s="3">
        <v>44533.744259259256</v>
      </c>
      <c r="D12144" s="1" t="s">
        <v>23998</v>
      </c>
      <c r="E12144" s="1" t="str">
        <f ca="1">IFERROR(__xludf.DUMMYFUNCTION("GOOGLETRANSLATE(A8943 , ""tr"" , ""en"")"),"@drfahrettinkoca is your favipiravir disclosure for those who died because of")</f>
        <v>@drfahrettinkoca is your favipiravir disclosure for those who died because of</v>
      </c>
    </row>
    <row r="12145" spans="1:5" ht="15" customHeight="1" x14ac:dyDescent="0.2">
      <c r="A12145" s="1" t="s">
        <v>23999</v>
      </c>
      <c r="B12145" s="1">
        <v>10</v>
      </c>
      <c r="C12145" s="3">
        <v>44533.74423611111</v>
      </c>
      <c r="D12145" s="1" t="s">
        <v>24000</v>
      </c>
      <c r="E12145" s="1" t="str">
        <f ca="1">IFERROR(__xludf.DUMMYFUNCTION("GOOGLETRANSLATE(A8944 , ""tr"" , ""en"")"),"@drfahrettinkoca mumps vaccine: 39 years, 711 side effect Tetanus vaccination: 53 years, 15,085 Side effect Hepatitis B vaccine: ... https://t.co/7sjsxylısv")</f>
        <v>@drfahrettinkoca mumps vaccine: 39 years, 711 side effect Tetanus vaccination: 53 years, 15,085 Side effect Hepatitis B vaccine: ... https://t.co/7sjsxylısv</v>
      </c>
    </row>
    <row r="12146" spans="1:5" ht="15" customHeight="1" x14ac:dyDescent="0.2">
      <c r="A12146" s="1" t="s">
        <v>24001</v>
      </c>
      <c r="B12146" s="1">
        <v>1</v>
      </c>
      <c r="C12146" s="3">
        <v>44533.744131944448</v>
      </c>
      <c r="D12146" s="1" t="s">
        <v>24002</v>
      </c>
      <c r="E12146" s="1" t="str">
        <f ca="1">IFERROR(__xludf.DUMMYFUNCTION("GOOGLETRANSLATE(A8945 , ""tr"" , ""en"")"),"@drfahrettinkoca manual Explain Artk # Fkoyavuzada")</f>
        <v>@drfahrettinkoca manual Explain Artk # Fkoyavuzada</v>
      </c>
    </row>
    <row r="12147" spans="1:5" ht="15" customHeight="1" x14ac:dyDescent="0.2">
      <c r="A12147" s="1" t="s">
        <v>24003</v>
      </c>
      <c r="B12147" s="1">
        <v>0</v>
      </c>
      <c r="C12147" s="3">
        <v>44533.744074074071</v>
      </c>
      <c r="D12147" s="1" t="s">
        <v>24004</v>
      </c>
      <c r="E12147" s="1" t="str">
        <f ca="1">IFERROR(__xludf.DUMMYFUNCTION("GOOGLETRANSLATE(A8946 , ""tr"" , ""en"")"),"@drfahrettinkoca assignment # fcking")</f>
        <v>@drfahrettinkoca assignment # fcking</v>
      </c>
    </row>
    <row r="12148" spans="1:5" ht="15" customHeight="1" x14ac:dyDescent="0.2">
      <c r="A12148" s="1" t="s">
        <v>24005</v>
      </c>
      <c r="B12148" s="1">
        <v>1</v>
      </c>
      <c r="C12148" s="3">
        <v>44533.744016203702</v>
      </c>
      <c r="D12148" s="1" t="s">
        <v>24006</v>
      </c>
      <c r="E12148" s="1" t="str">
        <f ca="1">IFERROR(__xludf.DUMMYFUNCTION("GOOGLETRANSLATE(A8947 , ""tr"" , ""en"")"),"@drfahrettinkoca yes the minister is now in the guide you can now be acyclum Diykrum")</f>
        <v>@drfahrettinkoca yes the minister is now in the guide you can now be acyclum Diykrum</v>
      </c>
    </row>
    <row r="12149" spans="1:5" ht="15" customHeight="1" x14ac:dyDescent="0.2">
      <c r="A12149" s="1" t="s">
        <v>24007</v>
      </c>
      <c r="B12149" s="1">
        <v>1</v>
      </c>
      <c r="C12149" s="3">
        <v>44533.744004629632</v>
      </c>
      <c r="D12149" s="1" t="s">
        <v>24008</v>
      </c>
      <c r="E12149" s="1" t="str">
        <f ca="1">IFERROR(__xludf.DUMMYFUNCTION("GOOGLETRANSLATE(A8948 , ""tr"" , ""en"")"),"@drfahrettinkoca bouquadard ignoring the person is trying to do so not to do what is trying to do is not understanding # fusable")</f>
        <v>@drfahrettinkoca bouquadard ignoring the person is trying to do so not to do what is trying to do is not understanding # fusable</v>
      </c>
    </row>
    <row r="12150" spans="1:5" ht="15" customHeight="1" x14ac:dyDescent="0.2">
      <c r="A12150" s="1" t="s">
        <v>24009</v>
      </c>
      <c r="B12150" s="1">
        <v>6</v>
      </c>
      <c r="C12150" s="3">
        <v>44533.743923611109</v>
      </c>
      <c r="D12150" s="1" t="s">
        <v>24010</v>
      </c>
      <c r="E12150" s="1" t="str">
        <f ca="1">IFERROR(__xludf.DUMMYFUNCTION("GOOGLETRANSLATE(A8949 , ""tr"" , ""en"")"),"@drfahrettinkoca guide we want # fcking")</f>
        <v>@drfahrettinkoca guide we want # fcking</v>
      </c>
    </row>
    <row r="12151" spans="1:5" ht="15" customHeight="1" x14ac:dyDescent="0.2">
      <c r="A12151" s="1" t="s">
        <v>23787</v>
      </c>
      <c r="B12151" s="1">
        <v>6</v>
      </c>
      <c r="C12151" s="3">
        <v>44533.743854166663</v>
      </c>
      <c r="D12151" s="1" t="s">
        <v>24011</v>
      </c>
      <c r="E12151" s="1" t="str">
        <f ca="1">IFERROR(__xludf.DUMMYFUNCTION("GOOGLETRANSLATE(A8950 , ""tr"" , ""en"")"),"@drfahrettinkoca # fcking")</f>
        <v>@drfahrettinkoca # fcking</v>
      </c>
    </row>
    <row r="12152" spans="1:5" ht="15" customHeight="1" x14ac:dyDescent="0.2">
      <c r="A12152" s="1" t="s">
        <v>24012</v>
      </c>
      <c r="B12152" s="1">
        <v>0</v>
      </c>
      <c r="C12152" s="3">
        <v>44533.743796296294</v>
      </c>
      <c r="D12152" s="1" t="s">
        <v>24013</v>
      </c>
      <c r="E12152" s="1" t="str">
        <f ca="1">IFERROR(__xludf.DUMMYFUNCTION("GOOGLETRANSLATE(A8951 , ""tr"" , ""en"")"),"@drfahrettinkoca we have been disabled in your number. Shoving Disabled, Disabled Disabled, Combination Disabled, Shrub ... HTTPS://T.CO/JSZQRFIUXP")</f>
        <v>@drfahrettinkoca we have been disabled in your number. Shoving Disabled, Disabled Disabled, Combination Disabled, Shrub ... HTTPS://T.CO/JSZQRFIUXP</v>
      </c>
    </row>
    <row r="12153" spans="1:5" ht="15" customHeight="1" x14ac:dyDescent="0.2">
      <c r="A12153" s="1" t="s">
        <v>24014</v>
      </c>
      <c r="B12153" s="1">
        <v>4</v>
      </c>
      <c r="C12153" s="3">
        <v>44533.743726851855</v>
      </c>
      <c r="D12153" s="1" t="s">
        <v>24015</v>
      </c>
      <c r="E12153" s="1" t="str">
        <f ca="1">IFERROR(__xludf.DUMMYFUNCTION("GOOGLETRANSLATE(A8952 , ""tr"" , ""en"")"),"@drfahrettinkoca Let's light ourselves Napalim What do you want Fahrettin K. #Fe to fcking")</f>
        <v>@drfahrettinkoca Let's light ourselves Napalim What do you want Fahrettin K. #Fe to fcking</v>
      </c>
    </row>
    <row r="12154" spans="1:5" ht="15" customHeight="1" x14ac:dyDescent="0.2">
      <c r="A12154" s="1" t="s">
        <v>24016</v>
      </c>
      <c r="B12154" s="1">
        <v>0</v>
      </c>
      <c r="C12154" s="3">
        <v>44533.743506944447</v>
      </c>
      <c r="D12154" s="1" t="s">
        <v>24017</v>
      </c>
      <c r="E12154" s="1" t="str">
        <f ca="1">IFERROR(__xludf.DUMMYFUNCTION("GOOGLETRANSLATE(A8953 , ""tr"" , ""en"")"),"@drfahrettinkoca grid minister ..")</f>
        <v>@drfahrettinkoca grid minister ..</v>
      </c>
    </row>
    <row r="12155" spans="1:5" ht="15" customHeight="1" x14ac:dyDescent="0.2">
      <c r="A12155" s="1" t="s">
        <v>24018</v>
      </c>
      <c r="B12155" s="1">
        <v>3</v>
      </c>
      <c r="C12155" s="3">
        <v>44533.743414351855</v>
      </c>
      <c r="D12155" s="1" t="s">
        <v>24019</v>
      </c>
      <c r="E12155" s="1" t="str">
        <f ca="1">IFERROR(__xludf.DUMMYFUNCTION("GOOGLETRANSLATE(A8954 , ""tr"" , ""en"")"),"@drfahrettinkoca @morlangic assigns no more time before year, no longer ride @drfahrettinkoca # fcking")</f>
        <v>@drfahrettinkoca @morlangic assigns no more time before year, no longer ride @drfahrettinkoca # fcking</v>
      </c>
    </row>
    <row r="12156" spans="1:5" ht="15" customHeight="1" x14ac:dyDescent="0.2">
      <c r="A12156" s="1" t="s">
        <v>24020</v>
      </c>
      <c r="B12156" s="1">
        <v>0</v>
      </c>
      <c r="C12156" s="3">
        <v>44533.743391203701</v>
      </c>
      <c r="D12156" s="1" t="s">
        <v>24021</v>
      </c>
      <c r="E12156" s="1" t="str">
        <f ca="1">IFERROR(__xludf.DUMMYFUNCTION("GOOGLETRANSLATE(A8955 , ""tr"" , ""en"")"),"@drfahrettinkoca KI-LA-Vuz")</f>
        <v>@drfahrettinkoca KI-LA-Vuz</v>
      </c>
    </row>
    <row r="12157" spans="1:5" ht="15" customHeight="1" x14ac:dyDescent="0.2">
      <c r="A12157" s="1" t="s">
        <v>24022</v>
      </c>
      <c r="B12157" s="1">
        <v>4</v>
      </c>
      <c r="C12157" s="3">
        <v>44533.743368055555</v>
      </c>
      <c r="D12157" s="1" t="s">
        <v>24023</v>
      </c>
      <c r="E12157" s="1" t="str">
        <f ca="1">IFERROR(__xludf.DUMMYFUNCTION("GOOGLETRANSLATE(A8956 , ""tr"" , ""en"")"),"@drfahrettinkoca What ida will be judged for increasing the number of dead and disabled vaccines @drfahrettinkoca")</f>
        <v>@drfahrettinkoca What ida will be judged for increasing the number of dead and disabled vaccines @drfahrettinkoca</v>
      </c>
    </row>
    <row r="12158" spans="1:5" ht="15" customHeight="1" x14ac:dyDescent="0.2">
      <c r="A12158" s="1" t="s">
        <v>24024</v>
      </c>
      <c r="B12158" s="1">
        <v>0</v>
      </c>
      <c r="C12158" s="3">
        <v>44533.743368055555</v>
      </c>
      <c r="D12158" s="1" t="s">
        <v>24025</v>
      </c>
      <c r="E12158" s="1" t="str">
        <f ca="1">IFERROR(__xludf.DUMMYFUNCTION("GOOGLETRANSLATE(A8957 , ""tr"" , ""en"")"),"@drfahrettinkoca guide we want you still what do you expect")</f>
        <v>@drfahrettinkoca guide we want you still what do you expect</v>
      </c>
    </row>
    <row r="12159" spans="1:5" ht="15" customHeight="1" x14ac:dyDescent="0.2">
      <c r="A12159" s="1" t="s">
        <v>24026</v>
      </c>
      <c r="B12159" s="1">
        <v>0</v>
      </c>
      <c r="C12159" s="3">
        <v>44533.743356481478</v>
      </c>
      <c r="D12159" s="1" t="s">
        <v>24027</v>
      </c>
      <c r="E12159" s="1" t="str">
        <f ca="1">IFERROR(__xludf.DUMMYFUNCTION("GOOGLETRANSLATE(A8958 , ""tr"" , ""en"")"),"@drfahrettinkoca clasks # fkocayetumutumutum")</f>
        <v>@drfahrettinkoca clasks # fkocayetumutumutum</v>
      </c>
    </row>
    <row r="12160" spans="1:5" ht="15" customHeight="1" x14ac:dyDescent="0.2">
      <c r="A12160" s="1" t="s">
        <v>24028</v>
      </c>
      <c r="B12160" s="1">
        <v>0</v>
      </c>
      <c r="C12160" s="3">
        <v>44533.743298611109</v>
      </c>
      <c r="D12160" s="1" t="s">
        <v>24029</v>
      </c>
      <c r="E12160" s="1" t="str">
        <f ca="1">IFERROR(__xludf.DUMMYFUNCTION("GOOGLETRANSLATE(A8959 , ""tr"" , ""en"")"),"@drfahrettinkoca Minister You Made Us Minister to Us")</f>
        <v>@drfahrettinkoca Minister You Made Us Minister to Us</v>
      </c>
    </row>
    <row r="12161" spans="1:5" ht="15" customHeight="1" x14ac:dyDescent="0.2">
      <c r="A12161" s="1" t="s">
        <v>24030</v>
      </c>
      <c r="B12161" s="1">
        <v>9</v>
      </c>
      <c r="C12161" s="3">
        <v>44533.743287037039</v>
      </c>
      <c r="D12161" s="1" t="s">
        <v>24031</v>
      </c>
      <c r="E12161" s="1" t="str">
        <f ca="1">IFERROR(__xludf.DUMMYFUNCTION("GOOGLETRANSLATE(A8960 , ""tr"" , ""en"")"),"@drfahrettinkoca Why don't you see us? @drfahrettinkoca # fcking")</f>
        <v>@drfahrettinkoca Why don't you see us? @drfahrettinkoca # fcking</v>
      </c>
    </row>
    <row r="12162" spans="1:5" ht="15" customHeight="1" x14ac:dyDescent="0.2">
      <c r="A12162" s="1" t="s">
        <v>24032</v>
      </c>
      <c r="B12162" s="1">
        <v>3</v>
      </c>
      <c r="C12162" s="3">
        <v>44533.743275462963</v>
      </c>
      <c r="D12162" s="1" t="s">
        <v>24033</v>
      </c>
      <c r="E12162" s="1" t="str">
        <f ca="1">IFERROR(__xludf.DUMMYFUNCTION("GOOGLETRANSLATE(A8961 , ""tr"" , ""en"")"),"@drfahrettinkoca Hani Words Hani Our hopes ?? @drfahrettinkoca # fcking")</f>
        <v>@drfahrettinkoca Hani Words Hani Our hopes ?? @drfahrettinkoca # fcking</v>
      </c>
    </row>
    <row r="12163" spans="1:5" ht="15" customHeight="1" x14ac:dyDescent="0.2">
      <c r="A12163" s="1" t="s">
        <v>24034</v>
      </c>
      <c r="B12163" s="1">
        <v>0</v>
      </c>
      <c r="C12163" s="3">
        <v>44533.743275462963</v>
      </c>
      <c r="D12163" s="1" t="s">
        <v>24035</v>
      </c>
      <c r="E12163" s="1" t="str">
        <f ca="1">IFERROR(__xludf.DUMMYFUNCTION("GOOGLETRANSLATE(A8962 , ""tr"" , ""en"")"),"@drfahrettinkoca Healthiers waiting for the assignment guide")</f>
        <v>@drfahrettinkoca Healthiers waiting for the assignment guide</v>
      </c>
    </row>
    <row r="12164" spans="1:5" ht="15" customHeight="1" x14ac:dyDescent="0.2">
      <c r="A12164" s="1" t="s">
        <v>24036</v>
      </c>
      <c r="B12164" s="1">
        <v>1</v>
      </c>
      <c r="C12164" s="3">
        <v>44533.743252314816</v>
      </c>
      <c r="D12164" s="1" t="s">
        <v>24037</v>
      </c>
      <c r="E12164" s="1" t="str">
        <f ca="1">IFERROR(__xludf.DUMMYFUNCTION("GOOGLETRANSLATE(A8963 , ""tr"" , ""en"")"),"@drfahrettinkoca is no longer excuse you want results @drfahrettinkoca #fo")</f>
        <v>@drfahrettinkoca is no longer excuse you want results @drfahrettinkoca #fo</v>
      </c>
    </row>
    <row r="12165" spans="1:5" ht="15" customHeight="1" x14ac:dyDescent="0.2">
      <c r="A12165" s="1" t="s">
        <v>24038</v>
      </c>
      <c r="B12165" s="1">
        <v>2</v>
      </c>
      <c r="C12165" s="3">
        <v>44533.74324074074</v>
      </c>
      <c r="D12165" s="1" t="s">
        <v>24039</v>
      </c>
      <c r="E12165" s="1" t="str">
        <f ca="1">IFERROR(__xludf.DUMMYFUNCTION("GOOGLETRANSLATE(A8964 , ""tr"" , ""en"")"),"@drfahrettinkoca Minister Allah don't see anyone whose ends is to do so disabled # fusable")</f>
        <v>@drfahrettinkoca Minister Allah don't see anyone whose ends is to do so disabled # fusable</v>
      </c>
    </row>
    <row r="12166" spans="1:5" ht="15" customHeight="1" x14ac:dyDescent="0.2">
      <c r="A12166" s="1" t="s">
        <v>24040</v>
      </c>
      <c r="B12166" s="1">
        <v>13</v>
      </c>
      <c r="C12166" s="3">
        <v>44533.743148148147</v>
      </c>
      <c r="D12166" s="1" t="s">
        <v>24041</v>
      </c>
      <c r="E12166" s="1" t="str">
        <f ca="1">IFERROR(__xludf.DUMMYFUNCTION("GOOGLETRANSLATE(A8965 , ""tr"" , ""en"")"),"@drfahrettinkoca wezîrê min MINGO Guide Chegret Nây TI DIBEJI ?? Brez @drfahrettinkoca #fo")</f>
        <v>@drfahrettinkoca wezîrê min MINGO Guide Chegret Nây TI DIBEJI ?? Brez @drfahrettinkoca #fo</v>
      </c>
    </row>
    <row r="12167" spans="1:5" ht="15" customHeight="1" x14ac:dyDescent="0.2">
      <c r="A12167" s="1" t="s">
        <v>23787</v>
      </c>
      <c r="B12167" s="1">
        <v>9</v>
      </c>
      <c r="C12167" s="3">
        <v>44533.743113425924</v>
      </c>
      <c r="D12167" s="1" t="s">
        <v>24042</v>
      </c>
      <c r="E12167" s="1" t="str">
        <f ca="1">IFERROR(__xludf.DUMMYFUNCTION("GOOGLETRANSLATE(A8966 , ""tr"" , ""en"")"),"@drfahrettinkoca # fcking")</f>
        <v>@drfahrettinkoca # fcking</v>
      </c>
    </row>
    <row r="12168" spans="1:5" ht="15" customHeight="1" x14ac:dyDescent="0.2">
      <c r="A12168" s="1" t="s">
        <v>24043</v>
      </c>
      <c r="B12168" s="1">
        <v>2</v>
      </c>
      <c r="C12168" s="3">
        <v>44533.743113425924</v>
      </c>
      <c r="D12168" s="1" t="s">
        <v>24044</v>
      </c>
      <c r="E12168" s="1" t="str">
        <f ca="1">IFERROR(__xludf.DUMMYFUNCTION("GOOGLETRANSLATE(A8967 , ""tr"" , ""en"")"),"@drfahrettinkoca make a statement please either guide when will come")</f>
        <v>@drfahrettinkoca make a statement please either guide when will come</v>
      </c>
    </row>
    <row r="12169" spans="1:5" ht="15" customHeight="1" x14ac:dyDescent="0.2">
      <c r="A12169" s="1" t="s">
        <v>24045</v>
      </c>
      <c r="B12169" s="1">
        <v>1</v>
      </c>
      <c r="C12169" s="3">
        <v>44533.743078703701</v>
      </c>
      <c r="D12169" s="1" t="s">
        <v>24046</v>
      </c>
      <c r="E12169" s="1" t="str">
        <f ca="1">IFERROR(__xludf.DUMMYFUNCTION("GOOGLETRANSLATE(A8968 , ""tr"" , ""en"")"),"@drfahrettinkoca We are appointed every day, but in fact we have never been assigned to 1 year! @ drfahrettinkoca ... https://t.co/kg8mjl98in")</f>
        <v>@drfahrettinkoca We are appointed every day, but in fact we have never been assigned to 1 year! @ drfahrettinkoca ... https://t.co/kg8mjl98in</v>
      </c>
    </row>
    <row r="12170" spans="1:5" ht="15" customHeight="1" x14ac:dyDescent="0.2">
      <c r="A12170" s="1" t="s">
        <v>24047</v>
      </c>
      <c r="B12170" s="1">
        <v>3</v>
      </c>
      <c r="C12170" s="3">
        <v>44533.743032407408</v>
      </c>
      <c r="D12170" s="1" t="s">
        <v>24048</v>
      </c>
      <c r="E12170" s="1" t="str">
        <f ca="1">IFERROR(__xludf.DUMMYFUNCTION("GOOGLETRANSLATE(A8969 , ""tr"" , ""en"")"),"@drfahrettinkoca Wellness Shops Gospel Awaiting the Guide of Assignment Given But")</f>
        <v>@drfahrettinkoca Wellness Shops Gospel Awaiting the Guide of Assignment Given But</v>
      </c>
    </row>
    <row r="12171" spans="1:5" ht="15" customHeight="1" x14ac:dyDescent="0.2">
      <c r="A12171" s="1" t="s">
        <v>24049</v>
      </c>
      <c r="B12171" s="1">
        <v>21</v>
      </c>
      <c r="C12171" s="3">
        <v>44533.743020833332</v>
      </c>
      <c r="D12171" s="1" t="s">
        <v>24050</v>
      </c>
      <c r="E12171" s="1" t="str">
        <f ca="1">IFERROR(__xludf.DUMMYFUNCTION("GOOGLETRANSLATE(A8970 , ""tr"" , ""en"")"),"@drfahrettinkoca psychologically ruined the assignment of the assignment I didn't stay at the power to sit and try to work again KPSS ... https://t.co/k13yodhesg")</f>
        <v>@drfahrettinkoca psychologically ruined the assignment of the assignment I didn't stay at the power to sit and try to work again KPSS ... https://t.co/k13yodhesg</v>
      </c>
    </row>
    <row r="12172" spans="1:5" ht="15" customHeight="1" x14ac:dyDescent="0.2">
      <c r="A12172" s="1" t="s">
        <v>24051</v>
      </c>
      <c r="B12172" s="1">
        <v>3</v>
      </c>
      <c r="C12172" s="3">
        <v>44533.742939814816</v>
      </c>
      <c r="D12172" s="1" t="s">
        <v>24052</v>
      </c>
      <c r="E12172" s="1" t="str">
        <f ca="1">IFERROR(__xludf.DUMMYFUNCTION("GOOGLETRANSLATE(A8971 , ""tr"" , ""en"")"),"Thank you @drfahrettinkoca Mr. Minister")</f>
        <v>Thank you @drfahrettinkoca Mr. Minister</v>
      </c>
    </row>
    <row r="12173" spans="1:5" ht="15" customHeight="1" x14ac:dyDescent="0.2">
      <c r="A12173" s="1" t="s">
        <v>24053</v>
      </c>
      <c r="B12173" s="1">
        <v>2</v>
      </c>
      <c r="C12173" s="3">
        <v>44533.742847222224</v>
      </c>
      <c r="D12173" s="1" t="s">
        <v>24054</v>
      </c>
      <c r="E12173" s="1" t="str">
        <f ca="1">IFERROR(__xludf.DUMMYFUNCTION("GOOGLETRANSLATE(A8972 , ""tr"" , ""en"")"),"@drfahrettinkoca you are also inhibiting Mr. Minister")</f>
        <v>@drfahrettinkoca you are also inhibiting Mr. Minister</v>
      </c>
    </row>
    <row r="12174" spans="1:5" ht="15" customHeight="1" x14ac:dyDescent="0.2">
      <c r="A12174" s="1" t="s">
        <v>24055</v>
      </c>
      <c r="B12174" s="1">
        <v>7</v>
      </c>
      <c r="C12174" s="3">
        <v>44533.742835648147</v>
      </c>
      <c r="D12174" s="1" t="s">
        <v>24056</v>
      </c>
      <c r="E12174" s="1" t="str">
        <f ca="1">IFERROR(__xludf.DUMMYFUNCTION("GOOGLETRANSLATE(A8973 , ""tr"" , ""en"")"),"@drfahrettinkoca Minister Your face is now no more please #fire")</f>
        <v>@drfahrettinkoca Minister Your face is now no more please #fire</v>
      </c>
    </row>
    <row r="12175" spans="1:5" ht="15" customHeight="1" x14ac:dyDescent="0.2">
      <c r="A12175" s="1" t="s">
        <v>24057</v>
      </c>
      <c r="B12175" s="1">
        <v>5</v>
      </c>
      <c r="C12175" s="3">
        <v>44533.742812500001</v>
      </c>
      <c r="D12175" s="1" t="s">
        <v>24058</v>
      </c>
      <c r="E12175" s="1" t="str">
        <f ca="1">IFERROR(__xludf.DUMMYFUNCTION("GOOGLETRANSLATE(A8974 , ""tr"" , ""en"")"),"@drfahrettinkoca has paralyzed people racing against time is the first 6 months for max progress of special children for the time ... https://t.co/9bbukrdjsj")</f>
        <v>@drfahrettinkoca has paralyzed people racing against time is the first 6 months for max progress of special children for the time ... https://t.co/9bbukrdjsj</v>
      </c>
    </row>
    <row r="12176" spans="1:5" ht="15" customHeight="1" x14ac:dyDescent="0.2">
      <c r="A12176" s="1" t="s">
        <v>24059</v>
      </c>
      <c r="B12176" s="1">
        <v>1</v>
      </c>
      <c r="C12176" s="3">
        <v>44533.742777777778</v>
      </c>
      <c r="D12176" s="1" t="s">
        <v>24060</v>
      </c>
      <c r="E12176" s="1" t="str">
        <f ca="1">IFERROR(__xludf.DUMMYFUNCTION("GOOGLETRANSLATE(A8975 , ""tr"" , ""en"")"),"@drfahrettinkoca Description We would like to be the Ministry")</f>
        <v>@drfahrettinkoca Description We would like to be the Ministry</v>
      </c>
    </row>
    <row r="12177" spans="1:5" ht="15" customHeight="1" x14ac:dyDescent="0.2">
      <c r="A12177" s="1" t="s">
        <v>24061</v>
      </c>
      <c r="B12177" s="1">
        <v>0</v>
      </c>
      <c r="C12177" s="3">
        <v>44533.742754629631</v>
      </c>
      <c r="D12177" s="1" t="s">
        <v>24062</v>
      </c>
      <c r="E12177" s="1" t="str">
        <f ca="1">IFERROR(__xludf.DUMMYFUNCTION("GOOGLETRANSLATE(A8976 , ""tr"" , ""en"")"),"@drfahrettinkoca health worker is called the doctor and the nurse only comes to mind; Radiology - Paramedic - Aneste ... https://t.co/8xq32gdcdn")</f>
        <v>@drfahrettinkoca health worker is called the doctor and the nurse only comes to mind; Radiology - Paramedic - Aneste ... https://t.co/8xq32gdcdn</v>
      </c>
    </row>
    <row r="12178" spans="1:5" ht="15" customHeight="1" x14ac:dyDescent="0.2">
      <c r="A12178" s="1" t="s">
        <v>24063</v>
      </c>
      <c r="B12178" s="1">
        <v>0</v>
      </c>
      <c r="C12178" s="3">
        <v>44533.742743055554</v>
      </c>
      <c r="D12178" s="1" t="s">
        <v>24064</v>
      </c>
      <c r="E12178" s="1" t="str">
        <f ca="1">IFERROR(__xludf.DUMMYFUNCTION("GOOGLETRANSLATE(A8977 , ""tr"" , ""en"")"),"@drfahrettinka https://t.co/veogh4i4vt")</f>
        <v>@drfahrettinka https://t.co/veogh4i4vt</v>
      </c>
    </row>
    <row r="12179" spans="1:5" ht="15" customHeight="1" x14ac:dyDescent="0.2">
      <c r="A12179" s="1" t="s">
        <v>24065</v>
      </c>
      <c r="B12179" s="1">
        <v>10</v>
      </c>
      <c r="C12179" s="3">
        <v>44533.742731481485</v>
      </c>
      <c r="D12179" s="1" t="s">
        <v>24066</v>
      </c>
      <c r="E12179" s="1" t="str">
        <f ca="1">IFERROR(__xludf.DUMMYFUNCTION("GOOGLETRANSLATE(A8978 , ""tr"" , ""en"")"),"@drfahrettinkoca look forward to the Ministry of Assignment Guide")</f>
        <v>@drfahrettinkoca look forward to the Ministry of Assignment Guide</v>
      </c>
    </row>
    <row r="12180" spans="1:5" ht="15" customHeight="1" x14ac:dyDescent="0.2">
      <c r="A12180" s="1" t="s">
        <v>13402</v>
      </c>
      <c r="B12180" s="1">
        <v>11</v>
      </c>
      <c r="C12180" s="3">
        <v>44533.742731481485</v>
      </c>
      <c r="D12180" s="1" t="s">
        <v>24067</v>
      </c>
      <c r="E12180" s="1" t="str">
        <f ca="1">IFERROR(__xludf.DUMMYFUNCTION("GOOGLETRANSLATE(A8979 , ""tr"" , ""en"")"),"@drfahrettinkoca We want guide")</f>
        <v>@drfahrettinkoca We want guide</v>
      </c>
    </row>
    <row r="12181" spans="1:5" ht="15" customHeight="1" x14ac:dyDescent="0.2">
      <c r="A12181" s="1" t="s">
        <v>24068</v>
      </c>
      <c r="B12181" s="1">
        <v>5</v>
      </c>
      <c r="C12181" s="3">
        <v>44533.742731481485</v>
      </c>
      <c r="D12181" s="1" t="s">
        <v>24069</v>
      </c>
      <c r="E12181" s="1" t="str">
        <f ca="1">IFERROR(__xludf.DUMMYFUNCTION("GOOGLETRANSLATE(A8980 , ""tr"" , ""en"")"),"@drfahrettinkoca patients expect to assign a physiotherapist to have no months of order and patient satisfaction ... https://t.co/p1kudjasdn")</f>
        <v>@drfahrettinkoca patients expect to assign a physiotherapist to have no months of order and patient satisfaction ... https://t.co/p1kudjasdn</v>
      </c>
    </row>
    <row r="12182" spans="1:5" ht="15" customHeight="1" x14ac:dyDescent="0.2">
      <c r="A12182" s="1" t="s">
        <v>24070</v>
      </c>
      <c r="B12182" s="1">
        <v>1</v>
      </c>
      <c r="C12182" s="3">
        <v>44533.742650462962</v>
      </c>
      <c r="D12182" s="1" t="s">
        <v>24071</v>
      </c>
      <c r="E12182" s="1" t="str">
        <f ca="1">IFERROR(__xludf.DUMMYFUNCTION("GOOGLETRANSLATE(A8981 , ""tr"" , ""en"")"),"Will @drfahrettinkoca Ministry of Risdiplam to be used?")</f>
        <v>Will @drfahrettinkoca Ministry of Risdiplam to be used?</v>
      </c>
    </row>
    <row r="12183" spans="1:5" ht="15" customHeight="1" x14ac:dyDescent="0.2">
      <c r="A12183" s="1" t="s">
        <v>24072</v>
      </c>
      <c r="B12183" s="1">
        <v>11</v>
      </c>
      <c r="C12183" s="3">
        <v>44533.742592592593</v>
      </c>
      <c r="D12183" s="1" t="s">
        <v>24073</v>
      </c>
      <c r="E12183" s="1" t="str">
        <f ca="1">IFERROR(__xludf.DUMMYFUNCTION("GOOGLETRANSLATE(A8982 , ""tr"" , ""en"")"),"@drfahrettinkoca Minister please now Guide Come to Twiti")</f>
        <v>@drfahrettinkoca Minister please now Guide Come to Twiti</v>
      </c>
    </row>
    <row r="12184" spans="1:5" ht="15" customHeight="1" x14ac:dyDescent="0.2">
      <c r="A12184" s="1" t="s">
        <v>24074</v>
      </c>
      <c r="B12184" s="1">
        <v>0</v>
      </c>
      <c r="C12184" s="3">
        <v>44533.742569444446</v>
      </c>
      <c r="D12184" s="1" t="s">
        <v>24075</v>
      </c>
      <c r="E12184" s="1" t="str">
        <f ca="1">IFERROR(__xludf.DUMMYFUNCTION("GOOGLETRANSLATE(A8983 , ""tr"" , ""en"")"),"@drfahrettinkoca Ministry Let Nilaya help https://t.co/orisnztf0v")</f>
        <v>@drfahrettinkoca Ministry Let Nilaya help https://t.co/orisnztf0v</v>
      </c>
    </row>
    <row r="12185" spans="1:5" ht="15" customHeight="1" x14ac:dyDescent="0.2">
      <c r="A12185" s="1" t="s">
        <v>24076</v>
      </c>
      <c r="B12185" s="1">
        <v>3</v>
      </c>
      <c r="C12185" s="3">
        <v>44533.742476851854</v>
      </c>
      <c r="D12185" s="1" t="s">
        <v>24077</v>
      </c>
      <c r="E12185" s="1" t="str">
        <f ca="1">IFERROR(__xludf.DUMMYFUNCTION("GOOGLETRANSLATE(A8984 , ""tr"" , ""en"")"),"@drfahrettinkoca fahrettin you will not hear you will not stop at your promise # fcking")</f>
        <v>@drfahrettinkoca fahrettin you will not hear you will not stop at your promise # fcking</v>
      </c>
    </row>
    <row r="12186" spans="1:5" ht="15" customHeight="1" x14ac:dyDescent="0.2">
      <c r="A12186" s="1" t="s">
        <v>24078</v>
      </c>
      <c r="B12186" s="1">
        <v>5</v>
      </c>
      <c r="C12186" s="3">
        <v>44533.742476851854</v>
      </c>
      <c r="D12186" s="1" t="s">
        <v>24079</v>
      </c>
      <c r="E12186" s="1" t="str">
        <f ca="1">IFERROR(__xludf.DUMMYFUNCTION("GOOGLETRANSLATE(A8985 , ""tr"" , ""en"")"),"@drfahrettinkoca, Fair Distribution to Physiotherapists Dear Distribution Mr. @drfahrettinkoca @rterdogan https://t.co/tatz2u0zr6")</f>
        <v>@drfahrettinkoca, Fair Distribution to Physiotherapists Dear Distribution Mr. @drfahrettinkoca @rterdogan https://t.co/tatz2u0zr6</v>
      </c>
    </row>
    <row r="12187" spans="1:5" ht="15" customHeight="1" x14ac:dyDescent="0.2">
      <c r="A12187" s="1" t="s">
        <v>10058</v>
      </c>
      <c r="B12187" s="1">
        <v>3</v>
      </c>
      <c r="C12187" s="3">
        <v>44533.7424537037</v>
      </c>
      <c r="D12187" s="1" t="s">
        <v>24080</v>
      </c>
      <c r="E12187" s="1" t="str">
        <f ca="1">IFERROR(__xludf.DUMMYFUNCTION("GOOGLETRANSLATE(A8986 , ""tr"" , ""en"")"),"@drfahrettinkoca Guide")</f>
        <v>@drfahrettinkoca Guide</v>
      </c>
    </row>
    <row r="12188" spans="1:5" ht="15" customHeight="1" x14ac:dyDescent="0.2">
      <c r="A12188" s="1" t="s">
        <v>24081</v>
      </c>
      <c r="B12188" s="1">
        <v>11</v>
      </c>
      <c r="C12188" s="3">
        <v>44533.742442129631</v>
      </c>
      <c r="D12188" s="1" t="s">
        <v>24082</v>
      </c>
      <c r="E12188" s="1" t="str">
        <f ca="1">IFERROR(__xludf.DUMMYFUNCTION("GOOGLETRANSLATE(A8987 , ""tr"" , ""en"")"),"@drfahrettinkoca guide look forward to # fcking")</f>
        <v>@drfahrettinkoca guide look forward to # fcking</v>
      </c>
    </row>
    <row r="12189" spans="1:5" ht="15" customHeight="1" x14ac:dyDescent="0.2">
      <c r="A12189" s="1" t="s">
        <v>24083</v>
      </c>
      <c r="B12189" s="1">
        <v>0</v>
      </c>
      <c r="C12189" s="3">
        <v>44533.742442129631</v>
      </c>
      <c r="D12189" s="1" t="s">
        <v>24084</v>
      </c>
      <c r="E12189" s="1" t="str">
        <f ca="1">IFERROR(__xludf.DUMMYFUNCTION("GOOGLETRANSLATE(A8988 , ""tr"" , ""en"")"),"@drfahrettinkoca is the only country where the disabled is not equipped")</f>
        <v>@drfahrettinkoca is the only country where the disabled is not equipped</v>
      </c>
    </row>
    <row r="12190" spans="1:5" ht="15" customHeight="1" x14ac:dyDescent="0.2">
      <c r="A12190" s="1" t="s">
        <v>24085</v>
      </c>
      <c r="B12190" s="1">
        <v>9</v>
      </c>
      <c r="C12190" s="3">
        <v>44533.742430555554</v>
      </c>
      <c r="D12190" s="1" t="s">
        <v>24086</v>
      </c>
      <c r="E12190" s="1" t="str">
        <f ca="1">IFERROR(__xludf.DUMMYFUNCTION("GOOGLETRANSLATE(A8989 , ""tr"" , ""en"")"),"@drfahrettinkoca Your horse on Hersey is not appointed to assign bi")</f>
        <v>@drfahrettinkoca Your horse on Hersey is not appointed to assign bi</v>
      </c>
    </row>
    <row r="12191" spans="1:5" ht="15" customHeight="1" x14ac:dyDescent="0.2">
      <c r="A12191" s="1" t="s">
        <v>23787</v>
      </c>
      <c r="B12191" s="1">
        <v>23</v>
      </c>
      <c r="C12191" s="3">
        <v>44533.742430555554</v>
      </c>
      <c r="D12191" s="1" t="s">
        <v>24087</v>
      </c>
      <c r="E12191" s="1" t="str">
        <f ca="1">IFERROR(__xludf.DUMMYFUNCTION("GOOGLETRANSLATE(A8990 , ""tr"" , ""en"")"),"@drfahrettinkoca # fcking")</f>
        <v>@drfahrettinkoca # fcking</v>
      </c>
    </row>
    <row r="12192" spans="1:5" ht="15" customHeight="1" x14ac:dyDescent="0.2">
      <c r="A12192" s="1" t="s">
        <v>24088</v>
      </c>
      <c r="B12192" s="1">
        <v>10</v>
      </c>
      <c r="C12192" s="3">
        <v>44533.742430555554</v>
      </c>
      <c r="D12192" s="1" t="s">
        <v>24089</v>
      </c>
      <c r="E12192" s="1" t="str">
        <f ca="1">IFERROR(__xludf.DUMMYFUNCTION("GOOGLETRANSLATE(A8991 , ""tr"" , ""en"")"),"@drfahrettinkoca Guide Where Mr. Faferin Minister")</f>
        <v>@drfahrettinkoca Guide Where Mr. Faferin Minister</v>
      </c>
    </row>
    <row r="12193" spans="1:5" ht="15" customHeight="1" x14ac:dyDescent="0.2">
      <c r="A12193" s="1" t="s">
        <v>24090</v>
      </c>
      <c r="B12193" s="1">
        <v>4</v>
      </c>
      <c r="C12193" s="3">
        <v>44533.742303240739</v>
      </c>
      <c r="D12193" s="1" t="s">
        <v>24091</v>
      </c>
      <c r="E12193" s="1" t="str">
        <f ca="1">IFERROR(__xludf.DUMMYFUNCTION("GOOGLETRANSLATE(A8992 , ""tr"" , ""en"")"),"@drfahrettinkoca horse on the sake of Allah, my minister now")</f>
        <v>@drfahrettinkoca horse on the sake of Allah, my minister now</v>
      </c>
    </row>
    <row r="12194" spans="1:5" ht="15" customHeight="1" x14ac:dyDescent="0.2">
      <c r="A12194" s="1" t="s">
        <v>24092</v>
      </c>
      <c r="B12194" s="1">
        <v>3</v>
      </c>
      <c r="C12194" s="3">
        <v>44533.742303240739</v>
      </c>
      <c r="D12194" s="1" t="s">
        <v>24093</v>
      </c>
      <c r="E12194" s="1" t="str">
        <f ca="1">IFERROR(__xludf.DUMMYFUNCTION("GOOGLETRANSLATE(A8993 , ""tr"" , ""en"")"),"@drfahrettinkoca minister had our bi guide")</f>
        <v>@drfahrettinkoca minister had our bi guide</v>
      </c>
    </row>
    <row r="12195" spans="1:5" ht="15" customHeight="1" x14ac:dyDescent="0.2">
      <c r="A12195" s="1" t="s">
        <v>23787</v>
      </c>
      <c r="B12195" s="1">
        <v>26</v>
      </c>
      <c r="C12195" s="3">
        <v>44533.742268518516</v>
      </c>
      <c r="D12195" s="1" t="s">
        <v>24094</v>
      </c>
      <c r="E12195" s="1" t="str">
        <f ca="1">IFERROR(__xludf.DUMMYFUNCTION("GOOGLETRANSLATE(A8994 , ""tr"" , ""en"")"),"@drfahrettinkoca # fcking")</f>
        <v>@drfahrettinkoca # fcking</v>
      </c>
    </row>
    <row r="12196" spans="1:5" ht="15" customHeight="1" x14ac:dyDescent="0.2">
      <c r="A12196" s="1" t="s">
        <v>24095</v>
      </c>
      <c r="B12196" s="1">
        <v>4</v>
      </c>
      <c r="C12196" s="3">
        <v>44533.742256944446</v>
      </c>
      <c r="D12196" s="1" t="s">
        <v>24096</v>
      </c>
      <c r="E12196" s="1" t="str">
        <f ca="1">IFERROR(__xludf.DUMMYFUNCTION("GOOGLETRANSLATE(A8995 , ""tr"" , ""en"")"),"@drfahrettinkoca what the patient waits in the morning, what a grave of fresh dead. Nor devil, a sin as much as we expected our guide .. @drfahrettinkoca")</f>
        <v>@drfahrettinkoca what the patient waits in the morning, what a grave of fresh dead. Nor devil, a sin as much as we expected our guide .. @drfahrettinkoca</v>
      </c>
    </row>
    <row r="12197" spans="1:5" ht="15" customHeight="1" x14ac:dyDescent="0.2">
      <c r="A12197" s="1" t="s">
        <v>24097</v>
      </c>
      <c r="B12197" s="1">
        <v>29</v>
      </c>
      <c r="C12197" s="3">
        <v>44533.742210648146</v>
      </c>
      <c r="D12197" s="1" t="s">
        <v>24098</v>
      </c>
      <c r="E12197" s="1" t="str">
        <f ca="1">IFERROR(__xludf.DUMMYFUNCTION("GOOGLETRANSLATE(A8996 , ""tr"" , ""en"")"),"@drfahrettinkoca we want guide please we are asking you # fusable")</f>
        <v>@drfahrettinkoca we want guide please we are asking you # fusable</v>
      </c>
    </row>
    <row r="12198" spans="1:5" ht="15" customHeight="1" x14ac:dyDescent="0.2">
      <c r="A12198" s="1" t="s">
        <v>24099</v>
      </c>
      <c r="B12198" s="1">
        <v>9</v>
      </c>
      <c r="C12198" s="3">
        <v>44533.742164351854</v>
      </c>
      <c r="D12198" s="1" t="s">
        <v>24100</v>
      </c>
      <c r="E12198" s="1" t="str">
        <f ca="1">IFERROR(__xludf.DUMMYFUNCTION("GOOGLETRANSLATE(A8997 , ""tr"" , ""en"")"),"@drfahrettinkoca Ministry Guide please 🙏")</f>
        <v>@drfahrettinkoca Ministry Guide please 🙏</v>
      </c>
    </row>
    <row r="12199" spans="1:5" ht="15" customHeight="1" x14ac:dyDescent="0.2">
      <c r="A12199" s="1" t="s">
        <v>24101</v>
      </c>
      <c r="B12199" s="1">
        <v>0</v>
      </c>
      <c r="C12199" s="3">
        <v>44535.944803240738</v>
      </c>
      <c r="D12199" s="1" t="s">
        <v>24102</v>
      </c>
      <c r="E12199" s="1" t="str">
        <f ca="1">IFERROR(__xludf.DUMMYFUNCTION("GOOGLETRANSLATE(A8998 , ""tr"" , ""en"")"),"@drfahrettinkoca.")</f>
        <v>@drfahrettinkoca.</v>
      </c>
    </row>
    <row r="12200" spans="1:5" ht="15" customHeight="1" x14ac:dyDescent="0.2">
      <c r="A12200" s="1" t="s">
        <v>24103</v>
      </c>
      <c r="B12200" s="1">
        <v>0</v>
      </c>
      <c r="C12200" s="3">
        <v>44535.875752314816</v>
      </c>
      <c r="D12200" s="1" t="s">
        <v>24104</v>
      </c>
      <c r="E12200" s="1" t="str">
        <f ca="1">IFERROR(__xludf.DUMMYFUNCTION("GOOGLETRANSLATE(A8999 , ""tr"" , ""en"")"),"@drfahrettinkoca hocam why cadro given to our teacher sisters given to our sisters contracted health workers ... https://t.co/2vtaluuWUI")</f>
        <v>@drfahrettinkoca hocam why cadro given to our teacher sisters given to our sisters contracted health workers ... https://t.co/2vtaluuWUI</v>
      </c>
    </row>
    <row r="12201" spans="1:5" ht="15" customHeight="1" x14ac:dyDescent="0.2">
      <c r="A12201" s="1" t="s">
        <v>24105</v>
      </c>
      <c r="B12201" s="1">
        <v>0</v>
      </c>
      <c r="C12201" s="3">
        <v>44538.90084490741</v>
      </c>
      <c r="D12201" s="1" t="s">
        <v>24106</v>
      </c>
      <c r="E12201" s="1" t="str">
        <f ca="1">IFERROR(__xludf.DUMMYFUNCTION("GOOGLETRANSLATE(A9000 , ""tr"" , ""en"")"),"@drfahrettinkoca Allah mercy. Rest in peace")</f>
        <v>@drfahrettinkoca Allah mercy. Rest in peace</v>
      </c>
    </row>
    <row r="12202" spans="1:5" ht="15" customHeight="1" x14ac:dyDescent="0.2">
      <c r="A12202" s="1" t="s">
        <v>24107</v>
      </c>
      <c r="B12202" s="1">
        <v>0</v>
      </c>
      <c r="C12202" s="3">
        <v>44534.701956018522</v>
      </c>
      <c r="D12202" s="1" t="s">
        <v>24108</v>
      </c>
      <c r="E12202" s="1" t="str">
        <f ca="1">IFERROR(__xludf.DUMMYFUNCTION("GOOGLETRANSLATE(A9001 , ""tr"" , ""en"")"),"@drfahrettinkoca Today my account is the annual clothing assistance name under the name of 26 TL. Will you light us up a little about it?")</f>
        <v>@drfahrettinkoca Today my account is the annual clothing assistance name under the name of 26 TL. Will you light us up a little about it?</v>
      </c>
    </row>
    <row r="12203" spans="1:5" ht="15" customHeight="1" x14ac:dyDescent="0.2">
      <c r="A12203" s="1" t="s">
        <v>24109</v>
      </c>
      <c r="B12203" s="1">
        <v>0</v>
      </c>
      <c r="C12203" s="3">
        <v>44533.976122685184</v>
      </c>
      <c r="D12203" s="1" t="s">
        <v>24110</v>
      </c>
      <c r="E12203" s="1" t="str">
        <f ca="1">IFERROR(__xludf.DUMMYFUNCTION("GOOGLETRANSLATE(A9002 , ""tr"" , ""en"")"),"@drfahrettinkoca Hi HoCam Me Şaniurfa Li Mehmet I have spent 20 years ago Traffic Accident Me Penille Denture Takt ... https://t.co/dtwtnd8c3m")</f>
        <v>@drfahrettinkoca Hi HoCam Me Şaniurfa Li Mehmet I have spent 20 years ago Traffic Accident Me Penille Denture Takt ... https://t.co/dtwtnd8c3m</v>
      </c>
    </row>
    <row r="12204" spans="1:5" ht="15" customHeight="1" x14ac:dyDescent="0.2">
      <c r="A12204" s="1" t="s">
        <v>24111</v>
      </c>
      <c r="B12204" s="1">
        <v>0</v>
      </c>
      <c r="C12204" s="3">
        <v>44533.954988425925</v>
      </c>
      <c r="D12204" s="1" t="s">
        <v>24112</v>
      </c>
      <c r="E12204" s="1" t="str">
        <f ca="1">IFERROR(__xludf.DUMMYFUNCTION("GOOGLETRANSLATE(A9003 , ""tr"" , ""en"")"),"@drfahrettinkoca Yakinen Tanidigim Sounds like my sister I love to be heaven")</f>
        <v>@drfahrettinkoca Yakinen Tanidigim Sounds like my sister I love to be heaven</v>
      </c>
    </row>
    <row r="12205" spans="1:5" ht="15" customHeight="1" x14ac:dyDescent="0.2">
      <c r="A12205" s="1" t="s">
        <v>24113</v>
      </c>
      <c r="B12205" s="1">
        <v>0</v>
      </c>
      <c r="C12205" s="3">
        <v>44533.926296296297</v>
      </c>
      <c r="D12205" s="1" t="s">
        <v>24114</v>
      </c>
      <c r="E12205" s="1" t="str">
        <f ca="1">IFERROR(__xludf.DUMMYFUNCTION("GOOGLETRANSLATE(A9004 , ""tr"" , ""en"")"),"@drfahrettinkoca Soon Prepare Letter NU")</f>
        <v>@drfahrettinkoca Soon Prepare Letter NU</v>
      </c>
    </row>
    <row r="12206" spans="1:5" ht="15" customHeight="1" x14ac:dyDescent="0.2">
      <c r="A12206" s="1" t="s">
        <v>24115</v>
      </c>
      <c r="B12206" s="1">
        <v>0</v>
      </c>
      <c r="C12206" s="3">
        <v>44533.923807870371</v>
      </c>
      <c r="D12206" s="1" t="s">
        <v>24116</v>
      </c>
      <c r="E12206" s="1" t="str">
        <f ca="1">IFERROR(__xludf.DUMMYFUNCTION("GOOGLETRANSLATE(A9005 , ""tr"" , ""en"")"),"@drfahrettinkoca https://t.co/ma0jbjehwo ""La Casa de Papel"" #TCMB # Immediate # TeachersMan ... HTTPS://T.CO/K6YNQI6GUT")</f>
        <v>@drfahrettinkoca https://t.co/ma0jbjehwo "La Casa de Papel" #TCMB # Immediate # TeachersMan ... HTTPS://T.CO/K6YNQI6GUT</v>
      </c>
    </row>
    <row r="12207" spans="1:5" ht="15" customHeight="1" x14ac:dyDescent="0.2">
      <c r="A12207" s="1" t="s">
        <v>24117</v>
      </c>
      <c r="B12207" s="1">
        <v>13</v>
      </c>
      <c r="C12207" s="3">
        <v>44533.917581018519</v>
      </c>
      <c r="D12207" s="1" t="s">
        <v>24118</v>
      </c>
      <c r="E12207" s="1" t="str">
        <f ca="1">IFERROR(__xludf.DUMMYFUNCTION("GOOGLETRANSLATE(A9006 , ""tr"" , ""en"")"),"@drfahrettinkoca has taken how many dose doses he had over 60 years of age")</f>
        <v>@drfahrettinkoca has taken how many dose doses he had over 60 years of age</v>
      </c>
    </row>
    <row r="12208" spans="1:5" ht="15" customHeight="1" x14ac:dyDescent="0.2">
      <c r="A12208" s="1" t="s">
        <v>24119</v>
      </c>
      <c r="B12208" s="1">
        <v>0</v>
      </c>
      <c r="C12208" s="3">
        <v>44533.914212962962</v>
      </c>
      <c r="D12208" s="1" t="s">
        <v>24120</v>
      </c>
      <c r="E12208" s="1" t="str">
        <f ca="1">IFERROR(__xludf.DUMMYFUNCTION("GOOGLETRANSLATE(A9007 , ""tr"" , ""en"")"),"@drfahrettinkoca @ oguzkagan_66 Killer who is the wonder.?")</f>
        <v>@drfahrettinkoca @ oguzkagan_66 Killer who is the wonder.?</v>
      </c>
    </row>
    <row r="12209" spans="1:5" ht="15" customHeight="1" x14ac:dyDescent="0.2">
      <c r="A12209" s="1" t="s">
        <v>24121</v>
      </c>
      <c r="B12209" s="1">
        <v>0</v>
      </c>
      <c r="C12209" s="3">
        <v>44533.901562500003</v>
      </c>
      <c r="D12209" s="1" t="s">
        <v>24122</v>
      </c>
      <c r="E12209" s="1" t="str">
        <f ca="1">IFERROR(__xludf.DUMMYFUNCTION("GOOGLETRANSLATE(A9008 , ""tr"" , ""en"")"),"@drfahrettinkoca you are interested in everything except the assignment.Pesss")</f>
        <v>@drfahrettinkoca you are interested in everything except the assignment.Pesss</v>
      </c>
    </row>
    <row r="12210" spans="1:5" ht="15" customHeight="1" x14ac:dyDescent="0.2">
      <c r="A12210" s="1" t="s">
        <v>24123</v>
      </c>
      <c r="B12210" s="1">
        <v>1</v>
      </c>
      <c r="C12210" s="3">
        <v>44533.899733796294</v>
      </c>
      <c r="D12210" s="1" t="s">
        <v>24124</v>
      </c>
      <c r="E12210" s="1" t="str">
        <f ca="1">IFERROR(__xludf.DUMMYFUNCTION("GOOGLETRANSLATE(A9009 , ""tr"" , ""en"")"),"@drfahrettinkoca I had had a vaccine")</f>
        <v>@drfahrettinkoca I had had a vaccine</v>
      </c>
    </row>
    <row r="12211" spans="1:5" ht="15" customHeight="1" x14ac:dyDescent="0.2">
      <c r="A12211" s="1" t="s">
        <v>24125</v>
      </c>
      <c r="B12211" s="1">
        <v>0</v>
      </c>
      <c r="C12211" s="3">
        <v>44533.89435185185</v>
      </c>
      <c r="D12211" s="1" t="s">
        <v>24126</v>
      </c>
      <c r="E12211" s="1" t="str">
        <f ca="1">IFERROR(__xludf.DUMMYFUNCTION("GOOGLETRANSLATE(A9010 , ""tr"" , ""en"")"),"@drfahrettinkoca Hani has been protecting your vaccine? You've killed your Gürdal Ablan with graphene oxide liquids. People graffanli ... https://t.co/zozgu8c6yp")</f>
        <v>@drfahrettinkoca Hani has been protecting your vaccine? You've killed your Gürdal Ablan with graphene oxide liquids. People graffanli ... https://t.co/zozgu8c6yp</v>
      </c>
    </row>
    <row r="12212" spans="1:5" ht="15" customHeight="1" x14ac:dyDescent="0.2">
      <c r="A12212" s="1" t="s">
        <v>24127</v>
      </c>
      <c r="B12212" s="1">
        <v>1</v>
      </c>
      <c r="C12212" s="3">
        <v>44533.880636574075</v>
      </c>
      <c r="D12212" s="1" t="s">
        <v>24128</v>
      </c>
      <c r="E12212" s="1" t="str">
        <f ca="1">IFERROR(__xludf.DUMMYFUNCTION("GOOGLETRANSLATE(A9011 , ""tr"" , ""en"")"),"@drfahrettinkoca I don't go wcye without permission from you sir :)) Satındin Also Dusmitdin Hey Go Kos ... HTTPS://T.CO/UIXG4TY4AU")</f>
        <v>@drfahrettinkoca I don't go wcye without permission from you sir :)) Satındin Also Dusmitdin Hey Go Kos ... HTTPS://T.CO/UIXG4TY4AU</v>
      </c>
    </row>
    <row r="12213" spans="1:5" ht="15" customHeight="1" x14ac:dyDescent="0.2">
      <c r="A12213" s="1" t="s">
        <v>24129</v>
      </c>
      <c r="B12213" s="1">
        <v>0</v>
      </c>
      <c r="C12213" s="3">
        <v>44533.86822916667</v>
      </c>
      <c r="D12213" s="1" t="s">
        <v>24130</v>
      </c>
      <c r="E12213" s="1" t="str">
        <f ca="1">IFERROR(__xludf.DUMMYFUNCTION("GOOGLETRANSLATE(A9012 , ""tr"" , ""en"")"),"@drfahrettinkoca Allah Mahmet Eylesin ... 🙏🙏🙏")</f>
        <v>@drfahrettinkoca Allah Mahmet Eylesin ... 🙏🙏🙏</v>
      </c>
    </row>
    <row r="12214" spans="1:5" ht="15" customHeight="1" x14ac:dyDescent="0.2">
      <c r="A12214" s="1" t="s">
        <v>24131</v>
      </c>
      <c r="B12214" s="1">
        <v>0</v>
      </c>
      <c r="C12214" s="3">
        <v>44533.85833333333</v>
      </c>
      <c r="D12214" s="1" t="s">
        <v>24132</v>
      </c>
      <c r="E12214" s="1" t="str">
        <f ca="1">IFERROR(__xludf.DUMMYFUNCTION("GOOGLETRANSLATE(A9013 , ""tr"" , ""en"")"),"@drfahrettinkoca coronadan oriented? If only the vaccines were to make the ear hang 2 dose of overdoses. Oh I wish ...")</f>
        <v>@drfahrettinkoca coronadan oriented? If only the vaccines were to make the ear hang 2 dose of overdoses. Oh I wish ...</v>
      </c>
    </row>
    <row r="12215" spans="1:5" ht="15" customHeight="1" x14ac:dyDescent="0.2">
      <c r="A12215" s="1" t="s">
        <v>24133</v>
      </c>
      <c r="B12215" s="1">
        <v>0</v>
      </c>
      <c r="C12215" s="3">
        <v>44533.844629629632</v>
      </c>
      <c r="D12215" s="1" t="s">
        <v>24134</v>
      </c>
      <c r="E12215" s="1" t="str">
        <f ca="1">IFERROR(__xludf.DUMMYFUNCTION("GOOGLETRANSLATE(A9014 , ""tr"" , ""en"")"),"If @drfahrettinkoca was no longer, press the basa on top of the basis of the coron. But when you are grafted, you have never touched the cause of death.")</f>
        <v>If @drfahrettinkoca was no longer, press the basa on top of the basis of the coron. But when you are grafted, you have never touched the cause of death.</v>
      </c>
    </row>
    <row r="12216" spans="1:5" ht="15" customHeight="1" x14ac:dyDescent="0.2">
      <c r="A12216" s="1" t="s">
        <v>24135</v>
      </c>
      <c r="B12216" s="1">
        <v>6</v>
      </c>
      <c r="C12216" s="3">
        <v>44533.84270833333</v>
      </c>
      <c r="D12216" s="1" t="s">
        <v>24136</v>
      </c>
      <c r="E12216" s="1" t="str">
        <f ca="1">IFERROR(__xludf.DUMMYFUNCTION("GOOGLETRANSLATE(A9015 , ""tr"" , ""en"")"),"@drfahrettinkoca #chankkuruluhrencileronlineline Turkey Variant input to Turkey Mr. Fahrettin Bey Description. ... https://t.co/c2bm4H56IB")</f>
        <v>@drfahrettinkoca #chankkuruluhrencileronlineline Turkey Variant input to Turkey Mr. Fahrettin Bey Description. ... https://t.co/c2bm4H56IB</v>
      </c>
    </row>
    <row r="12217" spans="1:5" ht="15" customHeight="1" x14ac:dyDescent="0.2">
      <c r="A12217" s="1" t="s">
        <v>24137</v>
      </c>
      <c r="B12217" s="1">
        <v>0</v>
      </c>
      <c r="C12217" s="3">
        <v>44533.841539351852</v>
      </c>
      <c r="D12217" s="1" t="s">
        <v>24138</v>
      </c>
      <c r="E12217" s="1" t="str">
        <f ca="1">IFERROR(__xludf.DUMMYFUNCTION("GOOGLETRANSLATE(A9016 , ""tr"" , ""en"")"),"@drfahrettinkoca We want the one who is not charitated @drfahrettinkoca quit")</f>
        <v>@drfahrettinkoca We want the one who is not charitated @drfahrettinkoca quit</v>
      </c>
    </row>
    <row r="12218" spans="1:5" ht="15" customHeight="1" x14ac:dyDescent="0.2">
      <c r="A12218" s="1" t="s">
        <v>24139</v>
      </c>
      <c r="B12218" s="1">
        <v>0</v>
      </c>
      <c r="C12218" s="3">
        <v>44533.840729166666</v>
      </c>
      <c r="D12218" s="1" t="s">
        <v>24140</v>
      </c>
      <c r="E12218" s="1" t="str">
        <f ca="1">IFERROR(__xludf.DUMMYFUNCTION("GOOGLETRANSLATE(A9017 , ""tr"" , ""en"")"),"@drfahrettinkoca Allah Rahmet Eylesin.makani May Be Heaven Nurla Dolsun Guldal Ladies")</f>
        <v>@drfahrettinkoca Allah Rahmet Eylesin.makani May Be Heaven Nurla Dolsun Guldal Ladies</v>
      </c>
    </row>
    <row r="12219" spans="1:5" ht="15" customHeight="1" x14ac:dyDescent="0.2">
      <c r="A12219" s="1" t="s">
        <v>24141</v>
      </c>
      <c r="B12219" s="1">
        <v>0</v>
      </c>
      <c r="C12219" s="3">
        <v>44533.838159722225</v>
      </c>
      <c r="D12219" s="1" t="s">
        <v>24142</v>
      </c>
      <c r="E12219" s="1" t="str">
        <f ca="1">IFERROR(__xludf.DUMMYFUNCTION("GOOGLETRANSLATE(A9018 , ""tr"" , ""en"")"),"@drfahrettinkoca 🤲🤲🤲🤲🤲")</f>
        <v>@drfahrettinkoca 🤲🤲🤲🤲🤲</v>
      </c>
    </row>
    <row r="12220" spans="1:5" ht="15" customHeight="1" x14ac:dyDescent="0.2">
      <c r="A12220" s="1" t="s">
        <v>24143</v>
      </c>
      <c r="B12220" s="1">
        <v>4</v>
      </c>
      <c r="C12220" s="3">
        <v>44533.836226851854</v>
      </c>
      <c r="D12220" s="1" t="s">
        <v>24144</v>
      </c>
      <c r="E12220" s="1" t="str">
        <f ca="1">IFERROR(__xludf.DUMMYFUNCTION("GOOGLETRANSLATE(A9019 , ""tr"" , ""en"")"),"@drfahrettinkoca late Be 2 dose liquids, then die from the coolly. A b of the holy liquid. can't ka wound?")</f>
        <v>@drfahrettinkoca late Be 2 dose liquids, then die from the coolly. A b of the holy liquid. can't ka wound?</v>
      </c>
    </row>
    <row r="12221" spans="1:5" ht="15" customHeight="1" x14ac:dyDescent="0.2">
      <c r="A12221" s="1" t="s">
        <v>17931</v>
      </c>
      <c r="B12221" s="1">
        <v>0</v>
      </c>
      <c r="C12221" s="3">
        <v>44533.827916666669</v>
      </c>
      <c r="D12221" s="1" t="s">
        <v>24145</v>
      </c>
      <c r="E12221" s="1" t="str">
        <f ca="1">IFERROR(__xludf.DUMMYFUNCTION("GOOGLETRANSLATE(A9020 , ""tr"" , ""en"")"),"@drfahrettinkoca allah mercy eyles")</f>
        <v>@drfahrettinkoca allah mercy eyles</v>
      </c>
    </row>
    <row r="12222" spans="1:5" ht="15" customHeight="1" x14ac:dyDescent="0.2">
      <c r="A12222" s="1" t="s">
        <v>24146</v>
      </c>
      <c r="B12222" s="1">
        <v>0</v>
      </c>
      <c r="C12222" s="3">
        <v>44533.822546296295</v>
      </c>
      <c r="D12222" s="1" t="s">
        <v>24147</v>
      </c>
      <c r="E12222" s="1" t="str">
        <f ca="1">IFERROR(__xludf.DUMMYFUNCTION("GOOGLETRANSLATE(A9021 , ""tr"" , ""en"")"),"@drfahrettinkoca Mr. Minister Minister Ladies Coronan Such CIKIYO GOD SUGARMY EYLESIN was not familiar with our sister")</f>
        <v>@drfahrettinkoca Mr. Minister Minister Ladies Coronan Such CIKIYO GOD SUGARMY EYLESIN was not familiar with our sister</v>
      </c>
    </row>
    <row r="12223" spans="1:5" ht="15" customHeight="1" x14ac:dyDescent="0.2">
      <c r="A12223" s="1" t="s">
        <v>24148</v>
      </c>
      <c r="B12223" s="1">
        <v>2</v>
      </c>
      <c r="C12223" s="3">
        <v>44533.821122685185</v>
      </c>
      <c r="D12223" s="1" t="s">
        <v>24149</v>
      </c>
      <c r="E12223" s="1" t="str">
        <f ca="1">IFERROR(__xludf.DUMMYFUNCTION("GOOGLETRANSLATE(A9022 , ""tr"" , ""en"")"),"@drfahrettinkoca or I swear you will have the tweeting of everything we had an assignment waiting for the awaiting healthpieces tweet ... https://t.co/3mpgigyq3")</f>
        <v>@drfahrettinkoca or I swear you will have the tweeting of everything we had an assignment waiting for the awaiting healthpieces tweet ... https://t.co/3mpgigyq3</v>
      </c>
    </row>
    <row r="12224" spans="1:5" ht="15" customHeight="1" x14ac:dyDescent="0.2">
      <c r="A12224" s="1" t="s">
        <v>24150</v>
      </c>
      <c r="B12224" s="1">
        <v>0</v>
      </c>
      <c r="C12224" s="3">
        <v>44533.814282407409</v>
      </c>
      <c r="D12224" s="1" t="s">
        <v>24151</v>
      </c>
      <c r="E12224" s="1" t="str">
        <f ca="1">IFERROR(__xludf.DUMMYFUNCTION("GOOGLETRANSLATE(A9023 , ""tr"" , ""en"")"),"@drfahrettinkoca reisten allowed permission?")</f>
        <v>@drfahrettinkoca reisten allowed permission?</v>
      </c>
    </row>
    <row r="12225" spans="1:5" ht="15" customHeight="1" x14ac:dyDescent="0.2">
      <c r="A12225" s="1" t="s">
        <v>24152</v>
      </c>
      <c r="B12225" s="1">
        <v>0</v>
      </c>
      <c r="C12225" s="3">
        <v>44533.811805555553</v>
      </c>
      <c r="D12225" s="1" t="s">
        <v>24153</v>
      </c>
      <c r="E12225" s="1" t="str">
        <f ca="1">IFERROR(__xludf.DUMMYFUNCTION("GOOGLETRANSLATE(A9024 , ""tr"" , ""en"")"),"@drfahrettinkoca was the reminder vaccination?")</f>
        <v>@drfahrettinkoca was the reminder vaccination?</v>
      </c>
    </row>
    <row r="12226" spans="1:5" ht="15" customHeight="1" x14ac:dyDescent="0.2">
      <c r="A12226" s="1" t="s">
        <v>24154</v>
      </c>
      <c r="B12226" s="1">
        <v>0</v>
      </c>
      <c r="C12226" s="3">
        <v>44533.807870370372</v>
      </c>
      <c r="D12226" s="1" t="s">
        <v>24155</v>
      </c>
      <c r="E12226" s="1" t="str">
        <f ca="1">IFERROR(__xludf.DUMMYFUNCTION("GOOGLETRANSLATE(A9025 , ""tr"" , ""en"")"),"@drfahrettinkoca 2023 te really but really mummy dad even give you allah trouble to give you the vote 🙏🏼 🙏🏼")</f>
        <v>@drfahrettinkoca 2023 te really but really mummy dad even give you allah trouble to give you the vote 🙏🏼 🙏🏼</v>
      </c>
    </row>
    <row r="12227" spans="1:5" ht="15" customHeight="1" x14ac:dyDescent="0.2">
      <c r="A12227" s="1" t="s">
        <v>24156</v>
      </c>
      <c r="B12227" s="1">
        <v>0</v>
      </c>
      <c r="C12227" s="3">
        <v>44533.806331018517</v>
      </c>
      <c r="D12227" s="1" t="s">
        <v>24157</v>
      </c>
      <c r="E12227" s="1" t="str">
        <f ca="1">IFERROR(__xludf.DUMMYFUNCTION("GOOGLETRANSLATE(A9026 , ""tr"" , ""en"")"),"@drfahrettinkoca collections how long will we expect more of our Mr. Minister, everyone else has stayed at the two university ... https://t.co/Iqtm1npgwz")</f>
        <v>@drfahrettinkoca collections how long will we expect more of our Mr. Minister, everyone else has stayed at the two university ... https://t.co/Iqtm1npgwz</v>
      </c>
    </row>
    <row r="12228" spans="1:5" ht="15" customHeight="1" x14ac:dyDescent="0.2">
      <c r="A12228" s="1" t="s">
        <v>24158</v>
      </c>
      <c r="B12228" s="1">
        <v>2</v>
      </c>
      <c r="C12228" s="3">
        <v>44533.806134259263</v>
      </c>
      <c r="D12228" s="1" t="s">
        <v>24159</v>
      </c>
      <c r="E12228" s="1" t="str">
        <f ca="1">IFERROR(__xludf.DUMMYFUNCTION("GOOGLETRANSLATE(A9027 , ""tr"" , ""en"")"),"@drfahrettinkoca you are playing with our dreams For months, you don't keep words and keep your holds silent ... https://t.co/pu6jruskzf")</f>
        <v>@drfahrettinkoca you are playing with our dreams For months, you don't keep words and keep your holds silent ... https://t.co/pu6jruskzf</v>
      </c>
    </row>
    <row r="12229" spans="1:5" ht="15" customHeight="1" x14ac:dyDescent="0.2">
      <c r="A12229" s="1" t="s">
        <v>24160</v>
      </c>
      <c r="B12229" s="1">
        <v>0</v>
      </c>
      <c r="C12229" s="3">
        <v>44533.804490740738</v>
      </c>
      <c r="D12229" s="1" t="s">
        <v>24161</v>
      </c>
      <c r="E12229" s="1" t="str">
        <f ca="1">IFERROR(__xludf.DUMMYFUNCTION("GOOGLETRANSLATE(A9028 , ""tr"" , ""en"")"),"@drfahrettinkoca says the case")</f>
        <v>@drfahrettinkoca says the case</v>
      </c>
    </row>
    <row r="12230" spans="1:5" ht="15" customHeight="1" x14ac:dyDescent="0.2">
      <c r="A12230" s="1" t="s">
        <v>24162</v>
      </c>
      <c r="B12230" s="1">
        <v>0</v>
      </c>
      <c r="C12230" s="3">
        <v>44533.802835648145</v>
      </c>
      <c r="D12230" s="1" t="s">
        <v>24163</v>
      </c>
      <c r="E12230" s="1" t="str">
        <f ca="1">IFERROR(__xludf.DUMMYFUNCTION("GOOGLETRANSLATE(A9029 , ""tr"" , ""en"")"),"@drfahrettinkoca you have lost confidence in all your healthparties you have lost congratulations")</f>
        <v>@drfahrettinkoca you have lost confidence in all your healthparties you have lost congratulations</v>
      </c>
    </row>
    <row r="12231" spans="1:5" ht="15" customHeight="1" x14ac:dyDescent="0.2">
      <c r="A12231" s="1" t="s">
        <v>24164</v>
      </c>
      <c r="B12231" s="1">
        <v>4</v>
      </c>
      <c r="C12231" s="3">
        <v>44533.802708333336</v>
      </c>
      <c r="D12231" s="1" t="s">
        <v>24165</v>
      </c>
      <c r="E12231" s="1" t="str">
        <f ca="1">IFERROR(__xludf.DUMMYFUNCTION("GOOGLETRANSLATE(A9030 , ""tr"" , ""en"")"),"Don't have their vaccinations as it hasn't been bashed in case @drfahrettinkoca has not been banners. Rest in peace.")</f>
        <v>Don't have their vaccinations as it hasn't been bashed in case @drfahrettinkoca has not been banners. Rest in peace.</v>
      </c>
    </row>
    <row r="12232" spans="1:5" ht="15" customHeight="1" x14ac:dyDescent="0.2">
      <c r="A12232" s="1" t="s">
        <v>24166</v>
      </c>
      <c r="B12232" s="1">
        <v>0</v>
      </c>
      <c r="C12232" s="3">
        <v>44533.799444444441</v>
      </c>
      <c r="D12232" s="1" t="s">
        <v>24167</v>
      </c>
      <c r="E12232" s="1" t="str">
        <f ca="1">IFERROR(__xludf.DUMMYFUNCTION("GOOGLETRANSLATE(A9031 , ""tr"" , ""en"")"),"@drfahrettinkoca Covid-19 died. They say they didn't have SA vaccinated. If it was the vaccine it doesn't die for sure. Mr. ... https://t.co/zrpb6ue8aw")</f>
        <v>@drfahrettinkoca Covid-19 died. They say they didn't have SA vaccinated. If it was the vaccine it doesn't die for sure. Mr. ... https://t.co/zrpb6ue8aw</v>
      </c>
    </row>
    <row r="12233" spans="1:5" ht="15" customHeight="1" x14ac:dyDescent="0.2">
      <c r="A12233" s="1" t="s">
        <v>24168</v>
      </c>
      <c r="B12233" s="1">
        <v>1</v>
      </c>
      <c r="C12233" s="3">
        <v>44533.798587962963</v>
      </c>
      <c r="D12233" s="1" t="s">
        <v>24169</v>
      </c>
      <c r="E12233" s="1" t="str">
        <f ca="1">IFERROR(__xludf.DUMMYFUNCTION("GOOGLETRANSLATE(A9032 , ""tr"" , ""en"")"),"@drfahrettinka https://t.co/awrrg2muwb")</f>
        <v>@drfahrettinka https://t.co/awrrg2muwb</v>
      </c>
    </row>
    <row r="12234" spans="1:5" ht="15" customHeight="1" x14ac:dyDescent="0.2">
      <c r="A12234" s="1" t="s">
        <v>24170</v>
      </c>
      <c r="B12234" s="1">
        <v>1</v>
      </c>
      <c r="C12234" s="3">
        <v>44533.79105324074</v>
      </c>
      <c r="D12234" s="1" t="s">
        <v>24171</v>
      </c>
      <c r="E12234" s="1" t="str">
        <f ca="1">IFERROR(__xludf.DUMMYFUNCTION("GOOGLETRANSLATE(A9033 , ""tr"" , ""en"")"),"@drfahrettinkoca guide waiting for a moment to come first")</f>
        <v>@drfahrettinkoca guide waiting for a moment to come first</v>
      </c>
    </row>
    <row r="12235" spans="1:5" ht="15" customHeight="1" x14ac:dyDescent="0.2">
      <c r="A12235" s="1" t="s">
        <v>24172</v>
      </c>
      <c r="B12235" s="1">
        <v>0</v>
      </c>
      <c r="C12235" s="3">
        <v>44533.787858796299</v>
      </c>
      <c r="D12235" s="1" t="s">
        <v>24173</v>
      </c>
      <c r="E12235" s="1" t="str">
        <f ca="1">IFERROR(__xludf.DUMMYFUNCTION("GOOGLETRANSLATE(A9034 , ""tr"" , ""en"")"),"@drfahrettinkoca Ministry of Health Clavuzz ??")</f>
        <v>@drfahrettinkoca Ministry of Health Clavuzz ??</v>
      </c>
    </row>
    <row r="12236" spans="1:5" ht="15" customHeight="1" x14ac:dyDescent="0.2">
      <c r="A12236" s="1" t="s">
        <v>24174</v>
      </c>
      <c r="B12236" s="1">
        <v>3</v>
      </c>
      <c r="C12236" s="3">
        <v>44533.776898148149</v>
      </c>
      <c r="D12236" s="1" t="s">
        <v>24175</v>
      </c>
      <c r="E12236" s="1" t="str">
        <f ca="1">IFERROR(__xludf.DUMMYFUNCTION("GOOGLETRANSLATE(A9035 , ""tr"" , ""en"")"),"@drfahrettinkoca ie we live in a mortal world, come and have our task in our temporary fleeting life of our authority and task ... https://t.co/ha37os3vmm")</f>
        <v>@drfahrettinkoca ie we live in a mortal world, come and have our task in our temporary fleeting life of our authority and task ... https://t.co/ha37os3vmm</v>
      </c>
    </row>
    <row r="12237" spans="1:5" ht="15" customHeight="1" x14ac:dyDescent="0.2">
      <c r="A12237" s="1" t="s">
        <v>24176</v>
      </c>
      <c r="B12237" s="1">
        <v>0</v>
      </c>
      <c r="C12237" s="3">
        <v>44533.775543981479</v>
      </c>
      <c r="D12237" s="1" t="s">
        <v>24177</v>
      </c>
      <c r="E12237" s="1" t="str">
        <f ca="1">IFERROR(__xludf.DUMMYFUNCTION("GOOGLETRANSLATE(A9036 , ""tr"" , ""en"")"),"@drfahrettinkoca has been lacking their vaccinations")</f>
        <v>@drfahrettinkoca has been lacking their vaccinations</v>
      </c>
    </row>
    <row r="12238" spans="1:5" ht="15" customHeight="1" x14ac:dyDescent="0.2">
      <c r="A12238" s="1" t="s">
        <v>24178</v>
      </c>
      <c r="B12238" s="1">
        <v>0</v>
      </c>
      <c r="C12238" s="3">
        <v>44533.775416666664</v>
      </c>
      <c r="D12238" s="1" t="s">
        <v>24179</v>
      </c>
      <c r="E12238" s="1" t="str">
        <f ca="1">IFERROR(__xludf.DUMMYFUNCTION("GOOGLETRANSLATE(A9037 , ""tr"" , ""en"")"),"@drfahrettinka short briefly went from the vaccination pattern")</f>
        <v>@drfahrettinka short briefly went from the vaccination pattern</v>
      </c>
    </row>
    <row r="12239" spans="1:5" ht="15" customHeight="1" x14ac:dyDescent="0.2">
      <c r="A12239" s="1" t="s">
        <v>24180</v>
      </c>
      <c r="B12239" s="1">
        <v>0</v>
      </c>
      <c r="C12239" s="3">
        <v>44533.772326388891</v>
      </c>
      <c r="D12239" s="1" t="s">
        <v>24181</v>
      </c>
      <c r="E12239" s="1" t="str">
        <f ca="1">IFERROR(__xludf.DUMMYFUNCTION("GOOGLETRANSLATE(A9038 , ""tr"" , ""en"")"),"@drfahrettinkoca covit was exhausted during the period, in that period, you have not done in the assignment, you don't hear our voice. T ... https://t.co/n8qzkzt4sr")</f>
        <v>@drfahrettinkoca covit was exhausted during the period, in that period, you have not done in the assignment, you don't hear our voice. T ... https://t.co/n8qzkzt4sr</v>
      </c>
    </row>
    <row r="12240" spans="1:5" ht="15" customHeight="1" x14ac:dyDescent="0.2">
      <c r="A12240" s="1" t="s">
        <v>14069</v>
      </c>
      <c r="B12240" s="1">
        <v>0</v>
      </c>
      <c r="C12240" s="3">
        <v>44533.766863425924</v>
      </c>
      <c r="D12240" s="1" t="s">
        <v>24182</v>
      </c>
      <c r="E12240" s="1" t="str">
        <f ca="1">IFERROR(__xludf.DUMMYFUNCTION("GOOGLETRANSLATE(A9039 , ""tr"" , ""en"")"),"@drfahrettinka https://t.co/anrgdyxlbq")</f>
        <v>@drfahrettinka https://t.co/anrgdyxlbq</v>
      </c>
    </row>
    <row r="12241" spans="1:5" ht="15" customHeight="1" x14ac:dyDescent="0.2">
      <c r="A12241" s="1" t="s">
        <v>24183</v>
      </c>
      <c r="B12241" s="1">
        <v>0</v>
      </c>
      <c r="C12241" s="3">
        <v>44533.7659375</v>
      </c>
      <c r="D12241" s="1" t="s">
        <v>24184</v>
      </c>
      <c r="E12241" s="1" t="str">
        <f ca="1">IFERROR(__xludf.DUMMYFUNCTION("GOOGLETRANSLATE(A9040 , ""tr"" , ""en"")"),"@drfahrettinkoca ôfke's explosive I'm alive Anana Eurad to the christmous bac")</f>
        <v>@drfahrettinkoca ôfke's explosive I'm alive Anana Eurad to the christmous bac</v>
      </c>
    </row>
    <row r="12242" spans="1:5" ht="15" customHeight="1" x14ac:dyDescent="0.2">
      <c r="A12242" s="1" t="s">
        <v>24185</v>
      </c>
      <c r="B12242" s="1">
        <v>0</v>
      </c>
      <c r="C12242" s="3">
        <v>44533.765636574077</v>
      </c>
      <c r="D12242" s="1" t="s">
        <v>24186</v>
      </c>
      <c r="E12242" s="1" t="str">
        <f ca="1">IFERROR(__xludf.DUMMYFUNCTION("GOOGLETRANSLATE(A9041 , ""tr"" , ""en"")"),"@drfahrettinkoca valla Why do I lie to lies, start reading the summer moment at the Ministry of Ministry of Ministry of Gorevi ... https://t.co/rzgcnyzHID")</f>
        <v>@drfahrettinkoca valla Why do I lie to lies, start reading the summer moment at the Ministry of Ministry of Ministry of Gorevi ... https://t.co/rzgcnyzHID</v>
      </c>
    </row>
    <row r="12243" spans="1:5" ht="15" customHeight="1" x14ac:dyDescent="0.2">
      <c r="A12243" s="1" t="s">
        <v>24187</v>
      </c>
      <c r="B12243" s="1">
        <v>0</v>
      </c>
      <c r="C12243" s="3">
        <v>44533.764687499999</v>
      </c>
      <c r="D12243" s="1" t="s">
        <v>24188</v>
      </c>
      <c r="E12243" s="1" t="str">
        <f ca="1">IFERROR(__xludf.DUMMYFUNCTION("GOOGLETRANSLATE(A9042 , ""tr"" , ""en"")"),"@drfahrettinkoca costumes so that your games thrown in forests have finished your theater.")</f>
        <v>@drfahrettinkoca costumes so that your games thrown in forests have finished your theater.</v>
      </c>
    </row>
    <row r="12244" spans="1:5" ht="15" customHeight="1" x14ac:dyDescent="0.2">
      <c r="A12244" s="1" t="s">
        <v>24189</v>
      </c>
      <c r="B12244" s="1">
        <v>0</v>
      </c>
      <c r="C12244" s="3">
        <v>44533.763622685183</v>
      </c>
      <c r="D12244" s="1" t="s">
        <v>24190</v>
      </c>
      <c r="E12244" s="1" t="str">
        <f ca="1">IFERROR(__xludf.DUMMYFUNCTION("GOOGLETRANSLATE(A9043 , ""tr"" , ""en"")"),"@drfahrettinkoca We have lost our soul sagli We have lost our guide where you come to the artk @drfahrettinkoca @ gozdekirisciogl ... https://t.co/wjgyykfsep")</f>
        <v>@drfahrettinkoca We have lost our soul sagli We have lost our guide where you come to the artk @drfahrettinkoca @ gozdekirisciogl ... https://t.co/wjgyykfsep</v>
      </c>
    </row>
    <row r="12245" spans="1:5" ht="15" customHeight="1" x14ac:dyDescent="0.2">
      <c r="A12245" s="1" t="s">
        <v>24191</v>
      </c>
      <c r="B12245" s="1">
        <v>0</v>
      </c>
      <c r="C12245" s="3">
        <v>44533.76321759259</v>
      </c>
      <c r="D12245" s="1" t="s">
        <v>24192</v>
      </c>
      <c r="E12245" s="1" t="str">
        <f ca="1">IFERROR(__xludf.DUMMYFUNCTION("GOOGLETRANSLATE(A9044 , ""tr"" , ""en"")"),"@drfahrettinka https://t.co/cfjgpvsttv")</f>
        <v>@drfahrettinka https://t.co/cfjgpvsttv</v>
      </c>
    </row>
    <row r="12246" spans="1:5" ht="15" customHeight="1" x14ac:dyDescent="0.2">
      <c r="A12246" s="1" t="s">
        <v>24193</v>
      </c>
      <c r="B12246" s="1">
        <v>0</v>
      </c>
      <c r="C12246" s="3">
        <v>44533.763067129628</v>
      </c>
      <c r="D12246" s="1" t="s">
        <v>24194</v>
      </c>
      <c r="E12246" s="1" t="str">
        <f ca="1">IFERROR(__xludf.DUMMYFUNCTION("GOOGLETRANSLATE(A9045 , ""tr"" , ""en"")"),"@drfahrettinka https://t.co/wuov7yiIin")</f>
        <v>@drfahrettinka https://t.co/wuov7yiIin</v>
      </c>
    </row>
    <row r="12247" spans="1:5" ht="15" customHeight="1" x14ac:dyDescent="0.2">
      <c r="A12247" s="1" t="s">
        <v>24195</v>
      </c>
      <c r="B12247" s="1">
        <v>0</v>
      </c>
      <c r="C12247" s="3">
        <v>44533.762824074074</v>
      </c>
      <c r="D12247" s="1" t="s">
        <v>24196</v>
      </c>
      <c r="E12247" s="1" t="str">
        <f ca="1">IFERROR(__xludf.DUMMYFUNCTION("GOOGLETRANSLATE(A9046 , ""tr"" , ""en"")"),"@drfahrettinkoca Death Minister Look Planemia Players Costumes Costumes Https://t.co/fyfxr9nxa5")</f>
        <v>@drfahrettinkoca Death Minister Look Planemia Players Costumes Costumes Https://t.co/fyfxr9nxa5</v>
      </c>
    </row>
    <row r="12248" spans="1:5" ht="15" customHeight="1" x14ac:dyDescent="0.2">
      <c r="A12248" s="1" t="s">
        <v>24197</v>
      </c>
      <c r="B12248" s="1">
        <v>0</v>
      </c>
      <c r="C12248" s="3">
        <v>44533.760868055557</v>
      </c>
      <c r="D12248" s="1" t="s">
        <v>24198</v>
      </c>
      <c r="E12248" s="1" t="str">
        <f ca="1">IFERROR(__xludf.DUMMYFUNCTION("GOOGLETRANSLATE(A9047 , ""tr"" , ""en"")"),"@drfahrettinka have the news that you have passed away from the vaccines you do not have an explanation?")</f>
        <v>@drfahrettinka have the news that you have passed away from the vaccines you do not have an explanation?</v>
      </c>
    </row>
    <row r="12249" spans="1:5" ht="15" customHeight="1" x14ac:dyDescent="0.2">
      <c r="A12249" s="1" t="s">
        <v>24199</v>
      </c>
      <c r="B12249" s="1">
        <v>0</v>
      </c>
      <c r="C12249" s="3">
        <v>44533.758460648147</v>
      </c>
      <c r="D12249" s="1" t="s">
        <v>24200</v>
      </c>
      <c r="E12249" s="1" t="str">
        <f ca="1">IFERROR(__xludf.DUMMYFUNCTION("GOOGLETRANSLATE(A9048 , ""tr"" , ""en"")"),"@drfahrettinkoca We lost our belief in justice (non-physician health personnel)")</f>
        <v>@drfahrettinkoca We lost our belief in justice (non-physician health personnel)</v>
      </c>
    </row>
    <row r="12250" spans="1:5" ht="15" customHeight="1" x14ac:dyDescent="0.2">
      <c r="A12250" s="1" t="s">
        <v>24201</v>
      </c>
      <c r="B12250" s="1">
        <v>0</v>
      </c>
      <c r="C12250" s="3">
        <v>44533.757939814815</v>
      </c>
      <c r="D12250" s="1" t="s">
        <v>24202</v>
      </c>
      <c r="E12250" s="1" t="str">
        <f ca="1">IFERROR(__xludf.DUMMYFUNCTION("GOOGLETRANSLATE(A9049 , ""tr"" , ""en"")"),"@drfahrettinkca should be daily, let us live, 40 thousand words giving or to be 30 thousand officers, or it is 1 Ayd ... https://t.co/geme4um5df")</f>
        <v>@drfahrettinkca should be daily, let us live, 40 thousand words giving or to be 30 thousand officers, or it is 1 Ayd ... https://t.co/geme4um5df</v>
      </c>
    </row>
    <row r="12251" spans="1:5" ht="15" customHeight="1" x14ac:dyDescent="0.2">
      <c r="A12251" s="1" t="s">
        <v>24203</v>
      </c>
      <c r="B12251" s="1">
        <v>0</v>
      </c>
      <c r="C12251" s="3">
        <v>44533.754814814813</v>
      </c>
      <c r="D12251" s="1" t="s">
        <v>24204</v>
      </c>
      <c r="E12251" s="1" t="str">
        <f ca="1">IFERROR(__xludf.DUMMYFUNCTION("GOOGLETRANSLATE(A9050 , ""tr"" , ""en"")"),"@drfahrettinkoca late güldal ladies how many dose dose were grafted? 3 is it 4? May Allah May Be Heaven Site, Heaven 🤲🏻")</f>
        <v>@drfahrettinkoca late güldal ladies how many dose dose were grafted? 3 is it 4? May Allah May Be Heaven Site, Heaven 🤲🏻</v>
      </c>
    </row>
    <row r="12252" spans="1:5" ht="15" customHeight="1" x14ac:dyDescent="0.2">
      <c r="A12252" s="1" t="s">
        <v>24205</v>
      </c>
      <c r="B12252" s="1">
        <v>0</v>
      </c>
      <c r="C12252" s="3">
        <v>44533.750081018516</v>
      </c>
      <c r="D12252" s="1" t="s">
        <v>24206</v>
      </c>
      <c r="E12252" s="1" t="str">
        <f ca="1">IFERROR(__xludf.DUMMYFUNCTION("GOOGLETRANSLATE(A9051 , ""tr"" , ""en"")"),"@drfahrettinkoca stood to you")</f>
        <v>@drfahrettinkoca stood to you</v>
      </c>
    </row>
    <row r="12253" spans="1:5" ht="15" customHeight="1" x14ac:dyDescent="0.2">
      <c r="A12253" s="1" t="s">
        <v>24207</v>
      </c>
      <c r="B12253" s="1">
        <v>1</v>
      </c>
      <c r="C12253" s="3">
        <v>44533.749155092592</v>
      </c>
      <c r="D12253" s="1" t="s">
        <v>24208</v>
      </c>
      <c r="E12253" s="1" t="str">
        <f ca="1">IFERROR(__xludf.DUMMYFUNCTION("GOOGLETRANSLATE(A9052 , ""tr"" , ""en"")"),"@drfahrettinkoca Doctors' Estimate Rights How to Delay the Regulation Act")</f>
        <v>@drfahrettinkoca Doctors' Estimate Rights How to Delay the Regulation Act</v>
      </c>
    </row>
    <row r="12254" spans="1:5" ht="15" customHeight="1" x14ac:dyDescent="0.2">
      <c r="A12254" s="1" t="s">
        <v>24209</v>
      </c>
      <c r="B12254" s="1">
        <v>2</v>
      </c>
      <c r="C12254" s="3">
        <v>44533.74827546296</v>
      </c>
      <c r="D12254" s="1" t="s">
        <v>24210</v>
      </c>
      <c r="E12254" s="1" t="str">
        <f ca="1">IFERROR(__xludf.DUMMYFUNCTION("GOOGLETRANSLATE(A9053 , ""tr"" , ""en"")"),"@drfahrettinkoca two dose grafted and coronan died to those who do not know that")</f>
        <v>@drfahrettinkoca two dose grafted and coronan died to those who do not know that</v>
      </c>
    </row>
    <row r="12255" spans="1:5" ht="15" customHeight="1" x14ac:dyDescent="0.2">
      <c r="A12255" s="1" t="s">
        <v>17931</v>
      </c>
      <c r="B12255" s="1">
        <v>0</v>
      </c>
      <c r="C12255" s="3">
        <v>44533.747696759259</v>
      </c>
      <c r="D12255" s="1" t="s">
        <v>24211</v>
      </c>
      <c r="E12255" s="1" t="str">
        <f ca="1">IFERROR(__xludf.DUMMYFUNCTION("GOOGLETRANSLATE(A9054 , ""tr"" , ""en"")"),"@drfahrettinkoca allah mercy eyles")</f>
        <v>@drfahrettinkoca allah mercy eyles</v>
      </c>
    </row>
    <row r="12256" spans="1:5" ht="15" customHeight="1" x14ac:dyDescent="0.2">
      <c r="A12256" s="1" t="s">
        <v>24212</v>
      </c>
      <c r="B12256" s="1">
        <v>0</v>
      </c>
      <c r="C12256" s="3">
        <v>44533.747303240743</v>
      </c>
      <c r="D12256" s="1" t="s">
        <v>24213</v>
      </c>
      <c r="E12256" s="1" t="str">
        <f ca="1">IFERROR(__xludf.DUMMYFUNCTION("GOOGLETRANSLATE(A9055 , ""tr"" , ""en"")"),"@drfahrettinkoca reisin do you have info")</f>
        <v>@drfahrettinkoca reisin do you have info</v>
      </c>
    </row>
    <row r="12257" spans="1:5" ht="15" customHeight="1" x14ac:dyDescent="0.2">
      <c r="A12257" s="1" t="s">
        <v>10058</v>
      </c>
      <c r="B12257" s="1">
        <v>0</v>
      </c>
      <c r="C12257" s="3">
        <v>44533.746782407405</v>
      </c>
      <c r="D12257" s="1" t="s">
        <v>24214</v>
      </c>
      <c r="E12257" s="1" t="str">
        <f ca="1">IFERROR(__xludf.DUMMYFUNCTION("GOOGLETRANSLATE(A9056 , ""tr"" , ""en"")"),"@drfahrettinkoca Guide")</f>
        <v>@drfahrettinkoca Guide</v>
      </c>
    </row>
    <row r="12258" spans="1:5" ht="15" customHeight="1" x14ac:dyDescent="0.2">
      <c r="A12258" s="1" t="s">
        <v>7770</v>
      </c>
      <c r="B12258" s="1">
        <v>0</v>
      </c>
      <c r="C12258" s="3">
        <v>44533.745694444442</v>
      </c>
      <c r="D12258" s="1" t="s">
        <v>24215</v>
      </c>
      <c r="E12258" s="1" t="str">
        <f ca="1">IFERROR(__xludf.DUMMYFUNCTION("GOOGLETRANSLATE(A9057 , ""tr"" , ""en"")"),"@drfahrettinkoca dietitians are welcomed to assign the assignment to the dietitians Sayin Minister 91 Score of Cardiacy Still Acikta")</f>
        <v>@drfahrettinkoca dietitians are welcomed to assign the assignment to the dietitians Sayin Minister 91 Score of Cardiacy Still Acikta</v>
      </c>
    </row>
    <row r="12259" spans="1:5" ht="15" customHeight="1" x14ac:dyDescent="0.2">
      <c r="A12259" s="1" t="s">
        <v>24216</v>
      </c>
      <c r="B12259" s="1">
        <v>0</v>
      </c>
      <c r="C12259" s="3">
        <v>44533.745150462964</v>
      </c>
      <c r="D12259" s="1" t="s">
        <v>24217</v>
      </c>
      <c r="E12259" s="1" t="str">
        <f ca="1">IFERROR(__xludf.DUMMYFUNCTION("GOOGLETRANSLATE(A9058 , ""tr"" , ""en"")"),"@drfahrettinka https://t.co/kmıtavnz2w")</f>
        <v>@drfahrettinka https://t.co/kmıtavnz2w</v>
      </c>
    </row>
    <row r="12260" spans="1:5" ht="15" customHeight="1" x14ac:dyDescent="0.2">
      <c r="A12260" s="1" t="s">
        <v>24218</v>
      </c>
      <c r="B12260" s="1">
        <v>0</v>
      </c>
      <c r="C12260" s="3">
        <v>44533.744687500002</v>
      </c>
      <c r="D12260" s="1" t="s">
        <v>24219</v>
      </c>
      <c r="E12260" s="1" t="str">
        <f ca="1">IFERROR(__xludf.DUMMYFUNCTION("GOOGLETRANSLATE(A9059 , ""tr"" , ""en"")"),"@drfahrettinkoca #dogummagdurleri")</f>
        <v>@drfahrettinkoca #dogummagdurleri</v>
      </c>
    </row>
    <row r="12261" spans="1:5" ht="15" customHeight="1" x14ac:dyDescent="0.2">
      <c r="A12261" s="1" t="s">
        <v>24220</v>
      </c>
      <c r="B12261" s="1">
        <v>0</v>
      </c>
      <c r="C12261" s="3">
        <v>44533.743784722225</v>
      </c>
      <c r="D12261" s="1" t="s">
        <v>24221</v>
      </c>
      <c r="E12261" s="1" t="str">
        <f ca="1">IFERROR(__xludf.DUMMYFUNCTION("GOOGLETRANSLATE(A9060 , ""tr"" , ""en"")"),"@drfahrettinka Mr. The Ministry of Mr. We are the dead living in health care. Subject to us if you are merech. Now it is ... https://t.co/fvm4w7pcxj")</f>
        <v>@drfahrettinka Mr. The Ministry of Mr. We are the dead living in health care. Subject to us if you are merech. Now it is ... https://t.co/fvm4w7pcxj</v>
      </c>
    </row>
    <row r="12262" spans="1:5" ht="15" customHeight="1" x14ac:dyDescent="0.2">
      <c r="A12262" s="1" t="s">
        <v>24222</v>
      </c>
      <c r="B12262" s="1">
        <v>0</v>
      </c>
      <c r="C12262" s="3">
        <v>44533.742048611108</v>
      </c>
      <c r="D12262" s="1" t="s">
        <v>24223</v>
      </c>
      <c r="E12262" s="1" t="str">
        <f ca="1">IFERROR(__xludf.DUMMYFUNCTION("GOOGLETRANSLATE(A9061 , ""tr"" , ""en"")"),"@drfahrettinkoca you can also know about the guide you also see all the tivins, but you still ignore it is very pity.")</f>
        <v>@drfahrettinkoca you can also know about the guide you also see all the tivins, but you still ignore it is very pity.</v>
      </c>
    </row>
    <row r="12263" spans="1:5" ht="15" customHeight="1" x14ac:dyDescent="0.2">
      <c r="A12263" s="1" t="s">
        <v>16035</v>
      </c>
      <c r="B12263" s="1">
        <v>0</v>
      </c>
      <c r="C12263" s="3">
        <v>44533.741631944446</v>
      </c>
      <c r="D12263" s="1" t="s">
        <v>24224</v>
      </c>
      <c r="E12263" s="1" t="str">
        <f ca="1">IFERROR(__xludf.DUMMYFUNCTION("GOOGLETRANSLATE(A9062 , ""tr"" , ""en"")"),"@drfahrettinkoca geese ate their new feed with appetite. https://t.co/3aiihmqbzgr")</f>
        <v>@drfahrettinkoca geese ate their new feed with appetite. https://t.co/3aiihmqbzgr</v>
      </c>
    </row>
    <row r="12264" spans="1:5" ht="15" customHeight="1" x14ac:dyDescent="0.2">
      <c r="A12264" s="1" t="s">
        <v>24225</v>
      </c>
      <c r="B12264" s="1">
        <v>0</v>
      </c>
      <c r="C12264" s="3">
        <v>44533.740127314813</v>
      </c>
      <c r="D12264" s="1" t="s">
        <v>24226</v>
      </c>
      <c r="E12264" s="1" t="str">
        <f ca="1">IFERROR(__xludf.DUMMYFUNCTION("GOOGLETRANSLATE(A9063 , ""tr"" , ""en"")"),"@drfahrettinkoca amen. It's time to read the prayer to the guide I guess it's no sound for 1 year")</f>
        <v>@drfahrettinkoca amen. It's time to read the prayer to the guide I guess it's no sound for 1 year</v>
      </c>
    </row>
    <row r="12265" spans="1:5" ht="15" customHeight="1" x14ac:dyDescent="0.2">
      <c r="A12265" s="1" t="s">
        <v>24227</v>
      </c>
      <c r="B12265" s="1">
        <v>0</v>
      </c>
      <c r="C12265" s="3">
        <v>44533.739629629628</v>
      </c>
      <c r="D12265" s="1" t="s">
        <v>24228</v>
      </c>
      <c r="E12265" s="1" t="str">
        <f ca="1">IFERROR(__xludf.DUMMYFUNCTION("GOOGLETRANSLATE(A9064 , ""tr"" , ""en"")"),"@drfahrettinkoca Ministry Everything Good Pleasant also greeted a beholder of a beholder Hidden Health Language ... https://t.co/gryqj0dzem")</f>
        <v>@drfahrettinkoca Ministry Everything Good Pleasant also greeted a beholder of a beholder Hidden Health Language ... https://t.co/gryqj0dzem</v>
      </c>
    </row>
    <row r="12266" spans="1:5" ht="15" customHeight="1" x14ac:dyDescent="0.2">
      <c r="A12266" s="1" t="s">
        <v>24229</v>
      </c>
      <c r="B12266" s="1">
        <v>9</v>
      </c>
      <c r="C12266" s="3">
        <v>44533.738807870373</v>
      </c>
      <c r="D12266" s="1" t="s">
        <v>24230</v>
      </c>
      <c r="E12266" s="1" t="str">
        <f ca="1">IFERROR(__xludf.DUMMYFUNCTION("GOOGLETRANSLATE(A9065 , ""tr"" , ""en"")"),"@drfahrettinkoca that she loves the name of the sister very much (!) even the name of the sister wrote twiti delete and wrote a new one. Tell me tell me ... Https://t.co/4ln1lwq558")</f>
        <v>@drfahrettinkoca that she loves the name of the sister very much (!) even the name of the sister wrote twiti delete and wrote a new one. Tell me tell me ... Https://t.co/4ln1lwq558</v>
      </c>
    </row>
    <row r="12267" spans="1:5" ht="15" customHeight="1" x14ac:dyDescent="0.2">
      <c r="A12267" s="1" t="s">
        <v>24231</v>
      </c>
      <c r="B12267" s="1">
        <v>0</v>
      </c>
      <c r="C12267" s="3">
        <v>44533.738506944443</v>
      </c>
      <c r="D12267" s="1" t="s">
        <v>24232</v>
      </c>
      <c r="E12267" s="1" t="str">
        <f ca="1">IFERROR(__xludf.DUMMYFUNCTION("GOOGLETRANSLATE(A9066 , ""tr"" , ""en"")"),"@drfahrettinkoca #fahrettinkocaistifa Bi Sal Git us Holiday You are old")</f>
        <v>@drfahrettinkoca #fahrettinkocaistifa Bi Sal Git us Holiday You are old</v>
      </c>
    </row>
    <row r="12268" spans="1:5" ht="15" customHeight="1" x14ac:dyDescent="0.2">
      <c r="A12268" s="1" t="s">
        <v>24233</v>
      </c>
      <c r="B12268" s="1">
        <v>0</v>
      </c>
      <c r="C12268" s="3">
        <v>44533.738437499997</v>
      </c>
      <c r="D12268" s="1" t="s">
        <v>24234</v>
      </c>
      <c r="E12268" s="1" t="str">
        <f ca="1">IFERROR(__xludf.DUMMYFUNCTION("GOOGLETRANSLATE(A9067 , ""tr"" , ""en"")"),"@drfahrettinka we will assign in 2-3 months we said 6 months we said we will get 40k healthier than you said 10 thousand ... https://t.co/0xn2qbwckj")</f>
        <v>@drfahrettinka we will assign in 2-3 months we said 6 months we said we will get 40k healthier than you said 10 thousand ... https://t.co/0xn2qbwckj</v>
      </c>
    </row>
    <row r="12269" spans="1:5" ht="15" customHeight="1" x14ac:dyDescent="0.2">
      <c r="A12269" s="1" t="s">
        <v>24235</v>
      </c>
      <c r="B12269" s="1">
        <v>0</v>
      </c>
      <c r="C12269" s="3">
        <v>44533.738113425927</v>
      </c>
      <c r="D12269" s="1" t="s">
        <v>24236</v>
      </c>
      <c r="E12269" s="1" t="str">
        <f ca="1">IFERROR(__xludf.DUMMYFUNCTION("GOOGLETRANSLATE(A9068 , ""tr"" , ""en"")"),"@drfahrettinka is ignoring 740 thousand healthcare. SHEKKK # FKOYUZUZUZUZUZLUZSHAUD HTTPS://T.CO/K7A5HFVGVW")</f>
        <v>@drfahrettinka is ignoring 740 thousand healthcare. SHEKKK # FKOYUZUZUZUZUZLUZSHAUD HTTPS://T.CO/K7A5HFVGVW</v>
      </c>
    </row>
    <row r="12270" spans="1:5" ht="15" customHeight="1" x14ac:dyDescent="0.2">
      <c r="A12270" s="1" t="s">
        <v>24237</v>
      </c>
      <c r="B12270" s="1">
        <v>0</v>
      </c>
      <c r="C12270" s="3">
        <v>44533.737974537034</v>
      </c>
      <c r="D12270" s="1" t="s">
        <v>24238</v>
      </c>
      <c r="E12270" s="1" t="str">
        <f ca="1">IFERROR(__xludf.DUMMYFUNCTION("GOOGLETRANSLATE(A9069 , ""tr"" , ""en"")"),"@drfahrettinka is ignoring 740 thousand healthcare. Pity # fcking wool https://t.co/k7a5hfvgvw")</f>
        <v>@drfahrettinka is ignoring 740 thousand healthcare. Pity # fcking wool https://t.co/k7a5hfvgvw</v>
      </c>
    </row>
    <row r="12271" spans="1:5" ht="15" customHeight="1" x14ac:dyDescent="0.2">
      <c r="A12271" s="1" t="s">
        <v>24239</v>
      </c>
      <c r="B12271" s="1">
        <v>0</v>
      </c>
      <c r="C12271" s="3">
        <v>44533.737893518519</v>
      </c>
      <c r="D12271" s="1" t="s">
        <v>24240</v>
      </c>
      <c r="E12271" s="1" t="str">
        <f ca="1">IFERROR(__xludf.DUMMYFUNCTION("GOOGLETRANSLATE(A9070 , ""tr"" , ""en"")"),"@drfahrettinkoca Every day we get the marty news from my military not worthy of casual life lived in the head on the pillow ... https://t.co/cpcbsrllqe")</f>
        <v>@drfahrettinkoca Every day we get the marty news from my military not worthy of casual life lived in the head on the pillow ... https://t.co/cpcbsrllqe</v>
      </c>
    </row>
    <row r="12272" spans="1:5" ht="15" customHeight="1" x14ac:dyDescent="0.2">
      <c r="A12272" s="1" t="s">
        <v>24241</v>
      </c>
      <c r="B12272" s="1">
        <v>0</v>
      </c>
      <c r="C12272" s="3">
        <v>44533.73777777778</v>
      </c>
      <c r="D12272" s="1" t="s">
        <v>24242</v>
      </c>
      <c r="E12272" s="1" t="str">
        <f ca="1">IFERROR(__xludf.DUMMYFUNCTION("GOOGLETRANSLATE(A9071 , ""tr"" , ""en"")"),"@drfahrettinkoca We are also susceptible to the soul you have died. For us, you will also publish a guide AAAA ... https://t.co/atpifw9shj")</f>
        <v>@drfahrettinkoca We are also susceptible to the soul you have died. For us, you will also publish a guide AAAA ... https://t.co/atpifw9shj</v>
      </c>
    </row>
    <row r="12273" spans="1:5" ht="15" customHeight="1" x14ac:dyDescent="0.2">
      <c r="A12273" s="1" t="s">
        <v>24243</v>
      </c>
      <c r="B12273" s="1">
        <v>1</v>
      </c>
      <c r="C12273" s="3">
        <v>44533.737650462965</v>
      </c>
      <c r="D12273" s="1" t="s">
        <v>24244</v>
      </c>
      <c r="E12273" s="1" t="str">
        <f ca="1">IFERROR(__xludf.DUMMYFUNCTION("GOOGLETRANSLATE(A9072 , ""tr"" , ""en"")"),"@drfahrettinkoca We are also susceptible to the soul you have died. For us, you will also publish a guide AAAA ... https://t.co/xmbn1fb4jz")</f>
        <v>@drfahrettinkoca We are also susceptible to the soul you have died. For us, you will also publish a guide AAAA ... https://t.co/xmbn1fb4jz</v>
      </c>
    </row>
    <row r="12274" spans="1:5" ht="15" customHeight="1" x14ac:dyDescent="0.2">
      <c r="A12274" s="1" t="s">
        <v>24245</v>
      </c>
      <c r="B12274" s="1">
        <v>0</v>
      </c>
      <c r="C12274" s="3">
        <v>44533.737523148149</v>
      </c>
      <c r="D12274" s="1" t="s">
        <v>24246</v>
      </c>
      <c r="E12274" s="1" t="str">
        <f ca="1">IFERROR(__xludf.DUMMYFUNCTION("GOOGLETRANSLATE(A9073 , ""tr"" , ""en"")"),"@drfahrettinkoca We are also susceptible to the soul you have died. For us, you will also publish a guide AAAA ... https://t.co/hz4kl2airz")</f>
        <v>@drfahrettinkoca We are also susceptible to the soul you have died. For us, you will also publish a guide AAAA ... https://t.co/hz4kl2airz</v>
      </c>
    </row>
    <row r="12275" spans="1:5" ht="15" customHeight="1" x14ac:dyDescent="0.2">
      <c r="A12275" s="1" t="s">
        <v>24247</v>
      </c>
      <c r="B12275" s="1">
        <v>0</v>
      </c>
      <c r="C12275" s="3">
        <v>44533.736284722225</v>
      </c>
      <c r="D12275" s="1" t="s">
        <v>24248</v>
      </c>
      <c r="E12275" s="1" t="str">
        <f ca="1">IFERROR(__xludf.DUMMYFUNCTION("GOOGLETRANSLATE(A9074 , ""tr"" , ""en"")"),"@drfahrettinkoca Do not avail the following vaccines Bi Shit Don't wound the vaccine fall as much as you want to see the look again died again")</f>
        <v>@drfahrettinkoca Do not avail the following vaccines Bi Shit Don't wound the vaccine fall as much as you want to see the look again died again</v>
      </c>
    </row>
    <row r="12276" spans="1:5" ht="15" customHeight="1" x14ac:dyDescent="0.2">
      <c r="A12276" s="1" t="s">
        <v>24249</v>
      </c>
      <c r="B12276" s="1">
        <v>0</v>
      </c>
      <c r="C12276" s="3">
        <v>44533.735891203702</v>
      </c>
      <c r="D12276" s="1" t="s">
        <v>24250</v>
      </c>
      <c r="E12276" s="1" t="str">
        <f ca="1">IFERROR(__xludf.DUMMYFUNCTION("GOOGLETRANSLATE(A9075 , ""tr"" , ""en"")"),"@drfahrettinka what time you will quit is so cozy o seat. You are hearing everything you share in a t ... https://t.co/4Iyzt85mwq")</f>
        <v>@drfahrettinka what time you will quit is so cozy o seat. You are hearing everything you share in a t ... https://t.co/4Iyzt85mwq</v>
      </c>
    </row>
    <row r="12277" spans="1:5" ht="15" customHeight="1" x14ac:dyDescent="0.2">
      <c r="A12277" s="1" t="s">
        <v>24251</v>
      </c>
      <c r="B12277" s="1">
        <v>0</v>
      </c>
      <c r="C12277" s="3">
        <v>44533.735567129632</v>
      </c>
      <c r="D12277" s="1" t="s">
        <v>24252</v>
      </c>
      <c r="E12277" s="1" t="str">
        <f ca="1">IFERROR(__xludf.DUMMYFUNCTION("GOOGLETRANSLATE(A9076 , ""tr"" , ""en"")"),"@drfahrettinkoca grafts didn't die Hani what happened in intensive care always lovely Hani Braga")</f>
        <v>@drfahrettinkoca grafts didn't die Hani what happened in intensive care always lovely Hani Braga</v>
      </c>
    </row>
    <row r="12278" spans="1:5" ht="15" customHeight="1" x14ac:dyDescent="0.2">
      <c r="A12278" s="1" t="s">
        <v>24253</v>
      </c>
      <c r="B12278" s="1">
        <v>3</v>
      </c>
      <c r="C12278" s="3">
        <v>44533.734826388885</v>
      </c>
      <c r="D12278" s="1" t="s">
        <v>24254</v>
      </c>
      <c r="E12278" s="1" t="str">
        <f ca="1">IFERROR(__xludf.DUMMYFUNCTION("GOOGLETRANSLATE(A9077 , ""tr"" , ""en"")"),"@drfahrettinkoca If you are at least 20 dose you die 3 dose 5 dose is not enough every month you have to hit the current vaccines every month ... https://t.co/75x97bgcik")</f>
        <v>@drfahrettinkoca If you are at least 20 dose you die 3 dose 5 dose is not enough every month you have to hit the current vaccines every month ... https://t.co/75x97bgcik</v>
      </c>
    </row>
    <row r="12279" spans="1:5" ht="15" customHeight="1" x14ac:dyDescent="0.2">
      <c r="A12279" s="1" t="s">
        <v>24255</v>
      </c>
      <c r="B12279" s="1">
        <v>0</v>
      </c>
      <c r="C12279" s="3">
        <v>44533.734814814816</v>
      </c>
      <c r="D12279" s="1" t="s">
        <v>24256</v>
      </c>
      <c r="E12279" s="1" t="str">
        <f ca="1">IFERROR(__xludf.DUMMYFUNCTION("GOOGLETRANSLATE(A9078 , ""tr"" , ""en"")"),"Was @drfahrettinkoca grafted?")</f>
        <v>Was @drfahrettinkoca grafted?</v>
      </c>
    </row>
    <row r="12280" spans="1:5" ht="15" customHeight="1" x14ac:dyDescent="0.2">
      <c r="A12280" s="1" t="s">
        <v>24257</v>
      </c>
      <c r="B12280" s="1">
        <v>0</v>
      </c>
      <c r="C12280" s="3">
        <v>44533.734525462962</v>
      </c>
      <c r="D12280" s="1" t="s">
        <v>24258</v>
      </c>
      <c r="E12280" s="1" t="str">
        <f ca="1">IFERROR(__xludf.DUMMYFUNCTION("GOOGLETRANSLATE(A9079 , ""tr"" , ""en"")"),"How many dose of dose of @drfahrettinka were grafted?")</f>
        <v>How many dose of dose of @drfahrettinka were grafted?</v>
      </c>
    </row>
    <row r="12281" spans="1:5" ht="15" customHeight="1" x14ac:dyDescent="0.2">
      <c r="A12281" s="1" t="s">
        <v>24259</v>
      </c>
      <c r="B12281" s="1">
        <v>0</v>
      </c>
      <c r="C12281" s="3">
        <v>44533.733657407407</v>
      </c>
      <c r="D12281" s="1" t="s">
        <v>24260</v>
      </c>
      <c r="E12281" s="1" t="str">
        <f ca="1">IFERROR(__xludf.DUMMYFUNCTION("GOOGLETRANSLATE(A9080 , ""tr"" , ""en"")"),"@drfahrettinkoca Mr. Ministry @drfahrettinkoca Most people celebrate the day of the world of disabled people in not being intimate but you ... https://t.co/aq7hm95zyu")</f>
        <v>@drfahrettinkoca Mr. Ministry @drfahrettinkoca Most people celebrate the day of the world of disabled people in not being intimate but you ... https://t.co/aq7hm95zyu</v>
      </c>
    </row>
    <row r="12282" spans="1:5" ht="15" customHeight="1" x14ac:dyDescent="0.2">
      <c r="A12282" s="1" t="s">
        <v>24261</v>
      </c>
      <c r="B12282" s="1">
        <v>0</v>
      </c>
      <c r="C12282" s="3">
        <v>44533.732164351852</v>
      </c>
      <c r="D12282" s="1" t="s">
        <v>24262</v>
      </c>
      <c r="E12282" s="1" t="str">
        <f ca="1">IFERROR(__xludf.DUMMYFUNCTION("GOOGLETRANSLATE(A9081 , ""tr"" , ""en"")"),"@drfahrettinkoca still says Güldal Thousands of health personnel are dying from the nerve are days, fix this mistake ... https://t.co/peuwtf5ISJ")</f>
        <v>@drfahrettinkoca still says Güldal Thousands of health personnel are dying from the nerve are days, fix this mistake ... https://t.co/peuwtf5ISJ</v>
      </c>
    </row>
    <row r="12283" spans="1:5" ht="15" customHeight="1" x14ac:dyDescent="0.2">
      <c r="A12283" s="1" t="s">
        <v>24263</v>
      </c>
      <c r="B12283" s="1">
        <v>0</v>
      </c>
      <c r="C12283" s="3">
        <v>44533.731296296297</v>
      </c>
      <c r="D12283" s="1" t="s">
        <v>24264</v>
      </c>
      <c r="E12283" s="1" t="str">
        <f ca="1">IFERROR(__xludf.DUMMYFUNCTION("GOOGLETRANSLATE(A9082 , ""tr"" , ""en"")"),"@drfahrettinkoca is due to Covid 19 reasons why Covid 19 caused by Covid 19 due to Covid 19 and ... https://t.co/5dagrtqxhj")</f>
        <v>@drfahrettinkoca is due to Covid 19 reasons why Covid 19 caused by Covid 19 due to Covid 19 and ... https://t.co/5dagrtqxhj</v>
      </c>
    </row>
    <row r="12284" spans="1:5" ht="15" customHeight="1" x14ac:dyDescent="0.2">
      <c r="A12284" s="1" t="s">
        <v>24265</v>
      </c>
      <c r="B12284" s="1">
        <v>1</v>
      </c>
      <c r="C12284" s="3">
        <v>44533.731145833335</v>
      </c>
      <c r="D12284" s="1" t="s">
        <v>24266</v>
      </c>
      <c r="E12284" s="1" t="str">
        <f ca="1">IFERROR(__xludf.DUMMYFUNCTION("GOOGLETRANSLATE(A9083 , ""tr"" , ""en"")"),"@drfahrettinkoca 13 months is waiting for assignment.")</f>
        <v>@drfahrettinkoca 13 months is waiting for assignment.</v>
      </c>
    </row>
    <row r="12285" spans="1:5" ht="15" customHeight="1" x14ac:dyDescent="0.2">
      <c r="A12285" s="1" t="s">
        <v>24267</v>
      </c>
      <c r="B12285" s="1">
        <v>1</v>
      </c>
      <c r="C12285" s="3">
        <v>44533.730740740742</v>
      </c>
      <c r="D12285" s="1" t="s">
        <v>24268</v>
      </c>
      <c r="E12285" s="1" t="str">
        <f ca="1">IFERROR(__xludf.DUMMYFUNCTION("GOOGLETRANSLATE(A9084 , ""tr"" , ""en"")"),"@drfahrettinkoca was two dose grafted as far as I know .....")</f>
        <v>@drfahrettinkoca was two dose grafted as far as I know .....</v>
      </c>
    </row>
    <row r="12286" spans="1:5" ht="15" customHeight="1" x14ac:dyDescent="0.2">
      <c r="A12286" s="1" t="s">
        <v>24269</v>
      </c>
      <c r="B12286" s="1">
        <v>8</v>
      </c>
      <c r="C12286" s="3">
        <v>44533.730115740742</v>
      </c>
      <c r="D12286" s="1" t="s">
        <v>24270</v>
      </c>
      <c r="E12286" s="1" t="str">
        <f ca="1">IFERROR(__xludf.DUMMYFUNCTION("GOOGLETRANSLATE(A9085 , ""tr"" , ""en"")"),"@drfahrettinkoca everyone sussa we won't shut up we won't shut up ... # fkoyauyauyauhuhuyauhuyaehuhuyauhuyauhuyauhuyehuyehuyau")</f>
        <v>@drfahrettinkoca everyone sussa we won't shut up we won't shut up ... # fkoyauyauyauhuhuyauhuyaehuhuyauhuyauhuyauhuyehuyehuyau</v>
      </c>
    </row>
    <row r="12287" spans="1:5" ht="15" customHeight="1" x14ac:dyDescent="0.2">
      <c r="A12287" s="1" t="s">
        <v>24271</v>
      </c>
      <c r="B12287" s="1">
        <v>3</v>
      </c>
      <c r="C12287" s="3">
        <v>44533.729699074072</v>
      </c>
      <c r="D12287" s="1" t="s">
        <v>24272</v>
      </c>
      <c r="E12287" s="1" t="str">
        <f ca="1">IFERROR(__xludf.DUMMYFUNCTION("GOOGLETRANSLATE(A9086 , ""tr"" , ""en"")"),"@drfahrettinka Do you manage to be able to get permission from your beloved President? Will you publish the guide? #Fe to fcking")</f>
        <v>@drfahrettinka Do you manage to be able to get permission from your beloved President? Will you publish the guide? #Fe to fcking</v>
      </c>
    </row>
    <row r="12288" spans="1:5" ht="15" customHeight="1" x14ac:dyDescent="0.2">
      <c r="A12288" s="1" t="s">
        <v>24273</v>
      </c>
      <c r="B12288" s="1">
        <v>4</v>
      </c>
      <c r="C12288" s="3">
        <v>44533.728796296295</v>
      </c>
      <c r="D12288" s="1" t="s">
        <v>24274</v>
      </c>
      <c r="E12288" s="1" t="str">
        <f ca="1">IFERROR(__xludf.DUMMYFUNCTION("GOOGLETRANSLATE(A9087 , ""tr"" , ""en"")"),"@drfahrettinkoca Mr. Minister Say something to go to the ignore, but say something exact. ... HTTPS://T.CO/QMEJI7QYRI")</f>
        <v>@drfahrettinkoca Mr. Minister Say something to go to the ignore, but say something exact. ... HTTPS://T.CO/QMEJI7QYRI</v>
      </c>
    </row>
    <row r="12289" spans="1:5" ht="15" customHeight="1" x14ac:dyDescent="0.2">
      <c r="A12289" s="1" t="s">
        <v>24275</v>
      </c>
      <c r="B12289" s="1">
        <v>0</v>
      </c>
      <c r="C12289" s="3">
        <v>44533.728078703702</v>
      </c>
      <c r="D12289" s="1" t="s">
        <v>24276</v>
      </c>
      <c r="E12289" s="1" t="str">
        <f ca="1">IFERROR(__xludf.DUMMYFUNCTION("GOOGLETRANSLATE(A9088 , ""tr"" , ""en"")"),"@drfahrettinkoca Healthiers are talking about the external Everything Mr. Minister.")</f>
        <v>@drfahrettinkoca Healthiers are talking about the external Everything Mr. Minister.</v>
      </c>
    </row>
    <row r="12290" spans="1:5" ht="15" customHeight="1" x14ac:dyDescent="0.2">
      <c r="A12290" s="1" t="s">
        <v>24277</v>
      </c>
      <c r="B12290" s="1">
        <v>11</v>
      </c>
      <c r="C12290" s="3">
        <v>44533.727337962962</v>
      </c>
      <c r="D12290" s="1" t="s">
        <v>24278</v>
      </c>
      <c r="E12290" s="1" t="str">
        <f ca="1">IFERROR(__xludf.DUMMYFUNCTION("GOOGLETRANSLATE(A9089 , ""tr"" , ""en"")"),"@drfahrettinkoca ALLAH GÖZLEY EYLESIN TICKET HEARH. Your twit is missing, let's complete it.")</f>
        <v>@drfahrettinkoca ALLAH GÖZLEY EYLESIN TICKET HEARH. Your twit is missing, let's complete it.</v>
      </c>
    </row>
    <row r="12291" spans="1:5" ht="15" customHeight="1" x14ac:dyDescent="0.2">
      <c r="A12291" s="1" t="s">
        <v>24279</v>
      </c>
      <c r="B12291" s="1">
        <v>5</v>
      </c>
      <c r="C12291" s="3">
        <v>44533.727152777778</v>
      </c>
      <c r="D12291" s="1" t="s">
        <v>24280</v>
      </c>
      <c r="E12291" s="1" t="str">
        <f ca="1">IFERROR(__xludf.DUMMYFUNCTION("GOOGLETRANSLATE(A9090 , ""tr"" , ""en"")"),"@drfahrettinkoca 12 months We are waiting for guide @drfahrettinkoca @rterdogan #fo")</f>
        <v>@drfahrettinkoca 12 months We are waiting for guide @drfahrettinkoca @rterdogan #fo</v>
      </c>
    </row>
    <row r="12292" spans="1:5" ht="15" customHeight="1" x14ac:dyDescent="0.2">
      <c r="A12292" s="1" t="s">
        <v>24281</v>
      </c>
      <c r="B12292" s="1">
        <v>1</v>
      </c>
      <c r="C12292" s="3">
        <v>44533.726875</v>
      </c>
      <c r="D12292" s="1" t="s">
        <v>24282</v>
      </c>
      <c r="E12292" s="1" t="str">
        <f ca="1">IFERROR(__xludf.DUMMYFUNCTION("GOOGLETRANSLATE(A9091 , ""tr"" , ""en"")"),"@drfahrettinka https://t.co/jhhqnz7nn6")</f>
        <v>@drfahrettinka https://t.co/jhhqnz7nn6</v>
      </c>
    </row>
    <row r="12293" spans="1:5" ht="15" customHeight="1" x14ac:dyDescent="0.2">
      <c r="A12293" s="1" t="s">
        <v>24283</v>
      </c>
      <c r="B12293" s="1">
        <v>1</v>
      </c>
      <c r="C12293" s="3">
        <v>44533.726689814815</v>
      </c>
      <c r="D12293" s="1" t="s">
        <v>24284</v>
      </c>
      <c r="E12293" s="1" t="str">
        <f ca="1">IFERROR(__xludf.DUMMYFUNCTION("GOOGLETRANSLATE(A9092 , ""tr"" , ""en"")"),"@drfahrettinkoca guide guide guide guide guide guide guide guide guide guide guide kina ... https://t.co/cebsxgendk")</f>
        <v>@drfahrettinkoca guide guide guide guide guide guide guide guide guide guide guide kina ... https://t.co/cebsxgendk</v>
      </c>
    </row>
    <row r="12294" spans="1:5" ht="15" customHeight="1" x14ac:dyDescent="0.2">
      <c r="A12294" s="1" t="s">
        <v>24285</v>
      </c>
      <c r="B12294" s="1">
        <v>0</v>
      </c>
      <c r="C12294" s="3">
        <v>44533.726597222223</v>
      </c>
      <c r="D12294" s="1" t="s">
        <v>24286</v>
      </c>
      <c r="E12294" s="1" t="str">
        <f ca="1">IFERROR(__xludf.DUMMYFUNCTION("GOOGLETRANSLATE(A9093 , ""tr"" , ""en"")"),"@drfahrettinka guide guide guide guide guide guide guide guide guide guide guide guide kina ... https://t.co/lodldcpi8q")</f>
        <v>@drfahrettinka guide guide guide guide guide guide guide guide guide guide guide guide kina ... https://t.co/lodldcpi8q</v>
      </c>
    </row>
    <row r="12295" spans="1:5" ht="15" customHeight="1" x14ac:dyDescent="0.2">
      <c r="A12295" s="1" t="s">
        <v>24287</v>
      </c>
      <c r="B12295" s="1">
        <v>0</v>
      </c>
      <c r="C12295" s="3">
        <v>44533.7265162037</v>
      </c>
      <c r="D12295" s="1" t="s">
        <v>24288</v>
      </c>
      <c r="E12295" s="1" t="str">
        <f ca="1">IFERROR(__xludf.DUMMYFUNCTION("GOOGLETRANSLATE(A9094 , ""tr"" , ""en"")"),"@drfahrettinkoca guide guide guide guide guide guide guide guide guide guide guide guide kina ... https://t.co/bivocmvyac")</f>
        <v>@drfahrettinkoca guide guide guide guide guide guide guide guide guide guide guide guide kina ... https://t.co/bivocmvyac</v>
      </c>
    </row>
    <row r="12296" spans="1:5" ht="15" customHeight="1" x14ac:dyDescent="0.2">
      <c r="A12296" s="1" t="s">
        <v>24289</v>
      </c>
      <c r="B12296" s="1">
        <v>0</v>
      </c>
      <c r="C12296" s="3">
        <v>44533.726435185185</v>
      </c>
      <c r="D12296" s="1" t="s">
        <v>24290</v>
      </c>
      <c r="E12296" s="1" t="str">
        <f ca="1">IFERROR(__xludf.DUMMYFUNCTION("GOOGLETRANSLATE(A9095 , ""tr"" , ""en"")"),"@drfahrettinkoca guide guide guide guide guide guide guide guide guide guide guide guide ... https://t.co/9dlrq9tg0o")</f>
        <v>@drfahrettinkoca guide guide guide guide guide guide guide guide guide guide guide guide ... https://t.co/9dlrq9tg0o</v>
      </c>
    </row>
    <row r="12297" spans="1:5" ht="15" customHeight="1" x14ac:dyDescent="0.2">
      <c r="A12297" s="1" t="s">
        <v>24291</v>
      </c>
      <c r="B12297" s="1">
        <v>0</v>
      </c>
      <c r="C12297" s="3">
        <v>44533.726365740738</v>
      </c>
      <c r="D12297" s="1" t="s">
        <v>24292</v>
      </c>
      <c r="E12297" s="1" t="str">
        <f ca="1">IFERROR(__xludf.DUMMYFUNCTION("GOOGLETRANSLATE(A9096 , ""tr"" , ""en"")"),"@drfahrettinkoca guide guide guide guide guide guide guide guide guide guide guide guide kina ... https://t.co/rvg9drm0f8")</f>
        <v>@drfahrettinkoca guide guide guide guide guide guide guide guide guide guide guide guide kina ... https://t.co/rvg9drm0f8</v>
      </c>
    </row>
    <row r="12298" spans="1:5" ht="15" customHeight="1" x14ac:dyDescent="0.2">
      <c r="A12298" s="1" t="s">
        <v>24293</v>
      </c>
      <c r="B12298" s="1">
        <v>0</v>
      </c>
      <c r="C12298" s="3">
        <v>44533.7262962963</v>
      </c>
      <c r="D12298" s="1" t="s">
        <v>24294</v>
      </c>
      <c r="E12298" s="1" t="str">
        <f ca="1">IFERROR(__xludf.DUMMYFUNCTION("GOOGLETRANSLATE(A9097 , ""tr"" , ""en"")"),"@drfahrettinkoca guide guide guide guide guide guide guide guide guide guide guide guide kina ... https://t.co/9pmleyuokf")</f>
        <v>@drfahrettinkoca guide guide guide guide guide guide guide guide guide guide guide guide kina ... https://t.co/9pmleyuokf</v>
      </c>
    </row>
    <row r="12299" spans="1:5" ht="15" customHeight="1" x14ac:dyDescent="0.2">
      <c r="A12299" s="1" t="s">
        <v>24295</v>
      </c>
      <c r="B12299" s="1">
        <v>0</v>
      </c>
      <c r="C12299" s="3">
        <v>44533.726226851853</v>
      </c>
      <c r="D12299" s="1" t="s">
        <v>24296</v>
      </c>
      <c r="E12299" s="1" t="str">
        <f ca="1">IFERROR(__xludf.DUMMYFUNCTION("GOOGLETRANSLATE(A9098 , ""tr"" , ""en"")"),"@drfahrettinkoca guide guide guide guide guide guide guide guide guide guide guide guide kina ... https://t.co/3y1qswbrwo")</f>
        <v>@drfahrettinkoca guide guide guide guide guide guide guide guide guide guide guide guide kina ... https://t.co/3y1qswbrwo</v>
      </c>
    </row>
    <row r="12300" spans="1:5" ht="15" customHeight="1" x14ac:dyDescent="0.2">
      <c r="A12300" s="1" t="s">
        <v>24297</v>
      </c>
      <c r="B12300" s="1">
        <v>0</v>
      </c>
      <c r="C12300" s="3">
        <v>44533.726157407407</v>
      </c>
      <c r="D12300" s="1" t="s">
        <v>24298</v>
      </c>
      <c r="E12300" s="1" t="str">
        <f ca="1">IFERROR(__xludf.DUMMYFUNCTION("GOOGLETRANSLATE(A9099 , ""tr"" , ""en"")"),"@drfahrettinkoca guide guide guide guide guide guide guide guide guide guide guide kina ... https://t.co/cnxnvtrrrf")</f>
        <v>@drfahrettinkoca guide guide guide guide guide guide guide guide guide guide guide kina ... https://t.co/cnxnvtrrrf</v>
      </c>
    </row>
    <row r="12301" spans="1:5" ht="15" customHeight="1" x14ac:dyDescent="0.2">
      <c r="A12301" s="1" t="s">
        <v>24299</v>
      </c>
      <c r="B12301" s="1">
        <v>8</v>
      </c>
      <c r="C12301" s="3">
        <v>44533.725983796299</v>
      </c>
      <c r="D12301" s="1" t="s">
        <v>24300</v>
      </c>
      <c r="E12301" s="1" t="str">
        <f ca="1">IFERROR(__xludf.DUMMYFUNCTION("GOOGLETRANSLATE(A9100 , ""tr"" , ""en"")"),"@drfahrettinkoca guide guide guide guide guide guide guide guide guide guide guide guide kina ... https://t.co/j8ms7ccq9v")</f>
        <v>@drfahrettinkoca guide guide guide guide guide guide guide guide guide guide guide guide kina ... https://t.co/j8ms7ccq9v</v>
      </c>
    </row>
    <row r="12302" spans="1:5" ht="15" customHeight="1" x14ac:dyDescent="0.2">
      <c r="A12302" s="1" t="s">
        <v>24301</v>
      </c>
      <c r="B12302" s="1">
        <v>0</v>
      </c>
      <c r="C12302" s="3">
        <v>44533.725891203707</v>
      </c>
      <c r="D12302" s="1" t="s">
        <v>24302</v>
      </c>
      <c r="E12302" s="1" t="str">
        <f ca="1">IFERROR(__xludf.DUMMYFUNCTION("GOOGLETRANSLATE(A9101 , ""tr"" , ""en"")"),"@drfahrettinka guide guide guide guide guide guide guide guide guide guide guide guide kina ... https://t.co/kycuj47mdh")</f>
        <v>@drfahrettinka guide guide guide guide guide guide guide guide guide guide guide guide kina ... https://t.co/kycuj47mdh</v>
      </c>
    </row>
    <row r="12303" spans="1:5" ht="15" customHeight="1" x14ac:dyDescent="0.2">
      <c r="A12303" s="1" t="s">
        <v>24303</v>
      </c>
      <c r="B12303" s="1">
        <v>0</v>
      </c>
      <c r="C12303" s="3">
        <v>44533.725821759261</v>
      </c>
      <c r="D12303" s="1" t="s">
        <v>24304</v>
      </c>
      <c r="E12303" s="1" t="str">
        <f ca="1">IFERROR(__xludf.DUMMYFUNCTION("GOOGLETRANSLATE(A9102 , ""tr"" , ""en"")"),"@drfahrettinka guide guide guide guide guide guide guide guide guide guide guide guide kina ... https ://t.co/bsbswdpe3x")</f>
        <v>@drfahrettinka guide guide guide guide guide guide guide guide guide guide guide guide kina ... https ://t.co/bsbswdpe3x</v>
      </c>
    </row>
    <row r="12304" spans="1:5" ht="15" customHeight="1" x14ac:dyDescent="0.2">
      <c r="A12304" s="1" t="s">
        <v>24305</v>
      </c>
      <c r="B12304" s="1">
        <v>0</v>
      </c>
      <c r="C12304" s="3">
        <v>44533.725740740738</v>
      </c>
      <c r="D12304" s="1" t="s">
        <v>24306</v>
      </c>
      <c r="E12304" s="1" t="str">
        <f ca="1">IFERROR(__xludf.DUMMYFUNCTION("GOOGLETRANSLATE(A9103 , ""tr"" , ""en"")"),"@drfahrettinkoca guide guide guide guide guide guide guide guide guide guide guide guide kina ... https://t.co/j91zn3x6h3")</f>
        <v>@drfahrettinkoca guide guide guide guide guide guide guide guide guide guide guide guide kina ... https://t.co/j91zn3x6h3</v>
      </c>
    </row>
    <row r="12305" spans="1:5" ht="15" customHeight="1" x14ac:dyDescent="0.2">
      <c r="A12305" s="1" t="s">
        <v>24307</v>
      </c>
      <c r="B12305" s="1">
        <v>0</v>
      </c>
      <c r="C12305" s="3">
        <v>44533.725671296299</v>
      </c>
      <c r="D12305" s="1" t="s">
        <v>24308</v>
      </c>
      <c r="E12305" s="1" t="str">
        <f ca="1">IFERROR(__xludf.DUMMYFUNCTION("GOOGLETRANSLATE(A9104 , ""tr"" , ""en"")"),"@drfahrettinkoca guide guide guide guide guide guide guide guide guide guide guide guide kina ... https://t.co/ve9qfklc7q")</f>
        <v>@drfahrettinkoca guide guide guide guide guide guide guide guide guide guide guide guide kina ... https://t.co/ve9qfklc7q</v>
      </c>
    </row>
    <row r="12306" spans="1:5" ht="15" customHeight="1" x14ac:dyDescent="0.2">
      <c r="A12306" s="1" t="s">
        <v>24309</v>
      </c>
      <c r="B12306" s="1">
        <v>0</v>
      </c>
      <c r="C12306" s="3">
        <v>44533.725590277776</v>
      </c>
      <c r="D12306" s="1" t="s">
        <v>24310</v>
      </c>
      <c r="E12306" s="1" t="str">
        <f ca="1">IFERROR(__xludf.DUMMYFUNCTION("GOOGLETRANSLATE(A9105 , ""tr"" , ""en"")"),"@drfahrettinkoca guide guide guide guide guide guide guide guide guide guide guide guide kina ... https://t.co/ifjfsbbo3p")</f>
        <v>@drfahrettinkoca guide guide guide guide guide guide guide guide guide guide guide guide kina ... https://t.co/ifjfsbbo3p</v>
      </c>
    </row>
    <row r="12307" spans="1:5" ht="15" customHeight="1" x14ac:dyDescent="0.2">
      <c r="A12307" s="1" t="s">
        <v>24311</v>
      </c>
      <c r="B12307" s="1">
        <v>0</v>
      </c>
      <c r="C12307" s="3">
        <v>44533.72550925926</v>
      </c>
      <c r="D12307" s="1" t="s">
        <v>24312</v>
      </c>
      <c r="E12307" s="1" t="str">
        <f ca="1">IFERROR(__xludf.DUMMYFUNCTION("GOOGLETRANSLATE(A9106 , ""tr"" , ""en"")"),"@drfahrettinkoca guide guide guide guide guide guide guide guide guide guide guide kina ... https://t.co/Iobupxgzuc")</f>
        <v>@drfahrettinkoca guide guide guide guide guide guide guide guide guide guide guide kina ... https://t.co/Iobupxgzuc</v>
      </c>
    </row>
    <row r="12308" spans="1:5" ht="15" customHeight="1" x14ac:dyDescent="0.2">
      <c r="A12308" s="1" t="s">
        <v>24313</v>
      </c>
      <c r="B12308" s="1">
        <v>0</v>
      </c>
      <c r="C12308" s="3">
        <v>44533.725486111114</v>
      </c>
      <c r="D12308" s="1" t="s">
        <v>24314</v>
      </c>
      <c r="E12308" s="1" t="str">
        <f ca="1">IFERROR(__xludf.DUMMYFUNCTION("GOOGLETRANSLATE(A9107 , ""tr"" , ""en"")"),"@drfahrettinkoca wait, let's see, we are waiting! https://t.co/qa7vpedtgu")</f>
        <v>@drfahrettinkoca wait, let's see, we are waiting! https://t.co/qa7vpedtgu</v>
      </c>
    </row>
    <row r="12309" spans="1:5" ht="15" customHeight="1" x14ac:dyDescent="0.2">
      <c r="A12309" s="1" t="s">
        <v>24315</v>
      </c>
      <c r="B12309" s="1">
        <v>0</v>
      </c>
      <c r="C12309" s="3">
        <v>44533.725439814814</v>
      </c>
      <c r="D12309" s="1" t="s">
        <v>24316</v>
      </c>
      <c r="E12309" s="1" t="str">
        <f ca="1">IFERROR(__xludf.DUMMYFUNCTION("GOOGLETRANSLATE(A9108 , ""tr"" , ""en"")"),"@drfahrettinkca is granted, the ruling members and non-witness government base, Inc. Trap of the trap of trap ... https://t.co/pfywjbapiu")</f>
        <v>@drfahrettinkca is granted, the ruling members and non-witness government base, Inc. Trap of the trap of trap ... https://t.co/pfywjbapiu</v>
      </c>
    </row>
    <row r="12310" spans="1:5" ht="15" customHeight="1" x14ac:dyDescent="0.2">
      <c r="A12310" s="1" t="s">
        <v>24317</v>
      </c>
      <c r="B12310" s="1">
        <v>0</v>
      </c>
      <c r="C12310" s="3">
        <v>44533.725439814814</v>
      </c>
      <c r="D12310" s="1" t="s">
        <v>24318</v>
      </c>
      <c r="E12310" s="1" t="str">
        <f ca="1">IFERROR(__xludf.DUMMYFUNCTION("GOOGLETRANSLATE(A9109 , ""tr"" , ""en"")"),"@drfahrettinkoca guide guide guide guide guide guide guide guide guide guide guide guide kina ... https://t.co/l8t6p58w0l")</f>
        <v>@drfahrettinkoca guide guide guide guide guide guide guide guide guide guide guide guide kina ... https://t.co/l8t6p58w0l</v>
      </c>
    </row>
    <row r="12311" spans="1:5" ht="15" customHeight="1" x14ac:dyDescent="0.2">
      <c r="A12311" s="1" t="s">
        <v>24319</v>
      </c>
      <c r="B12311" s="1">
        <v>0</v>
      </c>
      <c r="C12311" s="3">
        <v>44533.725393518522</v>
      </c>
      <c r="D12311" s="1" t="s">
        <v>24320</v>
      </c>
      <c r="E12311" s="1" t="str">
        <f ca="1">IFERROR(__xludf.DUMMYFUNCTION("GOOGLETRANSLATE(A9110 , ""tr"" , ""en"")"),"@drfahrettinkoca Akled! No media element is not notice that C19 produces Rotschild. (Certified) Cimer'd ... https://t.co/wpsdt7r3bs")</f>
        <v>@drfahrettinkoca Akled! No media element is not notice that C19 produces Rotschild. (Certified) Cimer'd ... https://t.co/wpsdt7r3bs</v>
      </c>
    </row>
    <row r="12312" spans="1:5" ht="15" customHeight="1" x14ac:dyDescent="0.2">
      <c r="A12312" s="1" t="s">
        <v>24321</v>
      </c>
      <c r="B12312" s="1">
        <v>0</v>
      </c>
      <c r="C12312" s="3">
        <v>44533.725023148145</v>
      </c>
      <c r="D12312" s="1" t="s">
        <v>24322</v>
      </c>
      <c r="E12312" s="1" t="str">
        <f ca="1">IFERROR(__xludf.DUMMYFUNCTION("GOOGLETRANSLATE(A9111 , ""tr"" , ""en"")"),"@drfahrettinkoca What did he say?")</f>
        <v>@drfahrettinkoca What did he say?</v>
      </c>
    </row>
    <row r="12313" spans="1:5" ht="15" customHeight="1" x14ac:dyDescent="0.2">
      <c r="A12313" s="1" t="s">
        <v>24323</v>
      </c>
      <c r="B12313" s="1">
        <v>0</v>
      </c>
      <c r="C12313" s="3">
        <v>44533.724953703706</v>
      </c>
      <c r="D12313" s="1" t="s">
        <v>24324</v>
      </c>
      <c r="E12313" s="1" t="str">
        <f ca="1">IFERROR(__xludf.DUMMYFUNCTION("GOOGLETRANSLATE(A9112 , ""tr"" , ""en"")"),"@drfahrettinkoca Turkey Republic of Turkey I don't trust you anymore I wish you don't think that your reputation is left.")</f>
        <v>@drfahrettinkoca Turkey Republic of Turkey I don't trust you anymore I wish you don't think that your reputation is left.</v>
      </c>
    </row>
    <row r="12314" spans="1:5" ht="15" customHeight="1" x14ac:dyDescent="0.2">
      <c r="A12314" s="1" t="s">
        <v>24325</v>
      </c>
      <c r="B12314" s="1">
        <v>0</v>
      </c>
      <c r="C12314" s="3">
        <v>44533.724687499998</v>
      </c>
      <c r="D12314" s="1" t="s">
        <v>24326</v>
      </c>
      <c r="E12314" s="1" t="str">
        <f ca="1">IFERROR(__xludf.DUMMYFUNCTION("GOOGLETRANSLATE(A9113 , ""tr"" , ""en"")"),"@drfahrettinkoca I'm sure you know better than us how unfair to the healthcare community. Assignment ... HTTPS://T.CO/VLL9WWEIA2")</f>
        <v>@drfahrettinkoca I'm sure you know better than us how unfair to the healthcare community. Assignment ... HTTPS://T.CO/VLL9WWEIA2</v>
      </c>
    </row>
    <row r="12315" spans="1:5" ht="15" customHeight="1" x14ac:dyDescent="0.2">
      <c r="A12315" s="1" t="s">
        <v>24327</v>
      </c>
      <c r="B12315" s="1">
        <v>2</v>
      </c>
      <c r="C12315" s="3">
        <v>44533.724502314813</v>
      </c>
      <c r="D12315" s="1" t="s">
        <v>24328</v>
      </c>
      <c r="E12315" s="1" t="str">
        <f ca="1">IFERROR(__xludf.DUMMYFUNCTION("GOOGLETRANSLATE(A9114 , ""tr"" , ""en"")"),"@drfahrettinkoca Mr. Minister How many vaccines I wondered Güldal lady? Did he pass him from Ragmen Mi Covid? Wish ... https://t.co/hoszolkfna")</f>
        <v>@drfahrettinkoca Mr. Minister How many vaccines I wondered Güldal lady? Did he pass him from Ragmen Mi Covid? Wish ... https://t.co/hoszolkfna</v>
      </c>
    </row>
    <row r="12316" spans="1:5" ht="15" customHeight="1" x14ac:dyDescent="0.2">
      <c r="A12316" s="1" t="s">
        <v>24329</v>
      </c>
      <c r="B12316" s="1">
        <v>0</v>
      </c>
      <c r="C12316" s="3">
        <v>44533.724050925928</v>
      </c>
      <c r="D12316" s="1" t="s">
        <v>24330</v>
      </c>
      <c r="E12316" s="1" t="str">
        <f ca="1">IFERROR(__xludf.DUMMYFUNCTION("GOOGLETRANSLATE(A9115 , ""tr"" , ""en"")"),"@drfahrettinka soon you will soon not find the healthcare that will shroud your death. The existing ones are y ... https://t.co/6o3jekoItu")</f>
        <v>@drfahrettinka soon you will soon not find the healthcare that will shroud your death. The existing ones are y ... https://t.co/6o3jekoItu</v>
      </c>
    </row>
    <row r="12317" spans="1:5" ht="15" customHeight="1" x14ac:dyDescent="0.2">
      <c r="A12317" s="1" t="s">
        <v>24331</v>
      </c>
      <c r="B12317" s="1">
        <v>1</v>
      </c>
      <c r="C12317" s="3">
        <v>44533.723252314812</v>
      </c>
      <c r="D12317" s="1" t="s">
        <v>24332</v>
      </c>
      <c r="E12317" s="1" t="str">
        <f ca="1">IFERROR(__xludf.DUMMYFUNCTION("GOOGLETRANSLATE(A9116 , ""tr"" , ""en"")"),"@drfahrettinkoca is still unable to clear the tank of death, continue to give the drug, more than his own pharmaceutical company ... https://t.co/tnt4wklx9t")</f>
        <v>@drfahrettinkoca is still unable to clear the tank of death, continue to give the drug, more than his own pharmaceutical company ... https://t.co/tnt4wklx9t</v>
      </c>
    </row>
    <row r="12318" spans="1:5" ht="15" customHeight="1" x14ac:dyDescent="0.2">
      <c r="A12318" s="1" t="s">
        <v>24333</v>
      </c>
      <c r="B12318" s="1">
        <v>2</v>
      </c>
      <c r="C12318" s="3">
        <v>44533.72314814815</v>
      </c>
      <c r="D12318" s="1" t="s">
        <v>24334</v>
      </c>
      <c r="E12318" s="1" t="str">
        <f ca="1">IFERROR(__xludf.DUMMYFUNCTION("GOOGLETRANSLATE(A9117 , ""tr"" , ""en"")"),"@drfahrettinko by 🌸🌸🌸KILAVUZ🌸🌸🌸KILAVUZ🌸🌸🌸KILAVUZ🌸🌸🌸KILAVUZ🌸🌸🌸KILAVUZ🌸🌸🌸KILAVUZ🌸🌸🌸KILAVUZ🌸🌸🌸KILAVUZ🌸🌸🌸🌸KILAVUZ🌸🌸🌸KIL to ... https: // t. CO / 89MYTQQRO9")</f>
        <v>@drfahrettinko by 🌸🌸🌸KILAVUZ🌸🌸🌸KILAVUZ🌸🌸🌸KILAVUZ🌸🌸🌸KILAVUZ🌸🌸🌸KILAVUZ🌸🌸🌸KILAVUZ🌸🌸🌸KILAVUZ🌸🌸🌸KILAVUZ🌸🌸🌸🌸KILAVUZ🌸🌸🌸KIL to ... https: // t. CO / 89MYTQQRO9</v>
      </c>
    </row>
    <row r="12319" spans="1:5" ht="15" customHeight="1" x14ac:dyDescent="0.2">
      <c r="A12319" s="1" t="s">
        <v>24335</v>
      </c>
      <c r="B12319" s="1">
        <v>2</v>
      </c>
      <c r="C12319" s="3">
        <v>44533.722673611112</v>
      </c>
      <c r="D12319" s="1" t="s">
        <v>24336</v>
      </c>
      <c r="E12319" s="1" t="str">
        <f ca="1">IFERROR(__xludf.DUMMYFUNCTION("GOOGLETRANSLATE(A9118 , ""tr"" , ""en"")"),"@drfahrettinkoca guldal my god allah mercy Covitten died Covitten we don't want to die in distance education!")</f>
        <v>@drfahrettinkoca guldal my god allah mercy Covitten died Covitten we don't want to die in distance education!</v>
      </c>
    </row>
    <row r="12320" spans="1:5" ht="15" customHeight="1" x14ac:dyDescent="0.2">
      <c r="A12320" s="1" t="s">
        <v>24337</v>
      </c>
      <c r="B12320" s="1">
        <v>0</v>
      </c>
      <c r="C12320" s="3">
        <v>44533.721990740742</v>
      </c>
      <c r="D12320" s="1" t="s">
        <v>24338</v>
      </c>
      <c r="E12320" s="1" t="str">
        <f ca="1">IFERROR(__xludf.DUMMYFUNCTION("GOOGLETRANSLATE(A9119 , ""tr"" , ""en"")"),"@drfahrettinkoca Klavuzzzz !!!")</f>
        <v>@drfahrettinkoca Klavuzzzz !!!</v>
      </c>
    </row>
    <row r="12321" spans="1:5" ht="15" customHeight="1" x14ac:dyDescent="0.2">
      <c r="A12321" s="1" t="s">
        <v>24339</v>
      </c>
      <c r="B12321" s="1">
        <v>0</v>
      </c>
      <c r="C12321" s="3">
        <v>44533.721886574072</v>
      </c>
      <c r="D12321" s="1" t="s">
        <v>24340</v>
      </c>
      <c r="E12321" s="1" t="str">
        <f ca="1">IFERROR(__xludf.DUMMYFUNCTION("GOOGLETRANSLATE(A9120 , ""tr"" , ""en"")"),"@drfahrettinkoca Allah mercy. Whether it is grafted ""You will not share"" without the consent of sick relatives ""?")</f>
        <v>@drfahrettinkoca Allah mercy. Whether it is grafted "You will not share" without the consent of sick relatives "?</v>
      </c>
    </row>
    <row r="12322" spans="1:5" ht="15" customHeight="1" x14ac:dyDescent="0.2">
      <c r="A12322" s="1" t="s">
        <v>24341</v>
      </c>
      <c r="B12322" s="1">
        <v>1</v>
      </c>
      <c r="C12322" s="3">
        <v>44533.721655092595</v>
      </c>
      <c r="D12322" s="1" t="s">
        <v>24342</v>
      </c>
      <c r="E12322" s="1" t="str">
        <f ca="1">IFERROR(__xludf.DUMMYFUNCTION("GOOGLETRANSLATE(A9121 , ""tr"" , ""en"")"),"@drfahrettinkoca Hergun Assignment was tired of throwing the news, Hergun Tiwit and worn. Our Duty Our Duty ... https://t.co/g6c7ybq9r6")</f>
        <v>@drfahrettinkoca Hergun Assignment was tired of throwing the news, Hergun Tiwit and worn. Our Duty Our Duty ... https://t.co/g6c7ybq9r6</v>
      </c>
    </row>
    <row r="12323" spans="1:5" ht="15" customHeight="1" x14ac:dyDescent="0.2">
      <c r="A12323" s="1" t="s">
        <v>24343</v>
      </c>
      <c r="B12323" s="1">
        <v>2</v>
      </c>
      <c r="C12323" s="3">
        <v>44533.721446759257</v>
      </c>
      <c r="D12323" s="1" t="s">
        <v>24344</v>
      </c>
      <c r="E12323" s="1" t="str">
        <f ca="1">IFERROR(__xludf.DUMMYFUNCTION("GOOGLETRANSLATE(A9122 , ""tr"" , ""en"")"),"@drfahrettinkoca please post guide @drfahrettinkoca")</f>
        <v>@drfahrettinkoca please post guide @drfahrettinkoca</v>
      </c>
    </row>
    <row r="12324" spans="1:5" ht="15" customHeight="1" x14ac:dyDescent="0.2">
      <c r="A12324" s="1" t="s">
        <v>24345</v>
      </c>
      <c r="B12324" s="1">
        <v>0</v>
      </c>
      <c r="C12324" s="3">
        <v>44533.720752314817</v>
      </c>
      <c r="D12324" s="1" t="s">
        <v>24346</v>
      </c>
      <c r="E12324" s="1" t="str">
        <f ca="1">IFERROR(__xludf.DUMMYFUNCTION("GOOGLETRANSLATE(A9123 , ""tr"" , ""en"")"),"@drfahrettinkoca Don't see tenca's hopes of guide people died in this is not the death is the death? @drfahrettinkoca")</f>
        <v>@drfahrettinkoca Don't see tenca's hopes of guide people died in this is not the death is the death? @drfahrettinkoca</v>
      </c>
    </row>
    <row r="12325" spans="1:5" ht="15" customHeight="1" x14ac:dyDescent="0.2">
      <c r="A12325" s="1" t="s">
        <v>24347</v>
      </c>
      <c r="B12325" s="1">
        <v>0</v>
      </c>
      <c r="C12325" s="3">
        <v>44533.720752314817</v>
      </c>
      <c r="D12325" s="1" t="s">
        <v>24348</v>
      </c>
      <c r="E12325" s="1" t="str">
        <f ca="1">IFERROR(__xludf.DUMMYFUNCTION("GOOGLETRANSLATE(A9124 , ""tr"" , ""en"")"),"@drfahrettinkoca as well as the pes of this")</f>
        <v>@drfahrettinkoca as well as the pes of this</v>
      </c>
    </row>
    <row r="12326" spans="1:5" ht="15" customHeight="1" x14ac:dyDescent="0.2">
      <c r="A12326" s="1" t="s">
        <v>24349</v>
      </c>
      <c r="B12326" s="1">
        <v>7</v>
      </c>
      <c r="C12326" s="3">
        <v>44533.720231481479</v>
      </c>
      <c r="D12326" s="1" t="s">
        <v>24350</v>
      </c>
      <c r="E12326" s="1" t="str">
        <f ca="1">IFERROR(__xludf.DUMMYFUNCTION("GOOGLETRANSLATE(A9125 , ""tr"" , ""en"")"),"@drfahrettinka soon you will get a tweets in our weighing in our weighing no longer in our # fusable")</f>
        <v>@drfahrettinka soon you will get a tweets in our weighing in our weighing no longer in our # fusable</v>
      </c>
    </row>
    <row r="12327" spans="1:5" ht="15" customHeight="1" x14ac:dyDescent="0.2">
      <c r="A12327" s="1" t="s">
        <v>24351</v>
      </c>
      <c r="B12327" s="1">
        <v>0</v>
      </c>
      <c r="C12327" s="3">
        <v>44533.720138888886</v>
      </c>
      <c r="D12327" s="1" t="s">
        <v>24352</v>
      </c>
      <c r="E12327" s="1" t="str">
        <f ca="1">IFERROR(__xludf.DUMMYFUNCTION("GOOGLETRANSLATE(A9126 , ""tr"" , ""en"")"),"@drfahrettinka get plenty of fire")</f>
        <v>@drfahrettinka get plenty of fire</v>
      </c>
    </row>
    <row r="12328" spans="1:5" ht="15" customHeight="1" x14ac:dyDescent="0.2">
      <c r="A12328" s="1" t="s">
        <v>24353</v>
      </c>
      <c r="B12328" s="1">
        <v>0</v>
      </c>
      <c r="C12328" s="3">
        <v>44533.719710648147</v>
      </c>
      <c r="D12328" s="1" t="s">
        <v>24354</v>
      </c>
      <c r="E12328" s="1" t="str">
        <f ca="1">IFERROR(__xludf.DUMMYFUNCTION("GOOGLETRANSLATE(A9127 , ""tr"" , ""en"")"),"@drfahrettinkoca How many dose of overdose was? If you say him too Mr.")</f>
        <v>@drfahrettinkoca How many dose of overdose was? If you say him too Mr.</v>
      </c>
    </row>
    <row r="12329" spans="1:5" ht="15" customHeight="1" x14ac:dyDescent="0.2">
      <c r="A12329" s="1" t="s">
        <v>24355</v>
      </c>
      <c r="B12329" s="1">
        <v>10</v>
      </c>
      <c r="C12329" s="3">
        <v>44533.719525462962</v>
      </c>
      <c r="D12329" s="1" t="s">
        <v>24356</v>
      </c>
      <c r="E12329" s="1" t="str">
        <f ca="1">IFERROR(__xludf.DUMMYFUNCTION("GOOGLETRANSLATE(A9128 , ""tr"" , ""en"")"),"@drfahrettinkoca come on the guide publish our lives")</f>
        <v>@drfahrettinkoca come on the guide publish our lives</v>
      </c>
    </row>
    <row r="12330" spans="1:5" ht="15" customHeight="1" x14ac:dyDescent="0.2">
      <c r="A12330" s="1" t="s">
        <v>17907</v>
      </c>
      <c r="B12330" s="1">
        <v>0</v>
      </c>
      <c r="C12330" s="3">
        <v>44533.7187962963</v>
      </c>
      <c r="D12330" s="1" t="s">
        <v>24357</v>
      </c>
      <c r="E12330" s="1" t="str">
        <f ca="1">IFERROR(__xludf.DUMMYFUNCTION("GOOGLETRANSLATE(A9129 , ""tr"" , ""en"")"),"@drfahrettinkoca allah cc mercy action")</f>
        <v>@drfahrettinkoca allah cc mercy action</v>
      </c>
    </row>
    <row r="12331" spans="1:5" ht="15" customHeight="1" x14ac:dyDescent="0.2">
      <c r="A12331" s="1" t="s">
        <v>24358</v>
      </c>
      <c r="B12331" s="1">
        <v>0</v>
      </c>
      <c r="C12331" s="3">
        <v>44533.717152777775</v>
      </c>
      <c r="D12331" s="1" t="s">
        <v>24359</v>
      </c>
      <c r="E12331" s="1" t="str">
        <f ca="1">IFERROR(__xludf.DUMMYFUNCTION("GOOGLETRANSLATE(A9130 , ""tr"" , ""en"")"),"@drfahrettinkoca We have come to a point so we asked for each tweet assignance, guide. Hear our voice Mr. Husband ...")</f>
        <v>@drfahrettinkoca We have come to a point so we asked for each tweet assignance, guide. Hear our voice Mr. Husband ...</v>
      </c>
    </row>
    <row r="12332" spans="1:5" ht="15" customHeight="1" x14ac:dyDescent="0.2">
      <c r="A12332" s="1" t="s">
        <v>24360</v>
      </c>
      <c r="B12332" s="1">
        <v>0</v>
      </c>
      <c r="C12332" s="3">
        <v>44533.716550925928</v>
      </c>
      <c r="D12332" s="1" t="s">
        <v>24361</v>
      </c>
      <c r="E12332" s="1" t="str">
        <f ca="1">IFERROR(__xludf.DUMMYFUNCTION("GOOGLETRANSLATE(A9131 , ""tr"" , ""en"")"),"@drfahrettinkoca Guide please")</f>
        <v>@drfahrettinkoca Guide please</v>
      </c>
    </row>
    <row r="12333" spans="1:5" ht="15" customHeight="1" x14ac:dyDescent="0.2">
      <c r="A12333" s="1" t="s">
        <v>24362</v>
      </c>
      <c r="B12333" s="1">
        <v>2</v>
      </c>
      <c r="C12333" s="3">
        <v>44533.716516203705</v>
      </c>
      <c r="D12333" s="1" t="s">
        <v>24363</v>
      </c>
      <c r="E12333" s="1" t="str">
        <f ca="1">IFERROR(__xludf.DUMMYFUNCTION("GOOGLETRANSLATE(A9132 , ""tr"" , ""en"")"),"@drfahrettinkoca was asilari")</f>
        <v>@drfahrettinkoca was asilari</v>
      </c>
    </row>
    <row r="12334" spans="1:5" ht="15" customHeight="1" x14ac:dyDescent="0.2">
      <c r="A12334" s="1" t="s">
        <v>10058</v>
      </c>
      <c r="B12334" s="1">
        <v>0</v>
      </c>
      <c r="C12334" s="3">
        <v>44533.716435185182</v>
      </c>
      <c r="D12334" s="1" t="s">
        <v>24364</v>
      </c>
      <c r="E12334" s="1" t="str">
        <f ca="1">IFERROR(__xludf.DUMMYFUNCTION("GOOGLETRANSLATE(A9133 , ""tr"" , ""en"")"),"@drfahrettinkoca Guide")</f>
        <v>@drfahrettinkoca Guide</v>
      </c>
    </row>
    <row r="12335" spans="1:5" ht="15" customHeight="1" x14ac:dyDescent="0.2">
      <c r="A12335" s="1" t="s">
        <v>24365</v>
      </c>
      <c r="B12335" s="1">
        <v>4</v>
      </c>
      <c r="C12335" s="3">
        <v>44533.715775462966</v>
      </c>
      <c r="D12335" s="1" t="s">
        <v>24366</v>
      </c>
      <c r="E12335" s="1" t="str">
        <f ca="1">IFERROR(__xludf.DUMMYFUNCTION("GOOGLETRANSLATE(A9134 , ""tr"" , ""en"")"),"@drfahrettinkoca https://t.co/laswt4bgp5 Did the annoyance outs after ...")</f>
        <v>@drfahrettinkoca https://t.co/laswt4bgp5 Did the annoyance outs after ...</v>
      </c>
    </row>
    <row r="12336" spans="1:5" ht="15" customHeight="1" x14ac:dyDescent="0.2">
      <c r="A12336" s="1" t="s">
        <v>24367</v>
      </c>
      <c r="B12336" s="1">
        <v>4</v>
      </c>
      <c r="C12336" s="3">
        <v>44533.714108796295</v>
      </c>
      <c r="D12336" s="1" t="s">
        <v>24368</v>
      </c>
      <c r="E12336" s="1" t="str">
        <f ca="1">IFERROR(__xludf.DUMMYFUNCTION("GOOGLETRANSLATE(A9135 , ""tr"" , ""en"")"),"@drfahrettinkoca 800k Assigning for Health Survey Twiti Not Death Twiti Horse Soon @drfahrettinkoca # FKOYAZLAĞUZ")</f>
        <v>@drfahrettinkoca 800k Assigning for Health Survey Twiti Not Death Twiti Horse Soon @drfahrettinkoca # FKOYAZLAĞUZ</v>
      </c>
    </row>
    <row r="12337" spans="1:5" ht="15" customHeight="1" x14ac:dyDescent="0.2">
      <c r="A12337" s="1" t="s">
        <v>24369</v>
      </c>
      <c r="B12337" s="1">
        <v>0</v>
      </c>
      <c r="C12337" s="3">
        <v>44533.712291666663</v>
      </c>
      <c r="D12337" s="1" t="s">
        <v>24370</v>
      </c>
      <c r="E12337" s="1" t="str">
        <f ca="1">IFERROR(__xludf.DUMMYFUNCTION("GOOGLETRANSLATE(A9136 , ""tr"" , ""en"")"),"@drfahrettinkoca guiluuuuzzz # fcking")</f>
        <v>@drfahrettinkoca guiluuuuzzz # fcking</v>
      </c>
    </row>
    <row r="12338" spans="1:5" ht="15" customHeight="1" x14ac:dyDescent="0.2">
      <c r="A12338" s="1" t="s">
        <v>24371</v>
      </c>
      <c r="B12338" s="1">
        <v>3</v>
      </c>
      <c r="C12338" s="3">
        <v>44533.712037037039</v>
      </c>
      <c r="D12338" s="1" t="s">
        <v>24372</v>
      </c>
      <c r="E12338" s="1" t="str">
        <f ca="1">IFERROR(__xludf.DUMMYFUNCTION("GOOGLETRANSLATE(A9137 , ""tr"" , ""en"")"),"@drfahrettinkoca guide to the guide of the Ministry of Guide in Guide # fusable")</f>
        <v>@drfahrettinkoca guide to the guide of the Ministry of Guide in Guide # fusable</v>
      </c>
    </row>
    <row r="12339" spans="1:5" ht="15" customHeight="1" x14ac:dyDescent="0.2">
      <c r="A12339" s="1" t="s">
        <v>24373</v>
      </c>
      <c r="B12339" s="1">
        <v>0</v>
      </c>
      <c r="C12339" s="3">
        <v>44533.711724537039</v>
      </c>
      <c r="D12339" s="1" t="s">
        <v>24374</v>
      </c>
      <c r="E12339" s="1" t="str">
        <f ca="1">IFERROR(__xludf.DUMMYFUNCTION("GOOGLETRANSLATE(A9138 , ""tr"" , ""en"")"),"May @drfahrettinkoca give patience near allah mercy. Kovit was 19 from the 19th to intubate, they say and acab ... https://t.co/llwmkxn4po")</f>
        <v>May @drfahrettinkoca give patience near allah mercy. Kovit was 19 from the 19th to intubate, they say and acab ... https://t.co/llwmkxn4po</v>
      </c>
    </row>
    <row r="12340" spans="1:5" ht="15" customHeight="1" x14ac:dyDescent="0.2">
      <c r="A12340" s="1" t="s">
        <v>24375</v>
      </c>
      <c r="B12340" s="1">
        <v>23</v>
      </c>
      <c r="C12340" s="3">
        <v>44533.711585648147</v>
      </c>
      <c r="D12340" s="1" t="s">
        <v>24376</v>
      </c>
      <c r="E12340" s="1" t="str">
        <f ca="1">IFERROR(__xludf.DUMMYFUNCTION("GOOGLETRANSLATE(A9139 , ""tr"" , ""en"")"),"Why @drfahrettinkoca covid do not say to why you say Mr. Minister or grafted")</f>
        <v>Why @drfahrettinkoca covid do not say to why you say Mr. Minister or grafted</v>
      </c>
    </row>
    <row r="12341" spans="1:5" ht="15" customHeight="1" x14ac:dyDescent="0.2">
      <c r="A12341" s="1" t="s">
        <v>24377</v>
      </c>
      <c r="B12341" s="1">
        <v>5</v>
      </c>
      <c r="C12341" s="3">
        <v>44533.711539351854</v>
      </c>
      <c r="D12341" s="1" t="s">
        <v>24378</v>
      </c>
      <c r="E12341" s="1" t="str">
        <f ca="1">IFERROR(__xludf.DUMMYFUNCTION("GOOGLETRANSLATE(A9140 , ""tr"" , ""en"")"),"@drfahrettinkoca Stop testing our patience Give us the choice I have chosen the chest there is no justice. Guide where s ... https://t.co/5u9vslbcak")</f>
        <v>@drfahrettinkoca Stop testing our patience Give us the choice I have chosen the chest there is no justice. Guide where s ... https://t.co/5u9vslbcak</v>
      </c>
    </row>
    <row r="12342" spans="1:5" ht="15" customHeight="1" x14ac:dyDescent="0.2">
      <c r="A12342" s="1" t="s">
        <v>24379</v>
      </c>
      <c r="B12342" s="1">
        <v>0</v>
      </c>
      <c r="C12342" s="3">
        <v>44533.711076388892</v>
      </c>
      <c r="D12342" s="1" t="s">
        <v>24380</v>
      </c>
      <c r="E12342" s="1" t="str">
        <f ca="1">IFERROR(__xludf.DUMMYFUNCTION("GOOGLETRANSLATE(A9141 , ""tr"" , ""en"")"),"@drfahrettinkoca Get a statement on six tops Get rid of .... Guide Where is it? https://t.co/qblxsfyq6v")</f>
        <v>@drfahrettinkoca Get a statement on six tops Get rid of .... Guide Where is it? https://t.co/qblxsfyq6v</v>
      </c>
    </row>
    <row r="12343" spans="1:5" ht="15" customHeight="1" x14ac:dyDescent="0.2">
      <c r="A12343" s="1" t="s">
        <v>24381</v>
      </c>
      <c r="B12343" s="1">
        <v>3</v>
      </c>
      <c r="C12343" s="3">
        <v>44533.711053240739</v>
      </c>
      <c r="D12343" s="1" t="s">
        <v>24382</v>
      </c>
      <c r="E12343" s="1" t="str">
        <f ca="1">IFERROR(__xludf.DUMMYFUNCTION("GOOGLETRANSLATE(A9142 , ""tr"" , ""en"")"),"@drfahrettinkoca Mentioned 30 Those assignment must be done in an emergency sec. @drfahrettinkoca @ rterdogan ... https://t.co/fgruxjsnn")</f>
        <v>@drfahrettinkoca Mentioned 30 Those assignment must be done in an emergency sec. @drfahrettinkoca @ rterdogan ... https://t.co/fgruxjsnn</v>
      </c>
    </row>
    <row r="12344" spans="1:5" ht="15" customHeight="1" x14ac:dyDescent="0.2">
      <c r="A12344" s="1" t="s">
        <v>24383</v>
      </c>
      <c r="B12344" s="1">
        <v>1</v>
      </c>
      <c r="C12344" s="3">
        <v>44533.710995370369</v>
      </c>
      <c r="D12344" s="1" t="s">
        <v>24384</v>
      </c>
      <c r="E12344" s="1" t="str">
        <f ca="1">IFERROR(__xludf.DUMMYFUNCTION("GOOGLETRANSLATE(A9143 , ""tr"" , ""en"")"),"@drfahrettinka is ignoring 740 thousand healthcare. Pity # fcking wool https://t.co/wwgbv5fitg")</f>
        <v>@drfahrettinka is ignoring 740 thousand healthcare. Pity # fcking wool https://t.co/wwgbv5fitg</v>
      </c>
    </row>
    <row r="12345" spans="1:5" ht="15" customHeight="1" x14ac:dyDescent="0.2">
      <c r="A12345" s="1" t="s">
        <v>24385</v>
      </c>
      <c r="B12345" s="1">
        <v>1</v>
      </c>
      <c r="C12345" s="3">
        <v>44533.7109375</v>
      </c>
      <c r="D12345" s="1" t="s">
        <v>24386</v>
      </c>
      <c r="E12345" s="1" t="str">
        <f ca="1">IFERROR(__xludf.DUMMYFUNCTION("GOOGLETRANSLATE(A9144 , ""tr"" , ""en"")"),"@drfahrettinka us at the end, what do you say as you are going out to the Prayer of Assignment? @ drfahrettinkoca ... https://t.co/o8mwkbghas")</f>
        <v>@drfahrettinka us at the end, what do you say as you are going out to the Prayer of Assignment? @ drfahrettinkoca ... https://t.co/o8mwkbghas</v>
      </c>
    </row>
    <row r="12346" spans="1:5" ht="15" customHeight="1" x14ac:dyDescent="0.2">
      <c r="A12346" s="1" t="s">
        <v>24387</v>
      </c>
      <c r="B12346" s="1">
        <v>0</v>
      </c>
      <c r="C12346" s="3">
        <v>44533.710833333331</v>
      </c>
      <c r="D12346" s="1" t="s">
        <v>24388</v>
      </c>
      <c r="E12346" s="1" t="str">
        <f ca="1">IFERROR(__xludf.DUMMYFUNCTION("GOOGLETRANSLATE(A9145 , ""tr"" , ""en"")"),"@drfahrettinkoca where you're overlooking my head, I don't know ?? Ata can't assign us to us resignation don't go to the pattern ... https://t.co/i7pfiqjtni")</f>
        <v>@drfahrettinkoca where you're overlooking my head, I don't know ?? Ata can't assign us to us resignation don't go to the pattern ... https://t.co/i7pfiqjtni</v>
      </c>
    </row>
    <row r="12347" spans="1:5" ht="15" customHeight="1" x14ac:dyDescent="0.2">
      <c r="A12347" s="1" t="s">
        <v>24389</v>
      </c>
      <c r="B12347" s="1">
        <v>1</v>
      </c>
      <c r="C12347" s="3">
        <v>44533.710763888892</v>
      </c>
      <c r="D12347" s="1" t="s">
        <v>24390</v>
      </c>
      <c r="E12347" s="1" t="str">
        <f ca="1">IFERROR(__xludf.DUMMYFUNCTION("GOOGLETRANSLATE(A9146 , ""tr"" , ""en"")"),"@drfahrettinkoca Minister Firstly Press Sagolsun Allah Görmet Eye, but if it does not assign a little more, I will say the pass")</f>
        <v>@drfahrettinkoca Minister Firstly Press Sagolsun Allah Görmet Eye, but if it does not assign a little more, I will say the pass</v>
      </c>
    </row>
    <row r="12348" spans="1:5" ht="15" customHeight="1" x14ac:dyDescent="0.2">
      <c r="A12348" s="1" t="s">
        <v>24391</v>
      </c>
      <c r="B12348" s="1">
        <v>0</v>
      </c>
      <c r="C12348" s="3">
        <v>44533.709699074076</v>
      </c>
      <c r="D12348" s="1" t="s">
        <v>24392</v>
      </c>
      <c r="E12348" s="1" t="str">
        <f ca="1">IFERROR(__xludf.DUMMYFUNCTION("GOOGLETRANSLATE(A9147 , ""tr"" , ""en"")"),"@drfahrettinkoca urgent assistance and disaster management licensions for duty definition and assignment news are looking forward to the mine minister")</f>
        <v>@drfahrettinkoca urgent assistance and disaster management licensions for duty definition and assignment news are looking forward to the mine minister</v>
      </c>
    </row>
    <row r="12349" spans="1:5" ht="15" customHeight="1" x14ac:dyDescent="0.2">
      <c r="A12349" s="1" t="s">
        <v>13434</v>
      </c>
      <c r="B12349" s="1">
        <v>0</v>
      </c>
      <c r="C12349" s="3">
        <v>44533.709340277775</v>
      </c>
      <c r="D12349" s="1" t="s">
        <v>24393</v>
      </c>
      <c r="E12349" s="1" t="str">
        <f ca="1">IFERROR(__xludf.DUMMYFUNCTION("GOOGLETRANSLATE(A9148 , ""tr"" , ""en"")"),"@drfahrettinkoca Guide you come")</f>
        <v>@drfahrettinkoca Guide you come</v>
      </c>
    </row>
    <row r="12350" spans="1:5" ht="15" customHeight="1" x14ac:dyDescent="0.2">
      <c r="A12350" s="1" t="s">
        <v>24394</v>
      </c>
      <c r="B12350" s="1">
        <v>0</v>
      </c>
      <c r="C12350" s="3">
        <v>44533.709282407406</v>
      </c>
      <c r="D12350" s="1" t="s">
        <v>24395</v>
      </c>
      <c r="E12350" s="1" t="str">
        <f ca="1">IFERROR(__xludf.DUMMYFUNCTION("GOOGLETRANSLATE(A9149 , ""tr"" , ""en"")"),"@drfahrettinkoca guided we're mahfold")</f>
        <v>@drfahrettinkoca guided we're mahfold</v>
      </c>
    </row>
    <row r="12351" spans="1:5" ht="15" customHeight="1" x14ac:dyDescent="0.2">
      <c r="A12351" s="1" t="s">
        <v>24396</v>
      </c>
      <c r="B12351" s="1">
        <v>0</v>
      </c>
      <c r="C12351" s="3">
        <v>44533.709097222221</v>
      </c>
      <c r="D12351" s="1" t="s">
        <v>24397</v>
      </c>
      <c r="E12351" s="1" t="str">
        <f ca="1">IFERROR(__xludf.DUMMYFUNCTION("GOOGLETRANSLATE(A9150 , ""tr"" , ""en"")"),"@drfahrettinkoca Guide for Allah's love now")</f>
        <v>@drfahrettinkoca Guide for Allah's love now</v>
      </c>
    </row>
    <row r="12352" spans="1:5" ht="15" customHeight="1" x14ac:dyDescent="0.2">
      <c r="A12352" s="1" t="s">
        <v>10058</v>
      </c>
      <c r="B12352" s="1">
        <v>0</v>
      </c>
      <c r="C12352" s="3">
        <v>44533.708969907406</v>
      </c>
      <c r="D12352" s="1" t="s">
        <v>24398</v>
      </c>
      <c r="E12352" s="1" t="str">
        <f ca="1">IFERROR(__xludf.DUMMYFUNCTION("GOOGLETRANSLATE(A9151 , ""tr"" , ""en"")"),"@drfahrettinkoca Guide")</f>
        <v>@drfahrettinkoca Guide</v>
      </c>
    </row>
    <row r="12353" spans="1:5" ht="15" customHeight="1" x14ac:dyDescent="0.2">
      <c r="A12353" s="1" t="s">
        <v>24399</v>
      </c>
      <c r="B12353" s="1">
        <v>0</v>
      </c>
      <c r="C12353" s="3">
        <v>44533.708622685182</v>
      </c>
      <c r="D12353" s="1" t="s">
        <v>24400</v>
      </c>
      <c r="E12353" s="1" t="str">
        <f ca="1">IFERROR(__xludf.DUMMYFUNCTION("GOOGLETRANSLATE(A9152 , ""tr"" , ""en"")"),"@drfahrettinkoca What said Nee Neee Deddiiii ??")</f>
        <v>@drfahrettinkoca What said Nee Neee Deddiiii ??</v>
      </c>
    </row>
    <row r="12354" spans="1:5" ht="15" customHeight="1" x14ac:dyDescent="0.2">
      <c r="A12354" s="1" t="s">
        <v>24401</v>
      </c>
      <c r="B12354" s="1">
        <v>0</v>
      </c>
      <c r="C12354" s="3">
        <v>44533.708599537036</v>
      </c>
      <c r="D12354" s="1" t="s">
        <v>24402</v>
      </c>
      <c r="E12354" s="1" t="str">
        <f ca="1">IFERROR(__xludf.DUMMYFUNCTION("GOOGLETRANSLATE(A9153 , ""tr"" , ""en"")"),"@drfahrettinkoca We also watch you from videos and hurry.")</f>
        <v>@drfahrettinkoca We also watch you from videos and hurry.</v>
      </c>
    </row>
    <row r="12355" spans="1:5" ht="15" customHeight="1" x14ac:dyDescent="0.2">
      <c r="A12355" s="1" t="s">
        <v>24403</v>
      </c>
      <c r="B12355" s="1">
        <v>0</v>
      </c>
      <c r="C12355" s="3">
        <v>44533.708541666667</v>
      </c>
      <c r="D12355" s="1" t="s">
        <v>24404</v>
      </c>
      <c r="E12355" s="1" t="str">
        <f ca="1">IFERROR(__xludf.DUMMYFUNCTION("GOOGLETRANSLATE(A9154 , ""tr"" , ""en"")"),"@drfahrettinka pity pity false pity I don't halic my right #fo")</f>
        <v>@drfahrettinka pity pity false pity I don't halic my right #fo</v>
      </c>
    </row>
    <row r="12356" spans="1:5" ht="15" customHeight="1" x14ac:dyDescent="0.2">
      <c r="A12356" s="1" t="s">
        <v>24405</v>
      </c>
      <c r="B12356" s="1">
        <v>3</v>
      </c>
      <c r="C12356" s="3">
        <v>44533.708541666667</v>
      </c>
      <c r="D12356" s="1" t="s">
        <v>24406</v>
      </c>
      <c r="E12356" s="1" t="str">
        <f ca="1">IFERROR(__xludf.DUMMYFUNCTION("GOOGLETRANSLATE(A9155 , ""tr"" , ""en"")"),"@drfahrettinkoca #hemofilisesiol @vedatbilgn @ cceylan58 @sgksosyalmedya https://t.co/6obnxbuwar")</f>
        <v>@drfahrettinkoca #hemofilisesiol @vedatbilgn @ cceylan58 @sgksosyalmedya https://t.co/6obnxbuwar</v>
      </c>
    </row>
    <row r="12357" spans="1:5" ht="15" customHeight="1" x14ac:dyDescent="0.2">
      <c r="A12357" s="1" t="s">
        <v>24407</v>
      </c>
      <c r="B12357" s="1">
        <v>0</v>
      </c>
      <c r="C12357" s="3">
        <v>44533.708506944444</v>
      </c>
      <c r="D12357" s="1" t="s">
        <v>24408</v>
      </c>
      <c r="E12357" s="1" t="str">
        <f ca="1">IFERROR(__xludf.DUMMYFUNCTION("GOOGLETRANSLATE(A9156 , ""tr"" , ""en"")"),"@drfahrettinkoca Publish Guide please @drfahrettinkoca")</f>
        <v>@drfahrettinkoca Publish Guide please @drfahrettinkoca</v>
      </c>
    </row>
    <row r="12358" spans="1:5" ht="15" customHeight="1" x14ac:dyDescent="0.2">
      <c r="A12358" s="1" t="s">
        <v>24409</v>
      </c>
      <c r="B12358" s="1">
        <v>1</v>
      </c>
      <c r="C12358" s="3">
        <v>44533.708495370367</v>
      </c>
      <c r="D12358" s="1" t="s">
        <v>24410</v>
      </c>
      <c r="E12358" s="1" t="str">
        <f ca="1">IFERROR(__xludf.DUMMYFUNCTION("GOOGLETRANSLATE(A9157 , ""tr"" , ""en"")"),"@drfahrettinkoca assigning assignment to those who wait as well as our hopes our dreams died # fusable")</f>
        <v>@drfahrettinkoca assigning assignment to those who wait as well as our hopes our dreams died # fusable</v>
      </c>
    </row>
    <row r="12359" spans="1:5" ht="15" customHeight="1" x14ac:dyDescent="0.2">
      <c r="A12359" s="1" t="s">
        <v>24411</v>
      </c>
      <c r="B12359" s="1">
        <v>0</v>
      </c>
      <c r="C12359" s="3">
        <v>44533.708356481482</v>
      </c>
      <c r="D12359" s="1" t="s">
        <v>24412</v>
      </c>
      <c r="E12359" s="1" t="str">
        <f ca="1">IFERROR(__xludf.DUMMYFUNCTION("GOOGLETRANSLATE(A9158 , ""tr"" , ""en"")"),"@drfahrettinkoca UPFF When tighten tired thoroughly or if you won't say bisey about the assignment, you will write at the end of the long tweets ... https://t.co/ztcgcs1mdw")</f>
        <v>@drfahrettinkoca UPFF When tighten tired thoroughly or if you won't say bisey about the assignment, you will write at the end of the long tweets ... https://t.co/ztcgcs1mdw</v>
      </c>
    </row>
    <row r="12360" spans="1:5" ht="15" customHeight="1" x14ac:dyDescent="0.2">
      <c r="A12360" s="1" t="s">
        <v>24413</v>
      </c>
      <c r="B12360" s="1">
        <v>4</v>
      </c>
      <c r="C12360" s="3">
        <v>44533.708298611113</v>
      </c>
      <c r="D12360" s="1" t="s">
        <v>24414</v>
      </c>
      <c r="E12360" s="1" t="str">
        <f ca="1">IFERROR(__xludf.DUMMYFUNCTION("GOOGLETRANSLATE(A9159 , ""tr"" , ""en"")"),"@drfahrettinkoca #hemofilisesiol @vedatbilgn @ cceylan58 @sgksosyalmedya https://t.co/asveIm3pbs")</f>
        <v>@drfahrettinkoca #hemofilisesiol @vedatbilgn @ cceylan58 @sgksosyalmedya https://t.co/asveIm3pbs</v>
      </c>
    </row>
    <row r="12361" spans="1:5" ht="15" customHeight="1" x14ac:dyDescent="0.2">
      <c r="A12361" s="1" t="s">
        <v>18015</v>
      </c>
      <c r="B12361" s="1">
        <v>0</v>
      </c>
      <c r="C12361" s="3">
        <v>44533.707951388889</v>
      </c>
      <c r="D12361" s="1" t="s">
        <v>24415</v>
      </c>
      <c r="E12361" s="1" t="str">
        <f ca="1">IFERROR(__xludf.DUMMYFUNCTION("GOOGLETRANSLATE(A9160 , ""tr"" , ""en"")"),"@drfahrettinkoca Allah mercy.")</f>
        <v>@drfahrettinkoca Allah mercy.</v>
      </c>
    </row>
    <row r="12362" spans="1:5" ht="15" customHeight="1" x14ac:dyDescent="0.2">
      <c r="A12362" s="1" t="s">
        <v>24416</v>
      </c>
      <c r="B12362" s="1">
        <v>0</v>
      </c>
      <c r="C12362" s="3">
        <v>44533.707395833335</v>
      </c>
      <c r="D12362" s="1" t="s">
        <v>24417</v>
      </c>
      <c r="E12362" s="1" t="str">
        <f ca="1">IFERROR(__xludf.DUMMYFUNCTION("GOOGLETRANSLATE(A9161 , ""tr"" , ""en"")"),"@drfahrettinkoca I hope you have received leave")</f>
        <v>@drfahrettinkoca I hope you have received leave</v>
      </c>
    </row>
    <row r="12363" spans="1:5" ht="15" customHeight="1" x14ac:dyDescent="0.2">
      <c r="A12363" s="1" t="s">
        <v>24418</v>
      </c>
      <c r="B12363" s="1">
        <v>0</v>
      </c>
      <c r="C12363" s="3">
        <v>44533.707025462965</v>
      </c>
      <c r="D12363" s="1" t="s">
        <v>24419</v>
      </c>
      <c r="E12363" s="1" t="str">
        <f ca="1">IFERROR(__xludf.DUMMYFUNCTION("GOOGLETRANSLATE(A9162 , ""tr"" , ""en"")"),"@drfahrettinkoca a a")</f>
        <v>@drfahrettinkoca a a</v>
      </c>
    </row>
    <row r="12364" spans="1:5" ht="15" customHeight="1" x14ac:dyDescent="0.2">
      <c r="A12364" s="1" t="s">
        <v>24420</v>
      </c>
      <c r="B12364" s="1">
        <v>2</v>
      </c>
      <c r="C12364" s="3">
        <v>44533.706956018519</v>
      </c>
      <c r="D12364" s="1" t="s">
        <v>24421</v>
      </c>
      <c r="E12364" s="1" t="str">
        <f ca="1">IFERROR(__xludf.DUMMYFUNCTION("GOOGLETRANSLATE(A9163 , ""tr"" , ""en"")"),"@drfahrettinkoca Did you forget about your health workers outside us physician? # FKOYUZUZUZUZUZUZUZUZUZUZLUZ HTTPS://T.CO/TBDK59JSO3")</f>
        <v>@drfahrettinkoca Did you forget about your health workers outside us physician? # FKOYUZUZUZUZUZUZUZUZUZUZLUZ HTTPS://T.CO/TBDK59JSO3</v>
      </c>
    </row>
    <row r="12365" spans="1:5" ht="15" customHeight="1" x14ac:dyDescent="0.2">
      <c r="A12365" s="1" t="s">
        <v>24422</v>
      </c>
      <c r="B12365" s="1">
        <v>4</v>
      </c>
      <c r="C12365" s="3">
        <v>44533.706944444442</v>
      </c>
      <c r="D12365" s="1" t="s">
        <v>24423</v>
      </c>
      <c r="E12365" s="1" t="str">
        <f ca="1">IFERROR(__xludf.DUMMYFUNCTION("GOOGLETRANSLATE(A9164 , ""tr"" , ""en"")"),"@drfahrettinkoca Assign as much as the salary doctor hike we will get up to the hunger border from the hunger limit from the hunger border ... https://t.co/u3qubezvbl")</f>
        <v>@drfahrettinkoca Assign as much as the salary doctor hike we will get up to the hunger border from the hunger limit from the hunger border ... https://t.co/u3qubezvbl</v>
      </c>
    </row>
    <row r="12366" spans="1:5" ht="15" customHeight="1" x14ac:dyDescent="0.2">
      <c r="A12366" s="1" t="s">
        <v>24424</v>
      </c>
      <c r="B12366" s="1">
        <v>6</v>
      </c>
      <c r="C12366" s="3">
        <v>44533.706284722219</v>
      </c>
      <c r="D12366" s="1" t="s">
        <v>24425</v>
      </c>
      <c r="E12366" s="1" t="str">
        <f ca="1">IFERROR(__xludf.DUMMYFUNCTION("GOOGLETRANSLATE(A9165 , ""tr"" , ""en"")"),"@drfahrettinkoca What did we have to assign neither of the right @drfahrettinkoca #drfahrettinkoca # fuseless")</f>
        <v>@drfahrettinkoca What did we have to assign neither of the right @drfahrettinkoca #drfahrettinkoca # fuseless</v>
      </c>
    </row>
    <row r="12367" spans="1:5" ht="15" customHeight="1" x14ac:dyDescent="0.2">
      <c r="A12367" s="1" t="s">
        <v>24426</v>
      </c>
      <c r="B12367" s="1">
        <v>6</v>
      </c>
      <c r="C12367" s="3">
        <v>44533.706145833334</v>
      </c>
      <c r="D12367" s="1" t="s">
        <v>24427</v>
      </c>
      <c r="E12367" s="1" t="str">
        <f ca="1">IFERROR(__xludf.DUMMYFUNCTION("GOOGLETRANSLATE(A9166 , ""tr"" , ""en"")"),"@drfahrettinkoca grafted Covidden Our families are in danger of your face #In sciencekuruluörülenkrencileronline")</f>
        <v>@drfahrettinkoca grafted Covidden Our families are in danger of your face #In sciencekuruluörülenkrencileronline</v>
      </c>
    </row>
    <row r="12368" spans="1:5" ht="15" customHeight="1" x14ac:dyDescent="0.2">
      <c r="A12368" s="1" t="s">
        <v>24428</v>
      </c>
      <c r="B12368" s="1">
        <v>0</v>
      </c>
      <c r="C12368" s="3">
        <v>44533.706041666665</v>
      </c>
      <c r="D12368" s="1" t="s">
        <v>24429</v>
      </c>
      <c r="E12368" s="1" t="str">
        <f ca="1">IFERROR(__xludf.DUMMYFUNCTION("GOOGLETRANSLATE(A9167 , ""tr"" , ""en"")"),"@drfahrettinkoca you don't know if you have ever cared for your condolence twet. People give and exhibit, ee rights are of course.")</f>
        <v>@drfahrettinkoca you don't know if you have ever cared for your condolence twet. People give and exhibit, ee rights are of course.</v>
      </c>
    </row>
    <row r="12369" spans="1:5" ht="15" customHeight="1" x14ac:dyDescent="0.2">
      <c r="A12369" s="1" t="s">
        <v>24430</v>
      </c>
      <c r="B12369" s="1">
        <v>0</v>
      </c>
      <c r="C12369" s="3">
        <v>44533.706041666665</v>
      </c>
      <c r="D12369" s="1" t="s">
        <v>24431</v>
      </c>
      <c r="E12369" s="1" t="str">
        <f ca="1">IFERROR(__xludf.DUMMYFUNCTION("GOOGLETRANSLATE(A9168 , ""tr"" , ""en"")"),"@drfahrettinkoca Allah Mayor May Be Heaven May Heaven")</f>
        <v>@drfahrettinkoca Allah Mayor May Be Heaven May Heaven</v>
      </c>
    </row>
    <row r="12370" spans="1:5" ht="15" customHeight="1" x14ac:dyDescent="0.2">
      <c r="A12370" s="1" t="s">
        <v>24432</v>
      </c>
      <c r="B12370" s="1">
        <v>1</v>
      </c>
      <c r="C12370" s="3">
        <v>44533.705763888887</v>
      </c>
      <c r="D12370" s="1" t="s">
        <v>24433</v>
      </c>
      <c r="E12370" s="1" t="str">
        <f ca="1">IFERROR(__xludf.DUMMYFUNCTION("GOOGLETRANSLATE(A9169 , ""tr"" , ""en"")"),"@drfahrettinkoca #onlineschoolforturkStudents")</f>
        <v>@drfahrettinkoca #onlineschoolforturkStudents</v>
      </c>
    </row>
    <row r="12371" spans="1:5" ht="15" customHeight="1" x14ac:dyDescent="0.2">
      <c r="A12371" s="1" t="s">
        <v>24434</v>
      </c>
      <c r="B12371" s="1">
        <v>1</v>
      </c>
      <c r="C12371" s="3">
        <v>44533.705682870372</v>
      </c>
      <c r="D12371" s="1" t="s">
        <v>24435</v>
      </c>
      <c r="E12371" s="1" t="str">
        <f ca="1">IFERROR(__xludf.DUMMYFUNCTION("GOOGLETRANSLATE(A9170 , ""tr"" , ""en"")"),"@drfahrettinkoca Mentioned 30 Those assignment must be done in an emergency sec. @drfahrettinkoca @ rterdogan ... https://t.co/zxjyuunjmf")</f>
        <v>@drfahrettinkoca Mentioned 30 Those assignment must be done in an emergency sec. @drfahrettinkoca @ rterdogan ... https://t.co/zxjyuunjmf</v>
      </c>
    </row>
    <row r="12372" spans="1:5" ht="15" customHeight="1" x14ac:dyDescent="0.2">
      <c r="A12372" s="1" t="s">
        <v>24436</v>
      </c>
      <c r="B12372" s="1">
        <v>11</v>
      </c>
      <c r="C12372" s="3">
        <v>44533.705625000002</v>
      </c>
      <c r="D12372" s="1" t="s">
        <v>24437</v>
      </c>
      <c r="E12372" s="1" t="str">
        <f ca="1">IFERROR(__xludf.DUMMYFUNCTION("GOOGLETRANSLATE(A9171 , ""tr"" , ""en"")"),"@drfahrettinka is ignoring 740 thousand healthcare. Pity # fcking wool https://t.co/Inp8bhi9ye")</f>
        <v>@drfahrettinka is ignoring 740 thousand healthcare. Pity # fcking wool https://t.co/Inp8bhi9ye</v>
      </c>
    </row>
    <row r="12373" spans="1:5" ht="15" customHeight="1" x14ac:dyDescent="0.2">
      <c r="A12373" s="1" t="s">
        <v>24438</v>
      </c>
      <c r="B12373" s="1">
        <v>14</v>
      </c>
      <c r="C12373" s="3">
        <v>44533.705567129633</v>
      </c>
      <c r="D12373" s="1" t="s">
        <v>24439</v>
      </c>
      <c r="E12373" s="1" t="str">
        <f ca="1">IFERROR(__xludf.DUMMYFUNCTION("GOOGLETRANSLATE(A9172 , ""tr"" , ""en"")"),"@drfahrettinka us at the end, what do you say as you are going out to the Prayer of Assignment? @ drfahrettinkoca ... https://t.co/mgw9ou9q1l")</f>
        <v>@drfahrettinka us at the end, what do you say as you are going out to the Prayer of Assignment? @ drfahrettinkoca ... https://t.co/mgw9ou9q1l</v>
      </c>
    </row>
    <row r="12374" spans="1:5" ht="15" customHeight="1" x14ac:dyDescent="0.2">
      <c r="A12374" s="1" t="s">
        <v>24440</v>
      </c>
      <c r="B12374" s="1">
        <v>0</v>
      </c>
      <c r="C12374" s="3">
        <v>44533.70553240741</v>
      </c>
      <c r="D12374" s="1" t="s">
        <v>24441</v>
      </c>
      <c r="E12374" s="1" t="str">
        <f ca="1">IFERROR(__xludf.DUMMYFUNCTION("GOOGLETRANSLATE(A9173 , ""tr"" , ""en"")"),"@drfahrettinkoca claske i don't think that my income")</f>
        <v>@drfahrettinkoca claske i don't think that my income</v>
      </c>
    </row>
    <row r="12375" spans="1:5" ht="15" customHeight="1" x14ac:dyDescent="0.2">
      <c r="A12375" s="1" t="s">
        <v>24442</v>
      </c>
      <c r="B12375" s="1">
        <v>0</v>
      </c>
      <c r="C12375" s="3">
        <v>44533.705405092594</v>
      </c>
      <c r="D12375" s="1" t="s">
        <v>24443</v>
      </c>
      <c r="E12375" s="1" t="str">
        <f ca="1">IFERROR(__xludf.DUMMYFUNCTION("GOOGLETRANSLATE(A9174 , ""tr"" , ""en"")"),"@drfahrettinkoca @drfahrettinka https://t.co/lx59fgzp0y")</f>
        <v>@drfahrettinkoca @drfahrettinka https://t.co/lx59fgzp0y</v>
      </c>
    </row>
    <row r="12376" spans="1:5" ht="15" customHeight="1" x14ac:dyDescent="0.2">
      <c r="A12376" s="1" t="s">
        <v>24444</v>
      </c>
      <c r="B12376" s="1">
        <v>6</v>
      </c>
      <c r="C12376" s="3">
        <v>44533.705347222225</v>
      </c>
      <c r="D12376" s="1" t="s">
        <v>24445</v>
      </c>
      <c r="E12376" s="1" t="str">
        <f ca="1">IFERROR(__xludf.DUMMYFUNCTION("GOOGLETRANSLATE(A9175 , ""tr"" , ""en"")"),"@drfahrettinkoca Let's go back to the days we haven't seen you or you wish the Head Health or over the vaccine either variant or closure ... https://t.co/ydnzwf41fj")</f>
        <v>@drfahrettinkoca Let's go back to the days we haven't seen you or you wish the Head Health or over the vaccine either variant or closure ... https://t.co/ydnzwf41fj</v>
      </c>
    </row>
    <row r="12377" spans="1:5" ht="15" customHeight="1" x14ac:dyDescent="0.2">
      <c r="A12377" s="1" t="s">
        <v>24446</v>
      </c>
      <c r="B12377" s="1">
        <v>0</v>
      </c>
      <c r="C12377" s="3">
        <v>44533.705231481479</v>
      </c>
      <c r="D12377" s="1" t="s">
        <v>24447</v>
      </c>
      <c r="E12377" s="1" t="str">
        <f ca="1">IFERROR(__xludf.DUMMYFUNCTION("GOOGLETRANSLATE(A9176 , ""tr"" , ""en"")"),"@drfahrettinkoca however he's deemed how brushed the boss")</f>
        <v>@drfahrettinkoca however he's deemed how brushed the boss</v>
      </c>
    </row>
    <row r="12378" spans="1:5" ht="15" customHeight="1" x14ac:dyDescent="0.2">
      <c r="A12378" s="1" t="s">
        <v>24448</v>
      </c>
      <c r="B12378" s="1">
        <v>0</v>
      </c>
      <c r="C12378" s="3">
        <v>44533.70521990741</v>
      </c>
      <c r="D12378" s="1" t="s">
        <v>24449</v>
      </c>
      <c r="E12378" s="1" t="str">
        <f ca="1">IFERROR(__xludf.DUMMYFUNCTION("GOOGLETRANSLATE(A9177 , ""tr"" , ""en"")"),"@drfahrettinkoca 😢")</f>
        <v>@drfahrettinkoca 😢</v>
      </c>
    </row>
    <row r="12379" spans="1:5" ht="15" customHeight="1" x14ac:dyDescent="0.2">
      <c r="A12379" s="1" t="s">
        <v>24450</v>
      </c>
      <c r="B12379" s="1">
        <v>2</v>
      </c>
      <c r="C12379" s="3">
        <v>44533.705069444448</v>
      </c>
      <c r="D12379" s="1" t="s">
        <v>24451</v>
      </c>
      <c r="E12379" s="1" t="str">
        <f ca="1">IFERROR(__xludf.DUMMYFUNCTION("GOOGLETRANSLATE(A9178 , ""tr"" , ""en"")"),"@drfahrettinkoca Either let's learn your purpose for the consent of Allah. No sound from any of you ... https://t.co/17bjabk3ns")</f>
        <v>@drfahrettinkoca Either let's learn your purpose for the consent of Allah. No sound from any of you ... https://t.co/17bjabk3ns</v>
      </c>
    </row>
    <row r="12380" spans="1:5" ht="15" customHeight="1" x14ac:dyDescent="0.2">
      <c r="A12380" s="1" t="s">
        <v>24452</v>
      </c>
      <c r="B12380" s="1">
        <v>1</v>
      </c>
      <c r="C12380" s="3">
        <v>44533.705046296294</v>
      </c>
      <c r="D12380" s="1" t="s">
        <v>24453</v>
      </c>
      <c r="E12380" s="1" t="str">
        <f ca="1">IFERROR(__xludf.DUMMYFUNCTION("GOOGLETRANSLATE(A9179 , ""tr"" , ""en"")"),"@drfahrettinkoca 12 months assignment for @drfahrettinkoca hear us")</f>
        <v>@drfahrettinkoca 12 months assignment for @drfahrettinkoca hear us</v>
      </c>
    </row>
    <row r="12381" spans="1:5" ht="15" customHeight="1" x14ac:dyDescent="0.2">
      <c r="A12381" s="1" t="s">
        <v>24454</v>
      </c>
      <c r="B12381" s="1">
        <v>0</v>
      </c>
      <c r="C12381" s="3">
        <v>44533.704861111109</v>
      </c>
      <c r="D12381" s="1" t="s">
        <v>24455</v>
      </c>
      <c r="E12381" s="1" t="str">
        <f ca="1">IFERROR(__xludf.DUMMYFUNCTION("GOOGLETRANSLATE(A9180 , ""tr"" , ""en"")"),"@drfahrettinkoca @drfahrettinka https://t.co/najrvofzhw")</f>
        <v>@drfahrettinkoca @drfahrettinka https://t.co/najrvofzhw</v>
      </c>
    </row>
    <row r="12382" spans="1:5" ht="15" customHeight="1" x14ac:dyDescent="0.2">
      <c r="A12382" s="1" t="s">
        <v>24456</v>
      </c>
      <c r="B12382" s="1">
        <v>0</v>
      </c>
      <c r="C12382" s="3">
        <v>44533.704664351855</v>
      </c>
      <c r="D12382" s="1" t="s">
        <v>24457</v>
      </c>
      <c r="E12382" s="1" t="str">
        <f ca="1">IFERROR(__xludf.DUMMYFUNCTION("GOOGLETRANSLATE(A9181 , ""tr"" , ""en"")"),"@drfahrettinkoca edremit 1 angio device to the bay 1 angio device and 1 heartamar to Erdoğan ""Unaware of you ...")</f>
        <v>@drfahrettinkoca edremit 1 angio device to the bay 1 angio device and 1 heartamar to Erdoğan "Unaware of you ...</v>
      </c>
    </row>
    <row r="12383" spans="1:5" ht="15" customHeight="1" x14ac:dyDescent="0.2">
      <c r="A12383" s="1" t="s">
        <v>24458</v>
      </c>
      <c r="B12383" s="1">
        <v>0</v>
      </c>
      <c r="C12383" s="3">
        <v>44533.70449074074</v>
      </c>
      <c r="D12383" s="1" t="s">
        <v>24459</v>
      </c>
      <c r="E12383" s="1" t="str">
        <f ca="1">IFERROR(__xludf.DUMMYFUNCTION("GOOGLETRANSLATE(A9182 , ""tr"" , ""en"")"),"@drfahrettinkoca Odami Double Dose Vaccine Don't Allah Be Allah")</f>
        <v>@drfahrettinkoca Odami Double Dose Vaccine Don't Allah Be Allah</v>
      </c>
    </row>
    <row r="12384" spans="1:5" ht="15" customHeight="1" x14ac:dyDescent="0.2">
      <c r="A12384" s="1" t="s">
        <v>23787</v>
      </c>
      <c r="B12384" s="1">
        <v>1</v>
      </c>
      <c r="C12384" s="3">
        <v>44533.704409722224</v>
      </c>
      <c r="D12384" s="1" t="s">
        <v>24460</v>
      </c>
      <c r="E12384" s="1" t="str">
        <f ca="1">IFERROR(__xludf.DUMMYFUNCTION("GOOGLETRANSLATE(A9183 , ""tr"" , ""en"")"),"@drfahrettinkoca # fcking")</f>
        <v>@drfahrettinkoca # fcking</v>
      </c>
    </row>
    <row r="12385" spans="1:5" ht="15" customHeight="1" x14ac:dyDescent="0.2">
      <c r="A12385" s="1" t="s">
        <v>24461</v>
      </c>
      <c r="B12385" s="1">
        <v>2</v>
      </c>
      <c r="C12385" s="3">
        <v>44533.704282407409</v>
      </c>
      <c r="D12385" s="1" t="s">
        <v>24462</v>
      </c>
      <c r="E12385" s="1" t="str">
        <f ca="1">IFERROR(__xludf.DUMMYFUNCTION("GOOGLETRANSLATE(A9184 , ""tr"" , ""en"")"),"@drfahrettinkoca is this hard guide publish @drfahrettinkoca # fcking")</f>
        <v>@drfahrettinkoca is this hard guide publish @drfahrettinkoca # fcking</v>
      </c>
    </row>
    <row r="12386" spans="1:5" ht="15" customHeight="1" x14ac:dyDescent="0.2">
      <c r="A12386" s="1" t="s">
        <v>24463</v>
      </c>
      <c r="B12386" s="1">
        <v>2</v>
      </c>
      <c r="C12386" s="3">
        <v>44533.70416666667</v>
      </c>
      <c r="D12386" s="1" t="s">
        <v>24464</v>
      </c>
      <c r="E12386" s="1" t="str">
        <f ca="1">IFERROR(__xludf.DUMMYFUNCTION("GOOGLETRANSLATE(A9185 , ""tr"" , ""en"")"),"@drfahrettinkoca We are dying and don't hang out because of your lies or you can't vote. Where's the guide? ... https://t.co/d9h3tjnuoa")</f>
        <v>@drfahrettinkoca We are dying and don't hang out because of your lies or you can't vote. Where's the guide? ... https://t.co/d9h3tjnuoa</v>
      </c>
    </row>
    <row r="12387" spans="1:5" ht="15" customHeight="1" x14ac:dyDescent="0.2">
      <c r="A12387" s="1" t="s">
        <v>24465</v>
      </c>
      <c r="B12387" s="1">
        <v>0</v>
      </c>
      <c r="C12387" s="3">
        <v>44533.703692129631</v>
      </c>
      <c r="D12387" s="1" t="s">
        <v>24466</v>
      </c>
      <c r="E12387" s="1" t="str">
        <f ca="1">IFERROR(__xludf.DUMMYFUNCTION("GOOGLETRANSLATE(A9186 , ""tr"" , ""en"")"),"@drfahrettinkoca is sufficiently anymore # fcking")</f>
        <v>@drfahrettinkoca is sufficiently anymore # fcking</v>
      </c>
    </row>
    <row r="12388" spans="1:5" ht="15" customHeight="1" x14ac:dyDescent="0.2">
      <c r="A12388" s="1" t="s">
        <v>24467</v>
      </c>
      <c r="B12388" s="1">
        <v>0</v>
      </c>
      <c r="C12388" s="3">
        <v>44533.703414351854</v>
      </c>
      <c r="D12388" s="1" t="s">
        <v>24468</v>
      </c>
      <c r="E12388" s="1" t="str">
        <f ca="1">IFERROR(__xludf.DUMMYFUNCTION("GOOGLETRANSLATE(A9187 , ""tr"" , ""en"")"),"@drfahrettinkoca please but guide when it will come up to # fcking it in https://t.co/ejfp6dadoq")</f>
        <v>@drfahrettinkoca please but guide when it will come up to # fcking it in https://t.co/ejfp6dadoq</v>
      </c>
    </row>
    <row r="12389" spans="1:5" ht="15" customHeight="1" x14ac:dyDescent="0.2">
      <c r="A12389" s="1" t="s">
        <v>24469</v>
      </c>
      <c r="B12389" s="1">
        <v>0</v>
      </c>
      <c r="C12389" s="3">
        <v>44535.776643518519</v>
      </c>
      <c r="D12389" s="1" t="s">
        <v>24470</v>
      </c>
      <c r="E12389" s="1" t="str">
        <f ca="1">IFERROR(__xludf.DUMMYFUNCTION("GOOGLETRANSLATE(A9188 , ""tr"" , ""en"")"),"@drfahrettinkoca you continuously give new variants like gospels Mr. Ministry but the procedures by procedures is the vaccine ... https://t.co/zgw0qsx24q")</f>
        <v>@drfahrettinkoca you continuously give new variants like gospels Mr. Ministry but the procedures by procedures is the vaccine ... https://t.co/zgw0qsx24q</v>
      </c>
    </row>
    <row r="12390" spans="1:5" ht="15" customHeight="1" x14ac:dyDescent="0.2">
      <c r="A12390" s="1" t="s">
        <v>24471</v>
      </c>
      <c r="B12390" s="1">
        <v>0</v>
      </c>
      <c r="C12390" s="3">
        <v>44535.744988425926</v>
      </c>
      <c r="D12390" s="1" t="s">
        <v>24472</v>
      </c>
      <c r="E12390" s="1" t="str">
        <f ca="1">IFERROR(__xludf.DUMMYFUNCTION("GOOGLETRANSLATE(A9189 , ""tr"" , ""en"")"),"@drfahrettinkoca rebellion wars final ...")</f>
        <v>@drfahrettinkoca rebellion wars final ...</v>
      </c>
    </row>
    <row r="12391" spans="1:5" ht="15" customHeight="1" x14ac:dyDescent="0.2">
      <c r="A12391" s="1" t="s">
        <v>24473</v>
      </c>
      <c r="B12391" s="1">
        <v>0</v>
      </c>
      <c r="C12391" s="3">
        <v>44535.696979166663</v>
      </c>
      <c r="D12391" s="1" t="s">
        <v>24474</v>
      </c>
      <c r="E12391" s="1" t="str">
        <f ca="1">IFERROR(__xludf.DUMMYFUNCTION("GOOGLETRANSLATE(A9190 , ""tr"" , ""en"")"),"@drfahrettinkoca @saglikbakanligi MHR'Seden is not possible to make an appointment from the internal hospitals.")</f>
        <v>@drfahrettinkoca @saglikbakanligi MHR'Seden is not possible to make an appointment from the internal hospitals.</v>
      </c>
    </row>
    <row r="12392" spans="1:5" ht="15" customHeight="1" x14ac:dyDescent="0.2">
      <c r="A12392" s="1" t="s">
        <v>16850</v>
      </c>
      <c r="B12392" s="1">
        <v>1</v>
      </c>
      <c r="C12392" s="3">
        <v>44537.769363425927</v>
      </c>
      <c r="D12392" s="1" t="s">
        <v>24475</v>
      </c>
      <c r="E12392" s="1" t="str">
        <f ca="1">IFERROR(__xludf.DUMMYFUNCTION("GOOGLETRANSLATE(A9191 , ""tr"" , ""en"")"),"@drfahrettinkoca flu vaccine people cavid-19 a very quickly caught. Body should not fall out of strength.")</f>
        <v>@drfahrettinkoca flu vaccine people cavid-19 a very quickly caught. Body should not fall out of strength.</v>
      </c>
    </row>
    <row r="12393" spans="1:5" ht="15" customHeight="1" x14ac:dyDescent="0.2">
      <c r="A12393" s="1" t="s">
        <v>24476</v>
      </c>
      <c r="B12393" s="1">
        <v>0</v>
      </c>
      <c r="C12393" s="3">
        <v>44541.885752314818</v>
      </c>
      <c r="D12393" s="1" t="s">
        <v>24477</v>
      </c>
      <c r="E12393" s="1" t="str">
        <f ca="1">IFERROR(__xludf.DUMMYFUNCTION("GOOGLETRANSLATE(A9192 , ""tr"" , ""en"")"),"@drfahrettinkoca all kinds of precautions have been taken. https://t.co/znfrmjf5fb")</f>
        <v>@drfahrettinkoca all kinds of precautions have been taken. https://t.co/znfrmjf5fb</v>
      </c>
    </row>
    <row r="12394" spans="1:5" ht="15" customHeight="1" x14ac:dyDescent="0.2">
      <c r="A12394" s="1" t="s">
        <v>24478</v>
      </c>
      <c r="B12394" s="1">
        <v>0</v>
      </c>
      <c r="C12394" s="3">
        <v>44534.894803240742</v>
      </c>
      <c r="D12394" s="1" t="s">
        <v>24479</v>
      </c>
      <c r="E12394" s="1" t="str">
        <f ca="1">IFERROR(__xludf.DUMMYFUNCTION("GOOGLETRANSLATE(A9193 , ""tr"" , ""en"")"),"@drfahrettinkoca Leave These Safses What Varths Wake Up What Ghepetto Has Over This Bondage Layout GHepetto Talkies Wake Up")</f>
        <v>@drfahrettinkoca Leave These Safses What Varths Wake Up What Ghepetto Has Over This Bondage Layout GHepetto Talkies Wake Up</v>
      </c>
    </row>
    <row r="12395" spans="1:5" ht="15" customHeight="1" x14ac:dyDescent="0.2">
      <c r="A12395" s="1" t="s">
        <v>24480</v>
      </c>
      <c r="B12395" s="1">
        <v>0</v>
      </c>
      <c r="C12395" s="3">
        <v>44534.837280092594</v>
      </c>
      <c r="D12395" s="1" t="s">
        <v>24481</v>
      </c>
      <c r="E12395" s="1" t="str">
        <f ca="1">IFERROR(__xludf.DUMMYFUNCTION("GOOGLETRANSLATE(A9194 , ""tr"" , ""en"")"),"@drfahrettinkoca countin husband to patients who will enter the surgery what is happening what happens to what is happening ... https://t.co/abjo1w9yqg")</f>
        <v>@drfahrettinkoca countin husband to patients who will enter the surgery what is happening what happens to what is happening ... https://t.co/abjo1w9yqg</v>
      </c>
    </row>
    <row r="12396" spans="1:5" ht="15" customHeight="1" x14ac:dyDescent="0.2">
      <c r="A12396" s="1" t="s">
        <v>24482</v>
      </c>
      <c r="B12396" s="1">
        <v>0</v>
      </c>
      <c r="C12396" s="3">
        <v>44534.826469907406</v>
      </c>
      <c r="D12396" s="1" t="s">
        <v>24483</v>
      </c>
      <c r="E12396" s="1" t="str">
        <f ca="1">IFERROR(__xludf.DUMMYFUNCTION("GOOGLETRANSLATE(A9195 , ""tr"" , ""en"")"),"@drfahrettinkoca Covid 19 we heard the same things at the time")</f>
        <v>@drfahrettinkoca Covid 19 we heard the same things at the time</v>
      </c>
    </row>
    <row r="12397" spans="1:5" ht="15" customHeight="1" x14ac:dyDescent="0.2">
      <c r="A12397" s="1" t="s">
        <v>24484</v>
      </c>
      <c r="B12397" s="1">
        <v>0</v>
      </c>
      <c r="C12397" s="3">
        <v>44534.78702546296</v>
      </c>
      <c r="D12397" s="1" t="s">
        <v>24485</v>
      </c>
      <c r="E12397" s="1" t="str">
        <f ca="1">IFERROR(__xludf.DUMMYFUNCTION("GOOGLETRANSLATE(A9196 , ""tr"" , ""en"")"),"@drfahrettinkoca @drtolgatolunay #Inshows are quitting. Meaning to pay for rights to his wages ... https://t.co/2nb4HJI8DS")</f>
        <v>@drfahrettinkoca @drtolgatolunay #Inshows are quitting. Meaning to pay for rights to his wages ... https://t.co/2nb4HJI8DS</v>
      </c>
    </row>
    <row r="12398" spans="1:5" ht="15" customHeight="1" x14ac:dyDescent="0.2">
      <c r="A12398" s="1" t="s">
        <v>24486</v>
      </c>
      <c r="B12398" s="1">
        <v>0</v>
      </c>
      <c r="C12398" s="3">
        <v>44534.777800925927</v>
      </c>
      <c r="D12398" s="1" t="s">
        <v>24487</v>
      </c>
      <c r="E12398" s="1" t="str">
        <f ca="1">IFERROR(__xludf.DUMMYFUNCTION("GOOGLETRANSLATE(A9197 , ""tr"" , ""en"")"),"@drfahrettinkoca lessons get online ... We have been sick ... This virus has never passed ... Fairy is shabby ... Please ... Please ... Please ... Please ... Please ... https://t.co/wp2mljcıwl")</f>
        <v>@drfahrettinkoca lessons get online ... We have been sick ... This virus has never passed ... Fairy is shabby ... Please ... Please ... Please ... Please ... Please ... https://t.co/wp2mljcıwl</v>
      </c>
    </row>
    <row r="12399" spans="1:5" ht="15" customHeight="1" x14ac:dyDescent="0.2">
      <c r="A12399" s="1" t="s">
        <v>24488</v>
      </c>
      <c r="B12399" s="1">
        <v>0</v>
      </c>
      <c r="C12399" s="3">
        <v>44534.725775462961</v>
      </c>
      <c r="D12399" s="1" t="s">
        <v>24489</v>
      </c>
      <c r="E12399" s="1" t="str">
        <f ca="1">IFERROR(__xludf.DUMMYFUNCTION("GOOGLETRANSLATE(A9198 , ""tr"" , ""en"")"),"@drfahrettinkoca so bi variant be calm")</f>
        <v>@drfahrettinkoca so bi variant be calm</v>
      </c>
    </row>
    <row r="12400" spans="1:5" ht="15" customHeight="1" x14ac:dyDescent="0.2">
      <c r="A12400" s="1" t="s">
        <v>24490</v>
      </c>
      <c r="B12400" s="1">
        <v>0</v>
      </c>
      <c r="C12400" s="3">
        <v>44534.716053240743</v>
      </c>
      <c r="D12400" s="1" t="s">
        <v>24491</v>
      </c>
      <c r="E12400" s="1" t="str">
        <f ca="1">IFERROR(__xludf.DUMMYFUNCTION("GOOGLETRANSLATE(A9199 , ""tr"" , ""en"")"),"@drfahrettinkoca you are risking the kids while there is such a variant # distance")</f>
        <v>@drfahrettinkoca you are risking the kids while there is such a variant # distance</v>
      </c>
    </row>
    <row r="12401" spans="1:5" ht="15" customHeight="1" x14ac:dyDescent="0.2">
      <c r="A12401" s="1" t="s">
        <v>21291</v>
      </c>
      <c r="B12401" s="1">
        <v>0</v>
      </c>
      <c r="C12401" s="3">
        <v>44534.705000000002</v>
      </c>
      <c r="D12401" s="1" t="s">
        <v>24492</v>
      </c>
      <c r="E12401" s="1" t="str">
        <f ca="1">IFERROR(__xludf.DUMMYFUNCTION("GOOGLETRANSLATE(A9200 , ""tr"" , ""en"")"),"@drfahrettinkoca healthcare guide is not a two-week husband waiting for a year")</f>
        <v>@drfahrettinkoca healthcare guide is not a two-week husband waiting for a year</v>
      </c>
    </row>
    <row r="12402" spans="1:5" ht="15" customHeight="1" x14ac:dyDescent="0.2">
      <c r="A12402" s="1" t="s">
        <v>21295</v>
      </c>
      <c r="B12402" s="1">
        <v>0</v>
      </c>
      <c r="C12402" s="3">
        <v>44534.704953703702</v>
      </c>
      <c r="D12402" s="1" t="s">
        <v>24493</v>
      </c>
      <c r="E12402" s="1" t="str">
        <f ca="1">IFERROR(__xludf.DUMMYFUNCTION("GOOGLETRANSLATE(A9201 , ""tr"" , ""en"")"),"@drfahrettinkoca healthcare guide is a week not a husband waiting for a year")</f>
        <v>@drfahrettinkoca healthcare guide is a week not a husband waiting for a year</v>
      </c>
    </row>
    <row r="12403" spans="1:5" ht="15" customHeight="1" x14ac:dyDescent="0.2">
      <c r="A12403" s="1" t="s">
        <v>21297</v>
      </c>
      <c r="B12403" s="1">
        <v>0</v>
      </c>
      <c r="C12403" s="3">
        <v>44534.704907407409</v>
      </c>
      <c r="D12403" s="1" t="s">
        <v>24494</v>
      </c>
      <c r="E12403" s="1" t="str">
        <f ca="1">IFERROR(__xludf.DUMMYFUNCTION("GOOGLETRANSLATE(A9202 , ""tr"" , ""en"")"),"@drfahrettinkoca healthcare guide is a week not a husband waiting for a year 8")</f>
        <v>@drfahrettinkoca healthcare guide is a week not a husband waiting for a year 8</v>
      </c>
    </row>
    <row r="12404" spans="1:5" ht="15" customHeight="1" x14ac:dyDescent="0.2">
      <c r="A12404" s="1" t="s">
        <v>21301</v>
      </c>
      <c r="B12404" s="1">
        <v>0</v>
      </c>
      <c r="C12404" s="3">
        <v>44534.704861111109</v>
      </c>
      <c r="D12404" s="1" t="s">
        <v>24495</v>
      </c>
      <c r="E12404" s="1" t="str">
        <f ca="1">IFERROR(__xludf.DUMMYFUNCTION("GOOGLETRANSLATE(A9203 , ""tr"" , ""en"")"),"@drfahrettinkoca healthcare guide is a week not a husband waiting for a year 7")</f>
        <v>@drfahrettinkoca healthcare guide is a week not a husband waiting for a year 7</v>
      </c>
    </row>
    <row r="12405" spans="1:5" ht="15" customHeight="1" x14ac:dyDescent="0.2">
      <c r="A12405" s="1" t="s">
        <v>22751</v>
      </c>
      <c r="B12405" s="1">
        <v>0</v>
      </c>
      <c r="C12405" s="3">
        <v>44534.704814814817</v>
      </c>
      <c r="D12405" s="1" t="s">
        <v>24496</v>
      </c>
      <c r="E12405" s="1" t="str">
        <f ca="1">IFERROR(__xludf.DUMMYFUNCTION("GOOGLETRANSLATE(A9204 , ""tr"" , ""en"")"),"@drfahrettinkoca healthcare guide is a week not a husband waiting for a year 6")</f>
        <v>@drfahrettinkoca healthcare guide is a week not a husband waiting for a year 6</v>
      </c>
    </row>
    <row r="12406" spans="1:5" ht="15" customHeight="1" x14ac:dyDescent="0.2">
      <c r="A12406" s="1" t="s">
        <v>21311</v>
      </c>
      <c r="B12406" s="1">
        <v>0</v>
      </c>
      <c r="C12406" s="3">
        <v>44534.704756944448</v>
      </c>
      <c r="D12406" s="1" t="s">
        <v>24497</v>
      </c>
      <c r="E12406" s="1" t="str">
        <f ca="1">IFERROR(__xludf.DUMMYFUNCTION("GOOGLETRANSLATE(A9205 , ""tr"" , ""en"")"),"@drfahrettinkoca healthcare guide is a week not a husband waiting for a year 5")</f>
        <v>@drfahrettinkoca healthcare guide is a week not a husband waiting for a year 5</v>
      </c>
    </row>
    <row r="12407" spans="1:5" ht="15" customHeight="1" x14ac:dyDescent="0.2">
      <c r="A12407" s="1" t="s">
        <v>21327</v>
      </c>
      <c r="B12407" s="1">
        <v>0</v>
      </c>
      <c r="C12407" s="3">
        <v>44534.704699074071</v>
      </c>
      <c r="D12407" s="1" t="s">
        <v>24498</v>
      </c>
      <c r="E12407" s="1" t="str">
        <f ca="1">IFERROR(__xludf.DUMMYFUNCTION("GOOGLETRANSLATE(A9206 , ""tr"" , ""en"")"),"@drfahrettinkoca healthcare guide is a two weeks not husband waiting for a year 3")</f>
        <v>@drfahrettinkoca healthcare guide is a two weeks not husband waiting for a year 3</v>
      </c>
    </row>
    <row r="12408" spans="1:5" ht="15" customHeight="1" x14ac:dyDescent="0.2">
      <c r="A12408" s="1" t="s">
        <v>21333</v>
      </c>
      <c r="B12408" s="1">
        <v>0</v>
      </c>
      <c r="C12408" s="3">
        <v>44534.704652777778</v>
      </c>
      <c r="D12408" s="1" t="s">
        <v>24499</v>
      </c>
      <c r="E12408" s="1" t="str">
        <f ca="1">IFERROR(__xludf.DUMMYFUNCTION("GOOGLETRANSLATE(A9207 , ""tr"" , ""en"")"),"@drfahrettinkoca healthcare guide is not a two weeks a husband waiting for a year2")</f>
        <v>@drfahrettinkoca healthcare guide is not a two weeks a husband waiting for a year2</v>
      </c>
    </row>
    <row r="12409" spans="1:5" ht="15" customHeight="1" x14ac:dyDescent="0.2">
      <c r="A12409" s="1" t="s">
        <v>19732</v>
      </c>
      <c r="B12409" s="1">
        <v>0</v>
      </c>
      <c r="C12409" s="3">
        <v>44534.704583333332</v>
      </c>
      <c r="D12409" s="1" t="s">
        <v>24500</v>
      </c>
      <c r="E12409" s="1" t="str">
        <f ca="1">IFERROR(__xludf.DUMMYFUNCTION("GOOGLETRANSLATE(A9208 , ""tr"" , ""en"")"),"@drfahrettinkoca healthcare guide is a week not for a husband waiting for a year")</f>
        <v>@drfahrettinkoca healthcare guide is a week not for a husband waiting for a year</v>
      </c>
    </row>
    <row r="12410" spans="1:5" ht="15" customHeight="1" x14ac:dyDescent="0.2">
      <c r="A12410" s="1" t="s">
        <v>21339</v>
      </c>
      <c r="B12410" s="1">
        <v>0</v>
      </c>
      <c r="C12410" s="3">
        <v>44534.703182870369</v>
      </c>
      <c r="D12410" s="1" t="s">
        <v>24501</v>
      </c>
      <c r="E12410" s="1" t="str">
        <f ca="1">IFERROR(__xludf.DUMMYFUNCTION("GOOGLETRANSLATE(A9209 , ""tr"" , ""en"")"),"@drfahrettinkoca Healthparts Guide is a week not a husband waiting for a year 1")</f>
        <v>@drfahrettinkoca Healthparts Guide is a week not a husband waiting for a year 1</v>
      </c>
    </row>
    <row r="12411" spans="1:5" ht="15" customHeight="1" x14ac:dyDescent="0.2">
      <c r="A12411" s="1" t="s">
        <v>24502</v>
      </c>
      <c r="B12411" s="1">
        <v>0</v>
      </c>
      <c r="C12411" s="3">
        <v>44533.997002314813</v>
      </c>
      <c r="D12411" s="1" t="s">
        <v>24503</v>
      </c>
      <c r="E12411" s="1" t="str">
        <f ca="1">IFERROR(__xludf.DUMMYFUNCTION("GOOGLETRANSLATE(A9210 , ""tr"" , ""en"")"),"@drfahrettinkoca Enough of the pandemy do not immerse the country.")</f>
        <v>@drfahrettinkoca Enough of the pandemy do not immerse the country.</v>
      </c>
    </row>
    <row r="12412" spans="1:5" ht="15" customHeight="1" x14ac:dyDescent="0.2">
      <c r="A12412" s="1" t="s">
        <v>24504</v>
      </c>
      <c r="B12412" s="1">
        <v>0</v>
      </c>
      <c r="C12412" s="3">
        <v>44533.992210648146</v>
      </c>
      <c r="D12412" s="1" t="s">
        <v>24505</v>
      </c>
      <c r="E12412" s="1" t="str">
        <f ca="1">IFERROR(__xludf.DUMMYFUNCTION("GOOGLETRANSLATE(A9211 , ""tr"" , ""en"")"),"@drfahrettinkoca minister says that the case says not being afraid to try to study finding it is not sick to work")</f>
        <v>@drfahrettinkoca minister says that the case says not being afraid to try to study finding it is not sick to work</v>
      </c>
    </row>
    <row r="12413" spans="1:5" ht="15" customHeight="1" x14ac:dyDescent="0.2">
      <c r="A12413" s="7" t="s">
        <v>24506</v>
      </c>
      <c r="B12413" s="1">
        <v>0</v>
      </c>
      <c r="C12413" s="3">
        <v>44533.972974537035</v>
      </c>
      <c r="D12413" s="1" t="s">
        <v>24507</v>
      </c>
      <c r="E12413" s="1" t="str">
        <f ca="1">IFERROR(__xludf.DUMMYFUNCTION("GOOGLETRANSLATE(A9212 , ""tr"" , ""en"")"),"@drfahrettinkoca 1 نظ ظ WTT ظ K3R44 + 13 // _ € 7 € ظظ 5 H5T33222WQAWE 57")</f>
        <v>@drfahrettinkoca 1 نظ ظ WTT ظ K3R44 + 13 // _ € 7 € ظظ 5 H5T33222WQAWE 57</v>
      </c>
    </row>
    <row r="12414" spans="1:5" ht="15" customHeight="1" x14ac:dyDescent="0.2">
      <c r="A12414" s="1" t="s">
        <v>24508</v>
      </c>
      <c r="B12414" s="1">
        <v>0</v>
      </c>
      <c r="C12414" s="3">
        <v>44533.959490740737</v>
      </c>
      <c r="D12414" s="1" t="s">
        <v>24509</v>
      </c>
      <c r="E12414" s="1" t="str">
        <f ca="1">IFERROR(__xludf.DUMMYFUNCTION("GOOGLETRANSLATE(A9213 , ""tr"" , ""en"")"),"@drfahrettinkoca If you love your Allah, we are tired of residual lies, your minds of your conscience NA ... https://t.co/fq4hr4dtnd")</f>
        <v>@drfahrettinkoca If you love your Allah, we are tired of residual lies, your minds of your conscience NA ... https://t.co/fq4hr4dtnd</v>
      </c>
    </row>
    <row r="12415" spans="1:5" ht="15" customHeight="1" x14ac:dyDescent="0.2">
      <c r="A12415" s="1" t="s">
        <v>24510</v>
      </c>
      <c r="B12415" s="1">
        <v>3</v>
      </c>
      <c r="C12415" s="3">
        <v>44533.949745370373</v>
      </c>
      <c r="D12415" s="1" t="s">
        <v>24511</v>
      </c>
      <c r="E12415" s="1" t="str">
        <f ca="1">IFERROR(__xludf.DUMMYFUNCTION("GOOGLETRANSLATE(A9214 , ""tr"" , ""en"")"),"@drfahrettinkoca display rose Mehmet Ceyhan says this guy is doing time on their head and what intermediate work is doing")</f>
        <v>@drfahrettinkoca display rose Mehmet Ceyhan says this guy is doing time on their head and what intermediate work is doing</v>
      </c>
    </row>
    <row r="12416" spans="1:5" ht="15" customHeight="1" x14ac:dyDescent="0.2">
      <c r="A12416" s="1" t="s">
        <v>24512</v>
      </c>
      <c r="B12416" s="1">
        <v>0</v>
      </c>
      <c r="C12416" s="3">
        <v>44533.947222222225</v>
      </c>
      <c r="D12416" s="1" t="s">
        <v>24513</v>
      </c>
      <c r="E12416" s="1" t="str">
        <f ca="1">IFERROR(__xludf.DUMMYFUNCTION("GOOGLETRANSLATE(A9215 , ""tr"" , ""en"")"),"@drfahrettinkoca #PFIZERHHESAPVER")</f>
        <v>@drfahrettinkoca #PFIZERHHESAPVER</v>
      </c>
    </row>
    <row r="12417" spans="1:5" ht="15" customHeight="1" x14ac:dyDescent="0.2">
      <c r="A12417" s="1" t="s">
        <v>24514</v>
      </c>
      <c r="B12417" s="1">
        <v>0</v>
      </c>
      <c r="C12417" s="3">
        <v>44533.939918981479</v>
      </c>
      <c r="D12417" s="1" t="s">
        <v>24515</v>
      </c>
      <c r="E12417" s="1" t="str">
        <f ca="1">IFERROR(__xludf.DUMMYFUNCTION("GOOGLETRANSLATE(A9216 , ""tr"" , ""en"")"),"@drfahrettinkoca If you have been involved tomorrow")</f>
        <v>@drfahrettinkoca If you have been involved tomorrow</v>
      </c>
    </row>
    <row r="12418" spans="1:5" ht="15" customHeight="1" x14ac:dyDescent="0.2">
      <c r="A12418" s="1" t="s">
        <v>24516</v>
      </c>
      <c r="B12418" s="1">
        <v>0</v>
      </c>
      <c r="C12418" s="3">
        <v>44533.939293981479</v>
      </c>
      <c r="D12418" s="1" t="s">
        <v>24517</v>
      </c>
      <c r="E12418" s="1" t="str">
        <f ca="1">IFERROR(__xludf.DUMMYFUNCTION("GOOGLETRANSLATE(A9217 , ""tr"" , ""en"")"),"@drfahrettinkoca why these variants are always movie name.Hepside foreign everyone's variant of your own ulk's variant. Https://t.co/zz6fem6waq")</f>
        <v>@drfahrettinkoca why these variants are always movie name.Hepside foreign everyone's variant of your own ulk's variant. Https://t.co/zz6fem6waq</v>
      </c>
    </row>
    <row r="12419" spans="1:5" ht="15" customHeight="1" x14ac:dyDescent="0.2">
      <c r="A12419" s="1" t="s">
        <v>24518</v>
      </c>
      <c r="B12419" s="1">
        <v>0</v>
      </c>
      <c r="C12419" s="3">
        <v>44533.939259259256</v>
      </c>
      <c r="D12419" s="1" t="s">
        <v>24519</v>
      </c>
      <c r="E12419" s="1" t="str">
        <f ca="1">IFERROR(__xludf.DUMMYFUNCTION("GOOGLETRANSLATE(A9218 , ""tr"" , ""en"")"),"@drfahrettinkoca Come on Variant Variant HA Endure 😎")</f>
        <v>@drfahrettinkoca Come on Variant Variant HA Endure 😎</v>
      </c>
    </row>
    <row r="12420" spans="1:5" ht="15" customHeight="1" x14ac:dyDescent="0.2">
      <c r="A12420" s="1" t="s">
        <v>24520</v>
      </c>
      <c r="B12420" s="1">
        <v>0</v>
      </c>
      <c r="C12420" s="3">
        <v>44533.9378125</v>
      </c>
      <c r="D12420" s="1" t="s">
        <v>24521</v>
      </c>
      <c r="E12420" s="1" t="str">
        <f ca="1">IFERROR(__xludf.DUMMYFUNCTION("GOOGLETRANSLATE(A9219 , ""tr"" , ""en"")"),"@drfahrettinkoca you will be judged")</f>
        <v>@drfahrettinkoca you will be judged</v>
      </c>
    </row>
    <row r="12421" spans="1:5" ht="15" customHeight="1" x14ac:dyDescent="0.2">
      <c r="A12421" s="1" t="s">
        <v>24522</v>
      </c>
      <c r="B12421" s="1">
        <v>2</v>
      </c>
      <c r="C12421" s="3">
        <v>44533.934502314813</v>
      </c>
      <c r="D12421" s="1" t="s">
        <v>24523</v>
      </c>
      <c r="E12421" s="1" t="str">
        <f ca="1">IFERROR(__xludf.DUMMYFUNCTION("GOOGLETRANSLATE(A9220 , ""tr"" , ""en"")"),"@drfahrettinkoca COVID Tests When I'm misleading, we will be able to be EMIN")</f>
        <v>@drfahrettinkoca COVID Tests When I'm misleading, we will be able to be EMIN</v>
      </c>
    </row>
    <row r="12422" spans="1:5" ht="15" customHeight="1" x14ac:dyDescent="0.2">
      <c r="A12422" s="1" t="s">
        <v>24524</v>
      </c>
      <c r="B12422" s="1">
        <v>12</v>
      </c>
      <c r="C12422" s="3">
        <v>44533.933553240742</v>
      </c>
      <c r="D12422" s="1" t="s">
        <v>24525</v>
      </c>
      <c r="E12422" s="1" t="str">
        <f ca="1">IFERROR(__xludf.DUMMYFUNCTION("GOOGLETRANSLATE(A9221 , ""tr"" , ""en"")"),"Look @drfahrettinkoca, what he says the locale ... https://t.co/ngdjipj0nu")</f>
        <v>Look @drfahrettinkoca, what he says the locale ... https://t.co/ngdjipj0nu</v>
      </c>
    </row>
    <row r="12423" spans="1:5" ht="15" customHeight="1" x14ac:dyDescent="0.2">
      <c r="A12423" s="1" t="s">
        <v>24526</v>
      </c>
      <c r="B12423" s="1">
        <v>0</v>
      </c>
      <c r="C12423" s="3">
        <v>44533.93341435185</v>
      </c>
      <c r="D12423" s="1" t="s">
        <v>24527</v>
      </c>
      <c r="E12423" s="1" t="str">
        <f ca="1">IFERROR(__xludf.DUMMYFUNCTION("GOOGLETRANSLATE(A9222 , ""tr"" , ""en"")"),"@drfahrettinkoca to take the precaution without coming and become vaccination, or when it comes to two doses for omicron")</f>
        <v>@drfahrettinkoca to take the precaution without coming and become vaccination, or when it comes to two doses for omicron</v>
      </c>
    </row>
    <row r="12424" spans="1:5" ht="15" customHeight="1" x14ac:dyDescent="0.2">
      <c r="A12424" s="1" t="s">
        <v>24528</v>
      </c>
      <c r="B12424" s="1">
        <v>2</v>
      </c>
      <c r="C12424" s="3">
        <v>44533.930648148147</v>
      </c>
      <c r="D12424" s="1" t="s">
        <v>24529</v>
      </c>
      <c r="E12424" s="1" t="str">
        <f ca="1">IFERROR(__xludf.DUMMYFUNCTION("GOOGLETRANSLATE(A9223 , ""tr"" , ""en"")"),"@drfahrettinkoca I can't find anything to call you.They is the none of the namepiece of Lies to the Minister of Sizarkı")</f>
        <v>@drfahrettinkoca I can't find anything to call you.They is the none of the namepiece of Lies to the Minister of Sizarkı</v>
      </c>
    </row>
    <row r="12425" spans="1:5" ht="15" customHeight="1" x14ac:dyDescent="0.2">
      <c r="A12425" s="1" t="s">
        <v>24530</v>
      </c>
      <c r="B12425" s="1">
        <v>0</v>
      </c>
      <c r="C12425" s="3">
        <v>44533.930590277778</v>
      </c>
      <c r="D12425" s="1" t="s">
        <v>24531</v>
      </c>
      <c r="E12425" s="1" t="str">
        <f ca="1">IFERROR(__xludf.DUMMYFUNCTION("GOOGLETRANSLATE(A9224 , ""tr"" , ""en"")"),"@drfahrettinka Mr. Minister; the most oversapped information to your knowledge")</f>
        <v>@drfahrettinka Mr. Minister; the most oversapped information to your knowledge</v>
      </c>
    </row>
    <row r="12426" spans="1:5" ht="15" customHeight="1" x14ac:dyDescent="0.2">
      <c r="A12426" s="1" t="s">
        <v>24532</v>
      </c>
      <c r="B12426" s="1">
        <v>0</v>
      </c>
      <c r="C12426" s="3">
        <v>44533.926435185182</v>
      </c>
      <c r="D12426" s="1" t="s">
        <v>24533</v>
      </c>
      <c r="E12426" s="1" t="str">
        <f ca="1">IFERROR(__xludf.DUMMYFUNCTION("GOOGLETRANSLATE(A9225 , ""tr"" , ""en"")"),"@drfahrettinkoca hee he is in my op")</f>
        <v>@drfahrettinkoca hee he is in my op</v>
      </c>
    </row>
    <row r="12427" spans="1:5" ht="15" customHeight="1" x14ac:dyDescent="0.2">
      <c r="A12427" s="1" t="s">
        <v>24534</v>
      </c>
      <c r="B12427" s="1">
        <v>33</v>
      </c>
      <c r="C12427" s="3">
        <v>44533.923009259262</v>
      </c>
      <c r="D12427" s="1" t="s">
        <v>24535</v>
      </c>
      <c r="E12427" s="1" t="str">
        <f ca="1">IFERROR(__xludf.DUMMYFUNCTION("GOOGLETRANSLATE(A9226 , ""tr"" , ""en"")"),"@drfahrettinkoca Fahrettin Efendi ""OMICRON"" and then the future ""Pi, Rho, Sigma etc."" Variant is not a variant, produced ... https://t.co/bvsjgihtxc")</f>
        <v>@drfahrettinkoca Fahrettin Efendi "OMICRON" and then the future "Pi, Rho, Sigma etc." Variant is not a variant, produced ... https://t.co/bvsjgihtxc</v>
      </c>
    </row>
    <row r="12428" spans="1:5" ht="15" customHeight="1" x14ac:dyDescent="0.2">
      <c r="A12428" s="1" t="s">
        <v>24536</v>
      </c>
      <c r="B12428" s="1">
        <v>0</v>
      </c>
      <c r="C12428" s="3">
        <v>44533.922581018516</v>
      </c>
      <c r="D12428" s="1" t="s">
        <v>24537</v>
      </c>
      <c r="E12428" s="1" t="str">
        <f ca="1">IFERROR(__xludf.DUMMYFUNCTION("GOOGLETRANSLATE(A9227 , ""tr"" , ""en"")"),"@drfahrettinkoca or patience ..")</f>
        <v>@drfahrettinkoca or patience ..</v>
      </c>
    </row>
    <row r="12429" spans="1:5" ht="15" customHeight="1" x14ac:dyDescent="0.2">
      <c r="A12429" s="1" t="s">
        <v>24538</v>
      </c>
      <c r="B12429" s="1">
        <v>2</v>
      </c>
      <c r="C12429" s="3">
        <v>44533.918020833335</v>
      </c>
      <c r="D12429" s="1" t="s">
        <v>24539</v>
      </c>
      <c r="E12429" s="1" t="str">
        <f ca="1">IFERROR(__xludf.DUMMYFUNCTION("GOOGLETRANSLATE(A9228 , ""tr"" , ""en"")"),"@drfahrettinkoca he ... https://t.co/errvjmtacp")</f>
        <v>@drfahrettinkoca he ... https://t.co/errvjmtacp</v>
      </c>
    </row>
    <row r="12430" spans="1:5" ht="15" customHeight="1" x14ac:dyDescent="0.2">
      <c r="A12430" s="1" t="s">
        <v>24540</v>
      </c>
      <c r="B12430" s="1">
        <v>0</v>
      </c>
      <c r="C12430" s="3">
        <v>44533.915034722224</v>
      </c>
      <c r="D12430" s="1" t="s">
        <v>24541</v>
      </c>
      <c r="E12430" s="1" t="str">
        <f ca="1">IFERROR(__xludf.DUMMYFUNCTION("GOOGLETRANSLATE(A9229 , ""tr"" , ""en"")"),"@drfahrettinkoca @saglikbakanligi #SmayAutlusOnSunsun Babies Dead Bi Decide Bi Don't Did Not very hard at Doctor ... https://t.co/ow22gxbnzp")</f>
        <v>@drfahrettinkoca @saglikbakanligi #SmayAutlusOnSunsun Babies Dead Bi Decide Bi Don't Did Not very hard at Doctor ... https://t.co/ow22gxbnzp</v>
      </c>
    </row>
    <row r="12431" spans="1:5" ht="15" customHeight="1" x14ac:dyDescent="0.2">
      <c r="A12431" s="1" t="s">
        <v>24542</v>
      </c>
      <c r="B12431" s="1">
        <v>0</v>
      </c>
      <c r="C12431" s="3">
        <v>44533.912557870368</v>
      </c>
      <c r="D12431" s="1" t="s">
        <v>24543</v>
      </c>
      <c r="E12431" s="1" t="str">
        <f ca="1">IFERROR(__xludf.DUMMYFUNCTION("GOOGLETRANSLATE(A9230 , ""tr"" , ""en"")"),"@drfahrettinkoca One night I have prepared to close the omicron variant in our country in our country, are preparing to close ... https://t.co/fbz0aejx7o")</f>
        <v>@drfahrettinkoca One night I have prepared to close the omicron variant in our country in our country, are preparing to close ... https://t.co/fbz0aejx7o</v>
      </c>
    </row>
    <row r="12432" spans="1:5" ht="15" customHeight="1" x14ac:dyDescent="0.2">
      <c r="A12432" s="1" t="s">
        <v>24544</v>
      </c>
      <c r="B12432" s="1">
        <v>0</v>
      </c>
      <c r="C12432" s="3">
        <v>44533.911423611113</v>
      </c>
      <c r="D12432" s="1" t="s">
        <v>24545</v>
      </c>
      <c r="E12432" s="1" t="str">
        <f ca="1">IFERROR(__xludf.DUMMYFUNCTION("GOOGLETRANSLATE(A9231 , ""tr"" , ""en"")"),"@drfahrettinkoca Don't worry Fahrettin husband New Tests When it comes to the people you make it coercion to the people")</f>
        <v>@drfahrettinkoca Don't worry Fahrettin husband New Tests When it comes to the people you make it coercion to the people</v>
      </c>
    </row>
    <row r="12433" spans="1:5" ht="15" customHeight="1" x14ac:dyDescent="0.2">
      <c r="A12433" s="1" t="s">
        <v>24546</v>
      </c>
      <c r="B12433" s="1">
        <v>0</v>
      </c>
      <c r="C12433" s="3">
        <v>44533.909120370372</v>
      </c>
      <c r="D12433" s="1" t="s">
        <v>24547</v>
      </c>
      <c r="E12433" s="1" t="str">
        <f ca="1">IFERROR(__xludf.DUMMYFUNCTION("GOOGLETRANSLATE(A9232 , ""tr"" , ""en"")"),"@drfahrettinkoca What did he say? What did you honify ???? Mr. The master I don't say I can say something? Fame of the forgiveness")</f>
        <v>@drfahrettinkoca What did he say? What did you honify ???? Mr. The master I don't say I can say something? Fame of the forgiveness</v>
      </c>
    </row>
    <row r="12434" spans="1:5" ht="15" customHeight="1" x14ac:dyDescent="0.2">
      <c r="A12434" s="1" t="s">
        <v>24548</v>
      </c>
      <c r="B12434" s="1">
        <v>2</v>
      </c>
      <c r="C12434" s="3">
        <v>44533.907812500001</v>
      </c>
      <c r="D12434" s="1" t="s">
        <v>24549</v>
      </c>
      <c r="E12434" s="1" t="str">
        <f ca="1">IFERROR(__xludf.DUMMYFUNCTION("GOOGLETRANSLATE(A9233 , ""tr"" , ""en"")"),"@drfahrettinkoca favipiravir is still recommended ... medipol + atabay = $ https://t.co/ozz8mqxtdv")</f>
        <v>@drfahrettinkoca favipiravir is still recommended ... medipol + atabay = $ https://t.co/ozz8mqxtdv</v>
      </c>
    </row>
    <row r="12435" spans="1:5" ht="15" customHeight="1" x14ac:dyDescent="0.2">
      <c r="A12435" s="1" t="s">
        <v>24550</v>
      </c>
      <c r="B12435" s="1">
        <v>0</v>
      </c>
      <c r="C12435" s="3">
        <v>44533.907418981478</v>
      </c>
      <c r="D12435" s="1" t="s">
        <v>24551</v>
      </c>
      <c r="E12435" s="1" t="str">
        <f ca="1">IFERROR(__xludf.DUMMYFUNCTION("GOOGLETRANSLATE(A9234 , ""tr"" , ""en"")"),"@drfahrettinka https://t.co/harınlciq1")</f>
        <v>@drfahrettinka https://t.co/harınlciq1</v>
      </c>
    </row>
    <row r="12436" spans="1:5" ht="15" customHeight="1" x14ac:dyDescent="0.2">
      <c r="A12436" s="1" t="s">
        <v>24552</v>
      </c>
      <c r="B12436" s="1">
        <v>0</v>
      </c>
      <c r="C12436" s="3">
        <v>44533.903217592589</v>
      </c>
      <c r="D12436" s="1" t="s">
        <v>24553</v>
      </c>
      <c r="E12436" s="1" t="str">
        <f ca="1">IFERROR(__xludf.DUMMYFUNCTION("GOOGLETRANSLATE(A9235 , ""tr"" , ""en"")"),"@drfahrettinkoca ha Strive Duzce 74.1 .Biz 75% We can rely on the flat.")</f>
        <v>@drfahrettinkoca ha Strive Duzce 74.1 .Biz 75% We can rely on the flat.</v>
      </c>
    </row>
    <row r="12437" spans="1:5" ht="15" customHeight="1" x14ac:dyDescent="0.2">
      <c r="A12437" s="1" t="s">
        <v>24554</v>
      </c>
      <c r="B12437" s="1">
        <v>0</v>
      </c>
      <c r="C12437" s="3">
        <v>44533.900636574072</v>
      </c>
      <c r="D12437" s="1" t="s">
        <v>24555</v>
      </c>
      <c r="E12437" s="1" t="str">
        <f ca="1">IFERROR(__xludf.DUMMYFUNCTION("GOOGLETRANSLATE(A9236 , ""tr"" , ""en"")"),"@drfahrettinkoca though you will receive a precaution?")</f>
        <v>@drfahrettinkoca though you will receive a precaution?</v>
      </c>
    </row>
    <row r="12438" spans="1:5" ht="15" customHeight="1" x14ac:dyDescent="0.2">
      <c r="A12438" s="1" t="s">
        <v>24556</v>
      </c>
      <c r="B12438" s="1">
        <v>0</v>
      </c>
      <c r="C12438" s="3">
        <v>44533.897916666669</v>
      </c>
      <c r="D12438" s="1" t="s">
        <v>24557</v>
      </c>
      <c r="E12438" s="1" t="str">
        <f ca="1">IFERROR(__xludf.DUMMYFUNCTION("GOOGLETRANSLATE(A9237 , ""tr"" , ""en"")"),"@drfahrettinkoca Variants How to diagnose @drfahrettinkoca. Which kit do we use ??")</f>
        <v>@drfahrettinkoca Variants How to diagnose @drfahrettinkoca. Which kit do we use ??</v>
      </c>
    </row>
    <row r="12439" spans="1:5" ht="15" customHeight="1" x14ac:dyDescent="0.2">
      <c r="A12439" s="1" t="s">
        <v>24558</v>
      </c>
      <c r="B12439" s="1">
        <v>0</v>
      </c>
      <c r="C12439" s="3">
        <v>44533.896550925929</v>
      </c>
      <c r="D12439" s="1" t="s">
        <v>24559</v>
      </c>
      <c r="E12439" s="1" t="str">
        <f ca="1">IFERROR(__xludf.DUMMYFUNCTION("GOOGLETRANSLATE(A9238 , ""tr"" , ""en"")"),"@drfahrettinkoca is very soon to be in Turkey and will spread quickly. You've told the same thing in Delta but ... https://t.co/uop76j7rzq")</f>
        <v>@drfahrettinkoca is very soon to be in Turkey and will spread quickly. You've told the same thing in Delta but ... https://t.co/uop76j7rzq</v>
      </c>
    </row>
    <row r="12440" spans="1:5" ht="15" customHeight="1" x14ac:dyDescent="0.2">
      <c r="A12440" s="1" t="s">
        <v>24560</v>
      </c>
      <c r="B12440" s="1">
        <v>1</v>
      </c>
      <c r="C12440" s="3">
        <v>44533.895682870374</v>
      </c>
      <c r="D12440" s="1" t="s">
        <v>24561</v>
      </c>
      <c r="E12440" s="1" t="str">
        <f ca="1">IFERROR(__xludf.DUMMYFUNCTION("GOOGLETRANSLATE(A9239 , ""tr"" , ""en"")"),"@drfahrettinkoca A assignment shouldn't be so hard on it. We now want guide. @drfahrettinkoca # fcking")</f>
        <v>@drfahrettinkoca A assignment shouldn't be so hard on it. We now want guide. @drfahrettinkoca # fcking</v>
      </c>
    </row>
    <row r="12441" spans="1:5" ht="15" customHeight="1" x14ac:dyDescent="0.2">
      <c r="A12441" s="1" t="s">
        <v>24562</v>
      </c>
      <c r="B12441" s="1">
        <v>0</v>
      </c>
      <c r="C12441" s="3">
        <v>44533.89472222222</v>
      </c>
      <c r="D12441" s="1" t="s">
        <v>24563</v>
      </c>
      <c r="E12441" s="1" t="str">
        <f ca="1">IFERROR(__xludf.DUMMYFUNCTION("GOOGLETRANSLATE(A9240 , ""tr"" , ""en"")"),"@drfahrettinkoca has wrapped 4 of the two sides of the two houses in Covid! We are extraordinary fighting to avoid so ... https://t.co/g31oklsq3u")</f>
        <v>@drfahrettinkoca has wrapped 4 of the two sides of the two houses in Covid! We are extraordinary fighting to avoid so ... https://t.co/g31oklsq3u</v>
      </c>
    </row>
    <row r="12442" spans="1:5" ht="15" customHeight="1" x14ac:dyDescent="0.2">
      <c r="A12442" s="1" t="s">
        <v>24564</v>
      </c>
      <c r="B12442" s="1">
        <v>0</v>
      </c>
      <c r="C12442" s="3">
        <v>44533.892083333332</v>
      </c>
      <c r="D12442" s="1" t="s">
        <v>24565</v>
      </c>
      <c r="E12442" s="1" t="str">
        <f ca="1">IFERROR(__xludf.DUMMYFUNCTION("GOOGLETRANSLATE(A9241 , ""tr"" , ""en"")"),"@drfahrettinkoca how you don't worry at all of your healthcare you have increased so heart attacks don't have increased ... https://t.co/midy26lxnr")</f>
        <v>@drfahrettinkoca how you don't worry at all of your healthcare you have increased so heart attacks don't have increased ... https://t.co/midy26lxnr</v>
      </c>
    </row>
    <row r="12443" spans="1:5" ht="15" customHeight="1" x14ac:dyDescent="0.2">
      <c r="A12443" s="1" t="s">
        <v>24566</v>
      </c>
      <c r="B12443" s="1">
        <v>0</v>
      </c>
      <c r="C12443" s="3">
        <v>44533.891053240739</v>
      </c>
      <c r="D12443" s="1" t="s">
        <v>24567</v>
      </c>
      <c r="E12443" s="1" t="str">
        <f ca="1">IFERROR(__xludf.DUMMYFUNCTION("GOOGLETRANSLATE(A9242 , ""tr"" , ""en"")"),"@drfahrettinka do you still believe these 🙂")</f>
        <v>@drfahrettinka do you still believe these 🙂</v>
      </c>
    </row>
    <row r="12444" spans="1:5" ht="15" customHeight="1" x14ac:dyDescent="0.2">
      <c r="A12444" s="1" t="s">
        <v>24568</v>
      </c>
      <c r="B12444" s="1">
        <v>0</v>
      </c>
      <c r="C12444" s="3">
        <v>44533.891053240739</v>
      </c>
      <c r="D12444" s="1" t="s">
        <v>24569</v>
      </c>
      <c r="E12444" s="1" t="str">
        <f ca="1">IFERROR(__xludf.DUMMYFUNCTION("GOOGLETRANSLATE(A9243 , ""tr"" , ""en"")"),"@drfahrettinkoca Did you get permission of pungetli-")</f>
        <v>@drfahrettinkoca Did you get permission of pungetli-</v>
      </c>
    </row>
    <row r="12445" spans="1:5" ht="15" customHeight="1" x14ac:dyDescent="0.2">
      <c r="A12445" s="1" t="s">
        <v>24570</v>
      </c>
      <c r="B12445" s="1">
        <v>0</v>
      </c>
      <c r="C12445" s="3">
        <v>44533.890821759262</v>
      </c>
      <c r="D12445" s="1" t="s">
        <v>24571</v>
      </c>
      <c r="E12445" s="1" t="str">
        <f ca="1">IFERROR(__xludf.DUMMYFUNCTION("GOOGLETRANSLATE(A9244 , ""tr"" , ""en"")"),"@drfahrettinkoca g 82")</f>
        <v>@drfahrettinkoca g 82</v>
      </c>
    </row>
    <row r="12446" spans="1:5" ht="15" customHeight="1" x14ac:dyDescent="0.2">
      <c r="A12446" s="1" t="s">
        <v>24572</v>
      </c>
      <c r="B12446" s="1">
        <v>0</v>
      </c>
      <c r="C12446" s="3">
        <v>44533.889421296299</v>
      </c>
      <c r="D12446" s="1" t="s">
        <v>24573</v>
      </c>
      <c r="E12446" s="1" t="str">
        <f ca="1">IFERROR(__xludf.DUMMYFUNCTION("GOOGLETRANSLATE(A9245 , ""tr"" , ""en"")"),"@drfahrettinkoca 50 thousand cases in the Ulku number 90 but we have 200 so active in 200 ie the active cases ... https://t.co/k4eyxronej")</f>
        <v>@drfahrettinkoca 50 thousand cases in the Ulku number 90 but we have 200 so active in 200 ie the active cases ... https://t.co/k4eyxronej</v>
      </c>
    </row>
    <row r="12447" spans="1:5" ht="15" customHeight="1" x14ac:dyDescent="0.2">
      <c r="A12447" s="1" t="s">
        <v>24574</v>
      </c>
      <c r="B12447" s="1">
        <v>0</v>
      </c>
      <c r="C12447" s="3">
        <v>44533.888553240744</v>
      </c>
      <c r="D12447" s="1" t="s">
        <v>24575</v>
      </c>
      <c r="E12447" s="1" t="str">
        <f ca="1">IFERROR(__xludf.DUMMYFUNCTION("GOOGLETRANSLATE(A9246 , ""tr"" , ""en"")"),"@drfahrettinkoca countries close their limits ours are still very sickening not very sickening like delircem joke")</f>
        <v>@drfahrettinkoca countries close their limits ours are still very sickening not very sickening like delircem joke</v>
      </c>
    </row>
    <row r="12448" spans="1:5" ht="15" customHeight="1" x14ac:dyDescent="0.2">
      <c r="A12448" s="1" t="s">
        <v>24576</v>
      </c>
      <c r="B12448" s="1">
        <v>1</v>
      </c>
      <c r="C12448" s="3">
        <v>44533.888148148151</v>
      </c>
      <c r="D12448" s="1" t="s">
        <v>24577</v>
      </c>
      <c r="E12448" s="1" t="str">
        <f ca="1">IFERROR(__xludf.DUMMYFUNCTION("GOOGLETRANSLATE(A9247 , ""tr"" , ""en"")"),"@drfahrettinkoca is not clear that the grafted people can be protected against serious disease. However, grafted people serious ... https://t.co/zaa1JDWRIC")</f>
        <v>@drfahrettinkoca is not clear that the grafted people can be protected against serious disease. However, grafted people serious ... https://t.co/zaa1JDWRIC</v>
      </c>
    </row>
    <row r="12449" spans="1:5" ht="15" customHeight="1" x14ac:dyDescent="0.2">
      <c r="A12449" s="1" t="s">
        <v>24578</v>
      </c>
      <c r="B12449" s="1">
        <v>1</v>
      </c>
      <c r="C12449" s="3">
        <v>44533.88685185185</v>
      </c>
      <c r="D12449" s="1" t="s">
        <v>24579</v>
      </c>
      <c r="E12449" s="1" t="str">
        <f ca="1">IFERROR(__xludf.DUMMYFUNCTION("GOOGLETRANSLATE(A9248 , ""tr"" , ""en"")"),"@drfahrettinkoca ?????? https://t.co/xucewtk1gx")</f>
        <v>@drfahrettinkoca ?????? https://t.co/xucewtk1gx</v>
      </c>
    </row>
    <row r="12450" spans="1:5" ht="15" customHeight="1" x14ac:dyDescent="0.2">
      <c r="A12450" s="1" t="s">
        <v>24580</v>
      </c>
      <c r="B12450" s="1">
        <v>3</v>
      </c>
      <c r="C12450" s="3">
        <v>44533.884560185186</v>
      </c>
      <c r="D12450" s="1" t="s">
        <v>24581</v>
      </c>
      <c r="E12450" s="1" t="str">
        <f ca="1">IFERROR(__xludf.DUMMYFUNCTION("GOOGLETRANSLATE(A9249 , ""tr"" , ""en"")"),"@drfahrettinkoca we want online education please hear our voice no longer")</f>
        <v>@drfahrettinkoca we want online education please hear our voice no longer</v>
      </c>
    </row>
    <row r="12451" spans="1:5" ht="15" customHeight="1" x14ac:dyDescent="0.2">
      <c r="A12451" s="1" t="s">
        <v>24582</v>
      </c>
      <c r="B12451" s="1">
        <v>0</v>
      </c>
      <c r="C12451" s="3">
        <v>44533.883900462963</v>
      </c>
      <c r="D12451" s="1" t="s">
        <v>24583</v>
      </c>
      <c r="E12451" s="1" t="str">
        <f ca="1">IFERROR(__xludf.DUMMYFUNCTION("GOOGLETRANSLATE(A9250 , ""tr"" , ""en"")"),"@drfahrettinkoca is why the cases are increased all over the world. I certainly don't believe the data described.")</f>
        <v>@drfahrettinkoca is why the cases are increased all over the world. I certainly don't believe the data described.</v>
      </c>
    </row>
    <row r="12452" spans="1:5" ht="15" customHeight="1" x14ac:dyDescent="0.2">
      <c r="A12452" s="1" t="s">
        <v>24584</v>
      </c>
      <c r="B12452" s="1">
        <v>0</v>
      </c>
      <c r="C12452" s="3">
        <v>44533.880810185183</v>
      </c>
      <c r="D12452" s="1" t="s">
        <v>24585</v>
      </c>
      <c r="E12452" s="1" t="str">
        <f ca="1">IFERROR(__xludf.DUMMYFUNCTION("GOOGLETRANSLATE(A9251 , ""tr"" , ""en"")"),"@drfahrettinkoca Do you have news about your master?")</f>
        <v>@drfahrettinkoca Do you have news about your master?</v>
      </c>
    </row>
    <row r="12453" spans="1:5" ht="15" customHeight="1" x14ac:dyDescent="0.2">
      <c r="A12453" s="1" t="s">
        <v>24586</v>
      </c>
      <c r="B12453" s="1">
        <v>0</v>
      </c>
      <c r="C12453" s="3">
        <v>44533.879675925928</v>
      </c>
      <c r="D12453" s="1" t="s">
        <v>24587</v>
      </c>
      <c r="E12453" s="1" t="str">
        <f ca="1">IFERROR(__xludf.DUMMYFUNCTION("GOOGLETRANSLATE(A9252 , ""tr"" , ""en"")"),"@drfahrettinkoca oooo micron is not in our country if it does not have the sickening feature if it does not have the tweet as the laf. Https://t.co/suc5npxgsk")</f>
        <v>@drfahrettinkoca oooo micron is not in our country if it does not have the sickening feature if it does not have the tweet as the laf. Https://t.co/suc5npxgsk</v>
      </c>
    </row>
    <row r="12454" spans="1:5" ht="15" customHeight="1" x14ac:dyDescent="0.2">
      <c r="A12454" s="1" t="s">
        <v>24588</v>
      </c>
      <c r="B12454" s="1">
        <v>0</v>
      </c>
      <c r="C12454" s="3">
        <v>44533.878344907411</v>
      </c>
      <c r="D12454" s="1" t="s">
        <v>24589</v>
      </c>
      <c r="E12454" s="1" t="str">
        <f ca="1">IFERROR(__xludf.DUMMYFUNCTION("GOOGLETRANSLATE(A9253 , ""tr"" , ""en"")"),"@drfahrettinkoca What did you say? What did he say to her late?")</f>
        <v>@drfahrettinkoca What did you say? What did he say to her late?</v>
      </c>
    </row>
    <row r="12455" spans="1:5" ht="15" customHeight="1" x14ac:dyDescent="0.2">
      <c r="A12455" s="1" t="s">
        <v>24590</v>
      </c>
      <c r="B12455" s="1">
        <v>1</v>
      </c>
      <c r="C12455" s="3">
        <v>44533.878113425926</v>
      </c>
      <c r="D12455" s="1" t="s">
        <v>24591</v>
      </c>
      <c r="E12455" s="1" t="str">
        <f ca="1">IFERROR(__xludf.DUMMYFUNCTION("GOOGLETRANSLATE(A9254 , ""tr"" , ""en"")"),"@drfahrettinkoca mehmet ceyhanda you don't say, all of you have complied with your stir")</f>
        <v>@drfahrettinkoca mehmet ceyhanda you don't say, all of you have complied with your stir</v>
      </c>
    </row>
    <row r="12456" spans="1:5" ht="15" customHeight="1" x14ac:dyDescent="0.2">
      <c r="A12456" s="1" t="s">
        <v>24592</v>
      </c>
      <c r="B12456" s="1">
        <v>0</v>
      </c>
      <c r="C12456" s="3">
        <v>44533.875648148147</v>
      </c>
      <c r="D12456" s="1" t="s">
        <v>24593</v>
      </c>
      <c r="E12456" s="1" t="str">
        <f ca="1">IFERROR(__xludf.DUMMYFUNCTION("GOOGLETRANSLATE(A9255 , ""tr"" , ""en"")"),"@drfahrettinkoca look from this word that is seen tomorrow no says you are always playboxing")</f>
        <v>@drfahrettinkoca look from this word that is seen tomorrow no says you are always playboxing</v>
      </c>
    </row>
    <row r="12457" spans="1:5" ht="15" customHeight="1" x14ac:dyDescent="0.2">
      <c r="A12457" s="1" t="s">
        <v>24594</v>
      </c>
      <c r="B12457" s="1">
        <v>0</v>
      </c>
      <c r="C12457" s="3">
        <v>44533.875277777777</v>
      </c>
      <c r="D12457" s="1" t="s">
        <v>24595</v>
      </c>
      <c r="E12457" s="1" t="str">
        <f ca="1">IFERROR(__xludf.DUMMYFUNCTION("GOOGLETRANSLATE(A9256 , ""tr"" , ""en"")"),"@drfahrettinka Mr. Ministry of FFM Patients in Corona Hospital Hospital is the passport that has been passed by the statistics that is ... https://t.co/qyyofumatd")</f>
        <v>@drfahrettinka Mr. Ministry of FFM Patients in Corona Hospital Hospital is the passport that has been passed by the statistics that is ... https://t.co/qyyofumatd</v>
      </c>
    </row>
    <row r="12458" spans="1:5" ht="15" customHeight="1" x14ac:dyDescent="0.2">
      <c r="A12458" s="1" t="s">
        <v>24596</v>
      </c>
      <c r="B12458" s="1">
        <v>2</v>
      </c>
      <c r="C12458" s="3">
        <v>44533.873472222222</v>
      </c>
      <c r="D12458" s="1" t="s">
        <v>24597</v>
      </c>
      <c r="E12458" s="1" t="str">
        <f ca="1">IFERROR(__xludf.DUMMYFUNCTION("GOOGLETRANSLATE(A9257 , ""tr"" , ""en"")"),"@drfahrettinkoca Ya Really Look Tüh Now 🤔🤥 https://t.co/jgweo45vkh")</f>
        <v>@drfahrettinkoca Ya Really Look Tüh Now 🤔🤥 https://t.co/jgweo45vkh</v>
      </c>
    </row>
    <row r="12459" spans="1:5" ht="15" customHeight="1" x14ac:dyDescent="0.2">
      <c r="A12459" s="1" t="s">
        <v>24598</v>
      </c>
      <c r="B12459" s="1">
        <v>0</v>
      </c>
      <c r="C12459" s="3">
        <v>44533.873368055552</v>
      </c>
      <c r="D12459" s="1" t="s">
        <v>24599</v>
      </c>
      <c r="E12459" s="1" t="str">
        <f ca="1">IFERROR(__xludf.DUMMYFUNCTION("GOOGLETRANSLATE(A9258 , ""tr"" , ""en"")"),"@drfahrettinkoca did you find my call no? Don't you want the people's health according to the eye.Hele those kids.")</f>
        <v>@drfahrettinkoca did you find my call no? Don't you want the people's health according to the eye.Hele those kids.</v>
      </c>
    </row>
    <row r="12460" spans="1:5" ht="15" customHeight="1" x14ac:dyDescent="0.2">
      <c r="A12460" s="1" t="s">
        <v>24600</v>
      </c>
      <c r="B12460" s="1">
        <v>1</v>
      </c>
      <c r="C12460" s="3">
        <v>44533.872210648151</v>
      </c>
      <c r="D12460" s="1" t="s">
        <v>24601</v>
      </c>
      <c r="E12460" s="1" t="str">
        <f ca="1">IFERROR(__xludf.DUMMYFUNCTION("GOOGLETRANSLATE(A9259 , ""tr"" , ""en"")"),"@drfahrettinkoca nice first time you admitted the story thanks sn. My minister")</f>
        <v>@drfahrettinkoca nice first time you admitted the story thanks sn. My minister</v>
      </c>
    </row>
    <row r="12461" spans="1:5" ht="15" customHeight="1" x14ac:dyDescent="0.2">
      <c r="A12461" s="1" t="s">
        <v>24602</v>
      </c>
      <c r="B12461" s="1">
        <v>1</v>
      </c>
      <c r="C12461" s="3">
        <v>44533.870567129627</v>
      </c>
      <c r="D12461" s="1" t="s">
        <v>24603</v>
      </c>
      <c r="E12461" s="1" t="str">
        <f ca="1">IFERROR(__xludf.DUMMYFUNCTION("GOOGLETRANSLATE(A9260 , ""tr"" , ""en"")"),"@drfahrettinkoca Varyanta Could not be found for separate money")</f>
        <v>@drfahrettinkoca Varyanta Could not be found for separate money</v>
      </c>
    </row>
    <row r="12462" spans="1:5" ht="15" customHeight="1" x14ac:dyDescent="0.2">
      <c r="A12462" s="1" t="s">
        <v>24604</v>
      </c>
      <c r="B12462" s="1">
        <v>0</v>
      </c>
      <c r="C12462" s="3">
        <v>44533.868275462963</v>
      </c>
      <c r="D12462" s="1" t="s">
        <v>24605</v>
      </c>
      <c r="E12462" s="1" t="str">
        <f ca="1">IFERROR(__xludf.DUMMYFUNCTION("GOOGLETRANSLATE(A9261 , ""tr"" , ""en"")"),"@drfahrettinka https://t.co/uunuhdxzsj")</f>
        <v>@drfahrettinka https://t.co/uunuhdxzsj</v>
      </c>
    </row>
    <row r="12463" spans="1:5" ht="15" customHeight="1" x14ac:dyDescent="0.2">
      <c r="A12463" s="1" t="s">
        <v>24606</v>
      </c>
      <c r="B12463" s="1">
        <v>0</v>
      </c>
      <c r="C12463" s="3">
        <v>44533.86818287037</v>
      </c>
      <c r="D12463" s="1" t="s">
        <v>24607</v>
      </c>
      <c r="E12463" s="1" t="str">
        <f ca="1">IFERROR(__xludf.DUMMYFUNCTION("GOOGLETRANSLATE(A9262 , ""tr"" , ""en"")"),"@drfahrettinkoca Do not release the table no one is eating.")</f>
        <v>@drfahrettinkoca Do not release the table no one is eating.</v>
      </c>
    </row>
    <row r="12464" spans="1:5" ht="15" customHeight="1" x14ac:dyDescent="0.2">
      <c r="A12464" s="1" t="s">
        <v>24608</v>
      </c>
      <c r="B12464" s="1">
        <v>2</v>
      </c>
      <c r="C12464" s="3">
        <v>44533.860312500001</v>
      </c>
      <c r="D12464" s="1" t="s">
        <v>24609</v>
      </c>
      <c r="E12464" s="1" t="str">
        <f ca="1">IFERROR(__xludf.DUMMYFUNCTION("GOOGLETRANSLATE(A9263 , ""tr"" , ""en"")"),"@drfahrettinkoca reputations come to online training")</f>
        <v>@drfahrettinkoca reputations come to online training</v>
      </c>
    </row>
    <row r="12465" spans="1:5" ht="15" customHeight="1" x14ac:dyDescent="0.2">
      <c r="A12465" s="1" t="s">
        <v>24610</v>
      </c>
      <c r="B12465" s="1">
        <v>1</v>
      </c>
      <c r="C12465" s="3">
        <v>44533.859398148146</v>
      </c>
      <c r="D12465" s="1" t="s">
        <v>24611</v>
      </c>
      <c r="E12465" s="1" t="str">
        <f ca="1">IFERROR(__xludf.DUMMYFUNCTION("GOOGLETRANSLATE(A9264 , ""tr"" , ""en"")"),"@drfahrettinka schools very mixed college very crowded dorms so crowded so please travel online education to universities")</f>
        <v>@drfahrettinka schools very mixed college very crowded dorms so crowded so please travel online education to universities</v>
      </c>
    </row>
    <row r="12466" spans="1:5" ht="15" customHeight="1" x14ac:dyDescent="0.2">
      <c r="A12466" s="1" t="s">
        <v>24612</v>
      </c>
      <c r="B12466" s="1">
        <v>0</v>
      </c>
      <c r="C12466" s="3">
        <v>44533.855590277781</v>
      </c>
      <c r="D12466" s="1" t="s">
        <v>24613</v>
      </c>
      <c r="E12466" s="1" t="str">
        <f ca="1">IFERROR(__xludf.DUMMYFUNCTION("GOOGLETRANSLATE(A9265 , ""tr"" , ""en"")"),"@drfahrettinkoca Findings About nobody knowledge of anyone, 3 weeks later Omricon's findings, effect ... https://t.co/p9efhbc5TI")</f>
        <v>@drfahrettinkoca Findings About nobody knowledge of anyone, 3 weeks later Omricon's findings, effect ... https://t.co/p9efhbc5TI</v>
      </c>
    </row>
    <row r="12467" spans="1:5" ht="15" customHeight="1" x14ac:dyDescent="0.2">
      <c r="A12467" s="1" t="s">
        <v>24614</v>
      </c>
      <c r="B12467" s="1">
        <v>0</v>
      </c>
      <c r="C12467" s="3">
        <v>44533.851111111115</v>
      </c>
      <c r="D12467" s="1" t="s">
        <v>24615</v>
      </c>
      <c r="E12467" s="1" t="str">
        <f ca="1">IFERROR(__xludf.DUMMYFUNCTION("GOOGLETRANSLATE(A9266 , ""tr"" , ""en"")"),"@drfahrettinkoca omicron 'What is guinessing to guinea pigs Looking Our children Neymis OGrenuz Make you stay comfortable.")</f>
        <v>@drfahrettinkoca omicron 'What is guinessing to guinea pigs Looking Our children Neymis OGrenuz Make you stay comfortable.</v>
      </c>
    </row>
    <row r="12468" spans="1:5" ht="15" customHeight="1" x14ac:dyDescent="0.2">
      <c r="A12468" s="1" t="s">
        <v>24616</v>
      </c>
      <c r="B12468" s="1">
        <v>0</v>
      </c>
      <c r="C12468" s="3">
        <v>44533.850578703707</v>
      </c>
      <c r="D12468" s="1" t="s">
        <v>24617</v>
      </c>
      <c r="E12468" s="1" t="str">
        <f ca="1">IFERROR(__xludf.DUMMYFUNCTION("GOOGLETRANSLATE(A9267 , ""tr"" , ""en"")"),"@drfahrettinkoca will still be sick you can still write me here. Don't have any change that hasn't changed a month.")</f>
        <v>@drfahrettinkoca will still be sick you can still write me here. Don't have any change that hasn't changed a month.</v>
      </c>
    </row>
    <row r="12469" spans="1:5" ht="15" customHeight="1" x14ac:dyDescent="0.2">
      <c r="A12469" s="1" t="s">
        <v>24618</v>
      </c>
      <c r="B12469" s="1">
        <v>0</v>
      </c>
      <c r="C12469" s="3">
        <v>44533.849027777775</v>
      </c>
      <c r="D12469" s="1" t="s">
        <v>24619</v>
      </c>
      <c r="E12469" s="1" t="str">
        <f ca="1">IFERROR(__xludf.DUMMYFUNCTION("GOOGLETRANSLATE(A9268 , ""tr"" , ""en"")"),"@drfahrettinkoca why is the test number still dusuk")</f>
        <v>@drfahrettinkoca why is the test number still dusuk</v>
      </c>
    </row>
    <row r="12470" spans="1:5" ht="15" customHeight="1" x14ac:dyDescent="0.2">
      <c r="A12470" s="1" t="s">
        <v>24620</v>
      </c>
      <c r="B12470" s="1">
        <v>3</v>
      </c>
      <c r="C12470" s="3">
        <v>44533.84884259259</v>
      </c>
      <c r="D12470" s="1" t="s">
        <v>24621</v>
      </c>
      <c r="E12470" s="1" t="str">
        <f ca="1">IFERROR(__xludf.DUMMYFUNCTION("GOOGLETRANSLATE(A9269 , ""tr"" , ""en"")"),"@drfahrettinkoca I think let's leave them, we focus on the principal health problems .Haaa is also a DSO and the sphere ... https://t.co/lo0rk03lcv")</f>
        <v>@drfahrettinkoca I think let's leave them, we focus on the principal health problems .Haaa is also a DSO and the sphere ... https://t.co/lo0rk03lcv</v>
      </c>
    </row>
    <row r="12471" spans="1:5" ht="15" customHeight="1" x14ac:dyDescent="0.2">
      <c r="A12471" s="1" t="s">
        <v>24622</v>
      </c>
      <c r="B12471" s="1">
        <v>0</v>
      </c>
      <c r="C12471" s="3">
        <v>44533.848425925928</v>
      </c>
      <c r="D12471" s="1" t="s">
        <v>24623</v>
      </c>
      <c r="E12471" s="1" t="str">
        <f ca="1">IFERROR(__xludf.DUMMYFUNCTION("GOOGLETRANSLATE(A9270 , ""tr"" , ""en"")"),"@drfahrettinkoca so why is this cruelty?")</f>
        <v>@drfahrettinkoca so why is this cruelty?</v>
      </c>
    </row>
    <row r="12472" spans="1:5" ht="15" customHeight="1" x14ac:dyDescent="0.2">
      <c r="A12472" s="1" t="s">
        <v>24624</v>
      </c>
      <c r="B12472" s="1">
        <v>0</v>
      </c>
      <c r="C12472" s="3">
        <v>44533.847569444442</v>
      </c>
      <c r="D12472" s="1" t="s">
        <v>24625</v>
      </c>
      <c r="E12472" s="1" t="str">
        <f ca="1">IFERROR(__xludf.DUMMYFUNCTION("GOOGLETRANSLATE(A9271 , ""tr"" , ""en"")"),"@drfahrettinkoca Pfizer 55 years has fallen to the Nete with the 400 thousand files he wants to store from 400 thousand files. ... https://t.co/bdnoztpnrl")</f>
        <v>@drfahrettinkoca Pfizer 55 years has fallen to the Nete with the 400 thousand files he wants to store from 400 thousand files. ... https://t.co/bdnoztpnrl</v>
      </c>
    </row>
    <row r="12473" spans="1:5" ht="15" customHeight="1" x14ac:dyDescent="0.2">
      <c r="A12473" s="1" t="s">
        <v>24626</v>
      </c>
      <c r="B12473" s="1">
        <v>0</v>
      </c>
      <c r="C12473" s="3">
        <v>44533.846400462964</v>
      </c>
      <c r="D12473" s="1" t="s">
        <v>24627</v>
      </c>
      <c r="E12473" s="1" t="str">
        <f ca="1">IFERROR(__xludf.DUMMYFUNCTION("GOOGLETRANSLATE(A9272 , ""tr"" , ""en"")"),"@drfahrettinkoca hocam left anymore o varianti this varianti have never been kovite for allah love asidi asidi")</f>
        <v>@drfahrettinkoca hocam left anymore o varianti this varianti have never been kovite for allah love asidi asidi</v>
      </c>
    </row>
    <row r="12474" spans="1:5" ht="15" customHeight="1" x14ac:dyDescent="0.2">
      <c r="A12474" s="1" t="s">
        <v>24628</v>
      </c>
      <c r="B12474" s="1">
        <v>1</v>
      </c>
      <c r="C12474" s="3">
        <v>44533.840648148151</v>
      </c>
      <c r="D12474" s="1" t="s">
        <v>24629</v>
      </c>
      <c r="E12474" s="1" t="str">
        <f ca="1">IFERROR(__xludf.DUMMYFUNCTION("GOOGLETRANSLATE(A9273 , ""tr"" , ""en"")"),"@drfahrettinkoca is quickly contaminated I think you're thinking of our mind.")</f>
        <v>@drfahrettinkoca is quickly contaminated I think you're thinking of our mind.</v>
      </c>
    </row>
    <row r="12475" spans="1:5" ht="15" customHeight="1" x14ac:dyDescent="0.2">
      <c r="A12475" s="1" t="s">
        <v>24630</v>
      </c>
      <c r="B12475" s="1">
        <v>1</v>
      </c>
      <c r="C12475" s="3">
        <v>44533.840289351851</v>
      </c>
      <c r="D12475" s="1" t="s">
        <v>24631</v>
      </c>
      <c r="E12475" s="1" t="str">
        <f ca="1">IFERROR(__xludf.DUMMYFUNCTION("GOOGLETRANSLATE(A9274 , ""tr"" , ""en"")"),"@drfahrettinkoca Folk Saglıgıve Medical Suffidence Professionals, USA Food and ILAC DAIRESINE ARTIGI Both declaration, and I ... https://t.co/lt7zpyfkxz")</f>
        <v>@drfahrettinkoca Folk Saglıgıve Medical Suffidence Professionals, USA Food and ILAC DAIRESINE ARTIGI Both declaration, and I ... https://t.co/lt7zpyfkxz</v>
      </c>
    </row>
    <row r="12476" spans="1:5" ht="15" customHeight="1" x14ac:dyDescent="0.2">
      <c r="A12476" s="1" t="s">
        <v>24632</v>
      </c>
      <c r="B12476" s="1">
        <v>0</v>
      </c>
      <c r="C12476" s="3">
        <v>44533.839062500003</v>
      </c>
      <c r="D12476" s="1" t="s">
        <v>24633</v>
      </c>
      <c r="E12476" s="1" t="str">
        <f ca="1">IFERROR(__xludf.DUMMYFUNCTION("GOOGLETRANSLATE(A9275 , ""tr"" , ""en"")"),"@drfahrettinka before we have no case in our country after the first case was detected after the first case is fastened in the country after the first case ... https://t.co/p5gmgaduzv")</f>
        <v>@drfahrettinka before we have no case in our country after the first case was detected after the first case is fastened in the country after the first case ... https://t.co/p5gmgaduzv</v>
      </c>
    </row>
    <row r="12477" spans="1:5" ht="15" customHeight="1" x14ac:dyDescent="0.2">
      <c r="A12477" s="1" t="s">
        <v>24634</v>
      </c>
      <c r="B12477" s="1">
        <v>0</v>
      </c>
      <c r="C12477" s="3">
        <v>44533.838993055557</v>
      </c>
      <c r="D12477" s="1" t="s">
        <v>24635</v>
      </c>
      <c r="E12477" s="1" t="str">
        <f ca="1">IFERROR(__xludf.DUMMYFUNCTION("GOOGLETRANSLATE(A9276 , ""tr"" , ""en"")"),"@drfahrettinkoca Hoca Drop Koviti Nation Open Hungry Longaries Unemployment People Drifting Water Companies Ki ... https://t.co/sft5mhqdrx")</f>
        <v>@drfahrettinkoca Hoca Drop Koviti Nation Open Hungry Longaries Unemployment People Drifting Water Companies Ki ... https://t.co/sft5mhqdrx</v>
      </c>
    </row>
    <row r="12478" spans="1:5" ht="15" customHeight="1" x14ac:dyDescent="0.2">
      <c r="A12478" s="1" t="s">
        <v>24636</v>
      </c>
      <c r="B12478" s="1">
        <v>2</v>
      </c>
      <c r="C12478" s="3">
        <v>44533.837800925925</v>
      </c>
      <c r="D12478" s="1" t="s">
        <v>24637</v>
      </c>
      <c r="E12478" s="1" t="str">
        <f ca="1">IFERROR(__xludf.DUMMYFUNCTION("GOOGLETRANSLATE(A9277 , ""tr"" , ""en"")"),"@drfahrettinkoca without reviews 📌📌 https://t.co/v0kf3onchw")</f>
        <v>@drfahrettinkoca without reviews 📌📌 https://t.co/v0kf3onchw</v>
      </c>
    </row>
    <row r="12479" spans="1:5" ht="15" customHeight="1" x14ac:dyDescent="0.2">
      <c r="A12479" s="1" t="s">
        <v>24638</v>
      </c>
      <c r="B12479" s="1">
        <v>0</v>
      </c>
      <c r="C12479" s="3">
        <v>44533.8356712963</v>
      </c>
      <c r="D12479" s="1" t="s">
        <v>24639</v>
      </c>
      <c r="E12479" s="1" t="str">
        <f ca="1">IFERROR(__xludf.DUMMYFUNCTION("GOOGLETRANSLATE(A9278 , ""tr"" , ""en"")"),"@drfahrettinkoca has no none ... there is a hairstyle https://t.co/lyxqtnffuo")</f>
        <v>@drfahrettinkoca has no none ... there is a hairstyle https://t.co/lyxqtnffuo</v>
      </c>
    </row>
    <row r="12480" spans="1:5" ht="15" customHeight="1" x14ac:dyDescent="0.2">
      <c r="A12480" s="1" t="s">
        <v>24640</v>
      </c>
      <c r="B12480" s="1">
        <v>0</v>
      </c>
      <c r="C12480" s="3">
        <v>44533.835196759261</v>
      </c>
      <c r="D12480" s="1" t="s">
        <v>24641</v>
      </c>
      <c r="E12480" s="1" t="str">
        <f ca="1">IFERROR(__xludf.DUMMYFUNCTION("GOOGLETRANSLATE(A9279 , ""tr"" , ""en"")"),"If @drfahrettinkoca omicron is fast infidable and it is difficult to get the omicron virus instead of the vaccine if it is difficult!")</f>
        <v>If @drfahrettinkoca omicron is fast infidable and it is difficult to get the omicron virus instead of the vaccine if it is difficult!</v>
      </c>
    </row>
    <row r="12481" spans="1:5" ht="15" customHeight="1" x14ac:dyDescent="0.2">
      <c r="A12481" s="1" t="s">
        <v>24642</v>
      </c>
      <c r="B12481" s="1">
        <v>0</v>
      </c>
      <c r="C12481" s="3">
        <v>44533.831736111111</v>
      </c>
      <c r="D12481" s="1" t="s">
        <v>24643</v>
      </c>
      <c r="E12481" s="1" t="str">
        <f ca="1">IFERROR(__xludf.DUMMYFUNCTION("GOOGLETRANSLATE(A9280 , ""tr"" , ""en"")"),"@drfahrettinka Sweden, Norwegian nicknames in countries such as Norwegians have begun the chip, the number has started 6 000 people. How do you need to assess?")</f>
        <v>@drfahrettinka Sweden, Norwegian nicknames in countries such as Norwegians have begun the chip, the number has started 6 000 people. How do you need to assess?</v>
      </c>
    </row>
    <row r="12482" spans="1:5" ht="15" customHeight="1" x14ac:dyDescent="0.2">
      <c r="A12482" s="1" t="s">
        <v>24644</v>
      </c>
      <c r="B12482" s="1">
        <v>0</v>
      </c>
      <c r="C12482" s="3">
        <v>44533.830682870372</v>
      </c>
      <c r="D12482" s="1" t="s">
        <v>24645</v>
      </c>
      <c r="E12482" s="1" t="str">
        <f ca="1">IFERROR(__xludf.DUMMYFUNCTION("GOOGLETRANSLATE(A9281 , ""tr"" , ""en"")"),"@drfahrettinkoca Don't be afraid No one's exhausting can go into the country")</f>
        <v>@drfahrettinkoca Don't be afraid No one's exhausting can go into the country</v>
      </c>
    </row>
    <row r="12483" spans="1:5" ht="15" customHeight="1" x14ac:dyDescent="0.2">
      <c r="A12483" s="1" t="s">
        <v>24646</v>
      </c>
      <c r="B12483" s="1">
        <v>2</v>
      </c>
      <c r="C12483" s="3">
        <v>44533.828969907408</v>
      </c>
      <c r="D12483" s="1" t="s">
        <v>24647</v>
      </c>
      <c r="E12483" s="1" t="str">
        <f ca="1">IFERROR(__xludf.DUMMYFUNCTION("GOOGLETRANSLATE(A9282 , ""tr"" , ""en"")"),"@drfahrettinka so how do you detect omichones? Would you like to inform the public ...")</f>
        <v>@drfahrettinka so how do you detect omichones? Would you like to inform the public ...</v>
      </c>
    </row>
    <row r="12484" spans="1:5" ht="15" customHeight="1" x14ac:dyDescent="0.2">
      <c r="A12484" s="1" t="s">
        <v>24648</v>
      </c>
      <c r="B12484" s="1">
        <v>1</v>
      </c>
      <c r="C12484" s="3">
        <v>44533.828935185185</v>
      </c>
      <c r="D12484" s="1" t="s">
        <v>24649</v>
      </c>
      <c r="E12484" s="1" t="str">
        <f ca="1">IFERROR(__xludf.DUMMYFUNCTION("GOOGLETRANSLATE(A9283 , ""tr"" , ""en"")"),"@drfahrettinkoca I don't believe your sincerity to your sincerity ... It is because of that you don't buy anything you say ...")</f>
        <v>@drfahrettinkoca I don't believe your sincerity to your sincerity ... It is because of that you don't buy anything you say ...</v>
      </c>
    </row>
    <row r="12485" spans="1:5" ht="15" customHeight="1" x14ac:dyDescent="0.2">
      <c r="A12485" s="1" t="s">
        <v>24650</v>
      </c>
      <c r="B12485" s="1">
        <v>0</v>
      </c>
      <c r="C12485" s="3">
        <v>44533.827326388891</v>
      </c>
      <c r="D12485" s="1" t="s">
        <v>24651</v>
      </c>
      <c r="E12485" s="1" t="str">
        <f ca="1">IFERROR(__xludf.DUMMYFUNCTION("GOOGLETRANSLATE(A9284 , ""tr"" , ""en"")"),"@drfahrettinkoca devil bribe gets on the other side of the husband overlooking the husband and you are on the other side ... https://t.co/phhvuixsuv")</f>
        <v>@drfahrettinkoca devil bribe gets on the other side of the husband overlooking the husband and you are on the other side ... https://t.co/phhvuixsuv</v>
      </c>
    </row>
    <row r="12486" spans="1:5" ht="15" customHeight="1" x14ac:dyDescent="0.2">
      <c r="A12486" s="1" t="s">
        <v>24652</v>
      </c>
      <c r="B12486" s="1">
        <v>0</v>
      </c>
      <c r="C12486" s="3">
        <v>44533.826273148145</v>
      </c>
      <c r="D12486" s="1" t="s">
        <v>24653</v>
      </c>
      <c r="E12486" s="1" t="str">
        <f ca="1">IFERROR(__xludf.DUMMYFUNCTION("GOOGLETRANSLATE(A9285 , ""tr"" , ""en"")"),"@drfahrettinkoca and still schools open applause to you 👏🏻👏🏻👏")</f>
        <v>@drfahrettinkoca and still schools open applause to you 👏🏻👏🏻👏</v>
      </c>
    </row>
    <row r="12487" spans="1:5" ht="15" customHeight="1" x14ac:dyDescent="0.2">
      <c r="A12487" s="1" t="s">
        <v>24654</v>
      </c>
      <c r="B12487" s="1">
        <v>0</v>
      </c>
      <c r="C12487" s="3">
        <v>44533.826006944444</v>
      </c>
      <c r="D12487" s="1" t="s">
        <v>24655</v>
      </c>
      <c r="E12487" s="1" t="str">
        <f ca="1">IFERROR(__xludf.DUMMYFUNCTION("GOOGLETRANSLATE(A9286 , ""tr"" , ""en"")"),"@drfahrettinkoca We can't count on you Ziya")</f>
        <v>@drfahrettinkoca We can't count on you Ziya</v>
      </c>
    </row>
    <row r="12488" spans="1:5" ht="15" customHeight="1" x14ac:dyDescent="0.2">
      <c r="A12488" s="1" t="s">
        <v>24656</v>
      </c>
      <c r="B12488" s="1">
        <v>0</v>
      </c>
      <c r="C12488" s="3">
        <v>44533.824537037035</v>
      </c>
      <c r="D12488" s="1" t="s">
        <v>24657</v>
      </c>
      <c r="E12488" s="1" t="str">
        <f ca="1">IFERROR(__xludf.DUMMYFUNCTION("GOOGLETRANSLATE(A9287 , ""tr"" , ""en"")"),"Wait until @drfahrettinkoca is encountered ... Reaches the constraint or relax ..")</f>
        <v>Wait until @drfahrettinkoca is encountered ... Reaches the constraint or relax ..</v>
      </c>
    </row>
    <row r="12489" spans="1:5" ht="15" customHeight="1" x14ac:dyDescent="0.2">
      <c r="A12489" s="1" t="s">
        <v>24658</v>
      </c>
      <c r="B12489" s="1">
        <v>0</v>
      </c>
      <c r="C12489" s="3">
        <v>44533.824282407404</v>
      </c>
      <c r="D12489" s="1" t="s">
        <v>24659</v>
      </c>
      <c r="E12489" s="1" t="str">
        <f ca="1">IFERROR(__xludf.DUMMYFUNCTION("GOOGLETRANSLATE(A9288 , ""tr"" , ""en"")"),"@drfahrettinkoca will bring the end of the virus so much")</f>
        <v>@drfahrettinkoca will bring the end of the virus so much</v>
      </c>
    </row>
    <row r="12490" spans="1:5" ht="15" customHeight="1" x14ac:dyDescent="0.2">
      <c r="A12490" s="1" t="s">
        <v>24660</v>
      </c>
      <c r="B12490" s="1">
        <v>0</v>
      </c>
      <c r="C12490" s="3">
        <v>44533.82408564815</v>
      </c>
      <c r="D12490" s="1" t="s">
        <v>24661</v>
      </c>
      <c r="E12490" s="1" t="str">
        <f ca="1">IFERROR(__xludf.DUMMYFUNCTION("GOOGLETRANSLATE(A9289 , ""tr"" , ""en"")"),"@drfahrettinkoca I would like to mean a lot but you don't be equipped with health workers and separate health workers ... https://t.co/hamv1iarsv")</f>
        <v>@drfahrettinkoca I would like to mean a lot but you don't be equipped with health workers and separate health workers ... https://t.co/hamv1iarsv</v>
      </c>
    </row>
    <row r="12491" spans="1:5" ht="15" customHeight="1" x14ac:dyDescent="0.2">
      <c r="A12491" s="1" t="s">
        <v>24662</v>
      </c>
      <c r="B12491" s="1">
        <v>1</v>
      </c>
      <c r="C12491" s="3">
        <v>44533.823900462965</v>
      </c>
      <c r="D12491" s="1" t="s">
        <v>24663</v>
      </c>
      <c r="E12491" s="1" t="str">
        <f ca="1">IFERROR(__xludf.DUMMYFUNCTION("GOOGLETRANSLATE(A9290 , ""tr"" , ""en"")"),"@drfahrettinkoca What is a slight mutated mutation of this pandemy is finishing SYN.")</f>
        <v>@drfahrettinkoca What is a slight mutated mutation of this pandemy is finishing SYN.</v>
      </c>
    </row>
    <row r="12492" spans="1:5" ht="15" customHeight="1" x14ac:dyDescent="0.2">
      <c r="A12492" s="1" t="s">
        <v>24664</v>
      </c>
      <c r="B12492" s="1">
        <v>0</v>
      </c>
      <c r="C12492" s="3">
        <v>44533.823888888888</v>
      </c>
      <c r="D12492" s="1" t="s">
        <v>24665</v>
      </c>
      <c r="E12492" s="1" t="str">
        <f ca="1">IFERROR(__xludf.DUMMYFUNCTION("GOOGLETRANSLATE(A9291 , ""tr"" , ""en"")"),"@drfahrettinkoca people took your soul to the devil to the devil to the devil you had took paral ... https://t.co/rxibzcu2of")</f>
        <v>@drfahrettinkoca people took your soul to the devil to the devil to the devil you had took paral ... https://t.co/rxibzcu2of</v>
      </c>
    </row>
    <row r="12493" spans="1:5" ht="15" customHeight="1" x14ac:dyDescent="0.2">
      <c r="A12493" s="1" t="s">
        <v>24666</v>
      </c>
      <c r="B12493" s="1">
        <v>0</v>
      </c>
      <c r="C12493" s="3">
        <v>44533.823275462964</v>
      </c>
      <c r="D12493" s="1" t="s">
        <v>24667</v>
      </c>
      <c r="E12493" s="1" t="str">
        <f ca="1">IFERROR(__xludf.DUMMYFUNCTION("GOOGLETRANSLATE(A9292 , ""tr"" , ""en"")"),"@drfahrettinkoca What is the number of tests What is the same 355 thousand in a thousand of the same people is constantly the same people tested ... https://t.co/vx35pepqt0")</f>
        <v>@drfahrettinkoca What is the number of tests What is the same 355 thousand in a thousand of the same people is constantly the same people tested ... https://t.co/vx35pepqt0</v>
      </c>
    </row>
    <row r="12494" spans="1:5" ht="15" customHeight="1" x14ac:dyDescent="0.2">
      <c r="A12494" s="1" t="s">
        <v>24668</v>
      </c>
      <c r="B12494" s="1">
        <v>0</v>
      </c>
      <c r="C12494" s="3">
        <v>44533.822476851848</v>
      </c>
      <c r="D12494" s="1" t="s">
        <v>24669</v>
      </c>
      <c r="E12494" s="1" t="str">
        <f ca="1">IFERROR(__xludf.DUMMYFUNCTION("GOOGLETRANSLATE(A9293 , ""tr"" , ""en"")"),"@drfahrettinka you prepanly write and plan and plotting and launch it is a fraud is a frauds to sleep this hoca ... https://t.co/t6PlyWGIVs")</f>
        <v>@drfahrettinka you prepanly write and plan and plotting and launch it is a fraud is a frauds to sleep this hoca ... https://t.co/t6PlyWGIVs</v>
      </c>
    </row>
    <row r="12495" spans="1:5" ht="15" customHeight="1" x14ac:dyDescent="0.2">
      <c r="A12495" s="1" t="s">
        <v>24670</v>
      </c>
      <c r="B12495" s="1">
        <v>1</v>
      </c>
      <c r="C12495" s="3">
        <v>44533.819675925923</v>
      </c>
      <c r="D12495" s="1" t="s">
        <v>24671</v>
      </c>
      <c r="E12495" s="1" t="str">
        <f ca="1">IFERROR(__xludf.DUMMYFUNCTION("GOOGLETRANSLATE(A9294 , ""tr"" , ""en"")"),"@drfahrettinkoca to people the expiry history, the history that does not go to the contrary to the opposite that does not go to the history ... https://t.co/K6SSZHSInd")</f>
        <v>@drfahrettinkoca to people the expiry history, the history that does not go to the contrary to the opposite that does not go to the history ... https://t.co/K6SSZHSInd</v>
      </c>
    </row>
    <row r="12496" spans="1:5" ht="15" customHeight="1" x14ac:dyDescent="0.2">
      <c r="A12496" s="1" t="s">
        <v>24672</v>
      </c>
      <c r="B12496" s="1">
        <v>0</v>
      </c>
      <c r="C12496" s="3">
        <v>44533.816388888888</v>
      </c>
      <c r="D12496" s="1" t="s">
        <v>24673</v>
      </c>
      <c r="E12496" s="1" t="str">
        <f ca="1">IFERROR(__xludf.DUMMYFUNCTION("GOOGLETRANSLATE(A9295 , ""tr"" , ""en"")"),"@drfahrettinkoca Mr. Ministry is seen that the number of transmission is the maximum number of schools. Children are not sick ... https://t.co/33cju9ozyj")</f>
        <v>@drfahrettinkoca Mr. Ministry is seen that the number of transmission is the maximum number of schools. Children are not sick ... https://t.co/33cju9ozyj</v>
      </c>
    </row>
    <row r="12497" spans="1:5" ht="15" customHeight="1" x14ac:dyDescent="0.2">
      <c r="A12497" s="1" t="s">
        <v>24674</v>
      </c>
      <c r="B12497" s="1">
        <v>0</v>
      </c>
      <c r="C12497" s="3">
        <v>44533.816122685188</v>
      </c>
      <c r="D12497" s="1" t="s">
        <v>24675</v>
      </c>
      <c r="E12497" s="1" t="str">
        <f ca="1">IFERROR(__xludf.DUMMYFUNCTION("GOOGLETRANSLATE(A9296 , ""tr"" , ""en"")"),"@drfahrettinkoca Omiceon Variant of Variant is sure to be in your ulk")</f>
        <v>@drfahrettinkoca Omiceon Variant of Variant is sure to be in your ulk</v>
      </c>
    </row>
    <row r="12498" spans="1:5" ht="15" customHeight="1" x14ac:dyDescent="0.2">
      <c r="A12498" s="1" t="s">
        <v>24676</v>
      </c>
      <c r="B12498" s="1">
        <v>0</v>
      </c>
      <c r="C12498" s="3">
        <v>44533.815254629626</v>
      </c>
      <c r="D12498" s="1" t="s">
        <v>24677</v>
      </c>
      <c r="E12498" s="1" t="str">
        <f ca="1">IFERROR(__xludf.DUMMYFUNCTION("GOOGLETRANSLATE(A9297 , ""tr"" , ""en"")"),"@drfahrettinkoca Very Quick Constructment of enough ministers, you can not be lost in time.")</f>
        <v>@drfahrettinkoca Very Quick Constructment of enough ministers, you can not be lost in time.</v>
      </c>
    </row>
    <row r="12499" spans="1:5" ht="15" customHeight="1" x14ac:dyDescent="0.2">
      <c r="A12499" s="1" t="s">
        <v>10756</v>
      </c>
      <c r="B12499" s="1">
        <v>0</v>
      </c>
      <c r="C12499" s="3">
        <v>44533.815069444441</v>
      </c>
      <c r="D12499" s="1" t="s">
        <v>24678</v>
      </c>
      <c r="E12499" s="1" t="str">
        <f ca="1">IFERROR(__xludf.DUMMYFUNCTION("GOOGLETRANSLATE(A9298 , ""tr"" , ""en"")"),"@drfahrettinkoca yav he he")</f>
        <v>@drfahrettinkoca yav he he</v>
      </c>
    </row>
    <row r="12500" spans="1:5" ht="15" customHeight="1" x14ac:dyDescent="0.2">
      <c r="A12500" s="1" t="s">
        <v>24679</v>
      </c>
      <c r="B12500" s="1">
        <v>6</v>
      </c>
      <c r="C12500" s="3">
        <v>44533.814780092594</v>
      </c>
      <c r="D12500" s="1" t="s">
        <v>24680</v>
      </c>
      <c r="E12500" s="1" t="str">
        <f ca="1">IFERROR(__xludf.DUMMYFUNCTION("GOOGLETRANSLATE(A9299 , ""tr"" , ""en"")"),"@drfahrettinkoca Ya Varya There is no showcaster lying on you #choukuruluoehrencileronLine")</f>
        <v>@drfahrettinkoca Ya Varya There is no showcaster lying on you #choukuruluoehrencileronLine</v>
      </c>
    </row>
    <row r="12501" spans="1:5" ht="15" customHeight="1" x14ac:dyDescent="0.2">
      <c r="A12501" s="1" t="s">
        <v>24681</v>
      </c>
      <c r="B12501" s="1">
        <v>0</v>
      </c>
      <c r="C12501" s="3">
        <v>44533.811493055553</v>
      </c>
      <c r="D12501" s="1" t="s">
        <v>24682</v>
      </c>
      <c r="E12501" s="1" t="str">
        <f ca="1">IFERROR(__xludf.DUMMYFUNCTION("GOOGLETRANSLATE(A9300 , ""tr"" , ""en"")"),"@drfahrettinkoca what would you do though")</f>
        <v>@drfahrettinkoca what would you do though</v>
      </c>
    </row>
    <row r="12502" spans="1:5" ht="15" customHeight="1" x14ac:dyDescent="0.2">
      <c r="A12502" s="1" t="s">
        <v>24683</v>
      </c>
      <c r="B12502" s="1">
        <v>1</v>
      </c>
      <c r="C12502" s="3">
        <v>44533.80877314815</v>
      </c>
      <c r="D12502" s="1" t="s">
        <v>24684</v>
      </c>
      <c r="E12502" s="1" t="str">
        <f ca="1">IFERROR(__xludf.DUMMYFUNCTION("GOOGLETRANSLATE(A9301 , ""tr"" , ""en"")"),"@drfahrettinka so madem is no problem why are you online interviews are sinusitis from the mask, breathing alamiyo ... https://t.co/ksvuaslavk")</f>
        <v>@drfahrettinka so madem is no problem why are you online interviews are sinusitis from the mask, breathing alamiyo ... https://t.co/ksvuaslavk</v>
      </c>
    </row>
    <row r="12503" spans="1:5" ht="15" customHeight="1" x14ac:dyDescent="0.2">
      <c r="A12503" s="1" t="s">
        <v>24685</v>
      </c>
      <c r="B12503" s="1">
        <v>0</v>
      </c>
      <c r="C12503" s="3">
        <v>44533.807754629626</v>
      </c>
      <c r="D12503" s="1" t="s">
        <v>24686</v>
      </c>
      <c r="E12503" s="1" t="str">
        <f ca="1">IFERROR(__xludf.DUMMYFUNCTION("GOOGLETRANSLATE(A9302 , ""tr"" , ""en"")"),"@drfahrettinkoca 😂😂😂😂😂 Levent Karda Hamdi Alkan They're like Comedy Don't Spill Water on Hand Master")</f>
        <v>@drfahrettinkoca 😂😂😂😂😂 Levent Karda Hamdi Alkan They're like Comedy Don't Spill Water on Hand Master</v>
      </c>
    </row>
    <row r="12504" spans="1:5" ht="15" customHeight="1" x14ac:dyDescent="0.2">
      <c r="A12504" s="1" t="s">
        <v>24687</v>
      </c>
      <c r="B12504" s="1">
        <v>8</v>
      </c>
      <c r="C12504" s="3">
        <v>44533.806307870371</v>
      </c>
      <c r="D12504" s="1" t="s">
        <v>24688</v>
      </c>
      <c r="E12504" s="1" t="str">
        <f ca="1">IFERROR(__xludf.DUMMYFUNCTION("GOOGLETRANSLATE(A9303 , ""tr"" , ""en"")"),"@drfahrettinkoca I knew the first time the vaccine didn't work, but don't be vaccinated to anyone in order to be the benefit of bi ... https://t.co/2doypvhb1t")</f>
        <v>@drfahrettinkoca I knew the first time the vaccine didn't work, but don't be vaccinated to anyone in order to be the benefit of bi ... https://t.co/2doypvhb1t</v>
      </c>
    </row>
    <row r="12505" spans="1:5" ht="15" customHeight="1" x14ac:dyDescent="0.2">
      <c r="A12505" s="1" t="s">
        <v>24689</v>
      </c>
      <c r="B12505" s="1">
        <v>5</v>
      </c>
      <c r="C12505" s="3">
        <v>44533.803344907406</v>
      </c>
      <c r="D12505" s="1" t="s">
        <v>24690</v>
      </c>
      <c r="E12505" s="1" t="str">
        <f ca="1">IFERROR(__xludf.DUMMYFUNCTION("GOOGLETRANSLATE(A9304 , ""tr"" , ""en"")"),"@drfahrettinkoca MRNA is a gene transport technology and long-term side effects are unknown. Cancer Hu ... https://t.co/ql0vtsygga")</f>
        <v>@drfahrettinkoca MRNA is a gene transport technology and long-term side effects are unknown. Cancer Hu ... https://t.co/ql0vtsygga</v>
      </c>
    </row>
    <row r="12506" spans="1:5" ht="15" customHeight="1" x14ac:dyDescent="0.2">
      <c r="A12506" s="1" t="s">
        <v>24691</v>
      </c>
      <c r="B12506" s="1">
        <v>0</v>
      </c>
      <c r="C12506" s="3">
        <v>44533.802256944444</v>
      </c>
      <c r="D12506" s="1" t="s">
        <v>24692</v>
      </c>
      <c r="E12506" s="1" t="str">
        <f ca="1">IFERROR(__xludf.DUMMYFUNCTION("GOOGLETRANSLATE(A9305 , ""tr"" , ""en"")"),"@drfahrettinkoca DSÖ Omicron We will give money to the country of Variant Dese The Ornesty day is not immediately overlooking us")</f>
        <v>@drfahrettinkoca DSÖ Omicron We will give money to the country of Variant Dese The Ornesty day is not immediately overlooking us</v>
      </c>
    </row>
    <row r="12507" spans="1:5" ht="15" customHeight="1" x14ac:dyDescent="0.2">
      <c r="A12507" s="1" t="s">
        <v>24693</v>
      </c>
      <c r="B12507" s="1">
        <v>0</v>
      </c>
      <c r="C12507" s="3">
        <v>44533.799502314818</v>
      </c>
      <c r="D12507" s="1" t="s">
        <v>24694</v>
      </c>
      <c r="E12507" s="1" t="str">
        <f ca="1">IFERROR(__xludf.DUMMYFUNCTION("GOOGLETRANSLATE(A9306 , ""tr"" , ""en"")"),"@drfahrettinkoca What did you say! What said what said yo yo yo !!!")</f>
        <v>@drfahrettinkoca What did you say! What said what said yo yo yo !!!</v>
      </c>
    </row>
    <row r="12508" spans="1:5" ht="15" customHeight="1" x14ac:dyDescent="0.2">
      <c r="A12508" s="1" t="s">
        <v>24695</v>
      </c>
      <c r="B12508" s="1">
        <v>4</v>
      </c>
      <c r="C12508" s="3">
        <v>44533.799305555556</v>
      </c>
      <c r="D12508" s="1" t="s">
        <v>24696</v>
      </c>
      <c r="E12508" s="1" t="str">
        <f ca="1">IFERROR(__xludf.DUMMYFUNCTION("GOOGLETRANSLATE(A9307 , ""tr"" , ""en"")"),"@drfahrettinkoca did not succeed because they could not be organized in other flu species. This time is the best study of classes ... https://t.co/0pnxacinzf")</f>
        <v>@drfahrettinkoca did not succeed because they could not be organized in other flu species. This time is the best study of classes ... https://t.co/0pnxacinzf</v>
      </c>
    </row>
    <row r="12509" spans="1:5" ht="15" customHeight="1" x14ac:dyDescent="0.2">
      <c r="A12509" s="1" t="s">
        <v>24697</v>
      </c>
      <c r="B12509" s="1">
        <v>1</v>
      </c>
      <c r="C12509" s="3">
        <v>44533.798483796294</v>
      </c>
      <c r="D12509" s="1" t="s">
        <v>24698</v>
      </c>
      <c r="E12509" s="1" t="str">
        <f ca="1">IFERROR(__xludf.DUMMYFUNCTION("GOOGLETRANSLATE(A9308 , ""tr"" , ""en"")"),"@drfahrettinkoca Mr. Ministry of the Ministry of PF * to the dominant PF * İzer to Sharing the Side Effects of C ** Vid A $ Ileri ... https://t.co/icp9hwsolc")</f>
        <v>@drfahrettinkoca Mr. Ministry of the Ministry of PF * to the dominant PF * İzer to Sharing the Side Effects of C ** Vid A $ Ileri ... https://t.co/icp9hwsolc</v>
      </c>
    </row>
    <row r="12510" spans="1:5" ht="15" customHeight="1" x14ac:dyDescent="0.2">
      <c r="A12510" s="1" t="s">
        <v>24699</v>
      </c>
      <c r="B12510" s="1">
        <v>1</v>
      </c>
      <c r="C12510" s="3">
        <v>44533.797685185185</v>
      </c>
      <c r="D12510" s="1" t="s">
        <v>24700</v>
      </c>
      <c r="E12510" s="1" t="str">
        <f ca="1">IFERROR(__xludf.DUMMYFUNCTION("GOOGLETRANSLATE(A9309 , ""tr"" , ""en"")"),"@drfahrettinkoca class In the classroom, a student is taken out of the virus, but the service tool is not received, it is not getting the service tool ... https://t.co/ughxkyvyxj")</f>
        <v>@drfahrettinkoca class In the classroom, a student is taken out of the virus, but the service tool is not received, it is not getting the service tool ... https://t.co/ughxkyvyxj</v>
      </c>
    </row>
    <row r="12511" spans="1:5" ht="15" customHeight="1" x14ac:dyDescent="0.2">
      <c r="A12511" s="1" t="s">
        <v>24701</v>
      </c>
      <c r="B12511" s="1">
        <v>0</v>
      </c>
      <c r="C12511" s="3">
        <v>44533.795636574076</v>
      </c>
      <c r="D12511" s="1" t="s">
        <v>24702</v>
      </c>
      <c r="E12511" s="1" t="str">
        <f ca="1">IFERROR(__xludf.DUMMYFUNCTION("GOOGLETRANSLATE(A9310 , ""tr"" , ""en"")"),"@drfahrettinkoca 10 Months Lying On Https://t.co/h9lrhmozdj")</f>
        <v>@drfahrettinkoca 10 Months Lying On Https://t.co/h9lrhmozdj</v>
      </c>
    </row>
    <row r="12512" spans="1:5" ht="15" customHeight="1" x14ac:dyDescent="0.2">
      <c r="A12512" s="1" t="s">
        <v>24703</v>
      </c>
      <c r="B12512" s="1">
        <v>2</v>
      </c>
      <c r="C12512" s="3">
        <v>44533.795590277776</v>
      </c>
      <c r="D12512" s="1" t="s">
        <v>24704</v>
      </c>
      <c r="E12512" s="1" t="str">
        <f ca="1">IFERROR(__xludf.DUMMYFUNCTION("GOOGLETRANSLATE(A9311 , ""tr"" , ""en"")"),"@drfahrettinkoca One of you Called You say that you are not encountered, you are looking forward to us to believe in one")</f>
        <v>@drfahrettinkoca One of you Called You say that you are not encountered, you are looking forward to us to believe in one</v>
      </c>
    </row>
    <row r="12513" spans="1:5" ht="15" customHeight="1" x14ac:dyDescent="0.2">
      <c r="A12513" s="1" t="s">
        <v>24705</v>
      </c>
      <c r="B12513" s="1">
        <v>3</v>
      </c>
      <c r="C12513" s="3">
        <v>44533.795451388891</v>
      </c>
      <c r="D12513" s="1" t="s">
        <v>24706</v>
      </c>
      <c r="E12513" s="1" t="str">
        <f ca="1">IFERROR(__xludf.DUMMYFUNCTION("GOOGLETRANSLATE(A9312 , ""tr"" , ""en"")"),"@drfahrettinka This virus does not end unless we have left the mask. Psycholys of people with quarantine before ... https://t.co/hvfkıbzutk")</f>
        <v>@drfahrettinka This virus does not end unless we have left the mask. Psycholys of people with quarantine before ... https://t.co/hvfkıbzutk</v>
      </c>
    </row>
    <row r="12514" spans="1:5" ht="15" customHeight="1" x14ac:dyDescent="0.2">
      <c r="A12514" s="1" t="s">
        <v>24707</v>
      </c>
      <c r="B12514" s="1">
        <v>0</v>
      </c>
      <c r="C12514" s="3">
        <v>44533.793090277781</v>
      </c>
      <c r="D12514" s="1" t="s">
        <v>24708</v>
      </c>
      <c r="E12514" s="1" t="str">
        <f ca="1">IFERROR(__xludf.DUMMYFUNCTION("GOOGLETRANSLATE(A9313 , ""tr"" , ""en"")"),"@drfahrettinkoca Health Been Thanks for making 0 (zero) healthcare purchases. It will be a minister that won't be forgotten.")</f>
        <v>@drfahrettinkoca Health Been Thanks for making 0 (zero) healthcare purchases. It will be a minister that won't be forgotten.</v>
      </c>
    </row>
    <row r="12515" spans="1:5" ht="15" customHeight="1" x14ac:dyDescent="0.2">
      <c r="A12515" s="1" t="s">
        <v>24709</v>
      </c>
      <c r="B12515" s="1">
        <v>0</v>
      </c>
      <c r="C12515" s="3">
        <v>44533.79278935185</v>
      </c>
      <c r="D12515" s="1" t="s">
        <v>24710</v>
      </c>
      <c r="E12515" s="1" t="str">
        <f ca="1">IFERROR(__xludf.DUMMYFUNCTION("GOOGLETRANSLATE(A9314 , ""tr"" , ""en"")"),"@drfahrettinkoca @saglikbakanligi information for information overlooking the Covid")</f>
        <v>@drfahrettinkoca @saglikbakanligi information for information overlooking the Covid</v>
      </c>
    </row>
    <row r="12516" spans="1:5" ht="15" customHeight="1" x14ac:dyDescent="0.2">
      <c r="A12516" s="1" t="s">
        <v>24711</v>
      </c>
      <c r="B12516" s="1">
        <v>0</v>
      </c>
      <c r="C12516" s="3">
        <v>44533.792013888888</v>
      </c>
      <c r="D12516" s="1" t="s">
        <v>24712</v>
      </c>
      <c r="E12516" s="1" t="str">
        <f ca="1">IFERROR(__xludf.DUMMYFUNCTION("GOOGLETRANSLATE(A9315 , ""tr"" , ""en"")"),"@drfahrettinka https://t.co/razwqnwmls")</f>
        <v>@drfahrettinka https://t.co/razwqnwmls</v>
      </c>
    </row>
    <row r="12517" spans="1:5" ht="15" customHeight="1" x14ac:dyDescent="0.2">
      <c r="A12517" s="1" t="s">
        <v>24713</v>
      </c>
      <c r="B12517" s="1">
        <v>0</v>
      </c>
      <c r="C12517" s="3">
        <v>44533.791655092595</v>
      </c>
      <c r="D12517" s="1" t="s">
        <v>24714</v>
      </c>
      <c r="E12517" s="1" t="str">
        <f ca="1">IFERROR(__xludf.DUMMYFUNCTION("GOOGLETRANSLATE(A9316 , ""tr"" , ""en"")"),"@drfahrettinkoca Your life lies you are all schizophrenic")</f>
        <v>@drfahrettinkoca Your life lies you are all schizophrenic</v>
      </c>
    </row>
    <row r="12518" spans="1:5" ht="15" customHeight="1" x14ac:dyDescent="0.2">
      <c r="A12518" s="1" t="s">
        <v>24715</v>
      </c>
      <c r="B12518" s="1">
        <v>0</v>
      </c>
      <c r="C12518" s="3">
        <v>44533.791643518518</v>
      </c>
      <c r="D12518" s="1" t="s">
        <v>24716</v>
      </c>
      <c r="E12518" s="1" t="str">
        <f ca="1">IFERROR(__xludf.DUMMYFUNCTION("GOOGLETRANSLATE(A9317 , ""tr"" , ""en"")"),"@drfahrettinka https://t.co/wihjwd9vyz")</f>
        <v>@drfahrettinka https://t.co/wihjwd9vyz</v>
      </c>
    </row>
    <row r="12519" spans="1:5" ht="15" customHeight="1" x14ac:dyDescent="0.2">
      <c r="A12519" s="1" t="s">
        <v>24717</v>
      </c>
      <c r="B12519" s="1">
        <v>0</v>
      </c>
      <c r="C12519" s="3">
        <v>44533.790925925925</v>
      </c>
      <c r="D12519" s="1" t="s">
        <v>24718</v>
      </c>
      <c r="E12519" s="1" t="str">
        <f ca="1">IFERROR(__xludf.DUMMYFUNCTION("GOOGLETRANSLATE(A9318 , ""tr"" , ""en"")"),"@drfahrettinka https://t.co/q5xxvuzt3f")</f>
        <v>@drfahrettinka https://t.co/q5xxvuzt3f</v>
      </c>
    </row>
    <row r="12520" spans="1:5" ht="15" customHeight="1" x14ac:dyDescent="0.2">
      <c r="A12520" s="1" t="s">
        <v>24719</v>
      </c>
      <c r="B12520" s="1">
        <v>0</v>
      </c>
      <c r="C12520" s="3">
        <v>44533.790590277778</v>
      </c>
      <c r="D12520" s="1" t="s">
        <v>24720</v>
      </c>
      <c r="E12520" s="1" t="str">
        <f ca="1">IFERROR(__xludf.DUMMYFUNCTION("GOOGLETRANSLATE(A9319 , ""tr"" , ""en"")"),"@drfahrettinkoca ya bi fucked goes nation folks find peace male means that the person is a saying that you are a saying that you say ... https://t.co/6DUYIMW88T")</f>
        <v>@drfahrettinkoca ya bi fucked goes nation folks find peace male means that the person is a saying that you are a saying that you say ... https://t.co/6DUYIMW88T</v>
      </c>
    </row>
    <row r="12521" spans="1:5" ht="15" customHeight="1" x14ac:dyDescent="0.2">
      <c r="A12521" s="1" t="s">
        <v>24721</v>
      </c>
      <c r="B12521" s="1">
        <v>1</v>
      </c>
      <c r="C12521" s="3">
        <v>44533.788171296299</v>
      </c>
      <c r="D12521" s="1" t="s">
        <v>24722</v>
      </c>
      <c r="E12521" s="1" t="str">
        <f ca="1">IFERROR(__xludf.DUMMYFUNCTION("GOOGLETRANSLATE(A9320 , ""tr"" , ""en"")"),"@drfahrettinkca stimulates our doctors habis this variant there is also in Turkey do not persistently do you say that you are enlay ... https://t.co/7QUW0GKIWM")</f>
        <v>@drfahrettinkca stimulates our doctors habis this variant there is also in Turkey do not persistently do you say that you are enlay ... https://t.co/7QUW0GKIWM</v>
      </c>
    </row>
    <row r="12522" spans="1:5" ht="15" customHeight="1" x14ac:dyDescent="0.2">
      <c r="A12522" s="1" t="s">
        <v>24723</v>
      </c>
      <c r="B12522" s="1">
        <v>1</v>
      </c>
      <c r="C12522" s="3">
        <v>44533.788078703707</v>
      </c>
      <c r="D12522" s="1" t="s">
        <v>24724</v>
      </c>
      <c r="E12522" s="1" t="str">
        <f ca="1">IFERROR(__xludf.DUMMYFUNCTION("GOOGLETRANSLATE(A9321 , ""tr"" , ""en"")"),"@drfahrettinkoca State no longer confidence in any institution, data collapsed to the country of fake topykun ... https://t.co/fnyacwjkwr")</f>
        <v>@drfahrettinkoca State no longer confidence in any institution, data collapsed to the country of fake topykun ... https://t.co/fnyacwjkwr</v>
      </c>
    </row>
    <row r="12523" spans="1:5" ht="15" customHeight="1" x14ac:dyDescent="0.2">
      <c r="A12523" s="1" t="s">
        <v>24725</v>
      </c>
      <c r="B12523" s="1">
        <v>0</v>
      </c>
      <c r="C12523" s="3">
        <v>44533.787280092591</v>
      </c>
      <c r="D12523" s="1" t="s">
        <v>24726</v>
      </c>
      <c r="E12523" s="1" t="str">
        <f ca="1">IFERROR(__xludf.DUMMYFUNCTION("GOOGLETRANSLATE(A9322 , ""tr"" , ""en"")"),"@drfahrettinkoca @ mehmetceyhan23")</f>
        <v>@drfahrettinkoca @ mehmetceyhan23</v>
      </c>
    </row>
    <row r="12524" spans="1:5" ht="15" customHeight="1" x14ac:dyDescent="0.2">
      <c r="A12524" s="1" t="s">
        <v>24727</v>
      </c>
      <c r="B12524" s="1">
        <v>0</v>
      </c>
      <c r="C12524" s="3">
        <v>44533.787280092591</v>
      </c>
      <c r="D12524" s="1" t="s">
        <v>24728</v>
      </c>
      <c r="E12524" s="1" t="str">
        <f ca="1">IFERROR(__xludf.DUMMYFUNCTION("GOOGLETRANSLATE(A9323 , ""tr"" , ""en"")"),"@drfahrettinkoca Covitten de Variants from the mask as well as the doses of asidan too are also very bored")</f>
        <v>@drfahrettinkoca Covitten de Variants from the mask as well as the doses of asidan too are also very bored</v>
      </c>
    </row>
    <row r="12525" spans="1:5" ht="15" customHeight="1" x14ac:dyDescent="0.2">
      <c r="A12525" s="1" t="s">
        <v>24729</v>
      </c>
      <c r="B12525" s="1">
        <v>0</v>
      </c>
      <c r="C12525" s="3">
        <v>44533.787083333336</v>
      </c>
      <c r="D12525" s="1" t="s">
        <v>24730</v>
      </c>
      <c r="E12525" s="1" t="str">
        <f ca="1">IFERROR(__xludf.DUMMYFUNCTION("GOOGLETRANSLATE(A9324 , ""tr"" , ""en"")"),"@drfahrettinkoca If you are afraid of allah, if you believe in the rest, answer honestly, honestly for the Earth Release ... https://t.co/q0oyo6kvzc")</f>
        <v>@drfahrettinkoca If you are afraid of allah, if you believe in the rest, answer honestly, honestly for the Earth Release ... https://t.co/q0oyo6kvzc</v>
      </c>
    </row>
    <row r="12526" spans="1:5" ht="15" customHeight="1" x14ac:dyDescent="0.2">
      <c r="A12526" s="1" t="s">
        <v>24731</v>
      </c>
      <c r="B12526" s="1">
        <v>0</v>
      </c>
      <c r="C12526" s="3">
        <v>44533.786990740744</v>
      </c>
      <c r="D12526" s="1" t="s">
        <v>24732</v>
      </c>
      <c r="E12526" s="1" t="str">
        <f ca="1">IFERROR(__xludf.DUMMYFUNCTION("GOOGLETRANSLATE(A9325 , ""tr"" , ""en"")"),"@drfahrettinkoca doctor hikes what happened")</f>
        <v>@drfahrettinkoca doctor hikes what happened</v>
      </c>
    </row>
    <row r="12527" spans="1:5" ht="15" customHeight="1" x14ac:dyDescent="0.2">
      <c r="A12527" s="1" t="s">
        <v>24733</v>
      </c>
      <c r="B12527" s="1">
        <v>3</v>
      </c>
      <c r="C12527" s="3">
        <v>44533.785798611112</v>
      </c>
      <c r="D12527" s="1" t="s">
        <v>24734</v>
      </c>
      <c r="E12527" s="1" t="str">
        <f ca="1">IFERROR(__xludf.DUMMYFUNCTION("GOOGLETRANSLATE(A9326 , ""tr"" , ""en"")"),"@drfahrettinkoca Tweet Outbreaks No Under-testing No few patients who do not have any analysis for variants ... https://t.co/z2lvhoc23u")</f>
        <v>@drfahrettinkoca Tweet Outbreaks No Under-testing No few patients who do not have any analysis for variants ... https://t.co/z2lvhoc23u</v>
      </c>
    </row>
    <row r="12528" spans="1:5" ht="15" customHeight="1" x14ac:dyDescent="0.2">
      <c r="A12528" s="1" t="s">
        <v>24735</v>
      </c>
      <c r="B12528" s="1">
        <v>3</v>
      </c>
      <c r="C12528" s="3">
        <v>44533.783333333333</v>
      </c>
      <c r="D12528" s="1" t="s">
        <v>24736</v>
      </c>
      <c r="E12528" s="1" t="str">
        <f ca="1">IFERROR(__xludf.DUMMYFUNCTION("GOOGLETRANSLATE(A9327 , ""tr"" , ""en"")"),"@drfahrettinkoca Of course, the disease of Mr. Minister disease is not heavily, and absolutely we do not have the nearest neighbor ... https://t.co/xsnox9jamn")</f>
        <v>@drfahrettinkoca Of course, the disease of Mr. Minister disease is not heavily, and absolutely we do not have the nearest neighbor ... https://t.co/xsnox9jamn</v>
      </c>
    </row>
    <row r="12529" spans="1:5" ht="15" customHeight="1" x14ac:dyDescent="0.2">
      <c r="A12529" s="1" t="s">
        <v>24737</v>
      </c>
      <c r="B12529" s="1">
        <v>0</v>
      </c>
      <c r="C12529" s="3">
        <v>44533.782627314817</v>
      </c>
      <c r="D12529" s="1" t="s">
        <v>24738</v>
      </c>
      <c r="E12529" s="1" t="str">
        <f ca="1">IFERROR(__xludf.DUMMYFUNCTION("GOOGLETRANSLATE(A9328 , ""tr"" , ""en"")"),"@drfahrettinkoca President NEIN and permission to Mr. Minister from this statement 🤔")</f>
        <v>@drfahrettinkoca President NEIN and permission to Mr. Minister from this statement 🤔</v>
      </c>
    </row>
    <row r="12530" spans="1:5" ht="15" customHeight="1" x14ac:dyDescent="0.2">
      <c r="A12530" s="1" t="s">
        <v>24739</v>
      </c>
      <c r="B12530" s="1">
        <v>6</v>
      </c>
      <c r="C12530" s="3">
        <v>44533.781793981485</v>
      </c>
      <c r="D12530" s="1" t="s">
        <v>24740</v>
      </c>
      <c r="E12530" s="1" t="str">
        <f ca="1">IFERROR(__xludf.DUMMYFUNCTION("GOOGLETRANSLATE(A9329 , ""tr"" , ""en"")"),"@drfahrettinkoca Did you get permission to discard this Tweet Did you make the Minister Minister")</f>
        <v>@drfahrettinkoca Did you get permission to discard this Tweet Did you make the Minister Minister</v>
      </c>
    </row>
    <row r="12531" spans="1:5" ht="15" customHeight="1" x14ac:dyDescent="0.2">
      <c r="A12531" s="1" t="s">
        <v>24741</v>
      </c>
      <c r="B12531" s="1">
        <v>0</v>
      </c>
      <c r="C12531" s="3">
        <v>44533.781550925924</v>
      </c>
      <c r="D12531" s="1" t="s">
        <v>24742</v>
      </c>
      <c r="E12531" s="1" t="str">
        <f ca="1">IFERROR(__xludf.DUMMYFUNCTION("GOOGLETRANSLATE(A9330 , ""tr"" , ""en"")"),"@drfahrettinkoca Greece is also impossible to not be the bottom of our nose but we can't learn any data")</f>
        <v>@drfahrettinkoca Greece is also impossible to not be the bottom of our nose but we can't learn any data</v>
      </c>
    </row>
    <row r="12532" spans="1:5" ht="15" customHeight="1" x14ac:dyDescent="0.2">
      <c r="A12532" s="1" t="s">
        <v>24743</v>
      </c>
      <c r="B12532" s="1">
        <v>0</v>
      </c>
      <c r="C12532" s="3">
        <v>44533.781168981484</v>
      </c>
      <c r="D12532" s="1" t="s">
        <v>24744</v>
      </c>
      <c r="E12532" s="1" t="str">
        <f ca="1">IFERROR(__xludf.DUMMYFUNCTION("GOOGLETRANSLATE(A9331 , ""tr"" , ""en"")"),"@drfahrettinkoca Satisfactory Symptoms with Sunday Guni Since Sali Gununi Since this Virusle. Cift Dose Don't Biontech ... https://t.co/dofybyrfbj")</f>
        <v>@drfahrettinkoca Satisfactory Symptoms with Sunday Guni Since Sali Gununi Since this Virusle. Cift Dose Don't Biontech ... https://t.co/dofybyrfbj</v>
      </c>
    </row>
    <row r="12533" spans="1:5" ht="15" customHeight="1" x14ac:dyDescent="0.2">
      <c r="A12533" s="1" t="s">
        <v>24745</v>
      </c>
      <c r="B12533" s="1">
        <v>10</v>
      </c>
      <c r="C12533" s="3">
        <v>44533.780486111114</v>
      </c>
      <c r="D12533" s="1" t="s">
        <v>24746</v>
      </c>
      <c r="E12533" s="1" t="str">
        <f ca="1">IFERROR(__xludf.DUMMYFUNCTION("GOOGLETRANSLATE(A9332 , ""tr"" , ""en"")"),"@drfahrettinkoca mehmet ceyhan has got it says you couldn't close the chin of the meme")</f>
        <v>@drfahrettinkoca mehmet ceyhan has got it says you couldn't close the chin of the meme</v>
      </c>
    </row>
    <row r="12534" spans="1:5" ht="15" customHeight="1" x14ac:dyDescent="0.2">
      <c r="A12534" s="1" t="s">
        <v>24747</v>
      </c>
      <c r="B12534" s="1">
        <v>0</v>
      </c>
      <c r="C12534" s="3">
        <v>44533.779062499998</v>
      </c>
      <c r="D12534" s="1" t="s">
        <v>24748</v>
      </c>
      <c r="E12534" s="1" t="str">
        <f ca="1">IFERROR(__xludf.DUMMYFUNCTION("GOOGLETRANSLATE(A9333 , ""tr"" , ""en"")"),"@drfahrettinkoca Fund Running Once Writes Faho Ağa")</f>
        <v>@drfahrettinkoca Fund Running Once Writes Faho Ağa</v>
      </c>
    </row>
    <row r="12535" spans="1:5" ht="15" customHeight="1" x14ac:dyDescent="0.2">
      <c r="A12535" s="1" t="s">
        <v>24749</v>
      </c>
      <c r="B12535" s="1">
        <v>3</v>
      </c>
      <c r="C12535" s="3">
        <v>44533.777384259258</v>
      </c>
      <c r="D12535" s="1" t="s">
        <v>24750</v>
      </c>
      <c r="E12535" s="1" t="str">
        <f ca="1">IFERROR(__xludf.DUMMYFUNCTION("GOOGLETRANSLATE(A9334 , ""tr"" , ""en"")"),"@drfahrettinka you have told you in kind things in the cowid and even the delta variant.! But he said ... https://t.co/n7ajs7fpod")</f>
        <v>@drfahrettinka you have told you in kind things in the cowid and even the delta variant.! But he said ... https://t.co/n7ajs7fpod</v>
      </c>
    </row>
    <row r="12536" spans="1:5" ht="15" customHeight="1" x14ac:dyDescent="0.2">
      <c r="A12536" s="1" t="s">
        <v>24751</v>
      </c>
      <c r="B12536" s="1">
        <v>0</v>
      </c>
      <c r="C12536" s="3">
        <v>44533.774537037039</v>
      </c>
      <c r="D12536" s="1" t="s">
        <v>24752</v>
      </c>
      <c r="E12536" s="1" t="str">
        <f ca="1">IFERROR(__xludf.DUMMYFUNCTION("GOOGLETRANSLATE(A9335 , ""tr"" , ""en"")"),"@drfahrettinka because the Turkish nation's variant quota has been filled. They don't eat the omichron it is now hard to be able to forethe it ... https://t.co/m40jzxedod")</f>
        <v>@drfahrettinka because the Turkish nation's variant quota has been filled. They don't eat the omichron it is now hard to be able to forethe it ... https://t.co/m40jzxedod</v>
      </c>
    </row>
    <row r="12537" spans="1:5" ht="15" customHeight="1" x14ac:dyDescent="0.2">
      <c r="A12537" s="1" t="s">
        <v>24753</v>
      </c>
      <c r="B12537" s="1">
        <v>0</v>
      </c>
      <c r="C12537" s="3">
        <v>44533.774409722224</v>
      </c>
      <c r="D12537" s="1" t="s">
        <v>24754</v>
      </c>
      <c r="E12537" s="1" t="str">
        <f ca="1">IFERROR(__xludf.DUMMYFUNCTION("GOOGLETRANSLATE(A9336 , ""tr"" , ""en"")"),"@drfahrettinkoca pity you YAA is not enough what the variants are so bored as citizens every day is a ko ... https://t.co/2ug6qnkscf")</f>
        <v>@drfahrettinkoca pity you YAA is not enough what the variants are so bored as citizens every day is a ko ... https://t.co/2ug6qnkscf</v>
      </c>
    </row>
    <row r="12538" spans="1:5" ht="15" customHeight="1" x14ac:dyDescent="0.2">
      <c r="A12538" s="1" t="s">
        <v>24755</v>
      </c>
      <c r="B12538" s="1">
        <v>1</v>
      </c>
      <c r="C12538" s="3">
        <v>44533.774247685185</v>
      </c>
      <c r="D12538" s="1" t="s">
        <v>24756</v>
      </c>
      <c r="E12538" s="1" t="str">
        <f ca="1">IFERROR(__xludf.DUMMYFUNCTION("GOOGLETRANSLATE(A9337 , ""tr"" , ""en"")"),"@drfahrettinkoca wants health management staff")</f>
        <v>@drfahrettinkoca wants health management staff</v>
      </c>
    </row>
    <row r="12539" spans="1:5" ht="15" customHeight="1" x14ac:dyDescent="0.2">
      <c r="A12539" s="1" t="s">
        <v>24757</v>
      </c>
      <c r="B12539" s="1">
        <v>0</v>
      </c>
      <c r="C12539" s="3">
        <v>44533.772106481483</v>
      </c>
      <c r="D12539" s="1" t="s">
        <v>24758</v>
      </c>
      <c r="E12539" s="1" t="str">
        <f ca="1">IFERROR(__xludf.DUMMYFUNCTION("GOOGLETRANSLATE(A9338 , ""tr"" , ""en"")"),"@drfahrettinkoca paste 2 more dose")</f>
        <v>@drfahrettinkoca paste 2 more dose</v>
      </c>
    </row>
    <row r="12540" spans="1:5" ht="15" customHeight="1" x14ac:dyDescent="0.2">
      <c r="A12540" s="1" t="s">
        <v>24759</v>
      </c>
      <c r="B12540" s="1">
        <v>0</v>
      </c>
      <c r="C12540" s="3">
        <v>44533.771944444445</v>
      </c>
      <c r="D12540" s="1" t="s">
        <v>24760</v>
      </c>
      <c r="E12540" s="1" t="str">
        <f ca="1">IFERROR(__xludf.DUMMYFUNCTION("GOOGLETRANSLATE(A9339 , ""tr"" , ""en"")"),"@drfahrettinka https://t.co/vsvtnyba8g")</f>
        <v>@drfahrettinka https://t.co/vsvtnyba8g</v>
      </c>
    </row>
    <row r="12541" spans="1:5" ht="15" customHeight="1" x14ac:dyDescent="0.2">
      <c r="A12541" s="1" t="s">
        <v>24761</v>
      </c>
      <c r="B12541" s="1">
        <v>0</v>
      </c>
      <c r="C12541" s="3">
        <v>44533.770925925928</v>
      </c>
      <c r="D12541" s="1" t="s">
        <v>24762</v>
      </c>
      <c r="E12541" s="1" t="str">
        <f ca="1">IFERROR(__xludf.DUMMYFUNCTION("GOOGLETRANSLATE(A9340 , ""tr"" , ""en"")"),"@drfahrettinkoca Online Education We are looking forward to Mr. overlooking otherwise this system will not be based on this system ...")</f>
        <v>@drfahrettinkoca Online Education We are looking forward to Mr. overlooking otherwise this system will not be based on this system ...</v>
      </c>
    </row>
    <row r="12542" spans="1:5" ht="15" customHeight="1" x14ac:dyDescent="0.2">
      <c r="A12542" s="1" t="s">
        <v>24763</v>
      </c>
      <c r="B12542" s="1">
        <v>4</v>
      </c>
      <c r="C12542" s="3">
        <v>44533.770833333336</v>
      </c>
      <c r="D12542" s="1" t="s">
        <v>24764</v>
      </c>
      <c r="E12542" s="1" t="str">
        <f ca="1">IFERROR(__xludf.DUMMYFUNCTION("GOOGLETRANSLATE(A9341 , ""tr"" , ""en"")"),"@drfahrettinkoca what is graphen oxide what do you can answer?")</f>
        <v>@drfahrettinkoca what is graphen oxide what do you can answer?</v>
      </c>
    </row>
    <row r="12543" spans="1:5" ht="15" customHeight="1" x14ac:dyDescent="0.2">
      <c r="A12543" s="1" t="s">
        <v>24765</v>
      </c>
      <c r="B12543" s="1">
        <v>0</v>
      </c>
      <c r="C12543" s="3">
        <v>44533.768483796295</v>
      </c>
      <c r="D12543" s="1" t="s">
        <v>24766</v>
      </c>
      <c r="E12543" s="1" t="str">
        <f ca="1">IFERROR(__xludf.DUMMYFUNCTION("GOOGLETRANSLATE(A9342 , ""tr"" , ""en"")"),"@drfahrettinkoca comes after 2 weeks")</f>
        <v>@drfahrettinkoca comes after 2 weeks</v>
      </c>
    </row>
    <row r="12544" spans="1:5" ht="15" customHeight="1" x14ac:dyDescent="0.2">
      <c r="A12544" s="1" t="s">
        <v>24767</v>
      </c>
      <c r="B12544" s="1">
        <v>1</v>
      </c>
      <c r="C12544" s="3">
        <v>44533.767789351848</v>
      </c>
      <c r="D12544" s="1" t="s">
        <v>24768</v>
      </c>
      <c r="E12544" s="1" t="str">
        <f ca="1">IFERROR(__xludf.DUMMYFUNCTION("GOOGLETRANSLATE(A9343 , ""tr"" , ""en"")"),"@drfahrettinkoca Who gave you the right to experiment on the Turkish nation?")</f>
        <v>@drfahrettinkoca Who gave you the right to experiment on the Turkish nation?</v>
      </c>
    </row>
    <row r="12545" spans="1:5" ht="15" customHeight="1" x14ac:dyDescent="0.2">
      <c r="A12545" s="1" t="s">
        <v>24769</v>
      </c>
      <c r="B12545" s="1">
        <v>0</v>
      </c>
      <c r="C12545" s="3">
        <v>44533.767476851855</v>
      </c>
      <c r="D12545" s="1" t="s">
        <v>24770</v>
      </c>
      <c r="E12545" s="1" t="str">
        <f ca="1">IFERROR(__xludf.DUMMYFUNCTION("GOOGLETRANSLATE(A9344 , ""tr"" , ""en"")"),"@drfahrettinkoca asay. So is it quickly infected and less effective? Start pretending variants variant ... https://t.co/7e2nakeyew")</f>
        <v>@drfahrettinkoca asay. So is it quickly infected and less effective? Start pretending variants variant ... https://t.co/7e2nakeyew</v>
      </c>
    </row>
    <row r="12546" spans="1:5" ht="15" customHeight="1" x14ac:dyDescent="0.2">
      <c r="A12546" s="1" t="s">
        <v>24771</v>
      </c>
      <c r="B12546" s="1">
        <v>3</v>
      </c>
      <c r="C12546" s="3">
        <v>44533.766898148147</v>
      </c>
      <c r="D12546" s="1" t="s">
        <v>24772</v>
      </c>
      <c r="E12546" s="1" t="str">
        <f ca="1">IFERROR(__xludf.DUMMYFUNCTION("GOOGLETRANSLATE(A9345 , ""tr"" , ""en"")"),"@drfahrettinkoca Prfizer Why did you not share data with the Turkish folk? Share data in these hospitals ... https://t.co/snr5fbjvrm")</f>
        <v>@drfahrettinkoca Prfizer Why did you not share data with the Turkish folk? Share data in these hospitals ... https://t.co/snr5fbjvrm</v>
      </c>
    </row>
    <row r="12547" spans="1:5" ht="15" customHeight="1" x14ac:dyDescent="0.2">
      <c r="A12547" s="1" t="s">
        <v>24773</v>
      </c>
      <c r="B12547" s="1">
        <v>0</v>
      </c>
      <c r="C12547" s="3">
        <v>44533.766493055555</v>
      </c>
      <c r="D12547" s="1" t="s">
        <v>24774</v>
      </c>
      <c r="E12547" s="1" t="str">
        <f ca="1">IFERROR(__xludf.DUMMYFUNCTION("GOOGLETRANSLATE(A9346 , ""tr"" , ""en"")"),"@drfahrettinka doctors that you are famous worldwide. Nine grains for now. Congratulations.")</f>
        <v>@drfahrettinka doctors that you are famous worldwide. Nine grains for now. Congratulations.</v>
      </c>
    </row>
    <row r="12548" spans="1:5" ht="15" customHeight="1" x14ac:dyDescent="0.2">
      <c r="A12548" s="1" t="s">
        <v>24775</v>
      </c>
      <c r="B12548" s="1">
        <v>0</v>
      </c>
      <c r="C12548" s="3">
        <v>44533.765879629631</v>
      </c>
      <c r="D12548" s="1" t="s">
        <v>24776</v>
      </c>
      <c r="E12548" s="1" t="str">
        <f ca="1">IFERROR(__xludf.DUMMYFUNCTION("GOOGLETRANSLATE(A9347 , ""tr"" , ""en"")"),"@drfahrettinkoca Today he is made to school stairs ""ARAND 4 digits with a forehead"" label Gorunc ... https://t.co/yh32juIwnz")</f>
        <v>@drfahrettinkoca Today he is made to school stairs "ARAND 4 digits with a forehead" label Gorunc ... https://t.co/yh32juIwnz</v>
      </c>
    </row>
    <row r="12549" spans="1:5" ht="15" customHeight="1" x14ac:dyDescent="0.2">
      <c r="A12549" s="1" t="s">
        <v>24777</v>
      </c>
      <c r="B12549" s="1">
        <v>0</v>
      </c>
      <c r="C12549" s="3">
        <v>44533.76295138889</v>
      </c>
      <c r="D12549" s="1" t="s">
        <v>24778</v>
      </c>
      <c r="E12549" s="1" t="str">
        <f ca="1">IFERROR(__xludf.DUMMYFUNCTION("GOOGLETRANSLATE(A9348 , ""tr"" , ""en"")"),"@drfahrettinkoca What did you recognize the Omicron overlooking? for God's sake")</f>
        <v>@drfahrettinkoca What did you recognize the Omicron overlooking? for God's sake</v>
      </c>
    </row>
    <row r="12550" spans="1:5" ht="15" customHeight="1" x14ac:dyDescent="0.2">
      <c r="A12550" s="1" t="s">
        <v>24779</v>
      </c>
      <c r="B12550" s="1">
        <v>0</v>
      </c>
      <c r="C12550" s="3">
        <v>44533.761261574073</v>
      </c>
      <c r="D12550" s="1" t="s">
        <v>24780</v>
      </c>
      <c r="E12550" s="1" t="str">
        <f ca="1">IFERROR(__xludf.DUMMYFUNCTION("GOOGLETRANSLATE(A9349 , ""tr"" , ""en"")"),"@drfahrettinkoca is the precise reversal after 2guns if you said that. Reverse Indicator")</f>
        <v>@drfahrettinkoca is the precise reversal after 2guns if you said that. Reverse Indicator</v>
      </c>
    </row>
    <row r="12551" spans="1:5" ht="15" customHeight="1" x14ac:dyDescent="0.2">
      <c r="A12551" s="1" t="s">
        <v>24781</v>
      </c>
      <c r="B12551" s="1">
        <v>0</v>
      </c>
      <c r="C12551" s="3">
        <v>44533.76122685185</v>
      </c>
      <c r="D12551" s="1" t="s">
        <v>24782</v>
      </c>
      <c r="E12551" s="1" t="str">
        <f ca="1">IFERROR(__xludf.DUMMYFUNCTION("GOOGLETRANSLATE(A9350 , ""tr"" , ""en"")"),"@drfahrettinkoca which one do you think is https://t.co/uo4emwpeyw")</f>
        <v>@drfahrettinkoca which one do you think is https://t.co/uo4emwpeyw</v>
      </c>
    </row>
    <row r="12552" spans="1:5" ht="15" customHeight="1" x14ac:dyDescent="0.2">
      <c r="A12552" s="1" t="s">
        <v>24783</v>
      </c>
      <c r="B12552" s="1">
        <v>0</v>
      </c>
      <c r="C12552" s="3">
        <v>44533.760613425926</v>
      </c>
      <c r="D12552" s="1" t="s">
        <v>24784</v>
      </c>
      <c r="E12552" s="1" t="str">
        <f ca="1">IFERROR(__xludf.DUMMYFUNCTION("GOOGLETRANSLATE(A9351 , ""tr"" , ""en"")"),"@drfahrettinkoca guide are welcome to publish guide now. You have been offering for 1 year. Us always hoping and no bi ... https://t.co/cpud1qcjrp")</f>
        <v>@drfahrettinkoca guide are welcome to publish guide now. You have been offering for 1 year. Us always hoping and no bi ... https://t.co/cpud1qcjrp</v>
      </c>
    </row>
    <row r="12553" spans="1:5" ht="15" customHeight="1" x14ac:dyDescent="0.2">
      <c r="A12553" s="1" t="s">
        <v>24785</v>
      </c>
      <c r="B12553" s="1">
        <v>0</v>
      </c>
      <c r="C12553" s="3">
        <v>44533.759571759256</v>
      </c>
      <c r="D12553" s="1" t="s">
        <v>24786</v>
      </c>
      <c r="E12553" s="1" t="str">
        <f ca="1">IFERROR(__xludf.DUMMYFUNCTION("GOOGLETRANSLATE(A9352 , ""tr"" , ""en"")"),"@drfahrettinkoca has never been to believe that")</f>
        <v>@drfahrettinkoca has never been to believe that</v>
      </c>
    </row>
    <row r="12554" spans="1:5" ht="15" customHeight="1" x14ac:dyDescent="0.2">
      <c r="A12554" s="1" t="s">
        <v>24787</v>
      </c>
      <c r="B12554" s="1">
        <v>49</v>
      </c>
      <c r="C12554" s="3">
        <v>44533.758981481478</v>
      </c>
      <c r="D12554" s="1" t="s">
        <v>24788</v>
      </c>
      <c r="E12554" s="1" t="str">
        <f ca="1">IFERROR(__xludf.DUMMYFUNCTION("GOOGLETRANSLATE(A9353 , ""tr"" , ""en"")"),"@drfahrettinka hes how to have any decreases in the case in the case, even though the cases of the cases are upset ... https://t.co/g1dpz8eryu")</f>
        <v>@drfahrettinka hes how to have any decreases in the case in the case, even though the cases of the cases are upset ... https://t.co/g1dpz8eryu</v>
      </c>
    </row>
    <row r="12555" spans="1:5" ht="15" customHeight="1" x14ac:dyDescent="0.2">
      <c r="A12555" s="1" t="s">
        <v>24789</v>
      </c>
      <c r="B12555" s="1">
        <v>0</v>
      </c>
      <c r="C12555" s="3">
        <v>44533.758738425924</v>
      </c>
      <c r="D12555" s="1" t="s">
        <v>24790</v>
      </c>
      <c r="E12555" s="1" t="str">
        <f ca="1">IFERROR(__xludf.DUMMYFUNCTION("GOOGLETRANSLATE(A9354 , ""tr"" , ""en"")"),"@drfahrettinkoca To Whom Say.Teflon Power")</f>
        <v>@drfahrettinkoca To Whom Say.Teflon Power</v>
      </c>
    </row>
    <row r="12556" spans="1:5" ht="15" customHeight="1" x14ac:dyDescent="0.2">
      <c r="A12556" s="1" t="s">
        <v>24791</v>
      </c>
      <c r="B12556" s="1">
        <v>0</v>
      </c>
      <c r="C12556" s="3">
        <v>44533.758067129631</v>
      </c>
      <c r="D12556" s="1" t="s">
        <v>24792</v>
      </c>
      <c r="E12556" s="1" t="str">
        <f ca="1">IFERROR(__xludf.DUMMYFUNCTION("GOOGLETRANSLATE(A9355 , ""tr"" , ""en"")"),"@drfahrettinkoca corona is a dose of tale is a dose two dose 3 dose 4 four dose is a vaccine to me narinna narinna narinna narinna narinna narinna narinna")</f>
        <v>@drfahrettinkoca corona is a dose of tale is a dose two dose 3 dose 4 four dose is a vaccine to me narinna narinna narinna narinna narinna narinna narinna</v>
      </c>
    </row>
    <row r="12557" spans="1:5" ht="15" customHeight="1" x14ac:dyDescent="0.2">
      <c r="A12557" s="1" t="s">
        <v>24793</v>
      </c>
      <c r="B12557" s="1">
        <v>0</v>
      </c>
      <c r="C12557" s="3">
        <v>44533.756354166668</v>
      </c>
      <c r="D12557" s="1" t="s">
        <v>24794</v>
      </c>
      <c r="E12557" s="1" t="str">
        <f ca="1">IFERROR(__xludf.DUMMYFUNCTION("GOOGLETRANSLATE(A9356 , ""tr"" , ""en"")"),"@drfahrettinkoca @saglikbakanligi The test results are given to which varianths belong to the positive. B ... https://t.co/4R4WGPPEIN")</f>
        <v>@drfahrettinkoca @saglikbakanligi The test results are given to which varianths belong to the positive. B ... https://t.co/4R4WGPPEIN</v>
      </c>
    </row>
    <row r="12558" spans="1:5" ht="15" customHeight="1" x14ac:dyDescent="0.2">
      <c r="A12558" s="1" t="s">
        <v>24795</v>
      </c>
      <c r="B12558" s="1">
        <v>1</v>
      </c>
      <c r="C12558" s="3">
        <v>44533.755937499998</v>
      </c>
      <c r="D12558" s="1" t="s">
        <v>24796</v>
      </c>
      <c r="E12558" s="1" t="str">
        <f ca="1">IFERROR(__xludf.DUMMYFUNCTION("GOOGLETRANSLATE(A9357 , ""tr"" , ""en"")"),"@drfahrettinkoca all grades should go to online education")</f>
        <v>@drfahrettinkoca all grades should go to online education</v>
      </c>
    </row>
    <row r="12559" spans="1:5" ht="15" customHeight="1" x14ac:dyDescent="0.2">
      <c r="A12559" s="1" t="s">
        <v>23749</v>
      </c>
      <c r="B12559" s="1">
        <v>0</v>
      </c>
      <c r="C12559" s="3">
        <v>44533.755324074074</v>
      </c>
      <c r="D12559" s="1" t="s">
        <v>24797</v>
      </c>
      <c r="E12559" s="1" t="str">
        <f ca="1">IFERROR(__xludf.DUMMYFUNCTION("GOOGLETRANSLATE(A9358 , ""tr"" , ""en"")"),"@drfahrettinkoca ""It will not extend"" @drfahrettinkoca # fcking weave https://t.co/nnamwfqsuv")</f>
        <v>@drfahrettinkoca "It will not extend" @drfahrettinkoca # fcking weave https://t.co/nnamwfqsuv</v>
      </c>
    </row>
    <row r="12560" spans="1:5" ht="15" customHeight="1" x14ac:dyDescent="0.2">
      <c r="A12560" s="1" t="s">
        <v>24798</v>
      </c>
      <c r="B12560" s="1">
        <v>0</v>
      </c>
      <c r="C12560" s="3">
        <v>44533.755173611113</v>
      </c>
      <c r="D12560" s="1" t="s">
        <v>24799</v>
      </c>
      <c r="E12560" s="1" t="str">
        <f ca="1">IFERROR(__xludf.DUMMYFUNCTION("GOOGLETRANSLATE(A9359 , ""tr"" , ""en"")"),"@drfahrettinkoca lies we don't believe anymore looking at these numbers")</f>
        <v>@drfahrettinkoca lies we don't believe anymore looking at these numbers</v>
      </c>
    </row>
    <row r="12561" spans="1:5" ht="15" customHeight="1" x14ac:dyDescent="0.2">
      <c r="A12561" s="1" t="s">
        <v>24800</v>
      </c>
      <c r="B12561" s="1">
        <v>2</v>
      </c>
      <c r="C12561" s="3">
        <v>44533.75372685185</v>
      </c>
      <c r="D12561" s="1" t="s">
        <v>24801</v>
      </c>
      <c r="E12561" s="1" t="str">
        <f ca="1">IFERROR(__xludf.DUMMYFUNCTION("GOOGLETRANSLATE(A9360 , ""tr"" , ""en"")"),"@drfahrettinkoca is a year than one year don't keep waiting for us # fcking")</f>
        <v>@drfahrettinkoca is a year than one year don't keep waiting for us # fcking</v>
      </c>
    </row>
    <row r="12562" spans="1:5" ht="15" customHeight="1" x14ac:dyDescent="0.2">
      <c r="A12562" s="1" t="s">
        <v>24802</v>
      </c>
      <c r="B12562" s="1">
        <v>0</v>
      </c>
      <c r="C12562" s="3">
        <v>44533.753622685188</v>
      </c>
      <c r="D12562" s="1" t="s">
        <v>24803</v>
      </c>
      <c r="E12562" s="1" t="str">
        <f ca="1">IFERROR(__xludf.DUMMYFUNCTION("GOOGLETRANSLATE(A9361 , ""tr"" , ""en"")"),"@drfahrettinkoca Your workload has not given up the hike while increasing")</f>
        <v>@drfahrettinkoca Your workload has not given up the hike while increasing</v>
      </c>
    </row>
    <row r="12563" spans="1:5" ht="15" customHeight="1" x14ac:dyDescent="0.2">
      <c r="A12563" s="1" t="s">
        <v>24804</v>
      </c>
      <c r="B12563" s="1">
        <v>2</v>
      </c>
      <c r="C12563" s="3">
        <v>44533.75335648148</v>
      </c>
      <c r="D12563" s="1" t="s">
        <v>24805</v>
      </c>
      <c r="E12563" s="1" t="str">
        <f ca="1">IFERROR(__xludf.DUMMYFUNCTION("GOOGLETRANSLATE(A9362 , ""tr"" , ""en"")"),"@drfahrettinkoca Give the Ministry Guide # Fkoyaze")</f>
        <v>@drfahrettinkoca Give the Ministry Guide # Fkoyaze</v>
      </c>
    </row>
    <row r="12564" spans="1:5" ht="15" customHeight="1" x14ac:dyDescent="0.2">
      <c r="A12564" s="1" t="s">
        <v>24806</v>
      </c>
      <c r="B12564" s="1">
        <v>0</v>
      </c>
      <c r="C12564" s="3">
        <v>44533.753067129626</v>
      </c>
      <c r="D12564" s="1" t="s">
        <v>24807</v>
      </c>
      <c r="E12564" s="1" t="str">
        <f ca="1">IFERROR(__xludf.DUMMYFUNCTION("GOOGLETRANSLATE(A9363 , ""tr"" , ""en"")"),"@drfahrettinkoca all the world says the most dangerous variant, as if it's as if you've jumped lightly for omicron ... https://t.co/vqtfc621m9")</f>
        <v>@drfahrettinkoca all the world says the most dangerous variant, as if it's as if you've jumped lightly for omicron ... https://t.co/vqtfc621m9</v>
      </c>
    </row>
    <row r="12565" spans="1:5" ht="15" customHeight="1" x14ac:dyDescent="0.2">
      <c r="A12565" s="1" t="s">
        <v>24808</v>
      </c>
      <c r="B12565" s="1">
        <v>1</v>
      </c>
      <c r="C12565" s="3">
        <v>44533.752303240741</v>
      </c>
      <c r="D12565" s="1" t="s">
        <v>24809</v>
      </c>
      <c r="E12565" s="1" t="str">
        <f ca="1">IFERROR(__xludf.DUMMYFUNCTION("GOOGLETRANSLATE(A9364 , ""tr"" , ""en"")"),"@drfahrettinkoca hocam Seriously Where to @drfahrettinkoca")</f>
        <v>@drfahrettinkoca hocam Seriously Where to @drfahrettinkoca</v>
      </c>
    </row>
    <row r="12566" spans="1:5" ht="15" customHeight="1" x14ac:dyDescent="0.2">
      <c r="A12566" s="1" t="s">
        <v>24810</v>
      </c>
      <c r="B12566" s="1">
        <v>0</v>
      </c>
      <c r="C12566" s="3">
        <v>44533.75199074074</v>
      </c>
      <c r="D12566" s="1" t="s">
        <v>24811</v>
      </c>
      <c r="E12566" s="1" t="str">
        <f ca="1">IFERROR(__xludf.DUMMYFUNCTION("GOOGLETRANSLATE(A9365 , ""tr"" , ""en"")"),"@drfahrettinka assignment throwing assignment throwing assignment")</f>
        <v>@drfahrettinka assignment throwing assignment throwing assignment</v>
      </c>
    </row>
    <row r="12567" spans="1:5" ht="15" customHeight="1" x14ac:dyDescent="0.2">
      <c r="A12567" s="1" t="s">
        <v>24812</v>
      </c>
      <c r="B12567" s="1">
        <v>1</v>
      </c>
      <c r="C12567" s="3">
        <v>44533.751817129632</v>
      </c>
      <c r="D12567" s="1" t="s">
        <v>24813</v>
      </c>
      <c r="E12567" s="1" t="str">
        <f ca="1">IFERROR(__xludf.DUMMYFUNCTION("GOOGLETRANSLATE(A9366 , ""tr"" , ""en"")"),"@drfahrettinkoca we want online training")</f>
        <v>@drfahrettinkoca we want online training</v>
      </c>
    </row>
    <row r="12568" spans="1:5" ht="15" customHeight="1" x14ac:dyDescent="0.2">
      <c r="A12568" s="1" t="s">
        <v>24814</v>
      </c>
      <c r="B12568" s="1">
        <v>1</v>
      </c>
      <c r="C12568" s="3">
        <v>44533.75068287037</v>
      </c>
      <c r="D12568" s="1" t="s">
        <v>24815</v>
      </c>
      <c r="E12568" s="1" t="str">
        <f ca="1">IFERROR(__xludf.DUMMYFUNCTION("GOOGLETRANSLATE(A9367 , ""tr"" , ""en"")"),"@drfahrettinkoca has a price increase that no one has the fact that anyone has to think of variant. Covid not inflasyo ... https://t.co/qktv4g9jtw")</f>
        <v>@drfahrettinkoca has a price increase that no one has the fact that anyone has to think of variant. Covid not inflasyo ... https://t.co/qktv4g9jtw</v>
      </c>
    </row>
    <row r="12569" spans="1:5" ht="15" customHeight="1" x14ac:dyDescent="0.2">
      <c r="A12569" s="1" t="s">
        <v>24816</v>
      </c>
      <c r="B12569" s="1">
        <v>27</v>
      </c>
      <c r="C12569" s="3">
        <v>44533.7500462963</v>
      </c>
      <c r="D12569" s="1" t="s">
        <v>24817</v>
      </c>
      <c r="E12569" s="1" t="str">
        <f ca="1">IFERROR(__xludf.DUMMYFUNCTION("GOOGLETRANSLATE(A9368 , ""tr"" , ""en"")"),"@drfahrettinkoca lost court. Shared documents with the judicial decision and these documents are also the name of the world ... https://t.co/yweabxojs9")</f>
        <v>@drfahrettinkoca lost court. Shared documents with the judicial decision and these documents are also the name of the world ... https://t.co/yweabxojs9</v>
      </c>
    </row>
    <row r="12570" spans="1:5" ht="15" customHeight="1" x14ac:dyDescent="0.2">
      <c r="A12570" s="1" t="s">
        <v>24818</v>
      </c>
      <c r="B12570" s="1">
        <v>0</v>
      </c>
      <c r="C12570" s="3">
        <v>44533.7500462963</v>
      </c>
      <c r="D12570" s="1" t="s">
        <v>24819</v>
      </c>
      <c r="E12570" s="1" t="str">
        <f ca="1">IFERROR(__xludf.DUMMYFUNCTION("GOOGLETRANSLATE(A9369 , ""tr"" , ""en"")"),"@drfahrettinkoca this variant that you don't emit the vaccines you make")</f>
        <v>@drfahrettinkoca this variant that you don't emit the vaccines you make</v>
      </c>
    </row>
    <row r="12571" spans="1:5" ht="15" customHeight="1" x14ac:dyDescent="0.2">
      <c r="A12571" s="1" t="s">
        <v>24820</v>
      </c>
      <c r="B12571" s="1">
        <v>0</v>
      </c>
      <c r="C12571" s="3">
        <v>44533.7497337963</v>
      </c>
      <c r="D12571" s="1" t="s">
        <v>24821</v>
      </c>
      <c r="E12571" s="1" t="str">
        <f ca="1">IFERROR(__xludf.DUMMYFUNCTION("GOOGLETRANSLATE(A9370 , ""tr"" , ""en"")"),"@drfahrettinkoca Other political parties Covid Covid will come from your right. Look at God's work ...")</f>
        <v>@drfahrettinkoca Other political parties Covid Covid will come from your right. Look at God's work ...</v>
      </c>
    </row>
    <row r="12572" spans="1:5" ht="15" customHeight="1" x14ac:dyDescent="0.2">
      <c r="A12572" s="1" t="s">
        <v>24822</v>
      </c>
      <c r="B12572" s="1">
        <v>0</v>
      </c>
      <c r="C12572" s="3">
        <v>44533.749351851853</v>
      </c>
      <c r="D12572" s="1" t="s">
        <v>24823</v>
      </c>
      <c r="E12572" s="1" t="str">
        <f ca="1">IFERROR(__xludf.DUMMYFUNCTION("GOOGLETRANSLATE(A9371 , ""tr"" , ""en"")"),"@drfahrettinkoca We don't believe you anymore")</f>
        <v>@drfahrettinkoca We don't believe you anymore</v>
      </c>
    </row>
    <row r="12573" spans="1:5" ht="15" customHeight="1" x14ac:dyDescent="0.2">
      <c r="A12573" s="1" t="s">
        <v>24824</v>
      </c>
      <c r="B12573" s="1">
        <v>1</v>
      </c>
      <c r="C12573" s="3">
        <v>44533.747939814813</v>
      </c>
      <c r="D12573" s="1" t="s">
        <v>24825</v>
      </c>
      <c r="E12573" s="1" t="str">
        <f ca="1">IFERROR(__xludf.DUMMYFUNCTION("GOOGLETRANSLATE(A9372 , ""tr"" , ""en"")"),"In addition to @drfahrettinkoca, it is only seen in the experienced")</f>
        <v>In addition to @drfahrettinkoca, it is only seen in the experienced</v>
      </c>
    </row>
    <row r="12574" spans="1:5" ht="15" customHeight="1" x14ac:dyDescent="0.2">
      <c r="A12574" s="1" t="s">
        <v>24826</v>
      </c>
      <c r="B12574" s="1">
        <v>0</v>
      </c>
      <c r="C12574" s="3">
        <v>44533.747534722221</v>
      </c>
      <c r="D12574" s="1" t="s">
        <v>24827</v>
      </c>
      <c r="E12574" s="1" t="str">
        <f ca="1">IFERROR(__xludf.DUMMYFUNCTION("GOOGLETRANSLATE(A9373 , ""tr"" , ""en"")"),"@drfahrettinkoca According to the latest British official data, 9 of the 10 Covid-19 deaths since August ... HTTPS://T.CO/CI882L06XJ")</f>
        <v>@drfahrettinkoca According to the latest British official data, 9 of the 10 Covid-19 deaths since August ... HTTPS://T.CO/CI882L06XJ</v>
      </c>
    </row>
    <row r="12575" spans="1:5" ht="15" customHeight="1" x14ac:dyDescent="0.2">
      <c r="A12575" s="1" t="s">
        <v>24828</v>
      </c>
      <c r="B12575" s="1">
        <v>0</v>
      </c>
      <c r="C12575" s="3">
        <v>44533.746192129627</v>
      </c>
      <c r="D12575" s="1" t="s">
        <v>24829</v>
      </c>
      <c r="E12575" s="1" t="str">
        <f ca="1">IFERROR(__xludf.DUMMYFUNCTION("GOOGLETRANSLATE(A9374 , ""tr"" , ""en"")"),"@drfahrettinka you are what happens again what the medicines are already fathrettin how to get fathrettin and you are stock ... https://t.co/hflmo3oc7g")</f>
        <v>@drfahrettinka you are what happens again what the medicines are already fathrettin how to get fathrettin and you are stock ... https://t.co/hflmo3oc7g</v>
      </c>
    </row>
    <row r="12576" spans="1:5" ht="15" customHeight="1" x14ac:dyDescent="0.2">
      <c r="A12576" s="1" t="s">
        <v>24830</v>
      </c>
      <c r="B12576" s="1">
        <v>1</v>
      </c>
      <c r="C12576" s="3">
        <v>44533.745659722219</v>
      </c>
      <c r="D12576" s="1" t="s">
        <v>24831</v>
      </c>
      <c r="E12576" s="1" t="str">
        <f ca="1">IFERROR(__xludf.DUMMYFUNCTION("GOOGLETRANSLATE(A9375 , ""tr"" , ""en"")"),"@drfahrettinka https://t.co/xx6oxwy28u")</f>
        <v>@drfahrettinka https://t.co/xx6oxwy28u</v>
      </c>
    </row>
    <row r="12577" spans="1:5" ht="15" customHeight="1" x14ac:dyDescent="0.2">
      <c r="A12577" s="1" t="s">
        <v>7770</v>
      </c>
      <c r="B12577" s="1">
        <v>0</v>
      </c>
      <c r="C12577" s="3">
        <v>44533.74559027778</v>
      </c>
      <c r="D12577" s="1" t="s">
        <v>24832</v>
      </c>
      <c r="E12577" s="1" t="str">
        <f ca="1">IFERROR(__xludf.DUMMYFUNCTION("GOOGLETRANSLATE(A9376 , ""tr"" , ""en"")"),"@drfahrettinkoca dietitians are welcomed to assign the assignment to the dietitians Sayin Minister 91 Score of Cardiacy Still Acikta")</f>
        <v>@drfahrettinkoca dietitians are welcomed to assign the assignment to the dietitians Sayin Minister 91 Score of Cardiacy Still Acikta</v>
      </c>
    </row>
    <row r="12578" spans="1:5" ht="15" customHeight="1" x14ac:dyDescent="0.2">
      <c r="A12578" s="1" t="s">
        <v>24833</v>
      </c>
      <c r="B12578" s="1">
        <v>0</v>
      </c>
      <c r="C12578" s="3">
        <v>44533.745509259257</v>
      </c>
      <c r="D12578" s="1" t="s">
        <v>24834</v>
      </c>
      <c r="E12578" s="1" t="str">
        <f ca="1">IFERROR(__xludf.DUMMYFUNCTION("GOOGLETRANSLATE(A9377 , ""tr"" , ""en"")"),"@drfahrettinka Mr. Minister NU Variant, so you say the Omicron, you've used the same statement in Delta before ... https://t.co/kv1tmznz9z")</f>
        <v>@drfahrettinka Mr. Minister NU Variant, so you say the Omicron, you've used the same statement in Delta before ... https://t.co/kv1tmznz9z</v>
      </c>
    </row>
    <row r="12579" spans="1:5" ht="15" customHeight="1" x14ac:dyDescent="0.2">
      <c r="A12579" s="1" t="s">
        <v>24835</v>
      </c>
      <c r="B12579" s="1">
        <v>9</v>
      </c>
      <c r="C12579" s="3">
        <v>44533.745000000003</v>
      </c>
      <c r="D12579" s="1" t="s">
        <v>24836</v>
      </c>
      <c r="E12579" s="1" t="str">
        <f ca="1">IFERROR(__xludf.DUMMYFUNCTION("GOOGLETRANSLATE(A9378 , ""tr"" , ""en"")"),"@drfahrettinkoca How has a Vurar Mubarak has a lot of names https://t.co/kpxzpjbfaa")</f>
        <v>@drfahrettinkoca How has a Vurar Mubarak has a lot of names https://t.co/kpxzpjbfaa</v>
      </c>
    </row>
    <row r="12580" spans="1:5" ht="15" customHeight="1" x14ac:dyDescent="0.2">
      <c r="A12580" s="1" t="s">
        <v>24837</v>
      </c>
      <c r="B12580" s="1">
        <v>0</v>
      </c>
      <c r="C12580" s="3">
        <v>44533.744803240741</v>
      </c>
      <c r="D12580" s="1" t="s">
        <v>24838</v>
      </c>
      <c r="E12580" s="1" t="str">
        <f ca="1">IFERROR(__xludf.DUMMYFUNCTION("GOOGLETRANSLATE(A9379 , ""tr"" , ""en"")"),"@drfahrettinka online training is right!")</f>
        <v>@drfahrettinka online training is right!</v>
      </c>
    </row>
    <row r="12581" spans="1:5" ht="15" customHeight="1" x14ac:dyDescent="0.2">
      <c r="A12581" s="1" t="s">
        <v>24839</v>
      </c>
      <c r="B12581" s="1">
        <v>2</v>
      </c>
      <c r="C12581" s="3">
        <v>44533.744409722225</v>
      </c>
      <c r="D12581" s="1" t="s">
        <v>24840</v>
      </c>
      <c r="E12581" s="1" t="str">
        <f ca="1">IFERROR(__xludf.DUMMYFUNCTION("GOOGLETRANSLATE(A9380 , ""tr"" , ""en"")"),"@drfahrettinkoca Today you did not have the figure of the vaccine dies")</f>
        <v>@drfahrettinkoca Today you did not have the figure of the vaccine dies</v>
      </c>
    </row>
    <row r="12582" spans="1:5" ht="15" customHeight="1" x14ac:dyDescent="0.2">
      <c r="A12582" s="1" t="s">
        <v>24841</v>
      </c>
      <c r="B12582" s="1">
        <v>3</v>
      </c>
      <c r="C12582" s="3">
        <v>44533.744363425925</v>
      </c>
      <c r="D12582" s="1" t="s">
        <v>24842</v>
      </c>
      <c r="E12582" s="1" t="str">
        <f ca="1">IFERROR(__xludf.DUMMYFUNCTION("GOOGLETRANSLATE(A9381 , ""tr"" , ""en"")"),"@drfahrettinkoca figures how it falls in a complete miracle for sure! If real-life, children and teachers in schools ... https://t.co/cnajdsclxu")</f>
        <v>@drfahrettinkoca figures how it falls in a complete miracle for sure! If real-life, children and teachers in schools ... https://t.co/cnajdsclxu</v>
      </c>
    </row>
    <row r="12583" spans="1:5" ht="15" customHeight="1" x14ac:dyDescent="0.2">
      <c r="A12583" s="1" t="s">
        <v>24843</v>
      </c>
      <c r="B12583" s="1">
        <v>5</v>
      </c>
      <c r="C12583" s="3">
        <v>44533.743518518517</v>
      </c>
      <c r="D12583" s="1" t="s">
        <v>24844</v>
      </c>
      <c r="E12583" s="1" t="str">
        <f ca="1">IFERROR(__xludf.DUMMYFUNCTION("GOOGLETRANSLATE(A9382 , ""tr"" , ""en"")"),"@drfahrettinkoca Your life has been lied.")</f>
        <v>@drfahrettinkoca Your life has been lied.</v>
      </c>
    </row>
    <row r="12584" spans="1:5" ht="15" customHeight="1" x14ac:dyDescent="0.2">
      <c r="A12584" s="1" t="s">
        <v>24845</v>
      </c>
      <c r="B12584" s="1">
        <v>2</v>
      </c>
      <c r="C12584" s="3">
        <v>44533.743194444447</v>
      </c>
      <c r="D12584" s="1" t="s">
        <v>24846</v>
      </c>
      <c r="E12584" s="1" t="str">
        <f ca="1">IFERROR(__xludf.DUMMYFUNCTION("GOOGLETRANSLATE(A9383 , ""tr"" , ""en"")"),"@drfahrettinkoca teachers Even Onlie Education is more efficient when you get it in our hand. What is right ... https://t.co/wgum3ooav4")</f>
        <v>@drfahrettinkoca teachers Even Onlie Education is more efficient when you get it in our hand. What is right ... https://t.co/wgum3ooav4</v>
      </c>
    </row>
    <row r="12585" spans="1:5" ht="15" customHeight="1" x14ac:dyDescent="0.2">
      <c r="A12585" s="1" t="s">
        <v>24847</v>
      </c>
      <c r="B12585" s="1">
        <v>0</v>
      </c>
      <c r="C12585" s="3">
        <v>44533.742662037039</v>
      </c>
      <c r="D12585" s="1" t="s">
        <v>24848</v>
      </c>
      <c r="E12585" s="1" t="str">
        <f ca="1">IFERROR(__xludf.DUMMYFUNCTION("GOOGLETRANSLATE(A9384 , ""tr"" , ""en"")"),"@drfahrettinkoca Alanya also Omicron has kept the number of cases last year No more restrictions ZA ... https://t.co/poix7zqg6n")</f>
        <v>@drfahrettinkoca Alanya also Omicron has kept the number of cases last year No more restrictions ZA ... https://t.co/poix7zqg6n</v>
      </c>
    </row>
    <row r="12586" spans="1:5" ht="15" customHeight="1" x14ac:dyDescent="0.2">
      <c r="A12586" s="1" t="s">
        <v>24849</v>
      </c>
      <c r="B12586" s="1">
        <v>0</v>
      </c>
      <c r="C12586" s="3">
        <v>44533.742060185185</v>
      </c>
      <c r="D12586" s="1" t="s">
        <v>24850</v>
      </c>
      <c r="E12586" s="1" t="str">
        <f ca="1">IFERROR(__xludf.DUMMYFUNCTION("GOOGLETRANSLATE(A9385 , ""tr"" , ""en"")"),"@drfahrettinka Mr. Ministry 7 days my quarantine but my family physician in the health center didn't call me still? What is the reason?")</f>
        <v>@drfahrettinka Mr. Ministry 7 days my quarantine but my family physician in the health center didn't call me still? What is the reason?</v>
      </c>
    </row>
    <row r="12587" spans="1:5" ht="15" customHeight="1" x14ac:dyDescent="0.2">
      <c r="A12587" s="1" t="s">
        <v>16035</v>
      </c>
      <c r="B12587" s="1">
        <v>0</v>
      </c>
      <c r="C12587" s="3">
        <v>44533.741932870369</v>
      </c>
      <c r="D12587" s="1" t="s">
        <v>24851</v>
      </c>
      <c r="E12587" s="1" t="str">
        <f ca="1">IFERROR(__xludf.DUMMYFUNCTION("GOOGLETRANSLATE(A9386 , ""tr"" , ""en"")"),"@drfahrettinkoca geese ate their new feed with appetite. https://t.co/3aiihmqbzgr")</f>
        <v>@drfahrettinkoca geese ate their new feed with appetite. https://t.co/3aiihmqbzgr</v>
      </c>
    </row>
    <row r="12588" spans="1:5" ht="15" customHeight="1" x14ac:dyDescent="0.2">
      <c r="A12588" s="1" t="s">
        <v>24852</v>
      </c>
      <c r="B12588" s="1">
        <v>0</v>
      </c>
      <c r="C12588" s="3">
        <v>44533.741574074076</v>
      </c>
      <c r="D12588" s="1" t="s">
        <v>24853</v>
      </c>
      <c r="E12588" s="1" t="str">
        <f ca="1">IFERROR(__xludf.DUMMYFUNCTION("GOOGLETRANSLATE(A9387 , ""tr"" , ""en"")"),"@drfahrettinkoca Deme Yaw Omegaya When will we go to have a told him.")</f>
        <v>@drfahrettinkoca Deme Yaw Omegaya When will we go to have a told him.</v>
      </c>
    </row>
    <row r="12589" spans="1:5" ht="15" customHeight="1" x14ac:dyDescent="0.2">
      <c r="A12589" s="1" t="s">
        <v>24854</v>
      </c>
      <c r="B12589" s="1">
        <v>2</v>
      </c>
      <c r="C12589" s="3">
        <v>44533.741354166668</v>
      </c>
      <c r="D12589" s="1" t="s">
        <v>24855</v>
      </c>
      <c r="E12589" s="1" t="str">
        <f ca="1">IFERROR(__xludf.DUMMYFUNCTION("GOOGLETRANSLATE(A9388 , ""tr"" , ""en"")"),"@drfahrettinkoca Your work is your power Movie, Seneryo ... 1963 Made Film Poster ... https://t.co/qadajvwduy")</f>
        <v>@drfahrettinkoca Your work is your power Movie, Seneryo ... 1963 Made Film Poster ... https://t.co/qadajvwduy</v>
      </c>
    </row>
    <row r="12590" spans="1:5" ht="15" customHeight="1" x14ac:dyDescent="0.2">
      <c r="A12590" s="1" t="s">
        <v>24856</v>
      </c>
      <c r="B12590" s="1">
        <v>0</v>
      </c>
      <c r="C12590" s="3">
        <v>44533.741203703707</v>
      </c>
      <c r="D12590" s="1" t="s">
        <v>24857</v>
      </c>
      <c r="E12590" s="1" t="str">
        <f ca="1">IFERROR(__xludf.DUMMYFUNCTION("GOOGLETRANSLATE(A9389 , ""tr"" , ""en"")"),"@drfahrettinkoca no one says the dashes of schools. You can not turn off schools already students will not allow students ... https://t.co/ygj6pxhzu2")</f>
        <v>@drfahrettinkoca no one says the dashes of schools. You can not turn off schools already students will not allow students ... https://t.co/ygj6pxhzu2</v>
      </c>
    </row>
    <row r="12591" spans="1:5" ht="15" customHeight="1" x14ac:dyDescent="0.2">
      <c r="A12591" s="1" t="s">
        <v>24858</v>
      </c>
      <c r="B12591" s="1">
        <v>0</v>
      </c>
      <c r="C12591" s="3">
        <v>44533.741157407407</v>
      </c>
      <c r="D12591" s="1" t="s">
        <v>24859</v>
      </c>
      <c r="E12591" s="1" t="str">
        <f ca="1">IFERROR(__xludf.DUMMYFUNCTION("GOOGLETRANSLATE(A9390 , ""tr"" , ""en"")"),"@drfahrettinkoca vaccines every variantie all the mutation suits every mutation, we will extinguish on our chest")</f>
        <v>@drfahrettinkoca vaccines every variantie all the mutation suits every mutation, we will extinguish on our chest</v>
      </c>
    </row>
    <row r="12592" spans="1:5" ht="15" customHeight="1" x14ac:dyDescent="0.2">
      <c r="A12592" s="1" t="s">
        <v>24860</v>
      </c>
      <c r="B12592" s="1">
        <v>0</v>
      </c>
      <c r="C12592" s="3">
        <v>44533.740787037037</v>
      </c>
      <c r="D12592" s="1" t="s">
        <v>24861</v>
      </c>
      <c r="E12592" s="1" t="str">
        <f ca="1">IFERROR(__xludf.DUMMYFUNCTION("GOOGLETRANSLATE(A9391 , ""tr"" , ""en"")"),"@drfahrettinkoca Mr. Minister The Ministry of Yearly Case Numbers are persuaded to vaccine as it falls as the day goes by the day ... https://t.co/bgm87apgzx")</f>
        <v>@drfahrettinkoca Mr. Minister The Ministry of Yearly Case Numbers are persuaded to vaccine as it falls as the day goes by the day ... https://t.co/bgm87apgzx</v>
      </c>
    </row>
    <row r="12593" spans="1:5" ht="15" customHeight="1" x14ac:dyDescent="0.2">
      <c r="A12593" s="1" t="s">
        <v>24862</v>
      </c>
      <c r="B12593" s="1">
        <v>65</v>
      </c>
      <c r="C12593" s="3">
        <v>44533.740208333336</v>
      </c>
      <c r="D12593" s="1" t="s">
        <v>24863</v>
      </c>
      <c r="E12593" s="1" t="str">
        <f ca="1">IFERROR(__xludf.DUMMYFUNCTION("GOOGLETRANSLATE(A9392 , ""tr"" , ""en"")"),"@drfahrettinkoca faces are not reduced, we are in the point where it is exhausted.")</f>
        <v>@drfahrettinkoca faces are not reduced, we are in the point where it is exhausted.</v>
      </c>
    </row>
    <row r="12594" spans="1:5" ht="15" customHeight="1" x14ac:dyDescent="0.2">
      <c r="A12594" s="1" t="s">
        <v>24864</v>
      </c>
      <c r="B12594" s="1">
        <v>0</v>
      </c>
      <c r="C12594" s="3">
        <v>44533.739861111113</v>
      </c>
      <c r="D12594" s="1" t="s">
        <v>24865</v>
      </c>
      <c r="E12594" s="1" t="str">
        <f ca="1">IFERROR(__xludf.DUMMYFUNCTION("GOOGLETRANSLATE(A9393 , ""tr"" , ""en"")"),"@drfahrettinkoca Online Training Rights should be recognized everyone. Pupils don't want to die. We do not want to infect others to the virus")</f>
        <v>@drfahrettinkoca Online Training Rights should be recognized everyone. Pupils don't want to die. We do not want to infect others to the virus</v>
      </c>
    </row>
    <row r="12595" spans="1:5" ht="15" customHeight="1" x14ac:dyDescent="0.2">
      <c r="A12595" s="1" t="s">
        <v>24866</v>
      </c>
      <c r="B12595" s="1">
        <v>0</v>
      </c>
      <c r="C12595" s="3">
        <v>44533.738807870373</v>
      </c>
      <c r="D12595" s="1" t="s">
        <v>24867</v>
      </c>
      <c r="E12595" s="1" t="str">
        <f ca="1">IFERROR(__xludf.DUMMYFUNCTION("GOOGLETRANSLATE(A9394 , ""tr"" , ""en"")"),"@drfahrettinkoca #fahrettinkocaistifa raft you are now older")</f>
        <v>@drfahrettinkoca #fahrettinkocaistifa raft you are now older</v>
      </c>
    </row>
    <row r="12596" spans="1:5" ht="15" customHeight="1" x14ac:dyDescent="0.2">
      <c r="A12596" s="1" t="s">
        <v>24868</v>
      </c>
      <c r="B12596" s="1">
        <v>0</v>
      </c>
      <c r="C12596" s="3">
        <v>44533.738599537035</v>
      </c>
      <c r="D12596" s="1" t="s">
        <v>24869</v>
      </c>
      <c r="E12596" s="1" t="str">
        <f ca="1">IFERROR(__xludf.DUMMYFUNCTION("GOOGLETRANSLATE(A9395 , ""tr"" , ""en"")"),"@drfahrettinkoca drug in Turkey only ankara city hospital in Turkey or without premises ... https://t.co/ktfhqhzukg")</f>
        <v>@drfahrettinkoca drug in Turkey only ankara city hospital in Turkey or without premises ... https://t.co/ktfhqhzukg</v>
      </c>
    </row>
    <row r="12597" spans="1:5" ht="15" customHeight="1" x14ac:dyDescent="0.2">
      <c r="A12597" s="1" t="s">
        <v>24870</v>
      </c>
      <c r="B12597" s="1">
        <v>0</v>
      </c>
      <c r="C12597" s="3">
        <v>44533.738437499997</v>
      </c>
      <c r="D12597" s="1" t="s">
        <v>24871</v>
      </c>
      <c r="E12597" s="1" t="str">
        <f ca="1">IFERROR(__xludf.DUMMYFUNCTION("GOOGLETRANSLATE(A9396 , ""tr"" , ""en"")"),"@drfahrettinkoca Mr. Minister, son-in-law Kirsehir Ahi Evran State Hospital lies in the intensive care unit ... https://t.co/hwlvurscs2")</f>
        <v>@drfahrettinkoca Mr. Minister, son-in-law Kirsehir Ahi Evran State Hospital lies in the intensive care unit ... https://t.co/hwlvurscs2</v>
      </c>
    </row>
    <row r="12598" spans="1:5" ht="15" customHeight="1" x14ac:dyDescent="0.2">
      <c r="A12598" s="1" t="s">
        <v>24872</v>
      </c>
      <c r="B12598" s="1">
        <v>0</v>
      </c>
      <c r="C12598" s="3">
        <v>44533.738182870373</v>
      </c>
      <c r="D12598" s="1" t="s">
        <v>24873</v>
      </c>
      <c r="E12598" s="1" t="str">
        <f ca="1">IFERROR(__xludf.DUMMYFUNCTION("GOOGLETRANSLATE(A9397 , ""tr"" , ""en"")"),"@drfahrettinkoca 😂😂🤣 Yahu Dumbs who believe in these charlatans Halafi")</f>
        <v>@drfahrettinkoca 😂😂🤣 Yahu Dumbs who believe in these charlatans Halafi</v>
      </c>
    </row>
    <row r="12599" spans="1:5" ht="15" customHeight="1" x14ac:dyDescent="0.2">
      <c r="A12599" s="1" t="s">
        <v>24874</v>
      </c>
      <c r="B12599" s="1">
        <v>4</v>
      </c>
      <c r="C12599" s="3">
        <v>44533.737766203703</v>
      </c>
      <c r="D12599" s="1" t="s">
        <v>24875</v>
      </c>
      <c r="E12599" s="1" t="str">
        <f ca="1">IFERROR(__xludf.DUMMYFUNCTION("GOOGLETRANSLATE(A9398 , ""tr"" , ""en"")"),"@drfahrettinkoca we want to have the right one. Being healthy is the most basic right of living but you are the Minister of Health ... Https://t.co/6vrocyosnp")</f>
        <v>@drfahrettinkoca we want to have the right one. Being healthy is the most basic right of living but you are the Minister of Health ... Https://t.co/6vrocyosnp</v>
      </c>
    </row>
    <row r="12600" spans="1:5" ht="15" customHeight="1" x14ac:dyDescent="0.2">
      <c r="A12600" s="1" t="s">
        <v>24876</v>
      </c>
      <c r="B12600" s="1">
        <v>52</v>
      </c>
      <c r="C12600" s="3">
        <v>44533.737708333334</v>
      </c>
      <c r="D12600" s="1" t="s">
        <v>24877</v>
      </c>
      <c r="E12600" s="1" t="str">
        <f ca="1">IFERROR(__xludf.DUMMYFUNCTION("GOOGLETRANSLATE(A9399 , ""tr"" , ""en"")"),"@drfahrettinkoca ""The next 2 weeks is very critical .. 2 dose of synovak .. 2 dose biontek. etc. S ... https://t.co/jszp26nz7y")</f>
        <v>@drfahrettinkoca "The next 2 weeks is very critical .. 2 dose of synovak .. 2 dose biontek. etc. S ... https://t.co/jszp26nz7y</v>
      </c>
    </row>
    <row r="12601" spans="1:5" ht="15" customHeight="1" x14ac:dyDescent="0.2">
      <c r="A12601" s="1" t="s">
        <v>24878</v>
      </c>
      <c r="B12601" s="1">
        <v>0</v>
      </c>
      <c r="C12601" s="3">
        <v>44533.736851851849</v>
      </c>
      <c r="D12601" s="1" t="s">
        <v>24879</v>
      </c>
      <c r="E12601" s="1" t="str">
        <f ca="1">IFERROR(__xludf.DUMMYFUNCTION("GOOGLETRANSLATE(A9400 , ""tr"" , ""en"")"),"@drfahrettinka https://t.co/jopptbcdcg")</f>
        <v>@drfahrettinka https://t.co/jopptbcdcg</v>
      </c>
    </row>
    <row r="12602" spans="1:5" ht="15" customHeight="1" x14ac:dyDescent="0.2">
      <c r="A12602" s="1" t="s">
        <v>17395</v>
      </c>
      <c r="B12602" s="1">
        <v>0</v>
      </c>
      <c r="C12602" s="3">
        <v>44533.736608796295</v>
      </c>
      <c r="D12602" s="1" t="s">
        <v>24880</v>
      </c>
      <c r="E12602" s="1" t="str">
        <f ca="1">IFERROR(__xludf.DUMMYFUNCTION("GOOGLETRANSLATE(A9401 , ""tr"" , ""en"")"),"@drfahrettinkoca #yaonline")</f>
        <v>@drfahrettinkoca #yaonline</v>
      </c>
    </row>
    <row r="12603" spans="1:5" ht="15" customHeight="1" x14ac:dyDescent="0.2">
      <c r="A12603" s="1" t="s">
        <v>24881</v>
      </c>
      <c r="B12603" s="1">
        <v>0</v>
      </c>
      <c r="C12603" s="3">
        <v>44533.736504629633</v>
      </c>
      <c r="D12603" s="1" t="s">
        <v>24882</v>
      </c>
      <c r="E12603" s="1" t="str">
        <f ca="1">IFERROR(__xludf.DUMMYFUNCTION("GOOGLETRANSLATE(A9402 , ""tr"" , ""en"")"),"@drfahrettinka https://t.co/4vc645gbwa")</f>
        <v>@drfahrettinka https://t.co/4vc645gbwa</v>
      </c>
    </row>
    <row r="12604" spans="1:5" ht="15" customHeight="1" x14ac:dyDescent="0.2">
      <c r="A12604" s="1" t="s">
        <v>24883</v>
      </c>
      <c r="B12604" s="1">
        <v>3</v>
      </c>
      <c r="C12604" s="3">
        <v>44533.735798611109</v>
      </c>
      <c r="D12604" s="1" t="s">
        <v>24884</v>
      </c>
      <c r="E12604" s="1" t="str">
        <f ca="1">IFERROR(__xludf.DUMMYFUNCTION("GOOGLETRANSLATE(A9403 , ""tr"" , ""en"")"),"@drfahrettinkoca use public transport everyday what is going on. With online meetings, patients with authority tools ... https://t.co/9xotlpxept")</f>
        <v>@drfahrettinkoca use public transport everyday what is going on. With online meetings, patients with authority tools ... https://t.co/9xotlpxept</v>
      </c>
    </row>
    <row r="12605" spans="1:5" ht="15" customHeight="1" x14ac:dyDescent="0.2">
      <c r="A12605" s="1" t="s">
        <v>24885</v>
      </c>
      <c r="B12605" s="1">
        <v>1</v>
      </c>
      <c r="C12605" s="3">
        <v>44533.734606481485</v>
      </c>
      <c r="D12605" s="1" t="s">
        <v>24886</v>
      </c>
      <c r="E12605" s="1" t="str">
        <f ca="1">IFERROR(__xludf.DUMMYFUNCTION("GOOGLETRANSLATE(A9404 , ""tr"" , ""en"")"),"@drfahrettinkoca We believe in 20 thousand subject subject")</f>
        <v>@drfahrettinkoca We believe in 20 thousand subject subject</v>
      </c>
    </row>
    <row r="12606" spans="1:5" ht="15" customHeight="1" x14ac:dyDescent="0.2">
      <c r="A12606" s="1" t="s">
        <v>24887</v>
      </c>
      <c r="B12606" s="1">
        <v>31</v>
      </c>
      <c r="C12606" s="3">
        <v>44533.734398148146</v>
      </c>
      <c r="D12606" s="1" t="s">
        <v>24888</v>
      </c>
      <c r="E12606" s="1" t="str">
        <f ca="1">IFERROR(__xludf.DUMMYFUNCTION("GOOGLETRANSLATE(A9405 , ""tr"" , ""en"")"),"@drfahrettinkoca what you have been visible to you ... more than 6 months, you still say new variant. How many years is Takriben ... https://t.co/fuy2b9eez7")</f>
        <v>@drfahrettinkoca what you have been visible to you ... more than 6 months, you still say new variant. How many years is Takriben ... https://t.co/fuy2b9eez7</v>
      </c>
    </row>
    <row r="12607" spans="1:5" ht="15" customHeight="1" x14ac:dyDescent="0.2">
      <c r="A12607" s="1" t="s">
        <v>24889</v>
      </c>
      <c r="B12607" s="1">
        <v>2</v>
      </c>
      <c r="C12607" s="3">
        <v>44533.734375</v>
      </c>
      <c r="D12607" s="1" t="s">
        <v>24890</v>
      </c>
      <c r="E12607" s="1" t="str">
        <f ca="1">IFERROR(__xludf.DUMMYFUNCTION("GOOGLETRANSLATE(A9406 , ""tr"" , ""en"")"),"@drfahrettinkoca I know you are sorry. I know it is to be helped with the exterior of the external countries to be helped ... https://t.co/eim6rdxzxu")</f>
        <v>@drfahrettinkoca I know you are sorry. I know it is to be helped with the exterior of the external countries to be helped ... https://t.co/eim6rdxzxu</v>
      </c>
    </row>
    <row r="12608" spans="1:5" ht="15" customHeight="1" x14ac:dyDescent="0.2">
      <c r="A12608" s="1" t="s">
        <v>24891</v>
      </c>
      <c r="B12608" s="1">
        <v>6</v>
      </c>
      <c r="C12608" s="3">
        <v>44533.734085648146</v>
      </c>
      <c r="D12608" s="1" t="s">
        <v>24892</v>
      </c>
      <c r="E12608" s="1" t="str">
        <f ca="1">IFERROR(__xludf.DUMMYFUNCTION("GOOGLETRANSLATE(A9407 , ""tr"" , ""en"")"),"@drfahrettinkoca hocam then do not exag like this small variants makes the radi camel. Https://t.co/gm2uoweojz")</f>
        <v>@drfahrettinkoca hocam then do not exag like this small variants makes the radi camel. Https://t.co/gm2uoweojz</v>
      </c>
    </row>
    <row r="12609" spans="1:5" ht="15" customHeight="1" x14ac:dyDescent="0.2">
      <c r="A12609" s="1" t="s">
        <v>24893</v>
      </c>
      <c r="B12609" s="1">
        <v>0</v>
      </c>
      <c r="C12609" s="3">
        <v>44533.734016203707</v>
      </c>
      <c r="D12609" s="1" t="s">
        <v>24894</v>
      </c>
      <c r="E12609" s="1" t="str">
        <f ca="1">IFERROR(__xludf.DUMMYFUNCTION("GOOGLETRANSLATE(A9408 , ""tr"" , ""en"")"),"@drfahrettinkoca the world lies you are saying veritally ditto knk")</f>
        <v>@drfahrettinkoca the world lies you are saying veritally ditto knk</v>
      </c>
    </row>
    <row r="12610" spans="1:5" ht="15" customHeight="1" x14ac:dyDescent="0.2">
      <c r="A12610" s="1" t="s">
        <v>24895</v>
      </c>
      <c r="B12610" s="1">
        <v>3</v>
      </c>
      <c r="C12610" s="3">
        <v>44533.733923611115</v>
      </c>
      <c r="D12610" s="1" t="s">
        <v>24896</v>
      </c>
      <c r="E12610" s="1" t="str">
        <f ca="1">IFERROR(__xludf.DUMMYFUNCTION("GOOGLETRANSLATE(A9409 , ""tr"" , ""en"")"),"@drfahrettinkoca mother and my brother spent your face corona. You understand the evil of what you do ... https://t.co/xk527z9jrt")</f>
        <v>@drfahrettinkoca mother and my brother spent your face corona. You understand the evil of what you do ... https://t.co/xk527z9jrt</v>
      </c>
    </row>
    <row r="12611" spans="1:5" ht="15" customHeight="1" x14ac:dyDescent="0.2">
      <c r="A12611" s="1" t="s">
        <v>24897</v>
      </c>
      <c r="B12611" s="1">
        <v>4</v>
      </c>
      <c r="C12611" s="3">
        <v>44533.732997685183</v>
      </c>
      <c r="D12611" s="1" t="s">
        <v>24898</v>
      </c>
      <c r="E12611" s="1" t="str">
        <f ca="1">IFERROR(__xludf.DUMMYFUNCTION("GOOGLETRANSLATE(A9410 , ""tr"" , ""en"")"),"@drfahrettinkoca or friend folks have no interest in the aircraft? Who emits is this variant? From Africa's variant ... https://t.co/ieqkbdjcvp")</f>
        <v>@drfahrettinkoca or friend folks have no interest in the aircraft? Who emits is this variant? From Africa's variant ... https://t.co/ieqkbdjcvp</v>
      </c>
    </row>
    <row r="12612" spans="1:5" ht="15" customHeight="1" x14ac:dyDescent="0.2">
      <c r="A12612" s="1" t="s">
        <v>24899</v>
      </c>
      <c r="B12612" s="1">
        <v>0</v>
      </c>
      <c r="C12612" s="3">
        <v>44533.732824074075</v>
      </c>
      <c r="D12612" s="1" t="s">
        <v>24900</v>
      </c>
      <c r="E12612" s="1" t="str">
        <f ca="1">IFERROR(__xludf.DUMMYFUNCTION("GOOGLETRANSLATE(A9411 , ""tr"" , ""en"")"),"@drfahrettinka I understand it's ok")</f>
        <v>@drfahrettinka I understand it's ok</v>
      </c>
    </row>
    <row r="12613" spans="1:5" ht="15" customHeight="1" x14ac:dyDescent="0.2">
      <c r="A12613" s="1" t="s">
        <v>24901</v>
      </c>
      <c r="B12613" s="1">
        <v>2</v>
      </c>
      <c r="C12613" s="3">
        <v>44533.732662037037</v>
      </c>
      <c r="D12613" s="1" t="s">
        <v>24902</v>
      </c>
      <c r="E12613" s="1" t="str">
        <f ca="1">IFERROR(__xludf.DUMMYFUNCTION("GOOGLETRANSLATE(A9412 , ""tr"" , ""en"")"),"@drfahrettinkoca check the schools what I look at. Both corona have both everywhere in the scum. Already in the coron ... https://t.co/vjghp8xf65")</f>
        <v>@drfahrettinkoca check the schools what I look at. Both corona have both everywhere in the scum. Already in the coron ... https://t.co/vjghp8xf65</v>
      </c>
    </row>
    <row r="12614" spans="1:5" ht="15" customHeight="1" x14ac:dyDescent="0.2">
      <c r="A12614" s="1" t="s">
        <v>24903</v>
      </c>
      <c r="B12614" s="1">
        <v>5</v>
      </c>
      <c r="C12614" s="3">
        <v>44533.732256944444</v>
      </c>
      <c r="D12614" s="1" t="s">
        <v>24904</v>
      </c>
      <c r="E12614" s="1" t="str">
        <f ca="1">IFERROR(__xludf.DUMMYFUNCTION("GOOGLETRANSLATE(A9413 , ""tr"" , ""en"")"),"@drfahrettinkoca how will you come across? Don't you do the tests with PCR? https://t.co/0cxo0dbct0")</f>
        <v>@drfahrettinkoca how will you come across? Don't you do the tests with PCR? https://t.co/0cxo0dbct0</v>
      </c>
    </row>
    <row r="12615" spans="1:5" ht="15" customHeight="1" x14ac:dyDescent="0.2">
      <c r="A12615" s="1" t="s">
        <v>24905</v>
      </c>
      <c r="B12615" s="1">
        <v>29</v>
      </c>
      <c r="C12615" s="3">
        <v>44533.73164351852</v>
      </c>
      <c r="D12615" s="1" t="s">
        <v>24906</v>
      </c>
      <c r="E12615" s="1" t="str">
        <f ca="1">IFERROR(__xludf.DUMMYFUNCTION("GOOGLETRANSLATE(A9414 , ""tr"" , ""en"")"),"@drfahrettinkoca schools are examinated on online lessons, according to their heads. None Up to: https://t.co/xdmjp9bdtz")</f>
        <v>@drfahrettinkoca schools are examinated on online lessons, according to their heads. None Up to: https://t.co/xdmjp9bdtz</v>
      </c>
    </row>
    <row r="12616" spans="1:5" ht="15" customHeight="1" x14ac:dyDescent="0.2">
      <c r="A12616" s="1" t="s">
        <v>24907</v>
      </c>
      <c r="B12616" s="1">
        <v>0</v>
      </c>
      <c r="C12616" s="3">
        <v>44533.73033564815</v>
      </c>
      <c r="D12616" s="1" t="s">
        <v>24908</v>
      </c>
      <c r="E12616" s="1" t="str">
        <f ca="1">IFERROR(__xludf.DUMMYFUNCTION("GOOGLETRANSLATE(A9415 , ""tr"" , ""en"")"),"How to @drfahrettinkoca How to come to Turkey is dangerous because it is dangerous to bass bass dangerous")</f>
        <v>How to @drfahrettinkoca How to come to Turkey is dangerous because it is dangerous to bass bass dangerous</v>
      </c>
    </row>
    <row r="12617" spans="1:5" ht="15" customHeight="1" x14ac:dyDescent="0.2">
      <c r="A12617" s="1" t="s">
        <v>24909</v>
      </c>
      <c r="B12617" s="1">
        <v>0</v>
      </c>
      <c r="C12617" s="3">
        <v>44533.729907407411</v>
      </c>
      <c r="D12617" s="1" t="s">
        <v>24910</v>
      </c>
      <c r="E12617" s="1" t="str">
        <f ca="1">IFERROR(__xludf.DUMMYFUNCTION("GOOGLETRANSLATE(A9416 , ""tr"" , ""en"")"),"@drfahrettinkoca Nobel Award-winning researcher 666 Fahri More Omicron has not begun to find findings without coming ... https://t.co/o1pbhzogdi")</f>
        <v>@drfahrettinkoca Nobel Award-winning researcher 666 Fahri More Omicron has not begun to find findings without coming ... https://t.co/o1pbhzogdi</v>
      </c>
    </row>
    <row r="12618" spans="1:5" ht="15" customHeight="1" x14ac:dyDescent="0.2">
      <c r="A12618" s="1" t="s">
        <v>24911</v>
      </c>
      <c r="B12618" s="1">
        <v>4</v>
      </c>
      <c r="C12618" s="3">
        <v>44533.729849537034</v>
      </c>
      <c r="D12618" s="1" t="s">
        <v>24912</v>
      </c>
      <c r="E12618" s="1" t="str">
        <f ca="1">IFERROR(__xludf.DUMMYFUNCTION("GOOGLETRANSLATE(A9417 , ""tr"" , ""en"")"),"@drfahrettinkoca Reply to the descriptions of the Army deputies before Mr. @drfahrettinkoca All countries Omicro ... https://t.co/ls8egdccwv")</f>
        <v>@drfahrettinkoca Reply to the descriptions of the Army deputies before Mr. @drfahrettinkoca All countries Omicro ... https://t.co/ls8egdccwv</v>
      </c>
    </row>
    <row r="12619" spans="1:5" ht="15" customHeight="1" x14ac:dyDescent="0.2">
      <c r="A12619" s="1" t="s">
        <v>24913</v>
      </c>
      <c r="B12619" s="1">
        <v>3</v>
      </c>
      <c r="C12619" s="3">
        <v>44533.728946759256</v>
      </c>
      <c r="D12619" s="1" t="s">
        <v>24914</v>
      </c>
      <c r="E12619" s="1" t="str">
        <f ca="1">IFERROR(__xludf.DUMMYFUNCTION("GOOGLETRANSLATE(A9418 , ""tr"" , ""en"")"),"@drfahrettinka 2023 We will also account with you as well. Solomon The Powder of the Noble is as white as white continue ...")</f>
        <v>@drfahrettinka 2023 We will also account with you as well. Solomon The Powder of the Noble is as white as white continue ...</v>
      </c>
    </row>
    <row r="12620" spans="1:5" ht="15" customHeight="1" x14ac:dyDescent="0.2">
      <c r="A12620" s="1" t="s">
        <v>24915</v>
      </c>
      <c r="B12620" s="1">
        <v>4</v>
      </c>
      <c r="C12620" s="3">
        <v>44533.728912037041</v>
      </c>
      <c r="D12620" s="1" t="s">
        <v>24916</v>
      </c>
      <c r="E12620" s="1" t="str">
        <f ca="1">IFERROR(__xludf.DUMMYFUNCTION("GOOGLETRANSLATE(A9419 , ""tr"" , ""en"")"),"@drfahrettinkoca If last year of this colorful table, the cases were much less than the deaths were much less. How could I share this table ... https://t.co/ksjnsstcpc")</f>
        <v>@drfahrettinkoca If last year of this colorful table, the cases were much less than the deaths were much less. How could I share this table ... https://t.co/ksjnsstcpc</v>
      </c>
    </row>
    <row r="12621" spans="1:5" ht="15" customHeight="1" x14ac:dyDescent="0.2">
      <c r="A12621" s="1" t="s">
        <v>24917</v>
      </c>
      <c r="B12621" s="1">
        <v>0</v>
      </c>
      <c r="C12621" s="3">
        <v>44533.728298611109</v>
      </c>
      <c r="D12621" s="1" t="s">
        <v>24918</v>
      </c>
      <c r="E12621" s="1" t="str">
        <f ca="1">IFERROR(__xludf.DUMMYFUNCTION("GOOGLETRANSLATE(A9420 , ""tr"" , ""en"")"),"@drfahrettinkoca omicron variant has spent the world red alarm. We do not have any research we have also made me ... https://t.co/nın3fwmwqz")</f>
        <v>@drfahrettinkoca omicron variant has spent the world red alarm. We do not have any research we have also made me ... https://t.co/nın3fwmwqz</v>
      </c>
    </row>
    <row r="12622" spans="1:5" ht="15" customHeight="1" x14ac:dyDescent="0.2">
      <c r="A12622" s="1" t="s">
        <v>24919</v>
      </c>
      <c r="B12622" s="1">
        <v>0</v>
      </c>
      <c r="C12622" s="3">
        <v>44533.72828703704</v>
      </c>
      <c r="D12622" s="1" t="s">
        <v>24920</v>
      </c>
      <c r="E12622" s="1" t="str">
        <f ca="1">IFERROR(__xludf.DUMMYFUNCTION("GOOGLETRANSLATE(A9421 , ""tr"" , ""en"")"),"@drfahrettinkoca After 3 of 3 but for some reason no 4thdoz")</f>
        <v>@drfahrettinkoca After 3 of 3 but for some reason no 4thdoz</v>
      </c>
    </row>
    <row r="12623" spans="1:5" ht="15" customHeight="1" x14ac:dyDescent="0.2">
      <c r="A12623" s="1" t="s">
        <v>24921</v>
      </c>
      <c r="B12623" s="1">
        <v>0</v>
      </c>
      <c r="C12623" s="3">
        <v>44533.727870370371</v>
      </c>
      <c r="D12623" s="1" t="s">
        <v>24922</v>
      </c>
      <c r="E12623" s="1" t="str">
        <f ca="1">IFERROR(__xludf.DUMMYFUNCTION("GOOGLETRANSLATE(A9422 , ""tr"" , ""en"")"),"@drfahrettinkoca Did you get permission at reisteen when sharing the cases of ministry")</f>
        <v>@drfahrettinkoca Did you get permission at reisteen when sharing the cases of ministry</v>
      </c>
    </row>
    <row r="12624" spans="1:5" ht="15" customHeight="1" x14ac:dyDescent="0.2">
      <c r="A12624" s="1" t="s">
        <v>24923</v>
      </c>
      <c r="B12624" s="1">
        <v>2</v>
      </c>
      <c r="C12624" s="3">
        <v>44533.726944444446</v>
      </c>
      <c r="D12624" s="1" t="s">
        <v>24924</v>
      </c>
      <c r="E12624" s="1" t="str">
        <f ca="1">IFERROR(__xludf.DUMMYFUNCTION("GOOGLETRANSLATE(A9423 , ""tr"" , ""en"")"),"@drfahrettinkoca epidemic is not over. Why the measures in schools are over?")</f>
        <v>@drfahrettinkoca epidemic is not over. Why the measures in schools are over?</v>
      </c>
    </row>
    <row r="12625" spans="1:5" ht="15" customHeight="1" x14ac:dyDescent="0.2">
      <c r="A12625" s="1" t="s">
        <v>24925</v>
      </c>
      <c r="B12625" s="1">
        <v>0</v>
      </c>
      <c r="C12625" s="3">
        <v>44533.726631944446</v>
      </c>
      <c r="D12625" s="1" t="s">
        <v>24926</v>
      </c>
      <c r="E12625" s="1" t="str">
        <f ca="1">IFERROR(__xludf.DUMMYFUNCTION("GOOGLETRANSLATE(A9424 , ""tr"" , ""en"")"),"@drfahrettinkoca Omicron, Bumicron, Shumicron ...")</f>
        <v>@drfahrettinkoca Omicron, Bumicron, Shumicron ...</v>
      </c>
    </row>
    <row r="12626" spans="1:5" ht="15" customHeight="1" x14ac:dyDescent="0.2">
      <c r="A12626" s="1" t="s">
        <v>24927</v>
      </c>
      <c r="B12626" s="1">
        <v>3</v>
      </c>
      <c r="C12626" s="3">
        <v>44533.72625</v>
      </c>
      <c r="D12626" s="1" t="s">
        <v>24928</v>
      </c>
      <c r="E12626" s="1" t="str">
        <f ca="1">IFERROR(__xludf.DUMMYFUNCTION("GOOGLETRANSLATE(A9425 , ""tr"" , ""en"")"),"@drfahrettinka why don't anyone see why nobody hears? What is the reason not to be taken for students?")</f>
        <v>@drfahrettinka why don't anyone see why nobody hears? What is the reason not to be taken for students?</v>
      </c>
    </row>
    <row r="12627" spans="1:5" ht="15" customHeight="1" x14ac:dyDescent="0.2">
      <c r="A12627" s="1" t="s">
        <v>24929</v>
      </c>
      <c r="B12627" s="1">
        <v>0</v>
      </c>
      <c r="C12627" s="3">
        <v>44533.725381944445</v>
      </c>
      <c r="D12627" s="1" t="s">
        <v>24930</v>
      </c>
      <c r="E12627" s="1" t="str">
        <f ca="1">IFERROR(__xludf.DUMMYFUNCTION("GOOGLETRANSLATE(A9426 , ""tr"" , ""en"")"),"@drfahrettinkoca guide guide guide guide guide guide guide guide guide guide guide guide kina ... https://t.co/sx5vfj5b5p")</f>
        <v>@drfahrettinkoca guide guide guide guide guide guide guide guide guide guide guide guide kina ... https://t.co/sx5vfj5b5p</v>
      </c>
    </row>
    <row r="12628" spans="1:5" ht="15" customHeight="1" x14ac:dyDescent="0.2">
      <c r="A12628" s="1" t="s">
        <v>24931</v>
      </c>
      <c r="B12628" s="1">
        <v>0</v>
      </c>
      <c r="C12628" s="3">
        <v>44533.725289351853</v>
      </c>
      <c r="D12628" s="1" t="s">
        <v>24932</v>
      </c>
      <c r="E12628" s="1" t="str">
        <f ca="1">IFERROR(__xludf.DUMMYFUNCTION("GOOGLETRANSLATE(A9427 , ""tr"" , ""en"")"),"@drfahrettinka guide guide guide guide guide guide guide guide guide guide guide guide kina ... https://t.co/rme7zkskec")</f>
        <v>@drfahrettinka guide guide guide guide guide guide guide guide guide guide guide guide kina ... https://t.co/rme7zkskec</v>
      </c>
    </row>
    <row r="12629" spans="1:5" ht="15" customHeight="1" x14ac:dyDescent="0.2">
      <c r="A12629" s="1" t="s">
        <v>24933</v>
      </c>
      <c r="B12629" s="1">
        <v>0</v>
      </c>
      <c r="C12629" s="3">
        <v>44533.725266203706</v>
      </c>
      <c r="D12629" s="1" t="s">
        <v>24934</v>
      </c>
      <c r="E12629" s="1" t="str">
        <f ca="1">IFERROR(__xludf.DUMMYFUNCTION("GOOGLETRANSLATE(A9428 , ""tr"" , ""en"")"),"@drfahrettinkoca cb do you have news for your minister for this description: D")</f>
        <v>@drfahrettinkoca cb do you have news for your minister for this description: D</v>
      </c>
    </row>
    <row r="12630" spans="1:5" ht="15" customHeight="1" x14ac:dyDescent="0.2">
      <c r="A12630" s="1" t="s">
        <v>24935</v>
      </c>
      <c r="B12630" s="1">
        <v>0</v>
      </c>
      <c r="C12630" s="3">
        <v>44533.725219907406</v>
      </c>
      <c r="D12630" s="1" t="s">
        <v>24936</v>
      </c>
      <c r="E12630" s="1" t="str">
        <f ca="1">IFERROR(__xludf.DUMMYFUNCTION("GOOGLETRANSLATE(A9429 , ""tr"" , ""en"")"),"@drfahrettinkoca guide guide guide guide guide guide guide guide guide guide guide guide kina ... https://t.co/f47fajtncn")</f>
        <v>@drfahrettinkoca guide guide guide guide guide guide guide guide guide guide guide guide kina ... https://t.co/f47fajtncn</v>
      </c>
    </row>
    <row r="12631" spans="1:5" ht="15" customHeight="1" x14ac:dyDescent="0.2">
      <c r="A12631" s="1" t="s">
        <v>24937</v>
      </c>
      <c r="B12631" s="1">
        <v>0</v>
      </c>
      <c r="C12631" s="3">
        <v>44533.725138888891</v>
      </c>
      <c r="D12631" s="1" t="s">
        <v>24938</v>
      </c>
      <c r="E12631" s="1" t="str">
        <f ca="1">IFERROR(__xludf.DUMMYFUNCTION("GOOGLETRANSLATE(A9430 , ""tr"" , ""en"")"),"@drfahrettinka guide guide guide guide guide guide guide guide guide guide guide guide kina ... https://t.co/ntlzgBIQXX")</f>
        <v>@drfahrettinka guide guide guide guide guide guide guide guide guide guide guide guide kina ... https://t.co/ntlzgBIQXX</v>
      </c>
    </row>
    <row r="12632" spans="1:5" ht="15" customHeight="1" x14ac:dyDescent="0.2">
      <c r="A12632" s="1" t="s">
        <v>24939</v>
      </c>
      <c r="B12632" s="1">
        <v>0</v>
      </c>
      <c r="C12632" s="3">
        <v>44533.725115740737</v>
      </c>
      <c r="D12632" s="1" t="s">
        <v>24940</v>
      </c>
      <c r="E12632" s="1" t="str">
        <f ca="1">IFERROR(__xludf.DUMMYFUNCTION("GOOGLETRANSLATE(A9431 , ""tr"" , ""en"")"),"@drfahrettinkoca how to be found, gives a secret hand instruction.")</f>
        <v>@drfahrettinkoca how to be found, gives a secret hand instruction.</v>
      </c>
    </row>
    <row r="12633" spans="1:5" ht="15" customHeight="1" x14ac:dyDescent="0.2">
      <c r="A12633" s="1" t="s">
        <v>24941</v>
      </c>
      <c r="B12633" s="1">
        <v>0</v>
      </c>
      <c r="C12633" s="3">
        <v>44533.724490740744</v>
      </c>
      <c r="D12633" s="1" t="s">
        <v>24942</v>
      </c>
      <c r="E12633" s="1" t="str">
        <f ca="1">IFERROR(__xludf.DUMMYFUNCTION("GOOGLETRANSLATE(A9432 , ""tr"" , ""en"")"),"@drfahrettinkoca that's what we're saying they are all the way we all know don't you know?")</f>
        <v>@drfahrettinkoca that's what we're saying they are all the way we all know don't you know?</v>
      </c>
    </row>
    <row r="12634" spans="1:5" ht="15" customHeight="1" x14ac:dyDescent="0.2">
      <c r="A12634" s="1" t="s">
        <v>24943</v>
      </c>
      <c r="B12634" s="1">
        <v>1</v>
      </c>
      <c r="C12634" s="3">
        <v>44533.724340277775</v>
      </c>
      <c r="D12634" s="1" t="s">
        <v>24944</v>
      </c>
      <c r="E12634" s="1" t="str">
        <f ca="1">IFERROR(__xludf.DUMMYFUNCTION("GOOGLETRANSLATE(A9433 , ""tr"" , ""en"")"),"@drfahrettinkoca pfizer file. https://t.co/qrx6vbh2sj")</f>
        <v>@drfahrettinkoca pfizer file. https://t.co/qrx6vbh2sj</v>
      </c>
    </row>
    <row r="12635" spans="1:5" ht="15" customHeight="1" x14ac:dyDescent="0.2">
      <c r="A12635" s="1" t="s">
        <v>24945</v>
      </c>
      <c r="B12635" s="1">
        <v>0</v>
      </c>
      <c r="C12635" s="3">
        <v>44533.723819444444</v>
      </c>
      <c r="D12635" s="1" t="s">
        <v>24946</v>
      </c>
      <c r="E12635" s="1" t="str">
        <f ca="1">IFERROR(__xludf.DUMMYFUNCTION("GOOGLETRANSLATE(A9434 , ""tr"" , ""en"")"),"@drfahrettinkoca @saglikbakanligi @tuikbilgi Korona Case Numbers describing the figures of 21%. HTTPS://T.CO/CSFUPY4DR7")</f>
        <v>@drfahrettinkoca @saglikbakanligi @tuikbilgi Korona Case Numbers describing the figures of 21%. HTTPS://T.CO/CSFUPY4DR7</v>
      </c>
    </row>
    <row r="12636" spans="1:5" ht="15" customHeight="1" x14ac:dyDescent="0.2">
      <c r="A12636" s="1" t="s">
        <v>24947</v>
      </c>
      <c r="B12636" s="1">
        <v>0</v>
      </c>
      <c r="C12636" s="3">
        <v>44533.723101851851</v>
      </c>
      <c r="D12636" s="1" t="s">
        <v>24948</v>
      </c>
      <c r="E12636" s="1" t="str">
        <f ca="1">IFERROR(__xludf.DUMMYFUNCTION("GOOGLETRANSLATE(A9435 , ""tr"" , ""en"")"),"@drfahrettinkoca No 3 December 2020 Vaccine! Tests: 187.518 Case Number: 32.381 Number of patients: 6,511 Death: 187 3 Range ... https://t.co/wriomj7fnk")</f>
        <v>@drfahrettinkoca No 3 December 2020 Vaccine! Tests: 187.518 Case Number: 32.381 Number of patients: 6,511 Death: 187 3 Range ... https://t.co/wriomj7fnk</v>
      </c>
    </row>
    <row r="12637" spans="1:5" ht="15" customHeight="1" x14ac:dyDescent="0.2">
      <c r="A12637" s="1" t="s">
        <v>24949</v>
      </c>
      <c r="B12637" s="1">
        <v>0</v>
      </c>
      <c r="C12637" s="3">
        <v>44533.722881944443</v>
      </c>
      <c r="D12637" s="1" t="s">
        <v>24950</v>
      </c>
      <c r="E12637" s="1" t="str">
        <f ca="1">IFERROR(__xludf.DUMMYFUNCTION("GOOGLETRANSLATE(A9436 , ""tr"" , ""en"")"),"@drfahrettinkoca he is not distributing the mask, where did we stay in our masks?")</f>
        <v>@drfahrettinkoca he is not distributing the mask, where did we stay in our masks?</v>
      </c>
    </row>
    <row r="12638" spans="1:5" ht="15" customHeight="1" x14ac:dyDescent="0.2">
      <c r="A12638" s="1" t="s">
        <v>24951</v>
      </c>
      <c r="B12638" s="1">
        <v>0</v>
      </c>
      <c r="C12638" s="3">
        <v>44533.722569444442</v>
      </c>
      <c r="D12638" s="1" t="s">
        <v>24952</v>
      </c>
      <c r="E12638" s="1" t="str">
        <f ca="1">IFERROR(__xludf.DUMMYFUNCTION("GOOGLETRANSLATE(A9437 , ""tr"" , ""en"")"),"@drfahrettinkoca Ya did not say that you don't say that the Canimm map is making, also this omicron's already f ... https://t.co/oxjsgbqdyt")</f>
        <v>@drfahrettinkoca Ya did not say that you don't say that the Canimm map is making, also this omicron's already f ... https://t.co/oxjsgbqdyt</v>
      </c>
    </row>
    <row r="12639" spans="1:5" ht="15" customHeight="1" x14ac:dyDescent="0.2">
      <c r="A12639" s="1" t="s">
        <v>24953</v>
      </c>
      <c r="B12639" s="1">
        <v>0</v>
      </c>
      <c r="C12639" s="3">
        <v>44533.722361111111</v>
      </c>
      <c r="D12639" s="1" t="s">
        <v>24954</v>
      </c>
      <c r="E12639" s="1" t="str">
        <f ca="1">IFERROR(__xludf.DUMMYFUNCTION("GOOGLETRANSLATE(A9438 , ""tr"" , ""en"")"),"@drfahrettinkoca yaş Bi is from our fuel.")</f>
        <v>@drfahrettinkoca yaş Bi is from our fuel.</v>
      </c>
    </row>
    <row r="12640" spans="1:5" ht="15" customHeight="1" x14ac:dyDescent="0.2">
      <c r="A12640" s="1" t="s">
        <v>24955</v>
      </c>
      <c r="B12640" s="1">
        <v>0</v>
      </c>
      <c r="C12640" s="3">
        <v>44533.722303240742</v>
      </c>
      <c r="D12640" s="1" t="s">
        <v>24956</v>
      </c>
      <c r="E12640" s="1" t="str">
        <f ca="1">IFERROR(__xludf.DUMMYFUNCTION("GOOGLETRANSLATE(A9439 , ""tr"" , ""en"")"),"@drfahrettinkoca How to find out how to find what you are looking so much you are wondering Bey See a little bit of truths")</f>
        <v>@drfahrettinkoca How to find out how to find what you are looking so much you are wondering Bey See a little bit of truths</v>
      </c>
    </row>
    <row r="12641" spans="1:5" ht="15" customHeight="1" x14ac:dyDescent="0.2">
      <c r="A12641" s="1" t="s">
        <v>24957</v>
      </c>
      <c r="B12641" s="1">
        <v>1</v>
      </c>
      <c r="C12641" s="3">
        <v>44533.722060185188</v>
      </c>
      <c r="D12641" s="1" t="s">
        <v>24958</v>
      </c>
      <c r="E12641" s="1" t="str">
        <f ca="1">IFERROR(__xludf.DUMMYFUNCTION("GOOGLETRANSLATE(A9440 , ""tr"" , ""en"")"),"@drfahrettinkoca didn't hold this too ... Tüh ... What's the next letter is a look at ...")</f>
        <v>@drfahrettinkoca didn't hold this too ... Tüh ... What's the next letter is a look at ...</v>
      </c>
    </row>
    <row r="12642" spans="1:5" ht="15" customHeight="1" x14ac:dyDescent="0.2">
      <c r="A12642" s="1" t="s">
        <v>24959</v>
      </c>
      <c r="B12642" s="1">
        <v>5</v>
      </c>
      <c r="C12642" s="3">
        <v>44533.721990740742</v>
      </c>
      <c r="D12642" s="1" t="s">
        <v>24960</v>
      </c>
      <c r="E12642" s="1" t="str">
        <f ca="1">IFERROR(__xludf.DUMMYFUNCTION("GOOGLETRANSLATE(A9441 , ""tr"" , ""en"")"),"@drfahrettinkoca Hergun Assignment was tired of throwing the news, Hergun Tiwit and worn. Our Duty Our Duty ... https://t.co/tambfe7ceq")</f>
        <v>@drfahrettinkoca Hergun Assignment was tired of throwing the news, Hergun Tiwit and worn. Our Duty Our Duty ... https://t.co/tambfe7ceq</v>
      </c>
    </row>
    <row r="12643" spans="1:5" ht="15" customHeight="1" x14ac:dyDescent="0.2">
      <c r="A12643" s="1" t="s">
        <v>24961</v>
      </c>
      <c r="B12643" s="1">
        <v>2</v>
      </c>
      <c r="C12643" s="3">
        <v>44533.721875000003</v>
      </c>
      <c r="D12643" s="1" t="s">
        <v>24962</v>
      </c>
      <c r="E12643" s="1" t="str">
        <f ca="1">IFERROR(__xludf.DUMMYFUNCTION("GOOGLETRANSLATE(A9442 , ""tr"" , ""en"")"),"@drfahrettinkoca Hergun Assignment was tired of throwing the news, Hergun Tiwit and worn. Our Mission Our Duty Y ... HTTPS://T.CO/GCJIHIU0DZ")</f>
        <v>@drfahrettinkoca Hergun Assignment was tired of throwing the news, Hergun Tiwit and worn. Our Mission Our Duty Y ... HTTPS://T.CO/GCJIHIU0DZ</v>
      </c>
    </row>
    <row r="12644" spans="1:5" ht="15" customHeight="1" x14ac:dyDescent="0.2">
      <c r="A12644" s="1" t="s">
        <v>24963</v>
      </c>
      <c r="B12644" s="1">
        <v>1</v>
      </c>
      <c r="C12644" s="3">
        <v>44533.721782407411</v>
      </c>
      <c r="D12644" s="1" t="s">
        <v>24964</v>
      </c>
      <c r="E12644" s="1" t="str">
        <f ca="1">IFERROR(__xludf.DUMMYFUNCTION("GOOGLETRANSLATE(A9443 , ""tr"" , ""en"")"),"@drfahrettinkoca Hergun Assignment was tired of throwing the news, Hergun Tiwit and worn. Our Duty Our Duty ... https://t.co/qcdbmhrev8")</f>
        <v>@drfahrettinkoca Hergun Assignment was tired of throwing the news, Hergun Tiwit and worn. Our Duty Our Duty ... https://t.co/qcdbmhrev8</v>
      </c>
    </row>
    <row r="12645" spans="1:5" ht="15" customHeight="1" x14ac:dyDescent="0.2">
      <c r="A12645" s="1" t="s">
        <v>24965</v>
      </c>
      <c r="B12645" s="1">
        <v>0</v>
      </c>
      <c r="C12645" s="3">
        <v>44533.721226851849</v>
      </c>
      <c r="D12645" s="1" t="s">
        <v>24966</v>
      </c>
      <c r="E12645" s="1" t="str">
        <f ca="1">IFERROR(__xludf.DUMMYFUNCTION("GOOGLETRANSLATE(A9444 , ""tr"" , ""en"")"),"@drfahrettinkoca guide branch contour guide branch contour guide Branch Distribution Guide Branch Distribution Guide Barrel ... https://t.co/4pkikhzrqf")</f>
        <v>@drfahrettinkoca guide branch contour guide branch contour guide Branch Distribution Guide Branch Distribution Guide Barrel ... https://t.co/4pkikhzrqf</v>
      </c>
    </row>
    <row r="12646" spans="1:5" ht="15" customHeight="1" x14ac:dyDescent="0.2">
      <c r="A12646" s="1" t="s">
        <v>24967</v>
      </c>
      <c r="B12646" s="1">
        <v>0</v>
      </c>
      <c r="C12646" s="3">
        <v>44533.720439814817</v>
      </c>
      <c r="D12646" s="1" t="s">
        <v>24968</v>
      </c>
      <c r="E12646" s="1" t="str">
        <f ca="1">IFERROR(__xludf.DUMMYFUNCTION("GOOGLETRANSLATE(A9445 , ""tr"" , ""en"")"),"@drfahrettinkoca hike we have made us in front of the nation. Please don't change the thing TUS because of what the hand ... https://t.co/dyz6sbelzj")</f>
        <v>@drfahrettinkoca hike we have made us in front of the nation. Please don't change the thing TUS because of what the hand ... https://t.co/dyz6sbelzj</v>
      </c>
    </row>
    <row r="12647" spans="1:5" ht="15" customHeight="1" x14ac:dyDescent="0.2">
      <c r="A12647" s="1" t="s">
        <v>24969</v>
      </c>
      <c r="B12647" s="1">
        <v>0</v>
      </c>
      <c r="C12647" s="3">
        <v>44533.719988425924</v>
      </c>
      <c r="D12647" s="1" t="s">
        <v>24970</v>
      </c>
      <c r="E12647" s="1" t="str">
        <f ca="1">IFERROR(__xludf.DUMMYFUNCTION("GOOGLETRANSLATE(A9446 , ""tr"" , ""en"")"),"@drfahrettinkoca you think of grafted ones.")</f>
        <v>@drfahrettinkoca you think of grafted ones.</v>
      </c>
    </row>
    <row r="12648" spans="1:5" ht="15" customHeight="1" x14ac:dyDescent="0.2">
      <c r="A12648" s="1" t="s">
        <v>24971</v>
      </c>
      <c r="B12648" s="1">
        <v>0</v>
      </c>
      <c r="C12648" s="3">
        <v>44533.719953703701</v>
      </c>
      <c r="D12648" s="1" t="s">
        <v>24972</v>
      </c>
      <c r="E12648" s="1" t="str">
        <f ca="1">IFERROR(__xludf.DUMMYFUNCTION("GOOGLETRANSLATE(A9447 , ""tr"" , ""en"")"),"@drfahrettinkoca you will come online connected to the bari")</f>
        <v>@drfahrettinkoca you will come online connected to the bari</v>
      </c>
    </row>
    <row r="12649" spans="1:5" ht="15" customHeight="1" x14ac:dyDescent="0.2">
      <c r="A12649" s="1" t="s">
        <v>24973</v>
      </c>
      <c r="B12649" s="1">
        <v>0</v>
      </c>
      <c r="C12649" s="3">
        <v>44533.719560185185</v>
      </c>
      <c r="D12649" s="1" t="s">
        <v>24974</v>
      </c>
      <c r="E12649" s="1" t="str">
        <f ca="1">IFERROR(__xludf.DUMMYFUNCTION("GOOGLETRANSLATE(A9448 , ""tr"" , ""en"")"),"@drfahrettinkoca Sayn Minister is more than 1 year, we did not fall below 20 bnins")</f>
        <v>@drfahrettinkoca Sayn Minister is more than 1 year, we did not fall below 20 bnins</v>
      </c>
    </row>
    <row r="12650" spans="1:5" ht="15" customHeight="1" x14ac:dyDescent="0.2">
      <c r="A12650" s="1" t="s">
        <v>24975</v>
      </c>
      <c r="B12650" s="1">
        <v>0</v>
      </c>
      <c r="C12650" s="3">
        <v>44533.7190162037</v>
      </c>
      <c r="D12650" s="1" t="s">
        <v>24976</v>
      </c>
      <c r="E12650" s="1" t="str">
        <f ca="1">IFERROR(__xludf.DUMMYFUNCTION("GOOGLETRANSLATE(A9449 , ""tr"" , ""en"")"),"@drfahrettinka said that the omicron did not show much effect African themselves. What is the fear of what? Why are these people ... https://t.co/arpqmfriLi")</f>
        <v>@drfahrettinka said that the omicron did not show much effect African themselves. What is the fear of what? Why are these people ... https://t.co/arpqmfriLi</v>
      </c>
    </row>
    <row r="12651" spans="1:5" ht="15" customHeight="1" x14ac:dyDescent="0.2">
      <c r="A12651" s="1" t="s">
        <v>24977</v>
      </c>
      <c r="B12651" s="1">
        <v>1</v>
      </c>
      <c r="C12651" s="3">
        <v>44533.71875</v>
      </c>
      <c r="D12651" s="1" t="s">
        <v>24978</v>
      </c>
      <c r="E12651" s="1" t="str">
        <f ca="1">IFERROR(__xludf.DUMMYFUNCTION("GOOGLETRANSLATE(A9450 , ""tr"" , ""en"")"),"@drfahrettinkoca Henuz (Talamat) is not to come")</f>
        <v>@drfahrettinkoca Henuz (Talamat) is not to come</v>
      </c>
    </row>
    <row r="12652" spans="1:5" ht="15" customHeight="1" x14ac:dyDescent="0.2">
      <c r="A12652" s="1" t="s">
        <v>24979</v>
      </c>
      <c r="B12652" s="1">
        <v>1</v>
      </c>
      <c r="C12652" s="3">
        <v>44533.718113425923</v>
      </c>
      <c r="D12652" s="1" t="s">
        <v>24980</v>
      </c>
      <c r="E12652" s="1" t="str">
        <f ca="1">IFERROR(__xludf.DUMMYFUNCTION("GOOGLETRANSLATE(A9451 , ""tr"" , ""en"")"),"@drfahrettinkoca clavuzz # fusable")</f>
        <v>@drfahrettinkoca clavuzz # fusable</v>
      </c>
    </row>
    <row r="12653" spans="1:5" ht="15" customHeight="1" x14ac:dyDescent="0.2">
      <c r="A12653" s="1" t="s">
        <v>24981</v>
      </c>
      <c r="B12653" s="1">
        <v>0</v>
      </c>
      <c r="C12653" s="3">
        <v>44533.717962962961</v>
      </c>
      <c r="D12653" s="1" t="s">
        <v>24982</v>
      </c>
      <c r="E12653" s="1" t="str">
        <f ca="1">IFERROR(__xludf.DUMMYFUNCTION("GOOGLETRANSLATE(A9452 , ""tr"" , ""en"")"),"@drfahrettinkoca SY Minister Bursa is also especially the mask not fitted in the plugs in the plug agencies will also win 4 TL ... https://t.co/bsdohw3onf")</f>
        <v>@drfahrettinkoca SY Minister Bursa is also especially the mask not fitted in the plugs in the plug agencies will also win 4 TL ... https://t.co/bsdohw3onf</v>
      </c>
    </row>
    <row r="12654" spans="1:5" ht="15" customHeight="1" x14ac:dyDescent="0.2">
      <c r="A12654" s="1" t="s">
        <v>24983</v>
      </c>
      <c r="B12654" s="1">
        <v>0</v>
      </c>
      <c r="C12654" s="3">
        <v>44533.717534722222</v>
      </c>
      <c r="D12654" s="1" t="s">
        <v>24984</v>
      </c>
      <c r="E12654" s="1" t="str">
        <f ca="1">IFERROR(__xludf.DUMMYFUNCTION("GOOGLETRANSLATE(A9453 , ""tr"" , ""en"")"),"@drfahrettinkoca established in 1923, the Republic of Turkey is also greater than the mountains of your insecurity.")</f>
        <v>@drfahrettinkoca established in 1923, the Republic of Turkey is also greater than the mountains of your insecurity.</v>
      </c>
    </row>
    <row r="12655" spans="1:5" ht="15" customHeight="1" x14ac:dyDescent="0.2">
      <c r="A12655" s="1" t="s">
        <v>24985</v>
      </c>
      <c r="B12655" s="1">
        <v>0</v>
      </c>
      <c r="C12655" s="3">
        <v>44533.717430555553</v>
      </c>
      <c r="D12655" s="1" t="s">
        <v>24986</v>
      </c>
      <c r="E12655" s="1" t="str">
        <f ca="1">IFERROR(__xludf.DUMMYFUNCTION("GOOGLETRANSLATE(A9454 , ""tr"" , ""en"")"),"@drfahrettinkoca eeee get to be vaccineinzi you didn't say to the minister")</f>
        <v>@drfahrettinkoca eeee get to be vaccineinzi you didn't say to the minister</v>
      </c>
    </row>
    <row r="12656" spans="1:5" ht="15" customHeight="1" x14ac:dyDescent="0.2">
      <c r="A12656" s="1" t="s">
        <v>24987</v>
      </c>
      <c r="B12656" s="1">
        <v>0</v>
      </c>
      <c r="C12656" s="3">
        <v>44533.717326388891</v>
      </c>
      <c r="D12656" s="1" t="s">
        <v>24988</v>
      </c>
      <c r="E12656" s="1" t="str">
        <f ca="1">IFERROR(__xludf.DUMMYFUNCTION("GOOGLETRANSLATE(A9455 , ""tr"" , ""en"")"),"@drfahrettinka online training should come after this time")</f>
        <v>@drfahrettinka online training should come after this time</v>
      </c>
    </row>
    <row r="12657" spans="1:5" ht="15" customHeight="1" x14ac:dyDescent="0.2">
      <c r="A12657" s="1" t="s">
        <v>24989</v>
      </c>
      <c r="B12657" s="1">
        <v>0</v>
      </c>
      <c r="C12657" s="3">
        <v>44533.716909722221</v>
      </c>
      <c r="D12657" s="1" t="s">
        <v>24990</v>
      </c>
      <c r="E12657" s="1" t="str">
        <f ca="1">IFERROR(__xludf.DUMMYFUNCTION("GOOGLETRANSLATE(A9456 , ""tr"" , ""en"")"),"@drfahrettinkoca I believed so much ok")</f>
        <v>@drfahrettinkoca I believed so much ok</v>
      </c>
    </row>
    <row r="12658" spans="1:5" ht="15" customHeight="1" x14ac:dyDescent="0.2">
      <c r="A12658" s="1" t="s">
        <v>24991</v>
      </c>
      <c r="B12658" s="1">
        <v>0</v>
      </c>
      <c r="C12658" s="3">
        <v>44533.716504629629</v>
      </c>
      <c r="D12658" s="1" t="s">
        <v>24992</v>
      </c>
      <c r="E12658" s="1" t="str">
        <f ca="1">IFERROR(__xludf.DUMMYFUNCTION("GOOGLETRANSLATE(A9457 , ""tr"" , ""en"")"),"@drfahrettinkoca is a generation of both souls and you don't hear what you have referred to all of the Madden both of the Madden and you don't hear what you have referred to God")</f>
        <v>@drfahrettinkoca is a generation of both souls and you don't hear what you have referred to all of the Madden both of the Madden and you don't hear what you have referred to God</v>
      </c>
    </row>
    <row r="12659" spans="1:5" ht="15" customHeight="1" x14ac:dyDescent="0.2">
      <c r="A12659" s="1" t="s">
        <v>24993</v>
      </c>
      <c r="B12659" s="1">
        <v>2</v>
      </c>
      <c r="C12659" s="3">
        <v>44533.716192129628</v>
      </c>
      <c r="D12659" s="1" t="s">
        <v>24994</v>
      </c>
      <c r="E12659" s="1" t="str">
        <f ca="1">IFERROR(__xludf.DUMMYFUNCTION("GOOGLETRANSLATE(A9458 , ""tr"" , ""en"")"),"@drfahrettinka dear teacher get some more detail. Like the flu. Incoming information is in the direction of which it starts from the bowel system")</f>
        <v>@drfahrettinka dear teacher get some more detail. Like the flu. Incoming information is in the direction of which it starts from the bowel system</v>
      </c>
    </row>
    <row r="12660" spans="1:5" ht="15" customHeight="1" x14ac:dyDescent="0.2">
      <c r="A12660" s="1" t="s">
        <v>24995</v>
      </c>
      <c r="B12660" s="1">
        <v>0</v>
      </c>
      <c r="C12660" s="3">
        <v>44533.715960648151</v>
      </c>
      <c r="D12660" s="1" t="s">
        <v>24996</v>
      </c>
      <c r="E12660" s="1" t="str">
        <f ca="1">IFERROR(__xludf.DUMMYFUNCTION("GOOGLETRANSLATE(A9459 , ""tr"" , ""en"")"),"@drfahrettinkoca you are not able to benefit from the health insurance you cut money from Akepe robber is a HUK +++. You Tet Tet ××××")</f>
        <v>@drfahrettinkoca you are not able to benefit from the health insurance you cut money from Akepe robber is a HUK +++. You Tet Tet ××××</v>
      </c>
    </row>
    <row r="12661" spans="1:5" ht="15" customHeight="1" x14ac:dyDescent="0.2">
      <c r="A12661" s="1" t="s">
        <v>24997</v>
      </c>
      <c r="B12661" s="1">
        <v>1</v>
      </c>
      <c r="C12661" s="3">
        <v>44533.715879629628</v>
      </c>
      <c r="D12661" s="1" t="s">
        <v>24998</v>
      </c>
      <c r="E12661" s="1" t="str">
        <f ca="1">IFERROR(__xludf.DUMMYFUNCTION("GOOGLETRANSLATE(A9460 , ""tr"" , ""en"")"),"@drfahrettinkoca Dear husband; Will you light up the us 👇 https://t.co/ylbus6xI4J")</f>
        <v>@drfahrettinkoca Dear husband; Will you light up the us 👇 https://t.co/ylbus6xI4J</v>
      </c>
    </row>
    <row r="12662" spans="1:5" ht="15" customHeight="1" x14ac:dyDescent="0.2">
      <c r="A12662" s="1" t="s">
        <v>24999</v>
      </c>
      <c r="B12662" s="1">
        <v>1</v>
      </c>
      <c r="C12662" s="3">
        <v>44533.715127314812</v>
      </c>
      <c r="D12662" s="1" t="s">
        <v>25000</v>
      </c>
      <c r="E12662" s="1" t="str">
        <f ca="1">IFERROR(__xludf.DUMMYFUNCTION("GOOGLETRANSLATE(A9461 , ""tr"" , ""en"")"),"@drfahrettinkoca Minister Make Now Please relax at the same")</f>
        <v>@drfahrettinkoca Minister Make Now Please relax at the same</v>
      </c>
    </row>
    <row r="12663" spans="1:5" ht="15" customHeight="1" x14ac:dyDescent="0.2">
      <c r="A12663" s="1" t="s">
        <v>25001</v>
      </c>
      <c r="B12663" s="1">
        <v>1</v>
      </c>
      <c r="C12663" s="3">
        <v>44533.714247685188</v>
      </c>
      <c r="D12663" s="1" t="s">
        <v>25002</v>
      </c>
      <c r="E12663" s="1" t="str">
        <f ca="1">IFERROR(__xludf.DUMMYFUNCTION("GOOGLETRANSLATE(A9462 , ""tr"" , ""en"")"),"@drfahrettinkoca finish this is now tired of this pandemy comedy folks that you said nation nation ... https://t.co/nlk9x1hun0")</f>
        <v>@drfahrettinkoca finish this is now tired of this pandemy comedy folks that you said nation nation ... https://t.co/nlk9x1hun0</v>
      </c>
    </row>
    <row r="12664" spans="1:5" ht="15" customHeight="1" x14ac:dyDescent="0.2">
      <c r="A12664" s="1" t="s">
        <v>25003</v>
      </c>
      <c r="B12664" s="1">
        <v>2</v>
      </c>
      <c r="C12664" s="3">
        <v>44533.713969907411</v>
      </c>
      <c r="D12664" s="1" t="s">
        <v>25004</v>
      </c>
      <c r="E12664" s="1" t="str">
        <f ca="1">IFERROR(__xludf.DUMMYFUNCTION("GOOGLETRANSLATE(A9463 , ""tr"" , ""en"")"),"@drfahrettinkoca Remote Education Territory to arrive Now that the occupancy rate in intensive care is hundred percent of it ... https://t.co/4y0ljakjmn")</f>
        <v>@drfahrettinkoca Remote Education Territory to arrive Now that the occupancy rate in intensive care is hundred percent of it ... https://t.co/4y0ljakjmn</v>
      </c>
    </row>
    <row r="12665" spans="1:5" ht="15" customHeight="1" x14ac:dyDescent="0.2">
      <c r="A12665" s="1" t="s">
        <v>25005</v>
      </c>
      <c r="B12665" s="1">
        <v>0</v>
      </c>
      <c r="C12665" s="3">
        <v>44533.713865740741</v>
      </c>
      <c r="D12665" s="1" t="s">
        <v>25006</v>
      </c>
      <c r="E12665" s="1" t="str">
        <f ca="1">IFERROR(__xludf.DUMMYFUNCTION("GOOGLETRANSLATE(A9464 , ""tr"" , ""en"")"),"@drfahrettinkoca Buddha comes to the Buddha.")</f>
        <v>@drfahrettinkoca Buddha comes to the Buddha.</v>
      </c>
    </row>
    <row r="12666" spans="1:5" ht="15" customHeight="1" x14ac:dyDescent="0.2">
      <c r="A12666" s="1" t="s">
        <v>25007</v>
      </c>
      <c r="B12666" s="1">
        <v>0</v>
      </c>
      <c r="C12666" s="3">
        <v>44533.71361111111</v>
      </c>
      <c r="D12666" s="1" t="s">
        <v>25008</v>
      </c>
      <c r="E12666" s="1" t="str">
        <f ca="1">IFERROR(__xludf.DUMMYFUNCTION("GOOGLETRANSLATE(A9465 , ""tr"" , ""en"")"),"@drfahrettinka you have made the vaccine either so national. What is this panic!? # Governmentifia # Earlier #Enflation #Borbadafiyaskio")</f>
        <v>@drfahrettinka you have made the vaccine either so national. What is this panic!? # Governmentifia # Earlier #Enflation #Borbadafiyaskio</v>
      </c>
    </row>
    <row r="12667" spans="1:5" ht="15" customHeight="1" x14ac:dyDescent="0.2">
      <c r="A12667" s="1" t="s">
        <v>25009</v>
      </c>
      <c r="B12667" s="1">
        <v>0</v>
      </c>
      <c r="C12667" s="3">
        <v>44533.713217592594</v>
      </c>
      <c r="D12667" s="1" t="s">
        <v>25010</v>
      </c>
      <c r="E12667" s="1" t="str">
        <f ca="1">IFERROR(__xludf.DUMMYFUNCTION("GOOGLETRANSLATE(A9466 , ""tr"" , ""en"")"),"@drfahrettinkoca makes more sick dictions are now in Turkey Variant has already seen variant")</f>
        <v>@drfahrettinkoca makes more sick dictions are now in Turkey Variant has already seen variant</v>
      </c>
    </row>
    <row r="12668" spans="1:5" ht="15" customHeight="1" x14ac:dyDescent="0.2">
      <c r="A12668" s="1" t="s">
        <v>25011</v>
      </c>
      <c r="B12668" s="1">
        <v>2</v>
      </c>
      <c r="C12668" s="3">
        <v>44533.712037037039</v>
      </c>
      <c r="D12668" s="1" t="s">
        <v>25012</v>
      </c>
      <c r="E12668" s="1" t="str">
        <f ca="1">IFERROR(__xludf.DUMMYFUNCTION("GOOGLETRANSLATE(A9467 , ""tr"" , ""en"")"),"@drfahrettinkoca Mentioned 30 Those assignment must be done in an emergency sec. @drfahrettinkoca @ rterdogan ... https://t.co/1bvogto8tj")</f>
        <v>@drfahrettinkoca Mentioned 30 Those assignment must be done in an emergency sec. @drfahrettinkoca @ rterdogan ... https://t.co/1bvogto8tj</v>
      </c>
    </row>
    <row r="12669" spans="1:5" ht="15" customHeight="1" x14ac:dyDescent="0.2">
      <c r="A12669" s="1" t="s">
        <v>24383</v>
      </c>
      <c r="B12669" s="1">
        <v>1</v>
      </c>
      <c r="C12669" s="3">
        <v>44533.71197916667</v>
      </c>
      <c r="D12669" s="1" t="s">
        <v>25013</v>
      </c>
      <c r="E12669" s="1" t="str">
        <f ca="1">IFERROR(__xludf.DUMMYFUNCTION("GOOGLETRANSLATE(A9468 , ""tr"" , ""en"")"),"@drfahrettinka is ignoring 740 thousand healthcare. Pity # fcking wool https://t.co/wwgbv5fitg")</f>
        <v>@drfahrettinka is ignoring 740 thousand healthcare. Pity # fcking wool https://t.co/wwgbv5fitg</v>
      </c>
    </row>
    <row r="12670" spans="1:5" ht="15" customHeight="1" x14ac:dyDescent="0.2">
      <c r="A12670" s="1" t="s">
        <v>25014</v>
      </c>
      <c r="B12670" s="1">
        <v>1</v>
      </c>
      <c r="C12670" s="3">
        <v>44533.711782407408</v>
      </c>
      <c r="D12670" s="1" t="s">
        <v>25015</v>
      </c>
      <c r="E12670" s="1" t="str">
        <f ca="1">IFERROR(__xludf.DUMMYFUNCTION("GOOGLETRANSLATE(A9469 , ""tr"" , ""en"")"),"@drfahrettinkoca guiduuuuuzzz Minister GuideUsUZZZ # FKOULTURELY")</f>
        <v>@drfahrettinkoca guiduuuuuzzz Minister GuideUsUZZZ # FKOULTURELY</v>
      </c>
    </row>
    <row r="12671" spans="1:5" ht="15" customHeight="1" x14ac:dyDescent="0.2">
      <c r="A12671" s="1" t="s">
        <v>25016</v>
      </c>
      <c r="B12671" s="1">
        <v>1</v>
      </c>
      <c r="C12671" s="3">
        <v>44533.711689814816</v>
      </c>
      <c r="D12671" s="1" t="s">
        <v>25017</v>
      </c>
      <c r="E12671" s="1" t="str">
        <f ca="1">IFERROR(__xludf.DUMMYFUNCTION("GOOGLETRANSLATE(A9470 , ""tr"" , ""en"")"),"@drfahrettinka us at the end, what do you say as you are going out to the Prayer of Assignment? @ drfahrettinkoca ... https://t.co/cnniIk5DLC")</f>
        <v>@drfahrettinka us at the end, what do you say as you are going out to the Prayer of Assignment? @ drfahrettinkoca ... https://t.co/cnniIk5DLC</v>
      </c>
    </row>
    <row r="12672" spans="1:5" ht="15" customHeight="1" x14ac:dyDescent="0.2">
      <c r="A12672" s="1" t="s">
        <v>25018</v>
      </c>
      <c r="B12672" s="1">
        <v>0</v>
      </c>
      <c r="C12672" s="3">
        <v>44533.711689814816</v>
      </c>
      <c r="D12672" s="1" t="s">
        <v>25019</v>
      </c>
      <c r="E12672" s="1" t="str">
        <f ca="1">IFERROR(__xludf.DUMMYFUNCTION("GOOGLETRANSLATE(A9471 , ""tr"" , ""en"")"),"@drfahrettinkoca This vaccine is hard to work")</f>
        <v>@drfahrettinkoca This vaccine is hard to work</v>
      </c>
    </row>
    <row r="12673" spans="1:5" ht="15" customHeight="1" x14ac:dyDescent="0.2">
      <c r="A12673" s="1" t="s">
        <v>25020</v>
      </c>
      <c r="B12673" s="1">
        <v>0</v>
      </c>
      <c r="C12673" s="3">
        <v>44533.711643518516</v>
      </c>
      <c r="D12673" s="1" t="s">
        <v>25021</v>
      </c>
      <c r="E12673" s="1" t="str">
        <f ca="1">IFERROR(__xludf.DUMMYFUNCTION("GOOGLETRANSLATE(A9472 , ""tr"" , ""en"")"),"@drfahrettinkoca Mr. Minister is studying nationality.")</f>
        <v>@drfahrettinkoca Mr. Minister is studying nationality.</v>
      </c>
    </row>
    <row r="12674" spans="1:5" ht="15" customHeight="1" x14ac:dyDescent="0.2">
      <c r="A12674" s="1" t="s">
        <v>25022</v>
      </c>
      <c r="B12674" s="1">
        <v>8</v>
      </c>
      <c r="C12674" s="3">
        <v>44533.711516203701</v>
      </c>
      <c r="D12674" s="1" t="s">
        <v>25023</v>
      </c>
      <c r="E12674" s="1" t="str">
        <f ca="1">IFERROR(__xludf.DUMMYFUNCTION("GOOGLETRANSLATE(A9473 , ""tr"" , ""en"")"),"@drfahrettinkoca how much you elaborate a lie is the more increasing the relief. Even to diagnose the disease ... https://t.co/of16jh9npk")</f>
        <v>@drfahrettinkoca how much you elaborate a lie is the more increasing the relief. Even to diagnose the disease ... https://t.co/of16jh9npk</v>
      </c>
    </row>
    <row r="12675" spans="1:5" ht="15" customHeight="1" x14ac:dyDescent="0.2">
      <c r="A12675" s="1" t="s">
        <v>25024</v>
      </c>
      <c r="B12675" s="1">
        <v>2</v>
      </c>
      <c r="C12675" s="3">
        <v>44533.711412037039</v>
      </c>
      <c r="D12675" s="1" t="s">
        <v>25025</v>
      </c>
      <c r="E12675" s="1" t="str">
        <f ca="1">IFERROR(__xludf.DUMMYFUNCTION("GOOGLETRANSLATE(A9474 , ""tr"" , ""en"")"),"@drfahrettinkoca guideUuUZZZ Minister GuideUsUnZZZZZ # FKOYUZZ")</f>
        <v>@drfahrettinkoca guideUuUZZZ Minister GuideUsUnZZZZZ # FKOYUZZ</v>
      </c>
    </row>
    <row r="12676" spans="1:5" ht="15" customHeight="1" x14ac:dyDescent="0.2">
      <c r="A12676" s="1" t="s">
        <v>25026</v>
      </c>
      <c r="B12676" s="1">
        <v>1</v>
      </c>
      <c r="C12676" s="3">
        <v>44533.711122685185</v>
      </c>
      <c r="D12676" s="1" t="s">
        <v>25027</v>
      </c>
      <c r="E12676" s="1" t="str">
        <f ca="1">IFERROR(__xludf.DUMMYFUNCTION("GOOGLETRANSLATE(A9475 , ""tr"" , ""en"")"),"@drfahrettinkoca guideluuuuzzz Minister GuideUsHonzzzZZ # FKOZZZZ")</f>
        <v>@drfahrettinkoca guideluuuuzzz Minister GuideUsHonzzzZZ # FKOZZZZ</v>
      </c>
    </row>
    <row r="12677" spans="1:5" ht="15" customHeight="1" x14ac:dyDescent="0.2">
      <c r="A12677" s="1" t="s">
        <v>25028</v>
      </c>
      <c r="B12677" s="1">
        <v>0</v>
      </c>
      <c r="C12677" s="3">
        <v>44533.7109837963</v>
      </c>
      <c r="D12677" s="1" t="s">
        <v>25029</v>
      </c>
      <c r="E12677" s="1" t="str">
        <f ca="1">IFERROR(__xludf.DUMMYFUNCTION("GOOGLETRANSLATE(A9476 , ""tr"" , ""en"")"),".")</f>
        <v>.</v>
      </c>
    </row>
    <row r="12678" spans="1:5" ht="15" customHeight="1" x14ac:dyDescent="0.2">
      <c r="A12678" s="1" t="s">
        <v>25030</v>
      </c>
      <c r="B12678" s="1">
        <v>2</v>
      </c>
      <c r="C12678" s="3">
        <v>44533.710729166669</v>
      </c>
      <c r="D12678" s="1" t="s">
        <v>25031</v>
      </c>
      <c r="E12678" s="1" t="str">
        <f ca="1">IFERROR(__xludf.DUMMYFUNCTION("GOOGLETRANSLATE(A9477 , ""tr"" , ""en"")"),"@drfahrettinkoca I apologize my apologies I'll have to set you anymore # fusable")</f>
        <v>@drfahrettinkoca I apologize my apologies I'll have to set you anymore # fusable</v>
      </c>
    </row>
    <row r="12679" spans="1:5" ht="15" customHeight="1" x14ac:dyDescent="0.2">
      <c r="A12679" s="1" t="s">
        <v>25032</v>
      </c>
      <c r="B12679" s="1">
        <v>2</v>
      </c>
      <c r="C12679" s="3">
        <v>44533.710706018515</v>
      </c>
      <c r="D12679" s="1" t="s">
        <v>25033</v>
      </c>
      <c r="E12679" s="1" t="str">
        <f ca="1">IFERROR(__xludf.DUMMYFUNCTION("GOOGLETRANSLATE(A9478 , ""tr"" , ""en"")"),"@drfahrettinkoca #the fcking is now explain now")</f>
        <v>@drfahrettinkoca #the fcking is now explain now</v>
      </c>
    </row>
    <row r="12680" spans="1:5" ht="15" customHeight="1" x14ac:dyDescent="0.2">
      <c r="A12680" s="1" t="s">
        <v>25034</v>
      </c>
      <c r="B12680" s="1">
        <v>0</v>
      </c>
      <c r="C12680" s="3">
        <v>44533.7106712963</v>
      </c>
      <c r="D12680" s="1" t="s">
        <v>25035</v>
      </c>
      <c r="E12680" s="1" t="str">
        <f ca="1">IFERROR(__xludf.DUMMYFUNCTION("GOOGLETRANSLATE(A9479 , ""tr"" , ""en"")"),"@drfahrettinka you soon bring it too")</f>
        <v>@drfahrettinka you soon bring it too</v>
      </c>
    </row>
    <row r="12681" spans="1:5" ht="15" customHeight="1" x14ac:dyDescent="0.2">
      <c r="A12681" s="1" t="s">
        <v>25036</v>
      </c>
      <c r="B12681" s="1">
        <v>3</v>
      </c>
      <c r="C12681" s="3">
        <v>44533.710358796299</v>
      </c>
      <c r="D12681" s="1" t="s">
        <v>25037</v>
      </c>
      <c r="E12681" s="1" t="str">
        <f ca="1">IFERROR(__xludf.DUMMYFUNCTION("GOOGLETRANSLATE(A9480 , ""tr"" , ""en"")"),"@drfahrettinkoca I'm writing here long long to whom do I tell me what to say, when did you hear our voice?")</f>
        <v>@drfahrettinkoca I'm writing here long long to whom do I tell me what to say, when did you hear our voice?</v>
      </c>
    </row>
    <row r="12682" spans="1:5" ht="15" customHeight="1" x14ac:dyDescent="0.2">
      <c r="A12682" s="1" t="s">
        <v>25038</v>
      </c>
      <c r="B12682" s="1">
        <v>2</v>
      </c>
      <c r="C12682" s="3">
        <v>44533.710312499999</v>
      </c>
      <c r="D12682" s="1" t="s">
        <v>25039</v>
      </c>
      <c r="E12682" s="1" t="str">
        <f ca="1">IFERROR(__xludf.DUMMYFUNCTION("GOOGLETRANSLATE(A9481 , ""tr"" , ""en"")"),"@drfahrettinkoca Omicron Variant of variant Countries, closing limits, taking measures and precautions, curfew, https://t.co/ohavyyhmcu")</f>
        <v>@drfahrettinkoca Omicron Variant of variant Countries, closing limits, taking measures and precautions, curfew, https://t.co/ohavyyhmcu</v>
      </c>
    </row>
    <row r="12683" spans="1:5" ht="15" customHeight="1" x14ac:dyDescent="0.2">
      <c r="A12683" s="1" t="s">
        <v>25040</v>
      </c>
      <c r="B12683" s="1">
        <v>0</v>
      </c>
      <c r="C12683" s="3">
        <v>44533.710162037038</v>
      </c>
      <c r="D12683" s="1" t="s">
        <v>25041</v>
      </c>
      <c r="E12683" s="1" t="str">
        <f ca="1">IFERROR(__xludf.DUMMYFUNCTION("GOOGLETRANSLATE(A9482 , ""tr"" , ""en"")"),"What does @drfahrettinkoca do not have an appointment to a disabled boy? If the doctor does not help the disability ... https://t.co/elnfyyxj31")</f>
        <v>What does @drfahrettinkoca do not have an appointment to a disabled boy? If the doctor does not help the disability ... https://t.co/elnfyyxj31</v>
      </c>
    </row>
    <row r="12684" spans="1:5" ht="15" customHeight="1" x14ac:dyDescent="0.2">
      <c r="A12684" s="1" t="s">
        <v>25042</v>
      </c>
      <c r="B12684" s="1">
        <v>3</v>
      </c>
      <c r="C12684" s="3">
        <v>44533.710115740738</v>
      </c>
      <c r="D12684" s="1" t="s">
        <v>25043</v>
      </c>
      <c r="E12684" s="1" t="str">
        <f ca="1">IFERROR(__xludf.DUMMYFUNCTION("GOOGLETRANSLATE(A9483 , ""tr"" , ""en"")"),"@drfahrettinkoca # fcking fuselavuzuvuzuvuzuvuzu düşülük Your debtor you promised")</f>
        <v>@drfahrettinkoca # fcking fuselavuzuvuzuvuzuvuzu düşülük Your debtor you promised</v>
      </c>
    </row>
    <row r="12685" spans="1:5" ht="15" customHeight="1" x14ac:dyDescent="0.2">
      <c r="A12685" s="1" t="s">
        <v>25044</v>
      </c>
      <c r="B12685" s="1">
        <v>2</v>
      </c>
      <c r="C12685" s="3">
        <v>44533.709930555553</v>
      </c>
      <c r="D12685" s="1" t="s">
        <v>25045</v>
      </c>
      <c r="E12685" s="1" t="str">
        <f ca="1">IFERROR(__xludf.DUMMYFUNCTION("GOOGLETRANSLATE(A9484 , ""tr"" , ""en"")"),"@drfahrettinka I'm going to start in your Variant in your variant in your variant .... in your variant .... HTTPS://T.CO/EHLVWASGYD")</f>
        <v>@drfahrettinka I'm going to start in your Variant in your variant in your variant .... in your variant .... HTTPS://T.CO/EHLVWASGYD</v>
      </c>
    </row>
    <row r="12686" spans="1:5" ht="15" customHeight="1" x14ac:dyDescent="0.2">
      <c r="A12686" s="1" t="s">
        <v>25046</v>
      </c>
      <c r="B12686" s="1">
        <v>0</v>
      </c>
      <c r="C12686" s="3">
        <v>44533.709918981483</v>
      </c>
      <c r="D12686" s="1" t="s">
        <v>25047</v>
      </c>
      <c r="E12686" s="1" t="str">
        <f ca="1">IFERROR(__xludf.DUMMYFUNCTION("GOOGLETRANSLATE(A9485 , ""tr"" , ""en"")"),"@drfahrettinkoca so Fahrettin Bey you expect how many people die. Pity sin valla.")</f>
        <v>@drfahrettinkoca so Fahrettin Bey you expect how many people die. Pity sin valla.</v>
      </c>
    </row>
    <row r="12687" spans="1:5" ht="15" customHeight="1" x14ac:dyDescent="0.2">
      <c r="A12687" s="1" t="s">
        <v>25048</v>
      </c>
      <c r="B12687" s="1">
        <v>2</v>
      </c>
      <c r="C12687" s="3">
        <v>44533.709791666668</v>
      </c>
      <c r="D12687" s="1" t="s">
        <v>25049</v>
      </c>
      <c r="E12687" s="1" t="str">
        <f ca="1">IFERROR(__xludf.DUMMYFUNCTION("GOOGLETRANSLATE(A9486 , ""tr"" , ""en"")"),"@drfahrettinkoca Minister What is our enthusiastic what our enthusiast is what we hope. What more will you will get to ... https://t.co/edkes4qvls")</f>
        <v>@drfahrettinkoca Minister What is our enthusiastic what our enthusiast is what we hope. What more will you will get to ... https://t.co/edkes4qvls</v>
      </c>
    </row>
    <row r="12688" spans="1:5" ht="15" customHeight="1" x14ac:dyDescent="0.2">
      <c r="A12688" s="1" t="s">
        <v>25050</v>
      </c>
      <c r="B12688" s="1">
        <v>0</v>
      </c>
      <c r="C12688" s="3">
        <v>44533.709386574075</v>
      </c>
      <c r="D12688" s="1" t="s">
        <v>25051</v>
      </c>
      <c r="E12688" s="1" t="str">
        <f ca="1">IFERROR(__xludf.DUMMYFUNCTION("GOOGLETRANSLATE(A9487 , ""tr"" , ""en"")"),"@drfahrettinkoca # FKOYAZAZUZUZUZUZUZ")</f>
        <v>@drfahrettinkoca # FKOYAZAZUZUZUZUZUZ</v>
      </c>
    </row>
    <row r="12689" spans="1:5" ht="15" customHeight="1" x14ac:dyDescent="0.2">
      <c r="A12689" s="1" t="s">
        <v>25052</v>
      </c>
      <c r="B12689" s="1">
        <v>0</v>
      </c>
      <c r="C12689" s="3">
        <v>44533.709340277775</v>
      </c>
      <c r="D12689" s="1" t="s">
        <v>25053</v>
      </c>
      <c r="E12689" s="1" t="str">
        <f ca="1">IFERROR(__xludf.DUMMYFUNCTION("GOOGLETRANSLATE(A9488 , ""tr"" , ""en"")"),"@drfahrettinkoca We took the vaccine to the vaccine so that he was in the vaccine.")</f>
        <v>@drfahrettinkoca We took the vaccine to the vaccine so that he was in the vaccine.</v>
      </c>
    </row>
    <row r="12690" spans="1:5" ht="15" customHeight="1" x14ac:dyDescent="0.2">
      <c r="A12690" s="1" t="s">
        <v>25054</v>
      </c>
      <c r="B12690" s="1">
        <v>9</v>
      </c>
      <c r="C12690" s="3">
        <v>44533.709247685183</v>
      </c>
      <c r="D12690" s="1" t="s">
        <v>25055</v>
      </c>
      <c r="E12690" s="1" t="str">
        <f ca="1">IFERROR(__xludf.DUMMYFUNCTION("GOOGLETRANSLATE(A9489 , ""tr"" , ""en"")"),"@drfahrettinkoca Healthiers are written to you every day to be appointed !!! Our stimulation inimm is the lounge people are pity yahu !!!!")</f>
        <v>@drfahrettinkoca Healthiers are written to you every day to be appointed !!! Our stimulation inimm is the lounge people are pity yahu !!!!</v>
      </c>
    </row>
    <row r="12691" spans="1:5" ht="15" customHeight="1" x14ac:dyDescent="0.2">
      <c r="A12691" s="1" t="s">
        <v>25056</v>
      </c>
      <c r="B12691" s="1">
        <v>0</v>
      </c>
      <c r="C12691" s="3">
        <v>44533.709143518521</v>
      </c>
      <c r="D12691" s="1" t="s">
        <v>25057</v>
      </c>
      <c r="E12691" s="1" t="str">
        <f ca="1">IFERROR(__xludf.DUMMYFUNCTION("GOOGLETRANSLATE(A9490 , ""tr"" , ""en"")"),"@drfahrettinkoca #the reassignation of fking")</f>
        <v>@drfahrettinkoca #the reassignation of fking</v>
      </c>
    </row>
    <row r="12692" spans="1:5" ht="15" customHeight="1" x14ac:dyDescent="0.2">
      <c r="A12692" s="1" t="s">
        <v>25058</v>
      </c>
      <c r="B12692" s="1">
        <v>2</v>
      </c>
      <c r="C12692" s="3">
        <v>44533.709085648145</v>
      </c>
      <c r="D12692" s="1" t="s">
        <v>25059</v>
      </c>
      <c r="E12692" s="1" t="str">
        <f ca="1">IFERROR(__xludf.DUMMYFUNCTION("GOOGLETRANSLATE(A9491 , ""tr"" , ""en"")"),"@drfahrettinkoca Mr. Minister, explain that it is also seen in a maximum week at a maximum week., Same Delta da ... https://t.co/yhlsbp3mmd")</f>
        <v>@drfahrettinkoca Mr. Minister, explain that it is also seen in a maximum week at a maximum week., Same Delta da ... https://t.co/yhlsbp3mmd</v>
      </c>
    </row>
    <row r="12693" spans="1:5" ht="15" customHeight="1" x14ac:dyDescent="0.2">
      <c r="A12693" s="1" t="s">
        <v>25060</v>
      </c>
      <c r="B12693" s="1">
        <v>0</v>
      </c>
      <c r="C12693" s="3">
        <v>44533.709050925929</v>
      </c>
      <c r="D12693" s="1" t="s">
        <v>25061</v>
      </c>
      <c r="E12693" s="1" t="str">
        <f ca="1">IFERROR(__xludf.DUMMYFUNCTION("GOOGLETRANSLATE(A9492 , ""tr"" , ""en"")"),"@drfahrettinkoca Continue to fool people Mr. Fahrettin husband")</f>
        <v>@drfahrettinkoca Continue to fool people Mr. Fahrettin husband</v>
      </c>
    </row>
    <row r="12694" spans="1:5" ht="15" customHeight="1" x14ac:dyDescent="0.2">
      <c r="A12694" s="1" t="s">
        <v>25062</v>
      </c>
      <c r="B12694" s="1">
        <v>57</v>
      </c>
      <c r="C12694" s="3">
        <v>44533.70884259259</v>
      </c>
      <c r="D12694" s="1" t="s">
        <v>25063</v>
      </c>
      <c r="E12694" s="1" t="str">
        <f ca="1">IFERROR(__xludf.DUMMYFUNCTION("GOOGLETRANSLATE(A9493 , ""tr"" , ""en"")"),"@drfahrettinkoca mutations and variants at least as fast as they give members of the members and board members are quickly changed ... https://t.co/tzzppalqal")</f>
        <v>@drfahrettinkoca mutations and variants at least as fast as they give members of the members and board members are quickly changed ... https://t.co/tzzppalqal</v>
      </c>
    </row>
    <row r="12695" spans="1:5" ht="15" customHeight="1" x14ac:dyDescent="0.2">
      <c r="A12695" s="1" t="s">
        <v>25064</v>
      </c>
      <c r="B12695" s="1">
        <v>0</v>
      </c>
      <c r="C12695" s="3">
        <v>44533.708784722221</v>
      </c>
      <c r="D12695" s="1" t="s">
        <v>25065</v>
      </c>
      <c r="E12695" s="1" t="str">
        <f ca="1">IFERROR(__xludf.DUMMYFUNCTION("GOOGLETRANSLATE(A9494 , ""tr"" , ""en"")"),"@drfahrettinkoca Age Groups Graphic Why don't you give?")</f>
        <v>@drfahrettinkoca Age Groups Graphic Why don't you give?</v>
      </c>
    </row>
    <row r="12696" spans="1:5" ht="15" customHeight="1" x14ac:dyDescent="0.2">
      <c r="A12696" s="1" t="s">
        <v>25066</v>
      </c>
      <c r="B12696" s="1">
        <v>0</v>
      </c>
      <c r="C12696" s="3">
        <v>44533.70853009259</v>
      </c>
      <c r="D12696" s="1" t="s">
        <v>25067</v>
      </c>
      <c r="E12696" s="1" t="str">
        <f ca="1">IFERROR(__xludf.DUMMYFUNCTION("GOOGLETRANSLATE(A9495 , ""tr"" , ""en"")"),"@drfahrettinkoca What is the guide?")</f>
        <v>@drfahrettinkoca What is the guide?</v>
      </c>
    </row>
    <row r="12697" spans="1:5" ht="15" customHeight="1" x14ac:dyDescent="0.2">
      <c r="A12697" s="1" t="s">
        <v>25068</v>
      </c>
      <c r="B12697" s="1">
        <v>45</v>
      </c>
      <c r="C12697" s="3">
        <v>44533.708483796298</v>
      </c>
      <c r="D12697" s="1" t="s">
        <v>25069</v>
      </c>
      <c r="E12697" s="1" t="str">
        <f ca="1">IFERROR(__xludf.DUMMYFUNCTION("GOOGLETRANSLATE(A9496 , ""tr"" , ""en"")"),"@drfahrettinkoca You are not reading the messages from Tweeter? Mothers, children are weeks of online training ... https://t.co/kxckcazj5w")</f>
        <v>@drfahrettinkoca You are not reading the messages from Tweeter? Mothers, children are weeks of online training ... https://t.co/kxckcazj5w</v>
      </c>
    </row>
    <row r="12698" spans="1:5" ht="15" customHeight="1" x14ac:dyDescent="0.2">
      <c r="A12698" s="1" t="s">
        <v>25070</v>
      </c>
      <c r="B12698" s="1">
        <v>0</v>
      </c>
      <c r="C12698" s="3">
        <v>44533.708333333336</v>
      </c>
      <c r="D12698" s="1" t="s">
        <v>25071</v>
      </c>
      <c r="E12698" s="1" t="str">
        <f ca="1">IFERROR(__xludf.DUMMYFUNCTION("GOOGLETRANSLATE(A9497 , ""tr"" , ""en"")"),"@drfahrettinkoca nu had them nuuuuuui oldii")</f>
        <v>@drfahrettinkoca nu had them nuuuuuui oldii</v>
      </c>
    </row>
    <row r="12699" spans="1:5" ht="15" customHeight="1" x14ac:dyDescent="0.2">
      <c r="A12699" s="1" t="s">
        <v>25072</v>
      </c>
      <c r="B12699" s="1">
        <v>0</v>
      </c>
      <c r="C12699" s="3">
        <v>44533.708124999997</v>
      </c>
      <c r="D12699" s="1" t="s">
        <v>25073</v>
      </c>
      <c r="E12699" s="1" t="str">
        <f ca="1">IFERROR(__xludf.DUMMYFUNCTION("GOOGLETRANSLATE(A9498 , ""tr"" , ""en"")"),"@drfahrettinkoca where this guide do you like to victimize so many people in the book sake of books @drfahrettinkoca")</f>
        <v>@drfahrettinkoca where this guide do you like to victimize so many people in the book sake of books @drfahrettinkoca</v>
      </c>
    </row>
    <row r="12700" spans="1:5" ht="15" customHeight="1" x14ac:dyDescent="0.2">
      <c r="A12700" s="1" t="s">
        <v>23787</v>
      </c>
      <c r="B12700" s="1">
        <v>1</v>
      </c>
      <c r="C12700" s="3">
        <v>44533.70758101852</v>
      </c>
      <c r="D12700" s="1" t="s">
        <v>25074</v>
      </c>
      <c r="E12700" s="1" t="str">
        <f ca="1">IFERROR(__xludf.DUMMYFUNCTION("GOOGLETRANSLATE(A9499 , ""tr"" , ""en"")"),"@drfahrettinkoca # fcking")</f>
        <v>@drfahrettinkoca # fcking</v>
      </c>
    </row>
    <row r="12701" spans="1:5" ht="15" customHeight="1" x14ac:dyDescent="0.2">
      <c r="A12701" s="1" t="s">
        <v>25075</v>
      </c>
      <c r="B12701" s="1">
        <v>0</v>
      </c>
      <c r="C12701" s="3">
        <v>44533.707569444443</v>
      </c>
      <c r="D12701" s="1" t="s">
        <v>25076</v>
      </c>
      <c r="E12701" s="1" t="str">
        <f ca="1">IFERROR(__xludf.DUMMYFUNCTION("GOOGLETRANSLATE(A9500 , ""tr"" , ""en"")"),"@drfahrettinka Mr. Minister Leave these jobs. No one wears the variant, mutation. Leave the job to the flow. 3 GUN ... https://t.co/vomncepug5")</f>
        <v>@drfahrettinka Mr. Minister Leave these jobs. No one wears the variant, mutation. Leave the job to the flow. 3 GUN ... https://t.co/vomncepug5</v>
      </c>
    </row>
    <row r="12702" spans="1:5" ht="15" customHeight="1" x14ac:dyDescent="0.2">
      <c r="A12702" s="1" t="s">
        <v>25077</v>
      </c>
      <c r="B12702" s="1">
        <v>1</v>
      </c>
      <c r="C12702" s="3">
        <v>44533.707476851851</v>
      </c>
      <c r="D12702" s="1" t="s">
        <v>25078</v>
      </c>
      <c r="E12702" s="1" t="str">
        <f ca="1">IFERROR(__xludf.DUMMYFUNCTION("GOOGLETRANSLATE(A9501 , ""tr"" , ""en"")"),"@drfahrettinkoca Nazım As Hikmet says ""the fear of selling no fear like no fear""")</f>
        <v>@drfahrettinkoca Nazım As Hikmet says "the fear of selling no fear like no fear"</v>
      </c>
    </row>
    <row r="12703" spans="1:5" ht="15" customHeight="1" x14ac:dyDescent="0.2">
      <c r="A12703" s="1" t="s">
        <v>25079</v>
      </c>
      <c r="B12703" s="1">
        <v>0</v>
      </c>
      <c r="C12703" s="3">
        <v>44533.707453703704</v>
      </c>
      <c r="D12703" s="1" t="s">
        <v>25080</v>
      </c>
      <c r="E12703" s="1" t="str">
        <f ca="1">IFERROR(__xludf.DUMMYFUNCTION("GOOGLETRANSLATE(A9502 , ""tr"" , ""en"")"),"@drfahrettinkoca either guide gercktn artk wave geclyo us with gerccktn")</f>
        <v>@drfahrettinkoca either guide gercktn artk wave geclyo us with gerccktn</v>
      </c>
    </row>
    <row r="12704" spans="1:5" ht="15" customHeight="1" x14ac:dyDescent="0.2">
      <c r="A12704" s="1" t="s">
        <v>25081</v>
      </c>
      <c r="B12704" s="1">
        <v>2</v>
      </c>
      <c r="C12704" s="3">
        <v>44533.707233796296</v>
      </c>
      <c r="D12704" s="1" t="s">
        <v>25082</v>
      </c>
      <c r="E12704" s="1" t="str">
        <f ca="1">IFERROR(__xludf.DUMMYFUNCTION("GOOGLETRANSLATE(A9503 , ""tr"" , ""en"")"),"@drfahrettinkca it was all it was.")</f>
        <v>@drfahrettinkca it was all it was.</v>
      </c>
    </row>
    <row r="12705" spans="1:5" ht="15" customHeight="1" x14ac:dyDescent="0.2">
      <c r="A12705" s="1" t="s">
        <v>25083</v>
      </c>
      <c r="B12705" s="1">
        <v>19</v>
      </c>
      <c r="C12705" s="3">
        <v>44533.707083333335</v>
      </c>
      <c r="D12705" s="1" t="s">
        <v>25084</v>
      </c>
      <c r="E12705" s="1" t="str">
        <f ca="1">IFERROR(__xludf.DUMMYFUNCTION("GOOGLETRANSLATE(A9504 , ""tr"" , ""en"")"),"@drfahrettinkoca officially mocking our mind ... Everyday has a hike rain, folks no longer go to the grocery store, invoice ... https://t.co/k4uaez0rnc")</f>
        <v>@drfahrettinkoca officially mocking our mind ... Everyday has a hike rain, folks no longer go to the grocery store, invoice ... https://t.co/k4uaez0rnc</v>
      </c>
    </row>
    <row r="12706" spans="1:5" ht="15" customHeight="1" x14ac:dyDescent="0.2">
      <c r="A12706" s="1" t="s">
        <v>25085</v>
      </c>
      <c r="B12706" s="1">
        <v>1</v>
      </c>
      <c r="C12706" s="3">
        <v>44533.706979166665</v>
      </c>
      <c r="D12706" s="1" t="s">
        <v>25086</v>
      </c>
      <c r="E12706" s="1" t="str">
        <f ca="1">IFERROR(__xludf.DUMMYFUNCTION("GOOGLETRANSLATE(A9505 , ""tr"" , ""en"")"),"@drfahrettinkoca #the fkindavuzuvuzuvuzuye will ignore more")</f>
        <v>@drfahrettinkoca #the fkindavuzuvuzuvuzuye will ignore more</v>
      </c>
    </row>
    <row r="12707" spans="1:5" ht="15" customHeight="1" x14ac:dyDescent="0.2">
      <c r="A12707" s="1" t="s">
        <v>25087</v>
      </c>
      <c r="B12707" s="1">
        <v>0</v>
      </c>
      <c r="C12707" s="3">
        <v>44533.706863425927</v>
      </c>
      <c r="D12707" s="1" t="s">
        <v>25088</v>
      </c>
      <c r="E12707" s="1" t="str">
        <f ca="1">IFERROR(__xludf.DUMMYFUNCTION("GOOGLETRANSLATE(A9506 , ""tr"" , ""en"")"),"@drfahrettinkoca fahreditim I'm tired of now Sus Bi.")</f>
        <v>@drfahrettinkoca fahreditim I'm tired of now Sus Bi.</v>
      </c>
    </row>
    <row r="12708" spans="1:5" ht="15" customHeight="1" x14ac:dyDescent="0.2">
      <c r="A12708" s="1" t="s">
        <v>25089</v>
      </c>
      <c r="B12708" s="1">
        <v>47</v>
      </c>
      <c r="C12708" s="3">
        <v>44533.706469907411</v>
      </c>
      <c r="D12708" s="1" t="s">
        <v>25090</v>
      </c>
      <c r="E12708" s="1" t="str">
        <f ca="1">IFERROR(__xludf.DUMMYFUNCTION("GOOGLETRANSLATE(A9507 , ""tr"" , ""en"")"),"@drfahrettinkoca Well !! Earth countries are taking precaution of my vacancies !! We did not encounter in our country a scientific or ... https://t.co/qkh44loxst")</f>
        <v>@drfahrettinkoca Well !! Earth countries are taking precaution of my vacancies !! We did not encounter in our country a scientific or ... https://t.co/qkh44loxst</v>
      </c>
    </row>
    <row r="12709" spans="1:5" ht="15" customHeight="1" x14ac:dyDescent="0.2">
      <c r="A12709" s="1" t="s">
        <v>25091</v>
      </c>
      <c r="B12709" s="1">
        <v>1</v>
      </c>
      <c r="C12709" s="3">
        <v>44533.706458333334</v>
      </c>
      <c r="D12709" s="1" t="s">
        <v>25092</v>
      </c>
      <c r="E12709" s="1" t="str">
        <f ca="1">IFERROR(__xludf.DUMMYFUNCTION("GOOGLETRANSLATE(A9508 , ""tr"" , ""en"")"),"@drfahrettinkoca has either been waiting for assignment to assign 1 year from our life, but still passed with zero assignment, but still why ... https://t.co/8wuzgx9mah")</f>
        <v>@drfahrettinkoca has either been waiting for assignment to assign 1 year from our life, but still passed with zero assignment, but still why ... https://t.co/8wuzgx9mah</v>
      </c>
    </row>
    <row r="12710" spans="1:5" ht="15" customHeight="1" x14ac:dyDescent="0.2">
      <c r="A12710" s="1" t="s">
        <v>25093</v>
      </c>
      <c r="B12710" s="1">
        <v>0</v>
      </c>
      <c r="C12710" s="3">
        <v>44533.706377314818</v>
      </c>
      <c r="D12710" s="1" t="s">
        <v>25094</v>
      </c>
      <c r="E12710" s="1" t="str">
        <f ca="1">IFERROR(__xludf.DUMMYFUNCTION("GOOGLETRANSLATE(A9509 , ""tr"" , ""en"")"),"@drfahrettinkoca can I say something without asking you sir? Attachment attachment.")</f>
        <v>@drfahrettinkoca can I say something without asking you sir? Attachment attachment.</v>
      </c>
    </row>
    <row r="12711" spans="1:5" ht="15" customHeight="1" x14ac:dyDescent="0.2">
      <c r="A12711" s="1" t="s">
        <v>25095</v>
      </c>
      <c r="B12711" s="1">
        <v>0</v>
      </c>
      <c r="C12711" s="3">
        <v>44533.706192129626</v>
      </c>
      <c r="D12711" s="1" t="s">
        <v>25096</v>
      </c>
      <c r="E12711" s="1" t="str">
        <f ca="1">IFERROR(__xludf.DUMMYFUNCTION("GOOGLETRANSLATE(A9510 , ""tr"" , ""en"")"),"@drfahrettinka as in the past this tiwitte is mutated for several days https://t.co/ajwv34xkzn")</f>
        <v>@drfahrettinka as in the past this tiwitte is mutated for several days https://t.co/ajwv34xkzn</v>
      </c>
    </row>
    <row r="12712" spans="1:5" ht="15" customHeight="1" x14ac:dyDescent="0.2">
      <c r="A12712" s="1" t="s">
        <v>25097</v>
      </c>
      <c r="B12712" s="1">
        <v>2</v>
      </c>
      <c r="C12712" s="3">
        <v>44533.706053240741</v>
      </c>
      <c r="D12712" s="1" t="s">
        <v>25098</v>
      </c>
      <c r="E12712" s="1" t="str">
        <f ca="1">IFERROR(__xludf.DUMMYFUNCTION("GOOGLETRANSLATE(A9511 , ""tr"" , ""en"")"),"@drfahrettinkoca cancer we have variant if it is what happens what happens #fo")</f>
        <v>@drfahrettinkoca cancer we have variant if it is what happens what happens #fo</v>
      </c>
    </row>
    <row r="12713" spans="1:5" ht="15" customHeight="1" x14ac:dyDescent="0.2">
      <c r="A12713" s="1" t="s">
        <v>25099</v>
      </c>
      <c r="B12713" s="1">
        <v>0</v>
      </c>
      <c r="C12713" s="3">
        <v>44533.70579861111</v>
      </c>
      <c r="D12713" s="1" t="s">
        <v>25100</v>
      </c>
      <c r="E12713" s="1" t="str">
        <f ca="1">IFERROR(__xludf.DUMMYFUNCTION("GOOGLETRANSLATE(A9512 , ""tr"" , ""en"")"),"@drfahrettinkoca I will start in Covitate, in your map, think of this nation's side of this nation, make teasing with our mind ... https://t.co/px2xwgt0yx")</f>
        <v>@drfahrettinkoca I will start in Covitate, in your map, think of this nation's side of this nation, make teasing with our mind ... https://t.co/px2xwgt0yx</v>
      </c>
    </row>
    <row r="12714" spans="1:5" ht="15" customHeight="1" x14ac:dyDescent="0.2">
      <c r="A12714" s="1" t="s">
        <v>25101</v>
      </c>
      <c r="B12714" s="1">
        <v>0</v>
      </c>
      <c r="C12714" s="3">
        <v>44533.705671296295</v>
      </c>
      <c r="D12714" s="1" t="s">
        <v>25102</v>
      </c>
      <c r="E12714" s="1" t="str">
        <f ca="1">IFERROR(__xludf.DUMMYFUNCTION("GOOGLETRANSLATE(A9513 , ""tr"" , ""en"")"),"@drfahrettinkoca Ministry of Omicron Vaccines come first. In the case of work we get comfortable")</f>
        <v>@drfahrettinkoca Ministry of Omicron Vaccines come first. In the case of work we get comfortable</v>
      </c>
    </row>
    <row r="12715" spans="1:5" ht="15" customHeight="1" x14ac:dyDescent="0.2">
      <c r="A12715" s="1" t="s">
        <v>25103</v>
      </c>
      <c r="B12715" s="1">
        <v>0</v>
      </c>
      <c r="C12715" s="3">
        <v>44533.70553240741</v>
      </c>
      <c r="D12715" s="1" t="s">
        <v>25104</v>
      </c>
      <c r="E12715" s="1" t="str">
        <f ca="1">IFERROR(__xludf.DUMMYFUNCTION("GOOGLETRANSLATE(A9514 , ""tr"" , ""en"")"),"@drfahrettinkoca https://t.co/oixq4uprut https://t.co/sr0kgheeooj https://t.co/d9x3a5maym https://t.co/41aj1ybb7q... https://t.co/rdsaufpgqb")</f>
        <v>@drfahrettinkoca https://t.co/oixq4uprut https://t.co/sr0kgheeooj https://t.co/d9x3a5maym https://t.co/41aj1ybb7q... https://t.co/rdsaufpgqb</v>
      </c>
    </row>
    <row r="12716" spans="1:5" ht="15" customHeight="1" x14ac:dyDescent="0.2">
      <c r="A12716" s="1" t="s">
        <v>25105</v>
      </c>
      <c r="B12716" s="1">
        <v>1</v>
      </c>
      <c r="C12716" s="3">
        <v>44533.705416666664</v>
      </c>
      <c r="D12716" s="1" t="s">
        <v>25106</v>
      </c>
      <c r="E12716" s="1" t="str">
        <f ca="1">IFERROR(__xludf.DUMMYFUNCTION("GOOGLETRANSLATE(A9515 , ""tr"" , ""en"")"),"@drfahrettinkoca Did you just have the Omicron virus in the last week? Clinical studies start and know that ... https://t.co/szcsvc6k47")</f>
        <v>@drfahrettinkoca Did you just have the Omicron virus in the last week? Clinical studies start and know that ... https://t.co/szcsvc6k47</v>
      </c>
    </row>
    <row r="12717" spans="1:5" ht="15" customHeight="1" x14ac:dyDescent="0.2">
      <c r="A12717" s="1" t="s">
        <v>25107</v>
      </c>
      <c r="B12717" s="1">
        <v>0</v>
      </c>
      <c r="C12717" s="3">
        <v>44533.705393518518</v>
      </c>
      <c r="D12717" s="1" t="s">
        <v>25108</v>
      </c>
      <c r="E12717" s="1" t="str">
        <f ca="1">IFERROR(__xludf.DUMMYFUNCTION("GOOGLETRANSLATE(A9516 , ""tr"" , ""en"")"),"@drfahrettinkoca https://t.co/oixq4uprut https://t.co/sr0kgheeooj https://t.co/d9x3a5maym https://t.co/41aj1ybb7q... https://t.co/aczqpsca7w")</f>
        <v>@drfahrettinkoca https://t.co/oixq4uprut https://t.co/sr0kgheeooj https://t.co/d9x3a5maym https://t.co/41aj1ybb7q... https://t.co/aczqpsca7w</v>
      </c>
    </row>
    <row r="12718" spans="1:5" ht="15" customHeight="1" x14ac:dyDescent="0.2">
      <c r="A12718" s="1" t="s">
        <v>25109</v>
      </c>
      <c r="B12718" s="1">
        <v>2</v>
      </c>
      <c r="C12718" s="3">
        <v>44533.705335648148</v>
      </c>
      <c r="D12718" s="1" t="s">
        <v>25110</v>
      </c>
      <c r="E12718" s="1" t="str">
        <f ca="1">IFERROR(__xludf.DUMMYFUNCTION("GOOGLETRANSLATE(A9517 , ""tr"" , ""en"")"),"@drfahrettinkoca 3.dosis for 6 months is not expected to be expected to everyone you should be able to open everyone")</f>
        <v>@drfahrettinkoca 3.dosis for 6 months is not expected to be expected to everyone you should be able to open everyone</v>
      </c>
    </row>
    <row r="12719" spans="1:5" ht="15" customHeight="1" x14ac:dyDescent="0.2">
      <c r="A12719" s="1" t="s">
        <v>25111</v>
      </c>
      <c r="B12719" s="1">
        <v>0</v>
      </c>
      <c r="C12719" s="3">
        <v>44533.70516203704</v>
      </c>
      <c r="D12719" s="1" t="s">
        <v>25112</v>
      </c>
      <c r="E12719" s="1" t="str">
        <f ca="1">IFERROR(__xludf.DUMMYFUNCTION("GOOGLETRANSLATE(A9518 , ""tr"" , ""en"")"),"@drfahrettinka https://t.co/oixq4uprut https://t.co/sr0kgheeooj https://t.co/d9x3a5maym https://t.co/41aj1ybb7q... https://t.co/pbbms2cuup")</f>
        <v>@drfahrettinka https://t.co/oixq4uprut https://t.co/sr0kgheeooj https://t.co/d9x3a5maym https://t.co/41aj1ybb7q... https://t.co/pbbms2cuup</v>
      </c>
    </row>
    <row r="12720" spans="1:5" ht="15" customHeight="1" x14ac:dyDescent="0.2">
      <c r="A12720" s="1" t="s">
        <v>25113</v>
      </c>
      <c r="B12720" s="1">
        <v>7</v>
      </c>
      <c r="C12720" s="3">
        <v>44533.704988425925</v>
      </c>
      <c r="D12720" s="1" t="s">
        <v>25114</v>
      </c>
      <c r="E12720" s="1" t="str">
        <f ca="1">IFERROR(__xludf.DUMMYFUNCTION("GOOGLETRANSLATE(A9519 , ""tr"" , ""en"")"),"@drfahrettinkoca What did you honor what did you say? https://t.co/wyfxfmw8nd")</f>
        <v>@drfahrettinkoca What did you honor what did you say? https://t.co/wyfxfmw8nd</v>
      </c>
    </row>
    <row r="12721" spans="1:5" ht="15" customHeight="1" x14ac:dyDescent="0.2">
      <c r="A12721" s="1" t="s">
        <v>25115</v>
      </c>
      <c r="B12721" s="1">
        <v>1</v>
      </c>
      <c r="C12721" s="3">
        <v>44533.704965277779</v>
      </c>
      <c r="D12721" s="1" t="s">
        <v>25116</v>
      </c>
      <c r="E12721" s="1" t="str">
        <f ca="1">IFERROR(__xludf.DUMMYFUNCTION("GOOGLETRANSLATE(A9520 , ""tr"" , ""en"")"),"@drfahrettinkoca I wanted to know that your promises were very much from the Omicron Than Omicron. @ drfahrettinkoca ... https://t.co/rwmegnqotr")</f>
        <v>@drfahrettinkoca I wanted to know that your promises were very much from the Omicron Than Omicron. @ drfahrettinkoca ... https://t.co/rwmegnqotr</v>
      </c>
    </row>
    <row r="12722" spans="1:5" ht="15" customHeight="1" x14ac:dyDescent="0.2">
      <c r="A12722" s="1" t="s">
        <v>25117</v>
      </c>
      <c r="B12722" s="1">
        <v>0</v>
      </c>
      <c r="C12722" s="3">
        <v>44533.704965277779</v>
      </c>
      <c r="D12722" s="1" t="s">
        <v>25118</v>
      </c>
      <c r="E12722" s="1" t="str">
        <f ca="1">IFERROR(__xludf.DUMMYFUNCTION("GOOGLETRANSLATE(A9521 , ""tr"" , ""en"")"),"@drfahrettinka https://t.co/sr0kgheeooj https://t.co/d9x3a5maym https://t.co/41aj1ybb7q https://t.co/w7rz1fvılk... https://t.co/xviihvqzyw")</f>
        <v>@drfahrettinka https://t.co/sr0kgheeooj https://t.co/d9x3a5maym https://t.co/41aj1ybb7q https://t.co/w7rz1fvılk... https://t.co/xviihvqzyw</v>
      </c>
    </row>
    <row r="12723" spans="1:5" ht="15" customHeight="1" x14ac:dyDescent="0.2">
      <c r="A12723" s="1" t="s">
        <v>25119</v>
      </c>
      <c r="B12723" s="1">
        <v>32</v>
      </c>
      <c r="C12723" s="3">
        <v>44533.704398148147</v>
      </c>
      <c r="D12723" s="1" t="s">
        <v>25120</v>
      </c>
      <c r="E12723" s="1" t="str">
        <f ca="1">IFERROR(__xludf.DUMMYFUNCTION("GOOGLETRANSLATE(A9522 , ""tr"" , ""en"")"),"@drfahrettinkoca Covid's always don't get enough of enough sick?")</f>
        <v>@drfahrettinkoca Covid's always don't get enough of enough sick?</v>
      </c>
    </row>
    <row r="12724" spans="1:5" ht="15" customHeight="1" x14ac:dyDescent="0.2">
      <c r="A12724" s="1" t="s">
        <v>25121</v>
      </c>
      <c r="B12724" s="1">
        <v>0</v>
      </c>
      <c r="C12724" s="3">
        <v>44533.70416666667</v>
      </c>
      <c r="D12724" s="1" t="s">
        <v>25122</v>
      </c>
      <c r="E12724" s="1" t="str">
        <f ca="1">IFERROR(__xludf.DUMMYFUNCTION("GOOGLETRANSLATE(A9523 , ""tr"" , ""en"")"),"@drfahrettinkoca lie nnnnnnnn")</f>
        <v>@drfahrettinkoca lie nnnnnnnn</v>
      </c>
    </row>
    <row r="12725" spans="1:5" ht="15" customHeight="1" x14ac:dyDescent="0.2">
      <c r="A12725" s="1" t="s">
        <v>25123</v>
      </c>
      <c r="B12725" s="1">
        <v>0</v>
      </c>
      <c r="C12725" s="3">
        <v>44533.703981481478</v>
      </c>
      <c r="D12725" s="1" t="s">
        <v>25124</v>
      </c>
      <c r="E12725" s="1" t="str">
        <f ca="1">IFERROR(__xludf.DUMMYFUNCTION("GOOGLETRANSLATE(A9524 , ""tr"" , ""en"")"),"@drfahrettinka you are doing your best to don't like your Human's profession.")</f>
        <v>@drfahrettinka you are doing your best to don't like your Human's profession.</v>
      </c>
    </row>
    <row r="12726" spans="1:5" ht="15" customHeight="1" x14ac:dyDescent="0.2">
      <c r="A12726" s="1" t="s">
        <v>25125</v>
      </c>
      <c r="B12726" s="1">
        <v>0</v>
      </c>
      <c r="C12726" s="3">
        <v>44533.703449074077</v>
      </c>
      <c r="D12726" s="1" t="s">
        <v>25126</v>
      </c>
      <c r="E12726" s="1" t="str">
        <f ca="1">IFERROR(__xludf.DUMMYFUNCTION("GOOGLETRANSLATE(A9525 , ""tr"" , ""en"")"),"@drfahrettinkoca other ministers do not promise without promise Mr.")</f>
        <v>@drfahrettinkoca other ministers do not promise without promise Mr.</v>
      </c>
    </row>
    <row r="12727" spans="1:5" ht="15" customHeight="1" x14ac:dyDescent="0.2">
      <c r="A12727" s="1" t="s">
        <v>25127</v>
      </c>
      <c r="B12727" s="1">
        <v>0</v>
      </c>
      <c r="C12727" s="3">
        <v>44536.919861111113</v>
      </c>
      <c r="D12727" s="1" t="s">
        <v>25128</v>
      </c>
      <c r="E12727" s="1" t="str">
        <f ca="1">IFERROR(__xludf.DUMMYFUNCTION("GOOGLETRANSLATE(A9526 , ""tr"" , ""en"")"),"@drfahrettinkoca Allah SWT Taught Muslims About Pakistan, But They Didn't Understand; Not Even the Pakistanis. Muha ... https://t.co/jexxryyf34")</f>
        <v>@drfahrettinkoca Allah SWT Taught Muslims About Pakistan, But They Didn't Understand; Not Even the Pakistanis. Muha ... https://t.co/jexxryyf34</v>
      </c>
    </row>
    <row r="12728" spans="1:5" ht="15" customHeight="1" x14ac:dyDescent="0.2">
      <c r="A12728" s="1" t="s">
        <v>25129</v>
      </c>
      <c r="B12728" s="1">
        <v>0</v>
      </c>
      <c r="C12728" s="3">
        <v>44536.739537037036</v>
      </c>
      <c r="D12728" s="1" t="s">
        <v>25130</v>
      </c>
      <c r="E12728" s="1" t="str">
        <f ca="1">IFERROR(__xludf.DUMMYFUNCTION("GOOGLETRANSLATE(A9527 , ""tr"" , ""en"")"),"@drfahrettinkoca lifes the wax of the liar to the yall ... https://t.co/1wf79x7trx")</f>
        <v>@drfahrettinkoca lifes the wax of the liar to the yall ... https://t.co/1wf79x7trx</v>
      </c>
    </row>
    <row r="12729" spans="1:5" ht="15" customHeight="1" x14ac:dyDescent="0.2">
      <c r="A12729" s="1" t="s">
        <v>25131</v>
      </c>
      <c r="B12729" s="1">
        <v>0</v>
      </c>
      <c r="C12729" s="3">
        <v>44535.836087962962</v>
      </c>
      <c r="D12729" s="1" t="s">
        <v>25132</v>
      </c>
      <c r="E12729" s="1" t="str">
        <f ca="1">IFERROR(__xludf.DUMMYFUNCTION("GOOGLETRANSLATE(A9528 , ""tr"" , ""en"")"),"@drfahrettinkoca why do you throw off this so much tweet.")</f>
        <v>@drfahrettinkoca why do you throw off this so much tweet.</v>
      </c>
    </row>
    <row r="12730" spans="1:5" ht="15" customHeight="1" x14ac:dyDescent="0.2">
      <c r="A12730" s="1" t="s">
        <v>25133</v>
      </c>
      <c r="B12730" s="1">
        <v>1</v>
      </c>
      <c r="C12730" s="3">
        <v>44533.966828703706</v>
      </c>
      <c r="D12730" s="1" t="s">
        <v>25134</v>
      </c>
      <c r="E12730" s="1" t="str">
        <f ca="1">IFERROR(__xludf.DUMMYFUNCTION("GOOGLETRANSLATE(A9529 , ""tr"" , ""en"")"),"@drfahrettinkoca folks are unable to schedule months to be normal examination treatment. Appointment in dental hospitals ... HTTPS://T.CO/5QMMBUYI8B")</f>
        <v>@drfahrettinkoca folks are unable to schedule months to be normal examination treatment. Appointment in dental hospitals ... HTTPS://T.CO/5QMMBUYI8B</v>
      </c>
    </row>
    <row r="12731" spans="1:5" ht="15" customHeight="1" x14ac:dyDescent="0.2">
      <c r="A12731" s="1" t="s">
        <v>25135</v>
      </c>
      <c r="B12731" s="1">
        <v>0</v>
      </c>
      <c r="C12731" s="3">
        <v>44533.942025462966</v>
      </c>
      <c r="D12731" s="1" t="s">
        <v>25136</v>
      </c>
      <c r="E12731" s="1" t="str">
        <f ca="1">IFERROR(__xludf.DUMMYFUNCTION("GOOGLETRANSLATE(A9530 , ""tr"" , ""en"")"),"@drfahrettinkoca SN Minister! You, you call the Hani; would I do Mr. CB, I'm unauthorized from you, I'm!? Eee, ... https://t.co/us6paanhho")</f>
        <v>@drfahrettinkoca SN Minister! You, you call the Hani; would I do Mr. CB, I'm unauthorized from you, I'm!? Eee, ... https://t.co/us6paanhho</v>
      </c>
    </row>
    <row r="12732" spans="1:5" ht="15" customHeight="1" x14ac:dyDescent="0.2">
      <c r="A12732" s="1" t="s">
        <v>25137</v>
      </c>
      <c r="B12732" s="1">
        <v>2</v>
      </c>
      <c r="C12732" s="3">
        <v>44533.92260416667</v>
      </c>
      <c r="D12732" s="1" t="s">
        <v>25138</v>
      </c>
      <c r="E12732" s="1" t="str">
        <f ca="1">IFERROR(__xludf.DUMMYFUNCTION("GOOGLETRANSLATE(A9531 , ""tr"" , ""en"")"),"@drfahrettinkoca We want online education Don't jeopardize our even economy is now enough")</f>
        <v>@drfahrettinkoca We want online education Don't jeopardize our even economy is now enough</v>
      </c>
    </row>
    <row r="12733" spans="1:5" ht="15" customHeight="1" x14ac:dyDescent="0.2">
      <c r="A12733" s="1" t="s">
        <v>25139</v>
      </c>
      <c r="B12733" s="1">
        <v>0</v>
      </c>
      <c r="C12733" s="3">
        <v>44533.911979166667</v>
      </c>
      <c r="D12733" s="1" t="s">
        <v>25140</v>
      </c>
      <c r="E12733" s="1" t="str">
        <f ca="1">IFERROR(__xludf.DUMMYFUNCTION("GOOGLETRANSLATE(A9532 , ""tr"" , ""en"")"),"@drfahrettinkoca It is all I have to say so much that I'm so full of our job with our business threatened ... https://t.co/upfnhysshf")</f>
        <v>@drfahrettinkoca It is all I have to say so much that I'm so full of our job with our business threatened ... https://t.co/upfnhysshf</v>
      </c>
    </row>
    <row r="12734" spans="1:5" ht="15" customHeight="1" x14ac:dyDescent="0.2">
      <c r="A12734" s="1" t="s">
        <v>25141</v>
      </c>
      <c r="B12734" s="1">
        <v>0</v>
      </c>
      <c r="C12734" s="3">
        <v>44533.909317129626</v>
      </c>
      <c r="D12734" s="1" t="s">
        <v>25142</v>
      </c>
      <c r="E12734" s="1" t="str">
        <f ca="1">IFERROR(__xludf.DUMMYFUNCTION("GOOGLETRANSLATE(A9533 , ""tr"" , ""en"")"),"@drfahrettinkoca This PCR will not get up over the bedduals as long as it doesn't get up. Mi NO MIGHT Mi Mi Mi Mercy Y ... HTTPS://T.CO/WTG8UIRHXH")</f>
        <v>@drfahrettinkoca This PCR will not get up over the bedduals as long as it doesn't get up. Mi NO MIGHT Mi Mi Mi Mercy Y ... HTTPS://T.CO/WTG8UIRHXH</v>
      </c>
    </row>
    <row r="12735" spans="1:5" ht="15" customHeight="1" x14ac:dyDescent="0.2">
      <c r="A12735" s="1" t="s">
        <v>25143</v>
      </c>
      <c r="B12735" s="1">
        <v>0</v>
      </c>
      <c r="C12735" s="3">
        <v>44533.908877314818</v>
      </c>
      <c r="D12735" s="1" t="s">
        <v>25144</v>
      </c>
      <c r="E12735" s="1" t="str">
        <f ca="1">IFERROR(__xludf.DUMMYFUNCTION("GOOGLETRANSLATE(A9534 , ""tr"" , ""en"")"),"@drfahrettinka we were having happy mesut until you get in our lives.")</f>
        <v>@drfahrettinka we were having happy mesut until you get in our lives.</v>
      </c>
    </row>
    <row r="12736" spans="1:5" ht="15" customHeight="1" x14ac:dyDescent="0.2">
      <c r="A12736" s="1" t="s">
        <v>25145</v>
      </c>
      <c r="B12736" s="1">
        <v>0</v>
      </c>
      <c r="C12736" s="3">
        <v>44533.908043981479</v>
      </c>
      <c r="D12736" s="1" t="s">
        <v>25146</v>
      </c>
      <c r="E12736" s="1" t="str">
        <f ca="1">IFERROR(__xludf.DUMMYFUNCTION("GOOGLETRANSLATE(A9535 , ""tr"" , ""en"")"),"@drfahrettinkoca media also with @rterdogan reis Aha to the dialogue you are in the dialogue to explode Reis Now if I said D ... D ... HTTPS://T.CO/59TZIiuhlq")</f>
        <v>@drfahrettinkoca media also with @rterdogan reis Aha to the dialogue you are in the dialogue to explode Reis Now if I said D ... D ... HTTPS://T.CO/59TZIiuhlq</v>
      </c>
    </row>
    <row r="12737" spans="1:5" ht="15" customHeight="1" x14ac:dyDescent="0.2">
      <c r="A12737" s="1" t="s">
        <v>25147</v>
      </c>
      <c r="B12737" s="1">
        <v>0</v>
      </c>
      <c r="C12737" s="3">
        <v>44533.906458333331</v>
      </c>
      <c r="D12737" s="1" t="s">
        <v>25148</v>
      </c>
      <c r="E12737" s="1" t="str">
        <f ca="1">IFERROR(__xludf.DUMMYFUNCTION("GOOGLETRANSLATE(A9536 , ""tr"" , ""en"")"),"@drfahrettinkoca praudes more liquid.")</f>
        <v>@drfahrettinkoca praudes more liquid.</v>
      </c>
    </row>
    <row r="12738" spans="1:5" ht="15" customHeight="1" x14ac:dyDescent="0.2">
      <c r="A12738" s="1" t="s">
        <v>25149</v>
      </c>
      <c r="B12738" s="1">
        <v>0</v>
      </c>
      <c r="C12738" s="3">
        <v>44533.904560185183</v>
      </c>
      <c r="D12738" s="1" t="s">
        <v>25150</v>
      </c>
      <c r="E12738" s="1" t="str">
        <f ca="1">IFERROR(__xludf.DUMMYFUNCTION("GOOGLETRANSLATE(A9537 , ""tr"" , ""en"")"),"@drfahrettinkoca We will not fit your Chinese fascism square-coded lifestyle Allah CC is not to bow to the pharaohs that have created free.")</f>
        <v>@drfahrettinkoca We will not fit your Chinese fascism square-coded lifestyle Allah CC is not to bow to the pharaohs that have created free.</v>
      </c>
    </row>
    <row r="12739" spans="1:5" ht="15" customHeight="1" x14ac:dyDescent="0.2">
      <c r="A12739" s="1" t="s">
        <v>25151</v>
      </c>
      <c r="B12739" s="1">
        <v>0</v>
      </c>
      <c r="C12739" s="3">
        <v>44533.894062500003</v>
      </c>
      <c r="D12739" s="1" t="s">
        <v>25152</v>
      </c>
      <c r="E12739" s="1" t="str">
        <f ca="1">IFERROR(__xludf.DUMMYFUNCTION("GOOGLETRANSLATE(A9538 , ""tr"" , ""en"")"),"@drfahrettinkoca DSO Müğur Şahin Are you fake your diplomacy? Yahu Are you sure you are a doctor? https://t.co/jf8vh6ujt8")</f>
        <v>@drfahrettinkoca DSO Müğur Şahin Are you fake your diplomacy? Yahu Are you sure you are a doctor? https://t.co/jf8vh6ujt8</v>
      </c>
    </row>
    <row r="12740" spans="1:5" ht="15" customHeight="1" x14ac:dyDescent="0.2">
      <c r="A12740" s="1" t="s">
        <v>25153</v>
      </c>
      <c r="B12740" s="1">
        <v>1</v>
      </c>
      <c r="C12740" s="3">
        <v>44533.881863425922</v>
      </c>
      <c r="D12740" s="1" t="s">
        <v>25154</v>
      </c>
      <c r="E12740" s="1" t="str">
        <f ca="1">IFERROR(__xludf.DUMMYFUNCTION("GOOGLETRANSLATE(A9539 , ""tr"" , ""en"")"),"@drfahrettinkoca coincidence has made a stack of US Greece and Northern Syria. And followed by pandemia, the vaccine is ... https://t.co/zbektajsyn")</f>
        <v>@drfahrettinkoca coincidence has made a stack of US Greece and Northern Syria. And followed by pandemia, the vaccine is ... https://t.co/zbektajsyn</v>
      </c>
    </row>
    <row r="12741" spans="1:5" ht="15" customHeight="1" x14ac:dyDescent="0.2">
      <c r="A12741" s="1" t="s">
        <v>25155</v>
      </c>
      <c r="B12741" s="1">
        <v>0</v>
      </c>
      <c r="C12741" s="3">
        <v>44533.878819444442</v>
      </c>
      <c r="D12741" s="1" t="s">
        <v>25156</v>
      </c>
      <c r="E12741" s="1" t="str">
        <f ca="1">IFERROR(__xludf.DUMMYFUNCTION("GOOGLETRANSLATE(A9540 , ""tr"" , ""en"")"),"@drfahrettinkoca is the document that our teacher publishes. Here you can get this report from this patient https://t.co/uwhyukgixn")</f>
        <v>@drfahrettinkoca is the document that our teacher publishes. Here you can get this report from this patient https://t.co/uwhyukgixn</v>
      </c>
    </row>
    <row r="12742" spans="1:5" ht="15" customHeight="1" x14ac:dyDescent="0.2">
      <c r="A12742" s="1" t="s">
        <v>25157</v>
      </c>
      <c r="B12742" s="1">
        <v>0</v>
      </c>
      <c r="C12742" s="3">
        <v>44533.877939814818</v>
      </c>
      <c r="D12742" s="1" t="s">
        <v>25158</v>
      </c>
      <c r="E12742" s="1" t="str">
        <f ca="1">IFERROR(__xludf.DUMMYFUNCTION("GOOGLETRANSLATE(A9541 , ""tr"" , ""en"")"),"@drfahrettinkoca is another person who is in vaccinated and from a different situation per person. Their addresses are on. Search https://t.co/otcqrqzkh7")</f>
        <v>@drfahrettinkoca is another person who is in vaccinated and from a different situation per person. Their addresses are on. Search https://t.co/otcqrqzkh7</v>
      </c>
    </row>
    <row r="12743" spans="1:5" ht="15" customHeight="1" x14ac:dyDescent="0.2">
      <c r="A12743" s="1" t="s">
        <v>25159</v>
      </c>
      <c r="B12743" s="1">
        <v>0</v>
      </c>
      <c r="C12743" s="3">
        <v>44533.876608796294</v>
      </c>
      <c r="D12743" s="1" t="s">
        <v>25160</v>
      </c>
      <c r="E12743" s="1" t="str">
        <f ca="1">IFERROR(__xludf.DUMMYFUNCTION("GOOGLETRANSLATE(A9542 , ""tr"" , ""en"")"),"@drfahrettinkoca Here is the state to this guy reaches the state. Hope our prosecutors assess this notice. https://t.co/mlit6oIzh5")</f>
        <v>@drfahrettinkoca Here is the state to this guy reaches the state. Hope our prosecutors assess this notice. https://t.co/mlit6oIzh5</v>
      </c>
    </row>
    <row r="12744" spans="1:5" ht="15" customHeight="1" x14ac:dyDescent="0.2">
      <c r="A12744" s="1" t="s">
        <v>25161</v>
      </c>
      <c r="B12744" s="1">
        <v>0</v>
      </c>
      <c r="C12744" s="3">
        <v>44533.874293981484</v>
      </c>
      <c r="D12744" s="1" t="s">
        <v>25162</v>
      </c>
      <c r="E12744" s="1" t="str">
        <f ca="1">IFERROR(__xludf.DUMMYFUNCTION("GOOGLETRANSLATE(A9543 , ""tr"" , ""en"")"),"@drfahrettinka https://t.co/o7r0ra9kob")</f>
        <v>@drfahrettinka https://t.co/o7r0ra9kob</v>
      </c>
    </row>
    <row r="12745" spans="1:5" ht="15" customHeight="1" x14ac:dyDescent="0.2">
      <c r="A12745" s="1" t="s">
        <v>25163</v>
      </c>
      <c r="B12745" s="1">
        <v>0</v>
      </c>
      <c r="C12745" s="3">
        <v>44533.873715277776</v>
      </c>
      <c r="D12745" s="1" t="s">
        <v>25164</v>
      </c>
      <c r="E12745" s="1" t="str">
        <f ca="1">IFERROR(__xludf.DUMMYFUNCTION("GOOGLETRANSLATE(A9544 , ""tr"" , ""en"")"),"@drfahrettinkoca Do you ever read the following reviews? Do you think this nation is a fool? Overlooking Varank's ""Native A $ I ... https://t.co/znuphnhd5g")</f>
        <v>@drfahrettinkoca Do you ever read the following reviews? Do you think this nation is a fool? Overlooking Varank's "Native A $ I ... https://t.co/znuphnhd5g</v>
      </c>
    </row>
    <row r="12746" spans="1:5" ht="15" customHeight="1" x14ac:dyDescent="0.2">
      <c r="A12746" s="1" t="s">
        <v>25165</v>
      </c>
      <c r="B12746" s="1">
        <v>1</v>
      </c>
      <c r="C12746" s="3">
        <v>44533.860358796293</v>
      </c>
      <c r="D12746" s="1" t="s">
        <v>25166</v>
      </c>
      <c r="E12746" s="1" t="str">
        <f ca="1">IFERROR(__xludf.DUMMYFUNCTION("GOOGLETRANSLATE(A9545 , ""tr"" , ""en"")"),"@drfahrettinkoca Continue daily lies,")</f>
        <v>@drfahrettinkoca Continue daily lies,</v>
      </c>
    </row>
    <row r="12747" spans="1:5" ht="15" customHeight="1" x14ac:dyDescent="0.2">
      <c r="A12747" s="1" t="s">
        <v>25167</v>
      </c>
      <c r="B12747" s="1">
        <v>0</v>
      </c>
      <c r="C12747" s="3">
        <v>44533.848877314813</v>
      </c>
      <c r="D12747" s="1" t="s">
        <v>25168</v>
      </c>
      <c r="E12747" s="1" t="str">
        <f ca="1">IFERROR(__xludf.DUMMYFUNCTION("GOOGLETRANSLATE(A9546 , ""tr"" , ""en"")"),"@drfahrettinka producer firm can't nap the influences of the vaccine on human even, however you defend this vaccine water ... HTTPS://T.CO/ZXIBBSDOVD")</f>
        <v>@drfahrettinka producer firm can't nap the influences of the vaccine on human even, however you defend this vaccine water ... HTTPS://T.CO/ZXIBBSDOVD</v>
      </c>
    </row>
    <row r="12748" spans="1:5" ht="15" customHeight="1" x14ac:dyDescent="0.2">
      <c r="A12748" s="1" t="s">
        <v>25169</v>
      </c>
      <c r="B12748" s="1">
        <v>0</v>
      </c>
      <c r="C12748" s="3">
        <v>44533.762812499997</v>
      </c>
      <c r="D12748" s="1" t="s">
        <v>25170</v>
      </c>
      <c r="E12748" s="1" t="str">
        <f ca="1">IFERROR(__xludf.DUMMYFUNCTION("GOOGLETRANSLATE(A9547 , ""tr"" , ""en"")"),"@drfahrettinkoca @rterdogan @fahrettinaltun Mr. President Övedi; Test Mask HEPP Code Restricting Vaccine Imposing ... https://t.co/ejfbvpt2qs")</f>
        <v>@drfahrettinkoca @rterdogan @fahrettinaltun Mr. President Övedi; Test Mask HEPP Code Restricting Vaccine Imposing ... https://t.co/ejfbvpt2qs</v>
      </c>
    </row>
    <row r="12749" spans="1:5" ht="15" customHeight="1" x14ac:dyDescent="0.2">
      <c r="A12749" s="1" t="s">
        <v>25171</v>
      </c>
      <c r="B12749" s="1">
        <v>1</v>
      </c>
      <c r="C12749" s="3">
        <v>44533.754571759258</v>
      </c>
      <c r="D12749" s="1" t="s">
        <v>25172</v>
      </c>
      <c r="E12749" s="1" t="str">
        <f ca="1">IFERROR(__xludf.DUMMYFUNCTION("GOOGLETRANSLATE(A9548 , ""tr"" , ""en"")"),"@drfahrettinka is well in good grafts also inferior, are heavy sick and dying. Yesterday 1 dose were vaccines. Now i ... https://t.co/vwxtl5xtkb")</f>
        <v>@drfahrettinka is well in good grafts also inferior, are heavy sick and dying. Yesterday 1 dose were vaccines. Now i ... https://t.co/vwxtl5xtkb</v>
      </c>
    </row>
    <row r="12750" spans="1:5" ht="15" customHeight="1" x14ac:dyDescent="0.2">
      <c r="A12750" s="1" t="s">
        <v>25173</v>
      </c>
      <c r="B12750" s="1">
        <v>0</v>
      </c>
      <c r="C12750" s="3">
        <v>44533.73878472222</v>
      </c>
      <c r="D12750" s="1" t="s">
        <v>25174</v>
      </c>
      <c r="E12750" s="1" t="str">
        <f ca="1">IFERROR(__xludf.DUMMYFUNCTION("GOOGLETRANSLATE(A9549 , ""tr"" , ""en"")"),"@drfahrettinkoca Thousands of people you killed.")</f>
        <v>@drfahrettinkoca Thousands of people you killed.</v>
      </c>
    </row>
    <row r="12751" spans="1:5" ht="15" customHeight="1" x14ac:dyDescent="0.2">
      <c r="A12751" s="1" t="s">
        <v>25175</v>
      </c>
      <c r="B12751" s="1">
        <v>0</v>
      </c>
      <c r="C12751" s="3">
        <v>44533.737025462964</v>
      </c>
      <c r="D12751" s="1" t="s">
        <v>25176</v>
      </c>
      <c r="E12751" s="1" t="str">
        <f ca="1">IFERROR(__xludf.DUMMYFUNCTION("GOOGLETRANSLATE(A9550 , ""tr"" , ""en"")"),"@drfahrettinkoca has walked on foot from the hospital funeral went out of my father and the only responsible for this is you and your sync ... https://t.co/lvdmtbdjrp")</f>
        <v>@drfahrettinkoca has walked on foot from the hospital funeral went out of my father and the only responsible for this is you and your sync ... https://t.co/lvdmtbdjrp</v>
      </c>
    </row>
    <row r="12752" spans="1:5" ht="15" customHeight="1" x14ac:dyDescent="0.2">
      <c r="A12752" s="1" t="s">
        <v>25177</v>
      </c>
      <c r="B12752" s="1">
        <v>0</v>
      </c>
      <c r="C12752" s="3">
        <v>44533.727152777778</v>
      </c>
      <c r="D12752" s="1" t="s">
        <v>25178</v>
      </c>
      <c r="E12752" s="1" t="str">
        <f ca="1">IFERROR(__xludf.DUMMYFUNCTION("GOOGLETRANSLATE(A9551 , ""tr"" , ""en"")"),"@drfahrettinkoca Mr. Minister Measures Partially flexible has been completely flexible in the vaccine but no optional mask ... https://t.co/z6yo0oEyce")</f>
        <v>@drfahrettinkoca Mr. Minister Measures Partially flexible has been completely flexible in the vaccine but no optional mask ... https://t.co/z6yo0oEyce</v>
      </c>
    </row>
    <row r="12753" spans="1:5" ht="15" customHeight="1" x14ac:dyDescent="0.2">
      <c r="A12753" s="1" t="s">
        <v>25179</v>
      </c>
      <c r="B12753" s="1">
        <v>0</v>
      </c>
      <c r="C12753" s="3">
        <v>44533.717615740738</v>
      </c>
      <c r="D12753" s="1" t="s">
        <v>25180</v>
      </c>
      <c r="E12753" s="1" t="str">
        <f ca="1">IFERROR(__xludf.DUMMYFUNCTION("GOOGLETRANSLATE(A9552 , ""tr"" , ""en"")"),"@drfahrettinkoca What vaccine has it been found? There is no vaccination of undolidated virus. Why are you fooling people?")</f>
        <v>@drfahrettinkoca What vaccine has it been found? There is no vaccination of undolidated virus. Why are you fooling people?</v>
      </c>
    </row>
    <row r="12754" spans="1:5" ht="15" customHeight="1" x14ac:dyDescent="0.2">
      <c r="A12754" s="1" t="s">
        <v>25181</v>
      </c>
      <c r="B12754" s="1">
        <v>0</v>
      </c>
      <c r="C12754" s="3">
        <v>44533.717418981483</v>
      </c>
      <c r="D12754" s="1" t="s">
        <v>25182</v>
      </c>
      <c r="E12754" s="1" t="str">
        <f ca="1">IFERROR(__xludf.DUMMYFUNCTION("GOOGLETRANSLATE(A9553 , ""tr"" , ""en"")"),"@drfahrettinka you will never forget you this folks.")</f>
        <v>@drfahrettinka you will never forget you this folks.</v>
      </c>
    </row>
    <row r="12755" spans="1:5" ht="15" customHeight="1" x14ac:dyDescent="0.2">
      <c r="A12755" s="1" t="s">
        <v>25183</v>
      </c>
      <c r="B12755" s="1">
        <v>0</v>
      </c>
      <c r="C12755" s="3">
        <v>44533.716377314813</v>
      </c>
      <c r="D12755" s="1" t="s">
        <v>25184</v>
      </c>
      <c r="E12755" s="1" t="str">
        <f ca="1">IFERROR(__xludf.DUMMYFUNCTION("GOOGLETRANSLATE(A9554 , ""tr"" , ""en"")"),"@drfahrettinkoca then bring distance education")</f>
        <v>@drfahrettinkoca then bring distance education</v>
      </c>
    </row>
    <row r="12756" spans="1:5" ht="15" customHeight="1" x14ac:dyDescent="0.2">
      <c r="A12756" s="1" t="s">
        <v>25185</v>
      </c>
      <c r="B12756" s="1">
        <v>0</v>
      </c>
      <c r="C12756" s="3">
        <v>44533.715717592589</v>
      </c>
      <c r="D12756" s="1" t="s">
        <v>25186</v>
      </c>
      <c r="E12756" s="1" t="str">
        <f ca="1">IFERROR(__xludf.DUMMYFUNCTION("GOOGLETRANSLATE(A9555 , ""tr"" , ""en"")"),"@drfahrettinkoca Uğur Sahin and your wife careful not maskless distance free is not a $ heat. https://t.co/tffqbq1oao")</f>
        <v>@drfahrettinkoca Uğur Sahin and your wife careful not maskless distance free is not a $ heat. https://t.co/tffqbq1oao</v>
      </c>
    </row>
    <row r="12757" spans="1:5" ht="15" customHeight="1" x14ac:dyDescent="0.2">
      <c r="A12757" s="1" t="s">
        <v>25187</v>
      </c>
      <c r="B12757" s="1">
        <v>0</v>
      </c>
      <c r="C12757" s="3">
        <v>44533.713888888888</v>
      </c>
      <c r="D12757" s="1" t="s">
        <v>25188</v>
      </c>
      <c r="E12757" s="1" t="str">
        <f ca="1">IFERROR(__xludf.DUMMYFUNCTION("GOOGLETRANSLATE(A9556 , ""tr"" , ""en"")"),"@drfahrettinkoca If there was a real ""vaccine"" in the middle, the importance could be given but the manufacturer in the middle has anyone ... https://t.co/dhnr8gjnql")</f>
        <v>@drfahrettinkoca If there was a real "vaccine" in the middle, the importance could be given but the manufacturer in the middle has anyone ... https://t.co/dhnr8gjnql</v>
      </c>
    </row>
    <row r="12758" spans="1:5" ht="15" customHeight="1" x14ac:dyDescent="0.2">
      <c r="A12758" s="1" t="s">
        <v>25189</v>
      </c>
      <c r="B12758" s="1">
        <v>0</v>
      </c>
      <c r="C12758" s="3">
        <v>44533.707604166666</v>
      </c>
      <c r="D12758" s="1" t="s">
        <v>25190</v>
      </c>
      <c r="E12758" s="1" t="str">
        <f ca="1">IFERROR(__xludf.DUMMYFUNCTION("GOOGLETRANSLATE(A9557 , ""tr"" , ""en"")"),"@drfahrettinkoca This country learned how to bathe hands in 2021. because soap virus ... https://t.co/wzkftv4ywu")</f>
        <v>@drfahrettinkoca This country learned how to bathe hands in 2021. because soap virus ... https://t.co/wzkftv4ywu</v>
      </c>
    </row>
    <row r="12759" spans="1:5" ht="15" customHeight="1" x14ac:dyDescent="0.2">
      <c r="A12759" s="1" t="s">
        <v>25191</v>
      </c>
      <c r="B12759" s="1">
        <v>0</v>
      </c>
      <c r="C12759" s="3">
        <v>44532.976238425923</v>
      </c>
      <c r="D12759" s="1" t="s">
        <v>25192</v>
      </c>
      <c r="E12759" s="1" t="str">
        <f ca="1">IFERROR(__xludf.DUMMYFUNCTION("GOOGLETRANSLATE(A9558 , ""tr"" , ""en"")"),"@drfahrettinkoca is not something other than the corono you made up a new method and management of management.")</f>
        <v>@drfahrettinkoca is not something other than the corono you made up a new method and management of management.</v>
      </c>
    </row>
    <row r="12760" spans="1:5" ht="15" customHeight="1" x14ac:dyDescent="0.2">
      <c r="A12760" s="1" t="s">
        <v>24608</v>
      </c>
      <c r="B12760" s="1">
        <v>0</v>
      </c>
      <c r="C12760" s="3">
        <v>44532.970972222225</v>
      </c>
      <c r="D12760" s="1" t="s">
        <v>25193</v>
      </c>
      <c r="E12760" s="1" t="str">
        <f ca="1">IFERROR(__xludf.DUMMYFUNCTION("GOOGLETRANSLATE(A9559 , ""tr"" , ""en"")"),"@drfahrettinkoca reputations come to online training")</f>
        <v>@drfahrettinkoca reputations come to online training</v>
      </c>
    </row>
    <row r="12761" spans="1:5" ht="15" customHeight="1" x14ac:dyDescent="0.2">
      <c r="A12761" s="1" t="s">
        <v>25194</v>
      </c>
      <c r="B12761" s="1">
        <v>0</v>
      </c>
      <c r="C12761" s="3">
        <v>44532.969618055555</v>
      </c>
      <c r="D12761" s="1" t="s">
        <v>25195</v>
      </c>
      <c r="E12761" s="1" t="str">
        <f ca="1">IFERROR(__xludf.DUMMYFUNCTION("GOOGLETRANSLATE(A9560 , ""tr"" , ""en"")"),"@drfahrettinkoca Universities You Come Online Training Online")</f>
        <v>@drfahrettinkoca Universities You Come Online Training Online</v>
      </c>
    </row>
    <row r="12762" spans="1:5" ht="15" customHeight="1" x14ac:dyDescent="0.2">
      <c r="A12762" s="1" t="s">
        <v>25196</v>
      </c>
      <c r="B12762" s="1">
        <v>4</v>
      </c>
      <c r="C12762" s="3">
        <v>44532.969189814816</v>
      </c>
      <c r="D12762" s="1" t="s">
        <v>25197</v>
      </c>
      <c r="E12762" s="1" t="str">
        <f ca="1">IFERROR(__xludf.DUMMYFUNCTION("GOOGLETRANSLATE(A9561 , ""tr"" , ""en"")"),"@drfahrettinkoca Ministry If you believe in this table, we believe in this table, as per year, the case in the world and ... https://t.co/vvwhjyuaev")</f>
        <v>@drfahrettinkoca Ministry If you believe in this table, we believe in this table, as per year, the case in the world and ... https://t.co/vvwhjyuaev</v>
      </c>
    </row>
    <row r="12763" spans="1:5" ht="15" customHeight="1" x14ac:dyDescent="0.2">
      <c r="A12763" s="1" t="s">
        <v>25198</v>
      </c>
      <c r="B12763" s="1">
        <v>0</v>
      </c>
      <c r="C12763" s="3">
        <v>44532.96634259259</v>
      </c>
      <c r="D12763" s="1" t="s">
        <v>25199</v>
      </c>
      <c r="E12763" s="1" t="str">
        <f ca="1">IFERROR(__xludf.DUMMYFUNCTION("GOOGLETRANSLATE(A9562 , ""tr"" , ""en"")"),"@drfahrettinkoca Weekend I entered the AÖF exam and I came my bag on the exam at the exam place my mother came next to me v ... https://t.co/5cdednvx6l")</f>
        <v>@drfahrettinkoca Weekend I entered the AÖF exam and I came my bag on the exam at the exam place my mother came next to me v ... https://t.co/5cdednvx6l</v>
      </c>
    </row>
    <row r="12764" spans="1:5" ht="15" customHeight="1" x14ac:dyDescent="0.2">
      <c r="A12764" s="1" t="s">
        <v>25200</v>
      </c>
      <c r="B12764" s="1">
        <v>8</v>
      </c>
      <c r="C12764" s="3">
        <v>44532.966180555559</v>
      </c>
      <c r="D12764" s="1" t="s">
        <v>25201</v>
      </c>
      <c r="E12764" s="1" t="str">
        <f ca="1">IFERROR(__xludf.DUMMYFUNCTION("GOOGLETRANSLATE(A9563 , ""tr"" , ""en"")"),"@drfahrettinkoca you owe me the phone outside my youth. They worn out with us in this process")</f>
        <v>@drfahrettinkoca you owe me the phone outside my youth. They worn out with us in this process</v>
      </c>
    </row>
    <row r="12765" spans="1:5" ht="15" customHeight="1" x14ac:dyDescent="0.2">
      <c r="A12765" s="1" t="s">
        <v>25202</v>
      </c>
      <c r="B12765" s="1">
        <v>0</v>
      </c>
      <c r="C12765" s="3">
        <v>44532.964375000003</v>
      </c>
      <c r="D12765" s="1" t="s">
        <v>25203</v>
      </c>
      <c r="E12765" s="1" t="str">
        <f ca="1">IFERROR(__xludf.DUMMYFUNCTION("GOOGLETRANSLATE(A9564 , ""tr"" , ""en"")"),"@drfahrettinka friend Everything we have to stand in 7/24 crowded environments as if normal. But at the Year ... https://t.co/wkbawqosn3")</f>
        <v>@drfahrettinka friend Everything we have to stand in 7/24 crowded environments as if normal. But at the Year ... https://t.co/wkbawqosn3</v>
      </c>
    </row>
    <row r="12766" spans="1:5" ht="15" customHeight="1" x14ac:dyDescent="0.2">
      <c r="A12766" s="1" t="s">
        <v>25204</v>
      </c>
      <c r="B12766" s="1">
        <v>197</v>
      </c>
      <c r="C12766" s="3">
        <v>44532.961261574077</v>
      </c>
      <c r="D12766" s="1" t="s">
        <v>25205</v>
      </c>
      <c r="E12766" s="1" t="str">
        <f ca="1">IFERROR(__xludf.DUMMYFUNCTION("GOOGLETRANSLATE(A9565 , ""tr"" , ""en"")"),"@drfahrettinkoca is now too late Mr. Minister! Each day you don't even apply this ritual to be in a non-vaccination. HTTPS://T.CO/10OE6VZXOI")</f>
        <v>@drfahrettinkoca is now too late Mr. Minister! Each day you don't even apply this ritual to be in a non-vaccination. HTTPS://T.CO/10OE6VZXOI</v>
      </c>
    </row>
    <row r="12767" spans="1:5" ht="15" customHeight="1" x14ac:dyDescent="0.2">
      <c r="A12767" s="1" t="s">
        <v>25206</v>
      </c>
      <c r="B12767" s="1">
        <v>0</v>
      </c>
      <c r="C12767" s="3">
        <v>44532.957013888888</v>
      </c>
      <c r="D12767" s="1" t="s">
        <v>25207</v>
      </c>
      <c r="E12767" s="1" t="str">
        <f ca="1">IFERROR(__xludf.DUMMYFUNCTION("GOOGLETRANSLATE(A9566 , ""tr"" , ""en"")"),"@drfahrettinkoca Sells those from his job because of his work, trades, garibos and all painful folk in Https://t.co/cqbrjtdcsv")</f>
        <v>@drfahrettinkoca Sells those from his job because of his work, trades, garibos and all painful folk in Https://t.co/cqbrjtdcsv</v>
      </c>
    </row>
    <row r="12768" spans="1:5" ht="15" customHeight="1" x14ac:dyDescent="0.2">
      <c r="A12768" s="1" t="s">
        <v>25208</v>
      </c>
      <c r="B12768" s="1">
        <v>0</v>
      </c>
      <c r="C12768" s="3">
        <v>44532.954918981479</v>
      </c>
      <c r="D12768" s="1" t="s">
        <v>25209</v>
      </c>
      <c r="E12768" s="1" t="str">
        <f ca="1">IFERROR(__xludf.DUMMYFUNCTION("GOOGLETRANSLATE(A9567 , ""tr"" , ""en"")"),"@drfahrettinkoca has an increase in foreign exchange rate only in the hometown other epidemic only imagination.")</f>
        <v>@drfahrettinkoca has an increase in foreign exchange rate only in the hometown other epidemic only imagination.</v>
      </c>
    </row>
    <row r="12769" spans="1:5" ht="15" customHeight="1" x14ac:dyDescent="0.2">
      <c r="A12769" s="1" t="s">
        <v>25210</v>
      </c>
      <c r="B12769" s="1">
        <v>0</v>
      </c>
      <c r="C12769" s="3">
        <v>44532.954456018517</v>
      </c>
      <c r="D12769" s="1" t="s">
        <v>25211</v>
      </c>
      <c r="E12769" s="1" t="str">
        <f ca="1">IFERROR(__xludf.DUMMYFUNCTION("GOOGLETRANSLATE(A9568 , ""tr"" , ""en"")"),"@drfahrettinkoca Did you make this explanation allowed by taking off? The first case is output all the healthcare newspaper televis ... https://t.co/ykig8ymgg8")</f>
        <v>@drfahrettinkoca Did you make this explanation allowed by taking off? The first case is output all the healthcare newspaper televis ... https://t.co/ykig8ymgg8</v>
      </c>
    </row>
    <row r="12770" spans="1:5" ht="15" customHeight="1" x14ac:dyDescent="0.2">
      <c r="A12770" s="1" t="s">
        <v>25212</v>
      </c>
      <c r="B12770" s="1">
        <v>1</v>
      </c>
      <c r="C12770" s="3">
        <v>44532.950578703705</v>
      </c>
      <c r="D12770" s="1" t="s">
        <v>25213</v>
      </c>
      <c r="E12770" s="1" t="str">
        <f ca="1">IFERROR(__xludf.DUMMYFUNCTION("GOOGLETRANSLATE(A9569 , ""tr"" , ""en"")"),"@drfahrettinkoca this is doing seven lealms (!) Okuttun is a very beneficial (!) is a son of a son (!)")</f>
        <v>@drfahrettinkoca this is doing seven lealms (!) Okuttun is a very beneficial (!) is a son of a son (!)</v>
      </c>
    </row>
    <row r="12771" spans="1:5" ht="15" customHeight="1" x14ac:dyDescent="0.2">
      <c r="A12771" s="1" t="s">
        <v>25214</v>
      </c>
      <c r="B12771" s="1">
        <v>2</v>
      </c>
      <c r="C12771" s="3">
        <v>44532.948692129627</v>
      </c>
      <c r="D12771" s="1" t="s">
        <v>25215</v>
      </c>
      <c r="E12771" s="1" t="str">
        <f ca="1">IFERROR(__xludf.DUMMYFUNCTION("GOOGLETRANSLATE(A9570 , ""tr"" , ""en"")"),"@drfahrettinka yoo we are still the same we didn't change our nothing. If she wants up to 2030 never d ... https://t.co/6zg3v3kf6q")</f>
        <v>@drfahrettinka yoo we are still the same we didn't change our nothing. If she wants up to 2030 never d ... https://t.co/6zg3v3kf6q</v>
      </c>
    </row>
    <row r="12772" spans="1:5" ht="15" customHeight="1" x14ac:dyDescent="0.2">
      <c r="A12772" s="1" t="s">
        <v>25216</v>
      </c>
      <c r="B12772" s="1">
        <v>0</v>
      </c>
      <c r="C12772" s="3">
        <v>44532.942465277774</v>
      </c>
      <c r="D12772" s="1" t="s">
        <v>25217</v>
      </c>
      <c r="E12772" s="1" t="str">
        <f ca="1">IFERROR(__xludf.DUMMYFUNCTION("GOOGLETRANSLATE(A9571 , ""tr"" , ""en"")"),"@drfahrettinkoca Mr. Minister I am not a 15-day appointment for an eye from Silivri State Hospital Very Beauty ... https://t.co/fvv1hwofkm")</f>
        <v>@drfahrettinkoca Mr. Minister I am not a 15-day appointment for an eye from Silivri State Hospital Very Beauty ... https://t.co/fvv1hwofkm</v>
      </c>
    </row>
    <row r="12773" spans="1:5" ht="15" customHeight="1" x14ac:dyDescent="0.2">
      <c r="A12773" s="1" t="s">
        <v>25218</v>
      </c>
      <c r="B12773" s="1">
        <v>0</v>
      </c>
      <c r="C12773" s="3">
        <v>44532.940289351849</v>
      </c>
      <c r="D12773" s="1" t="s">
        <v>25219</v>
      </c>
      <c r="E12773" s="1" t="str">
        <f ca="1">IFERROR(__xludf.DUMMYFUNCTION("GOOGLETRANSLATE(A9572 , ""tr"" , ""en"")"),"@drfahrettinka Mr. Minister I would like to make an appointment for an eye examination from Sample Silivri State Hospital 15 ... https://t.co/cvwvgtn2uw")</f>
        <v>@drfahrettinka Mr. Minister I would like to make an appointment for an eye examination from Sample Silivri State Hospital 15 ... https://t.co/cvwvgtn2uw</v>
      </c>
    </row>
    <row r="12774" spans="1:5" ht="15" customHeight="1" x14ac:dyDescent="0.2">
      <c r="A12774" s="1" t="s">
        <v>25220</v>
      </c>
      <c r="B12774" s="1">
        <v>0</v>
      </c>
      <c r="C12774" s="3">
        <v>44532.937789351854</v>
      </c>
      <c r="D12774" s="1" t="s">
        <v>25221</v>
      </c>
      <c r="E12774" s="1" t="str">
        <f ca="1">IFERROR(__xludf.DUMMYFUNCTION("GOOGLETRANSLATE(A9573 , ""tr"" , ""en"")"),"@drfahrettinkoca salarünündür Aleykum Mr. The Minister Covid I still haven't reported today 5 pearl days were not reported ... https://t.co/2sjp2nam4r")</f>
        <v>@drfahrettinkoca salarünündür Aleykum Mr. The Minister Covid I still haven't reported today 5 pearl days were not reported ... https://t.co/2sjp2nam4r</v>
      </c>
    </row>
    <row r="12775" spans="1:5" ht="15" customHeight="1" x14ac:dyDescent="0.2">
      <c r="A12775" s="1" t="s">
        <v>25222</v>
      </c>
      <c r="B12775" s="1">
        <v>0</v>
      </c>
      <c r="C12775" s="3">
        <v>44532.936539351853</v>
      </c>
      <c r="D12775" s="1" t="s">
        <v>25223</v>
      </c>
      <c r="E12775" s="1" t="str">
        <f ca="1">IFERROR(__xludf.DUMMYFUNCTION("GOOGLETRANSLATE(A9574 , ""tr"" , ""en"")"),"@drfahrettinkoca heyyy Minister, the vaccine was attacked when the opposites were standing and attacked. I have changed my mind, oblige asthine ... https://t.co/4c1dvtehzr")</f>
        <v>@drfahrettinkoca heyyy Minister, the vaccine was attacked when the opposites were standing and attacked. I have changed my mind, oblige asthine ... https://t.co/4c1dvtehzr</v>
      </c>
    </row>
    <row r="12776" spans="1:5" ht="15" customHeight="1" x14ac:dyDescent="0.2">
      <c r="A12776" s="1" t="s">
        <v>25224</v>
      </c>
      <c r="B12776" s="1">
        <v>0</v>
      </c>
      <c r="C12776" s="3">
        <v>44532.935717592591</v>
      </c>
      <c r="D12776" s="1" t="s">
        <v>25225</v>
      </c>
      <c r="E12776" s="1" t="str">
        <f ca="1">IFERROR(__xludf.DUMMYFUNCTION("GOOGLETRANSLATE(A9575 , ""tr"" , ""en"")"),"@drfahrettinkoca was not eaten in your global system schizophrenic and slavery system in the bondage system and eating globs ... https://t.co/BVNFHC2EIU")</f>
        <v>@drfahrettinkoca was not eaten in your global system schizophrenic and slavery system in the bondage system and eating globs ... https://t.co/BVNFHC2EIU</v>
      </c>
    </row>
    <row r="12777" spans="1:5" ht="15" customHeight="1" x14ac:dyDescent="0.2">
      <c r="A12777" s="1" t="s">
        <v>25226</v>
      </c>
      <c r="B12777" s="1">
        <v>0</v>
      </c>
      <c r="C12777" s="3">
        <v>44532.934560185182</v>
      </c>
      <c r="D12777" s="1" t="s">
        <v>25227</v>
      </c>
      <c r="E12777" s="1" t="str">
        <f ca="1">IFERROR(__xludf.DUMMYFUNCTION("GOOGLETRANSLATE(A9576 , ""tr"" , ""en"")"),"@drfahrettinkoca yağ Mr. I'm asking you to be able to resign your pardon like Elvan Bey in Elvan Bey ... https://t.co/lphufcziss")</f>
        <v>@drfahrettinkoca yağ Mr. I'm asking you to be able to resign your pardon like Elvan Bey in Elvan Bey ... https://t.co/lphufcziss</v>
      </c>
    </row>
    <row r="12778" spans="1:5" ht="15" customHeight="1" x14ac:dyDescent="0.2">
      <c r="A12778" s="1" t="s">
        <v>25228</v>
      </c>
      <c r="B12778" s="1">
        <v>3</v>
      </c>
      <c r="C12778" s="3">
        <v>44532.921180555553</v>
      </c>
      <c r="D12778" s="1" t="s">
        <v>25229</v>
      </c>
      <c r="E12778" s="1" t="str">
        <f ca="1">IFERROR(__xludf.DUMMYFUNCTION("GOOGLETRANSLATE(A9577 , ""tr"" , ""en"")"),"@drfahrettinkoca Minister, you are writing them don't you read it? Look Something Nothing Now 3. Dose Vaccination ... https://t.co/ohkobqhcmp")</f>
        <v>@drfahrettinkoca Minister, you are writing them don't you read it? Look Something Nothing Now 3. Dose Vaccination ... https://t.co/ohkobqhcmp</v>
      </c>
    </row>
    <row r="12779" spans="1:5" ht="15" customHeight="1" x14ac:dyDescent="0.2">
      <c r="A12779" s="1" t="s">
        <v>25230</v>
      </c>
      <c r="B12779" s="1">
        <v>0</v>
      </c>
      <c r="C12779" s="3">
        <v>44532.921053240738</v>
      </c>
      <c r="D12779" s="1" t="s">
        <v>25231</v>
      </c>
      <c r="E12779" s="1" t="str">
        <f ca="1">IFERROR(__xludf.DUMMYFUNCTION("GOOGLETRANSLATE(A9578 , ""tr"" , ""en"")"),"@drfahrettinkoca explanations make a lot of attention while making a lot of attention. SN. Https://t.co/5pl7tr6k4q due to president explanations")</f>
        <v>@drfahrettinkoca explanations make a lot of attention while making a lot of attention. SN. Https://t.co/5pl7tr6k4q due to president explanations</v>
      </c>
    </row>
    <row r="12780" spans="1:5" ht="15" customHeight="1" x14ac:dyDescent="0.2">
      <c r="A12780" s="1" t="s">
        <v>25232</v>
      </c>
      <c r="B12780" s="1">
        <v>0</v>
      </c>
      <c r="C12780" s="3">
        <v>44532.918692129628</v>
      </c>
      <c r="D12780" s="1" t="s">
        <v>25233</v>
      </c>
      <c r="E12780" s="1" t="str">
        <f ca="1">IFERROR(__xludf.DUMMYFUNCTION("GOOGLETRANSLATE(A9579 , ""tr"" , ""en"")"),"@drfahrettinkoca #smayamutlusonolsun people are a hope days are days to come to the news to come to the news is locked up to me ... https://t.co/l0bhzykmuw")</f>
        <v>@drfahrettinkoca #smayamutlusonolsun people are a hope days are days to come to the news to come to the news is locked up to me ... https://t.co/l0bhzykmuw</v>
      </c>
    </row>
    <row r="12781" spans="1:5" ht="15" customHeight="1" x14ac:dyDescent="0.2">
      <c r="A12781" s="1" t="s">
        <v>25234</v>
      </c>
      <c r="B12781" s="1">
        <v>0</v>
      </c>
      <c r="C12781" s="3">
        <v>44532.918564814812</v>
      </c>
      <c r="D12781" s="1" t="s">
        <v>25235</v>
      </c>
      <c r="E12781" s="1" t="str">
        <f ca="1">IFERROR(__xludf.DUMMYFUNCTION("GOOGLETRANSLATE(A9580 , ""tr"" , ""en"")"),"@drfahrettinkoca @saglikbakanligi Diaminopyridine Why can't I get our medicine myasty patients daily needs ... https://t.co/nnlw9jfvun")</f>
        <v>@drfahrettinkoca @saglikbakanligi Diaminopyridine Why can't I get our medicine myasty patients daily needs ... https://t.co/nnlw9jfvun</v>
      </c>
    </row>
    <row r="12782" spans="1:5" ht="15" customHeight="1" x14ac:dyDescent="0.2">
      <c r="A12782" s="1" t="s">
        <v>25236</v>
      </c>
      <c r="B12782" s="1">
        <v>2</v>
      </c>
      <c r="C12782" s="3">
        <v>44532.917187500003</v>
      </c>
      <c r="D12782" s="1" t="s">
        <v>25237</v>
      </c>
      <c r="E12782" s="1" t="str">
        <f ca="1">IFERROR(__xludf.DUMMYFUNCTION("GOOGLETRANSLATE(A9581 , ""tr"" , ""en"")"),"@drfahrettinkoca Germany has found the vaccination after 10 hours No forbidden the prohibition for the prohibition Currently in Kelin medicine though s ... https://t.co/fcrf2xfqfu")</f>
        <v>@drfahrettinkoca Germany has found the vaccination after 10 hours No forbidden the prohibition for the prohibition Currently in Kelin medicine though s ... https://t.co/fcrf2xfqfu</v>
      </c>
    </row>
    <row r="12783" spans="1:5" ht="15" customHeight="1" x14ac:dyDescent="0.2">
      <c r="A12783" s="1" t="s">
        <v>25238</v>
      </c>
      <c r="B12783" s="1">
        <v>0</v>
      </c>
      <c r="C12783" s="3">
        <v>44532.91547453704</v>
      </c>
      <c r="D12783" s="1" t="s">
        <v>25239</v>
      </c>
      <c r="E12783" s="1" t="str">
        <f ca="1">IFERROR(__xludf.DUMMYFUNCTION("GOOGLETRANSLATE(A9582 , ""tr"" , ""en"")"),"@drfahrettinkoca Allah damn you ... I'm aware of you without permission from you ... The king's tuning you .... in the morning ... https://t.co/hkzspokkav")</f>
        <v>@drfahrettinkoca Allah damn you ... I'm aware of you without permission from you ... The king's tuning you .... in the morning ... https://t.co/hkzspokkav</v>
      </c>
    </row>
    <row r="12784" spans="1:5" ht="15" customHeight="1" x14ac:dyDescent="0.2">
      <c r="A12784" s="1" t="s">
        <v>25240</v>
      </c>
      <c r="B12784" s="1">
        <v>0</v>
      </c>
      <c r="C12784" s="3">
        <v>44532.908865740741</v>
      </c>
      <c r="D12784" s="1" t="s">
        <v>25241</v>
      </c>
      <c r="E12784" s="1" t="str">
        <f ca="1">IFERROR(__xludf.DUMMYFUNCTION("GOOGLETRANSLATE(A9583 , ""tr"" , ""en"")"),"@drfahrettinkoca Why don't this in all Turkish news? Bangladesh reported the death of zero Covid in the last 24 hours. Of the population ... https://t.co/zmmv8txtl5")</f>
        <v>@drfahrettinkoca Why don't this in all Turkish news? Bangladesh reported the death of zero Covid in the last 24 hours. Of the population ... https://t.co/zmmv8txtl5</v>
      </c>
    </row>
    <row r="12785" spans="1:5" ht="15" customHeight="1" x14ac:dyDescent="0.2">
      <c r="A12785" s="1" t="s">
        <v>25242</v>
      </c>
      <c r="B12785" s="1">
        <v>0</v>
      </c>
      <c r="C12785" s="3">
        <v>44532.905798611115</v>
      </c>
      <c r="D12785" s="1" t="s">
        <v>25243</v>
      </c>
      <c r="E12785" s="1" t="str">
        <f ca="1">IFERROR(__xludf.DUMMYFUNCTION("GOOGLETRANSLATE(A9584 , ""tr"" , ""en"")"),"@drfahrettinkoca 3. I say the dose now I say if you're hungry. Release the vaccine, I want my 3rd vaccination.")</f>
        <v>@drfahrettinkoca 3. I say the dose now I say if you're hungry. Release the vaccine, I want my 3rd vaccination.</v>
      </c>
    </row>
    <row r="12786" spans="1:5" ht="15" customHeight="1" x14ac:dyDescent="0.2">
      <c r="A12786" s="1" t="s">
        <v>25244</v>
      </c>
      <c r="B12786" s="1">
        <v>0</v>
      </c>
      <c r="C12786" s="3">
        <v>44532.902708333335</v>
      </c>
      <c r="D12786" s="1" t="s">
        <v>25245</v>
      </c>
      <c r="E12786" s="1" t="str">
        <f ca="1">IFERROR(__xludf.DUMMYFUNCTION("GOOGLETRANSLATE(A9585 , ""tr"" , ""en"")"),"@drfahrettinkoca rebeled death means asi bondage and slaveship.")</f>
        <v>@drfahrettinkoca rebeled death means asi bondage and slaveship.</v>
      </c>
    </row>
    <row r="12787" spans="1:5" ht="15" customHeight="1" x14ac:dyDescent="0.2">
      <c r="A12787" s="1" t="s">
        <v>25246</v>
      </c>
      <c r="B12787" s="1">
        <v>0</v>
      </c>
      <c r="C12787" s="3">
        <v>44532.901863425926</v>
      </c>
      <c r="D12787" s="1" t="s">
        <v>25247</v>
      </c>
      <c r="E12787" s="1" t="str">
        <f ca="1">IFERROR(__xludf.DUMMYFUNCTION("GOOGLETRANSLATE(A9586 , ""tr"" , ""en"")"),"@drfahrettinka https://t.co/vgpbmjyeck")</f>
        <v>@drfahrettinka https://t.co/vgpbmjyeck</v>
      </c>
    </row>
    <row r="12788" spans="1:5" ht="15" customHeight="1" x14ac:dyDescent="0.2">
      <c r="A12788" s="1" t="s">
        <v>25248</v>
      </c>
      <c r="B12788" s="1">
        <v>0</v>
      </c>
      <c r="C12788" s="3">
        <v>44532.900625000002</v>
      </c>
      <c r="D12788" s="1" t="s">
        <v>25249</v>
      </c>
      <c r="E12788" s="1" t="str">
        <f ca="1">IFERROR(__xludf.DUMMYFUNCTION("GOOGLETRANSLATE(A9587 , ""tr"" , ""en"")"),"@drfahrettinka https://t.co/kdqs0luv9u")</f>
        <v>@drfahrettinka https://t.co/kdqs0luv9u</v>
      </c>
    </row>
    <row r="12789" spans="1:5" ht="15" customHeight="1" x14ac:dyDescent="0.2">
      <c r="A12789" s="1" t="s">
        <v>25250</v>
      </c>
      <c r="B12789" s="1">
        <v>2</v>
      </c>
      <c r="C12789" s="3">
        <v>44532.900509259256</v>
      </c>
      <c r="D12789" s="1" t="s">
        <v>25251</v>
      </c>
      <c r="E12789" s="1" t="str">
        <f ca="1">IFERROR(__xludf.DUMMYFUNCTION("GOOGLETRANSLATE(A9588 , ""tr"" , ""en"")"),"@drfahrettinkoca epidemic managed to change life yes but you are still caused by the basis of your ministry ... https://t.co/jeeu2zuqtd")</f>
        <v>@drfahrettinkoca epidemic managed to change life yes but you are still caused by the basis of your ministry ... https://t.co/jeeu2zuqtd</v>
      </c>
    </row>
    <row r="12790" spans="1:5" ht="15" customHeight="1" x14ac:dyDescent="0.2">
      <c r="A12790" s="1" t="s">
        <v>25252</v>
      </c>
      <c r="B12790" s="1">
        <v>1</v>
      </c>
      <c r="C12790" s="3">
        <v>44532.898587962962</v>
      </c>
      <c r="D12790" s="1" t="s">
        <v>25253</v>
      </c>
      <c r="E12790" s="1" t="str">
        <f ca="1">IFERROR(__xludf.DUMMYFUNCTION("GOOGLETRANSLATE(A9589 , ""tr"" , ""en"")"),"@drfahrettinkoca Mr. Husband on the big-vaccine map of the Nurses We are applying nurses, but even in the healthcare category ... https://t.co/lldec8d8li")</f>
        <v>@drfahrettinkoca Mr. Husband on the big-vaccine map of the Nurses We are applying nurses, but even in the healthcare category ... https://t.co/lldec8d8li</v>
      </c>
    </row>
    <row r="12791" spans="1:5" ht="15" customHeight="1" x14ac:dyDescent="0.2">
      <c r="A12791" s="1" t="s">
        <v>25254</v>
      </c>
      <c r="B12791" s="1">
        <v>53</v>
      </c>
      <c r="C12791" s="3">
        <v>44532.896608796298</v>
      </c>
      <c r="D12791" s="1" t="s">
        <v>25255</v>
      </c>
      <c r="E12791" s="1" t="str">
        <f ca="1">IFERROR(__xludf.DUMMYFUNCTION("GOOGLETRANSLATE(A9590 , ""tr"" , ""en"")"),"@drfahrettinkoca until this time no illness has changed the life of anyone, even the patient who knows that it is cancerous ... https://t.co/tmavyrwjgb")</f>
        <v>@drfahrettinkoca until this time no illness has changed the life of anyone, even the patient who knows that it is cancerous ... https://t.co/tmavyrwjgb</v>
      </c>
    </row>
    <row r="12792" spans="1:5" ht="15" customHeight="1" x14ac:dyDescent="0.2">
      <c r="A12792" s="1" t="s">
        <v>25256</v>
      </c>
      <c r="B12792" s="1">
        <v>24</v>
      </c>
      <c r="C12792" s="3">
        <v>44532.895810185182</v>
      </c>
      <c r="D12792" s="1" t="s">
        <v>25257</v>
      </c>
      <c r="E12792" s="1" t="str">
        <f ca="1">IFERROR(__xludf.DUMMYFUNCTION("GOOGLETRANSLATE(A9591 , ""tr"" , ""en"")"),"@drfahrettinkoca how do you spoil the omicron variant while people are unable to ride out of plane? I mean vaccines carry viruses ... https://t.co/wed9zjdbsn")</f>
        <v>@drfahrettinkoca how do you spoil the omicron variant while people are unable to ride out of plane? I mean vaccines carry viruses ... https://t.co/wed9zjdbsn</v>
      </c>
    </row>
    <row r="12793" spans="1:5" ht="15" customHeight="1" x14ac:dyDescent="0.2">
      <c r="A12793" s="1" t="s">
        <v>25258</v>
      </c>
      <c r="B12793" s="1">
        <v>385</v>
      </c>
      <c r="C12793" s="3">
        <v>44532.895462962966</v>
      </c>
      <c r="D12793" s="1" t="s">
        <v>25259</v>
      </c>
      <c r="E12793" s="1" t="str">
        <f ca="1">IFERROR(__xludf.DUMMYFUNCTION("GOOGLETRANSLATE(A9592 , ""tr"" , ""en"")"),"@drfahrettinka grafts are the manidar to bring the prohibited forbidden while you are corona. Vaccination is no matter the result. Older ... https://t.co/oto28n5mxm")</f>
        <v>@drfahrettinka grafts are the manidar to bring the prohibited forbidden while you are corona. Vaccination is no matter the result. Older ... https://t.co/oto28n5mxm</v>
      </c>
    </row>
    <row r="12794" spans="1:5" ht="15" customHeight="1" x14ac:dyDescent="0.2">
      <c r="A12794" s="1" t="s">
        <v>25260</v>
      </c>
      <c r="B12794" s="1">
        <v>0</v>
      </c>
      <c r="C12794" s="3">
        <v>44532.895335648151</v>
      </c>
      <c r="D12794" s="1" t="s">
        <v>25261</v>
      </c>
      <c r="E12794" s="1" t="str">
        <f ca="1">IFERROR(__xludf.DUMMYFUNCTION("GOOGLETRANSLATE(A9593 , ""tr"" , ""en"")"),"@drfahrettinkoca Mr. OK what changed vaccine Death Violence Rape Zam Zam Zam Unhappiness Askari Fee LEAJLI ... https://t.co/V7MLA1LITJ")</f>
        <v>@drfahrettinkoca Mr. OK what changed vaccine Death Violence Rape Zam Zam Zam Unhappiness Askari Fee LEAJLI ... https://t.co/V7MLA1LITJ</v>
      </c>
    </row>
    <row r="12795" spans="1:5" ht="15" customHeight="1" x14ac:dyDescent="0.2">
      <c r="A12795" s="1" t="s">
        <v>25262</v>
      </c>
      <c r="B12795" s="1">
        <v>2</v>
      </c>
      <c r="C12795" s="3">
        <v>44532.893842592595</v>
      </c>
      <c r="D12795" s="1" t="s">
        <v>25263</v>
      </c>
      <c r="E12795" s="1" t="str">
        <f ca="1">IFERROR(__xludf.DUMMYFUNCTION("GOOGLETRANSLATE(A9594 , ""tr"" , ""en"")"),"@drfahrettinkoca students are educated in schools in the period of epidemics, this country's adoptions for homeland Ordudes ... https://t.co/vdr79hwert")</f>
        <v>@drfahrettinkoca students are educated in schools in the period of epidemics, this country's adoptions for homeland Ordudes ... https://t.co/vdr79hwert</v>
      </c>
    </row>
    <row r="12796" spans="1:5" ht="15" customHeight="1" x14ac:dyDescent="0.2">
      <c r="A12796" s="1" t="s">
        <v>25264</v>
      </c>
      <c r="B12796" s="1">
        <v>11</v>
      </c>
      <c r="C12796" s="3">
        <v>44532.893067129633</v>
      </c>
      <c r="D12796" s="1" t="s">
        <v>25265</v>
      </c>
      <c r="E12796" s="1" t="str">
        <f ca="1">IFERROR(__xludf.DUMMYFUNCTION("GOOGLETRANSLATE(A9595 , ""tr"" , ""en"")"),"@drfahrettinkoca @rterdogan President 4-C Fahrettin speaks a lot in the course. Give a stand-on penalty on one leg.")</f>
        <v>@drfahrettinkoca @rterdogan President 4-C Fahrettin speaks a lot in the course. Give a stand-on penalty on one leg.</v>
      </c>
    </row>
    <row r="12797" spans="1:5" ht="15" customHeight="1" x14ac:dyDescent="0.2">
      <c r="A12797" s="1" t="s">
        <v>25266</v>
      </c>
      <c r="B12797" s="1">
        <v>0</v>
      </c>
      <c r="C12797" s="3">
        <v>44532.892465277779</v>
      </c>
      <c r="D12797" s="1" t="s">
        <v>25267</v>
      </c>
      <c r="E12797" s="1" t="str">
        <f ca="1">IFERROR(__xludf.DUMMYFUNCTION("GOOGLETRANSLATE(A9596 , ""tr"" , ""en"")"),"@drfahrettinka would come in the vaccine at first school and we all have a vaccine to scrape our arm. No one would ask us what to our family. ... https://t.co/9qoqodxrla")</f>
        <v>@drfahrettinka would come in the vaccine at first school and we all have a vaccine to scrape our arm. No one would ask us what to our family. ... https://t.co/9qoqodxrla</v>
      </c>
    </row>
    <row r="12798" spans="1:5" ht="15" customHeight="1" x14ac:dyDescent="0.2">
      <c r="A12798" s="1" t="s">
        <v>25268</v>
      </c>
      <c r="B12798" s="1">
        <v>0</v>
      </c>
      <c r="C12798" s="3">
        <v>44532.891643518517</v>
      </c>
      <c r="D12798" s="1" t="s">
        <v>25269</v>
      </c>
      <c r="E12798" s="1" t="str">
        <f ca="1">IFERROR(__xludf.DUMMYFUNCTION("GOOGLETRANSLATE(A9597 , ""tr"" , ""en"")"),"@drfahrettinkoca Mr. Minister, I went to the Covid test to Beylikdüzü State Hospital on Sunday. But the occupational card ... https://t.co/exncnsgbbh")</f>
        <v>@drfahrettinkoca Mr. Minister, I went to the Covid test to Beylikdüzü State Hospital on Sunday. But the occupational card ... https://t.co/exncnsgbbh</v>
      </c>
    </row>
    <row r="12799" spans="1:5" ht="15" customHeight="1" x14ac:dyDescent="0.2">
      <c r="A12799" s="1" t="s">
        <v>25270</v>
      </c>
      <c r="B12799" s="1">
        <v>0</v>
      </c>
      <c r="C12799" s="3">
        <v>44532.890405092592</v>
      </c>
      <c r="D12799" s="1" t="s">
        <v>25271</v>
      </c>
      <c r="E12799" s="1" t="str">
        <f ca="1">IFERROR(__xludf.DUMMYFUNCTION("GOOGLETRANSLATE(A9598 , ""tr"" , ""en"")"),"@drfahrettinka has not been sick after the vaccination I guess I guess the vaccine has made her lots of immunity applause 👏")</f>
        <v>@drfahrettinka has not been sick after the vaccination I guess I guess the vaccine has made her lots of immunity applause 👏</v>
      </c>
    </row>
    <row r="12800" spans="1:5" ht="15" customHeight="1" x14ac:dyDescent="0.2">
      <c r="A12800" s="1" t="s">
        <v>25272</v>
      </c>
      <c r="B12800" s="1">
        <v>1</v>
      </c>
      <c r="C12800" s="3">
        <v>44532.889016203706</v>
      </c>
      <c r="D12800" s="1" t="s">
        <v>25273</v>
      </c>
      <c r="E12800" s="1" t="str">
        <f ca="1">IFERROR(__xludf.DUMMYFUNCTION("GOOGLETRANSLATE(A9599 , ""tr"" , ""en"")"),"@drfahrettinkoca have been fooled, have been deceived not deceived 'o")</f>
        <v>@drfahrettinkoca have been fooled, have been deceived not deceived 'o</v>
      </c>
    </row>
    <row r="12801" spans="1:5" ht="15" customHeight="1" x14ac:dyDescent="0.2">
      <c r="A12801" s="1" t="s">
        <v>25274</v>
      </c>
      <c r="B12801" s="1">
        <v>17</v>
      </c>
      <c r="C12801" s="3">
        <v>44532.886412037034</v>
      </c>
      <c r="D12801" s="1" t="s">
        <v>25275</v>
      </c>
      <c r="E12801" s="1" t="str">
        <f ca="1">IFERROR(__xludf.DUMMYFUNCTION("GOOGLETRANSLATE(A9600 , ""tr"" , ""en"")"),"@drfahrettinkoca 😁 https://t.co/u98GEFUI4P")</f>
        <v>@drfahrettinkoca 😁 https://t.co/u98GEFUI4P</v>
      </c>
    </row>
    <row r="12802" spans="1:5" ht="15" customHeight="1" x14ac:dyDescent="0.2">
      <c r="A12802" s="1" t="s">
        <v>25276</v>
      </c>
      <c r="B12802" s="1">
        <v>0</v>
      </c>
      <c r="C12802" s="3">
        <v>44532.885555555556</v>
      </c>
      <c r="D12802" s="1" t="s">
        <v>25277</v>
      </c>
      <c r="E12802" s="1" t="str">
        <f ca="1">IFERROR(__xludf.DUMMYFUNCTION("GOOGLETRANSLATE(A9601 , ""tr"" , ""en"")"),"@drfahrettinkoca What do you don't be ashamed to lie in the invertebrate person?")</f>
        <v>@drfahrettinkoca What do you don't be ashamed to lie in the invertebrate person?</v>
      </c>
    </row>
    <row r="12803" spans="1:5" ht="15" customHeight="1" x14ac:dyDescent="0.2">
      <c r="A12803" s="1" t="s">
        <v>25278</v>
      </c>
      <c r="B12803" s="1">
        <v>0</v>
      </c>
      <c r="C12803" s="3">
        <v>44532.885011574072</v>
      </c>
      <c r="D12803" s="1" t="s">
        <v>25279</v>
      </c>
      <c r="E12803" s="1" t="str">
        <f ca="1">IFERROR(__xludf.DUMMYFUNCTION("GOOGLETRANSLATE(A9602 , ""tr"" , ""en"")"),"@drfahrettinkoca @drfahrettinkoca #wealthy")</f>
        <v>@drfahrettinkoca @drfahrettinkoca #wealthy</v>
      </c>
    </row>
    <row r="12804" spans="1:5" ht="15" customHeight="1" x14ac:dyDescent="0.2">
      <c r="A12804" s="1" t="s">
        <v>25280</v>
      </c>
      <c r="B12804" s="1">
        <v>0</v>
      </c>
      <c r="C12804" s="3">
        <v>44532.884872685187</v>
      </c>
      <c r="D12804" s="1" t="s">
        <v>25281</v>
      </c>
      <c r="E12804" s="1" t="str">
        <f ca="1">IFERROR(__xludf.DUMMYFUNCTION("GOOGLETRANSLATE(A9603 , ""tr"" , ""en"")"),"@drfahrettinkoca allah get to settle up with you")</f>
        <v>@drfahrettinkoca allah get to settle up with you</v>
      </c>
    </row>
    <row r="12805" spans="1:5" ht="15" customHeight="1" x14ac:dyDescent="0.2">
      <c r="A12805" s="1" t="s">
        <v>25282</v>
      </c>
      <c r="B12805" s="1">
        <v>0</v>
      </c>
      <c r="C12805" s="3">
        <v>44532.88422453704</v>
      </c>
      <c r="D12805" s="1" t="s">
        <v>25283</v>
      </c>
      <c r="E12805" s="1" t="str">
        <f ca="1">IFERROR(__xludf.DUMMYFUNCTION("GOOGLETRANSLATE(A9604 , ""tr"" , ""en"")"),"@drfahrettinkoca tell the real cases the minister no one believes in this table")</f>
        <v>@drfahrettinkoca tell the real cases the minister no one believes in this table</v>
      </c>
    </row>
    <row r="12806" spans="1:5" ht="15" customHeight="1" x14ac:dyDescent="0.2">
      <c r="A12806" s="1" t="s">
        <v>25284</v>
      </c>
      <c r="B12806" s="1">
        <v>0</v>
      </c>
      <c r="C12806" s="3">
        <v>44532.884155092594</v>
      </c>
      <c r="D12806" s="1" t="s">
        <v>25285</v>
      </c>
      <c r="E12806" s="1" t="str">
        <f ca="1">IFERROR(__xludf.DUMMYFUNCTION("GOOGLETRANSLATE(A9605 , ""tr"" , ""en"")"),"@drfahrettinkoca epidemic has changed the life that everyone has come true")</f>
        <v>@drfahrettinkoca epidemic has changed the life that everyone has come true</v>
      </c>
    </row>
    <row r="12807" spans="1:5" ht="15" customHeight="1" x14ac:dyDescent="0.2">
      <c r="A12807" s="1" t="s">
        <v>25286</v>
      </c>
      <c r="B12807" s="1">
        <v>0</v>
      </c>
      <c r="C12807" s="3">
        <v>44532.883900462963</v>
      </c>
      <c r="D12807" s="1" t="s">
        <v>25287</v>
      </c>
      <c r="E12807" s="1" t="str">
        <f ca="1">IFERROR(__xludf.DUMMYFUNCTION("GOOGLETRANSLATE(A9606 , ""tr"" , ""en"")"),"@drfahrettinkoca Did you get permission to talk?")</f>
        <v>@drfahrettinkoca Did you get permission to talk?</v>
      </c>
    </row>
    <row r="12808" spans="1:5" ht="15" customHeight="1" x14ac:dyDescent="0.2">
      <c r="A12808" s="1" t="s">
        <v>25288</v>
      </c>
      <c r="B12808" s="1">
        <v>0</v>
      </c>
      <c r="C12808" s="3">
        <v>44532.882534722223</v>
      </c>
      <c r="D12808" s="1" t="s">
        <v>25289</v>
      </c>
      <c r="E12808" s="1" t="str">
        <f ca="1">IFERROR(__xludf.DUMMYFUNCTION("GOOGLETRANSLATE(A9607 , ""tr"" , ""en"")"),"@drfahrettinkoca # We are waiting for the annuity")</f>
        <v>@drfahrettinkoca # We are waiting for the annuity</v>
      </c>
    </row>
    <row r="12809" spans="1:5" ht="15" customHeight="1" x14ac:dyDescent="0.2">
      <c r="A12809" s="1" t="s">
        <v>25290</v>
      </c>
      <c r="B12809" s="1">
        <v>27</v>
      </c>
      <c r="C12809" s="3">
        <v>44532.882071759261</v>
      </c>
      <c r="D12809" s="1" t="s">
        <v>25291</v>
      </c>
      <c r="E12809" s="1" t="str">
        <f ca="1">IFERROR(__xludf.DUMMYFUNCTION("GOOGLETRANSLATE(A9608 , ""tr"" , ""en"")"),"@drfahrettinkoca I can't trust you I wonder why we didn't trust the new layout We said that the event is understood Bengi Bengi ... https://t.co/codun6gms8")</f>
        <v>@drfahrettinkoca I can't trust you I wonder why we didn't trust the new layout We said that the event is understood Bengi Bengi ... https://t.co/codun6gms8</v>
      </c>
    </row>
    <row r="12810" spans="1:5" ht="15" customHeight="1" x14ac:dyDescent="0.2">
      <c r="A12810" s="1" t="s">
        <v>25292</v>
      </c>
      <c r="B12810" s="1">
        <v>0</v>
      </c>
      <c r="C12810" s="3">
        <v>44532.882013888891</v>
      </c>
      <c r="D12810" s="1" t="s">
        <v>25293</v>
      </c>
      <c r="E12810" s="1" t="str">
        <f ca="1">IFERROR(__xludf.DUMMYFUNCTION("GOOGLETRANSLATE(A9609 , ""tr"" , ""en"")"),"@drfahrettinkoca is the blue that you share the blue vaccine success is the health mosia.")</f>
        <v>@drfahrettinkoca is the blue that you share the blue vaccine success is the health mosia.</v>
      </c>
    </row>
    <row r="12811" spans="1:5" ht="15" customHeight="1" x14ac:dyDescent="0.2">
      <c r="A12811" s="1" t="s">
        <v>25294</v>
      </c>
      <c r="B12811" s="1">
        <v>0</v>
      </c>
      <c r="C12811" s="3">
        <v>44532.879421296297</v>
      </c>
      <c r="D12811" s="1" t="s">
        <v>25295</v>
      </c>
      <c r="E12811" s="1" t="str">
        <f ca="1">IFERROR(__xludf.DUMMYFUNCTION("GOOGLETRANSLATE(A9610 , ""tr"" , ""en"")"),"@drfahrettinkoca without reviews. https://t.co/7qxl5uc2mq")</f>
        <v>@drfahrettinkoca without reviews. https://t.co/7qxl5uc2mq</v>
      </c>
    </row>
    <row r="12812" spans="1:5" ht="15" customHeight="1" x14ac:dyDescent="0.2">
      <c r="A12812" s="1" t="s">
        <v>25296</v>
      </c>
      <c r="B12812" s="1">
        <v>1</v>
      </c>
      <c r="C12812" s="3">
        <v>44532.877708333333</v>
      </c>
      <c r="D12812" s="1" t="s">
        <v>25297</v>
      </c>
      <c r="E12812" s="1" t="str">
        <f ca="1">IFERROR(__xludf.DUMMYFUNCTION("GOOGLETRANSLATE(A9611 , ""tr"" , ""en"")"),"@drfahrettinkoca brush you have eaten..istifa")</f>
        <v>@drfahrettinkoca brush you have eaten..istifa</v>
      </c>
    </row>
    <row r="12813" spans="1:5" ht="15" customHeight="1" x14ac:dyDescent="0.2">
      <c r="A12813" s="1" t="s">
        <v>25298</v>
      </c>
      <c r="B12813" s="1">
        <v>0</v>
      </c>
      <c r="C12813" s="3">
        <v>44532.877662037034</v>
      </c>
      <c r="D12813" s="1" t="s">
        <v>25299</v>
      </c>
      <c r="E12813" s="1" t="str">
        <f ca="1">IFERROR(__xludf.DUMMYFUNCTION("GOOGLETRANSLATE(A9612 , ""tr"" , ""en"")"),"@drfahrettinkoca Money If you buy the honor of the honor what is the money you say money? A sheet of inked ... https://t.co/rc0bjqag2z")</f>
        <v>@drfahrettinkoca Money If you buy the honor of the honor what is the money you say money? A sheet of inked ... https://t.co/rc0bjqag2z</v>
      </c>
    </row>
    <row r="12814" spans="1:5" ht="15" customHeight="1" x14ac:dyDescent="0.2">
      <c r="A12814" s="1" t="s">
        <v>21138</v>
      </c>
      <c r="B12814" s="1">
        <v>0</v>
      </c>
      <c r="C12814" s="3">
        <v>44532.876215277778</v>
      </c>
      <c r="D12814" s="1" t="s">
        <v>25300</v>
      </c>
      <c r="E12814" s="1" t="str">
        <f ca="1">IFERROR(__xludf.DUMMYFUNCTION("GOOGLETRANSLATE(A9613 , ""tr"" , ""en"")"),"@drfahrettinkoca guanuzzzzz")</f>
        <v>@drfahrettinkoca guanuzzzzz</v>
      </c>
    </row>
    <row r="12815" spans="1:5" ht="15" customHeight="1" x14ac:dyDescent="0.2">
      <c r="A12815" s="1" t="s">
        <v>25301</v>
      </c>
      <c r="B12815" s="1">
        <v>0</v>
      </c>
      <c r="C12815" s="3">
        <v>44532.875925925924</v>
      </c>
      <c r="D12815" s="1" t="s">
        <v>25302</v>
      </c>
      <c r="E12815" s="1" t="str">
        <f ca="1">IFERROR(__xludf.DUMMYFUNCTION("GOOGLETRANSLATE(A9614 , ""tr"" , ""en"")"),"@drfahrettinkoca is still not changed, still!")</f>
        <v>@drfahrettinkoca is still not changed, still!</v>
      </c>
    </row>
    <row r="12816" spans="1:5" ht="15" customHeight="1" x14ac:dyDescent="0.2">
      <c r="A12816" s="1" t="s">
        <v>25303</v>
      </c>
      <c r="B12816" s="1">
        <v>0</v>
      </c>
      <c r="C12816" s="3">
        <v>44532.875601851854</v>
      </c>
      <c r="D12816" s="1" t="s">
        <v>25304</v>
      </c>
      <c r="E12816" s="1" t="str">
        <f ca="1">IFERROR(__xludf.DUMMYFUNCTION("GOOGLETRANSLATE(A9615 , ""tr"" , ""en"")"),"@drfahrettinkoca where mask distance is sufficient anymore yaaa .... https://t.co/wfanbznknw")</f>
        <v>@drfahrettinkoca where mask distance is sufficient anymore yaaa .... https://t.co/wfanbznknw</v>
      </c>
    </row>
    <row r="12817" spans="1:5" ht="15" customHeight="1" x14ac:dyDescent="0.2">
      <c r="A12817" s="1" t="s">
        <v>25305</v>
      </c>
      <c r="B12817" s="1">
        <v>0</v>
      </c>
      <c r="C12817" s="3">
        <v>44532.875162037039</v>
      </c>
      <c r="D12817" s="1" t="s">
        <v>25306</v>
      </c>
      <c r="E12817" s="1" t="str">
        <f ca="1">IFERROR(__xludf.DUMMYFUNCTION("GOOGLETRANSLATE(A9616 , ""tr"" , ""en"")"),"@drfahrettinkoca This table is something like to manage the fiction of the video taken as well as anything. Germany also why 60 ... https://t.co/23foszabyx")</f>
        <v>@drfahrettinkoca This table is something like to manage the fiction of the video taken as well as anything. Germany also why 60 ... https://t.co/23foszabyx</v>
      </c>
    </row>
    <row r="12818" spans="1:5" ht="15" customHeight="1" x14ac:dyDescent="0.2">
      <c r="A12818" s="1" t="s">
        <v>25307</v>
      </c>
      <c r="B12818" s="1">
        <v>0</v>
      </c>
      <c r="C12818" s="3">
        <v>44532.87127314815</v>
      </c>
      <c r="D12818" s="1" t="s">
        <v>25308</v>
      </c>
      <c r="E12818" s="1" t="str">
        <f ca="1">IFERROR(__xludf.DUMMYFUNCTION("GOOGLETRANSLATE(A9617 , ""tr"" , ""en"")"),"@drfahrettinkoca people are now fed up from this sickness")</f>
        <v>@drfahrettinkoca people are now fed up from this sickness</v>
      </c>
    </row>
    <row r="12819" spans="1:5" ht="15" customHeight="1" x14ac:dyDescent="0.2">
      <c r="A12819" s="1" t="s">
        <v>25309</v>
      </c>
      <c r="B12819" s="1">
        <v>23</v>
      </c>
      <c r="C12819" s="3">
        <v>44532.87122685185</v>
      </c>
      <c r="D12819" s="1" t="s">
        <v>25310</v>
      </c>
      <c r="E12819" s="1" t="str">
        <f ca="1">IFERROR(__xludf.DUMMYFUNCTION("GOOGLETRANSLATE(A9618 , ""tr"" , ""en"")"),"@drfahrettinkoca epidemic did not change life you make up the epidemic and changed our lives, you saturate your eyes n ... https://t.co/Invov4qp9c")</f>
        <v>@drfahrettinkoca epidemic did not change life you make up the epidemic and changed our lives, you saturate your eyes n ... https://t.co/Invov4qp9c</v>
      </c>
    </row>
    <row r="12820" spans="1:5" ht="15" customHeight="1" x14ac:dyDescent="0.2">
      <c r="A12820" s="1" t="s">
        <v>25311</v>
      </c>
      <c r="B12820" s="1">
        <v>1</v>
      </c>
      <c r="C12820" s="3">
        <v>44532.870706018519</v>
      </c>
      <c r="D12820" s="1" t="s">
        <v>25312</v>
      </c>
      <c r="E12820" s="1" t="str">
        <f ca="1">IFERROR(__xludf.DUMMYFUNCTION("GOOGLETRANSLATE(A9619 , ""tr"" , ""en"")"),"@drfahrettinkoca phase 1 phase 2 phase 3 studies Results of vaccine is to be done on the Candidation of the Candidians How accurate v ... https://t.co/xfmvf2zwmd")</f>
        <v>@drfahrettinkoca phase 1 phase 2 phase 3 studies Results of vaccine is to be done on the Candidation of the Candidians How accurate v ... https://t.co/xfmvf2zwmd</v>
      </c>
    </row>
    <row r="12821" spans="1:5" ht="15" customHeight="1" x14ac:dyDescent="0.2">
      <c r="A12821" s="1" t="s">
        <v>25313</v>
      </c>
      <c r="B12821" s="1">
        <v>0</v>
      </c>
      <c r="C12821" s="3">
        <v>44532.870289351849</v>
      </c>
      <c r="D12821" s="1" t="s">
        <v>25314</v>
      </c>
      <c r="E12821" s="1" t="str">
        <f ca="1">IFERROR(__xludf.DUMMYFUNCTION("GOOGLETRANSLATE(A9620 , ""tr"" , ""en"")"),"@drfahrettinka is the more beter you have exceeded? Don't worry these things or do you expect to trouble?")</f>
        <v>@drfahrettinka is the more beter you have exceeded? Don't worry these things or do you expect to trouble?</v>
      </c>
    </row>
    <row r="12822" spans="1:5" ht="15" customHeight="1" x14ac:dyDescent="0.2">
      <c r="A12822" s="1" t="s">
        <v>25315</v>
      </c>
      <c r="B12822" s="1">
        <v>0</v>
      </c>
      <c r="C12822" s="3">
        <v>44532.869432870371</v>
      </c>
      <c r="D12822" s="1" t="s">
        <v>25316</v>
      </c>
      <c r="E12822" s="1" t="str">
        <f ca="1">IFERROR(__xludf.DUMMYFUNCTION("GOOGLETRANSLATE(A9621 , ""tr"" , ""en"")"),"@drfahrettinkoca @saglikbakanligi Good Aksamalry, I am offended from my eyes, appointments can always be a full examination, can you help,")</f>
        <v>@drfahrettinkoca @saglikbakanligi Good Aksamalry, I am offended from my eyes, appointments can always be a full examination, can you help,</v>
      </c>
    </row>
    <row r="12823" spans="1:5" ht="15" customHeight="1" x14ac:dyDescent="0.2">
      <c r="A12823" s="1" t="s">
        <v>25317</v>
      </c>
      <c r="B12823" s="1">
        <v>1</v>
      </c>
      <c r="C12823" s="3">
        <v>44532.868530092594</v>
      </c>
      <c r="D12823" s="1" t="s">
        <v>25318</v>
      </c>
      <c r="E12823" s="1" t="str">
        <f ca="1">IFERROR(__xludf.DUMMYFUNCTION("GOOGLETRANSLATE(A9622 , ""tr"" , ""en"")"),"@drfahrettinkoca @saglikbakanligi is 99.5% survival rate; The lower limit of age under the usual conditions is 80 ... https://t.co/zywqz3gced")</f>
        <v>@drfahrettinkoca @saglikbakanligi is 99.5% survival rate; The lower limit of age under the usual conditions is 80 ... https://t.co/zywqz3gced</v>
      </c>
    </row>
    <row r="12824" spans="1:5" ht="15" customHeight="1" x14ac:dyDescent="0.2">
      <c r="A12824" s="1" t="s">
        <v>25319</v>
      </c>
      <c r="B12824" s="1">
        <v>3</v>
      </c>
      <c r="C12824" s="3">
        <v>44532.867164351854</v>
      </c>
      <c r="D12824" s="1" t="s">
        <v>25320</v>
      </c>
      <c r="E12824" s="1" t="str">
        <f ca="1">IFERROR(__xludf.DUMMYFUNCTION("GOOGLETRANSLATE(A9623 , ""tr"" , ""en"")"),"@drfahrettinkoca is sufficient or schools close")</f>
        <v>@drfahrettinkoca is sufficient or schools close</v>
      </c>
    </row>
    <row r="12825" spans="1:5" ht="15" customHeight="1" x14ac:dyDescent="0.2">
      <c r="A12825" s="1" t="s">
        <v>25321</v>
      </c>
      <c r="B12825" s="1">
        <v>0</v>
      </c>
      <c r="C12825" s="3">
        <v>44532.865902777776</v>
      </c>
      <c r="D12825" s="1" t="s">
        <v>25322</v>
      </c>
      <c r="E12825" s="1" t="str">
        <f ca="1">IFERROR(__xludf.DUMMYFUNCTION("GOOGLETRANSLATE(A9624 , ""tr"" , ""en"")"),"@drfahrettinkoca is threatening the non-driving people you've made a hike at £ 300-5000! What is it going to do to your hand for instead? https://t.co/m0zkkdzwd")</f>
        <v>@drfahrettinkoca is threatening the non-driving people you've made a hike at £ 300-5000! What is it going to do to your hand for instead? https://t.co/m0zkkdzwd</v>
      </c>
    </row>
    <row r="12826" spans="1:5" ht="15" customHeight="1" x14ac:dyDescent="0.2">
      <c r="A12826" s="1" t="s">
        <v>25323</v>
      </c>
      <c r="B12826" s="1">
        <v>0</v>
      </c>
      <c r="C12826" s="3">
        <v>44532.865416666667</v>
      </c>
      <c r="D12826" s="1" t="s">
        <v>25324</v>
      </c>
      <c r="E12826" s="1" t="str">
        <f ca="1">IFERROR(__xludf.DUMMYFUNCTION("GOOGLETRANSLATE(A9625 , ""tr"" , ""en"")"),"@drfahrettinkoca pity you get sec @drfahrettinkoca ie a assignment process is the process of so heavy? Where this hair ... https://t.co/h1dj0qspgx")</f>
        <v>@drfahrettinkoca pity you get sec @drfahrettinkoca ie a assignment process is the process of so heavy? Where this hair ... https://t.co/h1dj0qspgx</v>
      </c>
    </row>
    <row r="12827" spans="1:5" ht="15" customHeight="1" x14ac:dyDescent="0.2">
      <c r="A12827" s="1" t="s">
        <v>25325</v>
      </c>
      <c r="B12827" s="1">
        <v>14</v>
      </c>
      <c r="C12827" s="3">
        <v>44532.864074074074</v>
      </c>
      <c r="D12827" s="1" t="s">
        <v>25326</v>
      </c>
      <c r="E12827" s="1" t="str">
        <f ca="1">IFERROR(__xludf.DUMMYFUNCTION("GOOGLETRANSLATE(A9626 , ""tr"" , ""en"")"),"@drfahrettinkoca ER You will be tried to be tried by the Lord I show not to die 2 hearts Forced 3 h ... https://t.co/28nryzzqr7")</f>
        <v>@drfahrettinkoca ER You will be tried to be tried by the Lord I show not to die 2 hearts Forced 3 h ... https://t.co/28nryzzqr7</v>
      </c>
    </row>
    <row r="12828" spans="1:5" ht="15" customHeight="1" x14ac:dyDescent="0.2">
      <c r="A12828" s="1" t="s">
        <v>25327</v>
      </c>
      <c r="B12828" s="1">
        <v>0</v>
      </c>
      <c r="C12828" s="3">
        <v>44532.862812500003</v>
      </c>
      <c r="D12828" s="1" t="s">
        <v>25328</v>
      </c>
      <c r="E12828" s="1" t="str">
        <f ca="1">IFERROR(__xludf.DUMMYFUNCTION("GOOGLETRANSLATE(A9627 , ""tr"" , ""en"")"),"@drfahrettinkoca I liked you, sad until you deny that you said it's been takin '")</f>
        <v>@drfahrettinkoca I liked you, sad until you deny that you said it's been takin '</v>
      </c>
    </row>
    <row r="12829" spans="1:5" ht="15" customHeight="1" x14ac:dyDescent="0.2">
      <c r="A12829" s="1" t="s">
        <v>25329</v>
      </c>
      <c r="B12829" s="1">
        <v>0</v>
      </c>
      <c r="C12829" s="3">
        <v>44532.862557870372</v>
      </c>
      <c r="D12829" s="1" t="s">
        <v>25330</v>
      </c>
      <c r="E12829" s="1" t="str">
        <f ca="1">IFERROR(__xludf.DUMMYFUNCTION("GOOGLETRANSLATE(A9628 , ""tr"" , ""en"")"),"@drfahrettinkoca Either you have little to change the following table for the same Minds of the same intellect is teasing fearlessly and egl ... https://t.co/ovcnfb6h6j")</f>
        <v>@drfahrettinkoca Either you have little to change the following table for the same Minds of the same intellect is teasing fearlessly and egl ... https://t.co/ovcnfb6h6j</v>
      </c>
    </row>
    <row r="12830" spans="1:5" ht="15" customHeight="1" x14ac:dyDescent="0.2">
      <c r="A12830" s="1" t="s">
        <v>25331</v>
      </c>
      <c r="B12830" s="1">
        <v>0</v>
      </c>
      <c r="C12830" s="3">
        <v>44532.86146990741</v>
      </c>
      <c r="D12830" s="1" t="s">
        <v>25332</v>
      </c>
      <c r="E12830" s="1" t="str">
        <f ca="1">IFERROR(__xludf.DUMMYFUNCTION("GOOGLETRANSLATE(A9629 , ""tr"" , ""en"")"),"@drfahrettinkoca assignment make fahreddin")</f>
        <v>@drfahrettinkoca assignment make fahreddin</v>
      </c>
    </row>
    <row r="12831" spans="1:5" ht="15" customHeight="1" x14ac:dyDescent="0.2">
      <c r="A12831" s="1" t="s">
        <v>25333</v>
      </c>
      <c r="B12831" s="1">
        <v>1</v>
      </c>
      <c r="C12831" s="3">
        <v>44532.86142361111</v>
      </c>
      <c r="D12831" s="1" t="s">
        <v>25334</v>
      </c>
      <c r="E12831" s="1" t="str">
        <f ca="1">IFERROR(__xludf.DUMMYFUNCTION("GOOGLETRANSLATE(A9630 , ""tr"" , ""en"")"),"@drfahrettinkoca 23238 Case There is total")</f>
        <v>@drfahrettinkoca 23238 Case There is total</v>
      </c>
    </row>
    <row r="12832" spans="1:5" ht="15" customHeight="1" x14ac:dyDescent="0.2">
      <c r="A12832" s="1" t="s">
        <v>25335</v>
      </c>
      <c r="B12832" s="1">
        <v>3</v>
      </c>
      <c r="C12832" s="3">
        <v>44532.860196759262</v>
      </c>
      <c r="D12832" s="1" t="s">
        <v>25336</v>
      </c>
      <c r="E12832" s="1" t="str">
        <f ca="1">IFERROR(__xludf.DUMMYFUNCTION("GOOGLETRANSLATE(A9631 , ""tr"" , ""en"")"),"@drfahrettinkoca I'm killing those elite segments in the middle of hell of hell but our Devl ... https://t.co/z3k85si3JL")</f>
        <v>@drfahrettinkoca I'm killing those elite segments in the middle of hell of hell but our Devl ... https://t.co/z3k85si3JL</v>
      </c>
    </row>
    <row r="12833" spans="1:5" ht="15" customHeight="1" x14ac:dyDescent="0.2">
      <c r="A12833" s="1" t="s">
        <v>25337</v>
      </c>
      <c r="B12833" s="1">
        <v>0</v>
      </c>
      <c r="C12833" s="3">
        <v>44532.859537037039</v>
      </c>
      <c r="D12833" s="1" t="s">
        <v>25338</v>
      </c>
      <c r="E12833" s="1" t="str">
        <f ca="1">IFERROR(__xludf.DUMMYFUNCTION("GOOGLETRANSLATE(A9632 , ""tr"" , ""en"")"),"@drfahrettinkoca is not remaining money in large states and eating the virus and eating all over the world and then buy the vaccine all over the world ... https://t.co/vwevmsrp4j")</f>
        <v>@drfahrettinkoca is not remaining money in large states and eating the virus and eating all over the world and then buy the vaccine all over the world ... https://t.co/vwevmsrp4j</v>
      </c>
    </row>
    <row r="12834" spans="1:5" ht="15" customHeight="1" x14ac:dyDescent="0.2">
      <c r="A12834" s="1" t="s">
        <v>25339</v>
      </c>
      <c r="B12834" s="1">
        <v>1</v>
      </c>
      <c r="C12834" s="3">
        <v>44532.858055555553</v>
      </c>
      <c r="D12834" s="1" t="s">
        <v>25340</v>
      </c>
      <c r="E12834" s="1" t="str">
        <f ca="1">IFERROR(__xludf.DUMMYFUNCTION("GOOGLETRANSLATE(A9633 , ""tr"" , ""en"")"),"@drfahrettinkoca walk 😡 #fahrettinka https://t.co/cooi7awkfm")</f>
        <v>@drfahrettinkoca walk 😡 #fahrettinka https://t.co/cooi7awkfm</v>
      </c>
    </row>
    <row r="12835" spans="1:5" ht="15" customHeight="1" x14ac:dyDescent="0.2">
      <c r="A12835" s="1" t="s">
        <v>25341</v>
      </c>
      <c r="B12835" s="1">
        <v>0</v>
      </c>
      <c r="C12835" s="3">
        <v>44532.857187499998</v>
      </c>
      <c r="D12835" s="1" t="s">
        <v>25342</v>
      </c>
      <c r="E12835" s="1" t="str">
        <f ca="1">IFERROR(__xludf.DUMMYFUNCTION("GOOGLETRANSLATE(A9634 , ""tr"" , ""en"")"),"@drfahrettinkoca people don't believe in vaccine. There aren't a lot of people in my surroundings that they have made the last vaccination died from him. Human ... https://t.co/zmyfmffelo")</f>
        <v>@drfahrettinkoca people don't believe in vaccine. There aren't a lot of people in my surroundings that they have made the last vaccination died from him. Human ... https://t.co/zmyfmffelo</v>
      </c>
    </row>
    <row r="12836" spans="1:5" ht="15" customHeight="1" x14ac:dyDescent="0.2">
      <c r="A12836" s="1" t="s">
        <v>25343</v>
      </c>
      <c r="B12836" s="1">
        <v>3</v>
      </c>
      <c r="C12836" s="3">
        <v>44532.855208333334</v>
      </c>
      <c r="D12836" s="1" t="s">
        <v>25344</v>
      </c>
      <c r="E12836" s="1" t="str">
        <f ca="1">IFERROR(__xludf.DUMMYFUNCTION("GOOGLETRANSLATE(A9635 , ""tr"" , ""en"")"),"@drfahrettinkoca Hospital Investigation of patients with intensive care In intensive care patients are all grafted Buns ... https://t.co/7kddbsz8rc")</f>
        <v>@drfahrettinkoca Hospital Investigation of patients with intensive care In intensive care patients are all grafted Buns ... https://t.co/7kddbsz8rc</v>
      </c>
    </row>
    <row r="12837" spans="1:5" ht="15" customHeight="1" x14ac:dyDescent="0.2">
      <c r="A12837" s="1" t="s">
        <v>25345</v>
      </c>
      <c r="B12837" s="1">
        <v>0</v>
      </c>
      <c r="C12837" s="3">
        <v>44532.854085648149</v>
      </c>
      <c r="D12837" s="1" t="s">
        <v>25346</v>
      </c>
      <c r="E12837" s="1" t="str">
        <f ca="1">IFERROR(__xludf.DUMMYFUNCTION("GOOGLETRANSLATE(A9636 , ""tr"" , ""en"")"),"@drfahrettinkoca results slightly delights, but if only falls with death.")</f>
        <v>@drfahrettinkoca results slightly delights, but if only falls with death.</v>
      </c>
    </row>
    <row r="12838" spans="1:5" ht="15" customHeight="1" x14ac:dyDescent="0.2">
      <c r="A12838" s="1" t="s">
        <v>25347</v>
      </c>
      <c r="B12838" s="1">
        <v>2</v>
      </c>
      <c r="C12838" s="3">
        <v>44532.853310185186</v>
      </c>
      <c r="D12838" s="1" t="s">
        <v>25348</v>
      </c>
      <c r="E12838" s="1" t="str">
        <f ca="1">IFERROR(__xludf.DUMMYFUNCTION("GOOGLETRANSLATE(A9637 , ""tr"" , ""en"")"),"@drfahrettinka make schools online")</f>
        <v>@drfahrettinka make schools online</v>
      </c>
    </row>
    <row r="12839" spans="1:5" ht="15" customHeight="1" x14ac:dyDescent="0.2">
      <c r="A12839" s="1" t="s">
        <v>25349</v>
      </c>
      <c r="B12839" s="1">
        <v>0</v>
      </c>
      <c r="C12839" s="3">
        <v>44532.852986111109</v>
      </c>
      <c r="D12839" s="1" t="s">
        <v>25350</v>
      </c>
      <c r="E12839" s="1" t="str">
        <f ca="1">IFERROR(__xludf.DUMMYFUNCTION("GOOGLETRANSLATE(A9638 , ""tr"" , ""en"")"),"@drfahrettinkoca Tomorrow Guide")</f>
        <v>@drfahrettinkoca Tomorrow Guide</v>
      </c>
    </row>
    <row r="12840" spans="1:5" ht="15" customHeight="1" x14ac:dyDescent="0.2">
      <c r="A12840" s="1" t="s">
        <v>25351</v>
      </c>
      <c r="B12840" s="1">
        <v>0</v>
      </c>
      <c r="C12840" s="3">
        <v>44532.852280092593</v>
      </c>
      <c r="D12840" s="1" t="s">
        <v>25352</v>
      </c>
      <c r="E12840" s="1" t="str">
        <f ca="1">IFERROR(__xludf.DUMMYFUNCTION("GOOGLETRANSLATE(A9639 , ""tr"" , ""en"")"),"@drfahrettinkoca For example of the use of Favira in Favira and the side effects are too much ... https://t.co/tty6yfrsah")</f>
        <v>@drfahrettinkoca For example of the use of Favira in Favira and the side effects are too much ... https://t.co/tty6yfrsah</v>
      </c>
    </row>
    <row r="12841" spans="1:5" ht="15" customHeight="1" x14ac:dyDescent="0.2">
      <c r="A12841" s="1" t="s">
        <v>25353</v>
      </c>
      <c r="B12841" s="1">
        <v>1</v>
      </c>
      <c r="C12841" s="3">
        <v>44532.852083333331</v>
      </c>
      <c r="D12841" s="1" t="s">
        <v>25354</v>
      </c>
      <c r="E12841" s="1" t="str">
        <f ca="1">IFERROR(__xludf.DUMMYFUNCTION("GOOGLETRANSLATE(A9640 , ""tr"" , ""en"")"),"@drfahrettinkoca PHFZR Courts Talk to the Courts Mr. Minister 55 years must remain a secret but the files will be poured")</f>
        <v>@drfahrettinkoca PHFZR Courts Talk to the Courts Mr. Minister 55 years must remain a secret but the files will be poured</v>
      </c>
    </row>
    <row r="12842" spans="1:5" ht="15" customHeight="1" x14ac:dyDescent="0.2">
      <c r="A12842" s="1" t="s">
        <v>25355</v>
      </c>
      <c r="B12842" s="1">
        <v>2</v>
      </c>
      <c r="C12842" s="3">
        <v>44532.852071759262</v>
      </c>
      <c r="D12842" s="1" t="s">
        <v>25356</v>
      </c>
      <c r="E12842" s="1" t="str">
        <f ca="1">IFERROR(__xludf.DUMMYFUNCTION("GOOGLETRANSLATE(A9641 , ""tr"" , ""en"")"),"@drfahrettinkoca Covidden Make autopsy to Olens.")</f>
        <v>@drfahrettinkoca Covidden Make autopsy to Olens.</v>
      </c>
    </row>
    <row r="12843" spans="1:5" ht="15" customHeight="1" x14ac:dyDescent="0.2">
      <c r="A12843" s="1" t="s">
        <v>25357</v>
      </c>
      <c r="B12843" s="1">
        <v>0</v>
      </c>
      <c r="C12843" s="3">
        <v>44532.852060185185</v>
      </c>
      <c r="D12843" s="1" t="s">
        <v>25358</v>
      </c>
      <c r="E12843" s="1" t="str">
        <f ca="1">IFERROR(__xludf.DUMMYFUNCTION("GOOGLETRANSLATE(A9642 , ""tr"" , ""en"")"),"Why @drfahrettinkoca do not fall in case and death numbers in our country where 85% are inoculated?")</f>
        <v>Why @drfahrettinkoca do not fall in case and death numbers in our country where 85% are inoculated?</v>
      </c>
    </row>
    <row r="12844" spans="1:5" ht="15" customHeight="1" x14ac:dyDescent="0.2">
      <c r="A12844" s="1" t="s">
        <v>25359</v>
      </c>
      <c r="B12844" s="1">
        <v>0</v>
      </c>
      <c r="C12844" s="3">
        <v>44532.850729166668</v>
      </c>
      <c r="D12844" s="1" t="s">
        <v>25360</v>
      </c>
      <c r="E12844" s="1" t="str">
        <f ca="1">IFERROR(__xludf.DUMMYFUNCTION("GOOGLETRANSLATE(A9643 , ""tr"" , ""en"")"),"@drfahrettinka ditto let me be the vaccine so let's get on the rules let's keep our loved ones")</f>
        <v>@drfahrettinka ditto let me be the vaccine so let's get on the rules let's keep our loved ones</v>
      </c>
    </row>
    <row r="12845" spans="1:5" ht="15" customHeight="1" x14ac:dyDescent="0.2">
      <c r="A12845" s="1" t="s">
        <v>25361</v>
      </c>
      <c r="B12845" s="1">
        <v>4</v>
      </c>
      <c r="C12845" s="3">
        <v>44532.850543981483</v>
      </c>
      <c r="D12845" s="1" t="s">
        <v>25362</v>
      </c>
      <c r="E12845" s="1" t="str">
        <f ca="1">IFERROR(__xludf.DUMMYFUNCTION("GOOGLETRANSLATE(A9644 , ""tr"" , ""en"")"),"@drfahrettinka vaccine is like drinking insect medicine in order to swallow and die. Iron fingers instead of glass on the mask ... https://t.co/qtnguktleb")</f>
        <v>@drfahrettinka vaccine is like drinking insect medicine in order to swallow and die. Iron fingers instead of glass on the mask ... https://t.co/qtnguktleb</v>
      </c>
    </row>
    <row r="12846" spans="1:5" ht="15" customHeight="1" x14ac:dyDescent="0.2">
      <c r="A12846" s="1" t="s">
        <v>25363</v>
      </c>
      <c r="B12846" s="1">
        <v>1</v>
      </c>
      <c r="C12846" s="3">
        <v>44532.850185185183</v>
      </c>
      <c r="D12846" s="1" t="s">
        <v>25364</v>
      </c>
      <c r="E12846" s="1" t="str">
        <f ca="1">IFERROR(__xludf.DUMMYFUNCTION("GOOGLETRANSLATE(A9645 , ""tr"" , ""en"")"),"@drfahrettinkoca # Healthconships")</f>
        <v>@drfahrettinkoca # Healthconships</v>
      </c>
    </row>
    <row r="12847" spans="1:5" ht="15" customHeight="1" x14ac:dyDescent="0.2">
      <c r="A12847" s="1" t="s">
        <v>25365</v>
      </c>
      <c r="B12847" s="1">
        <v>2</v>
      </c>
      <c r="C12847" s="3">
        <v>44532.850057870368</v>
      </c>
      <c r="D12847" s="1" t="s">
        <v>25366</v>
      </c>
      <c r="E12847" s="1" t="str">
        <f ca="1">IFERROR(__xludf.DUMMYFUNCTION("GOOGLETRANSLATE(A9646 , ""tr"" , ""en"")"),"@drfahrettinkoca is fine, even if you give this importance even the flu liquid even the p f z r I NI court people even ... https://t.co/wsslgh9vh7")</f>
        <v>@drfahrettinkoca is fine, even if you give this importance even the flu liquid even the p f z r I NI court people even ... https://t.co/wsslgh9vh7</v>
      </c>
    </row>
    <row r="12848" spans="1:5" ht="15" customHeight="1" x14ac:dyDescent="0.2">
      <c r="A12848" s="1" t="s">
        <v>25367</v>
      </c>
      <c r="B12848" s="1">
        <v>0</v>
      </c>
      <c r="C12848" s="3">
        <v>44532.849814814814</v>
      </c>
      <c r="D12848" s="1" t="s">
        <v>25368</v>
      </c>
      <c r="E12848" s="1" t="str">
        <f ca="1">IFERROR(__xludf.DUMMYFUNCTION("GOOGLETRANSLATE(A9647 , ""tr"" , ""en"")"),"@drfahrettinkoca Surrabies")</f>
        <v>@drfahrettinkoca Surrabies</v>
      </c>
    </row>
    <row r="12849" spans="1:5" ht="15" customHeight="1" x14ac:dyDescent="0.2">
      <c r="A12849" s="1" t="s">
        <v>25369</v>
      </c>
      <c r="B12849" s="1">
        <v>1</v>
      </c>
      <c r="C12849" s="3">
        <v>44532.84951388889</v>
      </c>
      <c r="D12849" s="1" t="s">
        <v>25370</v>
      </c>
      <c r="E12849" s="1" t="str">
        <f ca="1">IFERROR(__xludf.DUMMYFUNCTION("GOOGLETRANSLATE(A9648 , ""tr"" , ""en"")"),"@drfahrettinka https://t.co/dbqssxnxfe")</f>
        <v>@drfahrettinka https://t.co/dbqssxnxfe</v>
      </c>
    </row>
    <row r="12850" spans="1:5" ht="15" customHeight="1" x14ac:dyDescent="0.2">
      <c r="A12850" s="1" t="s">
        <v>25371</v>
      </c>
      <c r="B12850" s="1">
        <v>0</v>
      </c>
      <c r="C12850" s="3">
        <v>44532.849143518521</v>
      </c>
      <c r="D12850" s="1" t="s">
        <v>25372</v>
      </c>
      <c r="E12850" s="1" t="str">
        <f ca="1">IFERROR(__xludf.DUMMYFUNCTION("GOOGLETRANSLATE(A9649 , ""tr"" , ""en"")"),"@drfahrettinkoca vaccine, so how many months did this vaccine have been found on how many months of vaccine try on how many MILIONs ... https://t.co/uanwexddfu")</f>
        <v>@drfahrettinkoca vaccine, so how many months did this vaccine have been found on how many months of vaccine try on how many MILIONs ... https://t.co/uanwexddfu</v>
      </c>
    </row>
    <row r="12851" spans="1:5" ht="15" customHeight="1" x14ac:dyDescent="0.2">
      <c r="A12851" s="1" t="s">
        <v>25373</v>
      </c>
      <c r="B12851" s="1">
        <v>4</v>
      </c>
      <c r="C12851" s="3">
        <v>44532.849085648151</v>
      </c>
      <c r="D12851" s="1" t="s">
        <v>25374</v>
      </c>
      <c r="E12851" s="1" t="str">
        <f ca="1">IFERROR(__xludf.DUMMYFUNCTION("GOOGLETRANSLATE(A9650 , ""tr"" , ""en"")"),"@drfahrettinka they showed nicely with the rug cheating, hiding their bad plans. Halbuki Plans Allah's Count ... https://t.co/vs7czhcuzb")</f>
        <v>@drfahrettinka they showed nicely with the rug cheating, hiding their bad plans. Halbuki Plans Allah's Count ... https://t.co/vs7czhcuzb</v>
      </c>
    </row>
    <row r="12852" spans="1:5" ht="15" customHeight="1" x14ac:dyDescent="0.2">
      <c r="A12852" s="1" t="s">
        <v>25375</v>
      </c>
      <c r="B12852" s="1">
        <v>0</v>
      </c>
      <c r="C12852" s="3">
        <v>44532.848530092589</v>
      </c>
      <c r="D12852" s="1" t="s">
        <v>25376</v>
      </c>
      <c r="E12852" s="1" t="str">
        <f ca="1">IFERROR(__xludf.DUMMYFUNCTION("GOOGLETRANSLATE(A9651 , ""tr"" , ""en"")"),"@drfahrettinkoca Even a time meaningful sentences that don't have a meaningful sentences, just a thing of consistency in the summer ... https://t.co/w27kdfwsga")</f>
        <v>@drfahrettinkoca Even a time meaningful sentences that don't have a meaningful sentences, just a thing of consistency in the summer ... https://t.co/w27kdfwsga</v>
      </c>
    </row>
    <row r="12853" spans="1:5" ht="15" customHeight="1" x14ac:dyDescent="0.2">
      <c r="A12853" s="1" t="s">
        <v>25377</v>
      </c>
      <c r="B12853" s="1">
        <v>0</v>
      </c>
      <c r="C12853" s="3">
        <v>44532.847372685188</v>
      </c>
      <c r="D12853" s="1" t="s">
        <v>25378</v>
      </c>
      <c r="E12853" s="1" t="str">
        <f ca="1">IFERROR(__xludf.DUMMYFUNCTION("GOOGLETRANSLATE(A9652 , ""tr"" , ""en"")"),"@drfahrettinkoca sheer I won't vote on the government in this facing face")</f>
        <v>@drfahrettinkoca sheer I won't vote on the government in this facing face</v>
      </c>
    </row>
    <row r="12854" spans="1:5" ht="15" customHeight="1" x14ac:dyDescent="0.2">
      <c r="A12854" s="1" t="s">
        <v>25379</v>
      </c>
      <c r="B12854" s="1">
        <v>0</v>
      </c>
      <c r="C12854" s="3">
        <v>44532.847245370373</v>
      </c>
      <c r="D12854" s="1" t="s">
        <v>25380</v>
      </c>
      <c r="E12854" s="1" t="str">
        <f ca="1">IFERROR(__xludf.DUMMYFUNCTION("GOOGLETRANSLATE(A9653 , ""tr"" , ""en"")"),"@drfahrettinkoca Many Covid-19, proven to spread from micro droplets hanging in the air ... https://t.co/qka3yv0z9d")</f>
        <v>@drfahrettinkoca Many Covid-19, proven to spread from micro droplets hanging in the air ... https://t.co/qka3yv0z9d</v>
      </c>
    </row>
    <row r="12855" spans="1:5" ht="15" customHeight="1" x14ac:dyDescent="0.2">
      <c r="A12855" s="1" t="s">
        <v>8466</v>
      </c>
      <c r="B12855" s="1">
        <v>0</v>
      </c>
      <c r="C12855" s="3">
        <v>44532.846608796295</v>
      </c>
      <c r="D12855" s="1" t="s">
        <v>25381</v>
      </c>
      <c r="E12855" s="1" t="str">
        <f ca="1">IFERROR(__xludf.DUMMYFUNCTION("GOOGLETRANSLATE(A9654 , ""tr"" , ""en"")"),"@drfahrettinkoca dietitians are looking forward to the assignment to the dietitians")</f>
        <v>@drfahrettinkoca dietitians are looking forward to the assignment to the dietitians</v>
      </c>
    </row>
    <row r="12856" spans="1:5" ht="15" customHeight="1" x14ac:dyDescent="0.2">
      <c r="A12856" s="1" t="s">
        <v>7766</v>
      </c>
      <c r="B12856" s="1">
        <v>0</v>
      </c>
      <c r="C12856" s="3">
        <v>44532.84646990741</v>
      </c>
      <c r="D12856" s="1" t="s">
        <v>25382</v>
      </c>
      <c r="E12856" s="1" t="str">
        <f ca="1">IFERROR(__xludf.DUMMYFUNCTION("GOOGLETRANSLATE(A9655 , ""tr"" , ""en"")"),"@drfahrettinkoca Dieticians are welcome to assign the assignment to the dietitians The minister is still the agencies with 90 above points")</f>
        <v>@drfahrettinkoca Dieticians are welcome to assign the assignment to the dietitians The minister is still the agencies with 90 above points</v>
      </c>
    </row>
    <row r="12857" spans="1:5" ht="15" customHeight="1" x14ac:dyDescent="0.2">
      <c r="A12857" s="1" t="s">
        <v>7770</v>
      </c>
      <c r="B12857" s="1">
        <v>0</v>
      </c>
      <c r="C12857" s="3">
        <v>44532.846307870372</v>
      </c>
      <c r="D12857" s="1" t="s">
        <v>25383</v>
      </c>
      <c r="E12857" s="1" t="str">
        <f ca="1">IFERROR(__xludf.DUMMYFUNCTION("GOOGLETRANSLATE(A9656 , ""tr"" , ""en"")"),"@drfahrettinkoca dietitians are welcomed to assign the assignment to the dietitians Sayin Minister 91 Score of Cardiacy Still Acikta")</f>
        <v>@drfahrettinkoca dietitians are welcomed to assign the assignment to the dietitians Sayin Minister 91 Score of Cardiacy Still Acikta</v>
      </c>
    </row>
    <row r="12858" spans="1:5" ht="15" customHeight="1" x14ac:dyDescent="0.2">
      <c r="A12858" s="1" t="s">
        <v>25384</v>
      </c>
      <c r="B12858" s="1">
        <v>0</v>
      </c>
      <c r="C12858" s="3">
        <v>44532.845590277779</v>
      </c>
      <c r="D12858" s="1" t="s">
        <v>25385</v>
      </c>
      <c r="E12858" s="1" t="str">
        <f ca="1">IFERROR(__xludf.DUMMYFUNCTION("GOOGLETRANSLATE(A9657 , ""tr"" , ""en"")"),"@drfahrettinkoca what you need to be to be losing your arm and concludes death. Expect intervention without being late. G ... https://t.co/gar4nc65ks")</f>
        <v>@drfahrettinkoca what you need to be to be losing your arm and concludes death. Expect intervention without being late. G ... https://t.co/gar4nc65ks</v>
      </c>
    </row>
    <row r="12859" spans="1:5" ht="15" customHeight="1" x14ac:dyDescent="0.2">
      <c r="A12859" s="1" t="s">
        <v>25386</v>
      </c>
      <c r="B12859" s="1">
        <v>0</v>
      </c>
      <c r="C12859" s="3">
        <v>44532.844699074078</v>
      </c>
      <c r="D12859" s="1" t="s">
        <v>25387</v>
      </c>
      <c r="E12859" s="1" t="str">
        <f ca="1">IFERROR(__xludf.DUMMYFUNCTION("GOOGLETRANSLATE(A9658 , ""tr"" , ""en"")"),"@drfahrettinkoca I don't want to lose your mother's left arm. Of intervention without being late")</f>
        <v>@drfahrettinkoca I don't want to lose your mother's left arm. Of intervention without being late</v>
      </c>
    </row>
    <row r="12860" spans="1:5" ht="15" customHeight="1" x14ac:dyDescent="0.2">
      <c r="A12860" s="1" t="s">
        <v>25388</v>
      </c>
      <c r="B12860" s="1">
        <v>0</v>
      </c>
      <c r="C12860" s="3">
        <v>44532.844444444447</v>
      </c>
      <c r="D12860" s="1" t="s">
        <v>25389</v>
      </c>
      <c r="E12860" s="1" t="str">
        <f ca="1">IFERROR(__xludf.DUMMYFUNCTION("GOOGLETRANSLATE(A9659 , ""tr"" , ""en"")"),"@drfahrettinkoca after vaccine even doctors who come to me laugh at examination")</f>
        <v>@drfahrettinkoca after vaccine even doctors who come to me laugh at examination</v>
      </c>
    </row>
    <row r="12861" spans="1:5" ht="15" customHeight="1" x14ac:dyDescent="0.2">
      <c r="A12861" s="1" t="s">
        <v>25390</v>
      </c>
      <c r="B12861" s="1">
        <v>0</v>
      </c>
      <c r="C12861" s="3">
        <v>44532.844293981485</v>
      </c>
      <c r="D12861" s="1" t="s">
        <v>25391</v>
      </c>
      <c r="E12861" s="1" t="str">
        <f ca="1">IFERROR(__xludf.DUMMYFUNCTION("GOOGLETRANSLATE(A9660 , ""tr"" , ""en"")"),"@drfahrettinkoca doctors say they don't know anything, to whom it is escrow count fahrettin husband")</f>
        <v>@drfahrettinkoca doctors say they don't know anything, to whom it is escrow count fahrettin husband</v>
      </c>
    </row>
    <row r="12862" spans="1:5" ht="15" customHeight="1" x14ac:dyDescent="0.2">
      <c r="A12862" s="1" t="s">
        <v>25392</v>
      </c>
      <c r="B12862" s="1">
        <v>0</v>
      </c>
      <c r="C12862" s="3">
        <v>44532.843993055554</v>
      </c>
      <c r="D12862" s="1" t="s">
        <v>25393</v>
      </c>
      <c r="E12862" s="1" t="str">
        <f ca="1">IFERROR(__xludf.DUMMYFUNCTION("GOOGLETRANSLATE(A9661 , ""tr"" , ""en"")"),"@drfahrettinkoca help us help me, my mother's 2nd biontech cannot use the left arm after the vaccine")</f>
        <v>@drfahrettinkoca help us help me, my mother's 2nd biontech cannot use the left arm after the vaccine</v>
      </c>
    </row>
    <row r="12863" spans="1:5" ht="15" customHeight="1" x14ac:dyDescent="0.2">
      <c r="A12863" s="1" t="s">
        <v>25394</v>
      </c>
      <c r="B12863" s="1">
        <v>0</v>
      </c>
      <c r="C12863" s="3">
        <v>44532.843148148146</v>
      </c>
      <c r="D12863" s="1" t="s">
        <v>25395</v>
      </c>
      <c r="E12863" s="1" t="str">
        <f ca="1">IFERROR(__xludf.DUMMYFUNCTION("GOOGLETRANSLATE(A9662 , ""tr"" , ""en"")"),"@drfahrettinkoca Dunyada Asiya Made of Baska from you (last rebellious kicker)")</f>
        <v>@drfahrettinkoca Dunyada Asiya Made of Baska from you (last rebellious kicker)</v>
      </c>
    </row>
    <row r="12864" spans="1:5" ht="15" customHeight="1" x14ac:dyDescent="0.2">
      <c r="A12864" s="1" t="s">
        <v>25396</v>
      </c>
      <c r="B12864" s="1">
        <v>0</v>
      </c>
      <c r="C12864" s="3">
        <v>44532.843078703707</v>
      </c>
      <c r="D12864" s="1" t="s">
        <v>25397</v>
      </c>
      <c r="E12864" s="1" t="str">
        <f ca="1">IFERROR(__xludf.DUMMYFUNCTION("GOOGLETRANSLATE(A9663 , ""tr"" , ""en"")"),"@drfahrettinkoca 3 2 1 believed")</f>
        <v>@drfahrettinkoca 3 2 1 believed</v>
      </c>
    </row>
    <row r="12865" spans="1:5" ht="15" customHeight="1" x14ac:dyDescent="0.2">
      <c r="A12865" s="1" t="s">
        <v>25398</v>
      </c>
      <c r="B12865" s="1">
        <v>0</v>
      </c>
      <c r="C12865" s="3">
        <v>44532.842974537038</v>
      </c>
      <c r="D12865" s="1" t="s">
        <v>25399</v>
      </c>
      <c r="E12865" s="1" t="str">
        <f ca="1">IFERROR(__xludf.DUMMYFUNCTION("GOOGLETRANSLATE(A9664 , ""tr"" , ""en"")"),"@drfahrettinkoca @saglikbakanligi Basaksehir Pine and Sakura Hospital Some of the children's emergency doctors are quite tec ... https://t.co/pxg5ucp56d")</f>
        <v>@drfahrettinkoca @saglikbakanligi Basaksehir Pine and Sakura Hospital Some of the children's emergency doctors are quite tec ... https://t.co/pxg5ucp56d</v>
      </c>
    </row>
    <row r="12866" spans="1:5" ht="15" customHeight="1" x14ac:dyDescent="0.2">
      <c r="A12866" s="1" t="s">
        <v>25400</v>
      </c>
      <c r="B12866" s="1">
        <v>0</v>
      </c>
      <c r="C12866" s="3">
        <v>44532.842719907407</v>
      </c>
      <c r="D12866" s="1" t="s">
        <v>25401</v>
      </c>
      <c r="E12866" s="1" t="str">
        <f ca="1">IFERROR(__xludf.DUMMYFUNCTION("GOOGLETRANSLATE(A9665 , ""tr"" , ""en"")"),"@drfahrettinkoca clavy doesn't come either in Hani, Allah asks you your account ❌")</f>
        <v>@drfahrettinkoca clavy doesn't come either in Hani, Allah asks you your account ❌</v>
      </c>
    </row>
    <row r="12867" spans="1:5" ht="15" customHeight="1" x14ac:dyDescent="0.2">
      <c r="A12867" s="1" t="s">
        <v>25402</v>
      </c>
      <c r="B12867" s="1">
        <v>1</v>
      </c>
      <c r="C12867" s="3">
        <v>44532.84270833333</v>
      </c>
      <c r="D12867" s="1" t="s">
        <v>25403</v>
      </c>
      <c r="E12867" s="1" t="str">
        <f ca="1">IFERROR(__xludf.DUMMYFUNCTION("GOOGLETRANSLATE(A9666 , ""tr"" , ""en"")"),"@drfahrettinkoca is important to SMA patient baby needs your 1tl sine even in need.7 Monthly baby Little time left grace ... https://t.co/asnlvyykan")</f>
        <v>@drfahrettinkoca is important to SMA patient baby needs your 1tl sine even in need.7 Monthly baby Little time left grace ... https://t.co/asnlvyykan</v>
      </c>
    </row>
    <row r="12868" spans="1:5" ht="15" customHeight="1" x14ac:dyDescent="0.2">
      <c r="A12868" s="1" t="s">
        <v>25404</v>
      </c>
      <c r="B12868" s="1">
        <v>0</v>
      </c>
      <c r="C12868" s="3">
        <v>44532.842581018522</v>
      </c>
      <c r="D12868" s="1" t="s">
        <v>25405</v>
      </c>
      <c r="E12868" s="1" t="str">
        <f ca="1">IFERROR(__xludf.DUMMYFUNCTION("GOOGLETRANSLATE(A9667 , ""tr"" , ""en"")"),"@drfahrettinkoca Look at the Minister of @saglikbakanligu Dustugu situation, https://t.co/qtdyl0mvw1 I think resign meat dicem but you ... https://t.co/4uuqz44kqs")</f>
        <v>@drfahrettinkoca Look at the Minister of @saglikbakanligu Dustugu situation, https://t.co/qtdyl0mvw1 I think resign meat dicem but you ... https://t.co/4uuqz44kqs</v>
      </c>
    </row>
    <row r="12869" spans="1:5" ht="15" customHeight="1" x14ac:dyDescent="0.2">
      <c r="A12869" s="1" t="s">
        <v>25406</v>
      </c>
      <c r="B12869" s="1">
        <v>0</v>
      </c>
      <c r="C12869" s="3">
        <v>44532.842523148145</v>
      </c>
      <c r="D12869" s="1" t="s">
        <v>25407</v>
      </c>
      <c r="E12869" s="1" t="str">
        <f ca="1">IFERROR(__xludf.DUMMYFUNCTION("GOOGLETRANSLATE(A9668 , ""tr"" , ""en"")"),"@drfahrettinkoca in the winter month in cold weather 40-45 people classes What do you do? Us that keeps you in head ... https://t.co/drknmtymkw")</f>
        <v>@drfahrettinkoca in the winter month in cold weather 40-45 people classes What do you do? Us that keeps you in head ... https://t.co/drknmtymkw</v>
      </c>
    </row>
    <row r="12870" spans="1:5" ht="15" customHeight="1" x14ac:dyDescent="0.2">
      <c r="A12870" s="1" t="s">
        <v>25408</v>
      </c>
      <c r="B12870" s="1">
        <v>13</v>
      </c>
      <c r="C12870" s="3">
        <v>44532.842395833337</v>
      </c>
      <c r="D12870" s="1" t="s">
        <v>25409</v>
      </c>
      <c r="E12870" s="1" t="str">
        <f ca="1">IFERROR(__xludf.DUMMYFUNCTION("GOOGLETRANSLATE(A9669 , ""tr"" , ""en"")"),"@drfahrettinkoca Omicron Variant has seen in Turkey now as soon as you don't attract school online even how many cases ... https://t.co/2ks00ufb7j")</f>
        <v>@drfahrettinkoca Omicron Variant has seen in Turkey now as soon as you don't attract school online even how many cases ... https://t.co/2ks00ufb7j</v>
      </c>
    </row>
    <row r="12871" spans="1:5" ht="15" customHeight="1" x14ac:dyDescent="0.2">
      <c r="A12871" s="1" t="s">
        <v>25410</v>
      </c>
      <c r="B12871" s="1">
        <v>0</v>
      </c>
      <c r="C12871" s="3">
        <v>44532.841435185182</v>
      </c>
      <c r="D12871" s="1" t="s">
        <v>25411</v>
      </c>
      <c r="E12871" s="1" t="str">
        <f ca="1">IFERROR(__xludf.DUMMYFUNCTION("GOOGLETRANSLATE(A9670 , ""tr"" , ""en"")"),"@drfahrettinka vaccine marketer again at work. To our country ... https://t.co/yneasahp4z")</f>
        <v>@drfahrettinka vaccine marketer again at work. To our country ... https://t.co/yneasahp4z</v>
      </c>
    </row>
    <row r="12872" spans="1:5" ht="15" customHeight="1" x14ac:dyDescent="0.2">
      <c r="A12872" s="1" t="s">
        <v>25412</v>
      </c>
      <c r="B12872" s="1">
        <v>0</v>
      </c>
      <c r="C12872" s="3">
        <v>44532.84065972222</v>
      </c>
      <c r="D12872" s="1" t="s">
        <v>25413</v>
      </c>
      <c r="E12872" s="1" t="str">
        <f ca="1">IFERROR(__xludf.DUMMYFUNCTION("GOOGLETRANSLATE(A9671 , ""tr"" , ""en"")"),"@drfahrettinkoca Count You see the following map Provinces in Orange are the least grafted places and there are at least cases of the cases ... https://t.co/mso3dbflt7")</f>
        <v>@drfahrettinkoca Count You see the following map Provinces in Orange are the least grafted places and there are at least cases of the cases ... https://t.co/mso3dbflt7</v>
      </c>
    </row>
    <row r="12873" spans="1:5" ht="15" customHeight="1" x14ac:dyDescent="0.2">
      <c r="A12873" s="1" t="s">
        <v>25414</v>
      </c>
      <c r="B12873" s="1">
        <v>0</v>
      </c>
      <c r="C12873" s="3">
        <v>44532.840173611112</v>
      </c>
      <c r="D12873" s="1" t="s">
        <v>25415</v>
      </c>
      <c r="E12873" s="1" t="str">
        <f ca="1">IFERROR(__xludf.DUMMYFUNCTION("GOOGLETRANSLATE(A9672 , ""tr"" , ""en"")"),"@drfahrettinka Mr. Minister As a hugly nurse as you say yesterday as a nurse, drop the profession after you have cooled from life to life officially tkks")</f>
        <v>@drfahrettinka Mr. Minister As a hugly nurse as you say yesterday as a nurse, drop the profession after you have cooled from life to life officially tkks</v>
      </c>
    </row>
    <row r="12874" spans="1:5" ht="15" customHeight="1" x14ac:dyDescent="0.2">
      <c r="A12874" s="1" t="s">
        <v>25416</v>
      </c>
      <c r="B12874" s="1">
        <v>436</v>
      </c>
      <c r="C12874" s="3">
        <v>44532.840115740742</v>
      </c>
      <c r="D12874" s="1" t="s">
        <v>25417</v>
      </c>
      <c r="E12874" s="1" t="str">
        <f ca="1">IFERROR(__xludf.DUMMYFUNCTION("GOOGLETRANSLATE(A9673 , ""tr"" , ""en"")"),"@drfahrettinkoca Daddy in my babe believed your discourses on your discourse immediately after the vaccine was disease immediately after death RA ... https://t.co/6gq3zzncm3")</f>
        <v>@drfahrettinkoca Daddy in my babe believed your discourses on your discourse immediately after the vaccine was disease immediately after death RA ... https://t.co/6gq3zzncm3</v>
      </c>
    </row>
    <row r="12875" spans="1:5" ht="15" customHeight="1" x14ac:dyDescent="0.2">
      <c r="A12875" s="1" t="s">
        <v>25418</v>
      </c>
      <c r="B12875" s="1">
        <v>2</v>
      </c>
      <c r="C12875" s="3">
        <v>44532.839444444442</v>
      </c>
      <c r="D12875" s="1" t="s">
        <v>25419</v>
      </c>
      <c r="E12875" s="1" t="str">
        <f ca="1">IFERROR(__xludf.DUMMYFUNCTION("GOOGLETRANSLATE(A9674 , ""tr"" , ""en"")"),"@drfahrettinkoca was the precautionary there was partially flexible schools to fill in the dormitories and do not stay in the closed areas ... https://t.co/nl6gqc7w2g")</f>
        <v>@drfahrettinkoca was the precautionary there was partially flexible schools to fill in the dormitories and do not stay in the closed areas ... https://t.co/nl6gqc7w2g</v>
      </c>
    </row>
    <row r="12876" spans="1:5" ht="15" customHeight="1" x14ac:dyDescent="0.2">
      <c r="A12876" s="1" t="s">
        <v>25420</v>
      </c>
      <c r="B12876" s="1">
        <v>0</v>
      </c>
      <c r="C12876" s="3">
        <v>44532.839247685188</v>
      </c>
      <c r="D12876" s="1" t="s">
        <v>25421</v>
      </c>
      <c r="E12876" s="1" t="str">
        <f ca="1">IFERROR(__xludf.DUMMYFUNCTION("GOOGLETRANSLATE(A9675 , ""tr"" , ""en"")"),"@drfahrettinkoca Singapore was the first country that carries out an autopsy (after death) of a COVID-19 corpse in the world. ... https://t.co/0kagyhsjgp")</f>
        <v>@drfahrettinkoca Singapore was the first country that carries out an autopsy (after death) of a COVID-19 corpse in the world. ... https://t.co/0kagyhsjgp</v>
      </c>
    </row>
    <row r="12877" spans="1:5" ht="15" customHeight="1" x14ac:dyDescent="0.2">
      <c r="A12877" s="1" t="s">
        <v>25363</v>
      </c>
      <c r="B12877" s="1">
        <v>4</v>
      </c>
      <c r="C12877" s="3">
        <v>44532.83834490741</v>
      </c>
      <c r="D12877" s="1" t="s">
        <v>25422</v>
      </c>
      <c r="E12877" s="1" t="str">
        <f ca="1">IFERROR(__xludf.DUMMYFUNCTION("GOOGLETRANSLATE(A9676 , ""tr"" , ""en"")"),"@drfahrettinkoca # Healthconships")</f>
        <v>@drfahrettinkoca # Healthconships</v>
      </c>
    </row>
    <row r="12878" spans="1:5" ht="15" customHeight="1" x14ac:dyDescent="0.2">
      <c r="A12878" s="1" t="s">
        <v>25423</v>
      </c>
      <c r="B12878" s="1">
        <v>0</v>
      </c>
      <c r="C12878" s="3">
        <v>44532.838252314818</v>
      </c>
      <c r="D12878" s="1" t="s">
        <v>25424</v>
      </c>
      <c r="E12878" s="1" t="str">
        <f ca="1">IFERROR(__xludf.DUMMYFUNCTION("GOOGLETRANSLATE(A9677 , ""tr"" , ""en"")"),"@drfahrettinkoca passeners don't change at all 192,194,196 Write the correct one Don't hide something from the nationality Nation Nation is not an idiot")</f>
        <v>@drfahrettinkoca passeners don't change at all 192,194,196 Write the correct one Don't hide something from the nationality Nation Nation is not an idiot</v>
      </c>
    </row>
    <row r="12879" spans="1:5" ht="15" customHeight="1" x14ac:dyDescent="0.2">
      <c r="A12879" s="1" t="s">
        <v>25425</v>
      </c>
      <c r="B12879" s="1">
        <v>1</v>
      </c>
      <c r="C12879" s="3">
        <v>44532.837812500002</v>
      </c>
      <c r="D12879" s="1" t="s">
        <v>25426</v>
      </c>
      <c r="E12879" s="1" t="str">
        <f ca="1">IFERROR(__xludf.DUMMYFUNCTION("GOOGLETRANSLATE(A9678 , ""tr"" , ""en"")"),"@drfahrettinkoca # SmadeGilbizGüç say by Caspian Babeg and all SMA patient dolls these challenging fights ... https://t.co/uc2lcvocrf")</f>
        <v>@drfahrettinkoca # SmadeGilbizGüç say by Caspian Babeg and all SMA patient dolls these challenging fights ... https://t.co/uc2lcvocrf</v>
      </c>
    </row>
    <row r="12880" spans="1:5" ht="15" customHeight="1" x14ac:dyDescent="0.2">
      <c r="A12880" s="1" t="s">
        <v>25427</v>
      </c>
      <c r="B12880" s="1">
        <v>4</v>
      </c>
      <c r="C12880" s="3">
        <v>44532.837685185186</v>
      </c>
      <c r="D12880" s="1" t="s">
        <v>25428</v>
      </c>
      <c r="E12880" s="1" t="str">
        <f ca="1">IFERROR(__xludf.DUMMYFUNCTION("GOOGLETRANSLATE(A9679 , ""tr"" , ""en"")"),"@drfahrettinkoca sn.bakanim and very precious supreme science board; The professional's professional is the permine research of the lacquer, the fact that ... https://t.co/j613eww4ox")</f>
        <v>@drfahrettinkoca sn.bakanim and very precious supreme science board; The professional's professional is the permine research of the lacquer, the fact that ... https://t.co/j613eww4ox</v>
      </c>
    </row>
    <row r="12881" spans="1:5" ht="15" customHeight="1" x14ac:dyDescent="0.2">
      <c r="A12881" s="1" t="s">
        <v>25429</v>
      </c>
      <c r="B12881" s="1">
        <v>1</v>
      </c>
      <c r="C12881" s="3">
        <v>44532.837581018517</v>
      </c>
      <c r="D12881" s="1" t="s">
        <v>25430</v>
      </c>
      <c r="E12881" s="1" t="str">
        <f ca="1">IFERROR(__xludf.DUMMYFUNCTION("GOOGLETRANSLATE(A9680 , ""tr"" , ""en"")"),"@drfahrettinkoca #the smadegilbizgüçlü say by Caspian Babeg and all SMA patient dolls these challenging fights ... https://t.co/LK07LIBL30")</f>
        <v>@drfahrettinkoca #the smadegilbizgüçlü say by Caspian Babeg and all SMA patient dolls these challenging fights ... https://t.co/LK07LIBL30</v>
      </c>
    </row>
    <row r="12882" spans="1:5" ht="15" customHeight="1" x14ac:dyDescent="0.2">
      <c r="A12882" s="1" t="s">
        <v>25431</v>
      </c>
      <c r="B12882" s="1">
        <v>0</v>
      </c>
      <c r="C12882" s="3">
        <v>44532.835949074077</v>
      </c>
      <c r="D12882" s="1" t="s">
        <v>25432</v>
      </c>
      <c r="E12882" s="1" t="str">
        <f ca="1">IFERROR(__xludf.DUMMYFUNCTION("GOOGLETRANSLATE(A9681 , ""tr"" , ""en"")"),"@drfahrettinkoca bride now say that no vaccine says experimental fluid Mr. Minister.😂😂👇👇 https://t.co/KSI3VRWA8C")</f>
        <v>@drfahrettinkoca bride now say that no vaccine says experimental fluid Mr. Minister.😂😂👇👇 https://t.co/KSI3VRWA8C</v>
      </c>
    </row>
    <row r="12883" spans="1:5" ht="15" customHeight="1" x14ac:dyDescent="0.2">
      <c r="A12883" s="1" t="s">
        <v>25433</v>
      </c>
      <c r="B12883" s="1">
        <v>1</v>
      </c>
      <c r="C12883" s="3">
        <v>44532.835543981484</v>
      </c>
      <c r="D12883" s="1" t="s">
        <v>25434</v>
      </c>
      <c r="E12883" s="1" t="str">
        <f ca="1">IFERROR(__xludf.DUMMYFUNCTION("GOOGLETRANSLATE(A9682 , ""tr"" , ""en"")"),"@drfahrettinkoca I hope you have taken off the palace before making these descriptions!")</f>
        <v>@drfahrettinkoca I hope you have taken off the palace before making these descriptions!</v>
      </c>
    </row>
    <row r="12884" spans="1:5" ht="15" customHeight="1" x14ac:dyDescent="0.2">
      <c r="A12884" s="1" t="s">
        <v>25435</v>
      </c>
      <c r="B12884" s="1">
        <v>6</v>
      </c>
      <c r="C12884" s="3">
        <v>44532.834282407406</v>
      </c>
      <c r="D12884" s="1" t="s">
        <v>25436</v>
      </c>
      <c r="E12884" s="1" t="str">
        <f ca="1">IFERROR(__xludf.DUMMYFUNCTION("GOOGLETRANSLATE(A9683 , ""tr"" , ""en"")"),"@drfahrettinkoca Time Magazine What did he say for today's doctors in Burdah? 😂😂😂 https://t.co/d4kkxywdfa")</f>
        <v>@drfahrettinkoca Time Magazine What did he say for today's doctors in Burdah? 😂😂😂 https://t.co/d4kkxywdfa</v>
      </c>
    </row>
    <row r="12885" spans="1:5" ht="15" customHeight="1" x14ac:dyDescent="0.2">
      <c r="A12885" s="1" t="s">
        <v>25437</v>
      </c>
      <c r="B12885" s="1">
        <v>0</v>
      </c>
      <c r="C12885" s="3">
        <v>44532.833912037036</v>
      </c>
      <c r="D12885" s="1" t="s">
        <v>25438</v>
      </c>
      <c r="E12885" s="1" t="str">
        <f ca="1">IFERROR(__xludf.DUMMYFUNCTION("GOOGLETRANSLATE(A9684 , ""tr"" , ""en"")"),"@drfahrettinkoca neither hikmetse Case Numbers Always Around 21 Thousand Vefat Sayisilarida's Virus Always Ever 200 ... https://t.co/1pujj3ielh")</f>
        <v>@drfahrettinkoca neither hikmetse Case Numbers Always Around 21 Thousand Vefat Sayisilarida's Virus Always Ever 200 ... https://t.co/1pujj3ielh</v>
      </c>
    </row>
    <row r="12886" spans="1:5" ht="15" customHeight="1" x14ac:dyDescent="0.2">
      <c r="A12886" s="1" t="s">
        <v>25439</v>
      </c>
      <c r="B12886" s="1">
        <v>3</v>
      </c>
      <c r="C12886" s="3">
        <v>44532.832673611112</v>
      </c>
      <c r="D12886" s="1" t="s">
        <v>25440</v>
      </c>
      <c r="E12886" s="1" t="str">
        <f ca="1">IFERROR(__xludf.DUMMYFUNCTION("GOOGLETRANSLATE(A9685 , ""tr"" , ""en"")"),"@drfahrettinkoca Measure The results of those called the economy is very clear today to our physical and spiritual health.")</f>
        <v>@drfahrettinkoca Measure The results of those called the economy is very clear today to our physical and spiritual health.</v>
      </c>
    </row>
    <row r="12887" spans="1:5" ht="15" customHeight="1" x14ac:dyDescent="0.2">
      <c r="A12887" s="1" t="s">
        <v>25441</v>
      </c>
      <c r="B12887" s="1">
        <v>1</v>
      </c>
      <c r="C12887" s="3">
        <v>44532.831435185188</v>
      </c>
      <c r="D12887" s="1" t="s">
        <v>25442</v>
      </c>
      <c r="E12887" s="1" t="str">
        <f ca="1">IFERROR(__xludf.DUMMYFUNCTION("GOOGLETRANSLATE(A9686 , ""tr"" , ""en"")"),"@drfahrettinka online training is not lazy, please we are at risk in front of our winter and health. For our health ... https://t.co/tnx8ag6vhu")</f>
        <v>@drfahrettinka online training is not lazy, please we are at risk in front of our winter and health. For our health ... https://t.co/tnx8ag6vhu</v>
      </c>
    </row>
    <row r="12888" spans="1:5" ht="15" customHeight="1" x14ac:dyDescent="0.2">
      <c r="A12888" s="1" t="s">
        <v>25443</v>
      </c>
      <c r="B12888" s="1">
        <v>297</v>
      </c>
      <c r="C12888" s="3">
        <v>44532.831400462965</v>
      </c>
      <c r="D12888" s="1" t="s">
        <v>25444</v>
      </c>
      <c r="E12888" s="1" t="str">
        <f ca="1">IFERROR(__xludf.DUMMYFUNCTION("GOOGLETRANSLATE(A9687 , ""tr"" , ""en"")"),"@drfahrettinkoca er late judge you will be judged fahrettinka you have been the cause of my dad you are my father's favipore ... https://t.co/ddnhpbljtk")</f>
        <v>@drfahrettinkoca er late judge you will be judged fahrettinka you have been the cause of my dad you are my father's favipore ... https://t.co/ddnhpbljtk</v>
      </c>
    </row>
    <row r="12889" spans="1:5" ht="15" customHeight="1" x14ac:dyDescent="0.2">
      <c r="A12889" s="1" t="s">
        <v>25445</v>
      </c>
      <c r="B12889" s="1">
        <v>0</v>
      </c>
      <c r="C12889" s="3">
        <v>44532.831018518518</v>
      </c>
      <c r="D12889" s="1" t="s">
        <v>25446</v>
      </c>
      <c r="E12889" s="1" t="str">
        <f ca="1">IFERROR(__xludf.DUMMYFUNCTION("GOOGLETRANSLATE(A9688 , ""tr"" , ""en"")"),"@drfahrettinkoca is not my life hic")</f>
        <v>@drfahrettinkoca is not my life hic</v>
      </c>
    </row>
    <row r="12890" spans="1:5" ht="15" customHeight="1" x14ac:dyDescent="0.2">
      <c r="A12890" s="1" t="s">
        <v>25447</v>
      </c>
      <c r="B12890" s="1">
        <v>1</v>
      </c>
      <c r="C12890" s="3">
        <v>44532.830821759257</v>
      </c>
      <c r="D12890" s="1" t="s">
        <v>25448</v>
      </c>
      <c r="E12890" s="1" t="str">
        <f ca="1">IFERROR(__xludf.DUMMYFUNCTION("GOOGLETRANSLATE(A9689 , ""tr"" , ""en"")"),"@drfahrettinkoca I don't know if I stayed at you anymore")</f>
        <v>@drfahrettinkoca I don't know if I stayed at you anymore</v>
      </c>
    </row>
    <row r="12891" spans="1:5" ht="15" customHeight="1" x14ac:dyDescent="0.2">
      <c r="A12891" s="1" t="s">
        <v>25449</v>
      </c>
      <c r="B12891" s="1">
        <v>1</v>
      </c>
      <c r="C12891" s="3">
        <v>44532.829375000001</v>
      </c>
      <c r="D12891" s="1" t="s">
        <v>25450</v>
      </c>
      <c r="E12891" s="1" t="str">
        <f ca="1">IFERROR(__xludf.DUMMYFUNCTION("GOOGLETRANSLATE(A9690 , ""tr"" , ""en"")"),"@drfahrettinkoca 😂😂😂😂🤭")</f>
        <v>@drfahrettinkoca 😂😂😂😂🤭</v>
      </c>
    </row>
    <row r="12892" spans="1:5" ht="15" customHeight="1" x14ac:dyDescent="0.2">
      <c r="A12892" s="1" t="s">
        <v>25451</v>
      </c>
      <c r="B12892" s="1">
        <v>0</v>
      </c>
      <c r="C12892" s="3">
        <v>44532.82917824074</v>
      </c>
      <c r="D12892" s="1" t="s">
        <v>25452</v>
      </c>
      <c r="E12892" s="1" t="str">
        <f ca="1">IFERROR(__xludf.DUMMYFUNCTION("GOOGLETRANSLATE(A9691 , ""tr"" , ""en"")"),"@drfahrettinkoca You said this stability every day in the uninterrupted vaccine.")</f>
        <v>@drfahrettinkoca You said this stability every day in the uninterrupted vaccine.</v>
      </c>
    </row>
    <row r="12893" spans="1:5" ht="15" customHeight="1" x14ac:dyDescent="0.2">
      <c r="A12893" s="1" t="s">
        <v>25453</v>
      </c>
      <c r="B12893" s="1">
        <v>2</v>
      </c>
      <c r="C12893" s="3">
        <v>44532.828993055555</v>
      </c>
      <c r="D12893" s="1" t="s">
        <v>25454</v>
      </c>
      <c r="E12893" s="1" t="str">
        <f ca="1">IFERROR(__xludf.DUMMYFUNCTION("GOOGLETRANSLATE(A9692 , ""tr"" , ""en"")"),"@drfahrettinkoca you are now the author you read yourself. # HEALTHYINGSHIP")</f>
        <v>@drfahrettinkoca you are now the author you read yourself. # HEALTHYINGSHIP</v>
      </c>
    </row>
    <row r="12894" spans="1:5" ht="15" customHeight="1" x14ac:dyDescent="0.2">
      <c r="A12894" s="1" t="s">
        <v>25455</v>
      </c>
      <c r="B12894" s="1">
        <v>0</v>
      </c>
      <c r="C12894" s="3">
        <v>44532.828877314816</v>
      </c>
      <c r="D12894" s="1" t="s">
        <v>25456</v>
      </c>
      <c r="E12894" s="1" t="str">
        <f ca="1">IFERROR(__xludf.DUMMYFUNCTION("GOOGLETRANSLATE(A9693 , ""tr"" , ""en"")"),"@drfahrettinkoca Alertine is no longer expressing. You know this but you cannot express. You too ... https://t.co/hahla7nmsf")</f>
        <v>@drfahrettinkoca Alertine is no longer expressing. You know this but you cannot express. You too ... https://t.co/hahla7nmsf</v>
      </c>
    </row>
    <row r="12895" spans="1:5" ht="15" customHeight="1" x14ac:dyDescent="0.2">
      <c r="A12895" s="1" t="s">
        <v>25457</v>
      </c>
      <c r="B12895" s="1">
        <v>13</v>
      </c>
      <c r="C12895" s="3">
        <v>44532.828773148147</v>
      </c>
      <c r="D12895" s="1" t="s">
        <v>25458</v>
      </c>
      <c r="E12895" s="1" t="str">
        <f ca="1">IFERROR(__xludf.DUMMYFUNCTION("GOOGLETRANSLATE(A9694 , ""tr"" , ""en"")"),"@drfahrettinkoca electron microscope with a forcible virus to be protected with a mask with visible holes with an eye ... https://t.co/yd9cydaew9")</f>
        <v>@drfahrettinkoca electron microscope with a forcible virus to be protected with a mask with visible holes with an eye ... https://t.co/yd9cydaew9</v>
      </c>
    </row>
    <row r="12896" spans="1:5" ht="15" customHeight="1" x14ac:dyDescent="0.2">
      <c r="A12896" s="1" t="s">
        <v>25363</v>
      </c>
      <c r="B12896" s="1">
        <v>3</v>
      </c>
      <c r="C12896" s="3">
        <v>44532.828564814816</v>
      </c>
      <c r="D12896" s="1" t="s">
        <v>25459</v>
      </c>
      <c r="E12896" s="1" t="str">
        <f ca="1">IFERROR(__xludf.DUMMYFUNCTION("GOOGLETRANSLATE(A9695 , ""tr"" , ""en"")"),"@drfahrettinkoca # Healthconships")</f>
        <v>@drfahrettinkoca # Healthconships</v>
      </c>
    </row>
    <row r="12897" spans="1:5" ht="15" customHeight="1" x14ac:dyDescent="0.2">
      <c r="A12897" s="1" t="s">
        <v>25460</v>
      </c>
      <c r="B12897" s="1">
        <v>0</v>
      </c>
      <c r="C12897" s="3">
        <v>44532.828344907408</v>
      </c>
      <c r="D12897" s="1" t="s">
        <v>25461</v>
      </c>
      <c r="E12897" s="1" t="str">
        <f ca="1">IFERROR(__xludf.DUMMYFUNCTION("GOOGLETRANSLATE(A9696 , ""tr"" , ""en"")"),"@drfahrettinka Firstly the Doctors' land greet the whole world from the Ministry of Fahrettin ..")</f>
        <v>@drfahrettinka Firstly the Doctors' land greet the whole world from the Ministry of Fahrettin ..</v>
      </c>
    </row>
    <row r="12898" spans="1:5" ht="15" customHeight="1" x14ac:dyDescent="0.2">
      <c r="A12898" s="1" t="s">
        <v>25462</v>
      </c>
      <c r="B12898" s="1">
        <v>1</v>
      </c>
      <c r="C12898" s="3">
        <v>44532.827870370369</v>
      </c>
      <c r="D12898" s="1" t="s">
        <v>25463</v>
      </c>
      <c r="E12898" s="1" t="str">
        <f ca="1">IFERROR(__xludf.DUMMYFUNCTION("GOOGLETRANSLATE(A9697 , ""tr"" , ""en"")"),"@drfahrettinkoca as a healthcare aaa pardon I learned that I'm not healthy yesterday I don't know what I am ... Https://t.co/fgscmm9ipf")</f>
        <v>@drfahrettinkoca as a healthcare aaa pardon I learned that I'm not healthy yesterday I don't know what I am ... Https://t.co/fgscmm9ipf</v>
      </c>
    </row>
    <row r="12899" spans="1:5" ht="15" customHeight="1" x14ac:dyDescent="0.2">
      <c r="A12899" s="1" t="s">
        <v>25464</v>
      </c>
      <c r="B12899" s="1">
        <v>0</v>
      </c>
      <c r="C12899" s="3">
        <v>44532.827523148146</v>
      </c>
      <c r="D12899" s="1" t="s">
        <v>25465</v>
      </c>
      <c r="E12899" s="1" t="str">
        <f ca="1">IFERROR(__xludf.DUMMYFUNCTION("GOOGLETRANSLATE(A9698 , ""tr"" , ""en"")"),"@drfahrettinkoca what did you say ... what did you say..what did you say ...")</f>
        <v>@drfahrettinkoca what did you say ... what did you say..what did you say ...</v>
      </c>
    </row>
    <row r="12900" spans="1:5" ht="15" customHeight="1" x14ac:dyDescent="0.2">
      <c r="A12900" s="1" t="s">
        <v>25466</v>
      </c>
      <c r="B12900" s="1">
        <v>0</v>
      </c>
      <c r="C12900" s="3">
        <v>44532.826608796298</v>
      </c>
      <c r="D12900" s="1" t="s">
        <v>25467</v>
      </c>
      <c r="E12900" s="1" t="str">
        <f ca="1">IFERROR(__xludf.DUMMYFUNCTION("GOOGLETRANSLATE(A9699 , ""tr"" , ""en"")"),"@drfahrettinkoca Mr. Fahrettin Husband Vaccine You have said to Mom to Mom Book a Vaccine DIM After 1 week I lost my mother ... https://t.co/gmxqaxa8th")</f>
        <v>@drfahrettinkoca Mr. Fahrettin Husband Vaccine You have said to Mom to Mom Book a Vaccine DIM After 1 week I lost my mother ... https://t.co/gmxqaxa8th</v>
      </c>
    </row>
    <row r="12901" spans="1:5" ht="15" customHeight="1" x14ac:dyDescent="0.2">
      <c r="A12901" s="1" t="s">
        <v>25468</v>
      </c>
      <c r="B12901" s="1">
        <v>0</v>
      </c>
      <c r="C12901" s="3">
        <v>44532.826377314814</v>
      </c>
      <c r="D12901" s="1" t="s">
        <v>25469</v>
      </c>
      <c r="E12901" s="1" t="str">
        <f ca="1">IFERROR(__xludf.DUMMYFUNCTION("GOOGLETRANSLATE(A9700 , ""tr"" , ""en"")"),"@drfahrettinkoca yahu you sagirmisin, the guy in bil gates and fda the man in the head of the fda is not the necessary research.")</f>
        <v>@drfahrettinkoca yahu you sagirmisin, the guy in bil gates and fda the man in the head of the fda is not the necessary research.</v>
      </c>
    </row>
    <row r="12902" spans="1:5" ht="15" customHeight="1" x14ac:dyDescent="0.2">
      <c r="A12902" s="1" t="s">
        <v>25470</v>
      </c>
      <c r="B12902" s="1">
        <v>0</v>
      </c>
      <c r="C12902" s="3">
        <v>44532.826168981483</v>
      </c>
      <c r="D12902" s="1" t="s">
        <v>25471</v>
      </c>
      <c r="E12902" s="1" t="str">
        <f ca="1">IFERROR(__xludf.DUMMYFUNCTION("GOOGLETRANSLATE(A9701 , ""tr"" , ""en"")"),"@drfahrettinkoca May Allah do you as she knows you. I'm not saying to you, find you from your own head. 😡 https://t.co/r2agqyl9rr")</f>
        <v>@drfahrettinkoca May Allah do you as she knows you. I'm not saying to you, find you from your own head. 😡 https://t.co/r2agqyl9rr</v>
      </c>
    </row>
    <row r="12903" spans="1:5" ht="15" customHeight="1" x14ac:dyDescent="0.2">
      <c r="A12903" s="1" t="s">
        <v>25472</v>
      </c>
      <c r="B12903" s="1">
        <v>0</v>
      </c>
      <c r="C12903" s="3">
        <v>44532.825185185182</v>
      </c>
      <c r="D12903" s="1" t="s">
        <v>25473</v>
      </c>
      <c r="E12903" s="1" t="str">
        <f ca="1">IFERROR(__xludf.DUMMYFUNCTION("GOOGLETRANSLATE(A9702 , ""tr"" , ""en"")"),"@drfahrettinka @drfahrettinkoca We are leaving health workers work .. https://t.co/scpok5rrdx")</f>
        <v>@drfahrettinka @drfahrettinkoca We are leaving health workers work .. https://t.co/scpok5rrdx</v>
      </c>
    </row>
    <row r="12904" spans="1:5" ht="15" customHeight="1" x14ac:dyDescent="0.2">
      <c r="A12904" s="1" t="s">
        <v>25474</v>
      </c>
      <c r="B12904" s="1">
        <v>3</v>
      </c>
      <c r="C12904" s="3">
        <v>44532.824733796297</v>
      </c>
      <c r="D12904" s="1" t="s">
        <v>25475</v>
      </c>
      <c r="E12904" s="1" t="str">
        <f ca="1">IFERROR(__xludf.DUMMYFUNCTION("GOOGLETRANSLATE(A9703 , ""tr"" , ""en"")"),"@drfahrettinkoca who did that much vaccine?")</f>
        <v>@drfahrettinkoca who did that much vaccine?</v>
      </c>
    </row>
    <row r="12905" spans="1:5" ht="15" customHeight="1" x14ac:dyDescent="0.2">
      <c r="A12905" s="1" t="s">
        <v>25476</v>
      </c>
      <c r="B12905" s="1">
        <v>0</v>
      </c>
      <c r="C12905" s="3">
        <v>44532.824502314812</v>
      </c>
      <c r="D12905" s="1" t="s">
        <v>25477</v>
      </c>
      <c r="E12905" s="1" t="str">
        <f ca="1">IFERROR(__xludf.DUMMYFUNCTION("GOOGLETRANSLATE(A9704 , ""tr"" , ""en"")"),"@drfahrettinkoca sec doctor minister")</f>
        <v>@drfahrettinkoca sec doctor minister</v>
      </c>
    </row>
    <row r="12906" spans="1:5" ht="15" customHeight="1" x14ac:dyDescent="0.2">
      <c r="A12906" s="1" t="s">
        <v>25478</v>
      </c>
      <c r="B12906" s="1">
        <v>0</v>
      </c>
      <c r="C12906" s="3">
        <v>44532.82439814815</v>
      </c>
      <c r="D12906" s="1" t="s">
        <v>25479</v>
      </c>
      <c r="E12906" s="1" t="str">
        <f ca="1">IFERROR(__xludf.DUMMYFUNCTION("GOOGLETRANSLATE(A9705 , ""tr"" , ""en"")"),"@drfahrettinkoca omikron Turkey's stares, who came to Turkey, get the scholar 😒")</f>
        <v>@drfahrettinkoca omikron Turkey's stares, who came to Turkey, get the scholar 😒</v>
      </c>
    </row>
    <row r="12907" spans="1:5" ht="15" customHeight="1" x14ac:dyDescent="0.2">
      <c r="A12907" s="1" t="s">
        <v>25480</v>
      </c>
      <c r="B12907" s="1">
        <v>2</v>
      </c>
      <c r="C12907" s="3">
        <v>44532.824282407404</v>
      </c>
      <c r="D12907" s="1" t="s">
        <v>25481</v>
      </c>
      <c r="E12907" s="1" t="str">
        <f ca="1">IFERROR(__xludf.DUMMYFUNCTION("GOOGLETRANSLATE(A9706 , ""tr"" , ""en"")"),"@drfahrettinkoca # HEALTHYINGSHIKEIKEY THIS Indifference, recklessness .. is so pity!")</f>
        <v>@drfahrettinkoca # HEALTHYINGSHIKEIKEY THIS Indifference, recklessness .. is so pity!</v>
      </c>
    </row>
    <row r="12908" spans="1:5" ht="15" customHeight="1" x14ac:dyDescent="0.2">
      <c r="A12908" s="1" t="s">
        <v>25482</v>
      </c>
      <c r="B12908" s="1">
        <v>0</v>
      </c>
      <c r="C12908" s="3">
        <v>44532.823935185188</v>
      </c>
      <c r="D12908" s="1" t="s">
        <v>25483</v>
      </c>
      <c r="E12908" s="1" t="str">
        <f ca="1">IFERROR(__xludf.DUMMYFUNCTION("GOOGLETRANSLATE(A9707 , ""tr"" , ""en"")"),"@drfahrettinkoca vaccination for health")</f>
        <v>@drfahrettinkoca vaccination for health</v>
      </c>
    </row>
    <row r="12909" spans="1:5" ht="15" customHeight="1" x14ac:dyDescent="0.2">
      <c r="A12909" s="1" t="s">
        <v>25484</v>
      </c>
      <c r="B12909" s="1">
        <v>41</v>
      </c>
      <c r="C12909" s="3">
        <v>44532.823321759257</v>
      </c>
      <c r="D12909" s="1" t="s">
        <v>25485</v>
      </c>
      <c r="E12909" s="1" t="str">
        <f ca="1">IFERROR(__xludf.DUMMYFUNCTION("GOOGLETRANSLATE(A9708 , ""tr"" , ""en"")"),"@drfahrettinkoca What a nice promise: The biggest slave is not managed by a bad despot, their spiritual Cahill ... https://t.co/rr2hdbobpt")</f>
        <v>@drfahrettinkoca What a nice promise: The biggest slave is not managed by a bad despot, their spiritual Cahill ... https://t.co/rr2hdbobpt</v>
      </c>
    </row>
    <row r="12910" spans="1:5" ht="15" customHeight="1" x14ac:dyDescent="0.2">
      <c r="A12910" s="1" t="s">
        <v>25486</v>
      </c>
      <c r="B12910" s="1">
        <v>0</v>
      </c>
      <c r="C12910" s="3">
        <v>44532.823275462964</v>
      </c>
      <c r="D12910" s="1" t="s">
        <v>25487</v>
      </c>
      <c r="E12910" s="1" t="str">
        <f ca="1">IFERROR(__xludf.DUMMYFUNCTION("GOOGLETRANSLATE(A9709 , ""tr"" , ""en"")"),"@drfahrettinkoca @rterdogan both 666 faithiye don't believe both your heads. You are afraid of our heads.")</f>
        <v>@drfahrettinkoca @rterdogan both 666 faithiye don't believe both your heads. You are afraid of our heads.</v>
      </c>
    </row>
    <row r="12911" spans="1:5" ht="15" customHeight="1" x14ac:dyDescent="0.2">
      <c r="A12911" s="1" t="s">
        <v>25488</v>
      </c>
      <c r="B12911" s="1">
        <v>0</v>
      </c>
      <c r="C12911" s="3">
        <v>44532.82240740741</v>
      </c>
      <c r="D12911" s="1" t="s">
        <v>25489</v>
      </c>
      <c r="E12911" s="1" t="str">
        <f ca="1">IFERROR(__xludf.DUMMYFUNCTION("GOOGLETRANSLATE(A9710 , ""tr"" , ""en"")"),"@drfahrettinkoca Assignment Why don't do Mr. Minister? Please do a statement if not.")</f>
        <v>@drfahrettinkoca Assignment Why don't do Mr. Minister? Please do a statement if not.</v>
      </c>
    </row>
    <row r="12912" spans="1:5" ht="15" customHeight="1" x14ac:dyDescent="0.2">
      <c r="A12912" s="1" t="s">
        <v>25490</v>
      </c>
      <c r="B12912" s="1">
        <v>0</v>
      </c>
      <c r="C12912" s="3">
        <v>44532.822326388887</v>
      </c>
      <c r="D12912" s="1" t="s">
        <v>25491</v>
      </c>
      <c r="E12912" s="1" t="str">
        <f ca="1">IFERROR(__xludf.DUMMYFUNCTION("GOOGLETRANSLATE(A9711 , ""tr"" , ""en"")"),"@drfahrettinkoca Please continue to comply with mortal measures Keep yourself Immortals with Dinosaurs with Dinosaurs ... https://t.co/41x4WCINCS")</f>
        <v>@drfahrettinkoca Please continue to comply with mortal measures Keep yourself Immortals with Dinosaurs with Dinosaurs ... https://t.co/41x4WCINCS</v>
      </c>
    </row>
    <row r="12913" spans="1:5" ht="15" customHeight="1" x14ac:dyDescent="0.2">
      <c r="A12913" s="1" t="s">
        <v>25492</v>
      </c>
      <c r="B12913" s="1">
        <v>0</v>
      </c>
      <c r="C12913" s="3">
        <v>44532.822222222225</v>
      </c>
      <c r="D12913" s="1" t="s">
        <v>25493</v>
      </c>
      <c r="E12913" s="1" t="str">
        <f ca="1">IFERROR(__xludf.DUMMYFUNCTION("GOOGLETRANSLATE(A9712 , ""tr"" , ""en"")"),"@drfahrettinkoca @saglikbakanligi Saint Our Nation will never forget you?")</f>
        <v>@drfahrettinkoca @saglikbakanligi Saint Our Nation will never forget you?</v>
      </c>
    </row>
    <row r="12914" spans="1:5" ht="15" customHeight="1" x14ac:dyDescent="0.2">
      <c r="A12914" s="1" t="s">
        <v>25494</v>
      </c>
      <c r="B12914" s="1">
        <v>9</v>
      </c>
      <c r="C12914" s="3">
        <v>44532.820625</v>
      </c>
      <c r="D12914" s="1" t="s">
        <v>25495</v>
      </c>
      <c r="E12914" s="1" t="str">
        <f ca="1">IFERROR(__xludf.DUMMYFUNCTION("GOOGLETRANSLATE(A9713 , ""tr"" , ""en"")"),"@drfahrettinkoca Drop Either Thumbs Up for Crumbs @drfahrettinkoca")</f>
        <v>@drfahrettinkoca Drop Either Thumbs Up for Crumbs @drfahrettinkoca</v>
      </c>
    </row>
    <row r="12915" spans="1:5" ht="15" customHeight="1" x14ac:dyDescent="0.2">
      <c r="A12915" s="1" t="s">
        <v>25496</v>
      </c>
      <c r="B12915" s="1">
        <v>0</v>
      </c>
      <c r="C12915" s="3">
        <v>44532.820381944446</v>
      </c>
      <c r="D12915" s="1" t="s">
        <v>25497</v>
      </c>
      <c r="E12915" s="1" t="str">
        <f ca="1">IFERROR(__xludf.DUMMYFUNCTION("GOOGLETRANSLATE(A9714 , ""tr"" , ""en"")"),"@drfahrettinkoca We are reserved to the opposites of the 4th Biontech bottles you booked the Planemia supporters in the parliament ... https://t.co/cbjcıwvdjz")</f>
        <v>@drfahrettinkoca We are reserved to the opposites of the 4th Biontech bottles you booked the Planemia supporters in the parliament ... https://t.co/cbjcıwvdjz</v>
      </c>
    </row>
    <row r="12916" spans="1:5" ht="15" customHeight="1" x14ac:dyDescent="0.2">
      <c r="A12916" s="1" t="s">
        <v>25498</v>
      </c>
      <c r="B12916" s="1">
        <v>1</v>
      </c>
      <c r="C12916" s="3">
        <v>44532.820057870369</v>
      </c>
      <c r="D12916" s="1" t="s">
        <v>25499</v>
      </c>
      <c r="E12916" s="1" t="str">
        <f ca="1">IFERROR(__xludf.DUMMYFUNCTION("GOOGLETRANSLATE(A9715 , ""tr"" , ""en"")"),"@drfahrettinkoca let allah trouble causing our life to change.")</f>
        <v>@drfahrettinkoca let allah trouble causing our life to change.</v>
      </c>
    </row>
    <row r="12917" spans="1:5" ht="15" customHeight="1" x14ac:dyDescent="0.2">
      <c r="A12917" s="1" t="s">
        <v>25500</v>
      </c>
      <c r="B12917" s="1">
        <v>0</v>
      </c>
      <c r="C12917" s="3">
        <v>44532.8200462963</v>
      </c>
      <c r="D12917" s="1" t="s">
        <v>25501</v>
      </c>
      <c r="E12917" s="1" t="str">
        <f ca="1">IFERROR(__xludf.DUMMYFUNCTION("GOOGLETRANSLATE(A9716 , ""tr"" , ""en"")"),"@drfahrettinkoca Sayin Ministry of KendiMi Bus with AGZINA Corn-up Dawks with Cafes Fullmids Full of Agzina ... https://t.co/to0fqm7erw")</f>
        <v>@drfahrettinkoca Sayin Ministry of KendiMi Bus with AGZINA Corn-up Dawks with Cafes Fullmids Full of Agzina ... https://t.co/to0fqm7erw</v>
      </c>
    </row>
    <row r="12918" spans="1:5" ht="15" customHeight="1" x14ac:dyDescent="0.2">
      <c r="A12918" s="1" t="s">
        <v>25502</v>
      </c>
      <c r="B12918" s="1">
        <v>0</v>
      </c>
      <c r="C12918" s="3">
        <v>44532.82</v>
      </c>
      <c r="D12918" s="1" t="s">
        <v>25503</v>
      </c>
      <c r="E12918" s="1" t="str">
        <f ca="1">IFERROR(__xludf.DUMMYFUNCTION("GOOGLETRANSLATE(A9717 , ""tr"" , ""en"")"),"@drfahrettinkoca When immunization to children under 12 years of age When will you start?")</f>
        <v>@drfahrettinkoca When immunization to children under 12 years of age When will you start?</v>
      </c>
    </row>
    <row r="12919" spans="1:5" ht="15" customHeight="1" x14ac:dyDescent="0.2">
      <c r="A12919" s="1" t="s">
        <v>25504</v>
      </c>
      <c r="B12919" s="1">
        <v>0</v>
      </c>
      <c r="C12919" s="3">
        <v>44532.819953703707</v>
      </c>
      <c r="D12919" s="1" t="s">
        <v>25505</v>
      </c>
      <c r="E12919" s="1" t="str">
        <f ca="1">IFERROR(__xludf.DUMMYFUNCTION("GOOGLETRANSLATE(A9718 , ""tr"" , ""en"")"),"@drfahrettinkoca Koskoca Are you not ashamed when you are reprimanding man? I'm asking you as a citizen ... https://t.co/lbmuh8kcuj")</f>
        <v>@drfahrettinkoca Koskoca Are you not ashamed when you are reprimanding man? I'm asking you as a citizen ... https://t.co/lbmuh8kcuj</v>
      </c>
    </row>
    <row r="12920" spans="1:5" ht="15" customHeight="1" x14ac:dyDescent="0.2">
      <c r="A12920" s="1" t="s">
        <v>25506</v>
      </c>
      <c r="B12920" s="1">
        <v>0</v>
      </c>
      <c r="C12920" s="3">
        <v>44532.81925925926</v>
      </c>
      <c r="D12920" s="1" t="s">
        <v>25507</v>
      </c>
      <c r="E12920" s="1" t="str">
        <f ca="1">IFERROR(__xludf.DUMMYFUNCTION("GOOGLETRANSLATE(A9719 , ""tr"" , ""en"")"),"@drfahrettinkoca Pfizer is hiding them to the court. https://t.co/fzlfrhw6pf")</f>
        <v>@drfahrettinkoca Pfizer is hiding them to the court. https://t.co/fzlfrhw6pf</v>
      </c>
    </row>
    <row r="12921" spans="1:5" ht="15" customHeight="1" x14ac:dyDescent="0.2">
      <c r="A12921" s="1" t="s">
        <v>25508</v>
      </c>
      <c r="B12921" s="1">
        <v>0</v>
      </c>
      <c r="C12921" s="3">
        <v>44532.819224537037</v>
      </c>
      <c r="D12921" s="1" t="s">
        <v>25509</v>
      </c>
      <c r="E12921" s="1" t="str">
        <f ca="1">IFERROR(__xludf.DUMMYFUNCTION("GOOGLETRANSLATE(A9720 , ""tr"" , ""en"")"),"@drfahrettinka https://t.co/wtlvdmv1ax")</f>
        <v>@drfahrettinka https://t.co/wtlvdmv1ax</v>
      </c>
    </row>
    <row r="12922" spans="1:5" ht="15" customHeight="1" x14ac:dyDescent="0.2">
      <c r="A12922" s="1" t="s">
        <v>25510</v>
      </c>
      <c r="B12922" s="1">
        <v>25</v>
      </c>
      <c r="C12922" s="3">
        <v>44532.818854166668</v>
      </c>
      <c r="D12922" s="1" t="s">
        <v>25511</v>
      </c>
      <c r="E12922" s="1" t="str">
        <f ca="1">IFERROR(__xludf.DUMMYFUNCTION("GOOGLETRANSLATE(A9721 , ""tr"" , ""en"")"),"@drfahrettinkoca phase3 and phase4 have injected the nation as the vaccine of the Denysel Liquids, which has not completed the fax ..!? Allah '... https://t.co/o280t8grt6")</f>
        <v>@drfahrettinkoca phase3 and phase4 have injected the nation as the vaccine of the Denysel Liquids, which has not completed the fax ..!? Allah '... https://t.co/o280t8grt6</v>
      </c>
    </row>
    <row r="12923" spans="1:5" ht="15" customHeight="1" x14ac:dyDescent="0.2">
      <c r="A12923" s="1" t="s">
        <v>25512</v>
      </c>
      <c r="B12923" s="1">
        <v>0</v>
      </c>
      <c r="C12923" s="3">
        <v>44532.818553240744</v>
      </c>
      <c r="D12923" s="1" t="s">
        <v>25513</v>
      </c>
      <c r="E12923" s="1" t="str">
        <f ca="1">IFERROR(__xludf.DUMMYFUNCTION("GOOGLETRANSLATE(A9722 , ""tr"" , ""en"")"),"@drfahrettinkoca Syrian Cardesinzi so love you so much SMA Li dolls get pityes not yours ..... https://t.co/ywxgjh3AID")</f>
        <v>@drfahrettinkoca Syrian Cardesinzi so love you so much SMA Li dolls get pityes not yours ..... https://t.co/ywxgjh3AID</v>
      </c>
    </row>
    <row r="12924" spans="1:5" ht="15" customHeight="1" x14ac:dyDescent="0.2">
      <c r="A12924" s="1" t="s">
        <v>25514</v>
      </c>
      <c r="B12924" s="1">
        <v>0</v>
      </c>
      <c r="C12924" s="3">
        <v>44532.818078703705</v>
      </c>
      <c r="D12924" s="1" t="s">
        <v>25515</v>
      </c>
      <c r="E12924" s="1" t="str">
        <f ca="1">IFERROR(__xludf.DUMMYFUNCTION("GOOGLETRANSLATE(A9723 , ""tr"" , ""en"")"),"@drfahrettinkoca I killed you with death drugs I killed the treatments by postponing you that I made you guinea pigs for phase 3 ... https://t.co/hzws4qyd4l")</f>
        <v>@drfahrettinkoca I killed you with death drugs I killed the treatments by postponing you that I made you guinea pigs for phase 3 ... https://t.co/hzws4qyd4l</v>
      </c>
    </row>
    <row r="12925" spans="1:5" ht="15" customHeight="1" x14ac:dyDescent="0.2">
      <c r="A12925" s="1" t="s">
        <v>25516</v>
      </c>
      <c r="B12925" s="1">
        <v>18</v>
      </c>
      <c r="C12925" s="3">
        <v>44532.818032407406</v>
      </c>
      <c r="D12925" s="1" t="s">
        <v>25517</v>
      </c>
      <c r="E12925" s="1" t="str">
        <f ca="1">IFERROR(__xludf.DUMMYFUNCTION("GOOGLETRANSLATE(A9724 , ""tr"" , ""en"")"),"@drfahrettinkoca Non-physician health workers have heard to do the action of leaving business? @drfahrettinkoca #wealthy")</f>
        <v>@drfahrettinkoca Non-physician health workers have heard to do the action of leaving business? @drfahrettinkoca #wealthy</v>
      </c>
    </row>
    <row r="12926" spans="1:5" ht="15" customHeight="1" x14ac:dyDescent="0.2">
      <c r="A12926" s="1" t="s">
        <v>25518</v>
      </c>
      <c r="B12926" s="1">
        <v>0</v>
      </c>
      <c r="C12926" s="3">
        <v>44532.817939814813</v>
      </c>
      <c r="D12926" s="1" t="s">
        <v>25519</v>
      </c>
      <c r="E12926" s="1" t="str">
        <f ca="1">IFERROR(__xludf.DUMMYFUNCTION("GOOGLETRANSLATE(A9725 , ""tr"" , ""en"")"),"@drfahrettinka I'm around everyone who has been vaccinated Although it has been the kodid, why aren't many people lost your life why are we vaccinated?")</f>
        <v>@drfahrettinka I'm around everyone who has been vaccinated Although it has been the kodid, why aren't many people lost your life why are we vaccinated?</v>
      </c>
    </row>
    <row r="12927" spans="1:5" ht="15" customHeight="1" x14ac:dyDescent="0.2">
      <c r="A12927" s="1" t="s">
        <v>25520</v>
      </c>
      <c r="B12927" s="1">
        <v>0</v>
      </c>
      <c r="C12927" s="3">
        <v>44532.817175925928</v>
      </c>
      <c r="D12927" s="1" t="s">
        <v>25521</v>
      </c>
      <c r="E12927" s="1" t="str">
        <f ca="1">IFERROR(__xludf.DUMMYFUNCTION("GOOGLETRANSLATE(A9726 , ""tr"" , ""en"")"),"@drfahrettinkoca If you have seen your sensitivity to the other health worker who worked in Pandemide Cansiperane.")</f>
        <v>@drfahrettinkoca If you have seen your sensitivity to the other health worker who worked in Pandemide Cansiperane.</v>
      </c>
    </row>
    <row r="12928" spans="1:5" ht="15" customHeight="1" x14ac:dyDescent="0.2">
      <c r="A12928" s="1" t="s">
        <v>25363</v>
      </c>
      <c r="B12928" s="1">
        <v>4</v>
      </c>
      <c r="C12928" s="3">
        <v>44532.816331018519</v>
      </c>
      <c r="D12928" s="1" t="s">
        <v>25522</v>
      </c>
      <c r="E12928" s="1" t="str">
        <f ca="1">IFERROR(__xludf.DUMMYFUNCTION("GOOGLETRANSLATE(A9727 , ""tr"" , ""en"")"),"@drfahrettinkoca # Healthconships")</f>
        <v>@drfahrettinkoca # Healthconships</v>
      </c>
    </row>
    <row r="12929" spans="1:5" ht="15" customHeight="1" x14ac:dyDescent="0.2">
      <c r="A12929" s="1" t="s">
        <v>25523</v>
      </c>
      <c r="B12929" s="1">
        <v>0</v>
      </c>
      <c r="C12929" s="3">
        <v>44532.816134259258</v>
      </c>
      <c r="D12929" s="1" t="s">
        <v>25524</v>
      </c>
      <c r="E12929" s="1" t="str">
        <f ca="1">IFERROR(__xludf.DUMMYFUNCTION("GOOGLETRANSLATE(A9728 , ""tr"" , ""en"")"),"@drfahrettinkoca Mr. Minister, I don't wear you anymore")</f>
        <v>@drfahrettinkoca Mr. Minister, I don't wear you anymore</v>
      </c>
    </row>
    <row r="12930" spans="1:5" ht="15" customHeight="1" x14ac:dyDescent="0.2">
      <c r="A12930" s="1" t="s">
        <v>25525</v>
      </c>
      <c r="B12930" s="1">
        <v>4</v>
      </c>
      <c r="C12930" s="3">
        <v>44532.815659722219</v>
      </c>
      <c r="D12930" s="1" t="s">
        <v>25526</v>
      </c>
      <c r="E12930" s="1" t="str">
        <f ca="1">IFERROR(__xludf.DUMMYFUNCTION("GOOGLETRANSLATE(A9729 , ""tr"" , ""en"")"),"@drfahrettinkoca where do you hide cases until you're going to fool the nation?")</f>
        <v>@drfahrettinkoca where do you hide cases until you're going to fool the nation?</v>
      </c>
    </row>
    <row r="12931" spans="1:5" ht="15" customHeight="1" x14ac:dyDescent="0.2">
      <c r="A12931" s="1" t="s">
        <v>25527</v>
      </c>
      <c r="B12931" s="1">
        <v>3</v>
      </c>
      <c r="C12931" s="3">
        <v>44532.814826388887</v>
      </c>
      <c r="D12931" s="1" t="s">
        <v>25528</v>
      </c>
      <c r="E12931" s="1" t="str">
        <f ca="1">IFERROR(__xludf.DUMMYFUNCTION("GOOGLETRANSLATE(A9730 , ""tr"" , ""en"")"),"@drfahrettinkoca Ente Mevlana Fensurna Alel Gavmil Kafirin ..! Help us against the cruel community Allah ... https://t.co/gzh0fhq7IJ")</f>
        <v>@drfahrettinkoca Ente Mevlana Fensurna Alel Gavmil Kafirin ..! Help us against the cruel community Allah ... https://t.co/gzh0fhq7IJ</v>
      </c>
    </row>
    <row r="12932" spans="1:5" ht="15" customHeight="1" x14ac:dyDescent="0.2">
      <c r="A12932" s="1" t="s">
        <v>25529</v>
      </c>
      <c r="B12932" s="1">
        <v>1</v>
      </c>
      <c r="C12932" s="3">
        <v>44532.814745370371</v>
      </c>
      <c r="D12932" s="1" t="s">
        <v>25530</v>
      </c>
      <c r="E12932" s="1" t="str">
        <f ca="1">IFERROR(__xludf.DUMMYFUNCTION("GOOGLETRANSLATE(A9731 , ""tr"" , ""en"")"),"@drfahrettinkoca ""So flex to flex the measures"" is incorrectly Minister to Minister to Okremiz Gordugum as well as measures U ... https://t.co/9nutdvgdxo")</f>
        <v>@drfahrettinkoca "So flex to flex the measures" is incorrectly Minister to Minister to Okremiz Gordugum as well as measures U ... https://t.co/9nutdvgdxo</v>
      </c>
    </row>
    <row r="12933" spans="1:5" ht="15" customHeight="1" x14ac:dyDescent="0.2">
      <c r="A12933" s="1" t="s">
        <v>25531</v>
      </c>
      <c r="B12933" s="1">
        <v>2</v>
      </c>
      <c r="C12933" s="3">
        <v>44532.814259259256</v>
      </c>
      <c r="D12933" s="1" t="s">
        <v>25532</v>
      </c>
      <c r="E12933" s="1" t="str">
        <f ca="1">IFERROR(__xludf.DUMMYFUNCTION("GOOGLETRANSLATE(A9732 , ""tr"" , ""en"")"),"@drfahrettinkoca I read the comments not only one person supporting you. I wonder why?")</f>
        <v>@drfahrettinkoca I read the comments not only one person supporting you. I wonder why?</v>
      </c>
    </row>
    <row r="12934" spans="1:5" ht="15" customHeight="1" x14ac:dyDescent="0.2">
      <c r="A12934" s="1" t="s">
        <v>25533</v>
      </c>
      <c r="B12934" s="1">
        <v>4</v>
      </c>
      <c r="C12934" s="3">
        <v>44532.812951388885</v>
      </c>
      <c r="D12934" s="1" t="s">
        <v>25534</v>
      </c>
      <c r="E12934" s="1" t="str">
        <f ca="1">IFERROR(__xludf.DUMMYFUNCTION("GOOGLETRANSLATE(A9733 , ""tr"" , ""en"")"),"@drfahrettinkoca You still have no conscience, where are you still fooling nation?")</f>
        <v>@drfahrettinkoca You still have no conscience, where are you still fooling nation?</v>
      </c>
    </row>
    <row r="12935" spans="1:5" ht="15" customHeight="1" x14ac:dyDescent="0.2">
      <c r="A12935" s="1" t="s">
        <v>25535</v>
      </c>
      <c r="B12935" s="1">
        <v>0</v>
      </c>
      <c r="C12935" s="3">
        <v>44532.812650462962</v>
      </c>
      <c r="D12935" s="1" t="s">
        <v>25536</v>
      </c>
      <c r="E12935" s="1" t="str">
        <f ca="1">IFERROR(__xludf.DUMMYFUNCTION("GOOGLETRANSLATE(A9734 , ""tr"" , ""en"")"),"@drfahrettinkoca Ok we be careful")</f>
        <v>@drfahrettinkoca Ok we be careful</v>
      </c>
    </row>
    <row r="12936" spans="1:5" ht="15" customHeight="1" x14ac:dyDescent="0.2">
      <c r="A12936" s="1" t="s">
        <v>25363</v>
      </c>
      <c r="B12936" s="1">
        <v>4</v>
      </c>
      <c r="C12936" s="3">
        <v>44532.812141203707</v>
      </c>
      <c r="D12936" s="1" t="s">
        <v>25537</v>
      </c>
      <c r="E12936" s="1" t="str">
        <f ca="1">IFERROR(__xludf.DUMMYFUNCTION("GOOGLETRANSLATE(A9735 , ""tr"" , ""en"")"),"@drfahrettinkoca # Healthconships")</f>
        <v>@drfahrettinkoca # Healthconships</v>
      </c>
    </row>
    <row r="12937" spans="1:5" ht="15" customHeight="1" x14ac:dyDescent="0.2">
      <c r="A12937" s="1" t="s">
        <v>25538</v>
      </c>
      <c r="B12937" s="1">
        <v>0</v>
      </c>
      <c r="C12937" s="3">
        <v>44532.811099537037</v>
      </c>
      <c r="D12937" s="1" t="s">
        <v>25539</v>
      </c>
      <c r="E12937" s="1" t="str">
        <f ca="1">IFERROR(__xludf.DUMMYFUNCTION("GOOGLETRANSLATE(A9736 , ""tr"" , ""en"")"),"@drfahrettinkoca Ministry is now rather than disclosing daily data, if you give this assignment promise to the moment ... https://t.co/dumxı8t7e7")</f>
        <v>@drfahrettinkoca Ministry is now rather than disclosing daily data, if you give this assignment promise to the moment ... https://t.co/dumxı8t7e7</v>
      </c>
    </row>
    <row r="12938" spans="1:5" ht="15" customHeight="1" x14ac:dyDescent="0.2">
      <c r="A12938" s="1" t="s">
        <v>25540</v>
      </c>
      <c r="B12938" s="1">
        <v>0</v>
      </c>
      <c r="C12938" s="3">
        <v>44532.811053240737</v>
      </c>
      <c r="D12938" s="1" t="s">
        <v>25541</v>
      </c>
      <c r="E12938" s="1" t="str">
        <f ca="1">IFERROR(__xludf.DUMMYFUNCTION("GOOGLETRANSLATE(A9737 , ""tr"" , ""en"")"),"@drfahrettinka the next 2 years is very critical")</f>
        <v>@drfahrettinka the next 2 years is very critical</v>
      </c>
    </row>
    <row r="12939" spans="1:5" ht="15" customHeight="1" x14ac:dyDescent="0.2">
      <c r="A12939" s="1" t="s">
        <v>25542</v>
      </c>
      <c r="B12939" s="1">
        <v>57</v>
      </c>
      <c r="C12939" s="3">
        <v>44532.811041666668</v>
      </c>
      <c r="D12939" s="1" t="s">
        <v>25543</v>
      </c>
      <c r="E12939" s="1" t="str">
        <f ca="1">IFERROR(__xludf.DUMMYFUNCTION("GOOGLETRANSLATE(A9738 , ""tr"" , ""en"")"),"@drfahrettinkoca is the precaution? Or even contacted tracking. ... https://t.co/l8mxmjyw0x")</f>
        <v>@drfahrettinkoca is the precaution? Or even contacted tracking. ... https://t.co/l8mxmjyw0x</v>
      </c>
    </row>
    <row r="12940" spans="1:5" ht="15" customHeight="1" x14ac:dyDescent="0.2">
      <c r="A12940" s="1" t="s">
        <v>25544</v>
      </c>
      <c r="B12940" s="1">
        <v>0</v>
      </c>
      <c r="C12940" s="3">
        <v>44532.810011574074</v>
      </c>
      <c r="D12940" s="1" t="s">
        <v>25545</v>
      </c>
      <c r="E12940" s="1" t="str">
        <f ca="1">IFERROR(__xludf.DUMMYFUNCTION("GOOGLETRANSLATE(A9739 , ""tr"" , ""en"")"),"@drfahrettinka https://t.co/qogzdwszmx")</f>
        <v>@drfahrettinka https://t.co/qogzdwszmx</v>
      </c>
    </row>
    <row r="12941" spans="1:5" ht="15" customHeight="1" x14ac:dyDescent="0.2">
      <c r="A12941" s="1" t="s">
        <v>25546</v>
      </c>
      <c r="B12941" s="1">
        <v>0</v>
      </c>
      <c r="C12941" s="3">
        <v>44532.809502314813</v>
      </c>
      <c r="D12941" s="1" t="s">
        <v>25547</v>
      </c>
      <c r="E12941" s="1" t="str">
        <f ca="1">IFERROR(__xludf.DUMMYFUNCTION("GOOGLETRANSLATE(A9740 , ""tr"" , ""en"")"),"@drfahrettinkoca Vallaha We were fed up or got fed up with the billa.")</f>
        <v>@drfahrettinkoca Vallaha We were fed up or got fed up with the billa.</v>
      </c>
    </row>
    <row r="12942" spans="1:5" ht="15" customHeight="1" x14ac:dyDescent="0.2">
      <c r="A12942" s="1" t="s">
        <v>25548</v>
      </c>
      <c r="B12942" s="1">
        <v>0</v>
      </c>
      <c r="C12942" s="3">
        <v>44532.809421296297</v>
      </c>
      <c r="D12942" s="1" t="s">
        <v>25549</v>
      </c>
      <c r="E12942" s="1" t="str">
        <f ca="1">IFERROR(__xludf.DUMMYFUNCTION("GOOGLETRANSLATE(A9741 , ""tr"" , ""en"")"),"@drfahrettinka https://t.co/r5rrmsfsmo")</f>
        <v>@drfahrettinka https://t.co/r5rrmsfsmo</v>
      </c>
    </row>
    <row r="12943" spans="1:5" ht="15" customHeight="1" x14ac:dyDescent="0.2">
      <c r="A12943" s="1" t="s">
        <v>25550</v>
      </c>
      <c r="B12943" s="1">
        <v>3</v>
      </c>
      <c r="C12943" s="3">
        <v>44532.809120370373</v>
      </c>
      <c r="D12943" s="1" t="s">
        <v>25551</v>
      </c>
      <c r="E12943" s="1" t="str">
        <f ca="1">IFERROR(__xludf.DUMMYFUNCTION("GOOGLETRANSLATE(A9742 , ""tr"" , ""en"")"),"@drfahrettinkoca How do you have a heart how do you have a heart? Human life Coukadard worthless worthless your eye ... https://t.co/9wjgf3flhi")</f>
        <v>@drfahrettinkoca How do you have a heart how do you have a heart? Human life Coukadard worthless worthless your eye ... https://t.co/9wjgf3flhi</v>
      </c>
    </row>
    <row r="12944" spans="1:5" ht="15" customHeight="1" x14ac:dyDescent="0.2">
      <c r="A12944" s="1" t="s">
        <v>25552</v>
      </c>
      <c r="B12944" s="1">
        <v>3</v>
      </c>
      <c r="C12944" s="3">
        <v>44532.80908564815</v>
      </c>
      <c r="D12944" s="1" t="s">
        <v>25553</v>
      </c>
      <c r="E12944" s="1" t="str">
        <f ca="1">IFERROR(__xludf.DUMMYFUNCTION("GOOGLETRANSLATE(A9743 , ""tr"" , ""en"")"),"@drfahrettinka you poison the people of people who died died of the mental health ruined all kinds of material spiritual damage")</f>
        <v>@drfahrettinka you poison the people of people who died died of the mental health ruined all kinds of material spiritual damage</v>
      </c>
    </row>
    <row r="12945" spans="1:5" ht="15" customHeight="1" x14ac:dyDescent="0.2">
      <c r="A12945" s="1" t="s">
        <v>25554</v>
      </c>
      <c r="B12945" s="1">
        <v>1</v>
      </c>
      <c r="C12945" s="3">
        <v>44532.808530092596</v>
      </c>
      <c r="D12945" s="1" t="s">
        <v>25555</v>
      </c>
      <c r="E12945" s="1" t="str">
        <f ca="1">IFERROR(__xludf.DUMMYFUNCTION("GOOGLETRANSLATE(A9744 , ""tr"" , ""en"")"),"@drfahrettinka The quality of the vaccine around me was 480 pixels https://t.co/l2i3lo08ay")</f>
        <v>@drfahrettinka The quality of the vaccine around me was 480 pixels https://t.co/l2i3lo08ay</v>
      </c>
    </row>
    <row r="12946" spans="1:5" ht="15" customHeight="1" x14ac:dyDescent="0.2">
      <c r="A12946" s="1" t="s">
        <v>25556</v>
      </c>
      <c r="B12946" s="1">
        <v>0</v>
      </c>
      <c r="C12946" s="3">
        <v>44532.808310185188</v>
      </c>
      <c r="D12946" s="1" t="s">
        <v>25557</v>
      </c>
      <c r="E12946" s="1" t="str">
        <f ca="1">IFERROR(__xludf.DUMMYFUNCTION("GOOGLETRANSLATE(A9745 , ""tr"" , ""en"")"),"@drfahrettinka https://t.co/3f9qqqezzf")</f>
        <v>@drfahrettinka https://t.co/3f9qqqezzf</v>
      </c>
    </row>
    <row r="12947" spans="1:5" ht="15" customHeight="1" x14ac:dyDescent="0.2">
      <c r="A12947" s="1" t="s">
        <v>25558</v>
      </c>
      <c r="B12947" s="1">
        <v>180</v>
      </c>
      <c r="C12947" s="3">
        <v>44532.80741898148</v>
      </c>
      <c r="D12947" s="1" t="s">
        <v>25559</v>
      </c>
      <c r="E12947" s="1" t="str">
        <f ca="1">IFERROR(__xludf.DUMMYFUNCTION("GOOGLETRANSLATE(A9746 , ""tr"" , ""en"")"),"@drfahrettinkoca Before the vaccine was very healthy before two dose of vaccines after two dose of vaccine is constantly getting sick.")</f>
        <v>@drfahrettinkoca Before the vaccine was very healthy before two dose of vaccines after two dose of vaccine is constantly getting sick.</v>
      </c>
    </row>
    <row r="12948" spans="1:5" ht="15" customHeight="1" x14ac:dyDescent="0.2">
      <c r="A12948" s="1" t="s">
        <v>25560</v>
      </c>
      <c r="B12948" s="1">
        <v>0</v>
      </c>
      <c r="C12948" s="3">
        <v>44532.807372685187</v>
      </c>
      <c r="D12948" s="1" t="s">
        <v>25561</v>
      </c>
      <c r="E12948" s="1" t="str">
        <f ca="1">IFERROR(__xludf.DUMMYFUNCTION("GOOGLETRANSLATE(A9747 , ""tr"" , ""en"")"),"@drfahrettinkoca has not changed our life. We live the same. If you notice you, it's ok for us.")</f>
        <v>@drfahrettinkoca has not changed our life. We live the same. If you notice you, it's ok for us.</v>
      </c>
    </row>
    <row r="12949" spans="1:5" ht="15" customHeight="1" x14ac:dyDescent="0.2">
      <c r="A12949" s="1" t="s">
        <v>25562</v>
      </c>
      <c r="B12949" s="1">
        <v>0</v>
      </c>
      <c r="C12949" s="3">
        <v>44532.807118055556</v>
      </c>
      <c r="D12949" s="1" t="s">
        <v>25563</v>
      </c>
      <c r="E12949" s="1" t="str">
        <f ca="1">IFERROR(__xludf.DUMMYFUNCTION("GOOGLETRANSLATE(A9748 , ""tr"" , ""en"")"),"@drfahrettinkoca bungun said you're done too.")</f>
        <v>@drfahrettinkoca bungun said you're done too.</v>
      </c>
    </row>
    <row r="12950" spans="1:5" ht="15" customHeight="1" x14ac:dyDescent="0.2">
      <c r="A12950" s="1" t="s">
        <v>25564</v>
      </c>
      <c r="B12950" s="1">
        <v>0</v>
      </c>
      <c r="C12950" s="3">
        <v>44532.806747685187</v>
      </c>
      <c r="D12950" s="1" t="s">
        <v>25565</v>
      </c>
      <c r="E12950" s="1" t="str">
        <f ca="1">IFERROR(__xludf.DUMMYFUNCTION("GOOGLETRANSLATE(A9749 , ""tr"" , ""en"")"),"@drfahrettinka how much vaccine is the death of the heart")</f>
        <v>@drfahrettinka how much vaccine is the death of the heart</v>
      </c>
    </row>
    <row r="12951" spans="1:5" ht="15" customHeight="1" x14ac:dyDescent="0.2">
      <c r="A12951" s="1" t="s">
        <v>25566</v>
      </c>
      <c r="B12951" s="1">
        <v>2</v>
      </c>
      <c r="C12951" s="3">
        <v>44532.806689814817</v>
      </c>
      <c r="D12951" s="1" t="s">
        <v>25567</v>
      </c>
      <c r="E12951" s="1" t="str">
        <f ca="1">IFERROR(__xludf.DUMMYFUNCTION("GOOGLETRANSLATE(A9750 , ""tr"" , ""en"")"),"@drfahrettinkoca @saglikbakanligi How is a lying burst of confidence in this tweets! Precautions Flexible ... https://t.co/go7s98vyeh")</f>
        <v>@drfahrettinkoca @saglikbakanligi How is a lying burst of confidence in this tweets! Precautions Flexible ... https://t.co/go7s98vyeh</v>
      </c>
    </row>
    <row r="12952" spans="1:5" ht="15" customHeight="1" x14ac:dyDescent="0.2">
      <c r="A12952" s="1" t="s">
        <v>25568</v>
      </c>
      <c r="B12952" s="1">
        <v>0</v>
      </c>
      <c r="C12952" s="3">
        <v>44532.806631944448</v>
      </c>
      <c r="D12952" s="1" t="s">
        <v>25569</v>
      </c>
      <c r="E12952" s="1" t="str">
        <f ca="1">IFERROR(__xludf.DUMMYFUNCTION("GOOGLETRANSLATE(A9751 , ""tr"" , ""en"")"),"@drfahrettinkoca If you have honor quit https://t.co/gbf3b69lyr")</f>
        <v>@drfahrettinkoca If you have honor quit https://t.co/gbf3b69lyr</v>
      </c>
    </row>
    <row r="12953" spans="1:5" ht="15" customHeight="1" x14ac:dyDescent="0.2">
      <c r="A12953" s="1" t="s">
        <v>25570</v>
      </c>
      <c r="B12953" s="1">
        <v>0</v>
      </c>
      <c r="C12953" s="3">
        <v>44532.806354166663</v>
      </c>
      <c r="D12953" s="1" t="s">
        <v>25571</v>
      </c>
      <c r="E12953" s="1" t="str">
        <f ca="1">IFERROR(__xludf.DUMMYFUNCTION("GOOGLETRANSLATE(A9752 , ""tr"" , ""en"")"),"@drfahrettinkoca Just like thousands of people in the first days is it like the funeral of the sectarian leader or the AKP rally ??")</f>
        <v>@drfahrettinkoca Just like thousands of people in the first days is it like the funeral of the sectarian leader or the AKP rally ??</v>
      </c>
    </row>
    <row r="12954" spans="1:5" ht="15" customHeight="1" x14ac:dyDescent="0.2">
      <c r="A12954" s="1" t="s">
        <v>25572</v>
      </c>
      <c r="B12954" s="1">
        <v>0</v>
      </c>
      <c r="C12954" s="3">
        <v>44532.806319444448</v>
      </c>
      <c r="D12954" s="1" t="s">
        <v>25573</v>
      </c>
      <c r="E12954" s="1" t="str">
        <f ca="1">IFERROR(__xludf.DUMMYFUNCTION("GOOGLETRANSLATE(A9753 , ""tr"" , ""en"")"),"@drfahrettinkoca I'm writing I'm deleting I'm deleting but I can't find the word to tell the status of the community that will express myself")</f>
        <v>@drfahrettinkoca I'm writing I'm deleting I'm deleting but I can't find the word to tell the status of the community that will express myself</v>
      </c>
    </row>
    <row r="12955" spans="1:5" ht="15" customHeight="1" x14ac:dyDescent="0.2">
      <c r="A12955" s="1" t="s">
        <v>25574</v>
      </c>
      <c r="B12955" s="1">
        <v>0</v>
      </c>
      <c r="C12955" s="3">
        <v>44532.806168981479</v>
      </c>
      <c r="D12955" s="1" t="s">
        <v>25575</v>
      </c>
      <c r="E12955" s="1" t="str">
        <f ca="1">IFERROR(__xludf.DUMMYFUNCTION("GOOGLETRANSLATE(A9754 , ""tr"" , ""en"")"),"@drfahrettinkoca Hani 40 Thousand Healthier Will Appeal 🙄")</f>
        <v>@drfahrettinkoca Hani 40 Thousand Healthier Will Appeal 🙄</v>
      </c>
    </row>
    <row r="12956" spans="1:5" ht="15" customHeight="1" x14ac:dyDescent="0.2">
      <c r="A12956" s="1" t="s">
        <v>25576</v>
      </c>
      <c r="B12956" s="1">
        <v>0</v>
      </c>
      <c r="C12956" s="3">
        <v>44532.805277777778</v>
      </c>
      <c r="D12956" s="1" t="s">
        <v>25577</v>
      </c>
      <c r="E12956" s="1" t="str">
        <f ca="1">IFERROR(__xludf.DUMMYFUNCTION("GOOGLETRANSLATE(A9755 , ""tr"" , ""en"")"),"@drfahrettinkoca We don't know how to expect anything still, but the patience has an end.")</f>
        <v>@drfahrettinkoca We don't know how to expect anything still, but the patience has an end.</v>
      </c>
    </row>
    <row r="12957" spans="1:5" ht="15" customHeight="1" x14ac:dyDescent="0.2">
      <c r="A12957" s="1" t="s">
        <v>25578</v>
      </c>
      <c r="B12957" s="1">
        <v>0</v>
      </c>
      <c r="C12957" s="3">
        <v>44532.804583333331</v>
      </c>
      <c r="D12957" s="1" t="s">
        <v>25579</v>
      </c>
      <c r="E12957" s="1" t="str">
        <f ca="1">IFERROR(__xludf.DUMMYFUNCTION("GOOGLETRANSLATE(A9756 , ""tr"" , ""en"")"),"@drfahrettinkoca You have conducted the Turkish nation to drug companies. Let us be haram.")</f>
        <v>@drfahrettinkoca You have conducted the Turkish nation to drug companies. Let us be haram.</v>
      </c>
    </row>
    <row r="12958" spans="1:5" ht="15" customHeight="1" x14ac:dyDescent="0.2">
      <c r="A12958" s="1" t="s">
        <v>25580</v>
      </c>
      <c r="B12958" s="1">
        <v>0</v>
      </c>
      <c r="C12958" s="3">
        <v>44532.80431712963</v>
      </c>
      <c r="D12958" s="1" t="s">
        <v>25581</v>
      </c>
      <c r="E12958" s="1" t="str">
        <f ca="1">IFERROR(__xludf.DUMMYFUNCTION("GOOGLETRANSLATE(A9757 , ""tr"" , ""en"")"),"@drfahrettinka is called ""spine"" to the bone sequence that allows you to stand upright.")</f>
        <v>@drfahrettinka is called "spine" to the bone sequence that allows you to stand upright.</v>
      </c>
    </row>
    <row r="12959" spans="1:5" ht="15" customHeight="1" x14ac:dyDescent="0.2">
      <c r="A12959" s="1" t="s">
        <v>25582</v>
      </c>
      <c r="B12959" s="1">
        <v>22</v>
      </c>
      <c r="C12959" s="3">
        <v>44532.802465277775</v>
      </c>
      <c r="D12959" s="1" t="s">
        <v>25583</v>
      </c>
      <c r="E12959" s="1" t="str">
        <f ca="1">IFERROR(__xludf.DUMMYFUNCTION("GOOGLETRANSLATE(A9758 , ""tr"" , ""en"")"),"@drfahrettinka schools are completely normal. All kinds of meeting, ceremonies and courses are made in schools. Classes 50-60 children ... https://t.co/p8uam0kjs2")</f>
        <v>@drfahrettinka schools are completely normal. All kinds of meeting, ceremonies and courses are made in schools. Classes 50-60 children ... https://t.co/p8uam0kjs2</v>
      </c>
    </row>
    <row r="12960" spans="1:5" ht="15" customHeight="1" x14ac:dyDescent="0.2">
      <c r="A12960" s="1" t="s">
        <v>25584</v>
      </c>
      <c r="B12960" s="1">
        <v>0</v>
      </c>
      <c r="C12960" s="3">
        <v>44532.802384259259</v>
      </c>
      <c r="D12960" s="1" t="s">
        <v>25585</v>
      </c>
      <c r="E12960" s="1" t="str">
        <f ca="1">IFERROR(__xludf.DUMMYFUNCTION("GOOGLETRANSLATE(A9759 , ""tr"" , ""en"")"),"@drfahrettinkoca sn facing output fighting night my nightmills with a writing of your staff who adds the night to day night ... https://t.co/o1upfli59p")</f>
        <v>@drfahrettinkoca sn facing output fighting night my nightmills with a writing of your staff who adds the night to day night ... https://t.co/o1upfli59p</v>
      </c>
    </row>
    <row r="12961" spans="1:5" ht="15" customHeight="1" x14ac:dyDescent="0.2">
      <c r="A12961" s="1" t="s">
        <v>25363</v>
      </c>
      <c r="B12961" s="1">
        <v>3</v>
      </c>
      <c r="C12961" s="3">
        <v>44532.800856481481</v>
      </c>
      <c r="D12961" s="1" t="s">
        <v>25586</v>
      </c>
      <c r="E12961" s="1" t="str">
        <f ca="1">IFERROR(__xludf.DUMMYFUNCTION("GOOGLETRANSLATE(A9760 , ""tr"" , ""en"")"),"@drfahrettinkoca # Healthconships")</f>
        <v>@drfahrettinkoca # Healthconships</v>
      </c>
    </row>
    <row r="12962" spans="1:5" ht="15" customHeight="1" x14ac:dyDescent="0.2">
      <c r="A12962" s="1" t="s">
        <v>25587</v>
      </c>
      <c r="B12962" s="1">
        <v>0</v>
      </c>
      <c r="C12962" s="3">
        <v>44532.800520833334</v>
      </c>
      <c r="D12962" s="1" t="s">
        <v>25588</v>
      </c>
      <c r="E12962" s="1" t="str">
        <f ca="1">IFERROR(__xludf.DUMMYFUNCTION("GOOGLETRANSLATE(A9761 , ""tr"" , ""en"")"),"@drfahrettinkoca Allah for Allah !!!!")</f>
        <v>@drfahrettinkoca Allah for Allah !!!!</v>
      </c>
    </row>
    <row r="12963" spans="1:5" ht="15" customHeight="1" x14ac:dyDescent="0.2">
      <c r="A12963" s="1" t="s">
        <v>25589</v>
      </c>
      <c r="B12963" s="1">
        <v>5</v>
      </c>
      <c r="C12963" s="3">
        <v>44532.800439814811</v>
      </c>
      <c r="D12963" s="1" t="s">
        <v>25590</v>
      </c>
      <c r="E12963" s="1" t="str">
        <f ca="1">IFERROR(__xludf.DUMMYFUNCTION("GOOGLETRANSLATE(A9762 , ""tr"" , ""en"")"),"@drfahrettinkoca 🔴 Professor Dr. Mehmet Ceyhan: ""Omicron variant has also in Turkey."" #Kiekkuruluoehrencileronlineli")</f>
        <v>@drfahrettinkoca 🔴 Professor Dr. Mehmet Ceyhan: "Omicron variant has also in Turkey." #Kiekkuruluoehrencileronlineli</v>
      </c>
    </row>
    <row r="12964" spans="1:5" ht="15" customHeight="1" x14ac:dyDescent="0.2">
      <c r="A12964" s="1" t="s">
        <v>25591</v>
      </c>
      <c r="B12964" s="1">
        <v>0</v>
      </c>
      <c r="C12964" s="3">
        <v>44532.800358796296</v>
      </c>
      <c r="D12964" s="1" t="s">
        <v>25592</v>
      </c>
      <c r="E12964" s="1" t="str">
        <f ca="1">IFERROR(__xludf.DUMMYFUNCTION("GOOGLETRANSLATE(A9763 , ""tr"" , ""en"")"),"@drfahrettinkoca is not imputed to those who are no rebelies I've been to the 2 dose of overdose")</f>
        <v>@drfahrettinkoca is not imputed to those who are no rebelies I've been to the 2 dose of overdose</v>
      </c>
    </row>
    <row r="12965" spans="1:5" ht="15" customHeight="1" x14ac:dyDescent="0.2">
      <c r="A12965" s="1" t="s">
        <v>25593</v>
      </c>
      <c r="B12965" s="1">
        <v>1</v>
      </c>
      <c r="C12965" s="3">
        <v>44532.799432870372</v>
      </c>
      <c r="D12965" s="1" t="s">
        <v>25594</v>
      </c>
      <c r="E12965" s="1" t="str">
        <f ca="1">IFERROR(__xludf.DUMMYFUNCTION("GOOGLETRANSLATE(A9764 , ""tr"" , ""en"")"),"@drfahrettinka Let's put on the labor we have given for many years. I umredi in pandemide in the morning for 2 years ... https://t.co/enotb4r7ud")</f>
        <v>@drfahrettinka Let's put on the labor we have given for many years. I umredi in pandemide in the morning for 2 years ... https://t.co/enotb4r7ud</v>
      </c>
    </row>
    <row r="12966" spans="1:5" ht="15" customHeight="1" x14ac:dyDescent="0.2">
      <c r="A12966" s="1" t="s">
        <v>25595</v>
      </c>
      <c r="B12966" s="1">
        <v>36</v>
      </c>
      <c r="C12966" s="3">
        <v>44532.799027777779</v>
      </c>
      <c r="D12966" s="1" t="s">
        <v>25596</v>
      </c>
      <c r="E12966" s="1" t="str">
        <f ca="1">IFERROR(__xludf.DUMMYFUNCTION("GOOGLETRANSLATE(A9765 , ""tr"" , ""en"")"),"@drfahrettinkoca Loyfett You are also flexed by our lives Yahu Gives Allah and also the constitutional Garan ... https://t.co/eiel6d9gam")</f>
        <v>@drfahrettinkoca Loyfett You are also flexed by our lives Yahu Gives Allah and also the constitutional Garan ... https://t.co/eiel6d9gam</v>
      </c>
    </row>
    <row r="12967" spans="1:5" ht="15" customHeight="1" x14ac:dyDescent="0.2">
      <c r="A12967" s="1" t="s">
        <v>25597</v>
      </c>
      <c r="B12967" s="1">
        <v>0</v>
      </c>
      <c r="C12967" s="3">
        <v>44532.797106481485</v>
      </c>
      <c r="D12967" s="1" t="s">
        <v>25598</v>
      </c>
      <c r="E12967" s="1" t="str">
        <f ca="1">IFERROR(__xludf.DUMMYFUNCTION("GOOGLETRANSLATE(A9766 , ""tr"" , ""en"")"),"@drfahrettinkoca If you have embarrassment quit https://t.co/cqwdz1vng9")</f>
        <v>@drfahrettinkoca If you have embarrassment quit https://t.co/cqwdz1vng9</v>
      </c>
    </row>
    <row r="12968" spans="1:5" ht="15" customHeight="1" x14ac:dyDescent="0.2">
      <c r="A12968" s="1" t="s">
        <v>25599</v>
      </c>
      <c r="B12968" s="1">
        <v>0</v>
      </c>
      <c r="C12968" s="3">
        <v>44532.796423611115</v>
      </c>
      <c r="D12968" s="1" t="s">
        <v>25600</v>
      </c>
      <c r="E12968" s="1" t="str">
        <f ca="1">IFERROR(__xludf.DUMMYFUNCTION("GOOGLETRANSLATE(A9767 , ""tr"" , ""en"")"),"@drfahrettinkoca @halitustunn Of course of course the quality of life should pay attention to the brand for several companies to several companies ... https://t.co/nru5xj1msy")</f>
        <v>@drfahrettinkoca @halitustunn Of course of course the quality of life should pay attention to the brand for several companies to several companies ... https://t.co/nru5xj1msy</v>
      </c>
    </row>
    <row r="12969" spans="1:5" ht="15" customHeight="1" x14ac:dyDescent="0.2">
      <c r="A12969" s="1" t="s">
        <v>25601</v>
      </c>
      <c r="B12969" s="1">
        <v>0</v>
      </c>
      <c r="C12969" s="3">
        <v>44532.796377314815</v>
      </c>
      <c r="D12969" s="1" t="s">
        <v>25602</v>
      </c>
      <c r="E12969" s="1" t="str">
        <f ca="1">IFERROR(__xludf.DUMMYFUNCTION("GOOGLETRANSLATE(A9768 , ""tr"" , ""en"")"),"@drfahrettinkoca vaccine, Lookin 'outbreaker Lookup.")</f>
        <v>@drfahrettinkoca vaccine, Lookin 'outbreaker Lookup.</v>
      </c>
    </row>
    <row r="12970" spans="1:5" ht="15" customHeight="1" x14ac:dyDescent="0.2">
      <c r="A12970" s="1" t="s">
        <v>25603</v>
      </c>
      <c r="B12970" s="1">
        <v>0</v>
      </c>
      <c r="C12970" s="3">
        <v>44532.79619212963</v>
      </c>
      <c r="D12970" s="1" t="s">
        <v>25604</v>
      </c>
      <c r="E12970" s="1" t="str">
        <f ca="1">IFERROR(__xludf.DUMMYFUNCTION("GOOGLETRANSLATE(A9769 , ""tr"" , ""en"")"),"@drfahrettinkoca what has been running at night when the pandemide has been working, what we used to let what you have used.")</f>
        <v>@drfahrettinkoca what has been running at night when the pandemide has been working, what we used to let what you have used.</v>
      </c>
    </row>
    <row r="12971" spans="1:5" ht="15" customHeight="1" x14ac:dyDescent="0.2">
      <c r="A12971" s="1" t="s">
        <v>25605</v>
      </c>
      <c r="B12971" s="1">
        <v>0</v>
      </c>
      <c r="C12971" s="3">
        <v>44532.796168981484</v>
      </c>
      <c r="D12971" s="1" t="s">
        <v>25606</v>
      </c>
      <c r="E12971" s="1" t="str">
        <f ca="1">IFERROR(__xludf.DUMMYFUNCTION("GOOGLETRANSLATE(A9770 , ""tr"" , ""en"")"),"@drfahrettinka you are proud though though you quit fahreddin in front of the cameras you are still in the face of the grinning you were fahred")</f>
        <v>@drfahrettinka you are proud though though you quit fahreddin in front of the cameras you are still in the face of the grinning you were fahred</v>
      </c>
    </row>
    <row r="12972" spans="1:5" ht="15" customHeight="1" x14ac:dyDescent="0.2">
      <c r="A12972" s="1" t="s">
        <v>25607</v>
      </c>
      <c r="B12972" s="1">
        <v>1</v>
      </c>
      <c r="C12972" s="3">
        <v>44532.795914351853</v>
      </c>
      <c r="D12972" s="1" t="s">
        <v>25608</v>
      </c>
      <c r="E12972" s="1" t="str">
        <f ca="1">IFERROR(__xludf.DUMMYFUNCTION("GOOGLETRANSLATE(A9771 , ""tr"" , ""en"")"),"@drfahrettinkoca vaccination is the last statement of Şanlıurfa in vaccination while in the vaccination of the Eastern and Southeast of the East and Southeast in vaccination ... https://t.co/nkhyxopfgg")</f>
        <v>@drfahrettinkoca vaccination is the last statement of Şanlıurfa in vaccination while in the vaccination of the Eastern and Southeast of the East and Southeast in vaccination ... https://t.co/nkhyxopfgg</v>
      </c>
    </row>
    <row r="12973" spans="1:5" ht="15" customHeight="1" x14ac:dyDescent="0.2">
      <c r="A12973" s="1" t="s">
        <v>25609</v>
      </c>
      <c r="B12973" s="1">
        <v>26</v>
      </c>
      <c r="C12973" s="3">
        <v>44532.794976851852</v>
      </c>
      <c r="D12973" s="1" t="s">
        <v>25610</v>
      </c>
      <c r="E12973" s="1" t="str">
        <f ca="1">IFERROR(__xludf.DUMMYFUNCTION("GOOGLETRANSLATE(A9772 , ""tr"" , ""en"")"),"@drfahrettinkoca has made vaccines that protect without mask. https://t.co/getpjtsglq")</f>
        <v>@drfahrettinkoca has made vaccines that protect without mask. https://t.co/getpjtsglq</v>
      </c>
    </row>
    <row r="12974" spans="1:5" ht="15" customHeight="1" x14ac:dyDescent="0.2">
      <c r="A12974" s="1" t="s">
        <v>25611</v>
      </c>
      <c r="B12974" s="1">
        <v>0</v>
      </c>
      <c r="C12974" s="3">
        <v>44532.79488425926</v>
      </c>
      <c r="D12974" s="1" t="s">
        <v>25612</v>
      </c>
      <c r="E12974" s="1" t="str">
        <f ca="1">IFERROR(__xludf.DUMMYFUNCTION("GOOGLETRANSLATE(A9773 , ""tr"" , ""en"")"),"@drfahrettinkoca Sansina KUS Sayin Minister My Today's Test De Negativ 🤠🤠🤠 https://t.co/CRJGAIK8R1")</f>
        <v>@drfahrettinkoca Sansina KUS Sayin Minister My Today's Test De Negativ 🤠🤠🤠 https://t.co/CRJGAIK8R1</v>
      </c>
    </row>
    <row r="12975" spans="1:5" ht="15" customHeight="1" x14ac:dyDescent="0.2">
      <c r="A12975" s="1" t="s">
        <v>25613</v>
      </c>
      <c r="B12975" s="1">
        <v>12</v>
      </c>
      <c r="C12975" s="3">
        <v>44532.794814814813</v>
      </c>
      <c r="D12975" s="1" t="s">
        <v>25614</v>
      </c>
      <c r="E12975" s="1" t="str">
        <f ca="1">IFERROR(__xludf.DUMMYFUNCTION("GOOGLETRANSLATE(A9774 , ""tr"" , ""en"")"),"@drfahrettinkoca Each sheep is suspended from his leg policy..12 What will be the age of age age? They are the number from the man ... https://t.co/gn8tx5bz55")</f>
        <v>@drfahrettinkoca Each sheep is suspended from his leg policy..12 What will be the age of age age? They are the number from the man ... https://t.co/gn8tx5bz55</v>
      </c>
    </row>
    <row r="12976" spans="1:5" ht="15" customHeight="1" x14ac:dyDescent="0.2">
      <c r="A12976" s="1" t="s">
        <v>25615</v>
      </c>
      <c r="B12976" s="1">
        <v>0</v>
      </c>
      <c r="C12976" s="3">
        <v>44532.794722222221</v>
      </c>
      <c r="D12976" s="1" t="s">
        <v>25616</v>
      </c>
      <c r="E12976" s="1" t="str">
        <f ca="1">IFERROR(__xludf.DUMMYFUNCTION("GOOGLETRANSLATE(A9775 , ""tr"" , ""en"")"),"@drfahrettinkoca Agry He's the same")</f>
        <v>@drfahrettinkoca Agry He's the same</v>
      </c>
    </row>
    <row r="12977" spans="1:5" ht="15" customHeight="1" x14ac:dyDescent="0.2">
      <c r="A12977" s="1" t="s">
        <v>25617</v>
      </c>
      <c r="B12977" s="1">
        <v>0</v>
      </c>
      <c r="C12977" s="3">
        <v>44532.794351851851</v>
      </c>
      <c r="D12977" s="1" t="s">
        <v>25618</v>
      </c>
      <c r="E12977" s="1" t="str">
        <f ca="1">IFERROR(__xludf.DUMMYFUNCTION("GOOGLETRANSLATE(A9776 , ""tr"" , ""en"")"),"@drfahrettinkoca WHO and PCR run out of clean")</f>
        <v>@drfahrettinkoca WHO and PCR run out of clean</v>
      </c>
    </row>
    <row r="12978" spans="1:5" ht="15" customHeight="1" x14ac:dyDescent="0.2">
      <c r="A12978" s="1" t="s">
        <v>25619</v>
      </c>
      <c r="B12978" s="1">
        <v>7</v>
      </c>
      <c r="C12978" s="3">
        <v>44532.794328703705</v>
      </c>
      <c r="D12978" s="1" t="s">
        <v>25620</v>
      </c>
      <c r="E12978" s="1" t="str">
        <f ca="1">IFERROR(__xludf.DUMMYFUNCTION("GOOGLETRANSLATE(A9777 , ""tr"" , ""en"")"),"As @drfahrettinka gives importance to vaccines, the end is like #favipiravir. Your Member of Science is Prof.Dr. Serap Lightning ... https://t.co/jzwqxxeq2z")</f>
        <v>As @drfahrettinka gives importance to vaccines, the end is like #favipiravir. Your Member of Science is Prof.Dr. Serap Lightning ... https://t.co/jzwqxxeq2z</v>
      </c>
    </row>
    <row r="12979" spans="1:5" ht="15" customHeight="1" x14ac:dyDescent="0.2">
      <c r="A12979" s="1" t="s">
        <v>25621</v>
      </c>
      <c r="B12979" s="1">
        <v>0</v>
      </c>
      <c r="C12979" s="3">
        <v>44532.794027777774</v>
      </c>
      <c r="D12979" s="1" t="s">
        <v>25622</v>
      </c>
      <c r="E12979" s="1" t="str">
        <f ca="1">IFERROR(__xludf.DUMMYFUNCTION("GOOGLETRANSLATE(A9778 , ""tr"" , ""en"")"),"@drfahrettinkoca Health bushings mainly")</f>
        <v>@drfahrettinkoca Health bushings mainly</v>
      </c>
    </row>
    <row r="12980" spans="1:5" ht="15" customHeight="1" x14ac:dyDescent="0.2">
      <c r="A12980" s="1" t="s">
        <v>21291</v>
      </c>
      <c r="B12980" s="1">
        <v>0</v>
      </c>
      <c r="C12980" s="3">
        <v>44532.792939814812</v>
      </c>
      <c r="D12980" s="1" t="s">
        <v>25623</v>
      </c>
      <c r="E12980" s="1" t="str">
        <f ca="1">IFERROR(__xludf.DUMMYFUNCTION("GOOGLETRANSLATE(A9779 , ""tr"" , ""en"")"),"@drfahrettinkoca healthcare guide is not a two-week husband waiting for a year")</f>
        <v>@drfahrettinkoca healthcare guide is not a two-week husband waiting for a year</v>
      </c>
    </row>
    <row r="12981" spans="1:5" ht="15" customHeight="1" x14ac:dyDescent="0.2">
      <c r="A12981" s="1" t="s">
        <v>25624</v>
      </c>
      <c r="B12981" s="1">
        <v>0</v>
      </c>
      <c r="C12981" s="3">
        <v>44532.792928240742</v>
      </c>
      <c r="D12981" s="1" t="s">
        <v>25625</v>
      </c>
      <c r="E12981" s="1" t="str">
        <f ca="1">IFERROR(__xludf.DUMMYFUNCTION("GOOGLETRANSLATE(A9780 , ""tr"" , ""en"")"),"@drfahrettinka https://t.co/91syfjoqov")</f>
        <v>@drfahrettinka https://t.co/91syfjoqov</v>
      </c>
    </row>
    <row r="12982" spans="1:5" ht="15" customHeight="1" x14ac:dyDescent="0.2">
      <c r="A12982" s="1" t="s">
        <v>21295</v>
      </c>
      <c r="B12982" s="1">
        <v>0</v>
      </c>
      <c r="C12982" s="3">
        <v>44532.792893518519</v>
      </c>
      <c r="D12982" s="1" t="s">
        <v>25626</v>
      </c>
      <c r="E12982" s="1" t="str">
        <f ca="1">IFERROR(__xludf.DUMMYFUNCTION("GOOGLETRANSLATE(A9781 , ""tr"" , ""en"")"),"@drfahrettinkoca healthcare guide is a week not a husband waiting for a year")</f>
        <v>@drfahrettinkoca healthcare guide is a week not a husband waiting for a year</v>
      </c>
    </row>
    <row r="12983" spans="1:5" ht="15" customHeight="1" x14ac:dyDescent="0.2">
      <c r="A12983" s="1" t="s">
        <v>21297</v>
      </c>
      <c r="B12983" s="1">
        <v>0</v>
      </c>
      <c r="C12983" s="3">
        <v>44532.79283564815</v>
      </c>
      <c r="D12983" s="1" t="s">
        <v>25627</v>
      </c>
      <c r="E12983" s="1" t="str">
        <f ca="1">IFERROR(__xludf.DUMMYFUNCTION("GOOGLETRANSLATE(A9782 , ""tr"" , ""en"")"),"@drfahrettinkoca healthcare guide is a week not a husband waiting for a year 8")</f>
        <v>@drfahrettinkoca healthcare guide is a week not a husband waiting for a year 8</v>
      </c>
    </row>
    <row r="12984" spans="1:5" ht="15" customHeight="1" x14ac:dyDescent="0.2">
      <c r="A12984" s="1" t="s">
        <v>21301</v>
      </c>
      <c r="B12984" s="1">
        <v>0</v>
      </c>
      <c r="C12984" s="3">
        <v>44532.79278935185</v>
      </c>
      <c r="D12984" s="1" t="s">
        <v>25628</v>
      </c>
      <c r="E12984" s="1" t="str">
        <f ca="1">IFERROR(__xludf.DUMMYFUNCTION("GOOGLETRANSLATE(A9783 , ""tr"" , ""en"")"),"@drfahrettinkoca healthcare guide is a week not a husband waiting for a year 7")</f>
        <v>@drfahrettinkoca healthcare guide is a week not a husband waiting for a year 7</v>
      </c>
    </row>
    <row r="12985" spans="1:5" ht="15" customHeight="1" x14ac:dyDescent="0.2">
      <c r="A12985" s="1" t="s">
        <v>22751</v>
      </c>
      <c r="B12985" s="1">
        <v>0</v>
      </c>
      <c r="C12985" s="3">
        <v>44532.792743055557</v>
      </c>
      <c r="D12985" s="1" t="s">
        <v>25629</v>
      </c>
      <c r="E12985" s="1" t="str">
        <f ca="1">IFERROR(__xludf.DUMMYFUNCTION("GOOGLETRANSLATE(A9784 , ""tr"" , ""en"")"),"@drfahrettinkoca healthcare guide is a week not a husband waiting for a year 6")</f>
        <v>@drfahrettinkoca healthcare guide is a week not a husband waiting for a year 6</v>
      </c>
    </row>
    <row r="12986" spans="1:5" ht="15" customHeight="1" x14ac:dyDescent="0.2">
      <c r="A12986" s="1" t="s">
        <v>21311</v>
      </c>
      <c r="B12986" s="1">
        <v>0</v>
      </c>
      <c r="C12986" s="3">
        <v>44532.792685185188</v>
      </c>
      <c r="D12986" s="1" t="s">
        <v>25630</v>
      </c>
      <c r="E12986" s="1" t="str">
        <f ca="1">IFERROR(__xludf.DUMMYFUNCTION("GOOGLETRANSLATE(A9785 , ""tr"" , ""en"")"),"@drfahrettinkoca healthcare guide is a week not a husband waiting for a year 5")</f>
        <v>@drfahrettinkoca healthcare guide is a week not a husband waiting for a year 5</v>
      </c>
    </row>
    <row r="12987" spans="1:5" ht="15" customHeight="1" x14ac:dyDescent="0.2">
      <c r="A12987" s="1" t="s">
        <v>25631</v>
      </c>
      <c r="B12987" s="1">
        <v>24</v>
      </c>
      <c r="C12987" s="3">
        <v>44532.792650462965</v>
      </c>
      <c r="D12987" s="1" t="s">
        <v>25632</v>
      </c>
      <c r="E12987" s="1" t="str">
        <f ca="1">IFERROR(__xludf.DUMMYFUNCTION("GOOGLETRANSLATE(A9786 , ""tr"" , ""en"")"),"@drfahrettinkoca Everybody in my surroundings are broken out of disease I'm tired of the Vallahi anymore anyone face-to-face training a ... https://t.co/vetgmamkng")</f>
        <v>@drfahrettinkoca Everybody in my surroundings are broken out of disease I'm tired of the Vallahi anymore anyone face-to-face training a ... https://t.co/vetgmamkng</v>
      </c>
    </row>
    <row r="12988" spans="1:5" ht="15" customHeight="1" x14ac:dyDescent="0.2">
      <c r="A12988" s="1" t="s">
        <v>21315</v>
      </c>
      <c r="B12988" s="1">
        <v>0</v>
      </c>
      <c r="C12988" s="3">
        <v>44532.792650462965</v>
      </c>
      <c r="D12988" s="1" t="s">
        <v>25633</v>
      </c>
      <c r="E12988" s="1" t="str">
        <f ca="1">IFERROR(__xludf.DUMMYFUNCTION("GOOGLETRANSLATE(A9787 , ""tr"" , ""en"")"),"@drfahrettinkoca healthcare guide is not a two-week husband waiting for a year 4")</f>
        <v>@drfahrettinkoca healthcare guide is not a two-week husband waiting for a year 4</v>
      </c>
    </row>
    <row r="12989" spans="1:5" ht="15" customHeight="1" x14ac:dyDescent="0.2">
      <c r="A12989" s="1" t="s">
        <v>21327</v>
      </c>
      <c r="B12989" s="1">
        <v>0</v>
      </c>
      <c r="C12989" s="3">
        <v>44532.792592592596</v>
      </c>
      <c r="D12989" s="1" t="s">
        <v>25634</v>
      </c>
      <c r="E12989" s="1" t="str">
        <f ca="1">IFERROR(__xludf.DUMMYFUNCTION("GOOGLETRANSLATE(A9788 , ""tr"" , ""en"")"),"@drfahrettinkoca healthcare guide is a two weeks not husband waiting for a year 3")</f>
        <v>@drfahrettinkoca healthcare guide is a two weeks not husband waiting for a year 3</v>
      </c>
    </row>
    <row r="12990" spans="1:5" ht="15" customHeight="1" x14ac:dyDescent="0.2">
      <c r="A12990" s="1" t="s">
        <v>21333</v>
      </c>
      <c r="B12990" s="1">
        <v>0</v>
      </c>
      <c r="C12990" s="3">
        <v>44532.792546296296</v>
      </c>
      <c r="D12990" s="1" t="s">
        <v>25635</v>
      </c>
      <c r="E12990" s="1" t="str">
        <f ca="1">IFERROR(__xludf.DUMMYFUNCTION("GOOGLETRANSLATE(A9789 , ""tr"" , ""en"")"),"@drfahrettinkoca healthcare guide is not a two weeks a husband waiting for a year2")</f>
        <v>@drfahrettinkoca healthcare guide is not a two weeks a husband waiting for a year2</v>
      </c>
    </row>
    <row r="12991" spans="1:5" ht="15" customHeight="1" x14ac:dyDescent="0.2">
      <c r="A12991" s="1" t="s">
        <v>21339</v>
      </c>
      <c r="B12991" s="1">
        <v>0</v>
      </c>
      <c r="C12991" s="3">
        <v>44532.792500000003</v>
      </c>
      <c r="D12991" s="1" t="s">
        <v>25636</v>
      </c>
      <c r="E12991" s="1" t="str">
        <f ca="1">IFERROR(__xludf.DUMMYFUNCTION("GOOGLETRANSLATE(A9790 , ""tr"" , ""en"")"),"@drfahrettinkoca Healthparts Guide is a week not a husband waiting for a year 1")</f>
        <v>@drfahrettinkoca Healthparts Guide is a week not a husband waiting for a year 1</v>
      </c>
    </row>
    <row r="12992" spans="1:5" ht="15" customHeight="1" x14ac:dyDescent="0.2">
      <c r="A12992" s="1" t="s">
        <v>19722</v>
      </c>
      <c r="B12992" s="1">
        <v>0</v>
      </c>
      <c r="C12992" s="3">
        <v>44532.792442129627</v>
      </c>
      <c r="D12992" s="1" t="s">
        <v>25637</v>
      </c>
      <c r="E12992" s="1" t="str">
        <f ca="1">IFERROR(__xludf.DUMMYFUNCTION("GOOGLETRANSLATE(A9791 , ""tr"" , ""en"")"),"@drfahrettinkoca Healthcare Shops Guide is not a two-week husband waiting for a year,")</f>
        <v>@drfahrettinkoca Healthcare Shops Guide is not a two-week husband waiting for a year,</v>
      </c>
    </row>
    <row r="12993" spans="1:5" ht="15" customHeight="1" x14ac:dyDescent="0.2">
      <c r="A12993" s="1" t="s">
        <v>25638</v>
      </c>
      <c r="B12993" s="1">
        <v>0</v>
      </c>
      <c r="C12993" s="3">
        <v>44532.792430555557</v>
      </c>
      <c r="D12993" s="1" t="s">
        <v>25639</v>
      </c>
      <c r="E12993" s="1" t="str">
        <f ca="1">IFERROR(__xludf.DUMMYFUNCTION("GOOGLETRANSLATE(A9792 , ""tr"" , ""en"")"),"@drfahrettinka https://t.co/ozqal8d9yb")</f>
        <v>@drfahrettinka https://t.co/ozqal8d9yb</v>
      </c>
    </row>
    <row r="12994" spans="1:5" ht="15" customHeight="1" x14ac:dyDescent="0.2">
      <c r="A12994" s="1" t="s">
        <v>19726</v>
      </c>
      <c r="B12994" s="1">
        <v>0</v>
      </c>
      <c r="C12994" s="3">
        <v>44532.792303240742</v>
      </c>
      <c r="D12994" s="1" t="s">
        <v>25640</v>
      </c>
      <c r="E12994" s="1" t="str">
        <f ca="1">IFERROR(__xludf.DUMMYFUNCTION("GOOGLETRANSLATE(A9793 , ""tr"" , ""en"")"),"@drfahrettinkoca Healthparts Guide is a week, not a husband waiting for a year.")</f>
        <v>@drfahrettinkoca Healthparts Guide is a week, not a husband waiting for a year.</v>
      </c>
    </row>
    <row r="12995" spans="1:5" ht="15" customHeight="1" x14ac:dyDescent="0.2">
      <c r="A12995" s="1" t="s">
        <v>19732</v>
      </c>
      <c r="B12995" s="1">
        <v>0</v>
      </c>
      <c r="C12995" s="3">
        <v>44532.792256944442</v>
      </c>
      <c r="D12995" s="1" t="s">
        <v>25641</v>
      </c>
      <c r="E12995" s="1" t="str">
        <f ca="1">IFERROR(__xludf.DUMMYFUNCTION("GOOGLETRANSLATE(A9794 , ""tr"" , ""en"")"),"@drfahrettinkoca healthcare guide is a week not for a husband waiting for a year")</f>
        <v>@drfahrettinkoca healthcare guide is a week not for a husband waiting for a year</v>
      </c>
    </row>
    <row r="12996" spans="1:5" ht="15" customHeight="1" x14ac:dyDescent="0.2">
      <c r="A12996" s="1" t="s">
        <v>25642</v>
      </c>
      <c r="B12996" s="1">
        <v>0</v>
      </c>
      <c r="C12996" s="3">
        <v>44532.792222222219</v>
      </c>
      <c r="D12996" s="1" t="s">
        <v>25643</v>
      </c>
      <c r="E12996" s="1" t="str">
        <f ca="1">IFERROR(__xludf.DUMMYFUNCTION("GOOGLETRANSLATE(A9795 , ""tr"" , ""en"")"),"@drfahrettinkoca We're back? https://t.co/n3hn1w80vl")</f>
        <v>@drfahrettinkoca We're back? https://t.co/n3hn1w80vl</v>
      </c>
    </row>
    <row r="12997" spans="1:5" ht="15" customHeight="1" x14ac:dyDescent="0.2">
      <c r="A12997" s="1" t="s">
        <v>25644</v>
      </c>
      <c r="B12997" s="1">
        <v>0</v>
      </c>
      <c r="C12997" s="3">
        <v>44532.792222222219</v>
      </c>
      <c r="D12997" s="1" t="s">
        <v>25645</v>
      </c>
      <c r="E12997" s="1" t="str">
        <f ca="1">IFERROR(__xludf.DUMMYFUNCTION("GOOGLETRANSLATE(A9796 , ""tr"" , ""en"")"),"@drfahrettinkoca guide when will be explained")</f>
        <v>@drfahrettinkoca guide when will be explained</v>
      </c>
    </row>
    <row r="12998" spans="1:5" ht="15" customHeight="1" x14ac:dyDescent="0.2">
      <c r="A12998" s="1" t="s">
        <v>25646</v>
      </c>
      <c r="B12998" s="1">
        <v>0</v>
      </c>
      <c r="C12998" s="3">
        <v>44532.792129629626</v>
      </c>
      <c r="D12998" s="1" t="s">
        <v>25647</v>
      </c>
      <c r="E12998" s="1" t="str">
        <f ca="1">IFERROR(__xludf.DUMMYFUNCTION("GOOGLETRANSLATE(A9797 , ""tr"" , ""en"")"),"@drfahrettinkoca Mr. Vaccine Minister No one is anyone who doesn't trust this experimental fluids don't want to be anyone DSO ... https://t.co/QLZSIFL5NQ")</f>
        <v>@drfahrettinkoca Mr. Vaccine Minister No one is anyone who doesn't trust this experimental fluids don't want to be anyone DSO ... https://t.co/QLZSIFL5NQ</v>
      </c>
    </row>
    <row r="12999" spans="1:5" ht="15" customHeight="1" x14ac:dyDescent="0.2">
      <c r="A12999" s="1" t="s">
        <v>25648</v>
      </c>
      <c r="B12999" s="1">
        <v>0</v>
      </c>
      <c r="C12999" s="3">
        <v>44532.792094907411</v>
      </c>
      <c r="D12999" s="1" t="s">
        <v>25649</v>
      </c>
      <c r="E12999" s="1" t="str">
        <f ca="1">IFERROR(__xludf.DUMMYFUNCTION("GOOGLETRANSLATE(A9798 , ""tr"" , ""en"")"),"@drfahrettinkoca KIILLAAVVUUZZZZ")</f>
        <v>@drfahrettinkoca KIILLAAVVUUZZZZ</v>
      </c>
    </row>
    <row r="13000" spans="1:5" ht="15" customHeight="1" x14ac:dyDescent="0.2">
      <c r="A13000" s="1" t="s">
        <v>25650</v>
      </c>
      <c r="B13000" s="1">
        <v>0</v>
      </c>
      <c r="C13000" s="3">
        <v>44532.792013888888</v>
      </c>
      <c r="D13000" s="1" t="s">
        <v>25651</v>
      </c>
      <c r="E13000" s="1" t="str">
        <f ca="1">IFERROR(__xludf.DUMMYFUNCTION("GOOGLETRANSLATE(A9799 , ""tr"" , ""en"")"),"@drfahrettinkoca KIILLAAVVUZZ")</f>
        <v>@drfahrettinkoca KIILLAAVVUZZ</v>
      </c>
    </row>
    <row r="13001" spans="1:5" ht="15" customHeight="1" x14ac:dyDescent="0.2">
      <c r="A13001" s="1" t="s">
        <v>16768</v>
      </c>
      <c r="B13001" s="1">
        <v>0</v>
      </c>
      <c r="C13001" s="3">
        <v>44532.791944444441</v>
      </c>
      <c r="D13001" s="1" t="s">
        <v>25652</v>
      </c>
      <c r="E13001" s="1" t="str">
        <f ca="1">IFERROR(__xludf.DUMMYFUNCTION("GOOGLETRANSLATE(A9800 , ""tr"" , ""en"")"),"@drfahrettinkoca KKIIllaavvuuzz")</f>
        <v>@drfahrettinkoca KKIIllaavvuuzz</v>
      </c>
    </row>
    <row r="13002" spans="1:5" ht="15" customHeight="1" x14ac:dyDescent="0.2">
      <c r="A13002" s="1" t="s">
        <v>25653</v>
      </c>
      <c r="B13002" s="1">
        <v>0</v>
      </c>
      <c r="C13002" s="3">
        <v>44532.791851851849</v>
      </c>
      <c r="D13002" s="1" t="s">
        <v>25654</v>
      </c>
      <c r="E13002" s="1" t="str">
        <f ca="1">IFERROR(__xludf.DUMMYFUNCTION("GOOGLETRANSLATE(A9801 , ""tr"" , ""en"")"),"@drfahrettinkoca guide.")</f>
        <v>@drfahrettinkoca guide.</v>
      </c>
    </row>
    <row r="13003" spans="1:5" ht="15" customHeight="1" x14ac:dyDescent="0.2">
      <c r="A13003" s="1" t="s">
        <v>16774</v>
      </c>
      <c r="B13003" s="1">
        <v>0</v>
      </c>
      <c r="C13003" s="3">
        <v>44532.791770833333</v>
      </c>
      <c r="D13003" s="1" t="s">
        <v>25655</v>
      </c>
      <c r="E13003" s="1" t="str">
        <f ca="1">IFERROR(__xludf.DUMMYFUNCTION("GOOGLETRANSLATE(A9802 , ""tr"" , ""en"")"),"@drfahrettinkoca guide.")</f>
        <v>@drfahrettinkoca guide.</v>
      </c>
    </row>
    <row r="13004" spans="1:5" ht="15" customHeight="1" x14ac:dyDescent="0.2">
      <c r="A13004" s="1" t="s">
        <v>23845</v>
      </c>
      <c r="B13004" s="1">
        <v>0</v>
      </c>
      <c r="C13004" s="3">
        <v>44532.791689814818</v>
      </c>
      <c r="D13004" s="1" t="s">
        <v>25656</v>
      </c>
      <c r="E13004" s="1" t="str">
        <f ca="1">IFERROR(__xludf.DUMMYFUNCTION("GOOGLETRANSLATE(A9803 , ""tr"" , ""en"")"),"@drfahrettinkoca guanuzzz")</f>
        <v>@drfahrettinkoca guanuzzz</v>
      </c>
    </row>
    <row r="13005" spans="1:5" ht="15" customHeight="1" x14ac:dyDescent="0.2">
      <c r="A13005" s="1" t="s">
        <v>16770</v>
      </c>
      <c r="B13005" s="1">
        <v>0</v>
      </c>
      <c r="C13005" s="3">
        <v>44532.791643518518</v>
      </c>
      <c r="D13005" s="1" t="s">
        <v>25657</v>
      </c>
      <c r="E13005" s="1" t="str">
        <f ca="1">IFERROR(__xludf.DUMMYFUNCTION("GOOGLETRANSLATE(A9804 , ""tr"" , ""en"")"),"@drfahrettinkoca guide")</f>
        <v>@drfahrettinkoca guide</v>
      </c>
    </row>
    <row r="13006" spans="1:5" ht="15" customHeight="1" x14ac:dyDescent="0.2">
      <c r="A13006" s="1" t="s">
        <v>10058</v>
      </c>
      <c r="B13006" s="1">
        <v>0</v>
      </c>
      <c r="C13006" s="3">
        <v>44532.791597222225</v>
      </c>
      <c r="D13006" s="1" t="s">
        <v>25658</v>
      </c>
      <c r="E13006" s="1" t="str">
        <f ca="1">IFERROR(__xludf.DUMMYFUNCTION("GOOGLETRANSLATE(A9805 , ""tr"" , ""en"")"),"@drfahrettinkoca Guide")</f>
        <v>@drfahrettinkoca Guide</v>
      </c>
    </row>
    <row r="13007" spans="1:5" ht="15" customHeight="1" x14ac:dyDescent="0.2">
      <c r="A13007" s="1" t="s">
        <v>12681</v>
      </c>
      <c r="B13007" s="1">
        <v>0</v>
      </c>
      <c r="C13007" s="3">
        <v>44532.791550925926</v>
      </c>
      <c r="D13007" s="1" t="s">
        <v>25659</v>
      </c>
      <c r="E13007" s="1" t="str">
        <f ca="1">IFERROR(__xludf.DUMMYFUNCTION("GOOGLETRANSLATE(A9806 , ""tr"" , ""en"")"),"@drfahrettinkoca assignment")</f>
        <v>@drfahrettinkoca assignment</v>
      </c>
    </row>
    <row r="13008" spans="1:5" ht="15" customHeight="1" x14ac:dyDescent="0.2">
      <c r="A13008" s="1" t="s">
        <v>25660</v>
      </c>
      <c r="B13008" s="1">
        <v>5</v>
      </c>
      <c r="C13008" s="3">
        <v>44532.791122685187</v>
      </c>
      <c r="D13008" s="1" t="s">
        <v>25661</v>
      </c>
      <c r="E13008" s="1" t="str">
        <f ca="1">IFERROR(__xludf.DUMMYFUNCTION("GOOGLETRANSLATE(A9807 , ""tr"" , ""en"")"),"@drfahrettinkoca # Healthconships are not heard Hicmi you are not heard of the minister.")</f>
        <v>@drfahrettinkoca # Healthconships are not heard Hicmi you are not heard of the minister.</v>
      </c>
    </row>
    <row r="13009" spans="1:5" ht="15" customHeight="1" x14ac:dyDescent="0.2">
      <c r="A13009" s="1" t="s">
        <v>25662</v>
      </c>
      <c r="B13009" s="1">
        <v>2</v>
      </c>
      <c r="C13009" s="3">
        <v>44532.790833333333</v>
      </c>
      <c r="D13009" s="1" t="s">
        <v>25663</v>
      </c>
      <c r="E13009" s="1" t="str">
        <f ca="1">IFERROR(__xludf.DUMMYFUNCTION("GOOGLETRANSLATE(A9808 , ""tr"" , ""en"")"),"@drfahrettinkoca Apparently we will not be able to survive the following imaginary corona and pandemy nonsense ... as described to Bilal ... https://t.co/oyaswggjob")</f>
        <v>@drfahrettinkoca Apparently we will not be able to survive the following imaginary corona and pandemy nonsense ... as described to Bilal ... https://t.co/oyaswggjob</v>
      </c>
    </row>
    <row r="13010" spans="1:5" ht="15" customHeight="1" x14ac:dyDescent="0.2">
      <c r="A13010" s="1" t="s">
        <v>25664</v>
      </c>
      <c r="B13010" s="1">
        <v>0</v>
      </c>
      <c r="C13010" s="3">
        <v>44532.790763888886</v>
      </c>
      <c r="D13010" s="1" t="s">
        <v>25665</v>
      </c>
      <c r="E13010" s="1" t="str">
        <f ca="1">IFERROR(__xludf.DUMMYFUNCTION("GOOGLETRANSLATE(A9809 , ""tr"" , ""en"")"),"@drfahrettinkoca Healthiers are going to the action of leaving business. You are still talking about the outbreak")</f>
        <v>@drfahrettinkoca Healthiers are going to the action of leaving business. You are still talking about the outbreak</v>
      </c>
    </row>
    <row r="13011" spans="1:5" ht="15" customHeight="1" x14ac:dyDescent="0.2">
      <c r="A13011" s="1" t="s">
        <v>25666</v>
      </c>
      <c r="B13011" s="1">
        <v>0</v>
      </c>
      <c r="C13011" s="3">
        <v>44532.789189814815</v>
      </c>
      <c r="D13011" s="1" t="s">
        <v>25667</v>
      </c>
      <c r="E13011" s="1" t="str">
        <f ca="1">IFERROR(__xludf.DUMMYFUNCTION("GOOGLETRANSLATE(A9810 , ""tr"" , ""en"")"),"@drfahrettinkoca What is Assignment ?? How to do ??")</f>
        <v>@drfahrettinkoca What is Assignment ?? How to do ??</v>
      </c>
    </row>
    <row r="13012" spans="1:5" ht="15" customHeight="1" x14ac:dyDescent="0.2">
      <c r="A13012" s="1" t="s">
        <v>25668</v>
      </c>
      <c r="B13012" s="1">
        <v>5</v>
      </c>
      <c r="C13012" s="3">
        <v>44532.788993055554</v>
      </c>
      <c r="D13012" s="1" t="s">
        <v>25669</v>
      </c>
      <c r="E13012" s="1" t="str">
        <f ca="1">IFERROR(__xludf.DUMMYFUNCTION("GOOGLETRANSLATE(A9811 , ""tr"" , ""en"")"),"@drfahrettinkoca sec. The Minister is to make the vaccine. May your knowledge. ... https://t.co/55ancux0rz")</f>
        <v>@drfahrettinkoca sec. The Minister is to make the vaccine. May your knowledge. ... https://t.co/55ancux0rz</v>
      </c>
    </row>
    <row r="13013" spans="1:5" ht="15" customHeight="1" x14ac:dyDescent="0.2">
      <c r="A13013" s="1" t="s">
        <v>25670</v>
      </c>
      <c r="B13013" s="1">
        <v>0</v>
      </c>
      <c r="C13013" s="3">
        <v>44532.787951388891</v>
      </c>
      <c r="D13013" s="1" t="s">
        <v>25671</v>
      </c>
      <c r="E13013" s="1" t="str">
        <f ca="1">IFERROR(__xludf.DUMMYFUNCTION("GOOGLETRANSLATE(A9812 , ""tr"" , ""en"")"),"@drfahrettinkoca school online")</f>
        <v>@drfahrettinkoca school online</v>
      </c>
    </row>
    <row r="13014" spans="1:5" ht="15" customHeight="1" x14ac:dyDescent="0.2">
      <c r="A13014" s="1" t="s">
        <v>25672</v>
      </c>
      <c r="B13014" s="1">
        <v>0</v>
      </c>
      <c r="C13014" s="3">
        <v>44532.786944444444</v>
      </c>
      <c r="D13014" s="1" t="s">
        <v>25673</v>
      </c>
      <c r="E13014" s="1" t="str">
        <f ca="1">IFERROR(__xludf.DUMMYFUNCTION("GOOGLETRANSLATE(A9813 , ""tr"" , ""en"")"),"@drfahrettinkoca nevermant pandemia -Mandemia Irgalizable us.")</f>
        <v>@drfahrettinkoca nevermant pandemia -Mandemia Irgalizable us.</v>
      </c>
    </row>
    <row r="13015" spans="1:5" ht="15" customHeight="1" x14ac:dyDescent="0.2">
      <c r="A13015" s="1" t="s">
        <v>25674</v>
      </c>
      <c r="B13015" s="1">
        <v>0</v>
      </c>
      <c r="C13015" s="3">
        <v>44532.786921296298</v>
      </c>
      <c r="D13015" s="1" t="s">
        <v>25675</v>
      </c>
      <c r="E13015" s="1" t="str">
        <f ca="1">IFERROR(__xludf.DUMMYFUNCTION("GOOGLETRANSLATE(A9814 , ""tr"" , ""en"")"),"@drfahrettinkoca Can you ever explain the real figures in the health minister in this situation !!! Improise in the world ... https://t.co/f71wz5qg49")</f>
        <v>@drfahrettinkoca Can you ever explain the real figures in the health minister in this situation !!! Improise in the world ... https://t.co/f71wz5qg49</v>
      </c>
    </row>
    <row r="13016" spans="1:5" ht="15" customHeight="1" x14ac:dyDescent="0.2">
      <c r="A13016" s="1" t="s">
        <v>25676</v>
      </c>
      <c r="B13016" s="1">
        <v>0</v>
      </c>
      <c r="C13016" s="3">
        <v>44532.786249999997</v>
      </c>
      <c r="D13016" s="1" t="s">
        <v>25677</v>
      </c>
      <c r="E13016" s="1" t="str">
        <f ca="1">IFERROR(__xludf.DUMMYFUNCTION("GOOGLETRANSLATE(A9815 , ""tr"" , ""en"")"),"@drfahrettinkoca is the least mask without being unmasked definitely prohibited from wandering @drfahrettinkoca")</f>
        <v>@drfahrettinkoca is the least mask without being unmasked definitely prohibited from wandering @drfahrettinkoca</v>
      </c>
    </row>
    <row r="13017" spans="1:5" ht="15" customHeight="1" x14ac:dyDescent="0.2">
      <c r="A13017" s="1" t="s">
        <v>25678</v>
      </c>
      <c r="B13017" s="1">
        <v>0</v>
      </c>
      <c r="C13017" s="3">
        <v>44532.785914351851</v>
      </c>
      <c r="D13017" s="1" t="s">
        <v>25679</v>
      </c>
      <c r="E13017" s="1" t="str">
        <f ca="1">IFERROR(__xludf.DUMMYFUNCTION("GOOGLETRANSLATE(A9816 , ""tr"" , ""en"")"),"@drfahrettinkoca def .ol go ,, the Minister of release")</f>
        <v>@drfahrettinkoca def .ol go ,, the Minister of release</v>
      </c>
    </row>
    <row r="13018" spans="1:5" ht="15" customHeight="1" x14ac:dyDescent="0.2">
      <c r="A13018" s="1" t="s">
        <v>25680</v>
      </c>
      <c r="B13018" s="1">
        <v>0</v>
      </c>
      <c r="C13018" s="3">
        <v>44532.785914351851</v>
      </c>
      <c r="D13018" s="1" t="s">
        <v>25681</v>
      </c>
      <c r="E13018" s="1" t="str">
        <f ca="1">IFERROR(__xludf.DUMMYFUNCTION("GOOGLETRANSLATE(A9817 , ""tr"" , ""en"")"),"@drfahrettinkoca If you are accepting I would like to send this gift to you. Holds your feet in winter Mr. Minister ... https://t.co/d9obncrhmb")</f>
        <v>@drfahrettinkoca If you are accepting I would like to send this gift to you. Holds your feet in winter Mr. Minister ... https://t.co/d9obncrhmb</v>
      </c>
    </row>
    <row r="13019" spans="1:5" ht="15" customHeight="1" x14ac:dyDescent="0.2">
      <c r="A13019" s="1" t="s">
        <v>25682</v>
      </c>
      <c r="B13019" s="1">
        <v>0</v>
      </c>
      <c r="C13019" s="3">
        <v>44532.785671296297</v>
      </c>
      <c r="D13019" s="1" t="s">
        <v>25683</v>
      </c>
      <c r="E13019" s="1" t="str">
        <f ca="1">IFERROR(__xludf.DUMMYFUNCTION("GOOGLETRANSLATE(A9818 , ""tr"" , ""en"")"),"@drfahrettinka https://t.co/5z5pbthppb")</f>
        <v>@drfahrettinka https://t.co/5z5pbthppb</v>
      </c>
    </row>
    <row r="13020" spans="1:5" ht="15" customHeight="1" x14ac:dyDescent="0.2">
      <c r="A13020" s="1" t="s">
        <v>25684</v>
      </c>
      <c r="B13020" s="1">
        <v>0</v>
      </c>
      <c r="C13020" s="3">
        <v>44532.785567129627</v>
      </c>
      <c r="D13020" s="1" t="s">
        <v>25685</v>
      </c>
      <c r="E13020" s="1" t="str">
        <f ca="1">IFERROR(__xludf.DUMMYFUNCTION("GOOGLETRANSLATE(A9819 , ""tr"" , ""en"")"),"@drfahrettinkoca we didn't die from the religion of the hunger to die in your number ...")</f>
        <v>@drfahrettinkoca we didn't die from the religion of the hunger to die in your number ...</v>
      </c>
    </row>
    <row r="13021" spans="1:5" ht="15" customHeight="1" x14ac:dyDescent="0.2">
      <c r="A13021" s="1" t="s">
        <v>25686</v>
      </c>
      <c r="B13021" s="1">
        <v>0</v>
      </c>
      <c r="C13021" s="3">
        <v>44532.785543981481</v>
      </c>
      <c r="D13021" s="1" t="s">
        <v>25687</v>
      </c>
      <c r="E13021" s="1" t="str">
        <f ca="1">IFERROR(__xludf.DUMMYFUNCTION("GOOGLETRANSLATE(A9820 , ""tr"" , ""en"")"),"@drfahrettinkoca Do you mind the patience, how to assign what you are waiting for those who wait for those who wait for all the injustice.")</f>
        <v>@drfahrettinkoca Do you mind the patience, how to assign what you are waiting for those who wait for those who wait for all the injustice.</v>
      </c>
    </row>
    <row r="13022" spans="1:5" ht="15" customHeight="1" x14ac:dyDescent="0.2">
      <c r="A13022" s="1" t="s">
        <v>25688</v>
      </c>
      <c r="B13022" s="1">
        <v>0</v>
      </c>
      <c r="C13022" s="3">
        <v>44532.785451388889</v>
      </c>
      <c r="D13022" s="1" t="s">
        <v>25689</v>
      </c>
      <c r="E13022" s="1" t="str">
        <f ca="1">IFERROR(__xludf.DUMMYFUNCTION("GOOGLETRANSLATE(A9821 , ""tr"" , ""en"")"),"@drfahrettinkoca https://t.co/6du2koyIwf")</f>
        <v>@drfahrettinkoca https://t.co/6du2koyIwf</v>
      </c>
    </row>
    <row r="13023" spans="1:5" ht="15" customHeight="1" x14ac:dyDescent="0.2">
      <c r="A13023" s="1" t="s">
        <v>25690</v>
      </c>
      <c r="B13023" s="1">
        <v>0</v>
      </c>
      <c r="C13023" s="3">
        <v>44532.78533564815</v>
      </c>
      <c r="D13023" s="1" t="s">
        <v>25691</v>
      </c>
      <c r="E13023" s="1" t="str">
        <f ca="1">IFERROR(__xludf.DUMMYFUNCTION("GOOGLETRANSLATE(A9822 , ""tr"" , ""en"")"),"@drfahrettinka https://t.co/pyr2ivsdkd")</f>
        <v>@drfahrettinka https://t.co/pyr2ivsdkd</v>
      </c>
    </row>
    <row r="13024" spans="1:5" ht="15" customHeight="1" x14ac:dyDescent="0.2">
      <c r="A13024" s="1" t="s">
        <v>25692</v>
      </c>
      <c r="B13024" s="1">
        <v>0</v>
      </c>
      <c r="C13024" s="3">
        <v>44532.785208333335</v>
      </c>
      <c r="D13024" s="1" t="s">
        <v>25693</v>
      </c>
      <c r="E13024" s="1" t="str">
        <f ca="1">IFERROR(__xludf.DUMMYFUNCTION("GOOGLETRANSLATE(A9823 , ""tr"" , ""en"")"),"@drfahrettinka https://t.co/xc9sk5inry")</f>
        <v>@drfahrettinka https://t.co/xc9sk5inry</v>
      </c>
    </row>
    <row r="13025" spans="1:5" ht="15" customHeight="1" x14ac:dyDescent="0.2">
      <c r="A13025" s="1" t="s">
        <v>25694</v>
      </c>
      <c r="B13025" s="1">
        <v>0</v>
      </c>
      <c r="C13025" s="3">
        <v>44532.785069444442</v>
      </c>
      <c r="D13025" s="1" t="s">
        <v>25695</v>
      </c>
      <c r="E13025" s="1" t="str">
        <f ca="1">IFERROR(__xludf.DUMMYFUNCTION("GOOGLETRANSLATE(A9824 , ""tr"" , ""en"")"),"@drfahrettinkoca Minister The Nezan quits Nezaman We get rid of the nation from you The nation woke up the actual now right now ... https://t.co/gtj9u692zl")</f>
        <v>@drfahrettinkoca Minister The Nezan quits Nezaman We get rid of the nation from you The nation woke up the actual now right now ... https://t.co/gtj9u692zl</v>
      </c>
    </row>
    <row r="13026" spans="1:5" ht="15" customHeight="1" x14ac:dyDescent="0.2">
      <c r="A13026" s="1" t="s">
        <v>25696</v>
      </c>
      <c r="B13026" s="1">
        <v>0</v>
      </c>
      <c r="C13026" s="3">
        <v>44532.78502314815</v>
      </c>
      <c r="D13026" s="1" t="s">
        <v>25697</v>
      </c>
      <c r="E13026" s="1" t="str">
        <f ca="1">IFERROR(__xludf.DUMMYFUNCTION("GOOGLETRANSLATE(A9825 , ""tr"" , ""en"")"),"@drfahrettinka https://t.co/7jhazx85fw")</f>
        <v>@drfahrettinka https://t.co/7jhazx85fw</v>
      </c>
    </row>
    <row r="13027" spans="1:5" ht="15" customHeight="1" x14ac:dyDescent="0.2">
      <c r="A13027" s="1" t="s">
        <v>25698</v>
      </c>
      <c r="B13027" s="1">
        <v>0</v>
      </c>
      <c r="C13027" s="3">
        <v>44532.784722222219</v>
      </c>
      <c r="D13027" s="1" t="s">
        <v>25699</v>
      </c>
      <c r="E13027" s="1" t="str">
        <f ca="1">IFERROR(__xludf.DUMMYFUNCTION("GOOGLETRANSLATE(A9826 , ""tr"" , ""en"")"),"@drfahrettinkoca vaccine If a person caught in this disease is slightly jumping or standing in the survival of this ... HTTPS://T.CO/S6QI8CQSMN")</f>
        <v>@drfahrettinkoca vaccine If a person caught in this disease is slightly jumping or standing in the survival of this ... HTTPS://T.CO/S6QI8CQSMN</v>
      </c>
    </row>
    <row r="13028" spans="1:5" ht="15" customHeight="1" x14ac:dyDescent="0.2">
      <c r="A13028" s="1" t="s">
        <v>25700</v>
      </c>
      <c r="B13028" s="1">
        <v>33</v>
      </c>
      <c r="C13028" s="3">
        <v>44532.783865740741</v>
      </c>
      <c r="D13028" s="1" t="s">
        <v>25701</v>
      </c>
      <c r="E13028" s="1" t="str">
        <f ca="1">IFERROR(__xludf.DUMMYFUNCTION("GOOGLETRANSLATE(A9827 , ""tr"" , ""en"")"),"@drfahrettinkoca The children you allow them to take air at certain times as prisoners, now 8 hours 40 ... https://t.co/orj227yii7")</f>
        <v>@drfahrettinkoca The children you allow them to take air at certain times as prisoners, now 8 hours 40 ... https://t.co/orj227yii7</v>
      </c>
    </row>
    <row r="13029" spans="1:5" ht="15" customHeight="1" x14ac:dyDescent="0.2">
      <c r="A13029" s="1" t="s">
        <v>25702</v>
      </c>
      <c r="B13029" s="1">
        <v>13</v>
      </c>
      <c r="C13029" s="3">
        <v>44532.783541666664</v>
      </c>
      <c r="D13029" s="1" t="s">
        <v>25703</v>
      </c>
      <c r="E13029" s="1" t="str">
        <f ca="1">IFERROR(__xludf.DUMMYFUNCTION("GOOGLETRANSLATE(A9828 , ""tr"" , ""en"")"),"@drfahrettinkoca All World Omicron Variant Started Measures Still Still Universities Online ... https://t.co/yxusnq4ise")</f>
        <v>@drfahrettinkoca All World Omicron Variant Started Measures Still Still Universities Online ... https://t.co/yxusnq4ise</v>
      </c>
    </row>
    <row r="13030" spans="1:5" ht="15" customHeight="1" x14ac:dyDescent="0.2">
      <c r="A13030" s="1" t="s">
        <v>25704</v>
      </c>
      <c r="B13030" s="1">
        <v>2</v>
      </c>
      <c r="C13030" s="3">
        <v>44532.783379629633</v>
      </c>
      <c r="D13030" s="1" t="s">
        <v>25705</v>
      </c>
      <c r="E13030" s="1" t="str">
        <f ca="1">IFERROR(__xludf.DUMMYFUNCTION("GOOGLETRANSLATE(A9829 , ""tr"" , ""en"")"),"@drfahrettinka is dying in 200 or 200 people a day but the vaccination is the solution to everything exactly the solution")</f>
        <v>@drfahrettinka is dying in 200 or 200 people a day but the vaccination is the solution to everything exactly the solution</v>
      </c>
    </row>
    <row r="13031" spans="1:5" ht="15" customHeight="1" x14ac:dyDescent="0.2">
      <c r="A13031" s="1" t="s">
        <v>25706</v>
      </c>
      <c r="B13031" s="1">
        <v>0</v>
      </c>
      <c r="C13031" s="3">
        <v>44532.783171296294</v>
      </c>
      <c r="D13031" s="1" t="s">
        <v>25707</v>
      </c>
      <c r="E13031" s="1" t="str">
        <f ca="1">IFERROR(__xludf.DUMMYFUNCTION("GOOGLETRANSLATE(A9830 , ""tr"" , ""en"")"),"@drfahrettinkoca Omicrona against Omicron 3. The overdose should be opened immediately!")</f>
        <v>@drfahrettinkoca Omicrona against Omicron 3. The overdose should be opened immediately!</v>
      </c>
    </row>
    <row r="13032" spans="1:5" ht="15" customHeight="1" x14ac:dyDescent="0.2">
      <c r="A13032" s="1" t="s">
        <v>25708</v>
      </c>
      <c r="B13032" s="1">
        <v>0</v>
      </c>
      <c r="C13032" s="3">
        <v>44532.782789351855</v>
      </c>
      <c r="D13032" s="1" t="s">
        <v>25709</v>
      </c>
      <c r="E13032" s="1" t="str">
        <f ca="1">IFERROR(__xludf.DUMMYFUNCTION("GOOGLETRANSLATE(A9831 , ""tr"" , ""en"")"),"@drfahrettinkoca https://t.co/yokxu8ujvi is also prohibited in native seed by complying in this country.")</f>
        <v>@drfahrettinkoca https://t.co/yokxu8ujvi is also prohibited in native seed by complying in this country.</v>
      </c>
    </row>
    <row r="13033" spans="1:5" ht="15" customHeight="1" x14ac:dyDescent="0.2">
      <c r="A13033" s="1" t="s">
        <v>25710</v>
      </c>
      <c r="B13033" s="1">
        <v>0</v>
      </c>
      <c r="C13033" s="3">
        <v>44532.782557870371</v>
      </c>
      <c r="D13033" s="1" t="s">
        <v>25711</v>
      </c>
      <c r="E13033" s="1" t="str">
        <f ca="1">IFERROR(__xludf.DUMMYFUNCTION("GOOGLETRANSLATE(A9832 , ""tr"" , ""en"")"),"@drfahrettinkoca is either a go anymore")</f>
        <v>@drfahrettinkoca is either a go anymore</v>
      </c>
    </row>
    <row r="13034" spans="1:5" ht="15" customHeight="1" x14ac:dyDescent="0.2">
      <c r="A13034" s="1" t="s">
        <v>25712</v>
      </c>
      <c r="B13034" s="1">
        <v>0</v>
      </c>
      <c r="C13034" s="3">
        <v>44532.781122685185</v>
      </c>
      <c r="D13034" s="1" t="s">
        <v>25713</v>
      </c>
      <c r="E13034" s="1" t="str">
        <f ca="1">IFERROR(__xludf.DUMMYFUNCTION("GOOGLETRANSLATE(A9833 , ""tr"" , ""en"")"),"@drfahrettinka says stilla vaccine 🤣")</f>
        <v>@drfahrettinka says stilla vaccine 🤣</v>
      </c>
    </row>
    <row r="13035" spans="1:5" ht="15" customHeight="1" x14ac:dyDescent="0.2">
      <c r="A13035" s="1" t="s">
        <v>25714</v>
      </c>
      <c r="B13035" s="1">
        <v>0</v>
      </c>
      <c r="C13035" s="3">
        <v>44532.780590277776</v>
      </c>
      <c r="D13035" s="1" t="s">
        <v>25715</v>
      </c>
      <c r="E13035" s="1" t="str">
        <f ca="1">IFERROR(__xludf.DUMMYFUNCTION("GOOGLETRANSLATE(A9834 , ""tr"" , ""en"")"),"@drfahrettinkoca Allah is no one to beat you anymore if you help you; If he leaves you without help https://t.co/godc0p8j9e")</f>
        <v>@drfahrettinkoca Allah is no one to beat you anymore if you help you; If he leaves you without help https://t.co/godc0p8j9e</v>
      </c>
    </row>
    <row r="13036" spans="1:5" ht="15" customHeight="1" x14ac:dyDescent="0.2">
      <c r="A13036" s="1" t="s">
        <v>25716</v>
      </c>
      <c r="B13036" s="1">
        <v>0</v>
      </c>
      <c r="C13036" s="3">
        <v>44532.780486111114</v>
      </c>
      <c r="D13036" s="1" t="s">
        <v>25717</v>
      </c>
      <c r="E13036" s="1" t="str">
        <f ca="1">IFERROR(__xludf.DUMMYFUNCTION("GOOGLETRANSLATE(A9835 , ""tr"" , ""en"")"),"@drfahrettinkoca you are still ignoring, you are welcome.")</f>
        <v>@drfahrettinkoca you are still ignoring, you are welcome.</v>
      </c>
    </row>
    <row r="13037" spans="1:5" ht="15" customHeight="1" x14ac:dyDescent="0.2">
      <c r="A13037" s="1" t="s">
        <v>25718</v>
      </c>
      <c r="B13037" s="1">
        <v>0</v>
      </c>
      <c r="C13037" s="3">
        <v>44532.780405092592</v>
      </c>
      <c r="D13037" s="1" t="s">
        <v>25719</v>
      </c>
      <c r="E13037" s="1" t="str">
        <f ca="1">IFERROR(__xludf.DUMMYFUNCTION("GOOGLETRANSLATE(A9836 , ""tr"" , ""en"")"),"@drfahrettinka From the President of your permission to write these ???")</f>
        <v>@drfahrettinka From the President of your permission to write these ???</v>
      </c>
    </row>
    <row r="13038" spans="1:5" ht="15" customHeight="1" x14ac:dyDescent="0.2">
      <c r="A13038" s="1" t="s">
        <v>25720</v>
      </c>
      <c r="B13038" s="1">
        <v>0</v>
      </c>
      <c r="C13038" s="3">
        <v>44532.780266203707</v>
      </c>
      <c r="D13038" s="1" t="s">
        <v>25721</v>
      </c>
      <c r="E13038" s="1" t="str">
        <f ca="1">IFERROR(__xludf.DUMMYFUNCTION("GOOGLETRANSLATE(A9837 , ""tr"" , ""en"")"),"@drfahrettinkoca @saglikbakanligi President You are writing these but not Reis")</f>
        <v>@drfahrettinkoca @saglikbakanligi President You are writing these but not Reis</v>
      </c>
    </row>
    <row r="13039" spans="1:5" ht="15" customHeight="1" x14ac:dyDescent="0.2">
      <c r="A13039" s="1" t="s">
        <v>25722</v>
      </c>
      <c r="B13039" s="1">
        <v>21</v>
      </c>
      <c r="C13039" s="3">
        <v>44532.780243055553</v>
      </c>
      <c r="D13039" s="1" t="s">
        <v>25723</v>
      </c>
      <c r="E13039" s="1" t="str">
        <f ca="1">IFERROR(__xludf.DUMMYFUNCTION("GOOGLETRANSLATE(A9838 , ""tr"" , ""en"")"),"@drfahrettinka https://t.co/qocla7py3o")</f>
        <v>@drfahrettinka https://t.co/qocla7py3o</v>
      </c>
    </row>
    <row r="13040" spans="1:5" ht="15" customHeight="1" x14ac:dyDescent="0.2">
      <c r="A13040" s="1" t="s">
        <v>25724</v>
      </c>
      <c r="B13040" s="1">
        <v>0</v>
      </c>
      <c r="C13040" s="3">
        <v>44532.779930555553</v>
      </c>
      <c r="D13040" s="1" t="s">
        <v>25725</v>
      </c>
      <c r="E13040" s="1" t="str">
        <f ca="1">IFERROR(__xludf.DUMMYFUNCTION("GOOGLETRANSLATE(A9839 , ""tr"" , ""en"")"),"@drfahrettinkoca Your Tweet Was Quoted in An Article by New Safak https://t.co/riq3t2awrq")</f>
        <v>@drfahrettinkoca Your Tweet Was Quoted in An Article by New Safak https://t.co/riq3t2awrq</v>
      </c>
    </row>
    <row r="13041" spans="1:5" ht="15" customHeight="1" x14ac:dyDescent="0.2">
      <c r="A13041" s="1" t="s">
        <v>25726</v>
      </c>
      <c r="B13041" s="1">
        <v>0</v>
      </c>
      <c r="C13041" s="3">
        <v>44532.779803240737</v>
      </c>
      <c r="D13041" s="1" t="s">
        <v>25727</v>
      </c>
      <c r="E13041" s="1" t="str">
        <f ca="1">IFERROR(__xludf.DUMMYFUNCTION("GOOGLETRANSLATE(A9840 , ""tr"" , ""en"")"),"@drfahrettinka https://t.co/k7m1yqz8ro")</f>
        <v>@drfahrettinka https://t.co/k7m1yqz8ro</v>
      </c>
    </row>
    <row r="13042" spans="1:5" ht="15" customHeight="1" x14ac:dyDescent="0.2">
      <c r="A13042" s="1" t="s">
        <v>25728</v>
      </c>
      <c r="B13042" s="1">
        <v>2</v>
      </c>
      <c r="C13042" s="3">
        <v>44532.779560185183</v>
      </c>
      <c r="D13042" s="1" t="s">
        <v>25729</v>
      </c>
      <c r="E13042" s="1" t="str">
        <f ca="1">IFERROR(__xludf.DUMMYFUNCTION("GOOGLETRANSLATE(A9841 , ""tr"" , ""en"")"),"@drfahrettinkoca # Rtesağağilavuznere")</f>
        <v>@drfahrettinkoca # Rtesağağilavuznere</v>
      </c>
    </row>
    <row r="13043" spans="1:5" ht="15" customHeight="1" x14ac:dyDescent="0.2">
      <c r="A13043" s="1" t="s">
        <v>25730</v>
      </c>
      <c r="B13043" s="1">
        <v>7</v>
      </c>
      <c r="C13043" s="3">
        <v>44532.779513888891</v>
      </c>
      <c r="D13043" s="1" t="s">
        <v>25731</v>
      </c>
      <c r="E13043" s="1" t="str">
        <f ca="1">IFERROR(__xludf.DUMMYFUNCTION("GOOGLETRANSLATE(A9842 , ""tr"" , ""en"")"),"@drfahrettinkoca healthcare friends behave noble and do not challenge the additional payments to take the physicians, the healthpieces are ok ... https://t.co/Iwmjmmwfos")</f>
        <v>@drfahrettinkoca healthcare friends behave noble and do not challenge the additional payments to take the physicians, the healthpieces are ok ... https://t.co/Iwmjmmwfos</v>
      </c>
    </row>
    <row r="13044" spans="1:5" ht="15" customHeight="1" x14ac:dyDescent="0.2">
      <c r="A13044" s="1" t="s">
        <v>25732</v>
      </c>
      <c r="B13044" s="1">
        <v>7</v>
      </c>
      <c r="C13044" s="3">
        <v>44532.778715277775</v>
      </c>
      <c r="D13044" s="1" t="s">
        <v>25733</v>
      </c>
      <c r="E13044" s="1" t="str">
        <f ca="1">IFERROR(__xludf.DUMMYFUNCTION("GOOGLETRANSLATE(A9843 , ""tr"" , ""en"")"),"@drfahrettinka what's out of the outbreak! There is no mention of epidemic. Have their plan. Enough is anymore finish planter!")</f>
        <v>@drfahrettinka what's out of the outbreak! There is no mention of epidemic. Have their plan. Enough is anymore finish planter!</v>
      </c>
    </row>
    <row r="13045" spans="1:5" ht="15" customHeight="1" x14ac:dyDescent="0.2">
      <c r="A13045" s="1" t="s">
        <v>25734</v>
      </c>
      <c r="B13045" s="1">
        <v>0</v>
      </c>
      <c r="C13045" s="3">
        <v>44532.778553240743</v>
      </c>
      <c r="D13045" s="1" t="s">
        <v>25735</v>
      </c>
      <c r="E13045" s="1" t="str">
        <f ca="1">IFERROR(__xludf.DUMMYFUNCTION("GOOGLETRANSLATE(A9844 , ""tr"" , ""en"")"),"@drfahrettinkoca Blue Returning Mask in Returning Cities If you get up to the ban on the mask, you will not be more beautiful Mr. Minister? @drfahrettinkoca")</f>
        <v>@drfahrettinkoca Blue Returning Mask in Returning Cities If you get up to the ban on the mask, you will not be more beautiful Mr. Minister? @drfahrettinkoca</v>
      </c>
    </row>
    <row r="13046" spans="1:5" ht="15" customHeight="1" x14ac:dyDescent="0.2">
      <c r="A13046" s="1" t="s">
        <v>25736</v>
      </c>
      <c r="B13046" s="1">
        <v>0</v>
      </c>
      <c r="C13046" s="3">
        <v>44532.77851851852</v>
      </c>
      <c r="D13046" s="1" t="s">
        <v>25737</v>
      </c>
      <c r="E13046" s="1" t="str">
        <f ca="1">IFERROR(__xludf.DUMMYFUNCTION("GOOGLETRANSLATE(A9845 , ""tr"" , ""en"")"),"@drfahrettinkoca What did he say? You are the Ministry of Safe!")</f>
        <v>@drfahrettinkoca What did he say? You are the Ministry of Safe!</v>
      </c>
    </row>
    <row r="13047" spans="1:5" ht="15" customHeight="1" x14ac:dyDescent="0.2">
      <c r="A13047" s="1" t="s">
        <v>25738</v>
      </c>
      <c r="B13047" s="1">
        <v>0</v>
      </c>
      <c r="C13047" s="3">
        <v>44532.778344907405</v>
      </c>
      <c r="D13047" s="1" t="s">
        <v>25739</v>
      </c>
      <c r="E13047" s="1" t="str">
        <f ca="1">IFERROR(__xludf.DUMMYFUNCTION("GOOGLETRANSLATE(A9846 , ""tr"" , ""en"")"),"@drfahrettinkoca cb after you are finished from the video. Their you are sharing that you are even certain ... https://t.co/nyzj0cqhbg")</f>
        <v>@drfahrettinkoca cb after you are finished from the video. Their you are sharing that you are even certain ... https://t.co/nyzj0cqhbg</v>
      </c>
    </row>
    <row r="13048" spans="1:5" ht="15" customHeight="1" x14ac:dyDescent="0.2">
      <c r="A13048" s="1" t="s">
        <v>25740</v>
      </c>
      <c r="B13048" s="1">
        <v>0</v>
      </c>
      <c r="C13048" s="3">
        <v>44532.778067129628</v>
      </c>
      <c r="D13048" s="1" t="s">
        <v>25741</v>
      </c>
      <c r="E13048" s="1" t="str">
        <f ca="1">IFERROR(__xludf.DUMMYFUNCTION("GOOGLETRANSLATE(A9847 , ""tr"" , ""en"")"),"@drfahrettinkoca now publish this guide. We want to start our post. Days were weeks, weeks months ... https://t.co/bsj8hqdxbs")</f>
        <v>@drfahrettinkoca now publish this guide. We want to start our post. Days were weeks, weeks months ... https://t.co/bsj8hqdxbs</v>
      </c>
    </row>
    <row r="13049" spans="1:5" ht="15" customHeight="1" x14ac:dyDescent="0.2">
      <c r="A13049" s="1" t="s">
        <v>25742</v>
      </c>
      <c r="B13049" s="1">
        <v>0</v>
      </c>
      <c r="C13049" s="3">
        <v>44532.777187500003</v>
      </c>
      <c r="D13049" s="1" t="s">
        <v>25743</v>
      </c>
      <c r="E13049" s="1" t="str">
        <f ca="1">IFERROR(__xludf.DUMMYFUNCTION("GOOGLETRANSLATE(A9848 , ""tr"" , ""en"")"),"@drfahrettinkoca I don't believe in someone at all. There is at least 35 k case. Wait all sides of the disease. Rough now ... https://t.co/wm6n8t1dll")</f>
        <v>@drfahrettinkoca I don't believe in someone at all. There is at least 35 k case. Wait all sides of the disease. Rough now ... https://t.co/wm6n8t1dll</v>
      </c>
    </row>
    <row r="13050" spans="1:5" ht="15" customHeight="1" x14ac:dyDescent="0.2">
      <c r="A13050" s="1" t="s">
        <v>25744</v>
      </c>
      <c r="B13050" s="1">
        <v>0</v>
      </c>
      <c r="C13050" s="3">
        <v>44532.77716435185</v>
      </c>
      <c r="D13050" s="1" t="s">
        <v>25745</v>
      </c>
      <c r="E13050" s="1" t="str">
        <f ca="1">IFERROR(__xludf.DUMMYFUNCTION("GOOGLETRANSLATE(A9849 , ""tr"" , ""en"")"),"@drfahrettinkoca flex to flexi flexi fiuddin you are formally amuse us !!")</f>
        <v>@drfahrettinkoca flex to flexi flexi fiuddin you are formally amuse us !!</v>
      </c>
    </row>
    <row r="13051" spans="1:5" ht="15" customHeight="1" x14ac:dyDescent="0.2">
      <c r="A13051" s="1" t="s">
        <v>25746</v>
      </c>
      <c r="B13051" s="1">
        <v>0</v>
      </c>
      <c r="C13051" s="3">
        <v>44532.776689814818</v>
      </c>
      <c r="D13051" s="1" t="s">
        <v>25747</v>
      </c>
      <c r="E13051" s="1" t="str">
        <f ca="1">IFERROR(__xludf.DUMMYFUNCTION("GOOGLETRANSLATE(A9850 , ""tr"" , ""en"")"),"@drfahrettinkoca I'm told I don't believe anymore God is the vaccine you know is not real")</f>
        <v>@drfahrettinkoca I'm told I don't believe anymore God is the vaccine you know is not real</v>
      </c>
    </row>
    <row r="13052" spans="1:5" ht="15" customHeight="1" x14ac:dyDescent="0.2">
      <c r="A13052" s="1" t="s">
        <v>25748</v>
      </c>
      <c r="B13052" s="1">
        <v>8</v>
      </c>
      <c r="C13052" s="3">
        <v>44532.776666666665</v>
      </c>
      <c r="D13052" s="1" t="s">
        <v>25749</v>
      </c>
      <c r="E13052" s="1" t="str">
        <f ca="1">IFERROR(__xludf.DUMMYFUNCTION("GOOGLETRANSLATE(A9851 , ""tr"" , ""en"")"),"@drfahrettinkoca dying after harmful liquids, paralyzed vs. #biontechyanetki is never one word from thousands ... https://t.co/ktuosibpjf")</f>
        <v>@drfahrettinkoca dying after harmful liquids, paralyzed vs. #biontechyanetki is never one word from thousands ... https://t.co/ktuosibpjf</v>
      </c>
    </row>
    <row r="13053" spans="1:5" ht="15" customHeight="1" x14ac:dyDescent="0.2">
      <c r="A13053" s="1" t="s">
        <v>25750</v>
      </c>
      <c r="B13053" s="1">
        <v>0</v>
      </c>
      <c r="C13053" s="3">
        <v>44532.776631944442</v>
      </c>
      <c r="D13053" s="1" t="s">
        <v>25751</v>
      </c>
      <c r="E13053" s="1" t="str">
        <f ca="1">IFERROR(__xludf.DUMMYFUNCTION("GOOGLETRANSLATE(A9852 , ""tr"" , ""en"")"),"@DRFAHRETTINKA SAUIN @drfahrettinkoca Quit @drfahrettinkoca resign in the health community 112 episodes are part of this team ... https://t.co/6ga5odmoru")</f>
        <v>@DRFAHRETTINKA SAUIN @drfahrettinkoca Quit @drfahrettinkoca resign in the health community 112 episodes are part of this team ... https://t.co/6ga5odmoru</v>
      </c>
    </row>
    <row r="13054" spans="1:5" ht="15" customHeight="1" x14ac:dyDescent="0.2">
      <c r="A13054" s="1" t="s">
        <v>25752</v>
      </c>
      <c r="B13054" s="1">
        <v>0</v>
      </c>
      <c r="C13054" s="3">
        <v>44532.776562500003</v>
      </c>
      <c r="D13054" s="1" t="s">
        <v>25753</v>
      </c>
      <c r="E13054" s="1" t="str">
        <f ca="1">IFERROR(__xludf.DUMMYFUNCTION("GOOGLETRANSLATE(A9853 , ""tr"" , ""en"")"),"@drfahrettinkoca I'm wondering when you don't work when you don't work. Place to query your methods ... https://t.co/eeex84s8im")</f>
        <v>@drfahrettinkoca I'm wondering when you don't work when you don't work. Place to query your methods ... https://t.co/eeex84s8im</v>
      </c>
    </row>
    <row r="13055" spans="1:5" ht="15" customHeight="1" x14ac:dyDescent="0.2">
      <c r="A13055" s="1" t="s">
        <v>25754</v>
      </c>
      <c r="B13055" s="1">
        <v>0</v>
      </c>
      <c r="C13055" s="3">
        <v>44532.776342592595</v>
      </c>
      <c r="D13055" s="1" t="s">
        <v>25755</v>
      </c>
      <c r="E13055" s="1" t="str">
        <f ca="1">IFERROR(__xludf.DUMMYFUNCTION("GOOGLETRANSLATE(A9854 , ""tr"" , ""en"")"),"@drfahrettinkoca or bi go to allah sake 21 thousand cases?")</f>
        <v>@drfahrettinkoca or bi go to allah sake 21 thousand cases?</v>
      </c>
    </row>
    <row r="13056" spans="1:5" ht="15" customHeight="1" x14ac:dyDescent="0.2">
      <c r="A13056" s="1" t="s">
        <v>25363</v>
      </c>
      <c r="B13056" s="1">
        <v>0</v>
      </c>
      <c r="C13056" s="3">
        <v>44532.776087962964</v>
      </c>
      <c r="D13056" s="1" t="s">
        <v>25756</v>
      </c>
      <c r="E13056" s="1" t="str">
        <f ca="1">IFERROR(__xludf.DUMMYFUNCTION("GOOGLETRANSLATE(A9855 , ""tr"" , ""en"")"),"@drfahrettinkoca # Healthconships")</f>
        <v>@drfahrettinkoca # Healthconships</v>
      </c>
    </row>
    <row r="13057" spans="1:5" ht="15" customHeight="1" x14ac:dyDescent="0.2">
      <c r="A13057" s="1" t="s">
        <v>25757</v>
      </c>
      <c r="B13057" s="1">
        <v>0</v>
      </c>
      <c r="C13057" s="3">
        <v>44532.775914351849</v>
      </c>
      <c r="D13057" s="1" t="s">
        <v>25758</v>
      </c>
      <c r="E13057" s="1" t="str">
        <f ca="1">IFERROR(__xludf.DUMMYFUNCTION("GOOGLETRANSLATE(A9856 , ""tr"" , ""en"")"),"@drfahrettinkoca what happens anymore manual")</f>
        <v>@drfahrettinkoca what happens anymore manual</v>
      </c>
    </row>
    <row r="13058" spans="1:5" ht="15" customHeight="1" x14ac:dyDescent="0.2">
      <c r="A13058" s="1" t="s">
        <v>12457</v>
      </c>
      <c r="B13058" s="1">
        <v>0</v>
      </c>
      <c r="C13058" s="3">
        <v>44532.77579861111</v>
      </c>
      <c r="D13058" s="1" t="s">
        <v>25759</v>
      </c>
      <c r="E13058" s="1" t="str">
        <f ca="1">IFERROR(__xludf.DUMMYFUNCTION("GOOGLETRANSLATE(A9857 , ""tr"" , ""en"")"),"@drfahrettinkoca guide guide manual")</f>
        <v>@drfahrettinkoca guide guide manual</v>
      </c>
    </row>
    <row r="13059" spans="1:5" ht="15" customHeight="1" x14ac:dyDescent="0.2">
      <c r="A13059" s="1" t="s">
        <v>25760</v>
      </c>
      <c r="B13059" s="1">
        <v>1</v>
      </c>
      <c r="C13059" s="3">
        <v>44532.775671296295</v>
      </c>
      <c r="D13059" s="1" t="s">
        <v>25761</v>
      </c>
      <c r="E13059" s="1" t="str">
        <f ca="1">IFERROR(__xludf.DUMMYFUNCTION("GOOGLETRANSLATE(A9858 , ""tr"" , ""en"")"),"@drfahrettinkoca nursing homes with 2 sinovac + 1 biontech acisi urgently 2. Why don't you do biontech acid?")</f>
        <v>@drfahrettinkoca nursing homes with 2 sinovac + 1 biontech acisi urgently 2. Why don't you do biontech acid?</v>
      </c>
    </row>
    <row r="13060" spans="1:5" ht="15" customHeight="1" x14ac:dyDescent="0.2">
      <c r="A13060" s="1" t="s">
        <v>25762</v>
      </c>
      <c r="B13060" s="1">
        <v>0</v>
      </c>
      <c r="C13060" s="3">
        <v>44532.775659722225</v>
      </c>
      <c r="D13060" s="1" t="s">
        <v>25763</v>
      </c>
      <c r="E13060" s="1" t="str">
        <f ca="1">IFERROR(__xludf.DUMMYFUNCTION("GOOGLETRANSLATE(A9859 , ""tr"" , ""en"")"),"@drfahrettinkoca what you said are you what you said you are the minister of health 😂😂😂😂 hshshshshshshsjsj")</f>
        <v>@drfahrettinkoca what you said are you what you said you are the minister of health 😂😂😂😂 hshshshshshshsjsj</v>
      </c>
    </row>
    <row r="13061" spans="1:5" ht="15" customHeight="1" x14ac:dyDescent="0.2">
      <c r="A13061" s="1" t="s">
        <v>25764</v>
      </c>
      <c r="B13061" s="1">
        <v>0</v>
      </c>
      <c r="C13061" s="3">
        <v>44532.775300925925</v>
      </c>
      <c r="D13061" s="1" t="s">
        <v>25765</v>
      </c>
      <c r="E13061" s="1" t="str">
        <f ca="1">IFERROR(__xludf.DUMMYFUNCTION("GOOGLETRANSLATE(A9860 , ""tr"" , ""en"")"),"@drfahrettinka Mr. Minister The only thing that doesn't change is the value that you give our physician health personnel is still worthless in your eye!")</f>
        <v>@drfahrettinka Mr. Minister The only thing that doesn't change is the value that you give our physician health personnel is still worthless in your eye!</v>
      </c>
    </row>
    <row r="13062" spans="1:5" ht="15" customHeight="1" x14ac:dyDescent="0.2">
      <c r="A13062" s="1" t="s">
        <v>25766</v>
      </c>
      <c r="B13062" s="1">
        <v>0</v>
      </c>
      <c r="C13062" s="3">
        <v>44532.775208333333</v>
      </c>
      <c r="D13062" s="1" t="s">
        <v>25767</v>
      </c>
      <c r="E13062" s="1" t="str">
        <f ca="1">IFERROR(__xludf.DUMMYFUNCTION("GOOGLETRANSLATE(A9861 , ""tr"" , ""en"")"),"@drfahrettinkoca This guide does not remain such as Hocam psychology now")</f>
        <v>@drfahrettinkoca This guide does not remain such as Hocam psychology now</v>
      </c>
    </row>
    <row r="13063" spans="1:5" ht="15" customHeight="1" x14ac:dyDescent="0.2">
      <c r="A13063" s="1" t="s">
        <v>25768</v>
      </c>
      <c r="B13063" s="1">
        <v>0</v>
      </c>
      <c r="C13063" s="3">
        <v>44532.775069444448</v>
      </c>
      <c r="D13063" s="1" t="s">
        <v>25769</v>
      </c>
      <c r="E13063" s="1" t="str">
        <f ca="1">IFERROR(__xludf.DUMMYFUNCTION("GOOGLETRANSLATE(A9862 , ""tr"" , ""en"")"),"@drfahrettinkoca #when the healthcare")</f>
        <v>@drfahrettinkoca #when the healthcare</v>
      </c>
    </row>
    <row r="13064" spans="1:5" ht="15" customHeight="1" x14ac:dyDescent="0.2">
      <c r="A13064" s="1" t="s">
        <v>25770</v>
      </c>
      <c r="B13064" s="1">
        <v>0</v>
      </c>
      <c r="C13064" s="3">
        <v>44532.774942129632</v>
      </c>
      <c r="D13064" s="1" t="s">
        <v>25771</v>
      </c>
      <c r="E13064" s="1" t="str">
        <f ca="1">IFERROR(__xludf.DUMMYFUNCTION("GOOGLETRANSLATE(A9863 , ""tr"" , ""en"")"),"@drfahrettinkoca Allow the love of Allah now")</f>
        <v>@drfahrettinkoca Allow the love of Allah now</v>
      </c>
    </row>
    <row r="13065" spans="1:5" ht="15" customHeight="1" x14ac:dyDescent="0.2">
      <c r="A13065" s="1" t="s">
        <v>25772</v>
      </c>
      <c r="B13065" s="1">
        <v>0</v>
      </c>
      <c r="C13065" s="3">
        <v>44532.774918981479</v>
      </c>
      <c r="D13065" s="1" t="s">
        <v>25773</v>
      </c>
      <c r="E13065" s="1" t="str">
        <f ca="1">IFERROR(__xludf.DUMMYFUNCTION("GOOGLETRANSLATE(A9864 , ""tr"" , ""en"")"),"@drfahrettinkoca salary pay retirement, after saying, after looking at the man's eyes, the money stamp does not speak to the man who says the man in belief, Mr. Health Minister")</f>
        <v>@drfahrettinkoca salary pay retirement, after saying, after looking at the man's eyes, the money stamp does not speak to the man who says the man in belief, Mr. Health Minister</v>
      </c>
    </row>
    <row r="13066" spans="1:5" ht="15" customHeight="1" x14ac:dyDescent="0.2">
      <c r="A13066" s="1" t="s">
        <v>25774</v>
      </c>
      <c r="B13066" s="1">
        <v>0</v>
      </c>
      <c r="C13066" s="3">
        <v>44532.77480324074</v>
      </c>
      <c r="D13066" s="1" t="s">
        <v>25775</v>
      </c>
      <c r="E13066" s="1" t="str">
        <f ca="1">IFERROR(__xludf.DUMMYFUNCTION("GOOGLETRANSLATE(A9865 , ""tr"" , ""en"")"),"@drfahrettinka 3.dosis vaccination rate?")</f>
        <v>@drfahrettinka 3.dosis vaccination rate?</v>
      </c>
    </row>
    <row r="13067" spans="1:5" ht="15" customHeight="1" x14ac:dyDescent="0.2">
      <c r="A13067" s="1" t="s">
        <v>25776</v>
      </c>
      <c r="B13067" s="1">
        <v>0</v>
      </c>
      <c r="C13067" s="3">
        <v>44532.774791666663</v>
      </c>
      <c r="D13067" s="1" t="s">
        <v>25777</v>
      </c>
      <c r="E13067" s="1" t="str">
        <f ca="1">IFERROR(__xludf.DUMMYFUNCTION("GOOGLETRANSLATE(A9866 , ""tr"" , ""en"")"),"@drfahrettinkoca Either Mr. Overlooking Your Daily Number of 5000 Case Number of Numbers What happened Hani Everyday Vaccine Savliyo ... https://t.co/3rgxfsb6g8")</f>
        <v>@drfahrettinkoca Either Mr. Overlooking Your Daily Number of 5000 Case Number of Numbers What happened Hani Everyday Vaccine Savliyo ... https://t.co/3rgxfsb6g8</v>
      </c>
    </row>
    <row r="13068" spans="1:5" ht="15" customHeight="1" x14ac:dyDescent="0.2">
      <c r="A13068" s="1" t="s">
        <v>25778</v>
      </c>
      <c r="B13068" s="1">
        <v>0</v>
      </c>
      <c r="C13068" s="3">
        <v>44532.774756944447</v>
      </c>
      <c r="D13068" s="1" t="s">
        <v>25779</v>
      </c>
      <c r="E13068" s="1" t="str">
        <f ca="1">IFERROR(__xludf.DUMMYFUNCTION("GOOGLETRANSLATE(A9867 , ""tr"" , ""en"")"),"@drfahrettinka 2 December 2020 No vaccine! Number of tests: 183.624 Cases: 31.923 Number of patients: 6,690 Death: 193 2 Range ... https://t.co/msnbj7m8jl")</f>
        <v>@drfahrettinka 2 December 2020 No vaccine! Number of tests: 183.624 Cases: 31.923 Number of patients: 6,690 Death: 193 2 Range ... https://t.co/msnbj7m8jl</v>
      </c>
    </row>
    <row r="13069" spans="1:5" ht="15" customHeight="1" x14ac:dyDescent="0.2">
      <c r="A13069" s="1" t="s">
        <v>25780</v>
      </c>
      <c r="B13069" s="1">
        <v>0</v>
      </c>
      <c r="C13069" s="3">
        <v>44532.774618055555</v>
      </c>
      <c r="D13069" s="1" t="s">
        <v>25781</v>
      </c>
      <c r="E13069" s="1" t="str">
        <f ca="1">IFERROR(__xludf.DUMMYFUNCTION("GOOGLETRANSLATE(A9868 , ""tr"" , ""en"")"),"@drfahrettinkoca when is the kids Covid vaccine?")</f>
        <v>@drfahrettinkoca when is the kids Covid vaccine?</v>
      </c>
    </row>
    <row r="13070" spans="1:5" ht="15" customHeight="1" x14ac:dyDescent="0.2">
      <c r="A13070" s="1" t="s">
        <v>25782</v>
      </c>
      <c r="B13070" s="1">
        <v>1</v>
      </c>
      <c r="C13070" s="3">
        <v>44532.77449074074</v>
      </c>
      <c r="D13070" s="1" t="s">
        <v>25783</v>
      </c>
      <c r="E13070" s="1" t="str">
        <f ca="1">IFERROR(__xludf.DUMMYFUNCTION("GOOGLETRANSLATE(A9869 , ""tr"" , ""en"")"),"@drfahrettinkoca vaccinations proliferate in disease, look at the lie 🤣🤣")</f>
        <v>@drfahrettinkoca vaccinations proliferate in disease, look at the lie 🤣🤣</v>
      </c>
    </row>
    <row r="13071" spans="1:5" ht="15" customHeight="1" x14ac:dyDescent="0.2">
      <c r="A13071" s="1" t="s">
        <v>16768</v>
      </c>
      <c r="B13071" s="1">
        <v>0</v>
      </c>
      <c r="C13071" s="3">
        <v>44532.774467592593</v>
      </c>
      <c r="D13071" s="1" t="s">
        <v>25784</v>
      </c>
      <c r="E13071" s="1" t="str">
        <f ca="1">IFERROR(__xludf.DUMMYFUNCTION("GOOGLETRANSLATE(A9870 , ""tr"" , ""en"")"),"@drfahrettinkoca KKIIllaavvuuzz")</f>
        <v>@drfahrettinkoca KKIIllaavvuuzz</v>
      </c>
    </row>
    <row r="13072" spans="1:5" ht="15" customHeight="1" x14ac:dyDescent="0.2">
      <c r="A13072" s="1" t="s">
        <v>21375</v>
      </c>
      <c r="B13072" s="1">
        <v>0</v>
      </c>
      <c r="C13072" s="3">
        <v>44532.774386574078</v>
      </c>
      <c r="D13072" s="1" t="s">
        <v>25785</v>
      </c>
      <c r="E13072" s="1" t="str">
        <f ca="1">IFERROR(__xludf.DUMMYFUNCTION("GOOGLETRANSLATE(A9871 , ""tr"" , ""en"")"),"@drfahrettinkoca guide,")</f>
        <v>@drfahrettinkoca guide,</v>
      </c>
    </row>
    <row r="13073" spans="1:5" ht="15" customHeight="1" x14ac:dyDescent="0.2">
      <c r="A13073" s="1" t="s">
        <v>16774</v>
      </c>
      <c r="B13073" s="1">
        <v>0</v>
      </c>
      <c r="C13073" s="3">
        <v>44532.774328703701</v>
      </c>
      <c r="D13073" s="1" t="s">
        <v>25786</v>
      </c>
      <c r="E13073" s="1" t="str">
        <f ca="1">IFERROR(__xludf.DUMMYFUNCTION("GOOGLETRANSLATE(A9872 , ""tr"" , ""en"")"),"@drfahrettinkoca guide.")</f>
        <v>@drfahrettinkoca guide.</v>
      </c>
    </row>
    <row r="13074" spans="1:5" ht="15" customHeight="1" x14ac:dyDescent="0.2">
      <c r="A13074" s="1" t="s">
        <v>16770</v>
      </c>
      <c r="B13074" s="1">
        <v>0</v>
      </c>
      <c r="C13074" s="3">
        <v>44532.774270833332</v>
      </c>
      <c r="D13074" s="1" t="s">
        <v>25787</v>
      </c>
      <c r="E13074" s="1" t="str">
        <f ca="1">IFERROR(__xludf.DUMMYFUNCTION("GOOGLETRANSLATE(A9873 , ""tr"" , ""en"")"),"@drfahrettinkoca guide")</f>
        <v>@drfahrettinkoca guide</v>
      </c>
    </row>
    <row r="13075" spans="1:5" ht="15" customHeight="1" x14ac:dyDescent="0.2">
      <c r="A13075" s="1" t="s">
        <v>10058</v>
      </c>
      <c r="B13075" s="1">
        <v>0</v>
      </c>
      <c r="C13075" s="3">
        <v>44532.774224537039</v>
      </c>
      <c r="D13075" s="1" t="s">
        <v>25788</v>
      </c>
      <c r="E13075" s="1" t="str">
        <f ca="1">IFERROR(__xludf.DUMMYFUNCTION("GOOGLETRANSLATE(A9874 , ""tr"" , ""en"")"),"@drfahrettinkoca Guide")</f>
        <v>@drfahrettinkoca Guide</v>
      </c>
    </row>
    <row r="13076" spans="1:5" ht="15" customHeight="1" x14ac:dyDescent="0.2">
      <c r="A13076" s="1" t="s">
        <v>25789</v>
      </c>
      <c r="B13076" s="1">
        <v>0</v>
      </c>
      <c r="C13076" s="3">
        <v>44532.77416666667</v>
      </c>
      <c r="D13076" s="1" t="s">
        <v>25790</v>
      </c>
      <c r="E13076" s="1" t="str">
        <f ca="1">IFERROR(__xludf.DUMMYFUNCTION("GOOGLETRANSLATE(A9875 , ""tr"" , ""en"")"),"@drfahrettinkoca Healthparts Guide is not a two weeks a husband for a year waiting for a year")</f>
        <v>@drfahrettinkoca Healthparts Guide is not a two weeks a husband for a year waiting for a year</v>
      </c>
    </row>
    <row r="13077" spans="1:5" ht="15" customHeight="1" x14ac:dyDescent="0.2">
      <c r="A13077" s="1" t="s">
        <v>25791</v>
      </c>
      <c r="B13077" s="1">
        <v>0</v>
      </c>
      <c r="C13077" s="3">
        <v>44532.774131944447</v>
      </c>
      <c r="D13077" s="1" t="s">
        <v>25792</v>
      </c>
      <c r="E13077" s="1" t="str">
        <f ca="1">IFERROR(__xludf.DUMMYFUNCTION("GOOGLETRANSLATE(A9876 , ""tr"" , ""en"")"),"@drfahrettinkoca healthcare guide is not a two-week husband waiting for a year")</f>
        <v>@drfahrettinkoca healthcare guide is not a two-week husband waiting for a year</v>
      </c>
    </row>
    <row r="13078" spans="1:5" ht="15" customHeight="1" x14ac:dyDescent="0.2">
      <c r="A13078" s="1" t="s">
        <v>25793</v>
      </c>
      <c r="B13078" s="1">
        <v>0</v>
      </c>
      <c r="C13078" s="3">
        <v>44532.774039351854</v>
      </c>
      <c r="D13078" s="1" t="s">
        <v>25794</v>
      </c>
      <c r="E13078" s="1" t="str">
        <f ca="1">IFERROR(__xludf.DUMMYFUNCTION("GOOGLETRANSLATE(A9877 , ""tr"" , ""en"")"),"@drfahrettinkoca m")</f>
        <v>@drfahrettinkoca m</v>
      </c>
    </row>
    <row r="13079" spans="1:5" ht="15" customHeight="1" x14ac:dyDescent="0.2">
      <c r="A13079" s="1" t="s">
        <v>25795</v>
      </c>
      <c r="B13079" s="1">
        <v>1</v>
      </c>
      <c r="C13079" s="3">
        <v>44532.773993055554</v>
      </c>
      <c r="D13079" s="1" t="s">
        <v>25796</v>
      </c>
      <c r="E13079" s="1" t="str">
        <f ca="1">IFERROR(__xludf.DUMMYFUNCTION("GOOGLETRANSLATE(A9878 , ""tr"" , ""en"")"),"@drfahrettinkoca healthcare guide is not a two-week of husband for a year")</f>
        <v>@drfahrettinkoca healthcare guide is not a two-week of husband for a year</v>
      </c>
    </row>
    <row r="13080" spans="1:5" ht="15" customHeight="1" x14ac:dyDescent="0.2">
      <c r="A13080" s="1" t="s">
        <v>25797</v>
      </c>
      <c r="B13080" s="1">
        <v>0</v>
      </c>
      <c r="C13080" s="3">
        <v>44532.773958333331</v>
      </c>
      <c r="D13080" s="1" t="s">
        <v>25798</v>
      </c>
      <c r="E13080" s="1" t="str">
        <f ca="1">IFERROR(__xludf.DUMMYFUNCTION("GOOGLETRANSLATE(A9879 , ""tr"" , ""en"")"),"@drfahrettinkoca healthcare guide is not a two-week husband for a year waiting for")</f>
        <v>@drfahrettinkoca healthcare guide is not a two-week husband for a year waiting for</v>
      </c>
    </row>
    <row r="13081" spans="1:5" ht="15" customHeight="1" x14ac:dyDescent="0.2">
      <c r="A13081" s="1" t="s">
        <v>25799</v>
      </c>
      <c r="B13081" s="1">
        <v>0</v>
      </c>
      <c r="C13081" s="3">
        <v>44532.773923611108</v>
      </c>
      <c r="D13081" s="1" t="s">
        <v>25800</v>
      </c>
      <c r="E13081" s="1" t="str">
        <f ca="1">IFERROR(__xludf.DUMMYFUNCTION("GOOGLETRANSLATE(A9880 , ""tr"" , ""en"")"),"@drfahrettinkoca Minister If you are the human beings that I had the test at the conditions, maybe he found the exam. Https://t.co/xpjybruvua")</f>
        <v>@drfahrettinkoca Minister If you are the human beings that I had the test at the conditions, maybe he found the exam. Https://t.co/xpjybruvua</v>
      </c>
    </row>
    <row r="13082" spans="1:5" ht="15" customHeight="1" x14ac:dyDescent="0.2">
      <c r="A13082" s="1" t="s">
        <v>25801</v>
      </c>
      <c r="B13082" s="1">
        <v>14</v>
      </c>
      <c r="C13082" s="3">
        <v>44532.773923611108</v>
      </c>
      <c r="D13082" s="1" t="s">
        <v>25802</v>
      </c>
      <c r="E13082" s="1" t="str">
        <f ca="1">IFERROR(__xludf.DUMMYFUNCTION("GOOGLETRANSLATE(A9881 , ""tr"" , ""en"")"),"@drfahrettinkoca @rterdogan Mr. President. We have left the country to the Ministry of Health and the Science Board ... Https://t.co/j0tazdgmaf")</f>
        <v>@drfahrettinkoca @rterdogan Mr. President. We have left the country to the Ministry of Health and the Science Board ... Https://t.co/j0tazdgmaf</v>
      </c>
    </row>
    <row r="13083" spans="1:5" ht="15" customHeight="1" x14ac:dyDescent="0.2">
      <c r="A13083" s="1" t="s">
        <v>25803</v>
      </c>
      <c r="B13083" s="1">
        <v>0</v>
      </c>
      <c r="C13083" s="3">
        <v>44532.773912037039</v>
      </c>
      <c r="D13083" s="1" t="s">
        <v>25804</v>
      </c>
      <c r="E13083" s="1" t="str">
        <f ca="1">IFERROR(__xludf.DUMMYFUNCTION("GOOGLETRANSLATE(A9882 , ""tr"" , ""en"")"),"@drfahrettinkoca healthcare guide is not a two-week husband waiting for a year")</f>
        <v>@drfahrettinkoca healthcare guide is not a two-week husband waiting for a year</v>
      </c>
    </row>
    <row r="13084" spans="1:5" ht="15" customHeight="1" x14ac:dyDescent="0.2">
      <c r="A13084" s="1" t="s">
        <v>25805</v>
      </c>
      <c r="B13084" s="1">
        <v>0</v>
      </c>
      <c r="C13084" s="3">
        <v>44532.773877314816</v>
      </c>
      <c r="D13084" s="1" t="s">
        <v>25806</v>
      </c>
      <c r="E13084" s="1" t="str">
        <f ca="1">IFERROR(__xludf.DUMMYFUNCTION("GOOGLETRANSLATE(A9883 , ""tr"" , ""en"")"),"@drfahrettinkoca healthcare guide is a week not a husband waiting for a year")</f>
        <v>@drfahrettinkoca healthcare guide is a week not a husband waiting for a year</v>
      </c>
    </row>
    <row r="13085" spans="1:5" ht="15" customHeight="1" x14ac:dyDescent="0.2">
      <c r="A13085" s="1" t="s">
        <v>25807</v>
      </c>
      <c r="B13085" s="1">
        <v>0</v>
      </c>
      <c r="C13085" s="3">
        <v>44532.773831018516</v>
      </c>
      <c r="D13085" s="1" t="s">
        <v>25808</v>
      </c>
      <c r="E13085" s="1" t="str">
        <f ca="1">IFERROR(__xludf.DUMMYFUNCTION("GOOGLETRANSLATE(A9884 , ""tr"" , ""en"")"),"@drfahrettinkoca healthcare guide is a week not a husband waiting for a year")</f>
        <v>@drfahrettinkoca healthcare guide is a week not a husband waiting for a year</v>
      </c>
    </row>
    <row r="13086" spans="1:5" ht="15" customHeight="1" x14ac:dyDescent="0.2">
      <c r="A13086" s="1" t="s">
        <v>25809</v>
      </c>
      <c r="B13086" s="1">
        <v>0</v>
      </c>
      <c r="C13086" s="3">
        <v>44532.773796296293</v>
      </c>
      <c r="D13086" s="1" t="s">
        <v>25810</v>
      </c>
      <c r="E13086" s="1" t="str">
        <f ca="1">IFERROR(__xludf.DUMMYFUNCTION("GOOGLETRANSLATE(A9885 , ""tr"" , ""en"")"),"@drfahrettinkoca healthcare guide is a week not a husband waiting for a year")</f>
        <v>@drfahrettinkoca healthcare guide is a week not a husband waiting for a year</v>
      </c>
    </row>
    <row r="13087" spans="1:5" ht="15" customHeight="1" x14ac:dyDescent="0.2">
      <c r="A13087" s="1" t="s">
        <v>21200</v>
      </c>
      <c r="B13087" s="1">
        <v>0</v>
      </c>
      <c r="C13087" s="3">
        <v>44532.77375</v>
      </c>
      <c r="D13087" s="1" t="s">
        <v>25811</v>
      </c>
      <c r="E13087" s="1" t="str">
        <f ca="1">IFERROR(__xludf.DUMMYFUNCTION("GOOGLETRANSLATE(A9886 , ""tr"" , ""en"")"),"@drfahrettinkoca healthcare guide is a week not a husband waiting for a year")</f>
        <v>@drfahrettinkoca healthcare guide is a week not a husband waiting for a year</v>
      </c>
    </row>
    <row r="13088" spans="1:5" ht="15" customHeight="1" x14ac:dyDescent="0.2">
      <c r="A13088" s="1" t="s">
        <v>21202</v>
      </c>
      <c r="B13088" s="1">
        <v>0</v>
      </c>
      <c r="C13088" s="3">
        <v>44532.773715277777</v>
      </c>
      <c r="D13088" s="1" t="s">
        <v>25812</v>
      </c>
      <c r="E13088" s="1" t="str">
        <f ca="1">IFERROR(__xludf.DUMMYFUNCTION("GOOGLETRANSLATE(A9887 , ""tr"" , ""en"")"),"@drfahrettinkoca healthcare guide is not a two-week of husband waiting for a year")</f>
        <v>@drfahrettinkoca healthcare guide is not a two-week of husband waiting for a year</v>
      </c>
    </row>
    <row r="13089" spans="1:5" ht="15" customHeight="1" x14ac:dyDescent="0.2">
      <c r="A13089" s="1" t="s">
        <v>25813</v>
      </c>
      <c r="B13089" s="1">
        <v>0</v>
      </c>
      <c r="C13089" s="3">
        <v>44532.773692129631</v>
      </c>
      <c r="D13089" s="1" t="s">
        <v>25814</v>
      </c>
      <c r="E13089" s="1" t="str">
        <f ca="1">IFERROR(__xludf.DUMMYFUNCTION("GOOGLETRANSLATE(A9888 , ""tr"" , ""en"")"),"@drfahrettinkoca # subconceptinole # subconceptinold # -resenonakadronold uses in this pandemic process hospital staff workers ... https://t.co/1v7vmz04bz")</f>
        <v>@drfahrettinkoca # subconceptinole # subconceptinold # -resenonakadronold uses in this pandemic process hospital staff workers ... https://t.co/1v7vmz04bz</v>
      </c>
    </row>
    <row r="13090" spans="1:5" ht="15" customHeight="1" x14ac:dyDescent="0.2">
      <c r="A13090" s="1" t="s">
        <v>25815</v>
      </c>
      <c r="B13090" s="1">
        <v>4</v>
      </c>
      <c r="C13090" s="3">
        <v>44532.773692129631</v>
      </c>
      <c r="D13090" s="1" t="s">
        <v>25816</v>
      </c>
      <c r="E13090" s="1" t="str">
        <f ca="1">IFERROR(__xludf.DUMMYFUNCTION("GOOGLETRANSLATE(A9889 , ""tr"" , ""en"")"),"@drfahrettinkoca We want the Assignment Guide and Branch Distributions .... @drfahrettinkoca")</f>
        <v>@drfahrettinkoca We want the Assignment Guide and Branch Distributions .... @drfahrettinkoca</v>
      </c>
    </row>
    <row r="13091" spans="1:5" ht="15" customHeight="1" x14ac:dyDescent="0.2">
      <c r="A13091" s="1" t="s">
        <v>21204</v>
      </c>
      <c r="B13091" s="1">
        <v>0</v>
      </c>
      <c r="C13091" s="3">
        <v>44532.773668981485</v>
      </c>
      <c r="D13091" s="1" t="s">
        <v>25817</v>
      </c>
      <c r="E13091" s="1" t="str">
        <f ca="1">IFERROR(__xludf.DUMMYFUNCTION("GOOGLETRANSLATE(A9890 , ""tr"" , ""en"")"),"@drfahrettinkoca healthcare guide is not a two-week husband for a year")</f>
        <v>@drfahrettinkoca healthcare guide is not a two-week husband for a year</v>
      </c>
    </row>
    <row r="13092" spans="1:5" ht="15" customHeight="1" x14ac:dyDescent="0.2">
      <c r="A13092" s="1" t="s">
        <v>21212</v>
      </c>
      <c r="B13092" s="1">
        <v>0</v>
      </c>
      <c r="C13092" s="3">
        <v>44532.773622685185</v>
      </c>
      <c r="D13092" s="1" t="s">
        <v>25818</v>
      </c>
      <c r="E13092" s="1" t="str">
        <f ca="1">IFERROR(__xludf.DUMMYFUNCTION("GOOGLETRANSLATE(A9891 , ""tr"" , ""en"")"),"@drfahrettinkoca healthcare guide is not a two-week husband waiting for a year")</f>
        <v>@drfahrettinkoca healthcare guide is not a two-week husband waiting for a year</v>
      </c>
    </row>
    <row r="13093" spans="1:5" ht="15" customHeight="1" x14ac:dyDescent="0.2">
      <c r="A13093" s="1" t="s">
        <v>25819</v>
      </c>
      <c r="B13093" s="1">
        <v>68</v>
      </c>
      <c r="C13093" s="3">
        <v>44532.773622685185</v>
      </c>
      <c r="D13093" s="1" t="s">
        <v>25820</v>
      </c>
      <c r="E13093" s="1" t="str">
        <f ca="1">IFERROR(__xludf.DUMMYFUNCTION("GOOGLETRANSLATE(A9892 , ""tr"" , ""en"")"),"@drfahrettinka you listen to the problems that people you exceeding are listening to the problems where you are listening to no vaccination Heart Kri ... https://t.co/blv6w2weut")</f>
        <v>@drfahrettinka you listen to the problems that people you exceeding are listening to the problems where you are listening to no vaccination Heart Kri ... https://t.co/blv6w2weut</v>
      </c>
    </row>
    <row r="13094" spans="1:5" ht="15" customHeight="1" x14ac:dyDescent="0.2">
      <c r="A13094" s="1" t="s">
        <v>21218</v>
      </c>
      <c r="B13094" s="1">
        <v>0</v>
      </c>
      <c r="C13094" s="3">
        <v>44532.773587962962</v>
      </c>
      <c r="D13094" s="1" t="s">
        <v>25821</v>
      </c>
      <c r="E13094" s="1" t="str">
        <f ca="1">IFERROR(__xludf.DUMMYFUNCTION("GOOGLETRANSLATE(A9893 , ""tr"" , ""en"")"),"@drfahrettinkoca healthcare guide is a week not a husband waiting for a year")</f>
        <v>@drfahrettinkoca healthcare guide is a week not a husband waiting for a year</v>
      </c>
    </row>
    <row r="13095" spans="1:5" ht="15" customHeight="1" x14ac:dyDescent="0.2">
      <c r="A13095" s="1" t="s">
        <v>21226</v>
      </c>
      <c r="B13095" s="1">
        <v>0</v>
      </c>
      <c r="C13095" s="3">
        <v>44532.773553240739</v>
      </c>
      <c r="D13095" s="1" t="s">
        <v>25822</v>
      </c>
      <c r="E13095" s="1" t="str">
        <f ca="1">IFERROR(__xludf.DUMMYFUNCTION("GOOGLETRANSLATE(A9894 , ""tr"" , ""en"")"),"@drfahrettinkoca healthcare guide is not a two-week husband waiting for a year")</f>
        <v>@drfahrettinkoca healthcare guide is not a two-week husband waiting for a year</v>
      </c>
    </row>
    <row r="13096" spans="1:5" ht="15" customHeight="1" x14ac:dyDescent="0.2">
      <c r="A13096" s="1" t="s">
        <v>25823</v>
      </c>
      <c r="B13096" s="1">
        <v>0</v>
      </c>
      <c r="C13096" s="3">
        <v>44532.773506944446</v>
      </c>
      <c r="D13096" s="1" t="s">
        <v>25824</v>
      </c>
      <c r="E13096" s="1" t="str">
        <f ca="1">IFERROR(__xludf.DUMMYFUNCTION("GOOGLETRANSLATE(A9895 , ""tr"" , ""en"")"),"@drfahrettinkoca healthcare guide is not a two weeks a husband waiting for a year")</f>
        <v>@drfahrettinkoca healthcare guide is not a two weeks a husband waiting for a year</v>
      </c>
    </row>
    <row r="13097" spans="1:5" ht="15" customHeight="1" x14ac:dyDescent="0.2">
      <c r="A13097" s="1" t="s">
        <v>25825</v>
      </c>
      <c r="B13097" s="1">
        <v>0</v>
      </c>
      <c r="C13097" s="3">
        <v>44532.773495370369</v>
      </c>
      <c r="D13097" s="1" t="s">
        <v>25826</v>
      </c>
      <c r="E13097" s="1" t="str">
        <f ca="1">IFERROR(__xludf.DUMMYFUNCTION("GOOGLETRANSLATE(A9896 , ""tr"" , ""en"")"),"@drfahrettinkoca # Succondonakadronold We are in this pandemic process in the hospital staff, what would be our voice ... https://t.co/vlqutlpboj")</f>
        <v>@drfahrettinkoca # Succondonakadronold We are in this pandemic process in the hospital staff, what would be our voice ... https://t.co/vlqutlpboj</v>
      </c>
    </row>
    <row r="13098" spans="1:5" ht="15" customHeight="1" x14ac:dyDescent="0.2">
      <c r="A13098" s="1" t="s">
        <v>21230</v>
      </c>
      <c r="B13098" s="1">
        <v>0</v>
      </c>
      <c r="C13098" s="3">
        <v>44532.773460648146</v>
      </c>
      <c r="D13098" s="1" t="s">
        <v>25827</v>
      </c>
      <c r="E13098" s="1" t="str">
        <f ca="1">IFERROR(__xludf.DUMMYFUNCTION("GOOGLETRANSLATE(A9897 , ""tr"" , ""en"")"),"@drfahrettinkoca healthcare guide is not a two-week husband waiting for a year")</f>
        <v>@drfahrettinkoca healthcare guide is not a two-week husband waiting for a year</v>
      </c>
    </row>
    <row r="13099" spans="1:5" ht="15" customHeight="1" x14ac:dyDescent="0.2">
      <c r="A13099" s="1" t="s">
        <v>25828</v>
      </c>
      <c r="B13099" s="1">
        <v>0</v>
      </c>
      <c r="C13099" s="3">
        <v>44532.773425925923</v>
      </c>
      <c r="D13099" s="1" t="s">
        <v>25829</v>
      </c>
      <c r="E13099" s="1" t="str">
        <f ca="1">IFERROR(__xludf.DUMMYFUNCTION("GOOGLETRANSLATE(A9898 , ""tr"" , ""en"")"),"@drfahrettinkoca healthcare guide is not a two-week husband waiting for a year")</f>
        <v>@drfahrettinkoca healthcare guide is not a two-week husband waiting for a year</v>
      </c>
    </row>
    <row r="13100" spans="1:5" ht="15" customHeight="1" x14ac:dyDescent="0.2">
      <c r="A13100" s="1" t="s">
        <v>21237</v>
      </c>
      <c r="B13100" s="1">
        <v>0</v>
      </c>
      <c r="C13100" s="3">
        <v>44532.773379629631</v>
      </c>
      <c r="D13100" s="1" t="s">
        <v>25830</v>
      </c>
      <c r="E13100" s="1" t="str">
        <f ca="1">IFERROR(__xludf.DUMMYFUNCTION("GOOGLETRANSLATE(A9899 , ""tr"" , ""en"")"),"@drfahrettinkoca healthcare guide is a week not a husband waiting for a year")</f>
        <v>@drfahrettinkoca healthcare guide is a week not a husband waiting for a year</v>
      </c>
    </row>
    <row r="13101" spans="1:5" ht="15" customHeight="1" x14ac:dyDescent="0.2">
      <c r="A13101" s="1" t="s">
        <v>21241</v>
      </c>
      <c r="B13101" s="1">
        <v>0</v>
      </c>
      <c r="C13101" s="3">
        <v>44532.773344907408</v>
      </c>
      <c r="D13101" s="1" t="s">
        <v>25831</v>
      </c>
      <c r="E13101" s="1" t="str">
        <f ca="1">IFERROR(__xludf.DUMMYFUNCTION("GOOGLETRANSLATE(A9900 , ""tr"" , ""en"")"),"@drfahrettinkoca healthcare guide is not a two-week husband waiting for a year")</f>
        <v>@drfahrettinkoca healthcare guide is not a two-week husband waiting for a year</v>
      </c>
    </row>
    <row r="13102" spans="1:5" ht="15" customHeight="1" x14ac:dyDescent="0.2">
      <c r="A13102" s="1" t="s">
        <v>21245</v>
      </c>
      <c r="B13102" s="1">
        <v>0</v>
      </c>
      <c r="C13102" s="3">
        <v>44532.773275462961</v>
      </c>
      <c r="D13102" s="1" t="s">
        <v>25832</v>
      </c>
      <c r="E13102" s="1" t="str">
        <f ca="1">IFERROR(__xludf.DUMMYFUNCTION("GOOGLETRANSLATE(A9901 , ""tr"" , ""en"")"),"@drfahrettinkoca Healthparts Guide is not a two-week husband waiting for a year")</f>
        <v>@drfahrettinkoca Healthparts Guide is not a two-week husband waiting for a year</v>
      </c>
    </row>
    <row r="13103" spans="1:5" ht="15" customHeight="1" x14ac:dyDescent="0.2">
      <c r="A13103" s="1" t="s">
        <v>25833</v>
      </c>
      <c r="B13103" s="1">
        <v>0</v>
      </c>
      <c r="C13103" s="3">
        <v>44532.773252314815</v>
      </c>
      <c r="D13103" s="1" t="s">
        <v>25834</v>
      </c>
      <c r="E13103" s="1" t="str">
        <f ca="1">IFERROR(__xludf.DUMMYFUNCTION("GOOGLETRANSLATE(A9902 , ""tr"" , ""en"")"),"@drfahrettinka first days there were also measures and prohibitions now everyone is the prairie in the mealth slide when the prohibitions back to ... https://t.co/kolymqh230")</f>
        <v>@drfahrettinka first days there were also measures and prohibitions now everyone is the prairie in the mealth slide when the prohibitions back to ... https://t.co/kolymqh230</v>
      </c>
    </row>
    <row r="13104" spans="1:5" ht="15" customHeight="1" x14ac:dyDescent="0.2">
      <c r="A13104" s="1" t="s">
        <v>21249</v>
      </c>
      <c r="B13104" s="1">
        <v>0</v>
      </c>
      <c r="C13104" s="3">
        <v>44532.773229166669</v>
      </c>
      <c r="D13104" s="1" t="s">
        <v>25835</v>
      </c>
      <c r="E13104" s="1" t="str">
        <f ca="1">IFERROR(__xludf.DUMMYFUNCTION("GOOGLETRANSLATE(A9903 , ""tr"" , ""en"")"),"@drfahrettinkoca healthcare guide is not a two-week husband waiting for a year")</f>
        <v>@drfahrettinkoca healthcare guide is not a two-week husband waiting for a year</v>
      </c>
    </row>
    <row r="13105" spans="1:5" ht="15" customHeight="1" x14ac:dyDescent="0.2">
      <c r="A13105" s="1" t="s">
        <v>25836</v>
      </c>
      <c r="B13105" s="1">
        <v>0</v>
      </c>
      <c r="C13105" s="3">
        <v>44532.773229166669</v>
      </c>
      <c r="D13105" s="1" t="s">
        <v>25837</v>
      </c>
      <c r="E13105" s="1" t="str">
        <f ca="1">IFERROR(__xludf.DUMMYFUNCTION("GOOGLETRANSLATE(A9904 , ""tr"" , ""en"")"),"@drfahrettinkoca Saglikciya Assignment")</f>
        <v>@drfahrettinkoca Saglikciya Assignment</v>
      </c>
    </row>
    <row r="13106" spans="1:5" ht="15" customHeight="1" x14ac:dyDescent="0.2">
      <c r="A13106" s="1" t="s">
        <v>25838</v>
      </c>
      <c r="B13106" s="1">
        <v>0</v>
      </c>
      <c r="C13106" s="3">
        <v>44532.773229166669</v>
      </c>
      <c r="D13106" s="1" t="s">
        <v>25839</v>
      </c>
      <c r="E13106" s="1" t="str">
        <f ca="1">IFERROR(__xludf.DUMMYFUNCTION("GOOGLETRANSLATE(A9905 , ""tr"" , ""en"")"),"@drfahrettinkoca # Suberonakadronold # Suberonakadronold We are in this pandemi process in the hospital staff at the hospital ... https://t.co/noahwgrppa")</f>
        <v>@drfahrettinkoca # Suberonakadronold # Suberonakadronold We are in this pandemi process in the hospital staff at the hospital ... https://t.co/noahwgrppa</v>
      </c>
    </row>
    <row r="13107" spans="1:5" ht="15" customHeight="1" x14ac:dyDescent="0.2">
      <c r="A13107" s="1" t="s">
        <v>21255</v>
      </c>
      <c r="B13107" s="1">
        <v>0</v>
      </c>
      <c r="C13107" s="3">
        <v>44532.773194444446</v>
      </c>
      <c r="D13107" s="1" t="s">
        <v>25840</v>
      </c>
      <c r="E13107" s="1" t="str">
        <f ca="1">IFERROR(__xludf.DUMMYFUNCTION("GOOGLETRANSLATE(A9906 , ""tr"" , ""en"")"),"@drfahrettinkoca healthcare guide is not a two weeks in a husband waiting for a year")</f>
        <v>@drfahrettinkoca healthcare guide is not a two weeks in a husband waiting for a year</v>
      </c>
    </row>
    <row r="13108" spans="1:5" ht="15" customHeight="1" x14ac:dyDescent="0.2">
      <c r="A13108" s="1" t="s">
        <v>21261</v>
      </c>
      <c r="B13108" s="1">
        <v>0</v>
      </c>
      <c r="C13108" s="3">
        <v>44532.773148148146</v>
      </c>
      <c r="D13108" s="1" t="s">
        <v>25841</v>
      </c>
      <c r="E13108" s="1" t="str">
        <f ca="1">IFERROR(__xludf.DUMMYFUNCTION("GOOGLETRANSLATE(A9907 , ""tr"" , ""en"")"),"@drfahrettinkoca healthcare guide is not a two-week husband waiting for a year")</f>
        <v>@drfahrettinkoca healthcare guide is not a two-week husband waiting for a year</v>
      </c>
    </row>
    <row r="13109" spans="1:5" ht="15" customHeight="1" x14ac:dyDescent="0.2">
      <c r="A13109" s="1" t="s">
        <v>22726</v>
      </c>
      <c r="B13109" s="1">
        <v>0</v>
      </c>
      <c r="C13109" s="3">
        <v>44532.773101851853</v>
      </c>
      <c r="D13109" s="1" t="s">
        <v>25842</v>
      </c>
      <c r="E13109" s="1" t="str">
        <f ca="1">IFERROR(__xludf.DUMMYFUNCTION("GOOGLETRANSLATE(A9908 , ""tr"" , ""en"")"),"@drfahrettinkoca healthcare guide is not a two-week husband waiting for a year")</f>
        <v>@drfahrettinkoca healthcare guide is not a two-week husband waiting for a year</v>
      </c>
    </row>
    <row r="13110" spans="1:5" ht="15" customHeight="1" x14ac:dyDescent="0.2">
      <c r="A13110" s="1" t="s">
        <v>25843</v>
      </c>
      <c r="B13110" s="1">
        <v>0</v>
      </c>
      <c r="C13110" s="3">
        <v>44532.773090277777</v>
      </c>
      <c r="D13110" s="1" t="s">
        <v>25844</v>
      </c>
      <c r="E13110" s="1" t="str">
        <f ca="1">IFERROR(__xludf.DUMMYFUNCTION("GOOGLETRANSLATE(A9909 , ""tr"" , ""en"")"),"@drfahrettinkoca Mr. Ministry All Doctor Camia Specialist PhD 5000 İŞ salary is not a deception other than a scam. Return ... https://t.co/z2wfu2wdpr")</f>
        <v>@drfahrettinkoca Mr. Ministry All Doctor Camia Specialist PhD 5000 İŞ salary is not a deception other than a scam. Return ... https://t.co/z2wfu2wdpr</v>
      </c>
    </row>
    <row r="13111" spans="1:5" ht="15" customHeight="1" x14ac:dyDescent="0.2">
      <c r="A13111" s="1" t="s">
        <v>21267</v>
      </c>
      <c r="B13111" s="1">
        <v>0</v>
      </c>
      <c r="C13111" s="3">
        <v>44532.77306712963</v>
      </c>
      <c r="D13111" s="1" t="s">
        <v>25845</v>
      </c>
      <c r="E13111" s="1" t="str">
        <f ca="1">IFERROR(__xludf.DUMMYFUNCTION("GOOGLETRANSLATE(A9910 , ""tr"" , ""en"")"),"@drfahrettinkoca healthcare guide is a week not a husband waiting for a year")</f>
        <v>@drfahrettinkoca healthcare guide is a week not a husband waiting for a year</v>
      </c>
    </row>
    <row r="13112" spans="1:5" ht="15" customHeight="1" x14ac:dyDescent="0.2">
      <c r="A13112" s="1" t="s">
        <v>21271</v>
      </c>
      <c r="B13112" s="1">
        <v>0</v>
      </c>
      <c r="C13112" s="3">
        <v>44532.773020833331</v>
      </c>
      <c r="D13112" s="1" t="s">
        <v>25846</v>
      </c>
      <c r="E13112" s="1" t="str">
        <f ca="1">IFERROR(__xludf.DUMMYFUNCTION("GOOGLETRANSLATE(A9911 , ""tr"" , ""en"")"),"@drfahrettinkoca healthcare guide is not a two-week husband waiting for a year")</f>
        <v>@drfahrettinkoca healthcare guide is not a two-week husband waiting for a year</v>
      </c>
    </row>
    <row r="13113" spans="1:5" ht="15" customHeight="1" x14ac:dyDescent="0.2">
      <c r="A13113" s="1" t="s">
        <v>21273</v>
      </c>
      <c r="B13113" s="1">
        <v>0</v>
      </c>
      <c r="C13113" s="3">
        <v>44532.772986111115</v>
      </c>
      <c r="D13113" s="1" t="s">
        <v>25847</v>
      </c>
      <c r="E13113" s="1" t="str">
        <f ca="1">IFERROR(__xludf.DUMMYFUNCTION("GOOGLETRANSLATE(A9912 , ""tr"" , ""en"")"),"@drfahrettinkoca healthcare guide is not a two-week husband waiting for a year")</f>
        <v>@drfahrettinkoca healthcare guide is not a two-week husband waiting for a year</v>
      </c>
    </row>
    <row r="13114" spans="1:5" ht="15" customHeight="1" x14ac:dyDescent="0.2">
      <c r="A13114" s="1" t="s">
        <v>21281</v>
      </c>
      <c r="B13114" s="1">
        <v>0</v>
      </c>
      <c r="C13114" s="3">
        <v>44532.772939814815</v>
      </c>
      <c r="D13114" s="1" t="s">
        <v>25848</v>
      </c>
      <c r="E13114" s="1" t="str">
        <f ca="1">IFERROR(__xludf.DUMMYFUNCTION("GOOGLETRANSLATE(A9913 , ""tr"" , ""en"")"),"@drfahrettinkoca healthcare guide is a week not a husband waiting for a year")</f>
        <v>@drfahrettinkoca healthcare guide is a week not a husband waiting for a year</v>
      </c>
    </row>
    <row r="13115" spans="1:5" ht="15" customHeight="1" x14ac:dyDescent="0.2">
      <c r="A13115" s="1" t="s">
        <v>25849</v>
      </c>
      <c r="B13115" s="1">
        <v>0</v>
      </c>
      <c r="C13115" s="3">
        <v>44532.772928240738</v>
      </c>
      <c r="D13115" s="1" t="s">
        <v>25850</v>
      </c>
      <c r="E13115" s="1" t="str">
        <f ca="1">IFERROR(__xludf.DUMMYFUNCTION("GOOGLETRANSLATE(A9914 , ""tr"" , ""en"")"),"@drfahrettinkoca for young people 3 dose of seniors for seniors when to do please inform the teacher")</f>
        <v>@drfahrettinkoca for young people 3 dose of seniors for seniors when to do please inform the teacher</v>
      </c>
    </row>
    <row r="13116" spans="1:5" ht="15" customHeight="1" x14ac:dyDescent="0.2">
      <c r="A13116" s="1" t="s">
        <v>21285</v>
      </c>
      <c r="B13116" s="1">
        <v>0</v>
      </c>
      <c r="C13116" s="3">
        <v>44532.772905092592</v>
      </c>
      <c r="D13116" s="1" t="s">
        <v>25851</v>
      </c>
      <c r="E13116" s="1" t="str">
        <f ca="1">IFERROR(__xludf.DUMMYFUNCTION("GOOGLETRANSLATE(A9915 , ""tr"" , ""en"")"),"@drfahrettinkoca healthcare guide is not a two-week husband waiting for a year")</f>
        <v>@drfahrettinkoca healthcare guide is not a two-week husband waiting for a year</v>
      </c>
    </row>
    <row r="13117" spans="1:5" ht="15" customHeight="1" x14ac:dyDescent="0.2">
      <c r="A13117" s="1" t="s">
        <v>21287</v>
      </c>
      <c r="B13117" s="1">
        <v>0</v>
      </c>
      <c r="C13117" s="3">
        <v>44532.772858796299</v>
      </c>
      <c r="D13117" s="1" t="s">
        <v>25852</v>
      </c>
      <c r="E13117" s="1" t="str">
        <f ca="1">IFERROR(__xludf.DUMMYFUNCTION("GOOGLETRANSLATE(A9916 , ""tr"" , ""en"")"),"@drfahrettinkoca healthcare guide is not a two-week husband waiting for a year")</f>
        <v>@drfahrettinkoca healthcare guide is not a two-week husband waiting for a year</v>
      </c>
    </row>
    <row r="13118" spans="1:5" ht="15" customHeight="1" x14ac:dyDescent="0.2">
      <c r="A13118" s="1" t="s">
        <v>21289</v>
      </c>
      <c r="B13118" s="1">
        <v>0</v>
      </c>
      <c r="C13118" s="3">
        <v>44532.772812499999</v>
      </c>
      <c r="D13118" s="1" t="s">
        <v>25853</v>
      </c>
      <c r="E13118" s="1" t="str">
        <f ca="1">IFERROR(__xludf.DUMMYFUNCTION("GOOGLETRANSLATE(A9917 , ""tr"" , ""en"")"),"@drfahrettinkoca healthcare guide is a week not a husband waiting for a year")</f>
        <v>@drfahrettinkoca healthcare guide is a week not a husband waiting for a year</v>
      </c>
    </row>
    <row r="13119" spans="1:5" ht="15" customHeight="1" x14ac:dyDescent="0.2">
      <c r="A13119" s="1" t="s">
        <v>21291</v>
      </c>
      <c r="B13119" s="1">
        <v>0</v>
      </c>
      <c r="C13119" s="3">
        <v>44532.772766203707</v>
      </c>
      <c r="D13119" s="1" t="s">
        <v>25854</v>
      </c>
      <c r="E13119" s="1" t="str">
        <f ca="1">IFERROR(__xludf.DUMMYFUNCTION("GOOGLETRANSLATE(A9918 , ""tr"" , ""en"")"),"@drfahrettinkoca healthcare guide is not a two-week husband waiting for a year")</f>
        <v>@drfahrettinkoca healthcare guide is not a two-week husband waiting for a year</v>
      </c>
    </row>
    <row r="13120" spans="1:5" ht="15" customHeight="1" x14ac:dyDescent="0.2">
      <c r="A13120" s="1" t="s">
        <v>21295</v>
      </c>
      <c r="B13120" s="1">
        <v>0</v>
      </c>
      <c r="C13120" s="3">
        <v>44532.77270833333</v>
      </c>
      <c r="D13120" s="1" t="s">
        <v>25855</v>
      </c>
      <c r="E13120" s="1" t="str">
        <f ca="1">IFERROR(__xludf.DUMMYFUNCTION("GOOGLETRANSLATE(A9919 , ""tr"" , ""en"")"),"@drfahrettinkoca healthcare guide is a week not a husband waiting for a year")</f>
        <v>@drfahrettinkoca healthcare guide is a week not a husband waiting for a year</v>
      </c>
    </row>
    <row r="13121" spans="1:5" ht="15" customHeight="1" x14ac:dyDescent="0.2">
      <c r="A13121" s="1" t="s">
        <v>21297</v>
      </c>
      <c r="B13121" s="1">
        <v>0</v>
      </c>
      <c r="C13121" s="3">
        <v>44532.772662037038</v>
      </c>
      <c r="D13121" s="1" t="s">
        <v>25856</v>
      </c>
      <c r="E13121" s="1" t="str">
        <f ca="1">IFERROR(__xludf.DUMMYFUNCTION("GOOGLETRANSLATE(A9920 , ""tr"" , ""en"")"),"@drfahrettinkoca healthcare guide is a week not a husband waiting for a year 8")</f>
        <v>@drfahrettinkoca healthcare guide is a week not a husband waiting for a year 8</v>
      </c>
    </row>
    <row r="13122" spans="1:5" ht="15" customHeight="1" x14ac:dyDescent="0.2">
      <c r="A13122" s="1" t="s">
        <v>21301</v>
      </c>
      <c r="B13122" s="1">
        <v>0</v>
      </c>
      <c r="C13122" s="3">
        <v>44532.772615740738</v>
      </c>
      <c r="D13122" s="1" t="s">
        <v>25857</v>
      </c>
      <c r="E13122" s="1" t="str">
        <f ca="1">IFERROR(__xludf.DUMMYFUNCTION("GOOGLETRANSLATE(A9921 , ""tr"" , ""en"")"),"@drfahrettinkoca healthcare guide is a week not a husband waiting for a year 7")</f>
        <v>@drfahrettinkoca healthcare guide is a week not a husband waiting for a year 7</v>
      </c>
    </row>
    <row r="13123" spans="1:5" ht="15" customHeight="1" x14ac:dyDescent="0.2">
      <c r="A13123" s="1" t="s">
        <v>22751</v>
      </c>
      <c r="B13123" s="1">
        <v>0</v>
      </c>
      <c r="C13123" s="3">
        <v>44532.772569444445</v>
      </c>
      <c r="D13123" s="1" t="s">
        <v>25858</v>
      </c>
      <c r="E13123" s="1" t="str">
        <f ca="1">IFERROR(__xludf.DUMMYFUNCTION("GOOGLETRANSLATE(A9922 , ""tr"" , ""en"")"),"@drfahrettinkoca healthcare guide is a week not a husband waiting for a year 6")</f>
        <v>@drfahrettinkoca healthcare guide is a week not a husband waiting for a year 6</v>
      </c>
    </row>
    <row r="13124" spans="1:5" ht="15" customHeight="1" x14ac:dyDescent="0.2">
      <c r="A13124" s="1" t="s">
        <v>25859</v>
      </c>
      <c r="B13124" s="1">
        <v>0</v>
      </c>
      <c r="C13124" s="3">
        <v>44532.772557870368</v>
      </c>
      <c r="D13124" s="1" t="s">
        <v>25860</v>
      </c>
      <c r="E13124" s="1" t="str">
        <f ca="1">IFERROR(__xludf.DUMMYFUNCTION("GOOGLETRANSLATE(A9923 , ""tr"" , ""en"")"),"@drfahrettinkoca I'm careful but you oppose you")</f>
        <v>@drfahrettinkoca I'm careful but you oppose you</v>
      </c>
    </row>
    <row r="13125" spans="1:5" ht="15" customHeight="1" x14ac:dyDescent="0.2">
      <c r="A13125" s="1" t="s">
        <v>21311</v>
      </c>
      <c r="B13125" s="1">
        <v>0</v>
      </c>
      <c r="C13125" s="3">
        <v>44532.772523148145</v>
      </c>
      <c r="D13125" s="1" t="s">
        <v>25861</v>
      </c>
      <c r="E13125" s="1" t="str">
        <f ca="1">IFERROR(__xludf.DUMMYFUNCTION("GOOGLETRANSLATE(A9924 , ""tr"" , ""en"")"),"@drfahrettinkoca healthcare guide is a week not a husband waiting for a year 5")</f>
        <v>@drfahrettinkoca healthcare guide is a week not a husband waiting for a year 5</v>
      </c>
    </row>
    <row r="13126" spans="1:5" ht="15" customHeight="1" x14ac:dyDescent="0.2">
      <c r="A13126" s="1" t="s">
        <v>21315</v>
      </c>
      <c r="B13126" s="1">
        <v>0</v>
      </c>
      <c r="C13126" s="3">
        <v>44532.772476851853</v>
      </c>
      <c r="D13126" s="1" t="s">
        <v>25862</v>
      </c>
      <c r="E13126" s="1" t="str">
        <f ca="1">IFERROR(__xludf.DUMMYFUNCTION("GOOGLETRANSLATE(A9925 , ""tr"" , ""en"")"),"@drfahrettinkoca healthcare guide is not a two-week husband waiting for a year 4")</f>
        <v>@drfahrettinkoca healthcare guide is not a two-week husband waiting for a year 4</v>
      </c>
    </row>
    <row r="13127" spans="1:5" ht="15" customHeight="1" x14ac:dyDescent="0.2">
      <c r="A13127" s="1" t="s">
        <v>21327</v>
      </c>
      <c r="B13127" s="1">
        <v>0</v>
      </c>
      <c r="C13127" s="3">
        <v>44532.772430555553</v>
      </c>
      <c r="D13127" s="1" t="s">
        <v>25863</v>
      </c>
      <c r="E13127" s="1" t="str">
        <f ca="1">IFERROR(__xludf.DUMMYFUNCTION("GOOGLETRANSLATE(A9926 , ""tr"" , ""en"")"),"@drfahrettinkoca healthcare guide is a two weeks not husband waiting for a year 3")</f>
        <v>@drfahrettinkoca healthcare guide is a two weeks not husband waiting for a year 3</v>
      </c>
    </row>
    <row r="13128" spans="1:5" ht="15" customHeight="1" x14ac:dyDescent="0.2">
      <c r="A13128" s="1" t="s">
        <v>25864</v>
      </c>
      <c r="B13128" s="1">
        <v>0</v>
      </c>
      <c r="C13128" s="3">
        <v>44532.772418981483</v>
      </c>
      <c r="D13128" s="1" t="s">
        <v>25865</v>
      </c>
      <c r="E13128" s="1" t="str">
        <f ca="1">IFERROR(__xludf.DUMMYFUNCTION("GOOGLETRANSLATE(A9927 , ""tr"" , ""en"")"),"@drfahrettinka you don't have any bi change changing the following. You have the same lives in my furry")</f>
        <v>@drfahrettinka you don't have any bi change changing the following. You have the same lives in my furry</v>
      </c>
    </row>
    <row r="13129" spans="1:5" ht="15" customHeight="1" x14ac:dyDescent="0.2">
      <c r="A13129" s="1" t="s">
        <v>21333</v>
      </c>
      <c r="B13129" s="1">
        <v>0</v>
      </c>
      <c r="C13129" s="3">
        <v>44532.77238425926</v>
      </c>
      <c r="D13129" s="1" t="s">
        <v>25866</v>
      </c>
      <c r="E13129" s="1" t="str">
        <f ca="1">IFERROR(__xludf.DUMMYFUNCTION("GOOGLETRANSLATE(A9928 , ""tr"" , ""en"")"),"@drfahrettinkoca healthcare guide is not a two weeks a husband waiting for a year2")</f>
        <v>@drfahrettinkoca healthcare guide is not a two weeks a husband waiting for a year2</v>
      </c>
    </row>
    <row r="13130" spans="1:5" ht="15" customHeight="1" x14ac:dyDescent="0.2">
      <c r="A13130" s="1" t="s">
        <v>21339</v>
      </c>
      <c r="B13130" s="1">
        <v>0</v>
      </c>
      <c r="C13130" s="3">
        <v>44532.772337962961</v>
      </c>
      <c r="D13130" s="1" t="s">
        <v>25867</v>
      </c>
      <c r="E13130" s="1" t="str">
        <f ca="1">IFERROR(__xludf.DUMMYFUNCTION("GOOGLETRANSLATE(A9929 , ""tr"" , ""en"")"),"@drfahrettinkoca Healthparts Guide is a week not a husband waiting for a year 1")</f>
        <v>@drfahrettinkoca Healthparts Guide is a week not a husband waiting for a year 1</v>
      </c>
    </row>
    <row r="13131" spans="1:5" ht="15" customHeight="1" x14ac:dyDescent="0.2">
      <c r="A13131" s="1" t="s">
        <v>19722</v>
      </c>
      <c r="B13131" s="1">
        <v>0</v>
      </c>
      <c r="C13131" s="3">
        <v>44532.772314814814</v>
      </c>
      <c r="D13131" s="1" t="s">
        <v>25868</v>
      </c>
      <c r="E13131" s="1" t="str">
        <f ca="1">IFERROR(__xludf.DUMMYFUNCTION("GOOGLETRANSLATE(A9930 , ""tr"" , ""en"")"),"@drfahrettinkoca Healthcare Shops Guide is not a two-week husband waiting for a year,")</f>
        <v>@drfahrettinkoca Healthcare Shops Guide is not a two-week husband waiting for a year,</v>
      </c>
    </row>
    <row r="13132" spans="1:5" ht="15" customHeight="1" x14ac:dyDescent="0.2">
      <c r="A13132" s="1" t="s">
        <v>19726</v>
      </c>
      <c r="B13132" s="1">
        <v>0</v>
      </c>
      <c r="C13132" s="3">
        <v>44532.772303240738</v>
      </c>
      <c r="D13132" s="1" t="s">
        <v>25869</v>
      </c>
      <c r="E13132" s="1" t="str">
        <f ca="1">IFERROR(__xludf.DUMMYFUNCTION("GOOGLETRANSLATE(A9931 , ""tr"" , ""en"")"),"@drfahrettinkoca Healthparts Guide is a week, not a husband waiting for a year.")</f>
        <v>@drfahrettinkoca Healthparts Guide is a week, not a husband waiting for a year.</v>
      </c>
    </row>
    <row r="13133" spans="1:5" ht="15" customHeight="1" x14ac:dyDescent="0.2">
      <c r="A13133" s="1" t="s">
        <v>19732</v>
      </c>
      <c r="B13133" s="1">
        <v>0</v>
      </c>
      <c r="C13133" s="3">
        <v>44532.772175925929</v>
      </c>
      <c r="D13133" s="1" t="s">
        <v>25870</v>
      </c>
      <c r="E13133" s="1" t="str">
        <f ca="1">IFERROR(__xludf.DUMMYFUNCTION("GOOGLETRANSLATE(A9932 , ""tr"" , ""en"")"),"@drfahrettinkoca healthcare guide is a week not for a husband waiting for a year")</f>
        <v>@drfahrettinkoca healthcare guide is a week not for a husband waiting for a year</v>
      </c>
    </row>
    <row r="13134" spans="1:5" ht="15" customHeight="1" x14ac:dyDescent="0.2">
      <c r="A13134" s="1" t="s">
        <v>25871</v>
      </c>
      <c r="B13134" s="1">
        <v>0</v>
      </c>
      <c r="C13134" s="3">
        <v>44532.772060185183</v>
      </c>
      <c r="D13134" s="1" t="s">
        <v>25872</v>
      </c>
      <c r="E13134" s="1" t="str">
        <f ca="1">IFERROR(__xludf.DUMMYFUNCTION("GOOGLETRANSLATE(A9933 , ""tr"" , ""en"")"),"@drfahrettinkoca Vah which is what you are unable to voicing any of your opinion, confirmation? !!! What is the goal ... https://t.co/lmk8xourwg")</f>
        <v>@drfahrettinkoca Vah which is what you are unable to voicing any of your opinion, confirmation? !!! What is the goal ... https://t.co/lmk8xourwg</v>
      </c>
    </row>
    <row r="13135" spans="1:5" ht="15" customHeight="1" x14ac:dyDescent="0.2">
      <c r="A13135" s="1" t="s">
        <v>25873</v>
      </c>
      <c r="B13135" s="1">
        <v>1</v>
      </c>
      <c r="C13135" s="3">
        <v>44532.771817129629</v>
      </c>
      <c r="D13135" s="1" t="s">
        <v>25874</v>
      </c>
      <c r="E13135" s="1" t="str">
        <f ca="1">IFERROR(__xludf.DUMMYFUNCTION("GOOGLETRANSLATE(A9934 , ""tr"" , ""en"")"),"@drfahrettinkoca has been to hell for 2 years!")</f>
        <v>@drfahrettinkoca has been to hell for 2 years!</v>
      </c>
    </row>
    <row r="13136" spans="1:5" ht="15" customHeight="1" x14ac:dyDescent="0.2">
      <c r="A13136" s="1" t="s">
        <v>25875</v>
      </c>
      <c r="B13136" s="1">
        <v>0</v>
      </c>
      <c r="C13136" s="3">
        <v>44532.771574074075</v>
      </c>
      <c r="D13136" s="1" t="s">
        <v>25876</v>
      </c>
      <c r="E13136" s="1" t="str">
        <f ca="1">IFERROR(__xludf.DUMMYFUNCTION("GOOGLETRANSLATE(A9935 , ""tr"" , ""en"")"),"@drfahrettinka noldu our manual")</f>
        <v>@drfahrettinka noldu our manual</v>
      </c>
    </row>
    <row r="13137" spans="1:5" ht="15" customHeight="1" x14ac:dyDescent="0.2">
      <c r="A13137" s="1" t="s">
        <v>25877</v>
      </c>
      <c r="B13137" s="1">
        <v>4</v>
      </c>
      <c r="C13137" s="3">
        <v>44532.771412037036</v>
      </c>
      <c r="D13137" s="1" t="s">
        <v>25878</v>
      </c>
      <c r="E13137" s="1" t="str">
        <f ca="1">IFERROR(__xludf.DUMMYFUNCTION("GOOGLETRANSLATE(A9936 , ""tr"" , ""en"")"),"@drfahrettinkoca what has changed with the find of the vaccine.? Do you say what changed. The only thing changing is that you get the people other.!")</f>
        <v>@drfahrettinkoca what has changed with the find of the vaccine.? Do you say what changed. The only thing changing is that you get the people other.!</v>
      </c>
    </row>
    <row r="13138" spans="1:5" ht="15" customHeight="1" x14ac:dyDescent="0.2">
      <c r="A13138" s="1" t="s">
        <v>25879</v>
      </c>
      <c r="B13138" s="1">
        <v>0</v>
      </c>
      <c r="C13138" s="3">
        <v>44532.770937499998</v>
      </c>
      <c r="D13138" s="1" t="s">
        <v>25880</v>
      </c>
      <c r="E13138" s="1" t="str">
        <f ca="1">IFERROR(__xludf.DUMMYFUNCTION("GOOGLETRANSLATE(A9937 , ""tr"" , ""en"")"),"@drfahrettinkoca Mr. Minister 40B of the healthcare atamsi doğacaz in November in November in November, you have not still sound sound")</f>
        <v>@drfahrettinkoca Mr. Minister 40B of the healthcare atamsi doğacaz in November in November in November, you have not still sound sound</v>
      </c>
    </row>
    <row r="13139" spans="1:5" ht="15" customHeight="1" x14ac:dyDescent="0.2">
      <c r="A13139" s="1" t="s">
        <v>25881</v>
      </c>
      <c r="B13139" s="1">
        <v>0</v>
      </c>
      <c r="C13139" s="3">
        <v>44532.770868055559</v>
      </c>
      <c r="D13139" s="1" t="s">
        <v>25882</v>
      </c>
      <c r="E13139" s="1" t="str">
        <f ca="1">IFERROR(__xludf.DUMMYFUNCTION("GOOGLETRANSLATE(A9938 , ""tr"" , ""en"")"),"@drfahrettinkoca Minister Could you tell us branch numbers to God's sake ????? 🥺🥺🥺🥺🥺 We hop every day every day ... https://t.co/E5lUI4msj7")</f>
        <v>@drfahrettinkoca Minister Could you tell us branch numbers to God's sake ????? 🥺🥺🥺🥺🥺 We hop every day every day ... https://t.co/E5lUI4msj7</v>
      </c>
    </row>
    <row r="13140" spans="1:5" ht="15" customHeight="1" x14ac:dyDescent="0.2">
      <c r="A13140" s="1" t="s">
        <v>25883</v>
      </c>
      <c r="B13140" s="1">
        <v>0</v>
      </c>
      <c r="C13140" s="3">
        <v>44532.770613425928</v>
      </c>
      <c r="D13140" s="1" t="s">
        <v>25884</v>
      </c>
      <c r="E13140" s="1" t="str">
        <f ca="1">IFERROR(__xludf.DUMMYFUNCTION("GOOGLETRANSLATE(A9939 , ""tr"" , ""en"")"),"@drfahrettinkoca tweet to throw it .... I have no other promise ....")</f>
        <v>@drfahrettinkoca tweet to throw it .... I have no other promise ....</v>
      </c>
    </row>
    <row r="13141" spans="1:5" ht="15" customHeight="1" x14ac:dyDescent="0.2">
      <c r="A13141" s="1" t="s">
        <v>25885</v>
      </c>
      <c r="B13141" s="1">
        <v>0</v>
      </c>
      <c r="C13141" s="3">
        <v>44532.770590277774</v>
      </c>
      <c r="D13141" s="1" t="s">
        <v>25886</v>
      </c>
      <c r="E13141" s="1" t="str">
        <f ca="1">IFERROR(__xludf.DUMMYFUNCTION("GOOGLETRANSLATE(A9940 , ""tr"" , ""en"")"),"@drfahrettinka Do you understand us")</f>
        <v>@drfahrettinka Do you understand us</v>
      </c>
    </row>
    <row r="13142" spans="1:5" ht="15" customHeight="1" x14ac:dyDescent="0.2">
      <c r="A13142" s="1" t="s">
        <v>25887</v>
      </c>
      <c r="B13142" s="1">
        <v>0</v>
      </c>
      <c r="C13142" s="3">
        <v>44532.770590277774</v>
      </c>
      <c r="D13142" s="1" t="s">
        <v>25888</v>
      </c>
      <c r="E13142" s="1" t="str">
        <f ca="1">IFERROR(__xludf.DUMMYFUNCTION("GOOGLETRANSLATE(A9941 , ""tr"" , ""en"")"),"@drfahrettinkoca is no longer our strength left")</f>
        <v>@drfahrettinkoca is no longer our strength left</v>
      </c>
    </row>
    <row r="13143" spans="1:5" ht="15" customHeight="1" x14ac:dyDescent="0.2">
      <c r="A13143" s="1" t="s">
        <v>25889</v>
      </c>
      <c r="B13143" s="1">
        <v>0</v>
      </c>
      <c r="C13143" s="3">
        <v>44532.770520833335</v>
      </c>
      <c r="D13143" s="1" t="s">
        <v>25890</v>
      </c>
      <c r="E13143" s="1" t="str">
        <f ca="1">IFERROR(__xludf.DUMMYFUNCTION("GOOGLETRANSLATE(A9942 , ""tr"" , ""en"")"),"@drfahrettinkoca What did he say ??")</f>
        <v>@drfahrettinkoca What did he say ??</v>
      </c>
    </row>
    <row r="13144" spans="1:5" ht="15" customHeight="1" x14ac:dyDescent="0.2">
      <c r="A13144" s="1" t="s">
        <v>25891</v>
      </c>
      <c r="B13144" s="1">
        <v>1</v>
      </c>
      <c r="C13144" s="3">
        <v>44532.770219907405</v>
      </c>
      <c r="D13144" s="1" t="s">
        <v>25892</v>
      </c>
      <c r="E13144" s="1" t="str">
        <f ca="1">IFERROR(__xludf.DUMMYFUNCTION("GOOGLETRANSLATE(A9943 , ""tr"" , ""en"")"),"@drfahrettinkoca yes Bengi Hanım last year Summary Https://T.CO/GIFQA15U3P")</f>
        <v>@drfahrettinkoca yes Bengi Hanım last year Summary Https://T.CO/GIFQA15U3P</v>
      </c>
    </row>
    <row r="13145" spans="1:5" ht="15" customHeight="1" x14ac:dyDescent="0.2">
      <c r="A13145" s="1" t="s">
        <v>25893</v>
      </c>
      <c r="B13145" s="1">
        <v>44</v>
      </c>
      <c r="C13145" s="3">
        <v>44532.770208333335</v>
      </c>
      <c r="D13145" s="1" t="s">
        <v>25894</v>
      </c>
      <c r="E13145" s="1" t="str">
        <f ca="1">IFERROR(__xludf.DUMMYFUNCTION("GOOGLETRANSLATE(A9944 , ""tr"" , ""en"")"),"@drfahrettinkoca #wealthy")</f>
        <v>@drfahrettinkoca #wealthy</v>
      </c>
    </row>
    <row r="13146" spans="1:5" ht="15" customHeight="1" x14ac:dyDescent="0.2">
      <c r="A13146" s="1" t="s">
        <v>10008</v>
      </c>
      <c r="B13146" s="1">
        <v>0</v>
      </c>
      <c r="C13146" s="3">
        <v>44532.770138888889</v>
      </c>
      <c r="D13146" s="1" t="s">
        <v>25895</v>
      </c>
      <c r="E13146" s="1" t="str">
        <f ca="1">IFERROR(__xludf.DUMMYFUNCTION("GOOGLETRANSLATE(A9945 , ""tr"" , ""en"")"),"@drfahrettinkoca guide look forward to")</f>
        <v>@drfahrettinkoca guide look forward to</v>
      </c>
    </row>
    <row r="13147" spans="1:5" ht="15" customHeight="1" x14ac:dyDescent="0.2">
      <c r="A13147" s="1" t="s">
        <v>25896</v>
      </c>
      <c r="B13147" s="1">
        <v>0</v>
      </c>
      <c r="C13147" s="3">
        <v>44532.769895833335</v>
      </c>
      <c r="D13147" s="1" t="s">
        <v>25897</v>
      </c>
      <c r="E13147" s="1" t="str">
        <f ca="1">IFERROR(__xludf.DUMMYFUNCTION("GOOGLETRANSLATE(A9946 , ""tr"" , ""en"")"),"@drfahrettinkoca Why don't you explain the guide")</f>
        <v>@drfahrettinkoca Why don't you explain the guide</v>
      </c>
    </row>
    <row r="13148" spans="1:5" ht="15" customHeight="1" x14ac:dyDescent="0.2">
      <c r="A13148" s="1" t="s">
        <v>25898</v>
      </c>
      <c r="B13148" s="1">
        <v>0</v>
      </c>
      <c r="C13148" s="3">
        <v>44532.769872685189</v>
      </c>
      <c r="D13148" s="1" t="s">
        <v>25899</v>
      </c>
      <c r="E13148" s="1" t="str">
        <f ca="1">IFERROR(__xludf.DUMMYFUNCTION("GOOGLETRANSLATE(A9947 , ""tr"" , ""en"")"),"@drfahrettinkoca What are we waiting for exactly")</f>
        <v>@drfahrettinkoca What are we waiting for exactly</v>
      </c>
    </row>
    <row r="13149" spans="1:5" ht="15" customHeight="1" x14ac:dyDescent="0.2">
      <c r="A13149" s="1" t="s">
        <v>25900</v>
      </c>
      <c r="B13149" s="1">
        <v>0</v>
      </c>
      <c r="C13149" s="3">
        <v>44532.769618055558</v>
      </c>
      <c r="D13149" s="1" t="s">
        <v>25901</v>
      </c>
      <c r="E13149" s="1" t="str">
        <f ca="1">IFERROR(__xludf.DUMMYFUNCTION("GOOGLETRANSLATE(A9948 , ""tr"" , ""en"")"),"@drfahrettinkoca Mr. Ministry.Markets were not installed in the mask.")</f>
        <v>@drfahrettinkoca Mr. Ministry.Markets were not installed in the mask.</v>
      </c>
    </row>
    <row r="13150" spans="1:5" ht="15" customHeight="1" x14ac:dyDescent="0.2">
      <c r="A13150" s="1" t="s">
        <v>25902</v>
      </c>
      <c r="B13150" s="1">
        <v>1</v>
      </c>
      <c r="C13150" s="3">
        <v>44532.769409722219</v>
      </c>
      <c r="D13150" s="1" t="s">
        <v>25903</v>
      </c>
      <c r="E13150" s="1" t="str">
        <f ca="1">IFERROR(__xludf.DUMMYFUNCTION("GOOGLETRANSLATE(A9949 , ""tr"" , ""en"")"),"@drfahrettinkoca you have been assignment for 1 year Mr. @drfahrettinkoca")</f>
        <v>@drfahrettinkoca you have been assignment for 1 year Mr. @drfahrettinkoca</v>
      </c>
    </row>
    <row r="13151" spans="1:5" ht="15" customHeight="1" x14ac:dyDescent="0.2">
      <c r="A13151" s="1" t="s">
        <v>25904</v>
      </c>
      <c r="B13151" s="1">
        <v>0</v>
      </c>
      <c r="C13151" s="3">
        <v>44532.769375000003</v>
      </c>
      <c r="D13151" s="1" t="s">
        <v>25905</v>
      </c>
      <c r="E13151" s="1" t="str">
        <f ca="1">IFERROR(__xludf.DUMMYFUNCTION("GOOGLETRANSLATE(A9950 , ""tr"" , ""en"")"),"@drfahrettinkoca 1 dose vaccination 90% 2 dose 81% and dies only those from 10% to 10%! Death while there is 0% vaccine ... https://t.co/pccdup29aq")</f>
        <v>@drfahrettinkoca 1 dose vaccination 90% 2 dose 81% and dies only those from 10% to 10%! Death while there is 0% vaccine ... https://t.co/pccdup29aq</v>
      </c>
    </row>
    <row r="13152" spans="1:5" ht="15" customHeight="1" x14ac:dyDescent="0.2">
      <c r="A13152" s="1" t="s">
        <v>25906</v>
      </c>
      <c r="B13152" s="1">
        <v>33</v>
      </c>
      <c r="C13152" s="3">
        <v>44532.76934027778</v>
      </c>
      <c r="D13152" s="1" t="s">
        <v>25907</v>
      </c>
      <c r="E13152" s="1" t="str">
        <f ca="1">IFERROR(__xludf.DUMMYFUNCTION("GOOGLETRANSLATE(A9951 , ""tr"" , ""en"")"),"@drfahrettinkoca epidemic has changed life, not! Within the excuse of the outbreak we were in our lives! Sketchy Bi Age ... https://t.co/vujydzvdon")</f>
        <v>@drfahrettinkoca epidemic has changed life, not! Within the excuse of the outbreak we were in our lives! Sketchy Bi Age ... https://t.co/vujydzvdon</v>
      </c>
    </row>
    <row r="13153" spans="1:5" ht="15" customHeight="1" x14ac:dyDescent="0.2">
      <c r="A13153" s="1" t="s">
        <v>25908</v>
      </c>
      <c r="B13153" s="1">
        <v>27</v>
      </c>
      <c r="C13153" s="3">
        <v>44532.769178240742</v>
      </c>
      <c r="D13153" s="1" t="s">
        <v>25909</v>
      </c>
      <c r="E13153" s="1" t="str">
        <f ca="1">IFERROR(__xludf.DUMMYFUNCTION("GOOGLETRANSLATE(A9952 , ""tr"" , ""en"")"),"@drfahrettinkoca no period is as tired as your period. Is it hard to make a assignment for 12 months? AYL ... https://t.co/wf5surqyix")</f>
        <v>@drfahrettinkoca no period is as tired as your period. Is it hard to make a assignment for 12 months? AYL ... https://t.co/wf5surqyix</v>
      </c>
    </row>
    <row r="13154" spans="1:5" ht="15" customHeight="1" x14ac:dyDescent="0.2">
      <c r="A13154" s="1" t="s">
        <v>25910</v>
      </c>
      <c r="B13154" s="1">
        <v>0</v>
      </c>
      <c r="C13154" s="3">
        <v>44532.769178240742</v>
      </c>
      <c r="D13154" s="1" t="s">
        <v>25911</v>
      </c>
      <c r="E13154" s="1" t="str">
        <f ca="1">IFERROR(__xludf.DUMMYFUNCTION("GOOGLETRANSLATE(A9953 , ""tr"" , ""en"")"),"@drfahrettinkoca had our bi assignment law noldu to him either")</f>
        <v>@drfahrettinkoca had our bi assignment law noldu to him either</v>
      </c>
    </row>
    <row r="13155" spans="1:5" ht="15" customHeight="1" x14ac:dyDescent="0.2">
      <c r="A13155" s="1" t="s">
        <v>25912</v>
      </c>
      <c r="B13155" s="1">
        <v>1</v>
      </c>
      <c r="C13155" s="3">
        <v>44532.769178240742</v>
      </c>
      <c r="D13155" s="1" t="s">
        <v>25913</v>
      </c>
      <c r="E13155" s="1" t="str">
        <f ca="1">IFERROR(__xludf.DUMMYFUNCTION("GOOGLETRANSLATE(A9954 , ""tr"" , ""en"")"),"@drfahrettinkoca main change happens to pass online online")</f>
        <v>@drfahrettinkoca main change happens to pass online online</v>
      </c>
    </row>
    <row r="13156" spans="1:5" ht="15" customHeight="1" x14ac:dyDescent="0.2">
      <c r="A13156" s="1" t="s">
        <v>25914</v>
      </c>
      <c r="B13156" s="1">
        <v>3</v>
      </c>
      <c r="C13156" s="3">
        <v>44532.769004629627</v>
      </c>
      <c r="D13156" s="1" t="s">
        <v>25915</v>
      </c>
      <c r="E13156" s="1" t="str">
        <f ca="1">IFERROR(__xludf.DUMMYFUNCTION("GOOGLETRANSLATE(A9955 , ""tr"" , ""en"")"),"@drfahrettinkoca is a health army waiting for assignment, can you take care of us")</f>
        <v>@drfahrettinkoca is a health army waiting for assignment, can you take care of us</v>
      </c>
    </row>
    <row r="13157" spans="1:5" ht="15" customHeight="1" x14ac:dyDescent="0.2">
      <c r="A13157" s="1" t="s">
        <v>25916</v>
      </c>
      <c r="B13157" s="1">
        <v>0</v>
      </c>
      <c r="C13157" s="3">
        <v>44532.768888888888</v>
      </c>
      <c r="D13157" s="1" t="s">
        <v>25917</v>
      </c>
      <c r="E13157" s="1" t="str">
        <f ca="1">IFERROR(__xludf.DUMMYFUNCTION("GOOGLETRANSLATE(A9956 , ""tr"" , ""en"")"),"@drfahrettinkoca so many people who come from you to the news is not the pity sin in the pity.")</f>
        <v>@drfahrettinkoca so many people who come from you to the news is not the pity sin in the pity.</v>
      </c>
    </row>
    <row r="13158" spans="1:5" ht="15" customHeight="1" x14ac:dyDescent="0.2">
      <c r="A13158" s="1" t="s">
        <v>25918</v>
      </c>
      <c r="B13158" s="1">
        <v>3</v>
      </c>
      <c r="C13158" s="3">
        <v>44532.768680555557</v>
      </c>
      <c r="D13158" s="1" t="s">
        <v>25919</v>
      </c>
      <c r="E13158" s="1" t="str">
        <f ca="1">IFERROR(__xludf.DUMMYFUNCTION("GOOGLETRANSLATE(A9957 , ""tr"" , ""en"")"),"@drfahrettinka we want only information about assignment from you")</f>
        <v>@drfahrettinka we want only information about assignment from you</v>
      </c>
    </row>
    <row r="13159" spans="1:5" ht="15" customHeight="1" x14ac:dyDescent="0.2">
      <c r="A13159" s="1" t="s">
        <v>25920</v>
      </c>
      <c r="B13159" s="1">
        <v>0</v>
      </c>
      <c r="C13159" s="3">
        <v>44532.768611111111</v>
      </c>
      <c r="D13159" s="1" t="s">
        <v>25921</v>
      </c>
      <c r="E13159" s="1" t="str">
        <f ca="1">IFERROR(__xludf.DUMMYFUNCTION("GOOGLETRANSLATE(A9958 , ""tr"" , ""en"")"),"@drfahrettinkoca every day the same words")</f>
        <v>@drfahrettinkoca every day the same words</v>
      </c>
    </row>
    <row r="13160" spans="1:5" ht="15" customHeight="1" x14ac:dyDescent="0.2">
      <c r="A13160" s="1" t="s">
        <v>25922</v>
      </c>
      <c r="B13160" s="1">
        <v>13</v>
      </c>
      <c r="C13160" s="3">
        <v>44532.768564814818</v>
      </c>
      <c r="D13160" s="1" t="s">
        <v>25923</v>
      </c>
      <c r="E13160" s="1" t="str">
        <f ca="1">IFERROR(__xludf.DUMMYFUNCTION("GOOGLETRANSLATE(A9959 , ""tr"" , ""en"")"),"@drfahrettinkoca Dogu Salgin Salgin, so you've been in our life.")</f>
        <v>@drfahrettinkoca Dogu Salgin Salgin, so you've been in our life.</v>
      </c>
    </row>
    <row r="13161" spans="1:5" ht="15" customHeight="1" x14ac:dyDescent="0.2">
      <c r="A13161" s="1" t="s">
        <v>25924</v>
      </c>
      <c r="B13161" s="1">
        <v>2</v>
      </c>
      <c r="C13161" s="3">
        <v>44532.768530092595</v>
      </c>
      <c r="D13161" s="1" t="s">
        <v>25925</v>
      </c>
      <c r="E13161" s="1" t="str">
        <f ca="1">IFERROR(__xludf.DUMMYFUNCTION("GOOGLETRANSLATE(A9960 , ""tr"" , ""en"")"),"@drfahrettinkoca you give information about everything other than assignment")</f>
        <v>@drfahrettinkoca you give information about everything other than assignment</v>
      </c>
    </row>
    <row r="13162" spans="1:5" ht="15" customHeight="1" x14ac:dyDescent="0.2">
      <c r="A13162" s="1" t="s">
        <v>25926</v>
      </c>
      <c r="B13162" s="1">
        <v>1</v>
      </c>
      <c r="C13162" s="3">
        <v>44532.768391203703</v>
      </c>
      <c r="D13162" s="1" t="s">
        <v>25927</v>
      </c>
      <c r="E13162" s="1" t="str">
        <f ca="1">IFERROR(__xludf.DUMMYFUNCTION("GOOGLETRANSLATE(A9961 , ""tr"" , ""en"")"),"@drfahrettinkoca has been waiting for 11 months")</f>
        <v>@drfahrettinkoca has been waiting for 11 months</v>
      </c>
    </row>
    <row r="13163" spans="1:5" ht="15" customHeight="1" x14ac:dyDescent="0.2">
      <c r="A13163" s="1" t="s">
        <v>25928</v>
      </c>
      <c r="B13163" s="1">
        <v>0</v>
      </c>
      <c r="C13163" s="3">
        <v>44532.768391203703</v>
      </c>
      <c r="D13163" s="1" t="s">
        <v>25929</v>
      </c>
      <c r="E13163" s="1" t="str">
        <f ca="1">IFERROR(__xludf.DUMMYFUNCTION("GOOGLETRANSLATE(A9962 , ""tr"" , ""en"")"),"@drfahrettinkoca is waiting for assignment")</f>
        <v>@drfahrettinkoca is waiting for assignment</v>
      </c>
    </row>
    <row r="13164" spans="1:5" ht="15" customHeight="1" x14ac:dyDescent="0.2">
      <c r="A13164" s="1" t="s">
        <v>25930</v>
      </c>
      <c r="B13164" s="1">
        <v>1</v>
      </c>
      <c r="C13164" s="3">
        <v>44532.768275462964</v>
      </c>
      <c r="D13164" s="1" t="s">
        <v>25931</v>
      </c>
      <c r="E13164" s="1" t="str">
        <f ca="1">IFERROR(__xludf.DUMMYFUNCTION("GOOGLETRANSLATE(A9963 , ""tr"" , ""en"")"),"@drfahrettinka should come distance education for students' health! #The OnlineEditight")</f>
        <v>@drfahrettinka should come distance education for students' health! #The OnlineEditight</v>
      </c>
    </row>
    <row r="13165" spans="1:5" ht="15" customHeight="1" x14ac:dyDescent="0.2">
      <c r="A13165" s="1" t="s">
        <v>12104</v>
      </c>
      <c r="B13165" s="1">
        <v>0</v>
      </c>
      <c r="C13165" s="3">
        <v>44532.768217592595</v>
      </c>
      <c r="D13165" s="1" t="s">
        <v>25932</v>
      </c>
      <c r="E13165" s="1" t="str">
        <f ca="1">IFERROR(__xludf.DUMMYFUNCTION("GOOGLETRANSLATE(A9964 , ""tr"" , ""en"")"),"@drfahrettinkoca assignment")</f>
        <v>@drfahrettinkoca assignment</v>
      </c>
    </row>
    <row r="13166" spans="1:5" ht="15" customHeight="1" x14ac:dyDescent="0.2">
      <c r="A13166" s="1" t="s">
        <v>10058</v>
      </c>
      <c r="B13166" s="1">
        <v>0</v>
      </c>
      <c r="C13166" s="3">
        <v>44532.768171296295</v>
      </c>
      <c r="D13166" s="1" t="s">
        <v>25933</v>
      </c>
      <c r="E13166" s="1" t="str">
        <f ca="1">IFERROR(__xludf.DUMMYFUNCTION("GOOGLETRANSLATE(A9965 , ""tr"" , ""en"")"),"@drfahrettinkoca Guide")</f>
        <v>@drfahrettinkoca Guide</v>
      </c>
    </row>
    <row r="13167" spans="1:5" ht="15" customHeight="1" x14ac:dyDescent="0.2">
      <c r="A13167" s="1" t="s">
        <v>25934</v>
      </c>
      <c r="B13167" s="1">
        <v>0</v>
      </c>
      <c r="C13167" s="3">
        <v>44532.767916666664</v>
      </c>
      <c r="D13167" s="1" t="s">
        <v>25935</v>
      </c>
      <c r="E13167" s="1" t="str">
        <f ca="1">IFERROR(__xludf.DUMMYFUNCTION("GOOGLETRANSLATE(A9966 , ""tr"" , ""en"")"),"@drfahrettinkoca we expect the vaccination in our children")</f>
        <v>@drfahrettinkoca we expect the vaccination in our children</v>
      </c>
    </row>
    <row r="13168" spans="1:5" ht="15" customHeight="1" x14ac:dyDescent="0.2">
      <c r="A13168" s="1" t="s">
        <v>25936</v>
      </c>
      <c r="B13168" s="1">
        <v>1</v>
      </c>
      <c r="C13168" s="3">
        <v>44532.767708333333</v>
      </c>
      <c r="D13168" s="1" t="s">
        <v>25937</v>
      </c>
      <c r="E13168" s="1" t="str">
        <f ca="1">IFERROR(__xludf.DUMMYFUNCTION("GOOGLETRANSLATE(A9967 , ""tr"" , ""en"")"),"@drfahrettinkoca Efendime Sordunmu is how many people can we write today.")</f>
        <v>@drfahrettinkoca Efendime Sordunmu is how many people can we write today.</v>
      </c>
    </row>
    <row r="13169" spans="1:5" ht="15" customHeight="1" x14ac:dyDescent="0.2">
      <c r="A13169" s="1" t="s">
        <v>25938</v>
      </c>
      <c r="B13169" s="1">
        <v>5</v>
      </c>
      <c r="C13169" s="3">
        <v>44532.767696759256</v>
      </c>
      <c r="D13169" s="1" t="s">
        <v>25939</v>
      </c>
      <c r="E13169" s="1" t="str">
        <f ca="1">IFERROR(__xludf.DUMMYFUNCTION("GOOGLETRANSLATE(A9968 , ""tr"" , ""en"")"),"@drfahrettinkoca Remote Training Territorial Territory is no longer in intensive care occupancy rate hundred percentage stop to it ... https://t.co/3onb8hlfby")</f>
        <v>@drfahrettinkoca Remote Training Territorial Territory is no longer in intensive care occupancy rate hundred percentage stop to it ... https://t.co/3onb8hlfby</v>
      </c>
    </row>
    <row r="13170" spans="1:5" ht="15" customHeight="1" x14ac:dyDescent="0.2">
      <c r="A13170" s="1" t="s">
        <v>25940</v>
      </c>
      <c r="B13170" s="1">
        <v>0</v>
      </c>
      <c r="C13170" s="3">
        <v>44532.767511574071</v>
      </c>
      <c r="D13170" s="1" t="s">
        <v>25941</v>
      </c>
      <c r="E13170" s="1" t="str">
        <f ca="1">IFERROR(__xludf.DUMMYFUNCTION("GOOGLETRANSLATE(A9969 , ""tr"" , ""en"")"),"@drfahrettinkoca is ........")</f>
        <v>@drfahrettinkoca is ........</v>
      </c>
    </row>
    <row r="13171" spans="1:5" ht="15" customHeight="1" x14ac:dyDescent="0.2">
      <c r="A13171" s="1" t="s">
        <v>25942</v>
      </c>
      <c r="B13171" s="1">
        <v>0</v>
      </c>
      <c r="C13171" s="3">
        <v>44532.767141203702</v>
      </c>
      <c r="D13171" s="1" t="s">
        <v>25943</v>
      </c>
      <c r="E13171" s="1" t="str">
        <f ca="1">IFERROR(__xludf.DUMMYFUNCTION("GOOGLETRANSLATE(A9970 , ""tr"" , ""en"")"),"@drfahrettinkoca life quality for our quality, then correct your country's sinking economy, it is much more important")</f>
        <v>@drfahrettinkoca life quality for our quality, then correct your country's sinking economy, it is much more important</v>
      </c>
    </row>
    <row r="13172" spans="1:5" ht="15" customHeight="1" x14ac:dyDescent="0.2">
      <c r="A13172" s="1" t="s">
        <v>25944</v>
      </c>
      <c r="B13172" s="1">
        <v>1</v>
      </c>
      <c r="C13172" s="3">
        <v>44532.766979166663</v>
      </c>
      <c r="D13172" s="1" t="s">
        <v>25945</v>
      </c>
      <c r="E13172" s="1" t="str">
        <f ca="1">IFERROR(__xludf.DUMMYFUNCTION("GOOGLETRANSLATE(A9971 , ""tr"" , ""en"")"),"@drfahrettinkoca Do not ignore those vaccine @drfahrettinkoca #wealthy")</f>
        <v>@drfahrettinkoca Do not ignore those vaccine @drfahrettinkoca #wealthy</v>
      </c>
    </row>
    <row r="13173" spans="1:5" ht="15" customHeight="1" x14ac:dyDescent="0.2">
      <c r="A13173" s="1" t="s">
        <v>25946</v>
      </c>
      <c r="B13173" s="1">
        <v>0</v>
      </c>
      <c r="C13173" s="3">
        <v>44532.766689814816</v>
      </c>
      <c r="D13173" s="1" t="s">
        <v>25947</v>
      </c>
      <c r="E13173" s="1" t="str">
        <f ca="1">IFERROR(__xludf.DUMMYFUNCTION("GOOGLETRANSLATE(A9972 , ""tr"" , ""en"")"),"@drfahrettinka is ""partly flexible"" in 500 T in which one thousand people ride.")</f>
        <v>@drfahrettinka is "partly flexible" in 500 T in which one thousand people ride.</v>
      </c>
    </row>
    <row r="13174" spans="1:5" ht="15" customHeight="1" x14ac:dyDescent="0.2">
      <c r="A13174" s="1" t="s">
        <v>25948</v>
      </c>
      <c r="B13174" s="1">
        <v>15</v>
      </c>
      <c r="C13174" s="3">
        <v>44532.766342592593</v>
      </c>
      <c r="D13174" s="1" t="s">
        <v>25949</v>
      </c>
      <c r="E13174" s="1" t="str">
        <f ca="1">IFERROR(__xludf.DUMMYFUNCTION("GOOGLETRANSLATE(A9973 , ""tr"" , ""en"")"),"@drfahrettinkoca you need to find a good mathematician for this table right now find out this is unconvincing that doesn't fit together at all")</f>
        <v>@drfahrettinkoca you need to find a good mathematician for this table right now find out this is unconvincing that doesn't fit together at all</v>
      </c>
    </row>
    <row r="13175" spans="1:5" ht="15" customHeight="1" x14ac:dyDescent="0.2">
      <c r="A13175" s="1" t="s">
        <v>25950</v>
      </c>
      <c r="B13175" s="1">
        <v>0</v>
      </c>
      <c r="C13175" s="3">
        <v>44532.765509259261</v>
      </c>
      <c r="D13175" s="1" t="s">
        <v>25951</v>
      </c>
      <c r="E13175" s="1" t="str">
        <f ca="1">IFERROR(__xludf.DUMMYFUNCTION("GOOGLETRANSLATE(A9974 , ""tr"" , ""en"")"),"@drfahrettinkoca Dieifoeifkekfkoeir Ditto Ditto Aras Cargo Amk")</f>
        <v>@drfahrettinkoca Dieifoeifkekfkoeir Ditto Ditto Aras Cargo Amk</v>
      </c>
    </row>
    <row r="13176" spans="1:5" ht="15" customHeight="1" x14ac:dyDescent="0.2">
      <c r="A13176" s="1" t="s">
        <v>25952</v>
      </c>
      <c r="B13176" s="1">
        <v>0</v>
      </c>
      <c r="C13176" s="3">
        <v>44532.765324074076</v>
      </c>
      <c r="D13176" s="1" t="s">
        <v>25953</v>
      </c>
      <c r="E13176" s="1" t="str">
        <f ca="1">IFERROR(__xludf.DUMMYFUNCTION("GOOGLETRANSLATE(A9975 , ""tr"" , ""en"")"),"@drfahrettinkoca As if the boss has orders to the worker, you are talking from the top curtain.")</f>
        <v>@drfahrettinkoca As if the boss has orders to the worker, you are talking from the top curtain.</v>
      </c>
    </row>
    <row r="13177" spans="1:5" ht="15" customHeight="1" x14ac:dyDescent="0.2">
      <c r="A13177" s="1" t="s">
        <v>25363</v>
      </c>
      <c r="B13177" s="1">
        <v>9</v>
      </c>
      <c r="C13177" s="3">
        <v>44532.764930555553</v>
      </c>
      <c r="D13177" s="1" t="s">
        <v>25954</v>
      </c>
      <c r="E13177" s="1" t="str">
        <f ca="1">IFERROR(__xludf.DUMMYFUNCTION("GOOGLETRANSLATE(A9976 , ""tr"" , ""en"")"),"@drfahrettinkoca # Healthconships")</f>
        <v>@drfahrettinkoca # Healthconships</v>
      </c>
    </row>
    <row r="13178" spans="1:5" ht="15" customHeight="1" x14ac:dyDescent="0.2">
      <c r="A13178" s="1" t="s">
        <v>25955</v>
      </c>
      <c r="B13178" s="1">
        <v>1</v>
      </c>
      <c r="C13178" s="3">
        <v>44532.764560185184</v>
      </c>
      <c r="D13178" s="1" t="s">
        <v>25956</v>
      </c>
      <c r="E13178" s="1" t="str">
        <f ca="1">IFERROR(__xludf.DUMMYFUNCTION("GOOGLETRANSLATE(A9977 , ""tr"" , ""en"")"),"@drfahrettinkoca is a headache from mask we figs us in this country do not read in this country Fahrettin Hoca ... https://t.co/4fz4vvcrkp")</f>
        <v>@drfahrettinkoca is a headache from mask we figs us in this country do not read in this country Fahrettin Hoca ... https://t.co/4fz4vvcrkp</v>
      </c>
    </row>
    <row r="13179" spans="1:5" ht="15" customHeight="1" x14ac:dyDescent="0.2">
      <c r="A13179" s="1" t="s">
        <v>25957</v>
      </c>
      <c r="B13179" s="1">
        <v>35</v>
      </c>
      <c r="C13179" s="3">
        <v>44532.764432870368</v>
      </c>
      <c r="D13179" s="1" t="s">
        <v>25958</v>
      </c>
      <c r="E13179" s="1" t="str">
        <f ca="1">IFERROR(__xludf.DUMMYFUNCTION("GOOGLETRANSLATE(A9978 , ""tr"" , ""en"")"),"@drfahrettinkoca you are still in vaccination and measure you will receive the measure we will receive our children with peace of mind ... https://t.co/wzx8tnkqql")</f>
        <v>@drfahrettinkoca you are still in vaccination and measure you will receive the measure we will receive our children with peace of mind ... https://t.co/wzx8tnkqql</v>
      </c>
    </row>
    <row r="13180" spans="1:5" ht="15" customHeight="1" x14ac:dyDescent="0.2">
      <c r="A13180" s="1" t="s">
        <v>25959</v>
      </c>
      <c r="B13180" s="1">
        <v>0</v>
      </c>
      <c r="C13180" s="3">
        <v>44532.763981481483</v>
      </c>
      <c r="D13180" s="1" t="s">
        <v>25960</v>
      </c>
      <c r="E13180" s="1" t="str">
        <f ca="1">IFERROR(__xludf.DUMMYFUNCTION("GOOGLETRANSLATE(A9979 , ""tr"" , ""en"")"),"@drfahrettinkoca 3 days ago 27 thousands of going down 27 thousands in 20 thousands, after increasing in 20 thousands, the amportation of the Amportation is ... https://t.co/bzbhlnbb2v")</f>
        <v>@drfahrettinkoca 3 days ago 27 thousands of going down 27 thousands in 20 thousands, after increasing in 20 thousands, the amportation of the Amportation is ... https://t.co/bzbhlnbb2v</v>
      </c>
    </row>
    <row r="13181" spans="1:5" ht="15" customHeight="1" x14ac:dyDescent="0.2">
      <c r="A13181" s="1" t="s">
        <v>25961</v>
      </c>
      <c r="B13181" s="1">
        <v>0</v>
      </c>
      <c r="C13181" s="3">
        <v>44532.763912037037</v>
      </c>
      <c r="D13181" s="1" t="s">
        <v>25962</v>
      </c>
      <c r="E13181" s="1" t="str">
        <f ca="1">IFERROR(__xludf.DUMMYFUNCTION("GOOGLETRANSLATE(A9980 , ""tr"" , ""en"")"),"@drfahrettinka https://t.co/50sxbfca46")</f>
        <v>@drfahrettinka https://t.co/50sxbfca46</v>
      </c>
    </row>
    <row r="13182" spans="1:5" ht="15" customHeight="1" x14ac:dyDescent="0.2">
      <c r="A13182" s="1" t="s">
        <v>25963</v>
      </c>
      <c r="B13182" s="1">
        <v>4</v>
      </c>
      <c r="C13182" s="3">
        <v>44532.763877314814</v>
      </c>
      <c r="D13182" s="1" t="s">
        <v>25964</v>
      </c>
      <c r="E13182" s="1" t="str">
        <f ca="1">IFERROR(__xludf.DUMMYFUNCTION("GOOGLETRANSLATE(A9981 , ""tr"" , ""en"")"),"@drfahrettinkoca epidemic has no blur")</f>
        <v>@drfahrettinkoca epidemic has no blur</v>
      </c>
    </row>
    <row r="13183" spans="1:5" ht="15" customHeight="1" x14ac:dyDescent="0.2">
      <c r="A13183" s="1" t="s">
        <v>25965</v>
      </c>
      <c r="B13183" s="1">
        <v>95</v>
      </c>
      <c r="C13183" s="3">
        <v>44532.762731481482</v>
      </c>
      <c r="D13183" s="1" t="s">
        <v>25966</v>
      </c>
      <c r="E13183" s="1" t="str">
        <f ca="1">IFERROR(__xludf.DUMMYFUNCTION("GOOGLETRANSLATE(A9982 , ""tr"" , ""en"")"),"@drfahrettinkoca on April 15th 2020 Why did the description Faufacturents Fahrettin Why did you hype these drugs Fahrettin ... https://t.co/hvukzagiju")</f>
        <v>@drfahrettinkoca on April 15th 2020 Why did the description Faufacturents Fahrettin Why did you hype these drugs Fahrettin ... https://t.co/hvukzagiju</v>
      </c>
    </row>
    <row r="13184" spans="1:5" ht="15" customHeight="1" x14ac:dyDescent="0.2">
      <c r="A13184" s="1" t="s">
        <v>25967</v>
      </c>
      <c r="B13184" s="1">
        <v>0</v>
      </c>
      <c r="C13184" s="3">
        <v>44532.762662037036</v>
      </c>
      <c r="D13184" s="1" t="s">
        <v>25968</v>
      </c>
      <c r="E13184" s="1" t="str">
        <f ca="1">IFERROR(__xludf.DUMMYFUNCTION("GOOGLETRANSLATE(A9983 , ""tr"" , ""en"")"),"@drfahrettinkoca clask neither zman income count minister")</f>
        <v>@drfahrettinkoca clask neither zman income count minister</v>
      </c>
    </row>
    <row r="13185" spans="1:5" ht="15" customHeight="1" x14ac:dyDescent="0.2">
      <c r="A13185" s="1" t="s">
        <v>25969</v>
      </c>
      <c r="B13185" s="1">
        <v>0</v>
      </c>
      <c r="C13185" s="3">
        <v>44532.762372685182</v>
      </c>
      <c r="D13185" s="1" t="s">
        <v>25970</v>
      </c>
      <c r="E13185" s="1" t="str">
        <f ca="1">IFERROR(__xludf.DUMMYFUNCTION("GOOGLETRANSLATE(A9984 , ""tr"" , ""en"")"),"@drfahrettinkoca psychologically crashed my stomach does not remove the stomach as soon as I will stay nearby ... https://t.co/jxcgfqgsck")</f>
        <v>@drfahrettinkoca psychologically crashed my stomach does not remove the stomach as soon as I will stay nearby ... https://t.co/jxcgfqgsck</v>
      </c>
    </row>
    <row r="13186" spans="1:5" ht="15" customHeight="1" x14ac:dyDescent="0.2">
      <c r="A13186" s="1" t="s">
        <v>25971</v>
      </c>
      <c r="B13186" s="1">
        <v>10</v>
      </c>
      <c r="C13186" s="3">
        <v>44532.762164351851</v>
      </c>
      <c r="D13186" s="1" t="s">
        <v>25972</v>
      </c>
      <c r="E13186" s="1" t="str">
        <f ca="1">IFERROR(__xludf.DUMMYFUNCTION("GOOGLETRANSLATE(A9985 , ""tr"" , ""en"")"),"@drfahrettinkoca doesn't go on the day that is the vaccine, thumping clot to the brain, the heart rhythm is deteriorated, underpassed the heart attack, the baby's baby ... https://t.co/dtbngxejnj")</f>
        <v>@drfahrettinkoca doesn't go on the day that is the vaccine, thumping clot to the brain, the heart rhythm is deteriorated, underpassed the heart attack, the baby's baby ... https://t.co/dtbngxejnj</v>
      </c>
    </row>
    <row r="13187" spans="1:5" ht="15" customHeight="1" x14ac:dyDescent="0.2">
      <c r="A13187" s="1" t="s">
        <v>25973</v>
      </c>
      <c r="B13187" s="1">
        <v>33</v>
      </c>
      <c r="C13187" s="3">
        <v>44532.762141203704</v>
      </c>
      <c r="D13187" s="1" t="s">
        <v>25974</v>
      </c>
      <c r="E13187" s="1" t="str">
        <f ca="1">IFERROR(__xludf.DUMMYFUNCTION("GOOGLETRANSLATE(A9986 , ""tr"" , ""en"")"),"@drfahrettinkoca Bass Bass The active case where they shouted around the active case is also about 250 thousand. 250 thousand x 1.5 ... https://t.co/bniozw3xs5")</f>
        <v>@drfahrettinkoca Bass Bass The active case where they shouted around the active case is also about 250 thousand. 250 thousand x 1.5 ... https://t.co/bniozw3xs5</v>
      </c>
    </row>
    <row r="13188" spans="1:5" ht="15" customHeight="1" x14ac:dyDescent="0.2">
      <c r="A13188" s="1" t="s">
        <v>25975</v>
      </c>
      <c r="B13188" s="1">
        <v>0</v>
      </c>
      <c r="C13188" s="3">
        <v>44532.762118055558</v>
      </c>
      <c r="D13188" s="1" t="s">
        <v>25976</v>
      </c>
      <c r="E13188" s="1" t="str">
        <f ca="1">IFERROR(__xludf.DUMMYFUNCTION("GOOGLETRANSLATE(A9987 , ""tr"" , ""en"")"),"@drfahrettinkoca Lies Department")</f>
        <v>@drfahrettinkoca Lies Department</v>
      </c>
    </row>
    <row r="13189" spans="1:5" ht="15" customHeight="1" x14ac:dyDescent="0.2">
      <c r="A13189" s="1" t="s">
        <v>25977</v>
      </c>
      <c r="B13189" s="1">
        <v>0</v>
      </c>
      <c r="C13189" s="3">
        <v>44532.762094907404</v>
      </c>
      <c r="D13189" s="1" t="s">
        <v>25978</v>
      </c>
      <c r="E13189" s="1" t="str">
        <f ca="1">IFERROR(__xludf.DUMMYFUNCTION("GOOGLETRANSLATE(A9988 , ""tr"" , ""en"")"),"What is the interest of freedom with @drfahrettinka vaccine")</f>
        <v>What is the interest of freedom with @drfahrettinka vaccine</v>
      </c>
    </row>
    <row r="13190" spans="1:5" ht="15" customHeight="1" x14ac:dyDescent="0.2">
      <c r="A13190" s="1" t="s">
        <v>25979</v>
      </c>
      <c r="B13190" s="1">
        <v>3</v>
      </c>
      <c r="C13190" s="3">
        <v>44532.762037037035</v>
      </c>
      <c r="D13190" s="1" t="s">
        <v>25980</v>
      </c>
      <c r="E13190" s="1" t="str">
        <f ca="1">IFERROR(__xludf.DUMMYFUNCTION("GOOGLETRANSLATE(A9989 , ""tr"" , ""en"")"),"@drfahrettinkoca Close schools.")</f>
        <v>@drfahrettinkoca Close schools.</v>
      </c>
    </row>
    <row r="13191" spans="1:5" ht="15" customHeight="1" x14ac:dyDescent="0.2">
      <c r="A13191" s="1" t="s">
        <v>25981</v>
      </c>
      <c r="B13191" s="1">
        <v>0</v>
      </c>
      <c r="C13191" s="3">
        <v>44532.76185185185</v>
      </c>
      <c r="D13191" s="1" t="s">
        <v>25982</v>
      </c>
      <c r="E13191" s="1" t="str">
        <f ca="1">IFERROR(__xludf.DUMMYFUNCTION("GOOGLETRANSLATE(A9990 , ""tr"" , ""en"")"),"@drfahrettinkoca Do you have permission from the President to write these?")</f>
        <v>@drfahrettinkoca Do you have permission from the President to write these?</v>
      </c>
    </row>
    <row r="13192" spans="1:5" ht="15" customHeight="1" x14ac:dyDescent="0.2">
      <c r="A13192" s="1" t="s">
        <v>25983</v>
      </c>
      <c r="B13192" s="1">
        <v>0</v>
      </c>
      <c r="C13192" s="3">
        <v>44532.761701388888</v>
      </c>
      <c r="D13192" s="1" t="s">
        <v>25984</v>
      </c>
      <c r="E13192" s="1" t="str">
        <f ca="1">IFERROR(__xludf.DUMMYFUNCTION("GOOGLETRANSLATE(A9991 , ""tr"" , ""en"")"),"@drfahrettinka had our 30 thousand assignments. it's been 1 year")</f>
        <v>@drfahrettinka had our 30 thousand assignments. it's been 1 year</v>
      </c>
    </row>
    <row r="13193" spans="1:5" ht="15" customHeight="1" x14ac:dyDescent="0.2">
      <c r="A13193" s="1" t="s">
        <v>25985</v>
      </c>
      <c r="B13193" s="1">
        <v>115</v>
      </c>
      <c r="C13193" s="3">
        <v>44532.761643518519</v>
      </c>
      <c r="D13193" s="1" t="s">
        <v>25986</v>
      </c>
      <c r="E13193" s="1" t="str">
        <f ca="1">IFERROR(__xludf.DUMMYFUNCTION("GOOGLETRANSLATE(A9992 , ""tr"" , ""en"")"),"@drfahrettinkoca measure, called the ridiculous rules that are called and no scientific basis, people's life ka ... https://t.co/qnhxosr7k4")</f>
        <v>@drfahrettinkoca measure, called the ridiculous rules that are called and no scientific basis, people's life ka ... https://t.co/qnhxosr7k4</v>
      </c>
    </row>
    <row r="13194" spans="1:5" ht="15" customHeight="1" x14ac:dyDescent="0.2">
      <c r="A13194" s="1" t="s">
        <v>25987</v>
      </c>
      <c r="B13194" s="1">
        <v>4</v>
      </c>
      <c r="C13194" s="3">
        <v>44532.761516203704</v>
      </c>
      <c r="D13194" s="1" t="s">
        <v>25988</v>
      </c>
      <c r="E13194" s="1" t="str">
        <f ca="1">IFERROR(__xludf.DUMMYFUNCTION("GOOGLETRANSLATE(A9993 , ""tr"" , ""en"")"),"@drfahrettinkoca today is not the weekend minister. No. Omicron also has a matter of")</f>
        <v>@drfahrettinkoca today is not the weekend minister. No. Omicron also has a matter of</v>
      </c>
    </row>
    <row r="13195" spans="1:5" ht="15" customHeight="1" x14ac:dyDescent="0.2">
      <c r="A13195" s="1" t="s">
        <v>25989</v>
      </c>
      <c r="B13195" s="1">
        <v>0</v>
      </c>
      <c r="C13195" s="3">
        <v>44532.761435185188</v>
      </c>
      <c r="D13195" s="1" t="s">
        <v>25990</v>
      </c>
      <c r="E13195" s="1" t="str">
        <f ca="1">IFERROR(__xludf.DUMMYFUNCTION("GOOGLETRANSLATE(A9994 , ""tr"" , ""en"")"),"@drfahrettinkoca Pandem with non-pendem people's hands are the hands of the people and you are like you and you are ... https://t.co/nhp20nibpm")</f>
        <v>@drfahrettinkoca Pandem with non-pendem people's hands are the hands of the people and you are like you and you are ... https://t.co/nhp20nibpm</v>
      </c>
    </row>
    <row r="13196" spans="1:5" ht="15" customHeight="1" x14ac:dyDescent="0.2">
      <c r="A13196" s="1" t="s">
        <v>25991</v>
      </c>
      <c r="B13196" s="1">
        <v>26</v>
      </c>
      <c r="C13196" s="3">
        <v>44532.761400462965</v>
      </c>
      <c r="D13196" s="1" t="s">
        <v>25992</v>
      </c>
      <c r="E13196" s="1" t="str">
        <f ca="1">IFERROR(__xludf.DUMMYFUNCTION("GOOGLETRANSLATE(A9995 , ""tr"" , ""en"")"),"@drfahrettinka How to Brush Yesterday Haji Ten Years Old Old Senses in Muhahaha 🤣🤣🤣🤣🤣")</f>
        <v>@drfahrettinka How to Brush Yesterday Haji Ten Years Old Old Senses in Muhahaha 🤣🤣🤣🤣🤣</v>
      </c>
    </row>
    <row r="13197" spans="1:5" ht="15" customHeight="1" x14ac:dyDescent="0.2">
      <c r="A13197" s="1" t="s">
        <v>25993</v>
      </c>
      <c r="B13197" s="1">
        <v>0</v>
      </c>
      <c r="C13197" s="3">
        <v>44532.761388888888</v>
      </c>
      <c r="D13197" s="1" t="s">
        <v>25994</v>
      </c>
      <c r="E13197" s="1" t="str">
        <f ca="1">IFERROR(__xludf.DUMMYFUNCTION("GOOGLETRANSLATE(A9996 , ""tr"" , ""en"")"),"@drfahrettinkoca ziyaaaa i pushes anana")</f>
        <v>@drfahrettinkoca ziyaaaa i pushes anana</v>
      </c>
    </row>
    <row r="13198" spans="1:5" ht="15" customHeight="1" x14ac:dyDescent="0.2">
      <c r="A13198" s="1" t="s">
        <v>25995</v>
      </c>
      <c r="B13198" s="1">
        <v>0</v>
      </c>
      <c r="C13198" s="3">
        <v>44532.761388888888</v>
      </c>
      <c r="D13198" s="1" t="s">
        <v>25996</v>
      </c>
      <c r="E13198" s="1" t="str">
        <f ca="1">IFERROR(__xludf.DUMMYFUNCTION("GOOGLETRANSLATE(A9997 , ""tr"" , ""en"")"),"@drfahrettinka are you doing these shares permission ???")</f>
        <v>@drfahrettinka are you doing these shares permission ???</v>
      </c>
    </row>
    <row r="13199" spans="1:5" ht="15" customHeight="1" x14ac:dyDescent="0.2">
      <c r="A13199" s="1" t="s">
        <v>25997</v>
      </c>
      <c r="B13199" s="1">
        <v>8</v>
      </c>
      <c r="C13199" s="3">
        <v>44532.76122685185</v>
      </c>
      <c r="D13199" s="1" t="s">
        <v>25998</v>
      </c>
      <c r="E13199" s="1" t="str">
        <f ca="1">IFERROR(__xludf.DUMMYFUNCTION("GOOGLETRANSLATE(A9998 , ""tr"" , ""en"")"),"@drfahrettinkoca You are right to show the effects of changes, also thick, your situation and lug in your situation ... https://t.co/uka8xaesm1")</f>
        <v>@drfahrettinkoca You are right to show the effects of changes, also thick, your situation and lug in your situation ... https://t.co/uka8xaesm1</v>
      </c>
    </row>
    <row r="13200" spans="1:5" ht="15" customHeight="1" x14ac:dyDescent="0.2">
      <c r="A13200" s="1" t="s">
        <v>25999</v>
      </c>
      <c r="B13200" s="1">
        <v>1</v>
      </c>
      <c r="C13200" s="3">
        <v>44532.76122685185</v>
      </c>
      <c r="D13200" s="1" t="s">
        <v>26000</v>
      </c>
      <c r="E13200" s="1" t="str">
        <f ca="1">IFERROR(__xludf.DUMMYFUNCTION("GOOGLETRANSLATE(A9999 , ""tr"" , ""en"")"),"@drfahrettinkoca You have removed the middle for a disease that will not be worth the record. A simple respiratory tract of infection ... https://t.co/pkdcaptrII")</f>
        <v>@drfahrettinkoca You have removed the middle for a disease that will not be worth the record. A simple respiratory tract of infection ... https://t.co/pkdcaptrII</v>
      </c>
    </row>
    <row r="13201" spans="1:5" ht="15" customHeight="1" x14ac:dyDescent="0.2">
      <c r="A13201" s="1" t="s">
        <v>26001</v>
      </c>
      <c r="B13201" s="1">
        <v>0</v>
      </c>
      <c r="C13201" s="3">
        <v>44532.761041666665</v>
      </c>
      <c r="D13201" s="1" t="s">
        <v>26002</v>
      </c>
      <c r="E13201" s="1" t="str">
        <f ca="1">IFERROR(__xludf.DUMMYFUNCTION("GOOGLETRANSLATE(A10000 , ""tr"" , ""en"")"),"@drfahrettinkoca they found the hole at all or https://t.co/ifypg2xywr")</f>
        <v>@drfahrettinkoca they found the hole at all or https://t.co/ifypg2xywr</v>
      </c>
    </row>
    <row r="13202" spans="1:5" ht="15" customHeight="1" x14ac:dyDescent="0.2">
      <c r="A13202" s="1" t="s">
        <v>26003</v>
      </c>
      <c r="B13202" s="1">
        <v>0</v>
      </c>
      <c r="C13202" s="3">
        <v>44532.760995370372</v>
      </c>
      <c r="D13202" s="1" t="s">
        <v>26004</v>
      </c>
      <c r="E13202" s="1" t="str">
        <f ca="1">IFERROR(__xludf.DUMMYFUNCTION("GOOGLETRANSLATE(A10001 , ""tr"" , ""en"")"),"@drfahrettinka https://t.co/3jm1ossqth")</f>
        <v>@drfahrettinka https://t.co/3jm1ossqth</v>
      </c>
    </row>
    <row r="13203" spans="1:5" ht="15" customHeight="1" x14ac:dyDescent="0.2">
      <c r="A13203" s="1" t="s">
        <v>26005</v>
      </c>
      <c r="B13203" s="1">
        <v>3</v>
      </c>
      <c r="C13203" s="3">
        <v>44532.760914351849</v>
      </c>
      <c r="D13203" s="1" t="s">
        <v>26006</v>
      </c>
      <c r="E13203" s="1" t="str">
        <f ca="1">IFERROR(__xludf.DUMMYFUNCTION("GOOGLETRANSLATE(A10002 , ""tr"" , ""en"")"),"@drfahrettinkoca @saglikbakanligi guide sec @drfahrettinkoca # Healthconships")</f>
        <v>@drfahrettinkoca @saglikbakanligi guide sec @drfahrettinkoca # Healthconships</v>
      </c>
    </row>
    <row r="13204" spans="1:5" ht="15" customHeight="1" x14ac:dyDescent="0.2">
      <c r="A13204" s="1" t="s">
        <v>26007</v>
      </c>
      <c r="B13204" s="1">
        <v>0</v>
      </c>
      <c r="C13204" s="3">
        <v>44532.760763888888</v>
      </c>
      <c r="D13204" s="1" t="s">
        <v>26008</v>
      </c>
      <c r="E13204" s="1" t="str">
        <f ca="1">IFERROR(__xludf.DUMMYFUNCTION("GOOGLETRANSLATE(A10003 , ""tr"" , ""en"")"),"@drfahrettinkoca sec The unbelievers do not believe that they have never been in intensive care. I hope to expect the fourth dose")</f>
        <v>@drfahrettinkoca sec The unbelievers do not believe that they have never been in intensive care. I hope to expect the fourth dose</v>
      </c>
    </row>
    <row r="13205" spans="1:5" ht="15" customHeight="1" x14ac:dyDescent="0.2">
      <c r="A13205" s="1" t="s">
        <v>26009</v>
      </c>
      <c r="B13205" s="1">
        <v>1</v>
      </c>
      <c r="C13205" s="3">
        <v>44532.760405092595</v>
      </c>
      <c r="D13205" s="1" t="s">
        <v>26010</v>
      </c>
      <c r="E13205" s="1" t="str">
        <f ca="1">IFERROR(__xludf.DUMMYFUNCTION("GOOGLETRANSLATE(A10004 , ""tr"" , ""en"")"),"@drfahrettinkoca schools should be closed enough we are tired of we now we want online")</f>
        <v>@drfahrettinkoca schools should be closed enough we are tired of we now we want online</v>
      </c>
    </row>
    <row r="13206" spans="1:5" ht="15" customHeight="1" x14ac:dyDescent="0.2">
      <c r="A13206" s="1" t="s">
        <v>7148</v>
      </c>
      <c r="B13206" s="1">
        <v>1</v>
      </c>
      <c r="C13206" s="3">
        <v>44532.760115740741</v>
      </c>
      <c r="D13206" s="1" t="s">
        <v>26011</v>
      </c>
      <c r="E13206" s="1" t="str">
        <f ca="1">IFERROR(__xludf.DUMMYFUNCTION("GOOGLETRANSLATE(A10005 , ""tr"" , ""en"")"),"@drfahrettinkoca is ok")</f>
        <v>@drfahrettinkoca is ok</v>
      </c>
    </row>
    <row r="13207" spans="1:5" ht="15" customHeight="1" x14ac:dyDescent="0.2">
      <c r="A13207" s="1" t="s">
        <v>26012</v>
      </c>
      <c r="B13207" s="1">
        <v>0</v>
      </c>
      <c r="C13207" s="3">
        <v>44532.759675925925</v>
      </c>
      <c r="D13207" s="1" t="s">
        <v>26013</v>
      </c>
      <c r="E13207" s="1" t="str">
        <f ca="1">IFERROR(__xludf.DUMMYFUNCTION("GOOGLETRANSLATE(A10006 , ""tr"" , ""en"")"),"@drfahrettinkoca @saglikbakanligi TMM Covid Ministry")</f>
        <v>@drfahrettinkoca @saglikbakanligi TMM Covid Ministry</v>
      </c>
    </row>
    <row r="13208" spans="1:5" ht="15" customHeight="1" x14ac:dyDescent="0.2">
      <c r="A13208" s="1" t="s">
        <v>26014</v>
      </c>
      <c r="B13208" s="1">
        <v>1</v>
      </c>
      <c r="C13208" s="3">
        <v>44532.759131944447</v>
      </c>
      <c r="D13208" s="1" t="s">
        <v>26015</v>
      </c>
      <c r="E13208" s="1" t="str">
        <f ca="1">IFERROR(__xludf.DUMMYFUNCTION("GOOGLETRANSLATE(A10007 , ""tr"" , ""en"")"),"@drfahrettinkoca vaccine if the epidemic would end my own")</f>
        <v>@drfahrettinkoca vaccine if the epidemic would end my own</v>
      </c>
    </row>
    <row r="13209" spans="1:5" ht="15" customHeight="1" x14ac:dyDescent="0.2">
      <c r="A13209" s="1" t="s">
        <v>26016</v>
      </c>
      <c r="B13209" s="1">
        <v>1</v>
      </c>
      <c r="C13209" s="3">
        <v>44532.759050925924</v>
      </c>
      <c r="D13209" s="1" t="s">
        <v>26017</v>
      </c>
      <c r="E13209" s="1" t="str">
        <f ca="1">IFERROR(__xludf.DUMMYFUNCTION("GOOGLETRANSLATE(A10008 , ""tr"" , ""en"")"),"@drfahrettinkoca guide looking forward to Mr. Ministry @drfahrettinkoca")</f>
        <v>@drfahrettinkoca guide looking forward to Mr. Ministry @drfahrettinkoca</v>
      </c>
    </row>
    <row r="13210" spans="1:5" ht="15" customHeight="1" x14ac:dyDescent="0.2">
      <c r="A13210" s="1" t="s">
        <v>26018</v>
      </c>
      <c r="B13210" s="1">
        <v>95</v>
      </c>
      <c r="C13210" s="3">
        <v>44532.758518518516</v>
      </c>
      <c r="D13210" s="1" t="s">
        <v>26019</v>
      </c>
      <c r="E13210" s="1" t="str">
        <f ca="1">IFERROR(__xludf.DUMMYFUNCTION("GOOGLETRANSLATE(A10009 , ""tr"" , ""en"")"),"@drfahrettinkoca schools in schools that have been flexible that since September 40-45 Personal Classes, interior, ... https://t.co/385j3onom1")</f>
        <v>@drfahrettinkoca schools in schools that have been flexible that since September 40-45 Personal Classes, interior, ... https://t.co/385j3onom1</v>
      </c>
    </row>
    <row r="13211" spans="1:5" ht="15" customHeight="1" x14ac:dyDescent="0.2">
      <c r="A13211" s="1" t="s">
        <v>26020</v>
      </c>
      <c r="B13211" s="1">
        <v>0</v>
      </c>
      <c r="C13211" s="3">
        <v>44532.758402777778</v>
      </c>
      <c r="D13211" s="1" t="s">
        <v>26021</v>
      </c>
      <c r="E13211" s="1" t="str">
        <f ca="1">IFERROR(__xludf.DUMMYFUNCTION("GOOGLETRANSLATE(A10010 , ""tr"" , ""en"")"),"@drfahrettinkoca 👏👏👏👏 https://t.co/lnc3slc6v7")</f>
        <v>@drfahrettinkoca 👏👏👏👏 https://t.co/lnc3slc6v7</v>
      </c>
    </row>
    <row r="13212" spans="1:5" ht="15" customHeight="1" x14ac:dyDescent="0.2">
      <c r="A13212" s="1" t="s">
        <v>26022</v>
      </c>
      <c r="B13212" s="1">
        <v>0</v>
      </c>
      <c r="C13212" s="3">
        <v>44532.758194444446</v>
      </c>
      <c r="D13212" s="1" t="s">
        <v>26023</v>
      </c>
      <c r="E13212" s="1" t="str">
        <f ca="1">IFERROR(__xludf.DUMMYFUNCTION("GOOGLETRANSLATE(A10011 , ""tr"" , ""en"")"),"@drfahrettinkoca Tomorrow You don't need to explain the data I will explain 20-21K Route")</f>
        <v>@drfahrettinkoca Tomorrow You don't need to explain the data I will explain 20-21K Route</v>
      </c>
    </row>
    <row r="13213" spans="1:5" ht="15" customHeight="1" x14ac:dyDescent="0.2">
      <c r="A13213" s="1" t="s">
        <v>26024</v>
      </c>
      <c r="B13213" s="1">
        <v>0</v>
      </c>
      <c r="C13213" s="3">
        <v>44532.758032407408</v>
      </c>
      <c r="D13213" s="1" t="s">
        <v>26025</v>
      </c>
      <c r="E13213" s="1" t="str">
        <f ca="1">IFERROR(__xludf.DUMMYFUNCTION("GOOGLETRANSLATE(A10012 , ""tr"" , ""en"")"),"@drfahrettinkoca cuh, let allah")</f>
        <v>@drfahrettinkoca cuh, let allah</v>
      </c>
    </row>
    <row r="13214" spans="1:5" ht="15" customHeight="1" x14ac:dyDescent="0.2">
      <c r="A13214" s="1" t="s">
        <v>26026</v>
      </c>
      <c r="B13214" s="1">
        <v>0</v>
      </c>
      <c r="C13214" s="3">
        <v>44532.757754629631</v>
      </c>
      <c r="D13214" s="1" t="s">
        <v>26027</v>
      </c>
      <c r="E13214" s="1" t="str">
        <f ca="1">IFERROR(__xludf.DUMMYFUNCTION("GOOGLETRANSLATE(A10013 , ""tr"" , ""en"")"),"@drfahrettinkoca @saglikbakanligi https://t.co/vyfsvihsyv")</f>
        <v>@drfahrettinkoca @saglikbakanligi https://t.co/vyfsvihsyv</v>
      </c>
    </row>
    <row r="13215" spans="1:5" ht="15" customHeight="1" x14ac:dyDescent="0.2">
      <c r="A13215" s="1" t="s">
        <v>13312</v>
      </c>
      <c r="B13215" s="1">
        <v>0</v>
      </c>
      <c r="C13215" s="3">
        <v>44532.757638888892</v>
      </c>
      <c r="D13215" s="1" t="s">
        <v>26028</v>
      </c>
      <c r="E13215" s="1" t="str">
        <f ca="1">IFERROR(__xludf.DUMMYFUNCTION("GOOGLETRANSLATE(A10014 , ""tr"" , ""en"")"),"@drfahrettinkoca manuscript")</f>
        <v>@drfahrettinkoca manuscript</v>
      </c>
    </row>
    <row r="13216" spans="1:5" ht="15" customHeight="1" x14ac:dyDescent="0.2">
      <c r="A13216" s="1" t="s">
        <v>26029</v>
      </c>
      <c r="B13216" s="1">
        <v>6</v>
      </c>
      <c r="C13216" s="3">
        <v>44532.757581018515</v>
      </c>
      <c r="D13216" s="1" t="s">
        <v>26030</v>
      </c>
      <c r="E13216" s="1" t="str">
        <f ca="1">IFERROR(__xludf.DUMMYFUNCTION("GOOGLETRANSLATE(A10015 , ""tr"" , ""en"")"),"@drfahrettinkoca @saglikbakanligi # Healthconship HTTPS://T.CO/LDVSGSKLCE")</f>
        <v>@drfahrettinkoca @saglikbakanligi # Healthconship HTTPS://T.CO/LDVSGSKLCE</v>
      </c>
    </row>
    <row r="13217" spans="1:5" ht="15" customHeight="1" x14ac:dyDescent="0.2">
      <c r="A13217" s="1" t="s">
        <v>26031</v>
      </c>
      <c r="B13217" s="1">
        <v>0</v>
      </c>
      <c r="C13217" s="3">
        <v>44532.757349537038</v>
      </c>
      <c r="D13217" s="1" t="s">
        <v>26032</v>
      </c>
      <c r="E13217" s="1" t="str">
        <f ca="1">IFERROR(__xludf.DUMMYFUNCTION("GOOGLETRANSLATE(A10016 , ""tr"" , ""en"")"),"@drfahrettinkoca Ministry of 2 weeks ahead of us very critical 😂😂")</f>
        <v>@drfahrettinkoca Ministry of 2 weeks ahead of us very critical 😂😂</v>
      </c>
    </row>
    <row r="13218" spans="1:5" ht="15" customHeight="1" x14ac:dyDescent="0.2">
      <c r="A13218" s="1" t="s">
        <v>26033</v>
      </c>
      <c r="B13218" s="1">
        <v>0</v>
      </c>
      <c r="C13218" s="3">
        <v>44532.756979166668</v>
      </c>
      <c r="D13218" s="1" t="s">
        <v>26034</v>
      </c>
      <c r="E13218" s="1" t="str">
        <f ca="1">IFERROR(__xludf.DUMMYFUNCTION("GOOGLETRANSLATE(A10017 , ""tr"" , ""en"")"),"@drfahrettinkoca count of the Hergun 350 thousand Kisi Where do you find?")</f>
        <v>@drfahrettinkoca count of the Hergun 350 thousand Kisi Where do you find?</v>
      </c>
    </row>
    <row r="13219" spans="1:5" ht="15" customHeight="1" x14ac:dyDescent="0.2">
      <c r="A13219" s="1" t="s">
        <v>26035</v>
      </c>
      <c r="B13219" s="1">
        <v>2</v>
      </c>
      <c r="C13219" s="3">
        <v>44532.75640046296</v>
      </c>
      <c r="D13219" s="1" t="s">
        <v>26036</v>
      </c>
      <c r="E13219" s="1" t="str">
        <f ca="1">IFERROR(__xludf.DUMMYFUNCTION("GOOGLETRANSLATE(A10018 , ""tr"" , ""en"")"),"@drfahrettinka vaccine is the dimension of immortality?")</f>
        <v>@drfahrettinka vaccine is the dimension of immortality?</v>
      </c>
    </row>
    <row r="13220" spans="1:5" ht="15" customHeight="1" x14ac:dyDescent="0.2">
      <c r="A13220" s="1" t="s">
        <v>26037</v>
      </c>
      <c r="B13220" s="1">
        <v>0</v>
      </c>
      <c r="C13220" s="3">
        <v>44532.756307870368</v>
      </c>
      <c r="D13220" s="1" t="s">
        <v>26038</v>
      </c>
      <c r="E13220" s="1" t="str">
        <f ca="1">IFERROR(__xludf.DUMMYFUNCTION("GOOGLETRANSLATE(A10019 , ""tr"" , ""en"")"),"@drfahrettinkoca you must remove HEPP completely. Life does not fit home, we won't fit in fit people, robot ... https://t.co/ndxcıpar8o")</f>
        <v>@drfahrettinkoca you must remove HEPP completely. Life does not fit home, we won't fit in fit people, robot ... https://t.co/ndxcıpar8o</v>
      </c>
    </row>
    <row r="13221" spans="1:5" ht="15" customHeight="1" x14ac:dyDescent="0.2">
      <c r="A13221" s="1" t="s">
        <v>26039</v>
      </c>
      <c r="B13221" s="1">
        <v>0</v>
      </c>
      <c r="C13221" s="3">
        <v>44532.756168981483</v>
      </c>
      <c r="D13221" s="1" t="s">
        <v>26040</v>
      </c>
      <c r="E13221" s="1" t="str">
        <f ca="1">IFERROR(__xludf.DUMMYFUNCTION("GOOGLETRANSLATE(A10020 , ""tr"" , ""en"")"),"@drfahrettinka Mr. Minister when the closure is the future")</f>
        <v>@drfahrettinka Mr. Minister when the closure is the future</v>
      </c>
    </row>
    <row r="13222" spans="1:5" ht="15" customHeight="1" x14ac:dyDescent="0.2">
      <c r="A13222" s="1" t="s">
        <v>26041</v>
      </c>
      <c r="B13222" s="1">
        <v>50</v>
      </c>
      <c r="C13222" s="3">
        <v>44532.756111111114</v>
      </c>
      <c r="D13222" s="1" t="s">
        <v>26042</v>
      </c>
      <c r="E13222" s="1" t="str">
        <f ca="1">IFERROR(__xludf.DUMMYFUNCTION("GOOGLETRANSLATE(A10021 , ""tr"" , ""en"")"),"@drfahrettinkoca religion, you're gazing our lives. This is the change that is mentioned.")</f>
        <v>@drfahrettinkoca religion, you're gazing our lives. This is the change that is mentioned.</v>
      </c>
    </row>
    <row r="13223" spans="1:5" ht="15" customHeight="1" x14ac:dyDescent="0.2">
      <c r="A13223" s="1" t="s">
        <v>26043</v>
      </c>
      <c r="B13223" s="1">
        <v>0</v>
      </c>
      <c r="C13223" s="3">
        <v>44532.756099537037</v>
      </c>
      <c r="D13223" s="1" t="s">
        <v>26044</v>
      </c>
      <c r="E13223" s="1" t="str">
        <f ca="1">IFERROR(__xludf.DUMMYFUNCTION("GOOGLETRANSLATE(A10022 , ""tr"" , ""en"")"),"@drfahrettinkoca is the pointless mask that causes discussions among people as no work ... https://t.co/VXMVI7HLKN")</f>
        <v>@drfahrettinkoca is the pointless mask that causes discussions among people as no work ... https://t.co/VXMVI7HLKN</v>
      </c>
    </row>
    <row r="13224" spans="1:5" ht="15" customHeight="1" x14ac:dyDescent="0.2">
      <c r="A13224" s="1" t="s">
        <v>26045</v>
      </c>
      <c r="B13224" s="1">
        <v>0</v>
      </c>
      <c r="C13224" s="3">
        <v>44532.755636574075</v>
      </c>
      <c r="D13224" s="1" t="s">
        <v>26046</v>
      </c>
      <c r="E13224" s="1" t="str">
        <f ca="1">IFERROR(__xludf.DUMMYFUNCTION("GOOGLETRANSLATE(A10023 , ""tr"" , ""en"")"),"@drfahrettinkoca I swear off the disgusting guide from the assignment to the artk enough or")</f>
        <v>@drfahrettinkoca I swear off the disgusting guide from the assignment to the artk enough or</v>
      </c>
    </row>
    <row r="13225" spans="1:5" ht="15" customHeight="1" x14ac:dyDescent="0.2">
      <c r="A13225" s="1" t="s">
        <v>26047</v>
      </c>
      <c r="B13225" s="1">
        <v>0</v>
      </c>
      <c r="C13225" s="3">
        <v>44532.755462962959</v>
      </c>
      <c r="D13225" s="1" t="s">
        <v>26048</v>
      </c>
      <c r="E13225" s="1" t="str">
        <f ca="1">IFERROR(__xludf.DUMMYFUNCTION("GOOGLETRANSLATE(A10024 , ""tr"" , ""en"")"),"@drfahrettinkoca we want to manual")</f>
        <v>@drfahrettinkoca we want to manual</v>
      </c>
    </row>
    <row r="13226" spans="1:5" ht="15" customHeight="1" x14ac:dyDescent="0.2">
      <c r="A13226" s="1" t="s">
        <v>26049</v>
      </c>
      <c r="B13226" s="1">
        <v>0</v>
      </c>
      <c r="C13226" s="3">
        <v>44532.755439814813</v>
      </c>
      <c r="D13226" s="1" t="s">
        <v>26050</v>
      </c>
      <c r="E13226" s="1" t="str">
        <f ca="1">IFERROR(__xludf.DUMMYFUNCTION("GOOGLETRANSLATE(A10025 , ""tr"" , ""en"")"),"@drfahrettinkoca All the healthcare community says the same thing NEDNE EAR? Quit Mr. Minister Pardon Doctor Minister")</f>
        <v>@drfahrettinkoca All the healthcare community says the same thing NEDNE EAR? Quit Mr. Minister Pardon Doctor Minister</v>
      </c>
    </row>
    <row r="13227" spans="1:5" ht="15" customHeight="1" x14ac:dyDescent="0.2">
      <c r="A13227" s="1" t="s">
        <v>26051</v>
      </c>
      <c r="B13227" s="1">
        <v>2</v>
      </c>
      <c r="C13227" s="3">
        <v>44532.755150462966</v>
      </c>
      <c r="D13227" s="1" t="s">
        <v>26052</v>
      </c>
      <c r="E13227" s="1" t="str">
        <f ca="1">IFERROR(__xludf.DUMMYFUNCTION("GOOGLETRANSLATE(A10026 , ""tr"" , ""en"")"),"@drfahrettinkoca Prophet Our Saving Sav Lord. https://t.co/xium3r8wds")</f>
        <v>@drfahrettinkoca Prophet Our Saving Sav Lord. https://t.co/xium3r8wds</v>
      </c>
    </row>
    <row r="13228" spans="1:5" ht="15" customHeight="1" x14ac:dyDescent="0.2">
      <c r="A13228" s="1" t="s">
        <v>26053</v>
      </c>
      <c r="B13228" s="1">
        <v>1</v>
      </c>
      <c r="C13228" s="3">
        <v>44532.75508101852</v>
      </c>
      <c r="D13228" s="1" t="s">
        <v>26054</v>
      </c>
      <c r="E13228" s="1" t="str">
        <f ca="1">IFERROR(__xludf.DUMMYFUNCTION("GOOGLETRANSLATE(A10027 , ""tr"" , ""en"")"),"@drfahrettinkoca Okadar lied to the ring. None Sir Banane The vaccine was enough 3 you said. HAA HERE BELK B ... https://t.co/fmu0fybmqy")</f>
        <v>@drfahrettinkoca Okadar lied to the ring. None Sir Banane The vaccine was enough 3 you said. HAA HERE BELK B ... https://t.co/fmu0fybmqy</v>
      </c>
    </row>
    <row r="13229" spans="1:5" ht="15" customHeight="1" x14ac:dyDescent="0.2">
      <c r="A13229" s="1" t="s">
        <v>26055</v>
      </c>
      <c r="B13229" s="1">
        <v>0</v>
      </c>
      <c r="C13229" s="3">
        <v>44532.755023148151</v>
      </c>
      <c r="D13229" s="1" t="s">
        <v>26056</v>
      </c>
      <c r="E13229" s="1" t="str">
        <f ca="1">IFERROR(__xludf.DUMMYFUNCTION("GOOGLETRANSLATE(A10028 , ""tr"" , ""en"")"),"@drfahrettinkoca we hope we wonder if the minister")</f>
        <v>@drfahrettinkoca we hope we wonder if the minister</v>
      </c>
    </row>
    <row r="13230" spans="1:5" ht="15" customHeight="1" x14ac:dyDescent="0.2">
      <c r="A13230" s="1" t="s">
        <v>26057</v>
      </c>
      <c r="B13230" s="1">
        <v>1</v>
      </c>
      <c r="C13230" s="3">
        <v>44532.754988425928</v>
      </c>
      <c r="D13230" s="1" t="s">
        <v>26058</v>
      </c>
      <c r="E13230" s="1" t="str">
        <f ca="1">IFERROR(__xludf.DUMMYFUNCTION("GOOGLETRANSLATE(A10029 , ""tr"" , ""en"")"),"@drfahrettinkoca guide are welcome.")</f>
        <v>@drfahrettinkoca guide are welcome.</v>
      </c>
    </row>
    <row r="13231" spans="1:5" ht="15" customHeight="1" x14ac:dyDescent="0.2">
      <c r="A13231" s="1" t="s">
        <v>26059</v>
      </c>
      <c r="B13231" s="1">
        <v>1</v>
      </c>
      <c r="C13231" s="3">
        <v>44532.754942129628</v>
      </c>
      <c r="D13231" s="1" t="s">
        <v>26060</v>
      </c>
      <c r="E13231" s="1" t="str">
        <f ca="1">IFERROR(__xludf.DUMMYFUNCTION("GOOGLETRANSLATE(A10030 , ""tr"" , ""en"")"),"@drfahrettinkoca is someone who wants to talk to, what do you say to us. Did you get permission or minister")</f>
        <v>@drfahrettinkoca is someone who wants to talk to, what do you say to us. Did you get permission or minister</v>
      </c>
    </row>
    <row r="13232" spans="1:5" ht="15" customHeight="1" x14ac:dyDescent="0.2">
      <c r="A13232" s="1" t="s">
        <v>26061</v>
      </c>
      <c r="B13232" s="1">
        <v>0</v>
      </c>
      <c r="C13232" s="3">
        <v>44532.754895833335</v>
      </c>
      <c r="D13232" s="1" t="s">
        <v>26062</v>
      </c>
      <c r="E13232" s="1" t="str">
        <f ca="1">IFERROR(__xludf.DUMMYFUNCTION("GOOGLETRANSLATE(A10031 , ""tr"" , ""en"")"),"@drfahrettinkoca Yaru Go is Crazy")</f>
        <v>@drfahrettinkoca Yaru Go is Crazy</v>
      </c>
    </row>
    <row r="13233" spans="1:5" ht="15" customHeight="1" x14ac:dyDescent="0.2">
      <c r="A13233" s="1" t="s">
        <v>26063</v>
      </c>
      <c r="B13233" s="1">
        <v>66</v>
      </c>
      <c r="C13233" s="3">
        <v>44532.754872685182</v>
      </c>
      <c r="D13233" s="1" t="s">
        <v>26064</v>
      </c>
      <c r="E13233" s="1" t="str">
        <f ca="1">IFERROR(__xludf.DUMMYFUNCTION("GOOGLETRANSLATE(A10032 , ""tr"" , ""en"")"),"@drfahrettinkoca Today is a number of people who do not trust you as we follow in news videos. We trust we? Please susun is now.")</f>
        <v>@drfahrettinkoca Today is a number of people who do not trust you as we follow in news videos. We trust we? Please susun is now.</v>
      </c>
    </row>
    <row r="13234" spans="1:5" ht="15" customHeight="1" x14ac:dyDescent="0.2">
      <c r="A13234" s="1" t="s">
        <v>13312</v>
      </c>
      <c r="B13234" s="1">
        <v>0</v>
      </c>
      <c r="C13234" s="3">
        <v>44532.75476851852</v>
      </c>
      <c r="D13234" s="1" t="s">
        <v>26065</v>
      </c>
      <c r="E13234" s="1" t="str">
        <f ca="1">IFERROR(__xludf.DUMMYFUNCTION("GOOGLETRANSLATE(A10033 , ""tr"" , ""en"")"),"@drfahrettinkoca manuscript")</f>
        <v>@drfahrettinkoca manuscript</v>
      </c>
    </row>
    <row r="13235" spans="1:5" ht="15" customHeight="1" x14ac:dyDescent="0.2">
      <c r="A13235" s="1" t="s">
        <v>26066</v>
      </c>
      <c r="B13235" s="1">
        <v>0</v>
      </c>
      <c r="C13235" s="3">
        <v>44532.75472222222</v>
      </c>
      <c r="D13235" s="1" t="s">
        <v>26067</v>
      </c>
      <c r="E13235" s="1" t="str">
        <f ca="1">IFERROR(__xludf.DUMMYFUNCTION("GOOGLETRANSLATE(A10034 , ""tr"" , ""en"")"),"@drfahrettinkoca you think vet ""physician"" isn't your physician? Physician phrasal, humanity and animals, Https://t.co/htktvnk2yh")</f>
        <v>@drfahrettinkoca you think vet "physician" isn't your physician? Physician phrasal, humanity and animals, Https://t.co/htktvnk2yh</v>
      </c>
    </row>
    <row r="13236" spans="1:5" ht="15" customHeight="1" x14ac:dyDescent="0.2">
      <c r="A13236" s="1" t="s">
        <v>26068</v>
      </c>
      <c r="B13236" s="1">
        <v>4</v>
      </c>
      <c r="C13236" s="3">
        <v>44532.754571759258</v>
      </c>
      <c r="D13236" s="1" t="s">
        <v>26069</v>
      </c>
      <c r="E13236" s="1" t="str">
        <f ca="1">IFERROR(__xludf.DUMMYFUNCTION("GOOGLETRANSLATE(A10035 , ""tr"" , ""en"")"),"@drfahrettinkoca # HEALTHYIABILITIABILITY Mr. Minister for two years assign the same story assignment for additional indicator Retired for additional indicator ... https://t.co/rbeul5ezef")</f>
        <v>@drfahrettinkoca # HEALTHYIABILITIABILITY Mr. Minister for two years assign the same story assignment for additional indicator Retired for additional indicator ... https://t.co/rbeul5ezef</v>
      </c>
    </row>
    <row r="13237" spans="1:5" ht="15" customHeight="1" x14ac:dyDescent="0.2">
      <c r="A13237" s="1" t="s">
        <v>26070</v>
      </c>
      <c r="B13237" s="1">
        <v>0</v>
      </c>
      <c r="C13237" s="3">
        <v>44532.754317129627</v>
      </c>
      <c r="D13237" s="1" t="s">
        <v>26071</v>
      </c>
      <c r="E13237" s="1" t="str">
        <f ca="1">IFERROR(__xludf.DUMMYFUNCTION("GOOGLETRANSLATE(A10036 , ""tr"" , ""en"")"),"@drfahrettinkoca please contact the minister airs now we should bring prohibitions now in a crowded class of schools in a crowded classroom ... https://t.co/dd0yk9yvrq")</f>
        <v>@drfahrettinkoca please contact the minister airs now we should bring prohibitions now in a crowded class of schools in a crowded classroom ... https://t.co/dd0yk9yvrq</v>
      </c>
    </row>
    <row r="13238" spans="1:5" ht="15" customHeight="1" x14ac:dyDescent="0.2">
      <c r="A13238" s="1" t="s">
        <v>26072</v>
      </c>
      <c r="B13238" s="1">
        <v>7</v>
      </c>
      <c r="C13238" s="3">
        <v>44532.753796296296</v>
      </c>
      <c r="D13238" s="1" t="s">
        <v>26073</v>
      </c>
      <c r="E13238" s="1" t="str">
        <f ca="1">IFERROR(__xludf.DUMMYFUNCTION("GOOGLETRANSLATE(A10037 , ""tr"" , ""en"")"),"@drfahrettinka Need to Comment ... https://t.co/h4wyfk1d9q")</f>
        <v>@drfahrettinka Need to Comment ... https://t.co/h4wyfk1d9q</v>
      </c>
    </row>
    <row r="13239" spans="1:5" ht="15" customHeight="1" x14ac:dyDescent="0.2">
      <c r="A13239" s="1" t="s">
        <v>26074</v>
      </c>
      <c r="B13239" s="1">
        <v>0</v>
      </c>
      <c r="C13239" s="3">
        <v>44532.753738425927</v>
      </c>
      <c r="D13239" s="1" t="s">
        <v>26075</v>
      </c>
      <c r="E13239" s="1" t="str">
        <f ca="1">IFERROR(__xludf.DUMMYFUNCTION("GOOGLETRANSLATE(A10038 , ""tr"" , ""en"")"),"@drfahrettinkoca Blank Making Close Schools")</f>
        <v>@drfahrettinkoca Blank Making Close Schools</v>
      </c>
    </row>
    <row r="13240" spans="1:5" ht="15" customHeight="1" x14ac:dyDescent="0.2">
      <c r="A13240" s="1" t="s">
        <v>26076</v>
      </c>
      <c r="B13240" s="1">
        <v>0</v>
      </c>
      <c r="C13240" s="3">
        <v>44532.753564814811</v>
      </c>
      <c r="D13240" s="1" t="s">
        <v>26077</v>
      </c>
      <c r="E13240" s="1" t="str">
        <f ca="1">IFERROR(__xludf.DUMMYFUNCTION("GOOGLETRANSLATE(A10039 , ""tr"" , ""en"")"),"@drfahrettinkoca number of minister people started learning to learn how to learn these civilians")</f>
        <v>@drfahrettinkoca number of minister people started learning to learn how to learn these civilians</v>
      </c>
    </row>
    <row r="13241" spans="1:5" ht="15" customHeight="1" x14ac:dyDescent="0.2">
      <c r="A13241" s="1" t="s">
        <v>26078</v>
      </c>
      <c r="B13241" s="1">
        <v>0</v>
      </c>
      <c r="C13241" s="3">
        <v>44532.753460648149</v>
      </c>
      <c r="D13241" s="1" t="s">
        <v>26079</v>
      </c>
      <c r="E13241" s="1" t="str">
        <f ca="1">IFERROR(__xludf.DUMMYFUNCTION("GOOGLETRANSLATE(A10040 , ""tr"" , ""en"")"),"@drfahrettinka promising miracle is a liquid valuable as a liquid What is the SINOVAK is now in Germany even in Germany ... https://t.co/n8jhjdwnvy")</f>
        <v>@drfahrettinka promising miracle is a liquid valuable as a liquid What is the SINOVAK is now in Germany even in Germany ... https://t.co/n8jhjdwnvy</v>
      </c>
    </row>
    <row r="13242" spans="1:5" ht="15" customHeight="1" x14ac:dyDescent="0.2">
      <c r="A13242" s="1" t="s">
        <v>26080</v>
      </c>
      <c r="B13242" s="1">
        <v>1</v>
      </c>
      <c r="C13242" s="3">
        <v>44532.75340277778</v>
      </c>
      <c r="D13242" s="1" t="s">
        <v>26081</v>
      </c>
      <c r="E13242" s="1" t="str">
        <f ca="1">IFERROR(__xludf.DUMMYFUNCTION("GOOGLETRANSLATE(A10041 , ""tr"" , ""en"")"),"@drfahrettinkoca # Healthconship is faked medical for 30 years. I work at the hospital, I'm in the Gih class, the squad Shs ... https://t.co/btrny72pbs")</f>
        <v>@drfahrettinkoca # Healthconship is faked medical for 30 years. I work at the hospital, I'm in the Gih class, the squad Shs ... https://t.co/btrny72pbs</v>
      </c>
    </row>
    <row r="13243" spans="1:5" ht="15" customHeight="1" x14ac:dyDescent="0.2">
      <c r="A13243" s="1" t="s">
        <v>26082</v>
      </c>
      <c r="B13243" s="1">
        <v>0</v>
      </c>
      <c r="C13243" s="3">
        <v>44532.753206018519</v>
      </c>
      <c r="D13243" s="1" t="s">
        <v>26083</v>
      </c>
      <c r="E13243" s="1" t="str">
        <f ca="1">IFERROR(__xludf.DUMMYFUNCTION("GOOGLETRANSLATE(A10042 , ""tr"" , ""en"")"),"@drfahrettinkoca come on there")</f>
        <v>@drfahrettinkoca come on there</v>
      </c>
    </row>
    <row r="13244" spans="1:5" ht="15" customHeight="1" x14ac:dyDescent="0.2">
      <c r="A13244" s="1" t="s">
        <v>26084</v>
      </c>
      <c r="B13244" s="1">
        <v>0</v>
      </c>
      <c r="C13244" s="3">
        <v>44532.753159722219</v>
      </c>
      <c r="D13244" s="1" t="s">
        <v>26085</v>
      </c>
      <c r="E13244" s="1" t="str">
        <f ca="1">IFERROR(__xludf.DUMMYFUNCTION("GOOGLETRANSLATE(A10043 , ""tr"" , ""en"")"),"@drfahrettinkoca why do you see everything in this silence but you don't single word @drfahrettinkoca")</f>
        <v>@drfahrettinkoca why do you see everything in this silence but you don't single word @drfahrettinkoca</v>
      </c>
    </row>
    <row r="13245" spans="1:5" ht="15" customHeight="1" x14ac:dyDescent="0.2">
      <c r="A13245" s="1" t="s">
        <v>26086</v>
      </c>
      <c r="B13245" s="1">
        <v>0</v>
      </c>
      <c r="C13245" s="3">
        <v>44532.75304398148</v>
      </c>
      <c r="D13245" s="1" t="s">
        <v>26087</v>
      </c>
      <c r="E13245" s="1" t="str">
        <f ca="1">IFERROR(__xludf.DUMMYFUNCTION("GOOGLETRANSLATE(A10044 , ""tr"" , ""en"")"),"@drfahrettinka vaccine bi boka yapıyo see you like February")</f>
        <v>@drfahrettinka vaccine bi boka yapıyo see you like February</v>
      </c>
    </row>
    <row r="13246" spans="1:5" ht="15" customHeight="1" x14ac:dyDescent="0.2">
      <c r="A13246" s="1" t="s">
        <v>26088</v>
      </c>
      <c r="B13246" s="1">
        <v>1</v>
      </c>
      <c r="C13246" s="3">
        <v>44532.752986111111</v>
      </c>
      <c r="D13246" s="1" t="s">
        <v>26089</v>
      </c>
      <c r="E13246" s="1" t="str">
        <f ca="1">IFERROR(__xludf.DUMMYFUNCTION("GOOGLETRANSLATE(A10045 , ""tr"" , ""en"")"),"@drfahrettinkoca vaccine I haven't been a vaccine I'm waiting for the corona virus to be smeared when the first corona in China go to the first corona go ... https://t.co/cy9cp4mbsc")</f>
        <v>@drfahrettinkoca vaccine I haven't been a vaccine I'm waiting for the corona virus to be smeared when the first corona in China go to the first corona go ... https://t.co/cy9cp4mbsc</v>
      </c>
    </row>
    <row r="13247" spans="1:5" ht="15" customHeight="1" x14ac:dyDescent="0.2">
      <c r="A13247" s="1" t="s">
        <v>26090</v>
      </c>
      <c r="B13247" s="1">
        <v>0</v>
      </c>
      <c r="C13247" s="3">
        <v>44532.752951388888</v>
      </c>
      <c r="D13247" s="1" t="s">
        <v>26091</v>
      </c>
      <c r="E13247" s="1" t="str">
        <f ca="1">IFERROR(__xludf.DUMMYFUNCTION("GOOGLETRANSLATE(A10046 , ""tr"" , ""en"")"),"@drfahrettinkoca From today from today, I would like to thank you for everything I stayed at my bi ...")</f>
        <v>@drfahrettinkoca From today from today, I would like to thank you for everything I stayed at my bi ...</v>
      </c>
    </row>
    <row r="13248" spans="1:5" ht="15" customHeight="1" x14ac:dyDescent="0.2">
      <c r="A13248" s="1" t="s">
        <v>26092</v>
      </c>
      <c r="B13248" s="1">
        <v>0</v>
      </c>
      <c r="C13248" s="3">
        <v>44532.752789351849</v>
      </c>
      <c r="D13248" s="1" t="s">
        <v>26093</v>
      </c>
      <c r="E13248" s="1" t="str">
        <f ca="1">IFERROR(__xludf.DUMMYFUNCTION("GOOGLETRANSLATE(A10047 , ""tr"" , ""en"")"),"@drfahrettinkoca You have sworn not talking about buying")</f>
        <v>@drfahrettinkoca You have sworn not talking about buying</v>
      </c>
    </row>
    <row r="13249" spans="1:5" ht="15" customHeight="1" x14ac:dyDescent="0.2">
      <c r="A13249" s="1" t="s">
        <v>26094</v>
      </c>
      <c r="B13249" s="1">
        <v>0</v>
      </c>
      <c r="C13249" s="3">
        <v>44532.752743055556</v>
      </c>
      <c r="D13249" s="1" t="s">
        <v>26095</v>
      </c>
      <c r="E13249" s="1" t="str">
        <f ca="1">IFERROR(__xludf.DUMMYFUNCTION("GOOGLETRANSLATE(A10048 , ""tr"" , ""en"")"),"@drfahrettinkoca but the next two weeks very critical 🤣🤣🤣")</f>
        <v>@drfahrettinkoca but the next two weeks very critical 🤣🤣🤣</v>
      </c>
    </row>
    <row r="13250" spans="1:5" ht="15" customHeight="1" x14ac:dyDescent="0.2">
      <c r="A13250" s="1" t="s">
        <v>26096</v>
      </c>
      <c r="B13250" s="1">
        <v>0</v>
      </c>
      <c r="C13250" s="3">
        <v>44532.752476851849</v>
      </c>
      <c r="D13250" s="1" t="s">
        <v>26097</v>
      </c>
      <c r="E13250" s="1" t="str">
        <f ca="1">IFERROR(__xludf.DUMMYFUNCTION("GOOGLETRANSLATE(A10049 , ""tr"" , ""en"")"),"@drfahrettinkoca reisten allowed you to write")</f>
        <v>@drfahrettinkoca reisten allowed you to write</v>
      </c>
    </row>
    <row r="13251" spans="1:5" ht="15" customHeight="1" x14ac:dyDescent="0.2">
      <c r="A13251" s="1" t="s">
        <v>26098</v>
      </c>
      <c r="B13251" s="1">
        <v>0</v>
      </c>
      <c r="C13251" s="3">
        <v>44532.752465277779</v>
      </c>
      <c r="D13251" s="1" t="s">
        <v>26099</v>
      </c>
      <c r="E13251" s="1" t="str">
        <f ca="1">IFERROR(__xludf.DUMMYFUNCTION("GOOGLETRANSLATE(A10050 , ""tr"" , ""en"")"),"@drfahrettinkoca Mr. Minister Our TENDIGIES Our CORONADAN lies in the hospital, a person from the hospital, the companion is a person ... https://t.co/2lmrdkasrh")</f>
        <v>@drfahrettinkoca Mr. Minister Our TENDIGIES Our CORONADAN lies in the hospital, a person from the hospital, the companion is a person ... https://t.co/2lmrdkasrh</v>
      </c>
    </row>
    <row r="13252" spans="1:5" ht="15" customHeight="1" x14ac:dyDescent="0.2">
      <c r="A13252" s="1" t="s">
        <v>26100</v>
      </c>
      <c r="B13252" s="1">
        <v>2</v>
      </c>
      <c r="C13252" s="3">
        <v>44532.752175925925</v>
      </c>
      <c r="D13252" s="1" t="s">
        <v>26101</v>
      </c>
      <c r="E13252" s="1" t="str">
        <f ca="1">IFERROR(__xludf.DUMMYFUNCTION("GOOGLETRANSLATE(A10051 , ""tr"" , ""en"")"),"@drfahrettinkoca Talkke fell bald looked. Health system and you are not confident.")</f>
        <v>@drfahrettinkoca Talkke fell bald looked. Health system and you are not confident.</v>
      </c>
    </row>
    <row r="13253" spans="1:5" ht="15" customHeight="1" x14ac:dyDescent="0.2">
      <c r="A13253" s="1" t="s">
        <v>26102</v>
      </c>
      <c r="B13253" s="1">
        <v>0</v>
      </c>
      <c r="C13253" s="3">
        <v>44532.75209490741</v>
      </c>
      <c r="D13253" s="1" t="s">
        <v>26103</v>
      </c>
      <c r="E13253" s="1" t="str">
        <f ca="1">IFERROR(__xludf.DUMMYFUNCTION("GOOGLETRANSLATE(A10052 , ""tr"" , ""en"")"),"@drfahrettinka has grip for 100 years but there is no definite solution included in the vaccine, in 1 year Corona did not understand how I found the vaccination")</f>
        <v>@drfahrettinka has grip for 100 years but there is no definite solution included in the vaccine, in 1 year Corona did not understand how I found the vaccination</v>
      </c>
    </row>
    <row r="13254" spans="1:5" ht="15" customHeight="1" x14ac:dyDescent="0.2">
      <c r="A13254" s="1" t="s">
        <v>26104</v>
      </c>
      <c r="B13254" s="1">
        <v>0</v>
      </c>
      <c r="C13254" s="3">
        <v>44532.75204861111</v>
      </c>
      <c r="D13254" s="1" t="s">
        <v>26105</v>
      </c>
      <c r="E13254" s="1" t="str">
        <f ca="1">IFERROR(__xludf.DUMMYFUNCTION("GOOGLETRANSLATE(A10053 , ""tr"" , ""en"")"),"@drfahrettinkoca declared if the applications begin our life if our lives change @drfahrettinkoca")</f>
        <v>@drfahrettinkoca declared if the applications begin our life if our lives change @drfahrettinkoca</v>
      </c>
    </row>
    <row r="13255" spans="1:5" ht="15" customHeight="1" x14ac:dyDescent="0.2">
      <c r="A13255" s="1" t="s">
        <v>26106</v>
      </c>
      <c r="B13255" s="1">
        <v>0</v>
      </c>
      <c r="C13255" s="3">
        <v>44532.751851851855</v>
      </c>
      <c r="D13255" s="1" t="s">
        <v>26107</v>
      </c>
      <c r="E13255" s="1" t="str">
        <f ca="1">IFERROR(__xludf.DUMMYFUNCTION("GOOGLETRANSLATE(A10054 , ""tr"" , ""en"")"),"@drfahrettinkoca Salgin in the Subtital Healthcare of our Life Conditions in your number of living conditions. In ... https://t.co/vztoriz9kd")</f>
        <v>@drfahrettinkoca Salgin in the Subtital Healthcare of our Life Conditions in your number of living conditions. In ... https://t.co/vztoriz9kd</v>
      </c>
    </row>
    <row r="13256" spans="1:5" ht="15" customHeight="1" x14ac:dyDescent="0.2">
      <c r="A13256" s="1" t="s">
        <v>26108</v>
      </c>
      <c r="B13256" s="1">
        <v>1</v>
      </c>
      <c r="C13256" s="3">
        <v>44532.751782407409</v>
      </c>
      <c r="D13256" s="1" t="s">
        <v>26109</v>
      </c>
      <c r="E13256" s="1" t="str">
        <f ca="1">IFERROR(__xludf.DUMMYFUNCTION("GOOGLETRANSLATE(A10055 , ""tr"" , ""en"")"),"@drfahrettinkoca on the first days, what was nice of the soap, subject to the virus then there wasn't that much case at that time. Everything started after @")</f>
        <v>@drfahrettinkoca on the first days, what was nice of the soap, subject to the virus then there wasn't that much case at that time. Everything started after @</v>
      </c>
    </row>
    <row r="13257" spans="1:5" ht="15" customHeight="1" x14ac:dyDescent="0.2">
      <c r="A13257" s="1" t="s">
        <v>26110</v>
      </c>
      <c r="B13257" s="1">
        <v>2</v>
      </c>
      <c r="C13257" s="3">
        <v>44532.751423611109</v>
      </c>
      <c r="D13257" s="1" t="s">
        <v>26111</v>
      </c>
      <c r="E13257" s="1" t="str">
        <f ca="1">IFERROR(__xludf.DUMMYFUNCTION("GOOGLETRANSLATE(A10056 , ""tr"" , ""en"")"),"@drfahrettinkoca Of course! We do not cut our support to this company that you turn on! Mask PCR Disinfectant ASI Come Citizen Come!")</f>
        <v>@drfahrettinkoca Of course! We do not cut our support to this company that you turn on! Mask PCR Disinfectant ASI Come Citizen Come!</v>
      </c>
    </row>
    <row r="13258" spans="1:5" ht="15" customHeight="1" x14ac:dyDescent="0.2">
      <c r="A13258" s="1" t="s">
        <v>26112</v>
      </c>
      <c r="B13258" s="1">
        <v>87</v>
      </c>
      <c r="C13258" s="3">
        <v>44532.750752314816</v>
      </c>
      <c r="D13258" s="1" t="s">
        <v>26113</v>
      </c>
      <c r="E13258" s="1" t="str">
        <f ca="1">IFERROR(__xludf.DUMMYFUNCTION("GOOGLETRANSLATE(A10057 , ""tr"" , ""en"")"),"@drfahrettinkoca partly flexible did not happen to school in schools ?????? Opened completely flexed and imprudent and h ... https://t.co/d7pdybigua")</f>
        <v>@drfahrettinkoca partly flexible did not happen to school in schools ?????? Opened completely flexed and imprudent and h ... https://t.co/d7pdybigua</v>
      </c>
    </row>
    <row r="13259" spans="1:5" ht="15" customHeight="1" x14ac:dyDescent="0.2">
      <c r="A13259" s="1" t="s">
        <v>26114</v>
      </c>
      <c r="B13259" s="1">
        <v>8</v>
      </c>
      <c r="C13259" s="3">
        <v>44532.75072916667</v>
      </c>
      <c r="D13259" s="1" t="s">
        <v>26115</v>
      </c>
      <c r="E13259" s="1" t="str">
        <f ca="1">IFERROR(__xludf.DUMMYFUNCTION("GOOGLETRANSLATE(A10058 , ""tr"" , ""en"")"),"@drfahrettinkoca epidemic has never been in Fahrettin Covid 19 has a million knowledge and documents")</f>
        <v>@drfahrettinkoca epidemic has never been in Fahrettin Covid 19 has a million knowledge and documents</v>
      </c>
    </row>
    <row r="13260" spans="1:5" ht="15" customHeight="1" x14ac:dyDescent="0.2">
      <c r="A13260" s="1" t="s">
        <v>26116</v>
      </c>
      <c r="B13260" s="1">
        <v>0</v>
      </c>
      <c r="C13260" s="3">
        <v>44532.750381944446</v>
      </c>
      <c r="D13260" s="1" t="s">
        <v>26117</v>
      </c>
      <c r="E13260" s="1" t="str">
        <f ca="1">IFERROR(__xludf.DUMMYFUNCTION("GOOGLETRANSLATE(A10059 , ""tr"" , ""en"")"),"@drfahrettinkoca recep Ttayyip or Erdoğan from allowed leave ?? Mr. Fahrettin !!")</f>
        <v>@drfahrettinkoca recep Ttayyip or Erdoğan from allowed leave ?? Mr. Fahrettin !!</v>
      </c>
    </row>
    <row r="13261" spans="1:5" ht="15" customHeight="1" x14ac:dyDescent="0.2">
      <c r="A13261" s="1" t="s">
        <v>26118</v>
      </c>
      <c r="B13261" s="1">
        <v>0</v>
      </c>
      <c r="C13261" s="3">
        <v>44532.749872685185</v>
      </c>
      <c r="D13261" s="1" t="s">
        <v>26119</v>
      </c>
      <c r="E13261" s="1" t="str">
        <f ca="1">IFERROR(__xludf.DUMMYFUNCTION("GOOGLETRANSLATE(A10060 , ""tr"" , ""en"")"),"@drfahrettinkoca you will not get votes when i lose power")</f>
        <v>@drfahrettinkoca you will not get votes when i lose power</v>
      </c>
    </row>
    <row r="13262" spans="1:5" ht="15" customHeight="1" x14ac:dyDescent="0.2">
      <c r="A13262" s="1" t="s">
        <v>26120</v>
      </c>
      <c r="B13262" s="1">
        <v>5</v>
      </c>
      <c r="C13262" s="3">
        <v>44532.749861111108</v>
      </c>
      <c r="D13262" s="1" t="s">
        <v>26121</v>
      </c>
      <c r="E13262" s="1" t="str">
        <f ca="1">IFERROR(__xludf.DUMMYFUNCTION("GOOGLETRANSLATE(A10061 , ""tr"" , ""en"")"),"@drfahrettinkoca is no convincing, realistic be a little")</f>
        <v>@drfahrettinkoca is no convincing, realistic be a little</v>
      </c>
    </row>
    <row r="13263" spans="1:5" ht="15" customHeight="1" x14ac:dyDescent="0.2">
      <c r="A13263" s="1" t="s">
        <v>26122</v>
      </c>
      <c r="B13263" s="1">
        <v>5</v>
      </c>
      <c r="C13263" s="3">
        <v>44532.749699074076</v>
      </c>
      <c r="D13263" s="1" t="s">
        <v>26123</v>
      </c>
      <c r="E13263" s="1" t="str">
        <f ca="1">IFERROR(__xludf.DUMMYFUNCTION("GOOGLETRANSLATE(A10062 , ""tr"" , ""en"")"),"@drfahrettinkoca guide where I stayed in Dear Minister @drfahrettinkoca")</f>
        <v>@drfahrettinkoca guide where I stayed in Dear Minister @drfahrettinkoca</v>
      </c>
    </row>
    <row r="13264" spans="1:5" ht="15" customHeight="1" x14ac:dyDescent="0.2">
      <c r="A13264" s="1" t="s">
        <v>26124</v>
      </c>
      <c r="B13264" s="1">
        <v>0</v>
      </c>
      <c r="C13264" s="3">
        <v>44532.7496875</v>
      </c>
      <c r="D13264" s="1" t="s">
        <v>26125</v>
      </c>
      <c r="E13264" s="1" t="str">
        <f ca="1">IFERROR(__xludf.DUMMYFUNCTION("GOOGLETRANSLATE(A10063 , ""tr"" , ""en"")"),"@drfahrettinkoca sir I'm relying on you as the moment you say without permission from you, be serious overlooking the sec and register your country")</f>
        <v>@drfahrettinkoca sir I'm relying on you as the moment you say without permission from you, be serious overlooking the sec and register your country</v>
      </c>
    </row>
    <row r="13265" spans="1:5" ht="15" customHeight="1" x14ac:dyDescent="0.2">
      <c r="A13265" s="1" t="s">
        <v>26126</v>
      </c>
      <c r="B13265" s="1">
        <v>2</v>
      </c>
      <c r="C13265" s="3">
        <v>44532.749560185184</v>
      </c>
      <c r="D13265" s="1" t="s">
        <v>26127</v>
      </c>
      <c r="E13265" s="1" t="str">
        <f ca="1">IFERROR(__xludf.DUMMYFUNCTION("GOOGLETRANSLATE(A10064 , ""tr"" , ""en"")"),"@drfahrettinkoca 16 hours class I have a month only, can you think 16! Why why?")</f>
        <v>@drfahrettinkoca 16 hours class I have a month only, can you think 16! Why why?</v>
      </c>
    </row>
    <row r="13266" spans="1:5" ht="15" customHeight="1" x14ac:dyDescent="0.2">
      <c r="A13266" s="1" t="s">
        <v>26128</v>
      </c>
      <c r="B13266" s="1">
        <v>72</v>
      </c>
      <c r="C13266" s="3">
        <v>44532.749340277776</v>
      </c>
      <c r="D13266" s="1" t="s">
        <v>26129</v>
      </c>
      <c r="E13266" s="1" t="str">
        <f ca="1">IFERROR(__xludf.DUMMYFUNCTION("GOOGLETRANSLATE(A10065 , ""tr"" , ""en"")"),"@drfahrettinkoca Mr. Minister Unfortunately everyone has not been vaccinated, so relaxation is people that match the rules like us ... https://t.co/00tlm9ljio")</f>
        <v>@drfahrettinkoca Mr. Minister Unfortunately everyone has not been vaccinated, so relaxation is people that match the rules like us ... https://t.co/00tlm9ljio</v>
      </c>
    </row>
    <row r="13267" spans="1:5" ht="15" customHeight="1" x14ac:dyDescent="0.2">
      <c r="A13267" s="1" t="s">
        <v>26130</v>
      </c>
      <c r="B13267" s="1">
        <v>126</v>
      </c>
      <c r="C13267" s="3">
        <v>44532.749166666668</v>
      </c>
      <c r="D13267" s="1" t="s">
        <v>26131</v>
      </c>
      <c r="E13267" s="1" t="str">
        <f ca="1">IFERROR(__xludf.DUMMYFUNCTION("GOOGLETRANSLATE(A10066 , ""tr"" , ""en"")"),"@drfahrettinkoca so you are wearing a lifetime mask that says. 2 years history, 80% of all population inoculated in vaccinated belch all ... https://t.co/xu6ftejvdx")</f>
        <v>@drfahrettinkoca so you are wearing a lifetime mask that says. 2 years history, 80% of all population inoculated in vaccinated belch all ... https://t.co/xu6ftejvdx</v>
      </c>
    </row>
    <row r="13268" spans="1:5" ht="15" customHeight="1" x14ac:dyDescent="0.2">
      <c r="A13268" s="1" t="s">
        <v>26132</v>
      </c>
      <c r="B13268" s="1">
        <v>1</v>
      </c>
      <c r="C13268" s="3">
        <v>44532.748333333337</v>
      </c>
      <c r="D13268" s="1" t="s">
        <v>26133</v>
      </c>
      <c r="E13268" s="1" t="str">
        <f ca="1">IFERROR(__xludf.DUMMYFUNCTION("GOOGLETRANSLATE(A10067 , ""tr"" , ""en"")"),"@drfahrettinkoca liars")</f>
        <v>@drfahrettinkoca liars</v>
      </c>
    </row>
    <row r="13269" spans="1:5" ht="15" customHeight="1" x14ac:dyDescent="0.2">
      <c r="A13269" s="1" t="s">
        <v>26134</v>
      </c>
      <c r="B13269" s="1">
        <v>15</v>
      </c>
      <c r="C13269" s="3">
        <v>44532.748298611114</v>
      </c>
      <c r="D13269" s="1" t="s">
        <v>26135</v>
      </c>
      <c r="E13269" s="1" t="str">
        <f ca="1">IFERROR(__xludf.DUMMYFUNCTION("GOOGLETRANSLATE(A10068 , ""tr"" , ""en"")"),"@drfahrettinkoca yesterday RTE setting gave you so much I laughed so much I stayed at it as well as children's book like map painting ... https://t.co/j7xtzat1fq")</f>
        <v>@drfahrettinkoca yesterday RTE setting gave you so much I laughed so much I stayed at it as well as children's book like map painting ... https://t.co/j7xtzat1fq</v>
      </c>
    </row>
    <row r="13270" spans="1:5" ht="15" customHeight="1" x14ac:dyDescent="0.2">
      <c r="A13270" s="1" t="s">
        <v>26136</v>
      </c>
      <c r="B13270" s="1">
        <v>4</v>
      </c>
      <c r="C13270" s="3">
        <v>44532.748263888891</v>
      </c>
      <c r="D13270" s="1" t="s">
        <v>26137</v>
      </c>
      <c r="E13270" s="1" t="str">
        <f ca="1">IFERROR(__xludf.DUMMYFUNCTION("GOOGLETRANSLATE(A10069 , ""tr"" , ""en"")"),"@drfahrettinkoca is not stabilizing the number of cases stubbornly that you say no everyone patient is sick! Classes 50 people 50 people !!!")</f>
        <v>@drfahrettinkoca is not stabilizing the number of cases stubbornly that you say no everyone patient is sick! Classes 50 people 50 people !!!</v>
      </c>
    </row>
    <row r="13271" spans="1:5" ht="15" customHeight="1" x14ac:dyDescent="0.2">
      <c r="A13271" s="1" t="s">
        <v>26138</v>
      </c>
      <c r="B13271" s="1">
        <v>118</v>
      </c>
      <c r="C13271" s="3">
        <v>44532.748194444444</v>
      </c>
      <c r="D13271" s="1" t="s">
        <v>26139</v>
      </c>
      <c r="E13271" s="1" t="str">
        <f ca="1">IFERROR(__xludf.DUMMYFUNCTION("GOOGLETRANSLATE(A10070 , ""tr"" , ""en"")"),"@drfahrettinkoca Masallah Elhamdulillah Ya Safi Ya Safi")</f>
        <v>@drfahrettinkoca Masallah Elhamdulillah Ya Safi Ya Safi</v>
      </c>
    </row>
    <row r="13272" spans="1:5" ht="15" customHeight="1" x14ac:dyDescent="0.2">
      <c r="A13272" s="1" t="s">
        <v>26140</v>
      </c>
      <c r="B13272" s="1">
        <v>17</v>
      </c>
      <c r="C13272" s="3">
        <v>44532.748136574075</v>
      </c>
      <c r="D13272" s="1" t="s">
        <v>26141</v>
      </c>
      <c r="E13272" s="1" t="str">
        <f ca="1">IFERROR(__xludf.DUMMYFUNCTION("GOOGLETRANSLATE(A10071 , ""tr"" , ""en"")"),"@drfahrettinkoca is important to flex the precautions. But in this age of the enemy's medical slavery, the vaccine is thousand times ... https://t.co/byewhsmr02")</f>
        <v>@drfahrettinkoca is important to flex the precautions. But in this age of the enemy's medical slavery, the vaccine is thousand times ... https://t.co/byewhsmr02</v>
      </c>
    </row>
    <row r="13273" spans="1:5" ht="15" customHeight="1" x14ac:dyDescent="0.2">
      <c r="A13273" s="1" t="s">
        <v>26142</v>
      </c>
      <c r="B13273" s="1">
        <v>0</v>
      </c>
      <c r="C13273" s="3">
        <v>44532.748067129629</v>
      </c>
      <c r="D13273" s="1" t="s">
        <v>26143</v>
      </c>
      <c r="E13273" s="1" t="str">
        <f ca="1">IFERROR(__xludf.DUMMYFUNCTION("GOOGLETRANSLATE(A10072 , ""tr"" , ""en"")"),"@drfahrettinka look exactly on the number of cases hahahah")</f>
        <v>@drfahrettinka look exactly on the number of cases hahahah</v>
      </c>
    </row>
    <row r="13274" spans="1:5" ht="15" customHeight="1" x14ac:dyDescent="0.2">
      <c r="A13274" s="1" t="s">
        <v>26144</v>
      </c>
      <c r="B13274" s="1">
        <v>0</v>
      </c>
      <c r="C13274" s="3">
        <v>44532.747881944444</v>
      </c>
      <c r="D13274" s="1" t="s">
        <v>26145</v>
      </c>
      <c r="E13274" s="1" t="str">
        <f ca="1">IFERROR(__xludf.DUMMYFUNCTION("GOOGLETRANSLATE(A10073 , ""tr"" , ""en"")"),"@drfahrettinkoca spoke of families overlooking again")</f>
        <v>@drfahrettinkoca spoke of families overlooking again</v>
      </c>
    </row>
    <row r="13275" spans="1:5" ht="15" customHeight="1" x14ac:dyDescent="0.2">
      <c r="A13275" s="1" t="s">
        <v>26146</v>
      </c>
      <c r="B13275" s="1">
        <v>1</v>
      </c>
      <c r="C13275" s="3">
        <v>44532.74763888889</v>
      </c>
      <c r="D13275" s="1" t="s">
        <v>26147</v>
      </c>
      <c r="E13275" s="1" t="str">
        <f ca="1">IFERROR(__xludf.DUMMYFUNCTION("GOOGLETRANSLATE(A10074 , ""tr"" , ""en"")"),"@drfahrettinkoca Health workers are shown at all opportunities that you have no value in you, ... https://t.co/os1mzmlxhz")</f>
        <v>@drfahrettinkoca Health workers are shown at all opportunities that you have no value in you, ... https://t.co/os1mzmlxhz</v>
      </c>
    </row>
    <row r="13276" spans="1:5" ht="15" customHeight="1" x14ac:dyDescent="0.2">
      <c r="A13276" s="1" t="s">
        <v>26148</v>
      </c>
      <c r="B13276" s="1">
        <v>7</v>
      </c>
      <c r="C13276" s="3">
        <v>44532.747534722221</v>
      </c>
      <c r="D13276" s="1" t="s">
        <v>26149</v>
      </c>
      <c r="E13276" s="1" t="str">
        <f ca="1">IFERROR(__xludf.DUMMYFUNCTION("GOOGLETRANSLATE(A10075 , ""tr"" , ""en"")"),"@drfahrettinkoca Ministry Everyone knows that this table is a lie. How to tell you how to say you are running ... https://t.co/shcvkdtp9l")</f>
        <v>@drfahrettinkoca Ministry Everyone knows that this table is a lie. How to tell you how to say you are running ... https://t.co/shcvkdtp9l</v>
      </c>
    </row>
    <row r="13277" spans="1:5" ht="15" customHeight="1" x14ac:dyDescent="0.2">
      <c r="A13277" s="1" t="s">
        <v>26150</v>
      </c>
      <c r="B13277" s="1">
        <v>0</v>
      </c>
      <c r="C13277" s="3">
        <v>44532.747164351851</v>
      </c>
      <c r="D13277" s="1" t="s">
        <v>26151</v>
      </c>
      <c r="E13277" s="1" t="str">
        <f ca="1">IFERROR(__xludf.DUMMYFUNCTION("GOOGLETRANSLATE(A10076 , ""tr"" , ""en"")"),"@drfahrettinkoca I think I asked my dismissal forgiveness. Give up the following vaccine job. Start serving their people.")</f>
        <v>@drfahrettinkoca I think I asked my dismissal forgiveness. Give up the following vaccine job. Start serving their people.</v>
      </c>
    </row>
    <row r="13278" spans="1:5" ht="15" customHeight="1" x14ac:dyDescent="0.2">
      <c r="A13278" s="1" t="s">
        <v>26152</v>
      </c>
      <c r="B13278" s="1">
        <v>1</v>
      </c>
      <c r="C13278" s="3">
        <v>44532.747071759259</v>
      </c>
      <c r="D13278" s="1" t="s">
        <v>26153</v>
      </c>
      <c r="E13278" s="1" t="str">
        <f ca="1">IFERROR(__xludf.DUMMYFUNCTION("GOOGLETRANSLATE(A10077 , ""tr"" , ""en"")"),"@drfahrettinkoca epidist fear panic and prohibitions have ruined the economy with restrictions")</f>
        <v>@drfahrettinkoca epidist fear panic and prohibitions have ruined the economy with restrictions</v>
      </c>
    </row>
    <row r="13279" spans="1:5" ht="15" customHeight="1" x14ac:dyDescent="0.2">
      <c r="A13279" s="1" t="s">
        <v>26154</v>
      </c>
      <c r="B13279" s="1">
        <v>0</v>
      </c>
      <c r="C13279" s="3">
        <v>44532.74695601852</v>
      </c>
      <c r="D13279" s="1" t="s">
        <v>26155</v>
      </c>
      <c r="E13279" s="1" t="str">
        <f ca="1">IFERROR(__xludf.DUMMYFUNCTION("GOOGLETRANSLATE(A10078 , ""tr"" , ""en"")"),"@drfahrettinkoca Adams With CIGAHTLES NOT DURING THE CIGURS?")</f>
        <v>@drfahrettinkoca Adams With CIGAHTLES NOT DURING THE CIGURS?</v>
      </c>
    </row>
    <row r="13280" spans="1:5" ht="15" customHeight="1" x14ac:dyDescent="0.2">
      <c r="A13280" s="1" t="s">
        <v>26156</v>
      </c>
      <c r="B13280" s="1">
        <v>10</v>
      </c>
      <c r="C13280" s="3">
        <v>44532.746701388889</v>
      </c>
      <c r="D13280" s="1" t="s">
        <v>26157</v>
      </c>
      <c r="E13280" s="1" t="str">
        <f ca="1">IFERROR(__xludf.DUMMYFUNCTION("GOOGLETRANSLATE(A10079 , ""tr"" , ""en"")"),"@drfahrettinkoca is a year looking forward to the grid Mr. Minister #wealthy")</f>
        <v>@drfahrettinkoca is a year looking forward to the grid Mr. Minister #wealthy</v>
      </c>
    </row>
    <row r="13281" spans="1:5" ht="15" customHeight="1" x14ac:dyDescent="0.2">
      <c r="A13281" s="1" t="s">
        <v>26158</v>
      </c>
      <c r="B13281" s="1">
        <v>0</v>
      </c>
      <c r="C13281" s="3">
        <v>44532.746481481481</v>
      </c>
      <c r="D13281" s="1" t="s">
        <v>26159</v>
      </c>
      <c r="E13281" s="1" t="str">
        <f ca="1">IFERROR(__xludf.DUMMYFUNCTION("GOOGLETRANSLATE(A10080 , ""tr"" , ""en"")"),"@drfahrettinka Mr. Ministry of Mr. The ASI onmed to spread the opposite to the opposite spread, do not have the variant on behalf of it ... https://t.co/rlbsv9jaqx")</f>
        <v>@drfahrettinka Mr. Ministry of Mr. The ASI onmed to spread the opposite to the opposite spread, do not have the variant on behalf of it ... https://t.co/rlbsv9jaqx</v>
      </c>
    </row>
    <row r="13282" spans="1:5" ht="15" customHeight="1" x14ac:dyDescent="0.2">
      <c r="A13282" s="1" t="s">
        <v>26160</v>
      </c>
      <c r="B13282" s="1">
        <v>0</v>
      </c>
      <c r="C13282" s="3">
        <v>44532.746192129627</v>
      </c>
      <c r="D13282" s="1" t="s">
        <v>26161</v>
      </c>
      <c r="E13282" s="1" t="str">
        <f ca="1">IFERROR(__xludf.DUMMYFUNCTION("GOOGLETRANSLATE(A10081 , ""tr"" , ""en"")"),"@drfahrettinkoca for assignment I'm looking forward to a clear date. Do not make more mags.")</f>
        <v>@drfahrettinkoca for assignment I'm looking forward to a clear date. Do not make more mags.</v>
      </c>
    </row>
    <row r="13283" spans="1:5" ht="15" customHeight="1" x14ac:dyDescent="0.2">
      <c r="A13283" s="1" t="s">
        <v>26162</v>
      </c>
      <c r="B13283" s="1">
        <v>0</v>
      </c>
      <c r="C13283" s="3">
        <v>44532.74590277778</v>
      </c>
      <c r="D13283" s="1" t="s">
        <v>26163</v>
      </c>
      <c r="E13283" s="1" t="str">
        <f ca="1">IFERROR(__xludf.DUMMYFUNCTION("GOOGLETRANSLATE(A10082 , ""tr"" , ""en"")"),"@drfahrettinka vaccine how healthy")</f>
        <v>@drfahrettinka vaccine how healthy</v>
      </c>
    </row>
    <row r="13284" spans="1:5" ht="15" customHeight="1" x14ac:dyDescent="0.2">
      <c r="A13284" s="1" t="s">
        <v>26164</v>
      </c>
      <c r="B13284" s="1">
        <v>1</v>
      </c>
      <c r="C13284" s="3">
        <v>44532.745775462965</v>
      </c>
      <c r="D13284" s="1" t="s">
        <v>26165</v>
      </c>
      <c r="E13284" s="1" t="str">
        <f ca="1">IFERROR(__xludf.DUMMYFUNCTION("GOOGLETRANSLATE(A10083 , ""tr"" , ""en"")"),"@drfahrettinkoca life energy went. We're like weed. 3. Open our vaccine, let's be a healthy weed if not.")</f>
        <v>@drfahrettinkoca life energy went. We're like weed. 3. Open our vaccine, let's be a healthy weed if not.</v>
      </c>
    </row>
    <row r="13285" spans="1:5" ht="15" customHeight="1" x14ac:dyDescent="0.2">
      <c r="A13285" s="1" t="s">
        <v>26166</v>
      </c>
      <c r="B13285" s="1">
        <v>0</v>
      </c>
      <c r="C13285" s="3">
        <v>44532.745763888888</v>
      </c>
      <c r="D13285" s="1" t="s">
        <v>26167</v>
      </c>
      <c r="E13285" s="1" t="str">
        <f ca="1">IFERROR(__xludf.DUMMYFUNCTION("GOOGLETRANSLATE(A10084 , ""tr"" , ""en"")"),"@drfahrettinkoca @ Borsafinans34 Native vaccine in what case is minister. . CAN'T VOLUNTED .. Citizen does not trust domestic vaccines ..?")</f>
        <v>@drfahrettinkoca @ Borsafinans34 Native vaccine in what case is minister. . CAN'T VOLUNTED .. Citizen does not trust domestic vaccines ..?</v>
      </c>
    </row>
    <row r="13286" spans="1:5" ht="15" customHeight="1" x14ac:dyDescent="0.2">
      <c r="A13286" s="1" t="s">
        <v>26168</v>
      </c>
      <c r="B13286" s="1">
        <v>0</v>
      </c>
      <c r="C13286" s="3">
        <v>44532.745451388888</v>
      </c>
      <c r="D13286" s="1" t="s">
        <v>26169</v>
      </c>
      <c r="E13286" s="1" t="str">
        <f ca="1">IFERROR(__xludf.DUMMYFUNCTION("GOOGLETRANSLATE(A10085 , ""tr"" , ""en"")"),"@drfahrettinkoca Overlooking Bey Enough Now we don't want to die enough We don't want to die water measures It is not with single mask and distance")</f>
        <v>@drfahrettinkoca Overlooking Bey Enough Now we don't want to die enough We don't want to die water measures It is not with single mask and distance</v>
      </c>
    </row>
    <row r="13287" spans="1:5" ht="15" customHeight="1" x14ac:dyDescent="0.2">
      <c r="A13287" s="1" t="s">
        <v>26170</v>
      </c>
      <c r="B13287" s="1">
        <v>1</v>
      </c>
      <c r="C13287" s="3">
        <v>44532.745416666665</v>
      </c>
      <c r="D13287" s="1" t="s">
        <v>26171</v>
      </c>
      <c r="E13287" s="1" t="str">
        <f ca="1">IFERROR(__xludf.DUMMYFUNCTION("GOOGLETRANSLATE(A10086 , ""tr"" , ""en"")"),"@drfahrettinkoca Did you get permission to this Twit? Is there permission?")</f>
        <v>@drfahrettinkoca Did you get permission to this Twit? Is there permission?</v>
      </c>
    </row>
    <row r="13288" spans="1:5" ht="15" customHeight="1" x14ac:dyDescent="0.2">
      <c r="A13288" s="1" t="s">
        <v>26172</v>
      </c>
      <c r="B13288" s="1">
        <v>0</v>
      </c>
      <c r="C13288" s="3">
        <v>44532.745173611111</v>
      </c>
      <c r="D13288" s="1" t="s">
        <v>26173</v>
      </c>
      <c r="E13288" s="1" t="str">
        <f ca="1">IFERROR(__xludf.DUMMYFUNCTION("GOOGLETRANSLATE(A10087 , ""tr"" , ""en"")"),"@drfahrettinka https://t.co/1oibpuro2a")</f>
        <v>@drfahrettinka https://t.co/1oibpuro2a</v>
      </c>
    </row>
    <row r="13289" spans="1:5" ht="15" customHeight="1" x14ac:dyDescent="0.2">
      <c r="A13289" s="1" t="s">
        <v>26174</v>
      </c>
      <c r="B13289" s="1">
        <v>0</v>
      </c>
      <c r="C13289" s="3">
        <v>44532.745023148149</v>
      </c>
      <c r="D13289" s="1" t="s">
        <v>26175</v>
      </c>
      <c r="E13289" s="1" t="str">
        <f ca="1">IFERROR(__xludf.DUMMYFUNCTION("GOOGLETRANSLATE(A10088 , ""tr"" , ""en"")"),"@drfahrettinka Dear Reisimine when you have written these, Did you ask Mr. Minister")</f>
        <v>@drfahrettinka Dear Reisimine when you have written these, Did you ask Mr. Minister</v>
      </c>
    </row>
    <row r="13290" spans="1:5" ht="15" customHeight="1" x14ac:dyDescent="0.2">
      <c r="A13290" s="1" t="s">
        <v>26176</v>
      </c>
      <c r="B13290" s="1">
        <v>3</v>
      </c>
      <c r="C13290" s="3">
        <v>44532.744780092595</v>
      </c>
      <c r="D13290" s="1" t="s">
        <v>26177</v>
      </c>
      <c r="E13290" s="1" t="str">
        <f ca="1">IFERROR(__xludf.DUMMYFUNCTION("GOOGLETRANSLATE(A10089 , ""tr"" , ""en"")"),"@drfahrettinkoca fahrictin people in vaccine killing a bit of a little wait As for the day it's going to die already")</f>
        <v>@drfahrettinkoca fahrictin people in vaccine killing a bit of a little wait As for the day it's going to die already</v>
      </c>
    </row>
    <row r="13291" spans="1:5" ht="15" customHeight="1" x14ac:dyDescent="0.2">
      <c r="A13291" s="1" t="s">
        <v>26178</v>
      </c>
      <c r="B13291" s="1">
        <v>7</v>
      </c>
      <c r="C13291" s="3">
        <v>44532.744571759256</v>
      </c>
      <c r="D13291" s="1" t="s">
        <v>26179</v>
      </c>
      <c r="E13291" s="1" t="str">
        <f ca="1">IFERROR(__xludf.DUMMYFUNCTION("GOOGLETRANSLATE(A10090 , ""tr"" , ""en"")"),"@drfahrettinkoca dus Aciklansin dentists waiting for the court results")</f>
        <v>@drfahrettinkoca dus Aciklansin dentists waiting for the court results</v>
      </c>
    </row>
    <row r="13292" spans="1:5" ht="15" customHeight="1" x14ac:dyDescent="0.2">
      <c r="A13292" s="1" t="s">
        <v>26180</v>
      </c>
      <c r="B13292" s="1">
        <v>0</v>
      </c>
      <c r="C13292" s="3">
        <v>44532.74454861111</v>
      </c>
      <c r="D13292" s="1" t="s">
        <v>26181</v>
      </c>
      <c r="E13292" s="1" t="str">
        <f ca="1">IFERROR(__xludf.DUMMYFUNCTION("GOOGLETRANSLATE(A10091 , ""tr"" , ""en"")"),"@drfahrettinkoca This tweet is that you have passed the President of the President. Then you don't eat brush.")</f>
        <v>@drfahrettinkoca This tweet is that you have passed the President of the President. Then you don't eat brush.</v>
      </c>
    </row>
    <row r="13293" spans="1:5" ht="15" customHeight="1" x14ac:dyDescent="0.2">
      <c r="A13293" s="1" t="s">
        <v>26182</v>
      </c>
      <c r="B13293" s="1">
        <v>22</v>
      </c>
      <c r="C13293" s="3">
        <v>44532.744212962964</v>
      </c>
      <c r="D13293" s="1" t="s">
        <v>26183</v>
      </c>
      <c r="E13293" s="1" t="str">
        <f ca="1">IFERROR(__xludf.DUMMYFUNCTION("GOOGLETRANSLATE(A10092 , ""tr"" , ""en"")"),"Let's not forget @drfahrettinkoca! https://t.co/zkcax72efw")</f>
        <v>Let's not forget @drfahrettinkoca! https://t.co/zkcax72efw</v>
      </c>
    </row>
    <row r="13294" spans="1:5" ht="15" customHeight="1" x14ac:dyDescent="0.2">
      <c r="A13294" s="1" t="s">
        <v>26184</v>
      </c>
      <c r="B13294" s="1">
        <v>8</v>
      </c>
      <c r="C13294" s="3">
        <v>44532.744062500002</v>
      </c>
      <c r="D13294" s="1" t="s">
        <v>26185</v>
      </c>
      <c r="E13294" s="1" t="str">
        <f ca="1">IFERROR(__xludf.DUMMYFUNCTION("GOOGLETRANSLATE(A10093 , ""tr"" , ""en"")"),"@drfahrettinkoca Healthier Greve Greve Going #wealthy")</f>
        <v>@drfahrettinkoca Healthier Greve Greve Going #wealthy</v>
      </c>
    </row>
    <row r="13295" spans="1:5" ht="15" customHeight="1" x14ac:dyDescent="0.2">
      <c r="A13295" s="1" t="s">
        <v>18171</v>
      </c>
      <c r="B13295" s="1">
        <v>0</v>
      </c>
      <c r="C13295" s="3">
        <v>44532.74391203704</v>
      </c>
      <c r="D13295" s="1" t="s">
        <v>26186</v>
      </c>
      <c r="E13295" s="1" t="str">
        <f ca="1">IFERROR(__xludf.DUMMYFUNCTION("GOOGLETRANSLATE(A10094 , ""tr"" , ""en"")"),"@drfahrettinkoca Guide")</f>
        <v>@drfahrettinkoca Guide</v>
      </c>
    </row>
    <row r="13296" spans="1:5" ht="15" customHeight="1" x14ac:dyDescent="0.2">
      <c r="A13296" s="1" t="s">
        <v>26187</v>
      </c>
      <c r="B13296" s="1">
        <v>0</v>
      </c>
      <c r="C13296" s="3">
        <v>44532.743877314817</v>
      </c>
      <c r="D13296" s="1" t="s">
        <v>26188</v>
      </c>
      <c r="E13296" s="1" t="str">
        <f ca="1">IFERROR(__xludf.DUMMYFUNCTION("GOOGLETRANSLATE(A10095 , ""tr"" , ""en"")"),"@drfahrettinkoca I don't believe")</f>
        <v>@drfahrettinkoca I don't believe</v>
      </c>
    </row>
    <row r="13297" spans="1:5" ht="15" customHeight="1" x14ac:dyDescent="0.2">
      <c r="A13297" s="1" t="s">
        <v>26189</v>
      </c>
      <c r="B13297" s="1">
        <v>1</v>
      </c>
      <c r="C13297" s="3">
        <v>44532.743796296294</v>
      </c>
      <c r="D13297" s="1" t="s">
        <v>26190</v>
      </c>
      <c r="E13297" s="1" t="str">
        <f ca="1">IFERROR(__xludf.DUMMYFUNCTION("GOOGLETRANSLATE(A10096 , ""tr"" , ""en"")"),"@drfahrettinkoca what you told you come here.")</f>
        <v>@drfahrettinkoca what you told you come here.</v>
      </c>
    </row>
    <row r="13298" spans="1:5" ht="15" customHeight="1" x14ac:dyDescent="0.2">
      <c r="A13298" s="1" t="s">
        <v>26191</v>
      </c>
      <c r="B13298" s="1">
        <v>0</v>
      </c>
      <c r="C13298" s="3">
        <v>44532.743518518517</v>
      </c>
      <c r="D13298" s="1" t="s">
        <v>26192</v>
      </c>
      <c r="E13298" s="1" t="str">
        <f ca="1">IFERROR(__xludf.DUMMYFUNCTION("GOOGLETRANSLATE(A10097 , ""tr"" , ""en"")"),"@drfahrettinkoca We require distance education !!!")</f>
        <v>@drfahrettinkoca We require distance education !!!</v>
      </c>
    </row>
    <row r="13299" spans="1:5" ht="15" customHeight="1" x14ac:dyDescent="0.2">
      <c r="A13299" s="1" t="s">
        <v>26193</v>
      </c>
      <c r="B13299" s="1">
        <v>13</v>
      </c>
      <c r="C13299" s="3">
        <v>44532.743391203701</v>
      </c>
      <c r="D13299" s="1" t="s">
        <v>26194</v>
      </c>
      <c r="E13299" s="1" t="str">
        <f ca="1">IFERROR(__xludf.DUMMYFUNCTION("GOOGLETRANSLATE(A10098 , ""tr"" , ""en"")"),"@drfahrettinka forcefully, with pressure, blackmail vaccine to value the quality of life 🤦♂️")</f>
        <v>@drfahrettinka forcefully, with pressure, blackmail vaccine to value the quality of life 🤦♂️</v>
      </c>
    </row>
    <row r="13300" spans="1:5" ht="15" customHeight="1" x14ac:dyDescent="0.2">
      <c r="A13300" s="1" t="s">
        <v>26195</v>
      </c>
      <c r="B13300" s="1">
        <v>4</v>
      </c>
      <c r="C13300" s="3">
        <v>44532.743055555555</v>
      </c>
      <c r="D13300" s="1" t="s">
        <v>26196</v>
      </c>
      <c r="E13300" s="1" t="str">
        <f ca="1">IFERROR(__xludf.DUMMYFUNCTION("GOOGLETRANSLATE(A10099 , ""tr"" , ""en"")"),"@drfahrettinkoca 3. Do you open our biontech vaccine? I'm a teacher. I don't want to die.")</f>
        <v>@drfahrettinkoca 3. Do you open our biontech vaccine? I'm a teacher. I don't want to die.</v>
      </c>
    </row>
    <row r="13301" spans="1:5" ht="15" customHeight="1" x14ac:dyDescent="0.2">
      <c r="A13301" s="1" t="s">
        <v>26197</v>
      </c>
      <c r="B13301" s="1">
        <v>58</v>
      </c>
      <c r="C13301" s="3">
        <v>44532.74291666667</v>
      </c>
      <c r="D13301" s="1" t="s">
        <v>26198</v>
      </c>
      <c r="E13301" s="1" t="str">
        <f ca="1">IFERROR(__xludf.DUMMYFUNCTION("GOOGLETRANSLATE(A10100 , ""tr"" , ""en"")"),"@drfahrettinkoca sn facing, you say ""partly flexi flexible"" of measures with the presentation of the vaccine, but too much in society ... https://t.co/duvnraxx20")</f>
        <v>@drfahrettinkoca sn facing, you say "partly flexi flexible" of measures with the presentation of the vaccine, but too much in society ... https://t.co/duvnraxx20</v>
      </c>
    </row>
    <row r="13302" spans="1:5" ht="15" customHeight="1" x14ac:dyDescent="0.2">
      <c r="A13302" s="1" t="s">
        <v>26199</v>
      </c>
      <c r="B13302" s="1">
        <v>1</v>
      </c>
      <c r="C13302" s="3">
        <v>44532.742685185185</v>
      </c>
      <c r="D13302" s="1" t="s">
        <v>26200</v>
      </c>
      <c r="E13302" s="1" t="str">
        <f ca="1">IFERROR(__xludf.DUMMYFUNCTION("GOOGLETRANSLATE(A10101 , ""tr"" , ""en"")"),"Read @drfahrettinkoca Read the Ministry of Illness! .. https://t.co/dn1bmp7yaa")</f>
        <v>Read @drfahrettinkoca Read the Ministry of Illness! .. https://t.co/dn1bmp7yaa</v>
      </c>
    </row>
    <row r="13303" spans="1:5" ht="15" customHeight="1" x14ac:dyDescent="0.2">
      <c r="A13303" s="1" t="s">
        <v>26201</v>
      </c>
      <c r="B13303" s="1">
        <v>20</v>
      </c>
      <c r="C13303" s="3">
        <v>44532.742581018516</v>
      </c>
      <c r="D13303" s="1" t="s">
        <v>26202</v>
      </c>
      <c r="E13303" s="1" t="str">
        <f ca="1">IFERROR(__xludf.DUMMYFUNCTION("GOOGLETRANSLATE(A10102 , ""tr"" , ""en"")"),"@drfahrettinka 5-11 age vaccine right? 3. Dose vaccines ???")</f>
        <v>@drfahrettinka 5-11 age vaccine right? 3. Dose vaccines ???</v>
      </c>
    </row>
    <row r="13304" spans="1:5" ht="15" customHeight="1" x14ac:dyDescent="0.2">
      <c r="A13304" s="1" t="s">
        <v>26203</v>
      </c>
      <c r="B13304" s="1">
        <v>7</v>
      </c>
      <c r="C13304" s="3">
        <v>44532.74255787037</v>
      </c>
      <c r="D13304" s="1" t="s">
        <v>26204</v>
      </c>
      <c r="E13304" s="1" t="str">
        <f ca="1">IFERROR(__xludf.DUMMYFUNCTION("GOOGLETRANSLATE(A10103 , ""tr"" , ""en"")"),"@drfahrettinkoca Whom you are avuting Number Minister Nation Do not teasing the nation Missing the Hicbir No Effect of Malesef New V ... https://t.co/1sf3huydc3")</f>
        <v>@drfahrettinkoca Whom you are avuting Number Minister Nation Do not teasing the nation Missing the Hicbir No Effect of Malesef New V ... https://t.co/1sf3huydc3</v>
      </c>
    </row>
    <row r="13305" spans="1:5" ht="15" customHeight="1" x14ac:dyDescent="0.2">
      <c r="A13305" s="1" t="s">
        <v>26205</v>
      </c>
      <c r="B13305" s="1">
        <v>0</v>
      </c>
      <c r="C13305" s="3">
        <v>44532.742476851854</v>
      </c>
      <c r="D13305" s="1" t="s">
        <v>26206</v>
      </c>
      <c r="E13305" s="1" t="str">
        <f ca="1">IFERROR(__xludf.DUMMYFUNCTION("GOOGLETRANSLATE(A10104 , ""tr"" , ""en"")"),"@drfahrettinkoca you lie you lies")</f>
        <v>@drfahrettinkoca you lie you lies</v>
      </c>
    </row>
    <row r="13306" spans="1:5" ht="15" customHeight="1" x14ac:dyDescent="0.2">
      <c r="A13306" s="1" t="s">
        <v>26207</v>
      </c>
      <c r="B13306" s="1">
        <v>0</v>
      </c>
      <c r="C13306" s="3">
        <v>44532.742280092592</v>
      </c>
      <c r="D13306" s="1" t="s">
        <v>26208</v>
      </c>
      <c r="E13306" s="1" t="str">
        <f ca="1">IFERROR(__xludf.DUMMYFUNCTION("GOOGLETRANSLATE(A10105 , ""tr"" , ""en"")"),"@drfahrettinkoca Tighten your tooth relaxes as a virus without entering 2022 years.")</f>
        <v>@drfahrettinkoca Tighten your tooth relaxes as a virus without entering 2022 years.</v>
      </c>
    </row>
    <row r="13307" spans="1:5" ht="15" customHeight="1" x14ac:dyDescent="0.2">
      <c r="A13307" s="1" t="s">
        <v>26209</v>
      </c>
      <c r="B13307" s="1">
        <v>0</v>
      </c>
      <c r="C13307" s="3">
        <v>44532.7421875</v>
      </c>
      <c r="D13307" s="1" t="s">
        <v>26210</v>
      </c>
      <c r="E13307" s="1" t="str">
        <f ca="1">IFERROR(__xludf.DUMMYFUNCTION("GOOGLETRANSLATE(A10106 , ""tr"" , ""en"")"),"@drfahrettinkoca not your fake epidemic that changes life")</f>
        <v>@drfahrettinkoca not your fake epidemic that changes life</v>
      </c>
    </row>
    <row r="13308" spans="1:5" ht="15" customHeight="1" x14ac:dyDescent="0.2">
      <c r="A13308" s="1" t="s">
        <v>26211</v>
      </c>
      <c r="B13308" s="1">
        <v>87</v>
      </c>
      <c r="C13308" s="3">
        <v>44532.742175925923</v>
      </c>
      <c r="D13308" s="1" t="s">
        <v>26212</v>
      </c>
      <c r="E13308" s="1" t="str">
        <f ca="1">IFERROR(__xludf.DUMMYFUNCTION("GOOGLETRANSLATE(A10107 , ""tr"" , ""en"")"),"@drfahrettinka New Variant (Omicron) You'd better take it seriously and measure like the whole world! For example, start from schools ... https://t.co/ltdojq8mfi")</f>
        <v>@drfahrettinka New Variant (Omicron) You'd better take it seriously and measure like the whole world! For example, start from schools ... https://t.co/ltdojq8mfi</v>
      </c>
    </row>
    <row r="13309" spans="1:5" ht="15" customHeight="1" x14ac:dyDescent="0.2">
      <c r="A13309" s="1" t="s">
        <v>26213</v>
      </c>
      <c r="B13309" s="1">
        <v>0</v>
      </c>
      <c r="C13309" s="3">
        <v>44532.742048611108</v>
      </c>
      <c r="D13309" s="1" t="s">
        <v>26214</v>
      </c>
      <c r="E13309" s="1" t="str">
        <f ca="1">IFERROR(__xludf.DUMMYFUNCTION("GOOGLETRANSLATE(A10108 , ""tr"" , ""en"")"),"@drfahrettinkoca pity you have appeeded in front of all society with non-physicians who have doctors? Your Doctor's Ministry? Ken ... https://t.co/nt8r05jzrw")</f>
        <v>@drfahrettinkoca pity you have appeeded in front of all society with non-physicians who have doctors? Your Doctor's Ministry? Ken ... https://t.co/nt8r05jzrw</v>
      </c>
    </row>
    <row r="13310" spans="1:5" ht="15" customHeight="1" x14ac:dyDescent="0.2">
      <c r="A13310" s="1" t="s">
        <v>26215</v>
      </c>
      <c r="B13310" s="1">
        <v>329</v>
      </c>
      <c r="C13310" s="3">
        <v>44532.741944444446</v>
      </c>
      <c r="D13310" s="1" t="s">
        <v>26216</v>
      </c>
      <c r="E13310" s="1" t="str">
        <f ca="1">IFERROR(__xludf.DUMMYFUNCTION("GOOGLETRANSLATE(A10109 , ""tr"" , ""en"")"),"@drfahrettinkoca people were thrown from your job because of your A $ I raid. The tradesman sank with closures. Full Biat to DSO ... https://t.co/02RM46PBWI")</f>
        <v>@drfahrettinkoca people were thrown from your job because of your A $ I raid. The tradesman sank with closures. Full Biat to DSO ... https://t.co/02RM46PBWI</v>
      </c>
    </row>
    <row r="13311" spans="1:5" ht="15" customHeight="1" x14ac:dyDescent="0.2">
      <c r="A13311" s="1" t="s">
        <v>26217</v>
      </c>
      <c r="B13311" s="1">
        <v>0</v>
      </c>
      <c r="C13311" s="3">
        <v>44532.741689814815</v>
      </c>
      <c r="D13311" s="1" t="s">
        <v>26218</v>
      </c>
      <c r="E13311" s="1" t="str">
        <f ca="1">IFERROR(__xludf.DUMMYFUNCTION("GOOGLETRANSLATE(A10110 , ""tr"" , ""en"")"),"@drfahrettinkoca test by 10 percent pattern 35 thousand percent in the quice. EE is the first time in 2 percent and either ... https://t.co/1jv5e1wjkn")</f>
        <v>@drfahrettinkoca test by 10 percent pattern 35 thousand percent in the quice. EE is the first time in 2 percent and either ... https://t.co/1jv5e1wjkn</v>
      </c>
    </row>
    <row r="13312" spans="1:5" ht="15" customHeight="1" x14ac:dyDescent="0.2">
      <c r="A13312" s="1" t="s">
        <v>26219</v>
      </c>
      <c r="B13312" s="1">
        <v>20</v>
      </c>
      <c r="C13312" s="3">
        <v>44532.741666666669</v>
      </c>
      <c r="D13312" s="1" t="s">
        <v>26220</v>
      </c>
      <c r="E13312" s="1" t="str">
        <f ca="1">IFERROR(__xludf.DUMMYFUNCTION("GOOGLETRANSLATE(A10111 , ""tr"" , ""en"")"),"@drfahrettinka you no longer want to organize this new education now. Enough if I save my dear. 3. ... https://t.co/op12gmmqqf")</f>
        <v>@drfahrettinka you no longer want to organize this new education now. Enough if I save my dear. 3. ... https://t.co/op12gmmqqf</v>
      </c>
    </row>
    <row r="13313" spans="1:5" ht="15" customHeight="1" x14ac:dyDescent="0.2">
      <c r="A13313" s="1" t="s">
        <v>26221</v>
      </c>
      <c r="B13313" s="1">
        <v>0</v>
      </c>
      <c r="C13313" s="3">
        <v>44532.741666666669</v>
      </c>
      <c r="D13313" s="1" t="s">
        <v>26222</v>
      </c>
      <c r="E13313" s="1" t="str">
        <f ca="1">IFERROR(__xludf.DUMMYFUNCTION("GOOGLETRANSLATE(A10112 , ""tr"" , ""en"")"),"@drfahrettinkoca I don't believe in your any word")</f>
        <v>@drfahrettinkoca I don't believe in your any word</v>
      </c>
    </row>
    <row r="13314" spans="1:5" ht="15" customHeight="1" x14ac:dyDescent="0.2">
      <c r="A13314" s="1" t="s">
        <v>26223</v>
      </c>
      <c r="B13314" s="1">
        <v>2</v>
      </c>
      <c r="C13314" s="3">
        <v>44532.741631944446</v>
      </c>
      <c r="D13314" s="1" t="s">
        <v>26224</v>
      </c>
      <c r="E13314" s="1" t="str">
        <f ca="1">IFERROR(__xludf.DUMMYFUNCTION("GOOGLETRANSLATE(A10113 , ""tr"" , ""en"")"),"@drfahrettinkoca You have changed our lives Mr. Ministry (+20 years while waiting for guide)")</f>
        <v>@drfahrettinkoca You have changed our lives Mr. Ministry (+20 years while waiting for guide)</v>
      </c>
    </row>
    <row r="13315" spans="1:5" ht="15" customHeight="1" x14ac:dyDescent="0.2">
      <c r="A13315" s="1" t="s">
        <v>26225</v>
      </c>
      <c r="B13315" s="1">
        <v>0</v>
      </c>
      <c r="C13315" s="3">
        <v>44532.741597222222</v>
      </c>
      <c r="D13315" s="1" t="s">
        <v>26226</v>
      </c>
      <c r="E13315" s="1" t="str">
        <f ca="1">IFERROR(__xludf.DUMMYFUNCTION("GOOGLETRANSLATE(A10114 , ""tr"" , ""en"")"),"Explain the @drfahrettinkoca assignment manuscript anymore Dear Minister What are you officially with the assignment that you are officially 1 year passed @drfahrettinkcoca")</f>
        <v>Explain the @drfahrettinkoca assignment manuscript anymore Dear Minister What are you officially with the assignment that you are officially 1 year passed @drfahrettinkcoca</v>
      </c>
    </row>
    <row r="13316" spans="1:5" ht="15" customHeight="1" x14ac:dyDescent="0.2">
      <c r="A13316" s="1" t="s">
        <v>26227</v>
      </c>
      <c r="B13316" s="1">
        <v>0</v>
      </c>
      <c r="C13316" s="3">
        <v>44532.741585648146</v>
      </c>
      <c r="D13316" s="1" t="s">
        <v>26228</v>
      </c>
      <c r="E13316" s="1" t="str">
        <f ca="1">IFERROR(__xludf.DUMMYFUNCTION("GOOGLETRANSLATE(A10115 , ""tr"" , ""en"")"),"@drfahrettinkoca epidemic When changing life, you also have been in the history of the Minister that changes the life of Saglikcilar. Congratulations.")</f>
        <v>@drfahrettinkoca epidemic When changing life, you also have been in the history of the Minister that changes the life of Saglikcilar. Congratulations.</v>
      </c>
    </row>
    <row r="13317" spans="1:5" ht="15" customHeight="1" x14ac:dyDescent="0.2">
      <c r="A13317" s="1" t="s">
        <v>26229</v>
      </c>
      <c r="B13317" s="1">
        <v>2</v>
      </c>
      <c r="C13317" s="3">
        <v>44532.741550925923</v>
      </c>
      <c r="D13317" s="1" t="s">
        <v>26230</v>
      </c>
      <c r="E13317" s="1" t="str">
        <f ca="1">IFERROR(__xludf.DUMMYFUNCTION("GOOGLETRANSLATE(A10116 , ""tr"" , ""en"")"),"@drfahrettinka oyyy i was also waiting for that late ttk minister")</f>
        <v>@drfahrettinka oyyy i was also waiting for that late ttk minister</v>
      </c>
    </row>
    <row r="13318" spans="1:5" ht="15" customHeight="1" x14ac:dyDescent="0.2">
      <c r="A13318" s="1" t="s">
        <v>26231</v>
      </c>
      <c r="B13318" s="1">
        <v>8</v>
      </c>
      <c r="C13318" s="3">
        <v>44532.741493055553</v>
      </c>
      <c r="D13318" s="1" t="s">
        <v>26232</v>
      </c>
      <c r="E13318" s="1" t="str">
        <f ca="1">IFERROR(__xludf.DUMMYFUNCTION("GOOGLETRANSLATE(A10117 , ""tr"" , ""en"")"),"@drfahrettinkoca you could only give that vaccine to those who have given the vaccine.")</f>
        <v>@drfahrettinkoca you could only give that vaccine to those who have given the vaccine.</v>
      </c>
    </row>
    <row r="13319" spans="1:5" ht="15" customHeight="1" x14ac:dyDescent="0.2">
      <c r="A13319" s="1" t="s">
        <v>26233</v>
      </c>
      <c r="B13319" s="1">
        <v>0</v>
      </c>
      <c r="C13319" s="3">
        <v>44532.741354166668</v>
      </c>
      <c r="D13319" s="1" t="s">
        <v>26234</v>
      </c>
      <c r="E13319" s="1" t="str">
        <f ca="1">IFERROR(__xludf.DUMMYFUNCTION("GOOGLETRANSLATE(A10118 , ""tr"" , ""en"")"),"@drfahrettinkoca is not fantasy written by writing pedestalies to the Public Sagligi and Siirsel Cuffs in Kids.")</f>
        <v>@drfahrettinkoca is not fantasy written by writing pedestalies to the Public Sagligi and Siirsel Cuffs in Kids.</v>
      </c>
    </row>
    <row r="13320" spans="1:5" ht="15" customHeight="1" x14ac:dyDescent="0.2">
      <c r="A13320" s="1" t="s">
        <v>26235</v>
      </c>
      <c r="B13320" s="1">
        <v>0</v>
      </c>
      <c r="C13320" s="3">
        <v>44532.741261574076</v>
      </c>
      <c r="D13320" s="1" t="s">
        <v>26236</v>
      </c>
      <c r="E13320" s="1" t="str">
        <f ca="1">IFERROR(__xludf.DUMMYFUNCTION("GOOGLETRANSLATE(A10119 , ""tr"" , ""en"")"),"@drfahrettinkoca We can't make an appointment from hospitals Göztepe Suleyman Yalcin Hospital Private Assistant Faruk Mature ... https://t.co/zvdnvydkqp")</f>
        <v>@drfahrettinkoca We can't make an appointment from hospitals Göztepe Suleyman Yalcin Hospital Private Assistant Faruk Mature ... https://t.co/zvdnvydkqp</v>
      </c>
    </row>
    <row r="13321" spans="1:5" ht="15" customHeight="1" x14ac:dyDescent="0.2">
      <c r="A13321" s="1" t="s">
        <v>26237</v>
      </c>
      <c r="B13321" s="1">
        <v>0</v>
      </c>
      <c r="C13321" s="3">
        <v>44532.741249999999</v>
      </c>
      <c r="D13321" s="1" t="s">
        <v>26238</v>
      </c>
      <c r="E13321" s="1" t="str">
        <f ca="1">IFERROR(__xludf.DUMMYFUNCTION("GOOGLETRANSLATE(A10120 , ""tr"" , ""en"")"),"@drfahrettinkoca Dear husband, did you say really to Erdogan yesterday I didn't let me talk?")</f>
        <v>@drfahrettinkoca Dear husband, did you say really to Erdogan yesterday I didn't let me talk?</v>
      </c>
    </row>
    <row r="13322" spans="1:5" ht="15" customHeight="1" x14ac:dyDescent="0.2">
      <c r="A13322" s="1" t="s">
        <v>26239</v>
      </c>
      <c r="B13322" s="1">
        <v>0</v>
      </c>
      <c r="C13322" s="3">
        <v>44532.741215277776</v>
      </c>
      <c r="D13322" s="1" t="s">
        <v>26240</v>
      </c>
      <c r="E13322" s="1" t="str">
        <f ca="1">IFERROR(__xludf.DUMMYFUNCTION("GOOGLETRANSLATE(A10121 , ""tr"" , ""en"")"),"@drfahrettinkoca omicron Do you have Mr. Minister")</f>
        <v>@drfahrettinkoca omicron Do you have Mr. Minister</v>
      </c>
    </row>
    <row r="13323" spans="1:5" ht="15" customHeight="1" x14ac:dyDescent="0.2">
      <c r="A13323" s="1" t="s">
        <v>26241</v>
      </c>
      <c r="B13323" s="1">
        <v>0</v>
      </c>
      <c r="C13323" s="3">
        <v>44532.741064814814</v>
      </c>
      <c r="D13323" s="1" t="s">
        <v>26242</v>
      </c>
      <c r="E13323" s="1" t="str">
        <f ca="1">IFERROR(__xludf.DUMMYFUNCTION("GOOGLETRANSLATE(A10122 , ""tr"" , ""en"")"),"@drfahrettinkoca sn facing tales are telling these stories nobody's listenyo")</f>
        <v>@drfahrettinkoca sn facing tales are telling these stories nobody's listenyo</v>
      </c>
    </row>
    <row r="13324" spans="1:5" ht="15" customHeight="1" x14ac:dyDescent="0.2">
      <c r="A13324" s="1" t="s">
        <v>26243</v>
      </c>
      <c r="B13324" s="1">
        <v>2</v>
      </c>
      <c r="C13324" s="3">
        <v>44532.740960648145</v>
      </c>
      <c r="D13324" s="1" t="s">
        <v>26244</v>
      </c>
      <c r="E13324" s="1" t="str">
        <f ca="1">IFERROR(__xludf.DUMMYFUNCTION("GOOGLETRANSLATE(A10123 , ""tr"" , ""en"")"),"@drfahrettinkoca table is primarily in my opinion because the winter is coming because the winter arrived ... 21 thousand cases impossible ... https://t.co/gmc6oqyocg")</f>
        <v>@drfahrettinkoca table is primarily in my opinion because the winter is coming because the winter arrived ... 21 thousand cases impossible ... https://t.co/gmc6oqyocg</v>
      </c>
    </row>
    <row r="13325" spans="1:5" ht="15" customHeight="1" x14ac:dyDescent="0.2">
      <c r="A13325" s="1" t="s">
        <v>26245</v>
      </c>
      <c r="B13325" s="1">
        <v>4</v>
      </c>
      <c r="C13325" s="3">
        <v>44532.74077546296</v>
      </c>
      <c r="D13325" s="1" t="s">
        <v>26246</v>
      </c>
      <c r="E13325" s="1" t="str">
        <f ca="1">IFERROR(__xludf.DUMMYFUNCTION("GOOGLETRANSLATE(A10124 , ""tr"" , ""en"")"),"@drfahrettinkoca 3. Dose open our biontech vaccine. I don't want anything else but also.")</f>
        <v>@drfahrettinkoca 3. Dose open our biontech vaccine. I don't want anything else but also.</v>
      </c>
    </row>
    <row r="13326" spans="1:5" ht="15" customHeight="1" x14ac:dyDescent="0.2">
      <c r="A13326" s="1" t="s">
        <v>26247</v>
      </c>
      <c r="B13326" s="1">
        <v>2</v>
      </c>
      <c r="C13326" s="3">
        <v>44532.74077546296</v>
      </c>
      <c r="D13326" s="1" t="s">
        <v>26248</v>
      </c>
      <c r="E13326" s="1" t="str">
        <f ca="1">IFERROR(__xludf.DUMMYFUNCTION("GOOGLETRANSLATE(A10125 , ""tr"" , ""en"")"),"@drfahrettinkoca hey pavrum hey has epidemic but the most crowded most hygiene is filthy places schools full time open. Ney Fahrrettin Husband")</f>
        <v>@drfahrettinkoca hey pavrum hey has epidemic but the most crowded most hygiene is filthy places schools full time open. Ney Fahrrettin Husband</v>
      </c>
    </row>
    <row r="13327" spans="1:5" ht="15" customHeight="1" x14ac:dyDescent="0.2">
      <c r="A13327" s="1" t="s">
        <v>26249</v>
      </c>
      <c r="B13327" s="1">
        <v>0</v>
      </c>
      <c r="C13327" s="3">
        <v>44532.740752314814</v>
      </c>
      <c r="D13327" s="1" t="s">
        <v>26250</v>
      </c>
      <c r="E13327" s="1" t="str">
        <f ca="1">IFERROR(__xludf.DUMMYFUNCTION("GOOGLETRANSLATE(A10126 , ""tr"" , ""en"")"),"@drfahrettinkoca guide minister guide")</f>
        <v>@drfahrettinkoca guide minister guide</v>
      </c>
    </row>
    <row r="13328" spans="1:5" ht="15" customHeight="1" x14ac:dyDescent="0.2">
      <c r="A13328" s="1" t="s">
        <v>26251</v>
      </c>
      <c r="B13328" s="1">
        <v>0</v>
      </c>
      <c r="C13328" s="3">
        <v>44532.740694444445</v>
      </c>
      <c r="D13328" s="1" t="s">
        <v>26252</v>
      </c>
      <c r="E13328" s="1" t="str">
        <f ca="1">IFERROR(__xludf.DUMMYFUNCTION("GOOGLETRANSLATE(A10127 , ""tr"" , ""en"")"),"@drfahrettinkoca did not suit")</f>
        <v>@drfahrettinkoca did not suit</v>
      </c>
    </row>
    <row r="13329" spans="1:5" ht="15" customHeight="1" x14ac:dyDescent="0.2">
      <c r="A13329" s="1" t="s">
        <v>26253</v>
      </c>
      <c r="B13329" s="1">
        <v>0</v>
      </c>
      <c r="C13329" s="3">
        <v>44532.740671296298</v>
      </c>
      <c r="D13329" s="1" t="s">
        <v>26254</v>
      </c>
      <c r="E13329" s="1" t="str">
        <f ca="1">IFERROR(__xludf.DUMMYFUNCTION("GOOGLETRANSLATE(A10128 , ""tr"" , ""en"")"),"@drfahrettinka what have you told you! 😅😅😅")</f>
        <v>@drfahrettinka what have you told you! 😅😅😅</v>
      </c>
    </row>
    <row r="13330" spans="1:5" ht="15" customHeight="1" x14ac:dyDescent="0.2">
      <c r="A13330" s="1" t="s">
        <v>26255</v>
      </c>
      <c r="B13330" s="1">
        <v>0</v>
      </c>
      <c r="C13330" s="3">
        <v>44532.740659722222</v>
      </c>
      <c r="D13330" s="1" t="s">
        <v>26256</v>
      </c>
      <c r="E13330" s="1" t="str">
        <f ca="1">IFERROR(__xludf.DUMMYFUNCTION("GOOGLETRANSLATE(A10129 , ""tr"" , ""en"")"),"@drfahrettinka smart virus pongallah")</f>
        <v>@drfahrettinka smart virus pongallah</v>
      </c>
    </row>
    <row r="13331" spans="1:5" ht="15" customHeight="1" x14ac:dyDescent="0.2">
      <c r="A13331" s="1" t="s">
        <v>26257</v>
      </c>
      <c r="B13331" s="1">
        <v>1</v>
      </c>
      <c r="C13331" s="3">
        <v>44532.740474537037</v>
      </c>
      <c r="D13331" s="1" t="s">
        <v>26258</v>
      </c>
      <c r="E13331" s="1" t="str">
        <f ca="1">IFERROR(__xludf.DUMMYFUNCTION("GOOGLETRANSLATE(A10130 , ""tr"" , ""en"")"),"@drfahrettinka have in significant things from the vaccine in life, you have an intervention in this event? https://t.co/renvdfuwfk")</f>
        <v>@drfahrettinka have in significant things from the vaccine in life, you have an intervention in this event? https://t.co/renvdfuwfk</v>
      </c>
    </row>
    <row r="13332" spans="1:5" ht="15" customHeight="1" x14ac:dyDescent="0.2">
      <c r="A13332" s="1" t="s">
        <v>26259</v>
      </c>
      <c r="B13332" s="1">
        <v>11</v>
      </c>
      <c r="C13332" s="3">
        <v>44532.740347222221</v>
      </c>
      <c r="D13332" s="1" t="s">
        <v>26260</v>
      </c>
      <c r="E13332" s="1" t="str">
        <f ca="1">IFERROR(__xludf.DUMMYFUNCTION("GOOGLETRANSLATE(A10131 , ""tr"" , ""en"")"),"@drfahrettinkoca There is no such thing as Virus Everything lying for the vaccine")</f>
        <v>@drfahrettinkoca There is no such thing as Virus Everything lying for the vaccine</v>
      </c>
    </row>
    <row r="13333" spans="1:5" ht="15" customHeight="1" x14ac:dyDescent="0.2">
      <c r="A13333" s="1" t="s">
        <v>26261</v>
      </c>
      <c r="B13333" s="1">
        <v>0</v>
      </c>
      <c r="C13333" s="3">
        <v>44532.739942129629</v>
      </c>
      <c r="D13333" s="1" t="s">
        <v>26262</v>
      </c>
      <c r="E13333" s="1" t="str">
        <f ca="1">IFERROR(__xludf.DUMMYFUNCTION("GOOGLETRANSLATE(A10132 , ""tr"" , ""en"")"),"@drfahrettinkoca 192 Dead How Easy Motherless Remaining Kids Remaining Bi Bi")</f>
        <v>@drfahrettinkoca 192 Dead How Easy Motherless Remaining Kids Remaining Bi Bi</v>
      </c>
    </row>
    <row r="13334" spans="1:5" ht="15" customHeight="1" x14ac:dyDescent="0.2">
      <c r="A13334" s="1" t="s">
        <v>26263</v>
      </c>
      <c r="B13334" s="1">
        <v>27</v>
      </c>
      <c r="C13334" s="3">
        <v>44532.739942129629</v>
      </c>
      <c r="D13334" s="1" t="s">
        <v>26264</v>
      </c>
      <c r="E13334" s="1" t="str">
        <f ca="1">IFERROR(__xludf.DUMMYFUNCTION("GOOGLETRANSLATE(A10133 , ""tr"" , ""en"")"),"@drfahrettinkoca If you go like this, we enter the New Year")</f>
        <v>@drfahrettinkoca If you go like this, we enter the New Year</v>
      </c>
    </row>
    <row r="13335" spans="1:5" ht="15" customHeight="1" x14ac:dyDescent="0.2">
      <c r="A13335" s="1" t="s">
        <v>26265</v>
      </c>
      <c r="B13335" s="1">
        <v>0</v>
      </c>
      <c r="C13335" s="3">
        <v>44532.739895833336</v>
      </c>
      <c r="D13335" s="1" t="s">
        <v>26266</v>
      </c>
      <c r="E13335" s="1" t="str">
        <f ca="1">IFERROR(__xludf.DUMMYFUNCTION("GOOGLETRANSLATE(A10134 , ""tr"" , ""en"")"),"@drfahrettinkoca 13 months You have not been assigned to assignment The assignment gave the guideline did not publish healthpieces ... https://t.co/fcjn8k9xc9")</f>
        <v>@drfahrettinkoca 13 months You have not been assigned to assignment The assignment gave the guideline did not publish healthpieces ... https://t.co/fcjn8k9xc9</v>
      </c>
    </row>
    <row r="13336" spans="1:5" ht="15" customHeight="1" x14ac:dyDescent="0.2">
      <c r="A13336" s="1" t="s">
        <v>26267</v>
      </c>
      <c r="B13336" s="1">
        <v>5</v>
      </c>
      <c r="C13336" s="3">
        <v>44532.739884259259</v>
      </c>
      <c r="D13336" s="1" t="s">
        <v>26268</v>
      </c>
      <c r="E13336" s="1" t="str">
        <f ca="1">IFERROR(__xludf.DUMMYFUNCTION("GOOGLETRANSLATE(A10135 , ""tr"" , ""en"")"),"@drfahrettinkoca 3. Open the overdose. Enough if I save my dear. we live like weed already")</f>
        <v>@drfahrettinkoca 3. Open the overdose. Enough if I save my dear. we live like weed already</v>
      </c>
    </row>
    <row r="13337" spans="1:5" ht="15" customHeight="1" x14ac:dyDescent="0.2">
      <c r="A13337" s="1" t="s">
        <v>21829</v>
      </c>
      <c r="B13337" s="1">
        <v>0</v>
      </c>
      <c r="C13337" s="3">
        <v>44532.739872685182</v>
      </c>
      <c r="D13337" s="1" t="s">
        <v>26269</v>
      </c>
      <c r="E13337" s="1" t="str">
        <f ca="1">IFERROR(__xludf.DUMMYFUNCTION("GOOGLETRANSLATE(A10136 , ""tr"" , ""en"")"),"@drfahrettinkoca What said")</f>
        <v>@drfahrettinkoca What said</v>
      </c>
    </row>
    <row r="13338" spans="1:5" ht="15" customHeight="1" x14ac:dyDescent="0.2">
      <c r="A13338" s="1" t="s">
        <v>26270</v>
      </c>
      <c r="B13338" s="1">
        <v>1</v>
      </c>
      <c r="C13338" s="3">
        <v>44532.739872685182</v>
      </c>
      <c r="D13338" s="1" t="s">
        <v>26271</v>
      </c>
      <c r="E13338" s="1" t="str">
        <f ca="1">IFERROR(__xludf.DUMMYFUNCTION("GOOGLETRANSLATE(A10137 , ""tr"" , ""en"")"),"@drfahrettinka gets funny getting funny.")</f>
        <v>@drfahrettinka gets funny getting funny.</v>
      </c>
    </row>
    <row r="13339" spans="1:5" ht="15" customHeight="1" x14ac:dyDescent="0.2">
      <c r="A13339" s="1" t="s">
        <v>26272</v>
      </c>
      <c r="B13339" s="1">
        <v>1</v>
      </c>
      <c r="C13339" s="3">
        <v>44532.73978009259</v>
      </c>
      <c r="D13339" s="1" t="s">
        <v>26273</v>
      </c>
      <c r="E13339" s="1" t="str">
        <f ca="1">IFERROR(__xludf.DUMMYFUNCTION("GOOGLETRANSLATE(A10138 , ""tr"" , ""en"")"),"@drfahrettinkoca Doctor Minister The time of resignation is the time to resign all the Health Personnel Note that the treasurer is full of you ... https://t.co/oj7nojnce6")</f>
        <v>@drfahrettinkoca Doctor Minister The time of resignation is the time to resign all the Health Personnel Note that the treasurer is full of you ... https://t.co/oj7nojnce6</v>
      </c>
    </row>
    <row r="13340" spans="1:5" ht="15" customHeight="1" x14ac:dyDescent="0.2">
      <c r="A13340" s="1" t="s">
        <v>26274</v>
      </c>
      <c r="B13340" s="1">
        <v>6</v>
      </c>
      <c r="C13340" s="3">
        <v>44532.739722222221</v>
      </c>
      <c r="D13340" s="1" t="s">
        <v>26275</v>
      </c>
      <c r="E13340" s="1" t="str">
        <f ca="1">IFERROR(__xludf.DUMMYFUNCTION("GOOGLETRANSLATE(A10139 , ""tr"" , ""en"")"),"@drfahrettinkoca Table Bearing Truths Give the facts Now you're falling on the number of cases so you are falling online education")</f>
        <v>@drfahrettinkoca Table Bearing Truths Give the facts Now you're falling on the number of cases so you are falling online education</v>
      </c>
    </row>
    <row r="13341" spans="1:5" ht="15" customHeight="1" x14ac:dyDescent="0.2">
      <c r="A13341" s="1" t="s">
        <v>26276</v>
      </c>
      <c r="B13341" s="1">
        <v>0</v>
      </c>
      <c r="C13341" s="3">
        <v>44532.739722222221</v>
      </c>
      <c r="D13341" s="1" t="s">
        <v>26277</v>
      </c>
      <c r="E13341" s="1" t="str">
        <f ca="1">IFERROR(__xludf.DUMMYFUNCTION("GOOGLETRANSLATE(A10140 , ""tr"" , ""en"")"),"@drfahrettinkoca Are you a joke or as if true data")</f>
        <v>@drfahrettinkoca Are you a joke or as if true data</v>
      </c>
    </row>
    <row r="13342" spans="1:5" ht="15" customHeight="1" x14ac:dyDescent="0.2">
      <c r="A13342" s="1" t="s">
        <v>26278</v>
      </c>
      <c r="B13342" s="1">
        <v>3</v>
      </c>
      <c r="C13342" s="3">
        <v>44532.739687499998</v>
      </c>
      <c r="D13342" s="1" t="s">
        <v>26279</v>
      </c>
      <c r="E13342" s="1" t="str">
        <f ca="1">IFERROR(__xludf.DUMMYFUNCTION("GOOGLETRANSLATE(A10141 , ""tr"" , ""en"")"),"@drfahrettinkoca You have destroyed the right of the night, the nurse, the right to health workers! # HEALTHYINGSHIP")</f>
        <v>@drfahrettinkoca You have destroyed the right of the night, the nurse, the right to health workers! # HEALTHYINGSHIP</v>
      </c>
    </row>
    <row r="13343" spans="1:5" ht="15" customHeight="1" x14ac:dyDescent="0.2">
      <c r="A13343" s="1" t="s">
        <v>26280</v>
      </c>
      <c r="B13343" s="1">
        <v>2</v>
      </c>
      <c r="C13343" s="3">
        <v>44532.739444444444</v>
      </c>
      <c r="D13343" s="1" t="s">
        <v>26281</v>
      </c>
      <c r="E13343" s="1" t="str">
        <f ca="1">IFERROR(__xludf.DUMMYFUNCTION("GOOGLETRANSLATE(A10142 , ""tr"" , ""en"")"),"@drfahrettinkoca Germany even in the intense European alarm in the name of the measure in the name of the measure only music ban and hookah ka ... https://t.co/gd1ivfnnsk")</f>
        <v>@drfahrettinkoca Germany even in the intense European alarm in the name of the measure in the name of the measure only music ban and hookah ka ... https://t.co/gd1ivfnnsk</v>
      </c>
    </row>
    <row r="13344" spans="1:5" ht="15" customHeight="1" x14ac:dyDescent="0.2">
      <c r="A13344" s="1" t="s">
        <v>26282</v>
      </c>
      <c r="B13344" s="1">
        <v>0</v>
      </c>
      <c r="C13344" s="3">
        <v>44532.739374999997</v>
      </c>
      <c r="D13344" s="1" t="s">
        <v>26283</v>
      </c>
      <c r="E13344" s="1" t="str">
        <f ca="1">IFERROR(__xludf.DUMMYFUNCTION("GOOGLETRANSLATE(A10143 , ""tr"" , ""en"")"),"@drfahrettinkoca minister where guide")</f>
        <v>@drfahrettinkoca minister where guide</v>
      </c>
    </row>
    <row r="13345" spans="1:5" ht="15" customHeight="1" x14ac:dyDescent="0.2">
      <c r="A13345" s="1" t="s">
        <v>17352</v>
      </c>
      <c r="B13345" s="1">
        <v>0</v>
      </c>
      <c r="C13345" s="3">
        <v>44532.739374999997</v>
      </c>
      <c r="D13345" s="1" t="s">
        <v>26284</v>
      </c>
      <c r="E13345" s="1" t="str">
        <f ca="1">IFERROR(__xludf.DUMMYFUNCTION("GOOGLETRANSLATE(A10144 , ""tr"" , ""en"")"),"@drfahrettinka Ministry of Guide")</f>
        <v>@drfahrettinka Ministry of Guide</v>
      </c>
    </row>
    <row r="13346" spans="1:5" ht="15" customHeight="1" x14ac:dyDescent="0.2">
      <c r="A13346" s="1" t="s">
        <v>13434</v>
      </c>
      <c r="B13346" s="1">
        <v>0</v>
      </c>
      <c r="C13346" s="3">
        <v>44532.739374999997</v>
      </c>
      <c r="D13346" s="1" t="s">
        <v>26285</v>
      </c>
      <c r="E13346" s="1" t="str">
        <f ca="1">IFERROR(__xludf.DUMMYFUNCTION("GOOGLETRANSLATE(A10145 , ""tr"" , ""en"")"),"@drfahrettinkoca Guide you come")</f>
        <v>@drfahrettinkoca Guide you come</v>
      </c>
    </row>
    <row r="13347" spans="1:5" ht="15" customHeight="1" x14ac:dyDescent="0.2">
      <c r="A13347" s="1" t="s">
        <v>11962</v>
      </c>
      <c r="B13347" s="1">
        <v>0</v>
      </c>
      <c r="C13347" s="3">
        <v>44532.739363425928</v>
      </c>
      <c r="D13347" s="1" t="s">
        <v>26286</v>
      </c>
      <c r="E13347" s="1" t="str">
        <f ca="1">IFERROR(__xludf.DUMMYFUNCTION("GOOGLETRANSLATE(A10146 , ""tr"" , ""en"")"),"@drfahrettinkoca guide")</f>
        <v>@drfahrettinkoca guide</v>
      </c>
    </row>
    <row r="13348" spans="1:5" ht="15" customHeight="1" x14ac:dyDescent="0.2">
      <c r="A13348" s="1" t="s">
        <v>26287</v>
      </c>
      <c r="B13348" s="1">
        <v>0</v>
      </c>
      <c r="C13348" s="3">
        <v>44532.739236111112</v>
      </c>
      <c r="D13348" s="1" t="s">
        <v>26288</v>
      </c>
      <c r="E13348" s="1" t="str">
        <f ca="1">IFERROR(__xludf.DUMMYFUNCTION("GOOGLETRANSLATE(A10147 , ""tr"" , ""en"")"),"@drfahrettinkoca isfiçre Even for online education Nightmis How are you so comfortable? @RterDogan @erolozvar")</f>
        <v>@drfahrettinkoca isfiçre Even for online education Nightmis How are you so comfortable? @RterDogan @erolozvar</v>
      </c>
    </row>
    <row r="13349" spans="1:5" ht="15" customHeight="1" x14ac:dyDescent="0.2">
      <c r="A13349" s="1" t="s">
        <v>26289</v>
      </c>
      <c r="B13349" s="1">
        <v>0</v>
      </c>
      <c r="C13349" s="3">
        <v>44532.739224537036</v>
      </c>
      <c r="D13349" s="1" t="s">
        <v>26290</v>
      </c>
      <c r="E13349" s="1" t="str">
        <f ca="1">IFERROR(__xludf.DUMMYFUNCTION("GOOGLETRANSLATE(A10148 , ""tr"" , ""en"")"),"@drfahrettinkoca President Yesterday you were afraid of the reiz Didn't understand God too you would like to forgive")</f>
        <v>@drfahrettinkoca President Yesterday you were afraid of the reiz Didn't understand God too you would like to forgive</v>
      </c>
    </row>
    <row r="13350" spans="1:5" ht="15" customHeight="1" x14ac:dyDescent="0.2">
      <c r="A13350" s="1" t="s">
        <v>26291</v>
      </c>
      <c r="B13350" s="1">
        <v>3</v>
      </c>
      <c r="C13350" s="3">
        <v>44532.739201388889</v>
      </c>
      <c r="D13350" s="1" t="s">
        <v>26292</v>
      </c>
      <c r="E13350" s="1" t="str">
        <f ca="1">IFERROR(__xludf.DUMMYFUNCTION("GOOGLETRANSLATE(A10149 , ""tr"" , ""en"")"),"@drfahrettinkoca so lost is not good, you can't get used to us. #Kiekkuruluoehrencileronlineli")</f>
        <v>@drfahrettinkoca so lost is not good, you can't get used to us. #Kiekkuruluoehrencileronlineli</v>
      </c>
    </row>
    <row r="13351" spans="1:5" ht="15" customHeight="1" x14ac:dyDescent="0.2">
      <c r="A13351" s="1" t="s">
        <v>26293</v>
      </c>
      <c r="B13351" s="1">
        <v>1</v>
      </c>
      <c r="C13351" s="3">
        <v>44532.739155092589</v>
      </c>
      <c r="D13351" s="1" t="s">
        <v>26294</v>
      </c>
      <c r="E13351" s="1" t="str">
        <f ca="1">IFERROR(__xludf.DUMMYFUNCTION("GOOGLETRANSLATE(A10150 , ""tr"" , ""en"")"),"@drfahrettinkoca # Healthconship Why doesn't assignment be assigned? @drfahrettinkoca")</f>
        <v>@drfahrettinkoca # Healthconship Why doesn't assignment be assigned? @drfahrettinkoca</v>
      </c>
    </row>
    <row r="13352" spans="1:5" ht="15" customHeight="1" x14ac:dyDescent="0.2">
      <c r="A13352" s="1" t="s">
        <v>26295</v>
      </c>
      <c r="B13352" s="1">
        <v>15</v>
      </c>
      <c r="C13352" s="3">
        <v>44532.739108796297</v>
      </c>
      <c r="D13352" s="1" t="s">
        <v>26296</v>
      </c>
      <c r="E13352" s="1" t="str">
        <f ca="1">IFERROR(__xludf.DUMMYFUNCTION("GOOGLETRANSLATE(A10151 , ""tr"" , ""en"")"),"@drfahrettinkoca Partial Flexibility of Precautions ⇒ Minister Divine You Have Laugh Me Gül TA")</f>
        <v>@drfahrettinkoca Partial Flexibility of Precautions ⇒ Minister Divine You Have Laugh Me Gül TA</v>
      </c>
    </row>
    <row r="13353" spans="1:5" ht="15" customHeight="1" x14ac:dyDescent="0.2">
      <c r="A13353" s="1" t="s">
        <v>26297</v>
      </c>
      <c r="B13353" s="1">
        <v>0</v>
      </c>
      <c r="C13353" s="3">
        <v>44532.739085648151</v>
      </c>
      <c r="D13353" s="1" t="s">
        <v>26298</v>
      </c>
      <c r="E13353" s="1" t="str">
        <f ca="1">IFERROR(__xludf.DUMMYFUNCTION("GOOGLETRANSLATE(A10152 , ""tr"" , ""en"")"),"@drfahrettinkoca cancer patient my mother's Gilivon medicine was free today TL 360 TL Three paid! Why?")</f>
        <v>@drfahrettinkoca cancer patient my mother's Gilivon medicine was free today TL 360 TL Three paid! Why?</v>
      </c>
    </row>
    <row r="13354" spans="1:5" ht="15" customHeight="1" x14ac:dyDescent="0.2">
      <c r="A13354" s="1" t="s">
        <v>26299</v>
      </c>
      <c r="B13354" s="1">
        <v>19</v>
      </c>
      <c r="C13354" s="3">
        <v>44532.739039351851</v>
      </c>
      <c r="D13354" s="1" t="s">
        <v>26300</v>
      </c>
      <c r="E13354" s="1" t="str">
        <f ca="1">IFERROR(__xludf.DUMMYFUNCTION("GOOGLETRANSLATE(A10153 , ""tr"" , ""en"")"),"@drfahrettinka Mr. Minister, the rate of spread is also in the middle, Covid in spreading speed. Province Provincial Province ... https://t.co/3dq5si0jpj")</f>
        <v>@drfahrettinka Mr. Minister, the rate of spread is also in the middle, Covid in spreading speed. Province Provincial Province ... https://t.co/3dq5si0jpj</v>
      </c>
    </row>
    <row r="13355" spans="1:5" ht="15" customHeight="1" x14ac:dyDescent="0.2">
      <c r="A13355" s="1" t="s">
        <v>26301</v>
      </c>
      <c r="B13355" s="1">
        <v>1</v>
      </c>
      <c r="C13355" s="3">
        <v>44532.739039351851</v>
      </c>
      <c r="D13355" s="1" t="s">
        <v>26302</v>
      </c>
      <c r="E13355" s="1" t="str">
        <f ca="1">IFERROR(__xludf.DUMMYFUNCTION("GOOGLETRANSLATE(A10154 , ""tr"" , ""en"")"),"@drfahrettinkoca guide explained if the economy crashes, country sinks, apocalypse copies .. AmanaaAnnnn")</f>
        <v>@drfahrettinkoca guide explained if the economy crashes, country sinks, apocalypse copies .. AmanaaAnnnn</v>
      </c>
    </row>
    <row r="13356" spans="1:5" ht="15" customHeight="1" x14ac:dyDescent="0.2">
      <c r="A13356" s="1" t="s">
        <v>26303</v>
      </c>
      <c r="B13356" s="1">
        <v>0</v>
      </c>
      <c r="C13356" s="3">
        <v>44532.739004629628</v>
      </c>
      <c r="D13356" s="1" t="s">
        <v>26304</v>
      </c>
      <c r="E13356" s="1" t="str">
        <f ca="1">IFERROR(__xludf.DUMMYFUNCTION("GOOGLETRANSLATE(A10155 , ""tr"" , ""en"")"),"@drfahrettinkoca lies so squeezed so much no longer the rth of dies allah don't allah know you")</f>
        <v>@drfahrettinkoca lies so squeezed so much no longer the rth of dies allah don't allah know you</v>
      </c>
    </row>
    <row r="13357" spans="1:5" ht="15" customHeight="1" x14ac:dyDescent="0.2">
      <c r="A13357" s="1" t="s">
        <v>26305</v>
      </c>
      <c r="B13357" s="1">
        <v>1</v>
      </c>
      <c r="C13357" s="3">
        <v>44532.738969907405</v>
      </c>
      <c r="D13357" s="1" t="s">
        <v>26306</v>
      </c>
      <c r="E13357" s="1" t="str">
        <f ca="1">IFERROR(__xludf.DUMMYFUNCTION("GOOGLETRANSLATE(A10156 , ""tr"" , ""en"")"),"@drfahrettinka is not the vaccination that you are not vaccinated, there would be no case and death, the sample is the greater countries of Europe. or army, Ş ... https://t.co/a9ybzcq7m5")</f>
        <v>@drfahrettinka is not the vaccination that you are not vaccinated, there would be no case and death, the sample is the greater countries of Europe. or army, Ş ... https://t.co/a9ybzcq7m5</v>
      </c>
    </row>
    <row r="13358" spans="1:5" ht="15" customHeight="1" x14ac:dyDescent="0.2">
      <c r="A13358" s="1" t="s">
        <v>26307</v>
      </c>
      <c r="B13358" s="1">
        <v>42</v>
      </c>
      <c r="C13358" s="3">
        <v>44532.738935185182</v>
      </c>
      <c r="D13358" s="1" t="s">
        <v>26308</v>
      </c>
      <c r="E13358" s="1" t="str">
        <f ca="1">IFERROR(__xludf.DUMMYFUNCTION("GOOGLETRANSLATE(A10157 , ""tr"" , ""en"")"),"@drfahrettinkoca I think your fellow secret is in Russia and Germany as well as you share with all the world's share with all the world ... https://t.co/gbz7al6unh")</f>
        <v>@drfahrettinkoca I think your fellow secret is in Russia and Germany as well as you share with all the world's share with all the world ... https://t.co/gbz7al6unh</v>
      </c>
    </row>
    <row r="13359" spans="1:5" ht="15" customHeight="1" x14ac:dyDescent="0.2">
      <c r="A13359" s="1" t="s">
        <v>26309</v>
      </c>
      <c r="B13359" s="1">
        <v>0</v>
      </c>
      <c r="C13359" s="3">
        <v>44532.738819444443</v>
      </c>
      <c r="D13359" s="1" t="s">
        <v>26310</v>
      </c>
      <c r="E13359" s="1" t="str">
        <f ca="1">IFERROR(__xludf.DUMMYFUNCTION("GOOGLETRANSLATE(A10158 , ""tr"" , ""en"")"),"@drfahrettinkoca guide the guide we will bear the power left no longer")</f>
        <v>@drfahrettinkoca guide the guide we will bear the power left no longer</v>
      </c>
    </row>
    <row r="13360" spans="1:5" ht="15" customHeight="1" x14ac:dyDescent="0.2">
      <c r="A13360" s="1" t="s">
        <v>26311</v>
      </c>
      <c r="B13360" s="1">
        <v>11</v>
      </c>
      <c r="C13360" s="3">
        <v>44532.738761574074</v>
      </c>
      <c r="D13360" s="1" t="s">
        <v>26312</v>
      </c>
      <c r="E13360" s="1" t="str">
        <f ca="1">IFERROR(__xludf.DUMMYFUNCTION("GOOGLETRANSLATE(A10159 , ""tr"" , ""en"")"),"@drfahrettinkoca I have been asi 3-4 times in 3-4 times I have been the rebel.")</f>
        <v>@drfahrettinkoca I have been asi 3-4 times in 3-4 times I have been the rebel.</v>
      </c>
    </row>
    <row r="13361" spans="1:5" ht="15" customHeight="1" x14ac:dyDescent="0.2">
      <c r="A13361" s="1" t="s">
        <v>26313</v>
      </c>
      <c r="B13361" s="1">
        <v>2</v>
      </c>
      <c r="C13361" s="3">
        <v>44532.738715277781</v>
      </c>
      <c r="D13361" s="1" t="s">
        <v>26314</v>
      </c>
      <c r="E13361" s="1" t="str">
        <f ca="1">IFERROR(__xludf.DUMMYFUNCTION("GOOGLETRANSLATE(A10160 , ""tr"" , ""en"")"),"@drfahrettinkoca COK is your liar! If you remain somewhat of your conscience ... If you get wries, Ilac Monells ... https://t.co/jujymy2t2c")</f>
        <v>@drfahrettinkoca COK is your liar! If you remain somewhat of your conscience ... If you get wries, Ilac Monells ... https://t.co/jujymy2t2c</v>
      </c>
    </row>
    <row r="13362" spans="1:5" ht="15" customHeight="1" x14ac:dyDescent="0.2">
      <c r="A13362" s="1" t="s">
        <v>26315</v>
      </c>
      <c r="B13362" s="1">
        <v>2</v>
      </c>
      <c r="C13362" s="3">
        <v>44532.738692129627</v>
      </c>
      <c r="D13362" s="1" t="s">
        <v>26316</v>
      </c>
      <c r="E13362" s="1" t="str">
        <f ca="1">IFERROR(__xludf.DUMMYFUNCTION("GOOGLETRANSLATE(A10161 , ""tr"" , ""en"")"),"@drfahrettinkoca is not supposed to come ""and"" after the point? I think the message is completely deleted ""Distance learning development ... https://t.co/re7szlvytj")</f>
        <v>@drfahrettinkoca is not supposed to come "and" after the point? I think the message is completely deleted "Distance learning development ... https://t.co/re7szlvytj</v>
      </c>
    </row>
    <row r="13363" spans="1:5" ht="15" customHeight="1" x14ac:dyDescent="0.2">
      <c r="A13363" s="1" t="s">
        <v>26317</v>
      </c>
      <c r="B13363" s="1">
        <v>0</v>
      </c>
      <c r="C13363" s="3">
        <v>44532.738680555558</v>
      </c>
      <c r="D13363" s="1" t="s">
        <v>26318</v>
      </c>
      <c r="E13363" s="1" t="str">
        <f ca="1">IFERROR(__xludf.DUMMYFUNCTION("GOOGLETRANSLATE(A10162 , ""tr"" , ""en"")"),"@drfahrettinkoca DUS Aciklansin @osymbaskanci @Abdulhamitgul @Abdulhamitgul @Adalet_bakanlik @drfahrettinkoca")</f>
        <v>@drfahrettinkoca DUS Aciklansin @osymbaskanci @Abdulhamitgul @Abdulhamitgul @Adalet_bakanlik @drfahrettinkoca</v>
      </c>
    </row>
    <row r="13364" spans="1:5" ht="15" customHeight="1" x14ac:dyDescent="0.2">
      <c r="A13364" s="1" t="s">
        <v>26319</v>
      </c>
      <c r="B13364" s="1">
        <v>0</v>
      </c>
      <c r="C13364" s="3">
        <v>44532.738657407404</v>
      </c>
      <c r="D13364" s="1" t="s">
        <v>26320</v>
      </c>
      <c r="E13364" s="1" t="str">
        <f ca="1">IFERROR(__xludf.DUMMYFUNCTION("GOOGLETRANSLATE(A10163 , ""tr"" , ""en"")"),"@drfahrettinkoca case number Nasil months length can stay at 20000")</f>
        <v>@drfahrettinkoca case number Nasil months length can stay at 20000</v>
      </c>
    </row>
    <row r="13365" spans="1:5" ht="15" customHeight="1" x14ac:dyDescent="0.2">
      <c r="A13365" s="1" t="s">
        <v>18004</v>
      </c>
      <c r="B13365" s="1">
        <v>0</v>
      </c>
      <c r="C13365" s="3">
        <v>44532.738657407404</v>
      </c>
      <c r="D13365" s="1" t="s">
        <v>26321</v>
      </c>
      <c r="E13365" s="1" t="str">
        <f ca="1">IFERROR(__xludf.DUMMYFUNCTION("GOOGLETRANSLATE(A10164 , ""tr"" , ""en"")"),"@drfahrettinkoca guide to God's love")</f>
        <v>@drfahrettinkoca guide to God's love</v>
      </c>
    </row>
    <row r="13366" spans="1:5" ht="15" customHeight="1" x14ac:dyDescent="0.2">
      <c r="A13366" s="1" t="s">
        <v>26322</v>
      </c>
      <c r="B13366" s="1">
        <v>0</v>
      </c>
      <c r="C13366" s="3">
        <v>44532.738576388889</v>
      </c>
      <c r="D13366" s="1" t="s">
        <v>26323</v>
      </c>
      <c r="E13366" s="1" t="str">
        <f ca="1">IFERROR(__xludf.DUMMYFUNCTION("GOOGLETRANSLATE(A10165 , ""tr"" , ""en"")"),"@drfahrettinkoca hocam hocam")</f>
        <v>@drfahrettinkoca hocam hocam</v>
      </c>
    </row>
    <row r="13367" spans="1:5" ht="15" customHeight="1" x14ac:dyDescent="0.2">
      <c r="A13367" s="1" t="s">
        <v>26324</v>
      </c>
      <c r="B13367" s="1">
        <v>5</v>
      </c>
      <c r="C13367" s="3">
        <v>44532.738576388889</v>
      </c>
      <c r="D13367" s="1" t="s">
        <v>26325</v>
      </c>
      <c r="E13367" s="1" t="str">
        <f ca="1">IFERROR(__xludf.DUMMYFUNCTION("GOOGLETRANSLATE(A10166 , ""tr"" , ""en"")"),"@drfahrettinkoca assign to health management https://t.co/fm8eqfxmmf")</f>
        <v>@drfahrettinkoca assign to health management https://t.co/fm8eqfxmmf</v>
      </c>
    </row>
    <row r="13368" spans="1:5" ht="15" customHeight="1" x14ac:dyDescent="0.2">
      <c r="A13368" s="1" t="s">
        <v>26326</v>
      </c>
      <c r="B13368" s="1">
        <v>5</v>
      </c>
      <c r="C13368" s="3">
        <v>44532.738506944443</v>
      </c>
      <c r="D13368" s="1" t="s">
        <v>26327</v>
      </c>
      <c r="E13368" s="1" t="str">
        <f ca="1">IFERROR(__xludf.DUMMYFUNCTION("GOOGLETRANSLATE(A10167 , ""tr"" , ""en"")"),"@drfahrettinkoca is the distance you put between healthiers; Is it enough for the omicron? We will try something # Healthconship")</f>
        <v>@drfahrettinkoca is the distance you put between healthiers; Is it enough for the omicron? We will try something # Healthconship</v>
      </c>
    </row>
    <row r="13369" spans="1:5" ht="15" customHeight="1" x14ac:dyDescent="0.2">
      <c r="A13369" s="1" t="s">
        <v>26328</v>
      </c>
      <c r="B13369" s="1">
        <v>30</v>
      </c>
      <c r="C13369" s="3">
        <v>44532.738483796296</v>
      </c>
      <c r="D13369" s="1" t="s">
        <v>26329</v>
      </c>
      <c r="E13369" s="1" t="str">
        <f ca="1">IFERROR(__xludf.DUMMYFUNCTION("GOOGLETRANSLATE(A10168 , ""tr"" , ""en"")"),"@drfahrettinka https://t.co/7onsh8kwdk")</f>
        <v>@drfahrettinka https://t.co/7onsh8kwdk</v>
      </c>
    </row>
    <row r="13370" spans="1:5" ht="15" customHeight="1" x14ac:dyDescent="0.2">
      <c r="A13370" s="1" t="s">
        <v>26330</v>
      </c>
      <c r="B13370" s="1">
        <v>6</v>
      </c>
      <c r="C13370" s="3">
        <v>44532.738321759258</v>
      </c>
      <c r="D13370" s="1" t="s">
        <v>26331</v>
      </c>
      <c r="E13370" s="1" t="str">
        <f ca="1">IFERROR(__xludf.DUMMYFUNCTION("GOOGLETRANSLATE(A10169 , ""tr"" , ""en"")"),"@drfahrettinka dus aciklanin")</f>
        <v>@drfahrettinka dus aciklanin</v>
      </c>
    </row>
    <row r="13371" spans="1:5" ht="15" customHeight="1" x14ac:dyDescent="0.2">
      <c r="A13371" s="1" t="s">
        <v>21431</v>
      </c>
      <c r="B13371" s="1">
        <v>0</v>
      </c>
      <c r="C13371" s="3">
        <v>44532.738275462965</v>
      </c>
      <c r="D13371" s="1" t="s">
        <v>26332</v>
      </c>
      <c r="E13371" s="1" t="str">
        <f ca="1">IFERROR(__xludf.DUMMYFUNCTION("GOOGLETRANSLATE(A10170 , ""tr"" , ""en"")"),"@drfahrettinkoca guide look forward to the minister")</f>
        <v>@drfahrettinkoca guide look forward to the minister</v>
      </c>
    </row>
    <row r="13372" spans="1:5" ht="15" customHeight="1" x14ac:dyDescent="0.2">
      <c r="A13372" s="1" t="s">
        <v>26333</v>
      </c>
      <c r="B13372" s="1">
        <v>28</v>
      </c>
      <c r="C13372" s="3">
        <v>44532.738206018519</v>
      </c>
      <c r="D13372" s="1" t="s">
        <v>26334</v>
      </c>
      <c r="E13372" s="1" t="str">
        <f ca="1">IFERROR(__xludf.DUMMYFUNCTION("GOOGLETRANSLATE(A10171 , ""tr"" , ""en"")"),"@drfahrettinkoca outbreaky saddle If there is an epidemic in the middle This is because the media is the media EnByük Epidi under your disposal ... https://t.co/kqgxcsfsfv")</f>
        <v>@drfahrettinkoca outbreaky saddle If there is an epidemic in the middle This is because the media is the media EnByük Epidi under your disposal ... https://t.co/kqgxcsfsfv</v>
      </c>
    </row>
    <row r="13373" spans="1:5" ht="15" customHeight="1" x14ac:dyDescent="0.2">
      <c r="A13373" s="1" t="s">
        <v>26335</v>
      </c>
      <c r="B13373" s="1">
        <v>2</v>
      </c>
      <c r="C13373" s="3">
        <v>44532.73814814815</v>
      </c>
      <c r="D13373" s="1" t="s">
        <v>26336</v>
      </c>
      <c r="E13373" s="1" t="str">
        <f ca="1">IFERROR(__xludf.DUMMYFUNCTION("GOOGLETRANSLATE(A10172 , ""tr"" , ""en"")"),"@drfahrettinkoca 3 we believe we believe 1,2,4")</f>
        <v>@drfahrettinkoca 3 we believe we believe 1,2,4</v>
      </c>
    </row>
    <row r="13374" spans="1:5" ht="15" customHeight="1" x14ac:dyDescent="0.2">
      <c r="A13374" s="1" t="s">
        <v>26337</v>
      </c>
      <c r="B13374" s="1">
        <v>0</v>
      </c>
      <c r="C13374" s="3">
        <v>44532.738032407404</v>
      </c>
      <c r="D13374" s="1" t="s">
        <v>26338</v>
      </c>
      <c r="E13374" s="1" t="str">
        <f ca="1">IFERROR(__xludf.DUMMYFUNCTION("GOOGLETRANSLATE(A10173 , ""tr"" , ""en"")"),"@drfahrettinkoca Agenda This is not the minister. The troubles are not being solved by ignoring ...")</f>
        <v>@drfahrettinkoca Agenda This is not the minister. The troubles are not being solved by ignoring ...</v>
      </c>
    </row>
    <row r="13375" spans="1:5" ht="15" customHeight="1" x14ac:dyDescent="0.2">
      <c r="A13375" s="1" t="s">
        <v>26339</v>
      </c>
      <c r="B13375" s="1">
        <v>2</v>
      </c>
      <c r="C13375" s="3">
        <v>44532.738009259258</v>
      </c>
      <c r="D13375" s="1" t="s">
        <v>26340</v>
      </c>
      <c r="E13375" s="1" t="str">
        <f ca="1">IFERROR(__xludf.DUMMYFUNCTION("GOOGLETRANSLATE(A10174 , ""tr"" , ""en"")"),"Wonder if @drfahrettinka so if we give importance to the healther to do the vaccine? @drfahrettinkoca # Healthconship ... https://t.co/ww8bbqabbl")</f>
        <v>Wonder if @drfahrettinka so if we give importance to the healther to do the vaccine? @drfahrettinkoca # Healthconship ... https://t.co/ww8bbqabbl</v>
      </c>
    </row>
    <row r="13376" spans="1:5" ht="15" customHeight="1" x14ac:dyDescent="0.2">
      <c r="A13376" s="1" t="s">
        <v>26341</v>
      </c>
      <c r="B13376" s="1">
        <v>0</v>
      </c>
      <c r="C13376" s="3">
        <v>44532.737986111111</v>
      </c>
      <c r="D13376" s="1" t="s">
        <v>26342</v>
      </c>
      <c r="E13376" s="1" t="str">
        <f ca="1">IFERROR(__xludf.DUMMYFUNCTION("GOOGLETRANSLATE(A10175 , ""tr"" , ""en"")"),"@drfahrettinkoca Mr. Husband is not reduced cases unless they are in touch with this vaccinated contacts. A ... https://t.co/hhyjq88f7a")</f>
        <v>@drfahrettinkoca Mr. Husband is not reduced cases unless they are in touch with this vaccinated contacts. A ... https://t.co/hhyjq88f7a</v>
      </c>
    </row>
    <row r="13377" spans="1:5" ht="15" customHeight="1" x14ac:dyDescent="0.2">
      <c r="A13377" s="1" t="s">
        <v>26343</v>
      </c>
      <c r="B13377" s="1">
        <v>0</v>
      </c>
      <c r="C13377" s="3">
        <v>44532.737974537034</v>
      </c>
      <c r="D13377" s="1" t="s">
        <v>26344</v>
      </c>
      <c r="E13377" s="1" t="str">
        <f ca="1">IFERROR(__xludf.DUMMYFUNCTION("GOOGLETRANSLATE(A10176 , ""tr"" , ""en"")"),"@drfahrettinkoca quit meat resigns still sharing table")</f>
        <v>@drfahrettinkoca quit meat resigns still sharing table</v>
      </c>
    </row>
    <row r="13378" spans="1:5" ht="15" customHeight="1" x14ac:dyDescent="0.2">
      <c r="A13378" s="1" t="s">
        <v>26345</v>
      </c>
      <c r="B13378" s="1">
        <v>63</v>
      </c>
      <c r="C13378" s="3">
        <v>44532.737743055557</v>
      </c>
      <c r="D13378" s="1" t="s">
        <v>26346</v>
      </c>
      <c r="E13378" s="1" t="str">
        <f ca="1">IFERROR(__xludf.DUMMYFUNCTION("GOOGLETRANSLATE(A10177 , ""tr"" , ""en"")"),"@drfahrettinka had so much disease before your experimental fluids ..")</f>
        <v>@drfahrettinka had so much disease before your experimental fluids ..</v>
      </c>
    </row>
    <row r="13379" spans="1:5" ht="15" customHeight="1" x14ac:dyDescent="0.2">
      <c r="A13379" s="1" t="s">
        <v>26347</v>
      </c>
      <c r="B13379" s="1">
        <v>0</v>
      </c>
      <c r="C13379" s="3">
        <v>44532.737662037034</v>
      </c>
      <c r="D13379" s="1" t="s">
        <v>26348</v>
      </c>
      <c r="E13379" s="1" t="str">
        <f ca="1">IFERROR(__xludf.DUMMYFUNCTION("GOOGLETRANSLATE(A10178 , ""tr"" , ""en"")"),"@drfahrettinkoca publish the guide.")</f>
        <v>@drfahrettinkoca publish the guide.</v>
      </c>
    </row>
    <row r="13380" spans="1:5" ht="15" customHeight="1" x14ac:dyDescent="0.2">
      <c r="A13380" s="1" t="s">
        <v>26349</v>
      </c>
      <c r="B13380" s="1">
        <v>0</v>
      </c>
      <c r="C13380" s="3">
        <v>44532.737662037034</v>
      </c>
      <c r="D13380" s="1" t="s">
        <v>26350</v>
      </c>
      <c r="E13380" s="1" t="str">
        <f ca="1">IFERROR(__xludf.DUMMYFUNCTION("GOOGLETRANSLATE(A10179 , ""tr"" , ""en"")"),"@drfahrettinkoca nobody can be mixed in everyone's life 😁")</f>
        <v>@drfahrettinkoca nobody can be mixed in everyone's life 😁</v>
      </c>
    </row>
    <row r="13381" spans="1:5" ht="15" customHeight="1" x14ac:dyDescent="0.2">
      <c r="A13381" s="1" t="s">
        <v>26351</v>
      </c>
      <c r="B13381" s="1">
        <v>303</v>
      </c>
      <c r="C13381" s="3">
        <v>44532.737546296295</v>
      </c>
      <c r="D13381" s="1" t="s">
        <v>26352</v>
      </c>
      <c r="E13381" s="1" t="str">
        <f ca="1">IFERROR(__xludf.DUMMYFUNCTION("GOOGLETRANSLATE(A10180 , ""tr"" , ""en"")"),"@drfahrettinkoca still can't believe this man believes, in the first months, the distance and cleanliness said the Hijbirsey cases ... https://t.co/kggiiws58y")</f>
        <v>@drfahrettinkoca still can't believe this man believes, in the first months, the distance and cleanliness said the Hijbirsey cases ... https://t.co/kggiiws58y</v>
      </c>
    </row>
    <row r="13382" spans="1:5" ht="15" customHeight="1" x14ac:dyDescent="0.2">
      <c r="A13382" s="1" t="s">
        <v>26353</v>
      </c>
      <c r="B13382" s="1">
        <v>0</v>
      </c>
      <c r="C13382" s="3">
        <v>44532.737488425926</v>
      </c>
      <c r="D13382" s="1" t="s">
        <v>26354</v>
      </c>
      <c r="E13382" s="1" t="str">
        <f ca="1">IFERROR(__xludf.DUMMYFUNCTION("GOOGLETRANSLATE(A10181 , ""tr"" , ""en"")"),"@drfahrettinkoca how to take precautions to GERMANIZE GIVELS A little bit of Malum are jealous of us ..")</f>
        <v>@drfahrettinkoca how to take precautions to GERMANIZE GIVELS A little bit of Malum are jealous of us ..</v>
      </c>
    </row>
    <row r="13383" spans="1:5" ht="15" customHeight="1" x14ac:dyDescent="0.2">
      <c r="A13383" s="1" t="s">
        <v>26355</v>
      </c>
      <c r="B13383" s="1">
        <v>1</v>
      </c>
      <c r="C13383" s="3">
        <v>44532.737476851849</v>
      </c>
      <c r="D13383" s="1" t="s">
        <v>26356</v>
      </c>
      <c r="E13383" s="1" t="str">
        <f ca="1">IFERROR(__xludf.DUMMYFUNCTION("GOOGLETRANSLATE(A10182 , ""tr"" , ""en"")"),"@drfahrettinkoca quit quit resignation")</f>
        <v>@drfahrettinkoca quit quit resignation</v>
      </c>
    </row>
    <row r="13384" spans="1:5" ht="15" customHeight="1" x14ac:dyDescent="0.2">
      <c r="A13384" s="1" t="s">
        <v>26357</v>
      </c>
      <c r="B13384" s="1">
        <v>5</v>
      </c>
      <c r="C13384" s="3">
        <v>44532.737372685187</v>
      </c>
      <c r="D13384" s="1" t="s">
        <v>26358</v>
      </c>
      <c r="E13384" s="1" t="str">
        <f ca="1">IFERROR(__xludf.DUMMYFUNCTION("GOOGLETRANSLATE(A10183 , ""tr"" , ""en"")"),"@drfahrettinkoca We are the same as 1 year ago we didn't change this is the reason you are the guailer")</f>
        <v>@drfahrettinkoca We are the same as 1 year ago we didn't change this is the reason you are the guailer</v>
      </c>
    </row>
    <row r="13385" spans="1:5" ht="15" customHeight="1" x14ac:dyDescent="0.2">
      <c r="A13385" s="1" t="s">
        <v>26359</v>
      </c>
      <c r="B13385" s="1">
        <v>0</v>
      </c>
      <c r="C13385" s="3">
        <v>44532.737361111111</v>
      </c>
      <c r="D13385" s="1" t="s">
        <v>26360</v>
      </c>
      <c r="E13385" s="1" t="str">
        <f ca="1">IFERROR(__xludf.DUMMYFUNCTION("GOOGLETRANSLATE(A10184 , ""tr"" , ""en"")"),"@drfahrettinkoca is waiting for the guide for assignment Mr. Minister")</f>
        <v>@drfahrettinkoca is waiting for the guide for assignment Mr. Minister</v>
      </c>
    </row>
    <row r="13386" spans="1:5" ht="15" customHeight="1" x14ac:dyDescent="0.2">
      <c r="A13386" s="1" t="s">
        <v>26361</v>
      </c>
      <c r="B13386" s="1">
        <v>13</v>
      </c>
      <c r="C13386" s="3">
        <v>44532.737314814818</v>
      </c>
      <c r="D13386" s="1" t="s">
        <v>26362</v>
      </c>
      <c r="E13386" s="1" t="str">
        <f ca="1">IFERROR(__xludf.DUMMYFUNCTION("GOOGLETRANSLATE(A10185 , ""tr"" , ""en"")"),"@drfahrettinka we are good we are NABIYON. You have ruined the vaccine with the presence and closures of the economy, one of the pi ... https://t.co/ICBQMH8D14")</f>
        <v>@drfahrettinka we are good we are NABIYON. You have ruined the vaccine with the presence and closures of the economy, one of the pi ... https://t.co/ICBQMH8D14</v>
      </c>
    </row>
    <row r="13387" spans="1:5" ht="15" customHeight="1" x14ac:dyDescent="0.2">
      <c r="A13387" s="1" t="s">
        <v>26363</v>
      </c>
      <c r="B13387" s="1">
        <v>2</v>
      </c>
      <c r="C13387" s="3">
        <v>44532.737268518518</v>
      </c>
      <c r="D13387" s="1" t="s">
        <v>26364</v>
      </c>
      <c r="E13387" s="1" t="str">
        <f ca="1">IFERROR(__xludf.DUMMYFUNCTION("GOOGLETRANSLATE(A10186 , ""tr"" , ""en"")"),"@drfahrettinkoca Yes vaccine is very important in this case people who make vaccination are also very important. But know what to see what is going on # Healthconship")</f>
        <v>@drfahrettinkoca Yes vaccine is very important in this case people who make vaccination are also very important. But know what to see what is going on # Healthconship</v>
      </c>
    </row>
    <row r="13388" spans="1:5" ht="15" customHeight="1" x14ac:dyDescent="0.2">
      <c r="A13388" s="1" t="s">
        <v>26365</v>
      </c>
      <c r="B13388" s="1">
        <v>1</v>
      </c>
      <c r="C13388" s="3">
        <v>44532.737222222226</v>
      </c>
      <c r="D13388" s="1" t="s">
        <v>26366</v>
      </c>
      <c r="E13388" s="1" t="str">
        <f ca="1">IFERROR(__xludf.DUMMYFUNCTION("GOOGLETRANSLATE(A10187 , ""tr"" , ""en"")"),"@drfahrettinkoca We are tired of us if you are quit")</f>
        <v>@drfahrettinkoca We are tired of us if you are quit</v>
      </c>
    </row>
    <row r="13389" spans="1:5" ht="15" customHeight="1" x14ac:dyDescent="0.2">
      <c r="A13389" s="1" t="s">
        <v>26367</v>
      </c>
      <c r="B13389" s="1">
        <v>30</v>
      </c>
      <c r="C13389" s="3">
        <v>44532.737175925926</v>
      </c>
      <c r="D13389" s="1" t="s">
        <v>26368</v>
      </c>
      <c r="E13389" s="1" t="str">
        <f ca="1">IFERROR(__xludf.DUMMYFUNCTION("GOOGLETRANSLATE(A10188 , ""tr"" , ""en"")"),"@drfahrettinkoca cases of cases came in the shower of the world in Germany, the world also fails to fall at death rate but what https://t.co/e3ztxlcil4")</f>
        <v>@drfahrettinkoca cases of cases came in the shower of the world in Germany, the world also fails to fall at death rate but what https://t.co/e3ztxlcil4</v>
      </c>
    </row>
    <row r="13390" spans="1:5" ht="15" customHeight="1" x14ac:dyDescent="0.2">
      <c r="A13390" s="1" t="s">
        <v>26357</v>
      </c>
      <c r="B13390" s="1">
        <v>1</v>
      </c>
      <c r="C13390" s="3">
        <v>44532.73715277778</v>
      </c>
      <c r="D13390" s="1" t="s">
        <v>26369</v>
      </c>
      <c r="E13390" s="1" t="str">
        <f ca="1">IFERROR(__xludf.DUMMYFUNCTION("GOOGLETRANSLATE(A10189 , ""tr"" , ""en"")"),"@drfahrettinkoca We are the same as 1 year ago we didn't change this is the reason you are the guailer")</f>
        <v>@drfahrettinkoca We are the same as 1 year ago we didn't change this is the reason you are the guailer</v>
      </c>
    </row>
    <row r="13391" spans="1:5" ht="15" customHeight="1" x14ac:dyDescent="0.2">
      <c r="A13391" s="1" t="s">
        <v>26370</v>
      </c>
      <c r="B13391" s="1">
        <v>56</v>
      </c>
      <c r="C13391" s="3">
        <v>44532.737118055556</v>
      </c>
      <c r="D13391" s="1" t="s">
        <v>26371</v>
      </c>
      <c r="E13391" s="1" t="str">
        <f ca="1">IFERROR(__xludf.DUMMYFUNCTION("GOOGLETRANSLATE(A10190 , ""tr"" , ""en"")"),"@drfahrettinka Mr. Husband! While discarding these tivites, Mr. Erdogan wants us to be given ??")</f>
        <v>@drfahrettinka Mr. Husband! While discarding these tivites, Mr. Erdogan wants us to be given ??</v>
      </c>
    </row>
    <row r="13392" spans="1:5" ht="15" customHeight="1" x14ac:dyDescent="0.2">
      <c r="A13392" s="1" t="s">
        <v>26357</v>
      </c>
      <c r="B13392" s="1">
        <v>1</v>
      </c>
      <c r="C13392" s="3">
        <v>44532.736944444441</v>
      </c>
      <c r="D13392" s="1" t="s">
        <v>26372</v>
      </c>
      <c r="E13392" s="1" t="str">
        <f ca="1">IFERROR(__xludf.DUMMYFUNCTION("GOOGLETRANSLATE(A10191 , ""tr"" , ""en"")"),"@drfahrettinkoca We are the same as 1 year ago we didn't change this is the reason you are the guailer")</f>
        <v>@drfahrettinkoca We are the same as 1 year ago we didn't change this is the reason you are the guailer</v>
      </c>
    </row>
    <row r="13393" spans="1:5" ht="15" customHeight="1" x14ac:dyDescent="0.2">
      <c r="A13393" s="1" t="s">
        <v>26373</v>
      </c>
      <c r="B13393" s="1">
        <v>0</v>
      </c>
      <c r="C13393" s="3">
        <v>44532.736921296295</v>
      </c>
      <c r="D13393" s="1" t="s">
        <v>26374</v>
      </c>
      <c r="E13393" s="1" t="str">
        <f ca="1">IFERROR(__xludf.DUMMYFUNCTION("GOOGLETRANSLATE(A10192 , ""tr"" , ""en"")"),"@drfahrettinkoca Did you get permission from our president for this description")</f>
        <v>@drfahrettinkoca Did you get permission from our president for this description</v>
      </c>
    </row>
    <row r="13394" spans="1:5" ht="15" customHeight="1" x14ac:dyDescent="0.2">
      <c r="A13394" s="1" t="s">
        <v>26375</v>
      </c>
      <c r="B13394" s="1">
        <v>0</v>
      </c>
      <c r="C13394" s="3">
        <v>44532.736909722225</v>
      </c>
      <c r="D13394" s="1" t="s">
        <v>26376</v>
      </c>
      <c r="E13394" s="1" t="str">
        <f ca="1">IFERROR(__xludf.DUMMYFUNCTION("GOOGLETRANSLATE(A10193 , ""tr"" , ""en"")"),"@drfahrettinkoca mask mask mask. There is a dynamic Duzen antibody decreases to decrease these people booster area ... https://t.co/zurel09kpp")</f>
        <v>@drfahrettinkoca mask mask mask. There is a dynamic Duzen antibody decreases to decrease these people booster area ... https://t.co/zurel09kpp</v>
      </c>
    </row>
    <row r="13395" spans="1:5" ht="15" customHeight="1" x14ac:dyDescent="0.2">
      <c r="A13395" s="1" t="s">
        <v>26377</v>
      </c>
      <c r="B13395" s="1">
        <v>1</v>
      </c>
      <c r="C13395" s="3">
        <v>44532.736898148149</v>
      </c>
      <c r="D13395" s="1" t="s">
        <v>26378</v>
      </c>
      <c r="E13395" s="1" t="str">
        <f ca="1">IFERROR(__xludf.DUMMYFUNCTION("GOOGLETRANSLATE(A10194 , ""tr"" , ""en"")"),"@drfahrettinka explain real cases cowardly fahrettin husband")</f>
        <v>@drfahrettinka explain real cases cowardly fahrettin husband</v>
      </c>
    </row>
    <row r="13396" spans="1:5" ht="15" customHeight="1" x14ac:dyDescent="0.2">
      <c r="A13396" s="1" t="s">
        <v>26379</v>
      </c>
      <c r="B13396" s="1">
        <v>0</v>
      </c>
      <c r="C13396" s="3">
        <v>44532.736840277779</v>
      </c>
      <c r="D13396" s="1" t="s">
        <v>26380</v>
      </c>
      <c r="E13396" s="1" t="str">
        <f ca="1">IFERROR(__xludf.DUMMYFUNCTION("GOOGLETRANSLATE(A10195 , ""tr"" , ""en"")"),"@drfahrettinkoca prisons quarantinal to work at a moment to study SYN")</f>
        <v>@drfahrettinkoca prisons quarantinal to work at a moment to study SYN</v>
      </c>
    </row>
    <row r="13397" spans="1:5" ht="15" customHeight="1" x14ac:dyDescent="0.2">
      <c r="A13397" s="1" t="s">
        <v>26381</v>
      </c>
      <c r="B13397" s="1">
        <v>0</v>
      </c>
      <c r="C13397" s="3">
        <v>44532.73678240741</v>
      </c>
      <c r="D13397" s="1" t="s">
        <v>26382</v>
      </c>
      <c r="E13397" s="1" t="str">
        <f ca="1">IFERROR(__xludf.DUMMYFUNCTION("GOOGLETRANSLATE(A10196 , ""tr"" , ""en"")"),"@drfahrettinka explain real cases")</f>
        <v>@drfahrettinka explain real cases</v>
      </c>
    </row>
    <row r="13398" spans="1:5" ht="15" customHeight="1" x14ac:dyDescent="0.2">
      <c r="A13398" s="1" t="s">
        <v>26383</v>
      </c>
      <c r="B13398" s="1">
        <v>3</v>
      </c>
      <c r="C13398" s="3">
        <v>44532.736724537041</v>
      </c>
      <c r="D13398" s="1" t="s">
        <v>26384</v>
      </c>
      <c r="E13398" s="1" t="str">
        <f ca="1">IFERROR(__xludf.DUMMYFUNCTION("GOOGLETRANSLATE(A10197 , ""tr"" , ""en"")"),"@drfahrettinkoca Each Gun Sayi Cayi Cairy Sinifta Nasil We can be careful with insoles")</f>
        <v>@drfahrettinkoca Each Gun Sayi Cayi Cairy Sinifta Nasil We can be careful with insoles</v>
      </c>
    </row>
    <row r="13399" spans="1:5" ht="15" customHeight="1" x14ac:dyDescent="0.2">
      <c r="A13399" s="1" t="s">
        <v>26385</v>
      </c>
      <c r="B13399" s="1">
        <v>0</v>
      </c>
      <c r="C13399" s="3">
        <v>44533.945011574076</v>
      </c>
      <c r="D13399" s="1" t="s">
        <v>26386</v>
      </c>
      <c r="E13399" s="1" t="str">
        <f ca="1">IFERROR(__xludf.DUMMYFUNCTION("GOOGLETRANSLATE(A10198 , ""tr"" , ""en"")"),"@drfahrettinkoca you have broken hopes Break your hopes Hope the sin is sin")</f>
        <v>@drfahrettinkoca you have broken hopes Break your hopes Hope the sin is sin</v>
      </c>
    </row>
    <row r="13400" spans="1:5" ht="15" customHeight="1" x14ac:dyDescent="0.2">
      <c r="A13400" s="1" t="s">
        <v>26387</v>
      </c>
      <c r="B13400" s="1">
        <v>0</v>
      </c>
      <c r="C13400" s="3">
        <v>44533.935532407406</v>
      </c>
      <c r="D13400" s="1" t="s">
        <v>26388</v>
      </c>
      <c r="E13400" s="1" t="str">
        <f ca="1">IFERROR(__xludf.DUMMYFUNCTION("GOOGLETRANSLATE(A10199 , ""tr"" , ""en"")"),"@drfahrettinkoca çokkenkilki Make Basies Dies Dying Babies If I live in this land and Turkish Wat ... https://t.co/n2t6vvnxmx")</f>
        <v>@drfahrettinkoca çokkenkilki Make Basies Dies Dying Babies If I live in this land and Turkish Wat ... https://t.co/n2t6vvnxmx</v>
      </c>
    </row>
    <row r="13401" spans="1:5" ht="15" customHeight="1" x14ac:dyDescent="0.2">
      <c r="A13401" s="1" t="s">
        <v>26389</v>
      </c>
      <c r="B13401" s="1">
        <v>0</v>
      </c>
      <c r="C13401" s="3">
        <v>44533.892418981479</v>
      </c>
      <c r="D13401" s="1" t="s">
        <v>26390</v>
      </c>
      <c r="E13401" s="1" t="str">
        <f ca="1">IFERROR(__xludf.DUMMYFUNCTION("GOOGLETRANSLATE(A10200 , ""tr"" , ""en"")"),"@drfahrettinka yaz hale hale hale hale hale hale hale hale hale hale hale hale hale hale hale hale hale hale hale haleize")</f>
        <v>@drfahrettinka yaz hale hale hale hale hale hale hale hale hale hale hale hale hale hale hale hale hale hale hale haleize</v>
      </c>
    </row>
    <row r="13402" spans="1:5" ht="15" customHeight="1" x14ac:dyDescent="0.2">
      <c r="A13402" s="1" t="s">
        <v>26391</v>
      </c>
      <c r="B13402" s="1">
        <v>0</v>
      </c>
      <c r="C13402" s="3">
        <v>44533.794930555552</v>
      </c>
      <c r="D13402" s="1" t="s">
        <v>26392</v>
      </c>
      <c r="E13402" s="1" t="str">
        <f ca="1">IFERROR(__xludf.DUMMYFUNCTION("GOOGLETRANSLATE(A10201 , ""tr"" , ""en"")"),"@drfahrettinkoca I don't trust this man Zerrece I won't be anything that is auspicious")</f>
        <v>@drfahrettinkoca I don't trust this man Zerrece I won't be anything that is auspicious</v>
      </c>
    </row>
    <row r="13403" spans="1:5" ht="15" customHeight="1" x14ac:dyDescent="0.2">
      <c r="A13403" s="1" t="s">
        <v>26393</v>
      </c>
      <c r="B13403" s="1">
        <v>1</v>
      </c>
      <c r="C13403" s="3">
        <v>44532.977835648147</v>
      </c>
      <c r="D13403" s="1" t="s">
        <v>26394</v>
      </c>
      <c r="E13403" s="1" t="str">
        <f ca="1">IFERROR(__xludf.DUMMYFUNCTION("GOOGLETRANSLATE(A10202 , ""tr"" , ""en"")"),"@drfahrettinkoca dying, lost the right to treat, commit suicide for her baby all babies and families and families ... https://t.co/Iqvvvtftkqy")</f>
        <v>@drfahrettinkoca dying, lost the right to treat, commit suicide for her baby all babies and families and families ... https://t.co/Iqvvvtftkqy</v>
      </c>
    </row>
    <row r="13404" spans="1:5" ht="15" customHeight="1" x14ac:dyDescent="0.2">
      <c r="A13404" s="1" t="s">
        <v>26395</v>
      </c>
      <c r="B13404" s="1">
        <v>0</v>
      </c>
      <c r="C13404" s="3">
        <v>44532.972395833334</v>
      </c>
      <c r="D13404" s="1" t="s">
        <v>26396</v>
      </c>
      <c r="E13404" s="1" t="str">
        <f ca="1">IFERROR(__xludf.DUMMYFUNCTION("GOOGLETRANSLATE(A10203 , ""tr"" , ""en"")"),"@drfahrettinkoca Why didn't a statement be made with drug?")</f>
        <v>@drfahrettinkoca Why didn't a statement be made with drug?</v>
      </c>
    </row>
    <row r="13405" spans="1:5" ht="15" customHeight="1" x14ac:dyDescent="0.2">
      <c r="A13405" s="1" t="s">
        <v>16190</v>
      </c>
      <c r="B13405" s="1">
        <v>0</v>
      </c>
      <c r="C13405" s="3">
        <v>44532.962094907409</v>
      </c>
      <c r="D13405" s="1" t="s">
        <v>26397</v>
      </c>
      <c r="E13405" s="1" t="str">
        <f ca="1">IFERROR(__xludf.DUMMYFUNCTION("GOOGLETRANSLATE(A10204 , ""tr"" , ""en"")"),"@drfahrettinkoca defolup goes the country if you get rid of you vaccine merchant resign")</f>
        <v>@drfahrettinkoca defolup goes the country if you get rid of you vaccine merchant resign</v>
      </c>
    </row>
    <row r="13406" spans="1:5" ht="15" customHeight="1" x14ac:dyDescent="0.2">
      <c r="A13406" s="1" t="s">
        <v>26398</v>
      </c>
      <c r="B13406" s="1">
        <v>1</v>
      </c>
      <c r="C13406" s="3">
        <v>44532.953310185185</v>
      </c>
      <c r="D13406" s="1" t="s">
        <v>26399</v>
      </c>
      <c r="E13406" s="1" t="str">
        <f ca="1">IFERROR(__xludf.DUMMYFUNCTION("GOOGLETRANSLATE(A10205 , ""tr"" , ""en"")"),"@drfahrettinkca you all destroyed us all.")</f>
        <v>@drfahrettinkca you all destroyed us all.</v>
      </c>
    </row>
    <row r="13407" spans="1:5" ht="15" customHeight="1" x14ac:dyDescent="0.2">
      <c r="A13407" s="1" t="s">
        <v>26400</v>
      </c>
      <c r="B13407" s="1">
        <v>1</v>
      </c>
      <c r="C13407" s="3">
        <v>44532.939837962964</v>
      </c>
      <c r="D13407" s="1" t="s">
        <v>26401</v>
      </c>
      <c r="E13407" s="1" t="str">
        <f ca="1">IFERROR(__xludf.DUMMYFUNCTION("GOOGLETRANSLATE(A10206 , ""tr"" , ""en"")"),"@drfahrettinkoca You have made the necessary descriptions for SMA patients, although you are faced with the public ... https://t.co/5qm2joblxo")</f>
        <v>@drfahrettinkoca You have made the necessary descriptions for SMA patients, although you are faced with the public ... https://t.co/5qm2joblxo</v>
      </c>
    </row>
    <row r="13408" spans="1:5" ht="15" customHeight="1" x14ac:dyDescent="0.2">
      <c r="A13408" s="1" t="s">
        <v>26402</v>
      </c>
      <c r="B13408" s="1">
        <v>0</v>
      </c>
      <c r="C13408" s="3">
        <v>44532.925532407404</v>
      </c>
      <c r="D13408" s="1" t="s">
        <v>26403</v>
      </c>
      <c r="E13408" s="1" t="str">
        <f ca="1">IFERROR(__xludf.DUMMYFUNCTION("GOOGLETRANSLATE(A10207 , ""tr"" , ""en"")"),"@drfahrettinkoca #smayamutlusonolsun zolgensma are you going to explore what is used for the purpose of the drug? Joking? ... https://t.co/bxel2xqqhd")</f>
        <v>@drfahrettinkoca #smayamutlusonolsun zolgensma are you going to explore what is used for the purpose of the drug? Joking? ... https://t.co/bxel2xqqhd</v>
      </c>
    </row>
    <row r="13409" spans="1:5" ht="15" customHeight="1" x14ac:dyDescent="0.2">
      <c r="A13409" s="1" t="s">
        <v>26404</v>
      </c>
      <c r="B13409" s="1">
        <v>1</v>
      </c>
      <c r="C13409" s="3">
        <v>44532.92359953704</v>
      </c>
      <c r="D13409" s="1" t="s">
        <v>26405</v>
      </c>
      <c r="E13409" s="1" t="str">
        <f ca="1">IFERROR(__xludf.DUMMYFUNCTION("GOOGLETRANSLATE(A10208 , ""tr"" , ""en"")"),"@drfahrettinkoca 6 days ago I said. Noldu now? You keep embarrassment, we work. #mayasesveres ... https://t.co/myqymsebzh")</f>
        <v>@drfahrettinkoca 6 days ago I said. Noldu now? You keep embarrassment, we work. #mayasesveres ... https://t.co/myqymsebzh</v>
      </c>
    </row>
    <row r="13410" spans="1:5" ht="15" customHeight="1" x14ac:dyDescent="0.2">
      <c r="A13410" s="1" t="s">
        <v>26406</v>
      </c>
      <c r="B13410" s="1">
        <v>0</v>
      </c>
      <c r="C13410" s="3">
        <v>44532.919363425928</v>
      </c>
      <c r="D13410" s="1" t="s">
        <v>26407</v>
      </c>
      <c r="E13410" s="1" t="str">
        <f ca="1">IFERROR(__xludf.DUMMYFUNCTION("GOOGLETRANSLATE(A10209 , ""tr"" , ""en"")"),"@drfahrettinkoca so these guys were left to death again. This time I hope the decision to get will be surprised that they are surprised ... https://t.co/prz7gfaluw")</f>
        <v>@drfahrettinkoca so these guys were left to death again. This time I hope the decision to get will be surprised that they are surprised ... https://t.co/prz7gfaluw</v>
      </c>
    </row>
    <row r="13411" spans="1:5" ht="15" customHeight="1" x14ac:dyDescent="0.2">
      <c r="A13411" s="1" t="s">
        <v>26408</v>
      </c>
      <c r="B13411" s="1">
        <v>0</v>
      </c>
      <c r="C13411" s="3">
        <v>44532.919340277775</v>
      </c>
      <c r="D13411" s="1" t="s">
        <v>26409</v>
      </c>
      <c r="E13411" s="1" t="str">
        <f ca="1">IFERROR(__xludf.DUMMYFUNCTION("GOOGLETRANSLATE(A10210 , ""tr"" , ""en"")"),"@drfahrettinka If this state is the ointment of the state, you hear the sound of SMA families. Leave now Blue ... https://t.co/sps5eopIus")</f>
        <v>@drfahrettinka If this state is the ointment of the state, you hear the sound of SMA families. Leave now Blue ... https://t.co/sps5eopIus</v>
      </c>
    </row>
    <row r="13412" spans="1:5" ht="15" customHeight="1" x14ac:dyDescent="0.2">
      <c r="A13412" s="1" t="s">
        <v>26410</v>
      </c>
      <c r="B13412" s="1">
        <v>0</v>
      </c>
      <c r="C13412" s="3">
        <v>44532.913483796299</v>
      </c>
      <c r="D13412" s="1" t="s">
        <v>26411</v>
      </c>
      <c r="E13412" s="1" t="str">
        <f ca="1">IFERROR(__xludf.DUMMYFUNCTION("GOOGLETRANSLATE(A10211 , ""tr"" , ""en"")"),"@drfahrettinkoca You are not realizing that you are currently doing mass slaughter Do you say you are a doctor; Ulke ... https://t.co/ke7yf5lmmq")</f>
        <v>@drfahrettinkoca You are not realizing that you are currently doing mass slaughter Do you say you are a doctor; Ulke ... https://t.co/ke7yf5lmmq</v>
      </c>
    </row>
    <row r="13413" spans="1:5" ht="15" customHeight="1" x14ac:dyDescent="0.2">
      <c r="A13413" s="1" t="s">
        <v>26412</v>
      </c>
      <c r="B13413" s="1">
        <v>0</v>
      </c>
      <c r="C13413" s="3">
        <v>44532.902777777781</v>
      </c>
      <c r="D13413" s="1" t="s">
        <v>26413</v>
      </c>
      <c r="E13413" s="1" t="str">
        <f ca="1">IFERROR(__xludf.DUMMYFUNCTION("GOOGLETRANSLATE(A10212 , ""tr"" , ""en"")"),"@drfahrettinkoca Is the permission taken? What did he say?")</f>
        <v>@drfahrettinkoca Is the permission taken? What did he say?</v>
      </c>
    </row>
    <row r="13414" spans="1:5" ht="15" customHeight="1" x14ac:dyDescent="0.2">
      <c r="A13414" s="1" t="s">
        <v>26414</v>
      </c>
      <c r="B13414" s="1">
        <v>0</v>
      </c>
      <c r="C13414" s="3">
        <v>44532.898530092592</v>
      </c>
      <c r="D13414" s="1" t="s">
        <v>26415</v>
      </c>
      <c r="E13414" s="1" t="str">
        <f ca="1">IFERROR(__xludf.DUMMYFUNCTION("GOOGLETRANSLATE(A10213 , ""tr"" , ""en"")"),"@drfahrettinkoca Filim Board has no relevance to science. They get our money in vain")</f>
        <v>@drfahrettinkoca Filim Board has no relevance to science. They get our money in vain</v>
      </c>
    </row>
    <row r="13415" spans="1:5" ht="15" customHeight="1" x14ac:dyDescent="0.2">
      <c r="A13415" s="1" t="s">
        <v>26416</v>
      </c>
      <c r="B13415" s="1">
        <v>1</v>
      </c>
      <c r="C13415" s="3">
        <v>44532.88652777778</v>
      </c>
      <c r="D13415" s="1" t="s">
        <v>26417</v>
      </c>
      <c r="E13415" s="1" t="str">
        <f ca="1">IFERROR(__xludf.DUMMYFUNCTION("GOOGLETRANSLATE(A10214 , ""tr"" , ""en"")"),"@drfahrettinkoca Mr. Ministry Bring the medicine the religion is no longer the pain of the patients in the families of families in Turkey's hitches ... https://t.co/kmysq2hzzm")</f>
        <v>@drfahrettinkoca Mr. Ministry Bring the medicine the religion is no longer the pain of the patients in the families of families in Turkey's hitches ... https://t.co/kmysq2hzzm</v>
      </c>
    </row>
    <row r="13416" spans="1:5" ht="15" customHeight="1" x14ac:dyDescent="0.2">
      <c r="A13416" s="1" t="s">
        <v>26418</v>
      </c>
      <c r="B13416" s="1">
        <v>0</v>
      </c>
      <c r="C13416" s="3">
        <v>44532.871493055558</v>
      </c>
      <c r="D13416" s="1" t="s">
        <v>26419</v>
      </c>
      <c r="E13416" s="1" t="str">
        <f ca="1">IFERROR(__xludf.DUMMYFUNCTION("GOOGLETRANSLATE(A10215 , ""tr"" , ""en"")"),"@drfahrettinkoca Ministry of Health Organizing Dince Diagments Don't Get Married Out of Doctor Doctor?")</f>
        <v>@drfahrettinkoca Ministry of Health Organizing Dince Diagments Don't Get Married Out of Doctor Doctor?</v>
      </c>
    </row>
    <row r="13417" spans="1:5" ht="15" customHeight="1" x14ac:dyDescent="0.2">
      <c r="A13417" s="1" t="s">
        <v>26420</v>
      </c>
      <c r="B13417" s="1">
        <v>1</v>
      </c>
      <c r="C13417" s="3">
        <v>44532.865995370368</v>
      </c>
      <c r="D13417" s="1" t="s">
        <v>26421</v>
      </c>
      <c r="E13417" s="1" t="str">
        <f ca="1">IFERROR(__xludf.DUMMYFUNCTION("GOOGLETRANSLATE(A10216 , ""tr"" , ""en"")"),"@drfahrettinkoca teacher guide, my sister guided waits waiting for welcome, fruit gave fruits, decayed fruits, decayed, poured leaves")</f>
        <v>@drfahrettinkoca teacher guide, my sister guided waits waiting for welcome, fruit gave fruits, decayed fruits, decayed, poured leaves</v>
      </c>
    </row>
    <row r="13418" spans="1:5" ht="15" customHeight="1" x14ac:dyDescent="0.2">
      <c r="A13418" s="1" t="s">
        <v>26422</v>
      </c>
      <c r="B13418" s="1">
        <v>9</v>
      </c>
      <c r="C13418" s="3">
        <v>44532.862523148149</v>
      </c>
      <c r="D13418" s="1" t="s">
        <v>26423</v>
      </c>
      <c r="E13418" s="1" t="str">
        <f ca="1">IFERROR(__xludf.DUMMYFUNCTION("GOOGLETRANSLATE(A10217 , ""tr"" , ""en"")"),"@drfahrettinka Your disclosure of this explanation has been convicted of thousands of SMA LI baby in death. But we are the public ... https://t.co/ubdblb247o")</f>
        <v>@drfahrettinka Your disclosure of this explanation has been convicted of thousands of SMA LI baby in death. But we are the public ... https://t.co/ubdblb247o</v>
      </c>
    </row>
    <row r="13419" spans="1:5" ht="15" customHeight="1" x14ac:dyDescent="0.2">
      <c r="A13419" s="1" t="s">
        <v>26424</v>
      </c>
      <c r="B13419" s="1">
        <v>0</v>
      </c>
      <c r="C13419" s="3">
        <v>44532.861620370371</v>
      </c>
      <c r="D13419" s="1" t="s">
        <v>26425</v>
      </c>
      <c r="E13419" s="1" t="str">
        <f ca="1">IFERROR(__xludf.DUMMYFUNCTION("GOOGLETRANSLATE(A10218 , ""tr"" , ""en"")"),"@drfahrettinkoca assignment the fancy")</f>
        <v>@drfahrettinkoca assignment the fancy</v>
      </c>
    </row>
    <row r="13420" spans="1:5" ht="15" customHeight="1" x14ac:dyDescent="0.2">
      <c r="A13420" s="1" t="s">
        <v>26426</v>
      </c>
      <c r="B13420" s="1">
        <v>0</v>
      </c>
      <c r="C13420" s="3">
        <v>44532.860983796294</v>
      </c>
      <c r="D13420" s="1" t="s">
        <v>26427</v>
      </c>
      <c r="E13420" s="1" t="str">
        <f ca="1">IFERROR(__xludf.DUMMYFUNCTION("GOOGLETRANSLATE(A10219 , ""tr"" , ""en"")"),"@drfahrettinkoca have treatment for kids and you don't do them every child of each child who dies to your vebali sin")</f>
        <v>@drfahrettinkoca have treatment for kids and you don't do them every child of each child who dies to your vebali sin</v>
      </c>
    </row>
    <row r="13421" spans="1:5" ht="15" customHeight="1" x14ac:dyDescent="0.2">
      <c r="A13421" s="1" t="s">
        <v>26428</v>
      </c>
      <c r="B13421" s="1">
        <v>1</v>
      </c>
      <c r="C13421" s="3">
        <v>44532.860775462963</v>
      </c>
      <c r="D13421" s="1" t="s">
        <v>26429</v>
      </c>
      <c r="E13421" s="1" t="str">
        <f ca="1">IFERROR(__xludf.DUMMYFUNCTION("GOOGLETRANSLATE(A10220 , ""tr"" , ""en"")"),"@drfahrettinkoca @sma_elifsare You will help please 🤲")</f>
        <v>@drfahrettinkoca @sma_elifsare You will help please 🤲</v>
      </c>
    </row>
    <row r="13422" spans="1:5" ht="15" customHeight="1" x14ac:dyDescent="0.2">
      <c r="A13422" s="1" t="s">
        <v>26430</v>
      </c>
      <c r="B13422" s="1">
        <v>0</v>
      </c>
      <c r="C13422" s="3">
        <v>44532.85597222222</v>
      </c>
      <c r="D13422" s="1" t="s">
        <v>26431</v>
      </c>
      <c r="E13422" s="1" t="str">
        <f ca="1">IFERROR(__xludf.DUMMYFUNCTION("GOOGLETRANSLATE(A10221 , ""tr"" , ""en"")"),"@drfahrettinkoca hocam in my daughter's school 3 grade turned off this week most of them don't want to do the interest in the most parents ... https://t.co/wovasvwfzi")</f>
        <v>@drfahrettinkoca hocam in my daughter's school 3 grade turned off this week most of them don't want to do the interest in the most parents ... https://t.co/wovasvwfzi</v>
      </c>
    </row>
    <row r="13423" spans="1:5" ht="15" customHeight="1" x14ac:dyDescent="0.2">
      <c r="A13423" s="1" t="s">
        <v>16262</v>
      </c>
      <c r="B13423" s="1">
        <v>0</v>
      </c>
      <c r="C13423" s="3">
        <v>44532.854826388888</v>
      </c>
      <c r="D13423" s="1" t="s">
        <v>26432</v>
      </c>
      <c r="E13423" s="1" t="str">
        <f ca="1">IFERROR(__xludf.DUMMYFUNCTION("GOOGLETRANSLATE(A10222 , ""tr"" , ""en"")"),"@drfahrettinkoca.")</f>
        <v>@drfahrettinkoca.</v>
      </c>
    </row>
    <row r="13424" spans="1:5" ht="15" customHeight="1" x14ac:dyDescent="0.2">
      <c r="A13424" s="1" t="s">
        <v>26433</v>
      </c>
      <c r="B13424" s="1">
        <v>1</v>
      </c>
      <c r="C13424" s="3">
        <v>44532.847326388888</v>
      </c>
      <c r="D13424" s="1" t="s">
        <v>26434</v>
      </c>
      <c r="E13424" s="1" t="str">
        <f ca="1">IFERROR(__xludf.DUMMYFUNCTION("GOOGLETRANSLATE(A10223 , ""tr"" , ""en"")"),"@drfahrettinkoca These babies are suffering from pain and hungry enough no more please when you are cracking up to those babies ... https://t.co/4nw2e0fzut")</f>
        <v>@drfahrettinkoca These babies are suffering from pain and hungry enough no more please when you are cracking up to those babies ... https://t.co/4nw2e0fzut</v>
      </c>
    </row>
    <row r="13425" spans="1:5" ht="15" customHeight="1" x14ac:dyDescent="0.2">
      <c r="A13425" s="1" t="s">
        <v>26435</v>
      </c>
      <c r="B13425" s="1">
        <v>0</v>
      </c>
      <c r="C13425" s="3">
        <v>44532.846886574072</v>
      </c>
      <c r="D13425" s="1" t="s">
        <v>26436</v>
      </c>
      <c r="E13425" s="1" t="str">
        <f ca="1">IFERROR(__xludf.DUMMYFUNCTION("GOOGLETRANSLATE(A10224 , ""tr"" , ""en"")"),"@drfahrettinka you Varyal unconscious people who are communique of community of community Of the decisions that abandon the oluMs olum ... https://t.co/fmzrsh4hcr")</f>
        <v>@drfahrettinka you Varyal unconscious people who are communique of community of community Of the decisions that abandon the oluMs olum ... https://t.co/fmzrsh4hcr</v>
      </c>
    </row>
    <row r="13426" spans="1:5" ht="15" customHeight="1" x14ac:dyDescent="0.2">
      <c r="A13426" s="1" t="s">
        <v>26437</v>
      </c>
      <c r="B13426" s="1">
        <v>1</v>
      </c>
      <c r="C13426" s="3">
        <v>44532.843622685185</v>
      </c>
      <c r="D13426" s="1" t="s">
        <v>26438</v>
      </c>
      <c r="E13426" s="1" t="str">
        <f ca="1">IFERROR(__xludf.DUMMYFUNCTION("GOOGLETRANSLATE(A10225 , ""tr"" , ""en"")"),"@drfahrettinkoca is important to SMA patient baby needs your 1TL sine genius.")</f>
        <v>@drfahrettinkoca is important to SMA patient baby needs your 1TL sine genius.</v>
      </c>
    </row>
    <row r="13427" spans="1:5" ht="15" customHeight="1" x14ac:dyDescent="0.2">
      <c r="A13427" s="1" t="s">
        <v>26439</v>
      </c>
      <c r="B13427" s="1">
        <v>0</v>
      </c>
      <c r="C13427" s="3">
        <v>44532.840439814812</v>
      </c>
      <c r="D13427" s="1" t="s">
        <v>26440</v>
      </c>
      <c r="E13427" s="1" t="str">
        <f ca="1">IFERROR(__xludf.DUMMYFUNCTION("GOOGLETRANSLATE(A10226 , ""tr"" , ""en"")"),"@drfahrettinkoca you ran out and stopped. Didn't you say that SMA drugs were to be met Reirin")</f>
        <v>@drfahrettinkoca you ran out and stopped. Didn't you say that SMA drugs were to be met Reirin</v>
      </c>
    </row>
    <row r="13428" spans="1:5" ht="15" customHeight="1" x14ac:dyDescent="0.2">
      <c r="A13428" s="1" t="s">
        <v>26441</v>
      </c>
      <c r="B13428" s="1">
        <v>1</v>
      </c>
      <c r="C13428" s="3">
        <v>44532.838495370372</v>
      </c>
      <c r="D13428" s="1" t="s">
        <v>26442</v>
      </c>
      <c r="E13428" s="1" t="str">
        <f ca="1">IFERROR(__xludf.DUMMYFUNCTION("GOOGLETRANSLATE(A10227 , ""tr"" , ""en"")"),"@drfahrettinkoca #the smadegilbizgüç İyan by saying the Caspian Babeg and all SMA patient dolls these challenging fights ... https://t.co/tlsdckedp3")</f>
        <v>@drfahrettinkoca #the smadegilbizgüç İyan by saying the Caspian Babeg and all SMA patient dolls these challenging fights ... https://t.co/tlsdckedp3</v>
      </c>
    </row>
    <row r="13429" spans="1:5" ht="15" customHeight="1" x14ac:dyDescent="0.2">
      <c r="A13429" s="1" t="s">
        <v>26443</v>
      </c>
      <c r="B13429" s="1">
        <v>2</v>
      </c>
      <c r="C13429" s="3">
        <v>44532.838043981479</v>
      </c>
      <c r="D13429" s="1" t="s">
        <v>26444</v>
      </c>
      <c r="E13429" s="1" t="str">
        <f ca="1">IFERROR(__xludf.DUMMYFUNCTION("GOOGLETRANSLATE(A10228 , ""tr"" , ""en"")"),"@drfahrettinkoca # SmadegilbizGüç say by Caspian Babegg and all SMA patient dolls these challenging fights ... https://t.co/gcc7fxqyiw")</f>
        <v>@drfahrettinkoca # SmadegilbizGüç say by Caspian Babegg and all SMA patient dolls these challenging fights ... https://t.co/gcc7fxqyiw</v>
      </c>
    </row>
    <row r="13430" spans="1:5" ht="15" customHeight="1" x14ac:dyDescent="0.2">
      <c r="A13430" s="1" t="s">
        <v>26445</v>
      </c>
      <c r="B13430" s="1">
        <v>3</v>
      </c>
      <c r="C13430" s="3">
        <v>44532.830439814818</v>
      </c>
      <c r="D13430" s="1" t="s">
        <v>26446</v>
      </c>
      <c r="E13430" s="1" t="str">
        <f ca="1">IFERROR(__xludf.DUMMYFUNCTION("GOOGLETRANSLATE(A10229 , ""tr"" , ""en"")"),"If the risk is determined as a result of @drfahrettinka ??? ""Optionally"" tube doll therapy !!! will be welcomed for free. P ... https://t.co/82hue7trxj")</f>
        <v>If the risk is determined as a result of @drfahrettinka ??? "Optionally" tube doll therapy !!! will be welcomed for free. P ... https://t.co/82hue7trxj</v>
      </c>
    </row>
    <row r="13431" spans="1:5" ht="15" customHeight="1" x14ac:dyDescent="0.2">
      <c r="A13431" s="1" t="s">
        <v>26447</v>
      </c>
      <c r="B13431" s="1">
        <v>0</v>
      </c>
      <c r="C13431" s="3">
        <v>44532.830416666664</v>
      </c>
      <c r="D13431" s="1" t="s">
        <v>26448</v>
      </c>
      <c r="E13431" s="1" t="str">
        <f ca="1">IFERROR(__xludf.DUMMYFUNCTION("GOOGLETRANSLATE(A10230 , ""tr"" , ""en"")"),"@drfahrettinkoca guide is the assignment of the guide too soon the most soon stayed very little Covid Mi vaccine Make Vaccine vaccine in vaccine ... https://t.co/oruocjnosı")</f>
        <v>@drfahrettinkoca guide is the assignment of the guide too soon the most soon stayed very little Covid Mi vaccine Make Vaccine vaccine in vaccine ... https://t.co/oruocjnosı</v>
      </c>
    </row>
    <row r="13432" spans="1:5" ht="15" customHeight="1" x14ac:dyDescent="0.2">
      <c r="A13432" s="1" t="s">
        <v>26449</v>
      </c>
      <c r="B13432" s="1">
        <v>1</v>
      </c>
      <c r="C13432" s="3">
        <v>44532.82949074074</v>
      </c>
      <c r="D13432" s="1" t="s">
        <v>26450</v>
      </c>
      <c r="E13432" s="1" t="str">
        <f ca="1">IFERROR(__xludf.DUMMYFUNCTION("GOOGLETRANSLATE(A10231 , ""tr"" , ""en"")"),"@drfahrettinkoca Dear @drfahrettinkoca @rterdogan Where is the Health Assignment Guide? Months have hold of us still ... https://t.co/ID8czxmrjf")</f>
        <v>@drfahrettinkoca Dear @drfahrettinkoca @rterdogan Where is the Health Assignment Guide? Months have hold of us still ... https://t.co/ID8czxmrjf</v>
      </c>
    </row>
    <row r="13433" spans="1:5" ht="15" customHeight="1" x14ac:dyDescent="0.2">
      <c r="A13433" s="1" t="s">
        <v>26451</v>
      </c>
      <c r="B13433" s="1">
        <v>0</v>
      </c>
      <c r="C13433" s="3">
        <v>44532.823020833333</v>
      </c>
      <c r="D13433" s="1" t="s">
        <v>26452</v>
      </c>
      <c r="E13433" s="1" t="str">
        <f ca="1">IFERROR(__xludf.DUMMYFUNCTION("GOOGLETRANSLATE(A10232 , ""tr"" , ""en"")"),"@drfahrettinka you will stay more than you will stay more than those babies to suffer from fetry, a angel ... https://t.co/d103sp31vx")</f>
        <v>@drfahrettinka you will stay more than you will stay more than those babies to suffer from fetry, a angel ... https://t.co/d103sp31vx</v>
      </c>
    </row>
    <row r="13434" spans="1:5" ht="15" customHeight="1" x14ac:dyDescent="0.2">
      <c r="A13434" s="1" t="s">
        <v>26453</v>
      </c>
      <c r="B13434" s="1">
        <v>8</v>
      </c>
      <c r="C13434" s="3">
        <v>44532.822106481479</v>
      </c>
      <c r="D13434" s="1" t="s">
        <v>26454</v>
      </c>
      <c r="E13434" s="1" t="str">
        <f ca="1">IFERROR(__xludf.DUMMYFUNCTION("GOOGLETRANSLATE(A10233 , ""tr"" , ""en"")"),"@drfahrettinkoca We will steal each door, we will announce our voice everywhere. We have this offspring without good, what we receive ... https://t.co/q1r1rgmwp1")</f>
        <v>@drfahrettinkoca We will steal each door, we will announce our voice everywhere. We have this offspring without good, what we receive ... https://t.co/q1r1rgmwp1</v>
      </c>
    </row>
    <row r="13435" spans="1:5" ht="15" customHeight="1" x14ac:dyDescent="0.2">
      <c r="A13435" s="1" t="s">
        <v>26455</v>
      </c>
      <c r="B13435" s="1">
        <v>0</v>
      </c>
      <c r="C13435" s="3">
        <v>44532.815567129626</v>
      </c>
      <c r="D13435" s="1" t="s">
        <v>26456</v>
      </c>
      <c r="E13435" s="1" t="str">
        <f ca="1">IFERROR(__xludf.DUMMYFUNCTION("GOOGLETRANSLATE(A10234 , ""tr"" , ""en"")"),"@drfahrettinkoca Bring to Turkey to Turkey Save our Domestic Atin Babies! Families have no time to wait")</f>
        <v>@drfahrettinkoca Bring to Turkey to Turkey Save our Domestic Atin Babies! Families have no time to wait</v>
      </c>
    </row>
    <row r="13436" spans="1:5" ht="15" customHeight="1" x14ac:dyDescent="0.2">
      <c r="A13436" s="1" t="s">
        <v>26457</v>
      </c>
      <c r="B13436" s="1">
        <v>0</v>
      </c>
      <c r="C13436" s="3">
        <v>44532.81318287037</v>
      </c>
      <c r="D13436" s="1" t="s">
        <v>26458</v>
      </c>
      <c r="E13436" s="1" t="str">
        <f ca="1">IFERROR(__xludf.DUMMYFUNCTION("GOOGLETRANSLATE(A10235 , ""tr"" , ""en"")"),"@drfahrettinkoca @smabenimleru Available patients present what happened to Mr. Minister @drfahrettinkca precautions Tamm treatment What is happening ... HTTPS://T.CO/2EEPKNQILE")</f>
        <v>@drfahrettinkoca @smabenimleru Available patients present what happened to Mr. Minister @drfahrettinkca precautions Tamm treatment What is happening ... HTTPS://T.CO/2EEPKNQILE</v>
      </c>
    </row>
    <row r="13437" spans="1:5" ht="15" customHeight="1" x14ac:dyDescent="0.2">
      <c r="A13437" s="1" t="s">
        <v>26459</v>
      </c>
      <c r="B13437" s="1">
        <v>0</v>
      </c>
      <c r="C13437" s="3">
        <v>44532.799745370372</v>
      </c>
      <c r="D13437" s="1" t="s">
        <v>26460</v>
      </c>
      <c r="E13437" s="1" t="str">
        <f ca="1">IFERROR(__xludf.DUMMYFUNCTION("GOOGLETRANSLATE(A10236 , ""tr"" , ""en"")"),"@drfahrettinkoca Sayin Minister #drfahrettinka, I celebrate you for getting very scientific approached to SMA. Too ... https://t.co/fzg2ppphns3")</f>
        <v>@drfahrettinkoca Sayin Minister #drfahrettinka, I celebrate you for getting very scientific approached to SMA. Too ... https://t.co/fzg2ppphns3</v>
      </c>
    </row>
    <row r="13438" spans="1:5" ht="15" customHeight="1" x14ac:dyDescent="0.2">
      <c r="A13438" s="1" t="s">
        <v>26461</v>
      </c>
      <c r="B13438" s="1">
        <v>0</v>
      </c>
      <c r="C13438" s="3">
        <v>44532.798750000002</v>
      </c>
      <c r="D13438" s="1" t="s">
        <v>26462</v>
      </c>
      <c r="E13438" s="1" t="str">
        <f ca="1">IFERROR(__xludf.DUMMYFUNCTION("GOOGLETRANSLATE(A10237 , ""tr"" , ""en"")"),"@drfahrettinkoca you need to thank you for the decisions you get, your residue. This disease is the most efficient but at the same time ... https://t.co/8gx7t9szcv")</f>
        <v>@drfahrettinkoca you need to thank you for the decisions you get, your residue. This disease is the most efficient but at the same time ... https://t.co/8gx7t9szcv</v>
      </c>
    </row>
    <row r="13439" spans="1:5" ht="15" customHeight="1" x14ac:dyDescent="0.2">
      <c r="A13439" s="1" t="s">
        <v>26463</v>
      </c>
      <c r="B13439" s="1">
        <v>4</v>
      </c>
      <c r="C13439" s="3">
        <v>44532.79446759259</v>
      </c>
      <c r="D13439" s="1" t="s">
        <v>26464</v>
      </c>
      <c r="E13439" s="1" t="str">
        <f ca="1">IFERROR(__xludf.DUMMYFUNCTION("GOOGLETRANSLATE(A10238 , ""tr"" , ""en"")"),"@drfahrettinkoca #zolgensma medicine is the only drug necessary to live these offspring is a family of this medicine alone ... https://t.co/nmmf9kcnrf")</f>
        <v>@drfahrettinkoca #zolgensma medicine is the only drug necessary to live these offspring is a family of this medicine alone ... https://t.co/nmmf9kcnrf</v>
      </c>
    </row>
    <row r="13440" spans="1:5" ht="15" customHeight="1" x14ac:dyDescent="0.2">
      <c r="A13440" s="1" t="s">
        <v>26465</v>
      </c>
      <c r="B13440" s="1">
        <v>0</v>
      </c>
      <c r="C13440" s="3">
        <v>44532.793090277781</v>
      </c>
      <c r="D13440" s="1" t="s">
        <v>26466</v>
      </c>
      <c r="E13440" s="1" t="str">
        <f ca="1">IFERROR(__xludf.DUMMYFUNCTION("GOOGLETRANSLATE(A10239 , ""tr"" , ""en"")"),"@drfahrettinkoca you do not value the nurses that are in constant contact with the patient and why the teacher and the BCH are not worth the doctor.")</f>
        <v>@drfahrettinkoca you do not value the nurses that are in constant contact with the patient and why the teacher and the BCH are not worth the doctor.</v>
      </c>
    </row>
    <row r="13441" spans="1:5" ht="15" customHeight="1" x14ac:dyDescent="0.2">
      <c r="A13441" s="1" t="s">
        <v>26467</v>
      </c>
      <c r="B13441" s="1">
        <v>0</v>
      </c>
      <c r="C13441" s="3">
        <v>44532.792743055557</v>
      </c>
      <c r="D13441" s="1" t="s">
        <v>26468</v>
      </c>
      <c r="E13441" s="1" t="str">
        <f ca="1">IFERROR(__xludf.DUMMYFUNCTION("GOOGLETRANSLATE(A10240 , ""tr"" , ""en"")"),"@drfahrettinkoca @yagmurdeniz_sma @drfahrettinkoca We have these babies What do I don't have the Ministry of Mr. Let me count to death M ... https://t.co/ve8xlxembu")</f>
        <v>@drfahrettinkoca @yagmurdeniz_sma @drfahrettinkoca We have these babies What do I don't have the Ministry of Mr. Let me count to death M ... https://t.co/ve8xlxembu</v>
      </c>
    </row>
    <row r="13442" spans="1:5" ht="15" customHeight="1" x14ac:dyDescent="0.2">
      <c r="A13442" s="1" t="s">
        <v>26469</v>
      </c>
      <c r="B13442" s="1">
        <v>0</v>
      </c>
      <c r="C13442" s="3">
        <v>44532.792673611111</v>
      </c>
      <c r="D13442" s="1" t="s">
        <v>26470</v>
      </c>
      <c r="E13442" s="1" t="str">
        <f ca="1">IFERROR(__xludf.DUMMYFUNCTION("GOOGLETRANSLATE(A10241 , ""tr"" , ""en"")"),"@drfahrettinka Dear Minister The whole of the cake is to distribute to doctors and how fair the nurses are passing rust.")</f>
        <v>@drfahrettinka Dear Minister The whole of the cake is to distribute to doctors and how fair the nurses are passing rust.</v>
      </c>
    </row>
    <row r="13443" spans="1:5" ht="15" customHeight="1" x14ac:dyDescent="0.2">
      <c r="A13443" s="1" t="s">
        <v>26471</v>
      </c>
      <c r="B13443" s="1">
        <v>62</v>
      </c>
      <c r="C13443" s="3">
        <v>44532.792557870373</v>
      </c>
      <c r="D13443" s="1" t="s">
        <v>26472</v>
      </c>
      <c r="E13443" s="1" t="str">
        <f ca="1">IFERROR(__xludf.DUMMYFUNCTION("GOOGLETRANSLATE(A10242 , ""tr"" , ""en"")"),"@drfahrettinkoca We will steal each door, we will announce our voice everywhere. We have this offspring without good, what we received ... https://t.co/ya8yn2dxhq")</f>
        <v>@drfahrettinkoca We will steal each door, we will announce our voice everywhere. We have this offspring without good, what we received ... https://t.co/ya8yn2dxhq</v>
      </c>
    </row>
    <row r="13444" spans="1:5" ht="15" customHeight="1" x14ac:dyDescent="0.2">
      <c r="A13444" s="1" t="s">
        <v>26473</v>
      </c>
      <c r="B13444" s="1">
        <v>2</v>
      </c>
      <c r="C13444" s="3">
        <v>44532.79173611111</v>
      </c>
      <c r="D13444" s="1" t="s">
        <v>26474</v>
      </c>
      <c r="E13444" s="1" t="str">
        <f ca="1">IFERROR(__xludf.DUMMYFUNCTION("GOOGLETRANSLATE(A10243 , ""tr"" , ""en"")"),"@drfahrettinkoca Madem You are collected to determine that, explain, who is the patients you have detected? https://t.co/sr31Inroz5")</f>
        <v>@drfahrettinkoca Madem You are collected to determine that, explain, who is the patients you have detected? https://t.co/sr31Inroz5</v>
      </c>
    </row>
    <row r="13445" spans="1:5" ht="15" customHeight="1" x14ac:dyDescent="0.2">
      <c r="A13445" s="1" t="s">
        <v>26475</v>
      </c>
      <c r="B13445" s="1">
        <v>0</v>
      </c>
      <c r="C13445" s="3">
        <v>44532.791238425925</v>
      </c>
      <c r="D13445" s="1" t="s">
        <v>26476</v>
      </c>
      <c r="E13445" s="1" t="str">
        <f ca="1">IFERROR(__xludf.DUMMYFUNCTION("GOOGLETRANSLATE(A10244 , ""tr"" , ""en"")"),"@drfahrettinka https://t.co/ko7gozvrfy")</f>
        <v>@drfahrettinka https://t.co/ko7gozvrfy</v>
      </c>
    </row>
    <row r="13446" spans="1:5" ht="15" customHeight="1" x14ac:dyDescent="0.2">
      <c r="A13446" s="1" t="s">
        <v>26477</v>
      </c>
      <c r="B13446" s="1">
        <v>27</v>
      </c>
      <c r="C13446" s="3">
        <v>44532.791006944448</v>
      </c>
      <c r="D13446" s="1" t="s">
        <v>26478</v>
      </c>
      <c r="E13446" s="1" t="str">
        <f ca="1">IFERROR(__xludf.DUMMYFUNCTION("GOOGLETRANSLATE(A10245 , ""tr"" , ""en"")"),"@drfahrettinkoca I want this statement's account. Which patients can zolgensma be used in? Top for it ... https://t.co/renbwnlsy8")</f>
        <v>@drfahrettinkoca I want this statement's account. Which patients can zolgensma be used in? Top for it ... https://t.co/renbwnlsy8</v>
      </c>
    </row>
    <row r="13447" spans="1:5" ht="15" customHeight="1" x14ac:dyDescent="0.2">
      <c r="A13447" s="1" t="s">
        <v>26479</v>
      </c>
      <c r="B13447" s="1">
        <v>10</v>
      </c>
      <c r="C13447" s="3">
        <v>44532.79</v>
      </c>
      <c r="D13447" s="1" t="s">
        <v>26480</v>
      </c>
      <c r="E13447" s="1" t="str">
        <f ca="1">IFERROR(__xludf.DUMMYFUNCTION("GOOGLETRANSLATE(A10246 , ""tr"" , ""en"")"),"@drfahrettinkoca We will steal each door, we will announce our voice everywhere. We have taken these offspring without recovery ... https://t.co/mkmopokebe")</f>
        <v>@drfahrettinkoca We will steal each door, we will announce our voice everywhere. We have taken these offspring without recovery ... https://t.co/mkmopokebe</v>
      </c>
    </row>
    <row r="13448" spans="1:5" ht="15" customHeight="1" x14ac:dyDescent="0.2">
      <c r="A13448" s="1" t="s">
        <v>26481</v>
      </c>
      <c r="B13448" s="1">
        <v>1</v>
      </c>
      <c r="C13448" s="3">
        <v>44532.789537037039</v>
      </c>
      <c r="D13448" s="1" t="s">
        <v>26482</v>
      </c>
      <c r="E13448" s="1" t="str">
        <f ca="1">IFERROR(__xludf.DUMMYFUNCTION("GOOGLETRANSLATE(A10247 , ""tr"" , ""en"")"),"@drfahrettinkoca ata ma")</f>
        <v>@drfahrettinkoca ata ma</v>
      </c>
    </row>
    <row r="13449" spans="1:5" ht="15" customHeight="1" x14ac:dyDescent="0.2">
      <c r="A13449" s="1" t="s">
        <v>26483</v>
      </c>
      <c r="B13449" s="1">
        <v>0</v>
      </c>
      <c r="C13449" s="3">
        <v>44532.78638888889</v>
      </c>
      <c r="D13449" s="1" t="s">
        <v>26484</v>
      </c>
      <c r="E13449" s="1" t="str">
        <f ca="1">IFERROR(__xludf.DUMMYFUNCTION("GOOGLETRANSLATE(A10248 , ""tr"" , ""en"")"),"@drfahrettinkoca immediately quit the health ministry of the Ministry of Kovite.")</f>
        <v>@drfahrettinkoca immediately quit the health ministry of the Ministry of Kovite.</v>
      </c>
    </row>
    <row r="13450" spans="1:5" ht="15" customHeight="1" x14ac:dyDescent="0.2">
      <c r="A13450" s="1" t="s">
        <v>26485</v>
      </c>
      <c r="B13450" s="1">
        <v>0</v>
      </c>
      <c r="C13450" s="3">
        <v>44532.786192129628</v>
      </c>
      <c r="D13450" s="1" t="s">
        <v>26486</v>
      </c>
      <c r="E13450" s="1" t="str">
        <f ca="1">IFERROR(__xludf.DUMMYFUNCTION("GOOGLETRANSLATE(A10249 , ""tr"" , ""en"")"),"@drfahrettinkoca is an empty meeting again that the family is so much that SMA patient is waiting for this collection ... https://t.co/jbg1kfejvq")</f>
        <v>@drfahrettinkoca is an empty meeting again that the family is so much that SMA patient is waiting for this collection ... https://t.co/jbg1kfejvq</v>
      </c>
    </row>
    <row r="13451" spans="1:5" ht="15" customHeight="1" x14ac:dyDescent="0.2">
      <c r="A13451" s="1" t="s">
        <v>26487</v>
      </c>
      <c r="B13451" s="1">
        <v>2</v>
      </c>
      <c r="C13451" s="3">
        <v>44532.784479166665</v>
      </c>
      <c r="D13451" s="1" t="s">
        <v>26488</v>
      </c>
      <c r="E13451" s="1" t="str">
        <f ca="1">IFERROR(__xludf.DUMMYFUNCTION("GOOGLETRANSLATE(A10250 , ""tr"" , ""en"")"),"@drfahrettinkoca This is the Turkish Minister: This drug can be used in patients, we will determine the criteria. ... https://t.co/kgo6ualc6p")</f>
        <v>@drfahrettinkoca This is the Turkish Minister: This drug can be used in patients, we will determine the criteria. ... https://t.co/kgo6ualc6p</v>
      </c>
    </row>
    <row r="13452" spans="1:5" ht="15" customHeight="1" x14ac:dyDescent="0.2">
      <c r="A13452" s="1" t="s">
        <v>26489</v>
      </c>
      <c r="B13452" s="1">
        <v>3</v>
      </c>
      <c r="C13452" s="3">
        <v>44532.783009259256</v>
      </c>
      <c r="D13452" s="1" t="s">
        <v>26490</v>
      </c>
      <c r="E13452" s="1" t="str">
        <f ca="1">IFERROR(__xludf.DUMMYFUNCTION("GOOGLETRANSLATE(A10251 , ""tr"" , ""en"")"),"@drfahrettinkoca is that you are up to it and not the only word about it ??? https://t.co/pijktaenzo")</f>
        <v>@drfahrettinkoca is that you are up to it and not the only word about it ??? https://t.co/pijktaenzo</v>
      </c>
    </row>
    <row r="13453" spans="1:5" ht="15" customHeight="1" x14ac:dyDescent="0.2">
      <c r="A13453" s="1" t="s">
        <v>26491</v>
      </c>
      <c r="B13453" s="1">
        <v>0</v>
      </c>
      <c r="C13453" s="3">
        <v>44532.782233796293</v>
      </c>
      <c r="D13453" s="1" t="s">
        <v>26492</v>
      </c>
      <c r="E13453" s="1" t="str">
        <f ca="1">IFERROR(__xludf.DUMMYFUNCTION("GOOGLETRANSLATE(A10252 , ""tr"" , ""en"")"),"@drfahrettinkoca allah Askina Askina is enough to appoint an appointment for at least 5 years that wait at least 5 years, finish the year ... https://t.co/r2d2WFTI32")</f>
        <v>@drfahrettinkoca allah Askina Askina is enough to appoint an appointment for at least 5 years that wait at least 5 years, finish the year ... https://t.co/r2d2WFTI32</v>
      </c>
    </row>
    <row r="13454" spans="1:5" ht="15" customHeight="1" x14ac:dyDescent="0.2">
      <c r="A13454" s="1" t="s">
        <v>26493</v>
      </c>
      <c r="B13454" s="1">
        <v>2</v>
      </c>
      <c r="C13454" s="3">
        <v>44532.781817129631</v>
      </c>
      <c r="D13454" s="1" t="s">
        <v>26494</v>
      </c>
      <c r="E13454" s="1" t="str">
        <f ca="1">IFERROR(__xludf.DUMMYFUNCTION("GOOGLETRANSLATE(A10253 , ""tr"" , ""en"")"),"@drfahrettinkoca _ * Every moment you ignore this baby is dying. Look, make the unexnected sound Retweet ... https://t.co/ravjv2gkmr")</f>
        <v>@drfahrettinkoca _ * Every moment you ignore this baby is dying. Look, make the unexnected sound Retweet ... https://t.co/ravjv2gkmr</v>
      </c>
    </row>
    <row r="13455" spans="1:5" ht="15" customHeight="1" x14ac:dyDescent="0.2">
      <c r="A13455" s="1" t="s">
        <v>26495</v>
      </c>
      <c r="B13455" s="1">
        <v>3</v>
      </c>
      <c r="C13455" s="3">
        <v>44532.781331018516</v>
      </c>
      <c r="D13455" s="1" t="s">
        <v>26496</v>
      </c>
      <c r="E13455" s="1" t="str">
        <f ca="1">IFERROR(__xludf.DUMMYFUNCTION("GOOGLETRANSLATE(A10254 , ""tr"" , ""en"")"),"@drfahrettinkoca https://t.co/swfdsgrirz Turkey's Formal Science of the Republic of the Republic is ready to work. Please hear your sounds.")</f>
        <v>@drfahrettinkoca https://t.co/swfdsgrirz Turkey's Formal Science of the Republic of the Republic is ready to work. Please hear your sounds.</v>
      </c>
    </row>
    <row r="13456" spans="1:5" ht="15" customHeight="1" x14ac:dyDescent="0.2">
      <c r="A13456" s="1" t="s">
        <v>26497</v>
      </c>
      <c r="B13456" s="1">
        <v>0</v>
      </c>
      <c r="C13456" s="3">
        <v>44532.779942129629</v>
      </c>
      <c r="D13456" s="1" t="s">
        <v>26498</v>
      </c>
      <c r="E13456" s="1" t="str">
        <f ca="1">IFERROR(__xludf.DUMMYFUNCTION("GOOGLETRANSLATE(A10255 , ""tr"" , ""en"")"),"@drfahrettinkoca quit meat Nursing Nurses You have never done doctors as citizens as a citizen I want to go to Abicim")</f>
        <v>@drfahrettinkoca quit meat Nursing Nurses You have never done doctors as citizens as a citizen I want to go to Abicim</v>
      </c>
    </row>
    <row r="13457" spans="1:5" ht="15" customHeight="1" x14ac:dyDescent="0.2">
      <c r="A13457" s="1" t="s">
        <v>26499</v>
      </c>
      <c r="B13457" s="1">
        <v>3</v>
      </c>
      <c r="C13457" s="3">
        <v>44532.774791666663</v>
      </c>
      <c r="D13457" s="1" t="s">
        <v>26500</v>
      </c>
      <c r="E13457" s="1" t="str">
        <f ca="1">IFERROR(__xludf.DUMMYFUNCTION("GOOGLETRANSLATE(A10256 , ""tr"" , ""en"")"),"@drfahrettinka day union day is not a matter of union reputation. Decide and decide. @ Sagliksen ... https://t.co/czc6laokyl")</f>
        <v>@drfahrettinka day union day is not a matter of union reputation. Decide and decide. @ Sagliksen ... https://t.co/czc6laokyl</v>
      </c>
    </row>
    <row r="13458" spans="1:5" ht="15" customHeight="1" x14ac:dyDescent="0.2">
      <c r="A13458" s="1" t="s">
        <v>26501</v>
      </c>
      <c r="B13458" s="1">
        <v>1</v>
      </c>
      <c r="C13458" s="3">
        <v>44532.77412037037</v>
      </c>
      <c r="D13458" s="1" t="s">
        <v>26502</v>
      </c>
      <c r="E13458" s="1" t="str">
        <f ca="1">IFERROR(__xludf.DUMMYFUNCTION("GOOGLETRANSLATE(A10257 , ""tr"" , ""en"")"),"@drfahrettinkoca Collect How are your Board Sleeps? What data do you don't bring Zolgensma in the greater ... https://t.co/jj0bardwhv")</f>
        <v>@drfahrettinkoca Collect How are your Board Sleeps? What data do you don't bring Zolgensma in the greater ... https://t.co/jj0bardwhv</v>
      </c>
    </row>
    <row r="13459" spans="1:5" ht="15" customHeight="1" x14ac:dyDescent="0.2">
      <c r="A13459" s="1" t="s">
        <v>26503</v>
      </c>
      <c r="B13459" s="1">
        <v>0</v>
      </c>
      <c r="C13459" s="3">
        <v>44532.773935185185</v>
      </c>
      <c r="D13459" s="1" t="s">
        <v>26504</v>
      </c>
      <c r="E13459" s="1" t="str">
        <f ca="1">IFERROR(__xludf.DUMMYFUNCTION("GOOGLETRANSLATE(A10258 , ""tr"" , ""en"")"),"@drfahrettinkoca # subconceptinold # subconceptinold #which are in this pendemy process in the hospital staff in the hospital ... https://t.co/th4gfni5h2")</f>
        <v>@drfahrettinkoca # subconceptinold # subconceptinold #which are in this pendemy process in the hospital staff in the hospital ... https://t.co/th4gfni5h2</v>
      </c>
    </row>
    <row r="13460" spans="1:5" ht="15" customHeight="1" x14ac:dyDescent="0.2">
      <c r="A13460" s="1" t="s">
        <v>26505</v>
      </c>
      <c r="B13460" s="1">
        <v>0</v>
      </c>
      <c r="C13460" s="3">
        <v>44532.772581018522</v>
      </c>
      <c r="D13460" s="1" t="s">
        <v>26506</v>
      </c>
      <c r="E13460" s="1" t="str">
        <f ca="1">IFERROR(__xludf.DUMMYFUNCTION("GOOGLETRANSLATE(A10259 , ""tr"" , ""en"")"),"@drfahrettinkoca saddle This board will also be like the board of pandemes these patients will be more in the pandemi ... https://t.co/g7sci8ers3")</f>
        <v>@drfahrettinkoca saddle This board will also be like the board of pandemes these patients will be more in the pandemi ... https://t.co/g7sci8ers3</v>
      </c>
    </row>
    <row r="13461" spans="1:5" ht="15" customHeight="1" x14ac:dyDescent="0.2">
      <c r="A13461" s="1" t="s">
        <v>26507</v>
      </c>
      <c r="B13461" s="1">
        <v>2</v>
      </c>
      <c r="C13461" s="3">
        <v>44532.771805555552</v>
      </c>
      <c r="D13461" s="1" t="s">
        <v>26508</v>
      </c>
      <c r="E13461" s="1" t="str">
        <f ca="1">IFERROR(__xludf.DUMMYFUNCTION("GOOGLETRANSLATE(A10260 , ""tr"" , ""en"")"),"@drfahrettinkoca Ela SMA type-1 deadly muscle patient in this challenging process, please keep it from the hand. The eligible to breathe i ... https://t.co/d5t7wthaot")</f>
        <v>@drfahrettinkoca Ela SMA type-1 deadly muscle patient in this challenging process, please keep it from the hand. The eligible to breathe i ... https://t.co/d5t7wthaot</v>
      </c>
    </row>
    <row r="13462" spans="1:5" ht="15" customHeight="1" x14ac:dyDescent="0.2">
      <c r="A13462" s="1" t="s">
        <v>26509</v>
      </c>
      <c r="B13462" s="1">
        <v>3</v>
      </c>
      <c r="C13462" s="3">
        <v>44532.771793981483</v>
      </c>
      <c r="D13462" s="1" t="s">
        <v>26510</v>
      </c>
      <c r="E13462" s="1" t="str">
        <f ca="1">IFERROR(__xludf.DUMMYFUNCTION("GOOGLETRANSLATE(A10261 , ""tr"" , ""en"")"),"@drfahrettinkoca you left the kids to their destiny ..")</f>
        <v>@drfahrettinkoca you left the kids to their destiny ..</v>
      </c>
    </row>
    <row r="13463" spans="1:5" ht="15" customHeight="1" x14ac:dyDescent="0.2">
      <c r="A13463" s="1" t="s">
        <v>26511</v>
      </c>
      <c r="B13463" s="1">
        <v>1</v>
      </c>
      <c r="C13463" s="3">
        <v>44532.770729166667</v>
      </c>
      <c r="D13463" s="1" t="s">
        <v>26512</v>
      </c>
      <c r="E13463" s="1" t="str">
        <f ca="1">IFERROR(__xludf.DUMMYFUNCTION("GOOGLETRANSLATE(A10262 , ""tr"" , ""en"")"),"@drfahrettinkoca You are the killer of these dolls @drfahrettinkoca and SMA Science Güruhu !!! Zolgensma SART For these babies")</f>
        <v>@drfahrettinkoca You are the killer of these dolls @drfahrettinkoca and SMA Science Güruhu !!! Zolgensma SART For these babies</v>
      </c>
    </row>
    <row r="13464" spans="1:5" ht="15" customHeight="1" x14ac:dyDescent="0.2">
      <c r="A13464" s="1" t="s">
        <v>26513</v>
      </c>
      <c r="B13464" s="1">
        <v>4</v>
      </c>
      <c r="C13464" s="3">
        <v>44532.767094907409</v>
      </c>
      <c r="D13464" s="1" t="s">
        <v>26514</v>
      </c>
      <c r="E13464" s="1" t="str">
        <f ca="1">IFERROR(__xludf.DUMMYFUNCTION("GOOGLETRANSLATE(A10263 , ""tr"" , ""en"")"),"@drfahrettinkoca every day how many families of the family, heart, heathens, how many families of the family, how many baby's bed bo ... https://t.co/tlyjzcnb2b")</f>
        <v>@drfahrettinkoca every day how many families of the family, heart, heathens, how many families of the family, how many baby's bed bo ... https://t.co/tlyjzcnb2b</v>
      </c>
    </row>
    <row r="13465" spans="1:5" ht="15" customHeight="1" x14ac:dyDescent="0.2">
      <c r="A13465" s="1" t="s">
        <v>26515</v>
      </c>
      <c r="B13465" s="1">
        <v>1</v>
      </c>
      <c r="C13465" s="3">
        <v>44532.765520833331</v>
      </c>
      <c r="D13465" s="1" t="s">
        <v>26516</v>
      </c>
      <c r="E13465" s="1" t="str">
        <f ca="1">IFERROR(__xludf.DUMMYFUNCTION("GOOGLETRANSLATE(A10264 , ""tr"" , ""en"")"),"@drfahrettinkoca 🇹🇷🇹🇷")</f>
        <v>@drfahrettinkoca 🇹🇷🇹🇷</v>
      </c>
    </row>
    <row r="13466" spans="1:5" ht="15" customHeight="1" x14ac:dyDescent="0.2">
      <c r="A13466" s="1" t="s">
        <v>26517</v>
      </c>
      <c r="B13466" s="1">
        <v>4</v>
      </c>
      <c r="C13466" s="3">
        <v>44532.764745370368</v>
      </c>
      <c r="D13466" s="1" t="s">
        <v>26518</v>
      </c>
      <c r="E13466" s="1" t="str">
        <f ca="1">IFERROR(__xludf.DUMMYFUNCTION("GOOGLETRANSLATE(A10265 , ""tr"" , ""en"")"),"@drfahrettinkoca Our medication we want not spinraza zolgensma")</f>
        <v>@drfahrettinkoca Our medication we want not spinraza zolgensma</v>
      </c>
    </row>
    <row r="13467" spans="1:5" ht="15" customHeight="1" x14ac:dyDescent="0.2">
      <c r="A13467" s="1" t="s">
        <v>26519</v>
      </c>
      <c r="B13467" s="1">
        <v>0</v>
      </c>
      <c r="C13467" s="3">
        <v>44532.761250000003</v>
      </c>
      <c r="D13467" s="1" t="s">
        <v>26520</v>
      </c>
      <c r="E13467" s="1" t="str">
        <f ca="1">IFERROR(__xludf.DUMMYFUNCTION("GOOGLETRANSLATE(A10266 , ""tr"" , ""en"")"),"@drfahrettinkoca we understand the precautions that these babies are not to come to the world, but are already in charge, sma ... https://t.co/evjsfnmr8u")</f>
        <v>@drfahrettinkoca we understand the precautions that these babies are not to come to the world, but are already in charge, sma ... https://t.co/evjsfnmr8u</v>
      </c>
    </row>
    <row r="13468" spans="1:5" ht="15" customHeight="1" x14ac:dyDescent="0.2">
      <c r="A13468" s="1" t="s">
        <v>26521</v>
      </c>
      <c r="B13468" s="1">
        <v>3</v>
      </c>
      <c r="C13468" s="3">
        <v>44532.760474537034</v>
      </c>
      <c r="D13468" s="1" t="s">
        <v>26522</v>
      </c>
      <c r="E13468" s="1" t="str">
        <f ca="1">IFERROR(__xludf.DUMMYFUNCTION("GOOGLETRANSLATE(A10267 , ""tr"" , ""en"")"),"@drfahrettinkoca 📌ela SMA Type 1 Deadly Muscle Patient Keep it in this challenging process. Eligible to breathe ... https://t.co/ejltolet7b")</f>
        <v>@drfahrettinkoca 📌ela SMA Type 1 Deadly Muscle Patient Keep it in this challenging process. Eligible to breathe ... https://t.co/ejltolet7b</v>
      </c>
    </row>
    <row r="13469" spans="1:5" ht="15" customHeight="1" x14ac:dyDescent="0.2">
      <c r="A13469" s="1" t="s">
        <v>26523</v>
      </c>
      <c r="B13469" s="1">
        <v>0</v>
      </c>
      <c r="C13469" s="3">
        <v>44532.758020833331</v>
      </c>
      <c r="D13469" s="1" t="s">
        <v>26524</v>
      </c>
      <c r="E13469" s="1" t="str">
        <f ca="1">IFERROR(__xludf.DUMMYFUNCTION("GOOGLETRANSLATE(A10268 , ""tr"" , ""en"")"),"@drfahrettinka are you able to cone the reisten without permission or")</f>
        <v>@drfahrettinka are you able to cone the reisten without permission or</v>
      </c>
    </row>
    <row r="13470" spans="1:5" ht="15" customHeight="1" x14ac:dyDescent="0.2">
      <c r="A13470" s="1" t="s">
        <v>26525</v>
      </c>
      <c r="B13470" s="1">
        <v>0</v>
      </c>
      <c r="C13470" s="3">
        <v>44532.756689814814</v>
      </c>
      <c r="D13470" s="1" t="s">
        <v>26526</v>
      </c>
      <c r="E13470" s="1" t="str">
        <f ca="1">IFERROR(__xludf.DUMMYFUNCTION("GOOGLETRANSLATE(A10269 , ""tr"" , ""en"")"),"Thanks for brightening the public on this issue ... Perception OPE executed over SMA patients ... https://t.co/fdpe9dasWI")</f>
        <v>Thanks for brightening the public on this issue ... Perception OPE executed over SMA patients ... https://t.co/fdpe9dasWI</v>
      </c>
    </row>
    <row r="13471" spans="1:5" ht="15" customHeight="1" x14ac:dyDescent="0.2">
      <c r="A13471" s="1" t="s">
        <v>26527</v>
      </c>
      <c r="B13471" s="1">
        <v>0</v>
      </c>
      <c r="C13471" s="3">
        <v>44532.756493055553</v>
      </c>
      <c r="D13471" s="1" t="s">
        <v>26528</v>
      </c>
      <c r="E13471" s="1" t="str">
        <f ca="1">IFERROR(__xludf.DUMMYFUNCTION("GOOGLETRANSLATE(A10270 , ""tr"" , ""en"")"),"@drfahrettinkoca removed my father in intensive care they took into a single room, my father's situation became weighed and weighed me ... https://t.co/g7snimvcjl")</f>
        <v>@drfahrettinkoca removed my father in intensive care they took into a single room, my father's situation became weighed and weighed me ... https://t.co/g7snimvcjl</v>
      </c>
    </row>
    <row r="13472" spans="1:5" ht="15" customHeight="1" x14ac:dyDescent="0.2">
      <c r="A13472" s="1" t="s">
        <v>26529</v>
      </c>
      <c r="B13472" s="1">
        <v>0</v>
      </c>
      <c r="C13472" s="3">
        <v>44532.755046296297</v>
      </c>
      <c r="D13472" s="1" t="s">
        <v>26530</v>
      </c>
      <c r="E13472" s="1" t="str">
        <f ca="1">IFERROR(__xludf.DUMMYFUNCTION("GOOGLETRANSLATE(A10271 , ""tr"" , ""en"")"),"@drfahrettinkoca Doctor Minister Bey We wonder if we were to be appointed a minister to health care")</f>
        <v>@drfahrettinkoca Doctor Minister Bey We wonder if we were to be appointed a minister to health care</v>
      </c>
    </row>
    <row r="13473" spans="1:5" ht="15" customHeight="1" x14ac:dyDescent="0.2">
      <c r="A13473" s="1" t="s">
        <v>26531</v>
      </c>
      <c r="B13473" s="1">
        <v>1</v>
      </c>
      <c r="C13473" s="3">
        <v>44532.752974537034</v>
      </c>
      <c r="D13473" s="1" t="s">
        <v>26532</v>
      </c>
      <c r="E13473" s="1" t="str">
        <f ca="1">IFERROR(__xludf.DUMMYFUNCTION("GOOGLETRANSLATE(A10272 , ""tr"" , ""en"")"),"@drfahrettinkoca ÖJENİ is an offense of humanity. SMA Yi excuse you apply eugenics laws. May Allah Hidden.")</f>
        <v>@drfahrettinkoca ÖJENİ is an offense of humanity. SMA Yi excuse you apply eugenics laws. May Allah Hidden.</v>
      </c>
    </row>
    <row r="13474" spans="1:5" ht="15" customHeight="1" x14ac:dyDescent="0.2">
      <c r="A13474" s="1" t="s">
        <v>26533</v>
      </c>
      <c r="B13474" s="1">
        <v>0</v>
      </c>
      <c r="C13474" s="3">
        <v>44532.75167824074</v>
      </c>
      <c r="D13474" s="1" t="s">
        <v>26534</v>
      </c>
      <c r="E13474" s="1" t="str">
        <f ca="1">IFERROR(__xludf.DUMMYFUNCTION("GOOGLETRANSLATE(A10273 , ""tr"" , ""en"")"),"@drfahrettinkoca I came home at night for the night I was home to the night at eleven o'clock at Ankara, they called me Salahatti ... https://t.co/mw7br90z6s")</f>
        <v>@drfahrettinkoca I came home at night for the night I was home to the night at eleven o'clock at Ankara, they called me Salahatti ... https://t.co/mw7br90z6s</v>
      </c>
    </row>
    <row r="13475" spans="1:5" ht="15" customHeight="1" x14ac:dyDescent="0.2">
      <c r="A13475" s="1" t="s">
        <v>26535</v>
      </c>
      <c r="B13475" s="1">
        <v>0</v>
      </c>
      <c r="C13475" s="3">
        <v>44532.750243055554</v>
      </c>
      <c r="D13475" s="1" t="s">
        <v>26536</v>
      </c>
      <c r="E13475" s="1" t="str">
        <f ca="1">IFERROR(__xludf.DUMMYFUNCTION("GOOGLETRANSLATE(A10274 , ""tr"" , ""en"")"),"@drfahrettinkoca Mr. Minister I'm writing from Trabzon from Trabzon 11 days ago Daddy Trabzon Ahi Universe Heart and D ... https://t.co/ggao9kwuab")</f>
        <v>@drfahrettinkoca Mr. Minister I'm writing from Trabzon from Trabzon 11 days ago Daddy Trabzon Ahi Universe Heart and D ... https://t.co/ggao9kwuab</v>
      </c>
    </row>
    <row r="13476" spans="1:5" ht="15" customHeight="1" x14ac:dyDescent="0.2">
      <c r="A13476" s="1" t="s">
        <v>26537</v>
      </c>
      <c r="B13476" s="1">
        <v>1</v>
      </c>
      <c r="C13476" s="3">
        <v>44532.750208333331</v>
      </c>
      <c r="D13476" s="1" t="s">
        <v>26538</v>
      </c>
      <c r="E13476" s="1" t="str">
        <f ca="1">IFERROR(__xludf.DUMMYFUNCTION("GOOGLETRANSLATE(A10275 , ""tr"" , ""en"")"),"@drfahrettinkoca We have gotten our tens of dolls in zolgensma treatment with coins collected with donations. Day ... https://t.co/lfwobnhx5a")</f>
        <v>@drfahrettinkoca We have gotten our tens of dolls in zolgensma treatment with coins collected with donations. Day ... https://t.co/lfwobnhx5a</v>
      </c>
    </row>
    <row r="13477" spans="1:5" ht="15" customHeight="1" x14ac:dyDescent="0.2">
      <c r="A13477" s="1" t="s">
        <v>26539</v>
      </c>
      <c r="B13477" s="1">
        <v>0</v>
      </c>
      <c r="C13477" s="3">
        <v>44532.748518518521</v>
      </c>
      <c r="D13477" s="1" t="s">
        <v>26540</v>
      </c>
      <c r="E13477" s="1" t="str">
        <f ca="1">IFERROR(__xludf.DUMMYFUNCTION("GOOGLETRANSLATE(A10276 , ""tr"" , ""en"")"),"@drfahrettinkoca veee Result SMA Hastasi Kids were convicted of Olume The ilac is not compensable again")</f>
        <v>@drfahrettinkoca veee Result SMA Hastasi Kids were convicted of Olume The ilac is not compensable again</v>
      </c>
    </row>
    <row r="13478" spans="1:5" ht="15" customHeight="1" x14ac:dyDescent="0.2">
      <c r="A13478" s="1" t="s">
        <v>26541</v>
      </c>
      <c r="B13478" s="1">
        <v>0</v>
      </c>
      <c r="C13478" s="3">
        <v>44532.744803240741</v>
      </c>
      <c r="D13478" s="1" t="s">
        <v>26542</v>
      </c>
      <c r="E13478" s="1" t="str">
        <f ca="1">IFERROR(__xludf.DUMMYFUNCTION("GOOGLETRANSLATE(A10277 , ""tr"" , ""en"")"),"@drfahrettinka Physicians we said to the hike you say, cut our fixed turnover and to add the salary. Right-handed Vergi and Left Handed ... https://t.co/pg13pburz5")</f>
        <v>@drfahrettinka Physicians we said to the hike you say, cut our fixed turnover and to add the salary. Right-handed Vergi and Left Handed ... https://t.co/pg13pburz5</v>
      </c>
    </row>
    <row r="13479" spans="1:5" ht="15" customHeight="1" x14ac:dyDescent="0.2">
      <c r="A13479" s="1" t="s">
        <v>26543</v>
      </c>
      <c r="B13479" s="1">
        <v>2</v>
      </c>
      <c r="C13479" s="3">
        <v>44532.743414351855</v>
      </c>
      <c r="D13479" s="1" t="s">
        <v>26544</v>
      </c>
      <c r="E13479" s="1" t="str">
        <f ca="1">IFERROR(__xludf.DUMMYFUNCTION("GOOGLETRANSLATE(A10278 , ""tr"" , ""en"")"),"@drfahrettinkoca why you don't bring the zolgenting our babies are dying according to our future eye. A Treatment Var ... https://t.co/j0celkxfja")</f>
        <v>@drfahrettinkoca why you don't bring the zolgenting our babies are dying according to our future eye. A Treatment Var ... https://t.co/j0celkxfja</v>
      </c>
    </row>
    <row r="13480" spans="1:5" ht="15" customHeight="1" x14ac:dyDescent="0.2">
      <c r="A13480" s="1" t="s">
        <v>26545</v>
      </c>
      <c r="B13480" s="1">
        <v>0</v>
      </c>
      <c r="C13480" s="3">
        <v>44532.74145833333</v>
      </c>
      <c r="D13480" s="1" t="s">
        <v>26546</v>
      </c>
      <c r="E13480" s="1" t="str">
        <f ca="1">IFERROR(__xludf.DUMMYFUNCTION("GOOGLETRANSLATE(A10279 , ""tr"" , ""en"")"),"@drfahrettinkoca guide where do you end up overlooking the minister")</f>
        <v>@drfahrettinkoca guide where do you end up overlooking the minister</v>
      </c>
    </row>
    <row r="13481" spans="1:5" ht="15" customHeight="1" x14ac:dyDescent="0.2">
      <c r="A13481" s="1" t="s">
        <v>26547</v>
      </c>
      <c r="B13481" s="1">
        <v>0</v>
      </c>
      <c r="C13481" s="3">
        <v>44532.737997685188</v>
      </c>
      <c r="D13481" s="1" t="s">
        <v>26548</v>
      </c>
      <c r="E13481" s="1" t="str">
        <f ca="1">IFERROR(__xludf.DUMMYFUNCTION("GOOGLETRANSLATE(A10280 , ""tr"" , ""en"")"),"@drfahrettinkoca get pity. You played with all hopes")</f>
        <v>@drfahrettinkoca get pity. You played with all hopes</v>
      </c>
    </row>
    <row r="13482" spans="1:5" ht="15" customHeight="1" x14ac:dyDescent="0.2">
      <c r="A13482" s="1" t="s">
        <v>26549</v>
      </c>
      <c r="B13482" s="1">
        <v>1</v>
      </c>
      <c r="C13482" s="3">
        <v>44536.927037037036</v>
      </c>
      <c r="D13482" s="1" t="s">
        <v>26550</v>
      </c>
      <c r="E13482" s="1" t="str">
        <f ca="1">IFERROR(__xludf.DUMMYFUNCTION("GOOGLETRANSLATE(A10281 , ""tr"" , ""en"")"),"@drfahrettinkoca has been 4 days still the details are not obvious that nobody knows it is unfortunately")</f>
        <v>@drfahrettinkoca has been 4 days still the details are not obvious that nobody knows it is unfortunately</v>
      </c>
    </row>
    <row r="13483" spans="1:5" ht="15" customHeight="1" x14ac:dyDescent="0.2">
      <c r="A13483" s="1" t="s">
        <v>26551</v>
      </c>
      <c r="B13483" s="1">
        <v>0</v>
      </c>
      <c r="C13483" s="3">
        <v>44535.89912037037</v>
      </c>
      <c r="D13483" s="1" t="s">
        <v>26552</v>
      </c>
      <c r="E13483" s="1" t="str">
        <f ca="1">IFERROR(__xludf.DUMMYFUNCTION("GOOGLETRANSLATE(A10282 , ""tr"" , ""en"")"),"@drfahrettinkoca We were very sad on your behalf of your name If you are reprimanded in front of the press What didn't he said she said Ne said ... https://t.co/wjufk90zbl")</f>
        <v>@drfahrettinkoca We were very sad on your behalf of your name If you are reprimanded in front of the press What didn't he said she said Ne said ... https://t.co/wjufk90zbl</v>
      </c>
    </row>
    <row r="13484" spans="1:5" ht="15" customHeight="1" x14ac:dyDescent="0.2">
      <c r="A13484" s="1" t="s">
        <v>26553</v>
      </c>
      <c r="B13484" s="1">
        <v>0</v>
      </c>
      <c r="C13484" s="3">
        <v>44534.834872685184</v>
      </c>
      <c r="D13484" s="1" t="s">
        <v>26554</v>
      </c>
      <c r="E13484" s="1" t="str">
        <f ca="1">IFERROR(__xludf.DUMMYFUNCTION("GOOGLETRANSLATE(A10283 , ""tr"" , ""en"")"),"@drfahrettinkoca If you do beautiful studies for healthcareists. Wish you celebrate you in our ...")</f>
        <v>@drfahrettinkoca If you do beautiful studies for healthcareists. Wish you celebrate you in our ...</v>
      </c>
    </row>
    <row r="13485" spans="1:5" ht="15" customHeight="1" x14ac:dyDescent="0.2">
      <c r="A13485" s="1" t="s">
        <v>26555</v>
      </c>
      <c r="B13485" s="1">
        <v>0</v>
      </c>
      <c r="C13485" s="3">
        <v>44533.975532407407</v>
      </c>
      <c r="D13485" s="1" t="s">
        <v>26556</v>
      </c>
      <c r="E13485" s="1" t="str">
        <f ca="1">IFERROR(__xludf.DUMMYFUNCTION("GOOGLETRANSLATE(A10284 , ""tr"" , ""en"")"),"@drfahrettinkoca all of you always drop off and go to us the most beautiful news is the gummy bulk resigns alla ... https://t.co/gmde61hvdf")</f>
        <v>@drfahrettinkoca all of you always drop off and go to us the most beautiful news is the gummy bulk resigns alla ... https://t.co/gmde61hvdf</v>
      </c>
    </row>
    <row r="13486" spans="1:5" ht="15" customHeight="1" x14ac:dyDescent="0.2">
      <c r="A13486" s="1" t="s">
        <v>26557</v>
      </c>
      <c r="B13486" s="1">
        <v>0</v>
      </c>
      <c r="C13486" s="3">
        <v>44533.775659722225</v>
      </c>
      <c r="D13486" s="1" t="s">
        <v>26558</v>
      </c>
      <c r="E13486" s="1" t="str">
        <f ca="1">IFERROR(__xludf.DUMMYFUNCTION("GOOGLETRANSLATE(A10285 , ""tr"" , ""en"")"),"@drfahrettinkoca oooof ooooof")</f>
        <v>@drfahrettinkoca oooof ooooof</v>
      </c>
    </row>
    <row r="13487" spans="1:5" ht="15" customHeight="1" x14ac:dyDescent="0.2">
      <c r="A13487" s="1" t="s">
        <v>26559</v>
      </c>
      <c r="B13487" s="1">
        <v>0</v>
      </c>
      <c r="C13487" s="3">
        <v>44533.738807870373</v>
      </c>
      <c r="D13487" s="1" t="s">
        <v>26560</v>
      </c>
      <c r="E13487" s="1" t="str">
        <f ca="1">IFERROR(__xludf.DUMMYFUNCTION("GOOGLETRANSLATE(A10286 , ""tr"" , ""en"")"),"@drfahrettinkoca you even know you sit there showing. So I care about himself too. Health Workers ... https://t.co/nsv8rqfckc")</f>
        <v>@drfahrettinkoca you even know you sit there showing. So I care about himself too. Health Workers ... https://t.co/nsv8rqfckc</v>
      </c>
    </row>
    <row r="13488" spans="1:5" ht="15" customHeight="1" x14ac:dyDescent="0.2">
      <c r="A13488" s="1" t="s">
        <v>26561</v>
      </c>
      <c r="B13488" s="1">
        <v>0</v>
      </c>
      <c r="C13488" s="3">
        <v>44532.972268518519</v>
      </c>
      <c r="D13488" s="1" t="s">
        <v>26562</v>
      </c>
      <c r="E13488" s="1" t="str">
        <f ca="1">IFERROR(__xludf.DUMMYFUNCTION("GOOGLETRANSLATE(A10287 , ""tr"" , ""en"")"),"@drfahrettinka we celebrate you for not doing your task")</f>
        <v>@drfahrettinka we celebrate you for not doing your task</v>
      </c>
    </row>
    <row r="13489" spans="1:5" ht="15" customHeight="1" x14ac:dyDescent="0.2">
      <c r="A13489" s="1" t="s">
        <v>26563</v>
      </c>
      <c r="B13489" s="1">
        <v>0</v>
      </c>
      <c r="C13489" s="3">
        <v>44532.959421296298</v>
      </c>
      <c r="D13489" s="1" t="s">
        <v>26564</v>
      </c>
      <c r="E13489" s="1" t="str">
        <f ca="1">IFERROR(__xludf.DUMMYFUNCTION("GOOGLETRANSLATE(A10288 , ""tr"" , ""en"")"),"@drfahrettinkoca bagit sell. Live honorable.")</f>
        <v>@drfahrettinkoca bagit sell. Live honorable.</v>
      </c>
    </row>
    <row r="13490" spans="1:5" ht="15" customHeight="1" x14ac:dyDescent="0.2">
      <c r="A13490" s="1" t="s">
        <v>26565</v>
      </c>
      <c r="B13490" s="1">
        <v>0</v>
      </c>
      <c r="C13490" s="3">
        <v>44532.933935185189</v>
      </c>
      <c r="D13490" s="1" t="s">
        <v>26566</v>
      </c>
      <c r="E13490" s="1" t="str">
        <f ca="1">IFERROR(__xludf.DUMMYFUNCTION("GOOGLETRANSLATE(A10289 , ""tr"" , ""en"")"),"@drfahrettinkoca you filled again fet profile cüsi")</f>
        <v>@drfahrettinkoca you filled again fet profile cüsi</v>
      </c>
    </row>
    <row r="13491" spans="1:5" ht="15" customHeight="1" x14ac:dyDescent="0.2">
      <c r="A13491" s="1" t="s">
        <v>26567</v>
      </c>
      <c r="B13491" s="1">
        <v>0</v>
      </c>
      <c r="C13491" s="3">
        <v>44532.932326388887</v>
      </c>
      <c r="D13491" s="1" t="s">
        <v>26568</v>
      </c>
      <c r="E13491" s="1" t="str">
        <f ca="1">IFERROR(__xludf.DUMMYFUNCTION("GOOGLETRANSLATE(A10290 , ""tr"" , ""en"")"),"@drfahrettinkoca Don't be embarrassed money that strong wow")</f>
        <v>@drfahrettinkoca Don't be embarrassed money that strong wow</v>
      </c>
    </row>
    <row r="13492" spans="1:5" ht="15" customHeight="1" x14ac:dyDescent="0.2">
      <c r="A13492" s="1" t="s">
        <v>26569</v>
      </c>
      <c r="B13492" s="1">
        <v>0</v>
      </c>
      <c r="C13492" s="3">
        <v>44532.931597222225</v>
      </c>
      <c r="D13492" s="1" t="s">
        <v>26570</v>
      </c>
      <c r="E13492" s="1" t="str">
        <f ca="1">IFERROR(__xludf.DUMMYFUNCTION("GOOGLETRANSLATE(A10291 , ""tr"" , ""en"")"),"@drfahrettinkoca Fahrettin Bey assigning to assigning the fish you will be going to go to the fish")</f>
        <v>@drfahrettinkoca Fahrettin Bey assigning to assigning the fish you will be going to go to the fish</v>
      </c>
    </row>
    <row r="13493" spans="1:5" ht="15" customHeight="1" x14ac:dyDescent="0.2">
      <c r="A13493" s="1" t="s">
        <v>26571</v>
      </c>
      <c r="B13493" s="1">
        <v>0</v>
      </c>
      <c r="C13493" s="3">
        <v>44532.928796296299</v>
      </c>
      <c r="D13493" s="1" t="s">
        <v>26572</v>
      </c>
      <c r="E13493" s="1" t="str">
        <f ca="1">IFERROR(__xludf.DUMMYFUNCTION("GOOGLETRANSLATE(A10292 , ""tr"" , ""en"")"),"@drfahrettinkoca I hope you go to you, also discriminating the DR sar and other health workers in the ... https://t.co/cogfhybqx8")</f>
        <v>@drfahrettinkoca I hope you go to you, also discriminating the DR sar and other health workers in the ... https://t.co/cogfhybqx8</v>
      </c>
    </row>
    <row r="13494" spans="1:5" ht="15" customHeight="1" x14ac:dyDescent="0.2">
      <c r="A13494" s="1" t="s">
        <v>26573</v>
      </c>
      <c r="B13494" s="1">
        <v>0</v>
      </c>
      <c r="C13494" s="3">
        <v>44532.928298611114</v>
      </c>
      <c r="D13494" s="1" t="s">
        <v>26574</v>
      </c>
      <c r="E13494" s="1" t="str">
        <f ca="1">IFERROR(__xludf.DUMMYFUNCTION("GOOGLETRANSLATE(A10293 , ""tr"" , ""en"")"),"@drfahrettinkoca is how much celebration is how it doesn't last too much 😂")</f>
        <v>@drfahrettinkoca is how much celebration is how it doesn't last too much 😂</v>
      </c>
    </row>
    <row r="13495" spans="1:5" ht="15" customHeight="1" x14ac:dyDescent="0.2">
      <c r="A13495" s="1" t="s">
        <v>26575</v>
      </c>
      <c r="B13495" s="1">
        <v>3</v>
      </c>
      <c r="C13495" s="3">
        <v>44532.910208333335</v>
      </c>
      <c r="D13495" s="1" t="s">
        <v>26576</v>
      </c>
      <c r="E13495" s="1" t="str">
        <f ca="1">IFERROR(__xludf.DUMMYFUNCTION("GOOGLETRANSLATE(A10294 , ""tr"" , ""en"")"),"@drfahrettinkoca Did you get permission to throw this twit?")</f>
        <v>@drfahrettinkoca Did you get permission to throw this twit?</v>
      </c>
    </row>
    <row r="13496" spans="1:5" ht="15" customHeight="1" x14ac:dyDescent="0.2">
      <c r="A13496" s="1" t="s">
        <v>26577</v>
      </c>
      <c r="B13496" s="1">
        <v>0</v>
      </c>
      <c r="C13496" s="3">
        <v>44532.901921296296</v>
      </c>
      <c r="D13496" s="1" t="s">
        <v>26578</v>
      </c>
      <c r="E13496" s="1" t="str">
        <f ca="1">IFERROR(__xludf.DUMMYFUNCTION("GOOGLETRANSLATE(A10295 , ""tr"" , ""en"")"),"@drfahrettinkoca Night as you lay on the bed at all, doesn't feel the feeling of little fall? How to Down in front of Cameras How Down ... https://t.co/aecevdvexw")</f>
        <v>@drfahrettinkoca Night as you lay on the bed at all, doesn't feel the feeling of little fall? How to Down in front of Cameras How Down ... https://t.co/aecevdvexw</v>
      </c>
    </row>
    <row r="13497" spans="1:5" ht="15" customHeight="1" x14ac:dyDescent="0.2">
      <c r="A13497" s="1" t="s">
        <v>26579</v>
      </c>
      <c r="B13497" s="1">
        <v>1</v>
      </c>
      <c r="C13497" s="3">
        <v>44532.897812499999</v>
      </c>
      <c r="D13497" s="1" t="s">
        <v>26580</v>
      </c>
      <c r="E13497" s="1" t="str">
        <f ca="1">IFERROR(__xludf.DUMMYFUNCTION("GOOGLETRANSLATE(A10296 , ""tr"" , ""en"")"),"@drfahrettinkoca When will we congratulate our new Ministry of Health?")</f>
        <v>@drfahrettinkoca When will we congratulate our new Ministry of Health?</v>
      </c>
    </row>
    <row r="13498" spans="1:5" ht="15" customHeight="1" x14ac:dyDescent="0.2">
      <c r="A13498" s="1" t="s">
        <v>26581</v>
      </c>
      <c r="B13498" s="1">
        <v>2</v>
      </c>
      <c r="C13498" s="3">
        <v>44532.88040509259</v>
      </c>
      <c r="D13498" s="1" t="s">
        <v>26582</v>
      </c>
      <c r="E13498" s="1" t="str">
        <f ca="1">IFERROR(__xludf.DUMMYFUNCTION("GOOGLETRANSLATE(A10297 , ""tr"" , ""en"")"),"@drfahrettinka https://t.co/a323u81b55")</f>
        <v>@drfahrettinka https://t.co/a323u81b55</v>
      </c>
    </row>
    <row r="13499" spans="1:5" ht="15" customHeight="1" x14ac:dyDescent="0.2">
      <c r="A13499" s="1" t="s">
        <v>26583</v>
      </c>
      <c r="B13499" s="1">
        <v>0</v>
      </c>
      <c r="C13499" s="3">
        <v>44532.873796296299</v>
      </c>
      <c r="D13499" s="1" t="s">
        <v>26584</v>
      </c>
      <c r="E13499" s="1" t="str">
        <f ca="1">IFERROR(__xludf.DUMMYFUNCTION("GOOGLETRANSLATE(A10298 , ""tr"" , ""en"")"),"@drfahrettinkoca Do you have your fetup? Because there is a photo of the person with the terrorist dog called FETÖ")</f>
        <v>@drfahrettinkoca Do you have your fetup? Because there is a photo of the person with the terrorist dog called FETÖ</v>
      </c>
    </row>
    <row r="13500" spans="1:5" ht="15" customHeight="1" x14ac:dyDescent="0.2">
      <c r="A13500" s="1" t="s">
        <v>26585</v>
      </c>
      <c r="B13500" s="1">
        <v>0</v>
      </c>
      <c r="C13500" s="3">
        <v>44532.866423611114</v>
      </c>
      <c r="D13500" s="1" t="s">
        <v>26586</v>
      </c>
      <c r="E13500" s="1" t="str">
        <f ca="1">IFERROR(__xludf.DUMMYFUNCTION("GOOGLETRANSLATE(A10299 , ""tr"" , ""en"")"),"@drfahrettinkoca Minister #peachadual")</f>
        <v>@drfahrettinkoca Minister #peachadual</v>
      </c>
    </row>
    <row r="13501" spans="1:5" ht="15" customHeight="1" x14ac:dyDescent="0.2">
      <c r="A13501" s="1" t="s">
        <v>26587</v>
      </c>
      <c r="B13501" s="1">
        <v>0</v>
      </c>
      <c r="C13501" s="3">
        <v>44532.861805555556</v>
      </c>
      <c r="D13501" s="1" t="s">
        <v>26588</v>
      </c>
      <c r="E13501" s="1" t="str">
        <f ca="1">IFERROR(__xludf.DUMMYFUNCTION("GOOGLETRANSLATE(A10300 , ""tr"" , ""en"")"),"@drfahrettinkoca assignment make fahreddin is waiting for assignment")</f>
        <v>@drfahrettinkoca assignment make fahreddin is waiting for assignment</v>
      </c>
    </row>
    <row r="13502" spans="1:5" ht="15" customHeight="1" x14ac:dyDescent="0.2">
      <c r="A13502" s="1" t="s">
        <v>26589</v>
      </c>
      <c r="B13502" s="1">
        <v>0</v>
      </c>
      <c r="C13502" s="3">
        <v>44532.860671296294</v>
      </c>
      <c r="D13502" s="1" t="s">
        <v>26590</v>
      </c>
      <c r="E13502" s="1" t="str">
        <f ca="1">IFERROR(__xludf.DUMMYFUNCTION("GOOGLETRANSLATE(A10301 , ""tr"" , ""en"")"),"@drfahrettinkoca Don't rush Dear Minister One night I can change the room unless you can change 😉😉😉😉")</f>
        <v>@drfahrettinkoca Don't rush Dear Minister One night I can change the room unless you can change 😉😉😉😉</v>
      </c>
    </row>
    <row r="13503" spans="1:5" ht="15" customHeight="1" x14ac:dyDescent="0.2">
      <c r="A13503" s="1" t="s">
        <v>26591</v>
      </c>
      <c r="B13503" s="1">
        <v>1</v>
      </c>
      <c r="C13503" s="3">
        <v>44532.850740740738</v>
      </c>
      <c r="D13503" s="1" t="s">
        <v>26592</v>
      </c>
      <c r="E13503" s="1" t="str">
        <f ca="1">IFERROR(__xludf.DUMMYFUNCTION("GOOGLETRANSLATE(A10302 , ""tr"" , ""en"")"),"@drfahrettinkoca Twiti Did you get permission from President Did Dear Minister")</f>
        <v>@drfahrettinkoca Twiti Did you get permission from President Did Dear Minister</v>
      </c>
    </row>
    <row r="13504" spans="1:5" ht="15" customHeight="1" x14ac:dyDescent="0.2">
      <c r="A13504" s="1" t="s">
        <v>26593</v>
      </c>
      <c r="B13504" s="1">
        <v>0</v>
      </c>
      <c r="C13504" s="3">
        <v>44532.849120370367</v>
      </c>
      <c r="D13504" s="1" t="s">
        <v>26594</v>
      </c>
      <c r="E13504" s="1" t="str">
        <f ca="1">IFERROR(__xludf.DUMMYFUNCTION("GOOGLETRANSLATE(A10303 , ""tr"" , ""en"")"),"@drfahrettinkoca where is this fet profile than where do it looks ?? https://t.co/palxxtff6n")</f>
        <v>@drfahrettinkoca where is this fet profile than where do it looks ?? https://t.co/palxxtff6n</v>
      </c>
    </row>
    <row r="13505" spans="1:5" ht="15" customHeight="1" x14ac:dyDescent="0.2">
      <c r="A13505" s="1" t="s">
        <v>26595</v>
      </c>
      <c r="B13505" s="1">
        <v>0</v>
      </c>
      <c r="C13505" s="3">
        <v>44532.838680555556</v>
      </c>
      <c r="D13505" s="1" t="s">
        <v>26596</v>
      </c>
      <c r="E13505" s="1" t="str">
        <f ca="1">IFERROR(__xludf.DUMMYFUNCTION("GOOGLETRANSLATE(A10304 , ""tr"" , ""en"")"),"@drfahrettinkoca I wish you success")</f>
        <v>@drfahrettinkoca I wish you success</v>
      </c>
    </row>
    <row r="13506" spans="1:5" ht="15" customHeight="1" x14ac:dyDescent="0.2">
      <c r="A13506" s="1" t="s">
        <v>26597</v>
      </c>
      <c r="B13506" s="1">
        <v>0</v>
      </c>
      <c r="C13506" s="3">
        <v>44532.830983796295</v>
      </c>
      <c r="D13506" s="1" t="s">
        <v>26598</v>
      </c>
      <c r="E13506" s="1" t="str">
        <f ca="1">IFERROR(__xludf.DUMMYFUNCTION("GOOGLETRANSLATE(A10305 , ""tr"" , ""en"")"),"@drfahrettinkoca Dear Minister When you say new achievements Dollar 20 euro you get 25 TL 25")</f>
        <v>@drfahrettinkoca Dear Minister When you say new achievements Dollar 20 euro you get 25 TL 25</v>
      </c>
    </row>
    <row r="13507" spans="1:5" ht="15" customHeight="1" x14ac:dyDescent="0.2">
      <c r="A13507" s="1" t="s">
        <v>26599</v>
      </c>
      <c r="B13507" s="1">
        <v>0</v>
      </c>
      <c r="C13507" s="3">
        <v>44532.826053240744</v>
      </c>
      <c r="D13507" s="1" t="s">
        <v>26600</v>
      </c>
      <c r="E13507" s="1" t="str">
        <f ca="1">IFERROR(__xludf.DUMMYFUNCTION("GOOGLETRANSLATE(A10306 , ""tr"" , ""en"")"),"@drfahrettinkoca LAN LAFTA Leave Liakata Bakn Some Sights Be")</f>
        <v>@drfahrettinkoca LAN LAFTA Leave Liakata Bakn Some Sights Be</v>
      </c>
    </row>
    <row r="13508" spans="1:5" ht="15" customHeight="1" x14ac:dyDescent="0.2">
      <c r="A13508" s="1" t="s">
        <v>26601</v>
      </c>
      <c r="B13508" s="1">
        <v>0</v>
      </c>
      <c r="C13508" s="3">
        <v>44532.811805555553</v>
      </c>
      <c r="D13508" s="1" t="s">
        <v>26602</v>
      </c>
      <c r="E13508" s="1" t="str">
        <f ca="1">IFERROR(__xludf.DUMMYFUNCTION("GOOGLETRANSLATE(A10307 , ""tr"" , ""en"")"),"@drfahrettinkoca Ministry has returned to Mubarak Yolgecen Inn.")</f>
        <v>@drfahrettinkoca Ministry has returned to Mubarak Yolgecen Inn.</v>
      </c>
    </row>
    <row r="13509" spans="1:5" ht="15" customHeight="1" x14ac:dyDescent="0.2">
      <c r="A13509" s="1" t="s">
        <v>26603</v>
      </c>
      <c r="B13509" s="1">
        <v>0</v>
      </c>
      <c r="C13509" s="3">
        <v>44532.810902777775</v>
      </c>
      <c r="D13509" s="1" t="s">
        <v>26604</v>
      </c>
      <c r="E13509" s="1" t="str">
        <f ca="1">IFERROR(__xludf.DUMMYFUNCTION("GOOGLETRANSLATE(A10308 , ""tr"" , ""en"")"),"@drfahrettinkoca cameras have been so creamed in front of the sofa so you are still sitting on the sofa are you ever dignified y ... https://t.co/ghgaesdemj")</f>
        <v>@drfahrettinkoca cameras have been so creamed in front of the sofa so you are still sitting on the sofa are you ever dignified y ... https://t.co/ghgaesdemj</v>
      </c>
    </row>
    <row r="13510" spans="1:5" ht="15" customHeight="1" x14ac:dyDescent="0.2">
      <c r="A13510" s="1" t="s">
        <v>26605</v>
      </c>
      <c r="B13510" s="1">
        <v>3</v>
      </c>
      <c r="C13510" s="3">
        <v>44532.810231481482</v>
      </c>
      <c r="D13510" s="1" t="s">
        <v>26606</v>
      </c>
      <c r="E13510" s="1" t="str">
        <f ca="1">IFERROR(__xludf.DUMMYFUNCTION("GOOGLETRANSLATE(A10309 , ""tr"" , ""en"")"),"@drfahrettinkoca however we counted all the months, counted all days. We are not running out of hope. Assignment to stay 2022 ... https://t.co/no8hyjbwdt")</f>
        <v>@drfahrettinkoca however we counted all the months, counted all days. We are not running out of hope. Assignment to stay 2022 ... https://t.co/no8hyjbwdt</v>
      </c>
    </row>
    <row r="13511" spans="1:5" ht="15" customHeight="1" x14ac:dyDescent="0.2">
      <c r="A13511" s="1" t="s">
        <v>26607</v>
      </c>
      <c r="B13511" s="1">
        <v>0</v>
      </c>
      <c r="C13511" s="3">
        <v>44532.809074074074</v>
      </c>
      <c r="D13511" s="1" t="s">
        <v>26608</v>
      </c>
      <c r="E13511" s="1" t="str">
        <f ca="1">IFERROR(__xludf.DUMMYFUNCTION("GOOGLETRANSLATE(A10310 , ""tr"" , ""en"")"),"@drfahrettinkoca Dr Cook Make more hike DR A Minister to make this up to hike.")</f>
        <v>@drfahrettinkoca Dr Cook Make more hike DR A Minister to make this up to hike.</v>
      </c>
    </row>
    <row r="13512" spans="1:5" ht="15" customHeight="1" x14ac:dyDescent="0.2">
      <c r="A13512" s="1" t="s">
        <v>26609</v>
      </c>
      <c r="B13512" s="1">
        <v>0</v>
      </c>
      <c r="C13512" s="3">
        <v>44532.776909722219</v>
      </c>
      <c r="D13512" s="1" t="s">
        <v>26610</v>
      </c>
      <c r="E13512" s="1" t="str">
        <f ca="1">IFERROR(__xludf.DUMMYFUNCTION("GOOGLETRANSLATE(A10311 , ""tr"" , ""en"")"),"@drfahrettinkoca I love your eye I will relax in my quit. You are # fkocayeteerumutum")</f>
        <v>@drfahrettinkoca I love your eye I will relax in my quit. You are # fkocayeteerumutum</v>
      </c>
    </row>
    <row r="13513" spans="1:5" ht="15" customHeight="1" x14ac:dyDescent="0.2">
      <c r="A13513" s="1" t="s">
        <v>26611</v>
      </c>
      <c r="B13513" s="1">
        <v>0</v>
      </c>
      <c r="C13513" s="3">
        <v>44532.776562500003</v>
      </c>
      <c r="D13513" s="1" t="s">
        <v>26612</v>
      </c>
      <c r="E13513" s="1" t="str">
        <f ca="1">IFERROR(__xludf.DUMMYFUNCTION("GOOGLETRANSLATE(A10312 , ""tr"" , ""en"")"),"@drfahrettinkoca I hope you don't say that I don't say that I'm refuge in your forgiveness one day")</f>
        <v>@drfahrettinkoca I hope you don't say that I don't say that I'm refuge in your forgiveness one day</v>
      </c>
    </row>
    <row r="13514" spans="1:5" ht="15" customHeight="1" x14ac:dyDescent="0.2">
      <c r="A13514" s="1" t="s">
        <v>13312</v>
      </c>
      <c r="B13514" s="1">
        <v>0</v>
      </c>
      <c r="C13514" s="3">
        <v>44532.776122685187</v>
      </c>
      <c r="D13514" s="1" t="s">
        <v>26613</v>
      </c>
      <c r="E13514" s="1" t="str">
        <f ca="1">IFERROR(__xludf.DUMMYFUNCTION("GOOGLETRANSLATE(A10313 , ""tr"" , ""en"")"),"@drfahrettinkoca manuscript")</f>
        <v>@drfahrettinkoca manuscript</v>
      </c>
    </row>
    <row r="13515" spans="1:5" ht="15" customHeight="1" x14ac:dyDescent="0.2">
      <c r="A13515" s="1" t="s">
        <v>26614</v>
      </c>
      <c r="B13515" s="1">
        <v>0</v>
      </c>
      <c r="C13515" s="3">
        <v>44532.774027777778</v>
      </c>
      <c r="D13515" s="1" t="s">
        <v>26615</v>
      </c>
      <c r="E13515" s="1" t="str">
        <f ca="1">IFERROR(__xludf.DUMMYFUNCTION("GOOGLETRANSLATE(A10314 , ""tr"" , ""en"")"),"@drfahrettinkoca # Suberonakadronold # Suberonakadronold Uses We are in this pandemian process in the hospital staff ... https://t.co/wmkydlgcrm")</f>
        <v>@drfahrettinkoca # Suberonakadronold # Suberonakadronold Uses We are in this pandemian process in the hospital staff ... https://t.co/wmkydlgcrm</v>
      </c>
    </row>
    <row r="13516" spans="1:5" ht="15" customHeight="1" x14ac:dyDescent="0.2">
      <c r="A13516" s="1" t="s">
        <v>26616</v>
      </c>
      <c r="B13516" s="1">
        <v>0</v>
      </c>
      <c r="C13516" s="3">
        <v>44532.76222222222</v>
      </c>
      <c r="D13516" s="1" t="s">
        <v>26617</v>
      </c>
      <c r="E13516" s="1" t="str">
        <f ca="1">IFERROR(__xludf.DUMMYFUNCTION("GOOGLETRANSLATE(A10315 , ""tr"" , ""en"")"),"@drfahrettinkoca is that? https://t.co/fyq8vfjsf3")</f>
        <v>@drfahrettinkoca is that? https://t.co/fyq8vfjsf3</v>
      </c>
    </row>
    <row r="13517" spans="1:5" ht="15" customHeight="1" x14ac:dyDescent="0.2">
      <c r="A13517" s="1" t="s">
        <v>26618</v>
      </c>
      <c r="B13517" s="1">
        <v>0</v>
      </c>
      <c r="C13517" s="3">
        <v>44532.749710648146</v>
      </c>
      <c r="D13517" s="1" t="s">
        <v>26619</v>
      </c>
      <c r="E13517" s="1" t="str">
        <f ca="1">IFERROR(__xludf.DUMMYFUNCTION("GOOGLETRANSLATE(A10316 , ""tr"" , ""en"")"),"@drfahrettinkoca 😂😂😂😂😂")</f>
        <v>@drfahrettinkoca 😂😂😂😂😂</v>
      </c>
    </row>
    <row r="13518" spans="1:5" ht="15" customHeight="1" x14ac:dyDescent="0.2">
      <c r="A13518" s="1" t="s">
        <v>26620</v>
      </c>
      <c r="B13518" s="1">
        <v>1</v>
      </c>
      <c r="C13518" s="3">
        <v>44532.747129629628</v>
      </c>
      <c r="D13518" s="1" t="s">
        <v>26621</v>
      </c>
      <c r="E13518" s="1" t="str">
        <f ca="1">IFERROR(__xludf.DUMMYFUNCTION("GOOGLETRANSLATE(A10317 , ""tr"" , ""en"")"),"@drfahrettinkoca I went past the state officer though in any government official history, my stove ... https://t.co/s0yotzuknh")</f>
        <v>@drfahrettinkoca I went past the state officer though in any government official history, my stove ... https://t.co/s0yotzuknh</v>
      </c>
    </row>
    <row r="13519" spans="1:5" ht="15" customHeight="1" x14ac:dyDescent="0.2">
      <c r="A13519" s="1" t="s">
        <v>26622</v>
      </c>
      <c r="B13519" s="1">
        <v>0</v>
      </c>
      <c r="C13519" s="3">
        <v>44532.746493055558</v>
      </c>
      <c r="D13519" s="1" t="s">
        <v>26623</v>
      </c>
      <c r="E13519" s="1" t="str">
        <f ca="1">IFERROR(__xludf.DUMMYFUNCTION("GOOGLETRANSLATE(A10318 , ""tr"" , ""en"")"),"@drfahrettinka you will quit when you let him notify ... pardon tayyib e you will ask ..")</f>
        <v>@drfahrettinka you will quit when you let him notify ... pardon tayyib e you will ask ..</v>
      </c>
    </row>
    <row r="13520" spans="1:5" ht="15" customHeight="1" x14ac:dyDescent="0.2">
      <c r="A13520" s="1" t="s">
        <v>26624</v>
      </c>
      <c r="B13520" s="1">
        <v>0</v>
      </c>
      <c r="C13520" s="3">
        <v>44532.746099537035</v>
      </c>
      <c r="D13520" s="1" t="s">
        <v>26625</v>
      </c>
      <c r="E13520" s="1" t="str">
        <f ca="1">IFERROR(__xludf.DUMMYFUNCTION("GOOGLETRANSLATE(A10319 , ""tr"" , ""en"")"),"@drfahrettinkoca Did you ask Reise to celebrate?")</f>
        <v>@drfahrettinkoca Did you ask Reise to celebrate?</v>
      </c>
    </row>
    <row r="13521" spans="1:5" ht="15" customHeight="1" x14ac:dyDescent="0.2">
      <c r="A13521" s="1" t="s">
        <v>26626</v>
      </c>
      <c r="B13521" s="1">
        <v>0</v>
      </c>
      <c r="C13521" s="3">
        <v>44532.745636574073</v>
      </c>
      <c r="D13521" s="1" t="s">
        <v>26627</v>
      </c>
      <c r="E13521" s="1" t="str">
        <f ca="1">IFERROR(__xludf.DUMMYFUNCTION("GOOGLETRANSLATE(A10320 , ""tr"" , ""en"")"),"@drfahrettinkoca Thesis What I have in your per day.")</f>
        <v>@drfahrettinkoca Thesis What I have in your per day.</v>
      </c>
    </row>
    <row r="13522" spans="1:5" ht="15" customHeight="1" x14ac:dyDescent="0.2">
      <c r="A13522" s="1" t="s">
        <v>26628</v>
      </c>
      <c r="B13522" s="1">
        <v>0</v>
      </c>
      <c r="C13522" s="3">
        <v>44532.740335648145</v>
      </c>
      <c r="D13522" s="1" t="s">
        <v>26629</v>
      </c>
      <c r="E13522" s="1" t="str">
        <f ca="1">IFERROR(__xludf.DUMMYFUNCTION("GOOGLETRANSLATE(A10321 , ""tr"" , ""en"")"),"@drfahrettinkoca What Diyoo said?")</f>
        <v>@drfahrettinkoca What Diyoo said?</v>
      </c>
    </row>
    <row r="13523" spans="1:5" ht="15" customHeight="1" x14ac:dyDescent="0.2">
      <c r="A13523" s="1" t="s">
        <v>26630</v>
      </c>
      <c r="B13523" s="1">
        <v>0</v>
      </c>
      <c r="C13523" s="3">
        <v>44537.658831018518</v>
      </c>
      <c r="D13523" s="1" t="s">
        <v>26631</v>
      </c>
      <c r="E13523" s="1" t="str">
        <f ca="1">IFERROR(__xludf.DUMMYFUNCTION("GOOGLETRANSLATE(A10322 , ""tr"" , ""en"")"),"@drfahrettinkoca Every day we didn't stay in our pocket with new hikes you are still thinking about making us hike. Make a little mad.")</f>
        <v>@drfahrettinkoca Every day we didn't stay in our pocket with new hikes you are still thinking about making us hike. Make a little mad.</v>
      </c>
    </row>
    <row r="13524" spans="1:5" ht="15" customHeight="1" x14ac:dyDescent="0.2">
      <c r="A13524" s="1" t="s">
        <v>26632</v>
      </c>
      <c r="B13524" s="1">
        <v>1</v>
      </c>
      <c r="C13524" s="3">
        <v>44534.90996527778</v>
      </c>
      <c r="D13524" s="1" t="s">
        <v>26633</v>
      </c>
      <c r="E13524" s="1" t="str">
        <f ca="1">IFERROR(__xludf.DUMMYFUNCTION("GOOGLETRANSLATE(A10323 , ""tr"" , ""en"")"),"@drfahrettinkoca für Medizinisches Deutsch Folgen Sie Bitte https://t.co/nx6aq2v8ww")</f>
        <v>@drfahrettinkoca für Medizinisches Deutsch Folgen Sie Bitte https://t.co/nx6aq2v8ww</v>
      </c>
    </row>
    <row r="13525" spans="1:5" ht="15" customHeight="1" x14ac:dyDescent="0.2">
      <c r="A13525" s="1" t="s">
        <v>26634</v>
      </c>
      <c r="B13525" s="1">
        <v>0</v>
      </c>
      <c r="C13525" s="3">
        <v>44534.806226851855</v>
      </c>
      <c r="D13525" s="1" t="s">
        <v>26635</v>
      </c>
      <c r="E13525" s="1" t="str">
        <f ca="1">IFERROR(__xludf.DUMMYFUNCTION("GOOGLETRANSLATE(A10324 , ""tr"" , ""en"")"),"@drfahrettinkoca Compare the health personnel I could not understand with himself physician, I have ever mastered Ken ... https://t.co/pctszkqrzu")</f>
        <v>@drfahrettinkoca Compare the health personnel I could not understand with himself physician, I have ever mastered Ken ... https://t.co/pctszkqrzu</v>
      </c>
    </row>
    <row r="13526" spans="1:5" ht="15" customHeight="1" x14ac:dyDescent="0.2">
      <c r="A13526" s="1" t="s">
        <v>26636</v>
      </c>
      <c r="B13526" s="1">
        <v>2</v>
      </c>
      <c r="C13526" s="3">
        <v>44533.846307870372</v>
      </c>
      <c r="D13526" s="1" t="s">
        <v>26637</v>
      </c>
      <c r="E13526" s="1" t="str">
        <f ca="1">IFERROR(__xludf.DUMMYFUNCTION("GOOGLETRANSLATE(A10325 , ""tr"" , ""en"")"),"@drfahrettinkoca Promise As for the nurses he should have been supported as to the nurse Mr. Husband Why Do You Measure to USA ... https://t.co/SMBPKDI7GW")</f>
        <v>@drfahrettinkoca Promise As for the nurses he should have been supported as to the nurse Mr. Husband Why Do You Measure to USA ... https://t.co/SMBPKDI7GW</v>
      </c>
    </row>
    <row r="13527" spans="1:5" ht="15" customHeight="1" x14ac:dyDescent="0.2">
      <c r="A13527" s="1" t="s">
        <v>26638</v>
      </c>
      <c r="B13527" s="1">
        <v>0</v>
      </c>
      <c r="C13527" s="3">
        <v>44533.821215277778</v>
      </c>
      <c r="D13527" s="1" t="s">
        <v>26639</v>
      </c>
      <c r="E13527" s="1" t="str">
        <f ca="1">IFERROR(__xludf.DUMMYFUNCTION("GOOGLETRANSLATE(A10326 , ""tr"" , ""en"")"),"@drfahrettinkoca If there are still the Hemsire or health personnel who will vote for these, Allah give the mind idea ..Tabiki ... https://t.co/wmukonsu5v")</f>
        <v>@drfahrettinkoca If there are still the Hemsire or health personnel who will vote for these, Allah give the mind idea ..Tabiki ... https://t.co/wmukonsu5v</v>
      </c>
    </row>
    <row r="13528" spans="1:5" ht="15" customHeight="1" x14ac:dyDescent="0.2">
      <c r="A13528" s="1" t="s">
        <v>26640</v>
      </c>
      <c r="B13528" s="1">
        <v>0</v>
      </c>
      <c r="C13528" s="3">
        <v>44533.797754629632</v>
      </c>
      <c r="D13528" s="1" t="s">
        <v>26641</v>
      </c>
      <c r="E13528" s="1" t="str">
        <f ca="1">IFERROR(__xludf.DUMMYFUNCTION("GOOGLETRANSLATE(A10327 , ""tr"" , ""en"")"),"@drfahrettinkoca is your conscience really comfortable? How many million people have ahi. Do not forget!!!!")</f>
        <v>@drfahrettinkoca is your conscience really comfortable? How many million people have ahi. Do not forget!!!!</v>
      </c>
    </row>
    <row r="13529" spans="1:5" ht="15" customHeight="1" x14ac:dyDescent="0.2">
      <c r="A13529" s="1" t="s">
        <v>26642</v>
      </c>
      <c r="B13529" s="1">
        <v>0</v>
      </c>
      <c r="C13529" s="3">
        <v>44533.754548611112</v>
      </c>
      <c r="D13529" s="1" t="s">
        <v>26643</v>
      </c>
      <c r="E13529" s="1" t="str">
        <f ca="1">IFERROR(__xludf.DUMMYFUNCTION("GOOGLETRANSLATE(A10328 , ""tr"" , ""en"")"),"@drfahrettinkoca ey God where you don't see these things don't catch all the great")</f>
        <v>@drfahrettinkoca ey God where you don't see these things don't catch all the great</v>
      </c>
    </row>
    <row r="13530" spans="1:5" ht="15" customHeight="1" x14ac:dyDescent="0.2">
      <c r="A13530" s="1" t="s">
        <v>26644</v>
      </c>
      <c r="B13530" s="1">
        <v>0</v>
      </c>
      <c r="C13530" s="3">
        <v>44533.725104166668</v>
      </c>
      <c r="D13530" s="1" t="s">
        <v>26645</v>
      </c>
      <c r="E13530" s="1" t="str">
        <f ca="1">IFERROR(__xludf.DUMMYFUNCTION("GOOGLETRANSLATE(A10329 , ""tr"" , ""en"")"),"@drfahrettinkoca Mr. Ministry Ministry to be given to doctors The zam interview is retracted and deferred. Is that correct? Evolve ... https://t.co/44ljgxvolb")</f>
        <v>@drfahrettinkoca Mr. Ministry Ministry to be given to doctors The zam interview is retracted and deferred. Is that correct? Evolve ... https://t.co/44ljgxvolb</v>
      </c>
    </row>
    <row r="13531" spans="1:5" ht="15" customHeight="1" x14ac:dyDescent="0.2">
      <c r="A13531" s="1" t="s">
        <v>26646</v>
      </c>
      <c r="B13531" s="1">
        <v>0</v>
      </c>
      <c r="C13531" s="3">
        <v>44532.945844907408</v>
      </c>
      <c r="D13531" s="1" t="s">
        <v>26647</v>
      </c>
      <c r="E13531" s="1" t="str">
        <f ca="1">IFERROR(__xludf.DUMMYFUNCTION("GOOGLETRANSLATE(A10330 , ""tr"" , ""en"")"),"@drfahrettinka https://t.co/lnv3wzycks")</f>
        <v>@drfahrettinka https://t.co/lnv3wzycks</v>
      </c>
    </row>
    <row r="13532" spans="1:5" ht="15" customHeight="1" x14ac:dyDescent="0.2">
      <c r="A13532" s="1" t="s">
        <v>26648</v>
      </c>
      <c r="B13532" s="1">
        <v>1</v>
      </c>
      <c r="C13532" s="3">
        <v>44532.911678240744</v>
      </c>
      <c r="D13532" s="1" t="s">
        <v>26649</v>
      </c>
      <c r="E13532" s="1" t="str">
        <f ca="1">IFERROR(__xludf.DUMMYFUNCTION("GOOGLETRANSLATE(A10331 , ""tr"" , ""en"")"),"@drfahrettinkoca You have not included in the coverage of their family physicians again. Current Expenses Residual costs ... https://t.co/fzn5y3zjwv")</f>
        <v>@drfahrettinkoca You have not included in the coverage of their family physicians again. Current Expenses Residual costs ... https://t.co/fzn5y3zjwv</v>
      </c>
    </row>
    <row r="13533" spans="1:5" ht="15" customHeight="1" x14ac:dyDescent="0.2">
      <c r="A13533" s="1" t="s">
        <v>26650</v>
      </c>
      <c r="B13533" s="1">
        <v>0</v>
      </c>
      <c r="C13533" s="3">
        <v>44532.899039351854</v>
      </c>
      <c r="D13533" s="1" t="s">
        <v>26651</v>
      </c>
      <c r="E13533" s="1" t="str">
        <f ca="1">IFERROR(__xludf.DUMMYFUNCTION("GOOGLETRANSLATE(A10332 , ""tr"" , ""en"")"),"@drfahrettinkoca Other health care employees to keep separate, the health sector is only the doctors ... https://t.co/fsowmdvpnb")</f>
        <v>@drfahrettinkoca Other health care employees to keep separate, the health sector is only the doctors ... https://t.co/fsowmdvpnb</v>
      </c>
    </row>
    <row r="13534" spans="1:5" ht="15" customHeight="1" x14ac:dyDescent="0.2">
      <c r="A13534" s="1" t="s">
        <v>26652</v>
      </c>
      <c r="B13534" s="1">
        <v>0</v>
      </c>
      <c r="C13534" s="3">
        <v>44532.891562500001</v>
      </c>
      <c r="D13534" s="1" t="s">
        <v>26653</v>
      </c>
      <c r="E13534" s="1" t="str">
        <f ca="1">IFERROR(__xludf.DUMMYFUNCTION("GOOGLETRANSLATE(A10333 , ""tr"" , ""en"")"),"@drfahrettinkoca Mr. Ministry of Nurses and Sagli officers and other people who have seen the others as health ... https://t.co/wkelcıqlwc")</f>
        <v>@drfahrettinkoca Mr. Ministry of Nurses and Sagli officers and other people who have seen the others as health ... https://t.co/wkelcıqlwc</v>
      </c>
    </row>
    <row r="13535" spans="1:5" ht="15" customHeight="1" x14ac:dyDescent="0.2">
      <c r="A13535" s="1" t="s">
        <v>26654</v>
      </c>
      <c r="B13535" s="1">
        <v>0</v>
      </c>
      <c r="C13535" s="3">
        <v>44532.890173611115</v>
      </c>
      <c r="D13535" s="1" t="s">
        <v>26655</v>
      </c>
      <c r="E13535" s="1" t="str">
        <f ca="1">IFERROR(__xludf.DUMMYFUNCTION("GOOGLETRANSLATE(A10334 , ""tr"" , ""en"")"),"@drfahrettinkoca Mr. Minister, We are working on foreign languages ​​in your number.")</f>
        <v>@drfahrettinkoca Mr. Minister, We are working on foreign languages ​​in your number.</v>
      </c>
    </row>
    <row r="13536" spans="1:5" ht="15" customHeight="1" x14ac:dyDescent="0.2">
      <c r="A13536" s="1" t="s">
        <v>26656</v>
      </c>
      <c r="B13536" s="1">
        <v>0</v>
      </c>
      <c r="C13536" s="3">
        <v>44532.862060185187</v>
      </c>
      <c r="D13536" s="1" t="s">
        <v>26657</v>
      </c>
      <c r="E13536" s="1" t="str">
        <f ca="1">IFERROR(__xludf.DUMMYFUNCTION("GOOGLETRANSLATE(A10335 , ""tr"" , ""en"")"),"@drfahrettinkoca you let us wait You will be judged for every day you will go to jail")</f>
        <v>@drfahrettinkoca you let us wait You will be judged for every day you will go to jail</v>
      </c>
    </row>
    <row r="13537" spans="1:5" ht="15" customHeight="1" x14ac:dyDescent="0.2">
      <c r="A13537" s="1" t="s">
        <v>26658</v>
      </c>
      <c r="B13537" s="1">
        <v>0</v>
      </c>
      <c r="C13537" s="3">
        <v>44532.861064814817</v>
      </c>
      <c r="D13537" s="1" t="s">
        <v>26659</v>
      </c>
      <c r="E13537" s="1" t="str">
        <f ca="1">IFERROR(__xludf.DUMMYFUNCTION("GOOGLETRANSLATE(A10336 , ""tr"" , ""en"")"),"@drfahrettinkoca is your usual university hospitals with your blank history. The minister. We crossed the hike Bari Fixed additional ... https://t.co/mwyxpehtbc")</f>
        <v>@drfahrettinkoca is your usual university hospitals with your blank history. The minister. We crossed the hike Bari Fixed additional ... https://t.co/mwyxpehtbc</v>
      </c>
    </row>
    <row r="13538" spans="1:5" ht="15" customHeight="1" x14ac:dyDescent="0.2">
      <c r="A13538" s="1" t="s">
        <v>26660</v>
      </c>
      <c r="B13538" s="1">
        <v>0</v>
      </c>
      <c r="C13538" s="3">
        <v>44532.824386574073</v>
      </c>
      <c r="D13538" s="1" t="s">
        <v>26661</v>
      </c>
      <c r="E13538" s="1" t="str">
        <f ca="1">IFERROR(__xludf.DUMMYFUNCTION("GOOGLETRANSLATE(A10337 , ""tr"" , ""en"")"),"@drfahrettinkoca ya Vallahi Pity You were a man to fall on this")</f>
        <v>@drfahrettinkoca ya Vallahi Pity You were a man to fall on this</v>
      </c>
    </row>
    <row r="13539" spans="1:5" ht="15" customHeight="1" x14ac:dyDescent="0.2">
      <c r="A13539" s="1" t="s">
        <v>26662</v>
      </c>
      <c r="B13539" s="1">
        <v>0</v>
      </c>
      <c r="C13539" s="3">
        <v>44532.801712962966</v>
      </c>
      <c r="D13539" s="1" t="s">
        <v>26663</v>
      </c>
      <c r="E13539" s="1" t="str">
        <f ca="1">IFERROR(__xludf.DUMMYFUNCTION("GOOGLETRANSLATE(A10338 , ""tr"" , ""en"")"),"@drfahrettinkoca @drfahrettinkoca @drfahrettinkoca in the Ministry of Health All the other health worker chain is one h ... https://t.co/qdlz3l2hzb")</f>
        <v>@drfahrettinkoca @drfahrettinkoca @drfahrettinkoca in the Ministry of Health All the other health worker chain is one h ... https://t.co/qdlz3l2hzb</v>
      </c>
    </row>
    <row r="13540" spans="1:5" ht="15" customHeight="1" x14ac:dyDescent="0.2">
      <c r="A13540" s="1" t="s">
        <v>26664</v>
      </c>
      <c r="B13540" s="1">
        <v>0</v>
      </c>
      <c r="C13540" s="3">
        <v>44532.799768518518</v>
      </c>
      <c r="D13540" s="1" t="s">
        <v>26665</v>
      </c>
      <c r="E13540" s="1" t="str">
        <f ca="1">IFERROR(__xludf.DUMMYFUNCTION("GOOGLETRANSLATE(A10339 , ""tr"" , ""en"")"),"@drfahrettinkoca I wish you bsarilar")</f>
        <v>@drfahrettinkoca I wish you bsarilar</v>
      </c>
    </row>
    <row r="13541" spans="1:5" ht="15" customHeight="1" x14ac:dyDescent="0.2">
      <c r="A13541" s="1" t="s">
        <v>26666</v>
      </c>
      <c r="B13541" s="1">
        <v>0</v>
      </c>
      <c r="C13541" s="3">
        <v>44532.798032407409</v>
      </c>
      <c r="D13541" s="1" t="s">
        <v>26667</v>
      </c>
      <c r="E13541" s="1" t="str">
        <f ca="1">IFERROR(__xludf.DUMMYFUNCTION("GOOGLETRANSLATE(A10340 , ""tr"" , ""en"")"),"@drfahrettinkoca Healthcare also parsed in 2023 you will parse the healthcare that you parse this.")</f>
        <v>@drfahrettinkoca Healthcare also parsed in 2023 you will parse the healthcare that you parse this.</v>
      </c>
    </row>
    <row r="13542" spans="1:5" ht="15" customHeight="1" x14ac:dyDescent="0.2">
      <c r="A13542" s="1" t="s">
        <v>26668</v>
      </c>
      <c r="B13542" s="1">
        <v>0</v>
      </c>
      <c r="C13542" s="3">
        <v>44532.78701388889</v>
      </c>
      <c r="D13542" s="1" t="s">
        <v>26669</v>
      </c>
      <c r="E13542" s="1" t="str">
        <f ca="1">IFERROR(__xludf.DUMMYFUNCTION("GOOGLETRANSLATE(A10341 , ""tr"" , ""en"")"),"@drfahrettinkoca Doctors who have made a hike to the doctors Miki Fixed Doner You have transferred fixed Maasa Ffilene zam T ... https://t.co/g02scylia4")</f>
        <v>@drfahrettinkoca Doctors who have made a hike to the doctors Miki Fixed Doner You have transferred fixed Maasa Ffilene zam T ... https://t.co/g02scylia4</v>
      </c>
    </row>
    <row r="13543" spans="1:5" ht="15" customHeight="1" x14ac:dyDescent="0.2">
      <c r="A13543" s="1" t="s">
        <v>26670</v>
      </c>
      <c r="B13543" s="1">
        <v>0</v>
      </c>
      <c r="C13543" s="3">
        <v>44532.775069444448</v>
      </c>
      <c r="D13543" s="1" t="s">
        <v>26671</v>
      </c>
      <c r="E13543" s="1" t="str">
        <f ca="1">IFERROR(__xludf.DUMMYFUNCTION("GOOGLETRANSLATE(A10342 , ""tr"" , ""en"")"),"@drfahrettinkoca # Suberonakadronold # Suberonakadronold uses in this pandemic process in the hospital staff at the hospital ... https://t.co/y7b5pzt3bx")</f>
        <v>@drfahrettinkoca # Suberonakadronold # Suberonakadronold uses in this pandemic process in the hospital staff at the hospital ... https://t.co/y7b5pzt3bx</v>
      </c>
    </row>
    <row r="13544" spans="1:5" ht="15" customHeight="1" x14ac:dyDescent="0.2">
      <c r="A13544" s="1" t="s">
        <v>26672</v>
      </c>
      <c r="B13544" s="1">
        <v>0</v>
      </c>
      <c r="C13544" s="3">
        <v>44532.774930555555</v>
      </c>
      <c r="D13544" s="1" t="s">
        <v>26673</v>
      </c>
      <c r="E13544" s="1" t="str">
        <f ca="1">IFERROR(__xludf.DUMMYFUNCTION("GOOGLETRANSLATE(A10343 , ""tr"" , ""en"")"),"@drfahrettinkoca # Suberonakadronold We are our voice in the hospital staff at this pandemic process What would be our voice ... https://t.co/9rccyf3gna")</f>
        <v>@drfahrettinkoca # Suberonakadronold We are our voice in the hospital staff at this pandemic process What would be our voice ... https://t.co/9rccyf3gna</v>
      </c>
    </row>
    <row r="13545" spans="1:5" ht="15" customHeight="1" x14ac:dyDescent="0.2">
      <c r="A13545" s="1" t="s">
        <v>26674</v>
      </c>
      <c r="B13545" s="1">
        <v>0</v>
      </c>
      <c r="C13545" s="3">
        <v>44532.774155092593</v>
      </c>
      <c r="D13545" s="1" t="s">
        <v>26675</v>
      </c>
      <c r="E13545" s="1" t="str">
        <f ca="1">IFERROR(__xludf.DUMMYFUNCTION("GOOGLETRANSLATE(A10344 , ""tr"" , ""en"")"),"@drfahrettinkoca # Succondonakadronold # SubconuvaDronold uses in this pandemic process in the hospital staff at the hospital ... https://t.co/IQTBPX5AG7")</f>
        <v>@drfahrettinkoca # Succondonakadronold # SubconuvaDronold uses in this pandemic process in the hospital staff at the hospital ... https://t.co/IQTBPX5AG7</v>
      </c>
    </row>
    <row r="13546" spans="1:5" ht="15" customHeight="1" x14ac:dyDescent="0.2">
      <c r="A13546" s="1" t="s">
        <v>26676</v>
      </c>
      <c r="B13546" s="1">
        <v>0</v>
      </c>
      <c r="C13546" s="3">
        <v>44532.773460648146</v>
      </c>
      <c r="D13546" s="1" t="s">
        <v>26677</v>
      </c>
      <c r="E13546" s="1" t="str">
        <f ca="1">IFERROR(__xludf.DUMMYFUNCTION("GOOGLETRANSLATE(A10345 , ""tr"" , ""en"")"),"@drfahrettinkoca https://t.co/sr0kgheeooj https://t.co/xpou0bj6y5 https://t.co/oixq4uprut https://t.co/rchwa9c06d")</f>
        <v>@drfahrettinkoca https://t.co/sr0kgheeooj https://t.co/xpou0bj6y5 https://t.co/oixq4uprut https://t.co/rchwa9c06d</v>
      </c>
    </row>
    <row r="13547" spans="1:5" ht="15" customHeight="1" x14ac:dyDescent="0.2">
      <c r="A13547" s="1" t="s">
        <v>26678</v>
      </c>
      <c r="B13547" s="1">
        <v>0</v>
      </c>
      <c r="C13547" s="3">
        <v>44532.767407407409</v>
      </c>
      <c r="D13547" s="1" t="s">
        <v>26679</v>
      </c>
      <c r="E13547" s="1" t="str">
        <f ca="1">IFERROR(__xludf.DUMMYFUNCTION("GOOGLETRANSLATE(A10346 , ""tr"" , ""en"")"),"@drfahrettinkoca What said :)) I am speaking unaware of you sir😀😀😀😀")</f>
        <v>@drfahrettinkoca What said :)) I am speaking unaware of you sir😀😀😀😀</v>
      </c>
    </row>
    <row r="13548" spans="1:5" ht="15" customHeight="1" x14ac:dyDescent="0.2">
      <c r="A13548" s="1" t="s">
        <v>26680</v>
      </c>
      <c r="B13548" s="1">
        <v>0</v>
      </c>
      <c r="C13548" s="3">
        <v>44532.764340277776</v>
      </c>
      <c r="D13548" s="1" t="s">
        <v>26681</v>
      </c>
      <c r="E13548" s="1" t="str">
        <f ca="1">IFERROR(__xludf.DUMMYFUNCTION("GOOGLETRANSLATE(A10347 , ""tr"" , ""en"")"),"@drfahrettinka https://t.co/tmvaytw6gq")</f>
        <v>@drfahrettinka https://t.co/tmvaytw6gq</v>
      </c>
    </row>
    <row r="13549" spans="1:5" ht="15" customHeight="1" x14ac:dyDescent="0.2">
      <c r="A13549" s="1" t="s">
        <v>26682</v>
      </c>
      <c r="B13549" s="1">
        <v>0</v>
      </c>
      <c r="C13549" s="3">
        <v>44532.759652777779</v>
      </c>
      <c r="D13549" s="1" t="s">
        <v>26683</v>
      </c>
      <c r="E13549" s="1" t="str">
        <f ca="1">IFERROR(__xludf.DUMMYFUNCTION("GOOGLETRANSLATE(A10348 , ""tr"" , ""en"")"),"@drfahrettinkoca after the hikes they say that they are now telling my minister is correct?")</f>
        <v>@drfahrettinkoca after the hikes they say that they are now telling my minister is correct?</v>
      </c>
    </row>
    <row r="13550" spans="1:5" ht="15" customHeight="1" x14ac:dyDescent="0.2">
      <c r="A13550" s="1" t="s">
        <v>26684</v>
      </c>
      <c r="B13550" s="1">
        <v>0</v>
      </c>
      <c r="C13550" s="3">
        <v>44532.750740740739</v>
      </c>
      <c r="D13550" s="1" t="s">
        <v>26685</v>
      </c>
      <c r="E13550" s="1" t="str">
        <f ca="1">IFERROR(__xludf.DUMMYFUNCTION("GOOGLETRANSLATE(A10349 , ""tr"" , ""en"")"),"@drfahrettinkoca 11th annual clerk takes 5000 TL, just walk to doctors 5000 TL walk beee")</f>
        <v>@drfahrettinkoca 11th annual clerk takes 5000 TL, just walk to doctors 5000 TL walk beee</v>
      </c>
    </row>
    <row r="13551" spans="1:5" ht="15" customHeight="1" x14ac:dyDescent="0.2">
      <c r="A13551" s="1" t="s">
        <v>26686</v>
      </c>
      <c r="B13551" s="1">
        <v>0</v>
      </c>
      <c r="C13551" s="3">
        <v>44532.749490740738</v>
      </c>
      <c r="D13551" s="1" t="s">
        <v>26687</v>
      </c>
      <c r="E13551" s="1" t="str">
        <f ca="1">IFERROR(__xludf.DUMMYFUNCTION("GOOGLETRANSLATE(A10350 , ""tr"" , ""en"")"),"@drfahrettinkoca This is the form of managing this dividing part of the same institution Https://t.co/odbrmwesml")</f>
        <v>@drfahrettinkoca This is the form of managing this dividing part of the same institution Https://t.co/odbrmwesml</v>
      </c>
    </row>
    <row r="13552" spans="1:5" ht="15" customHeight="1" x14ac:dyDescent="0.2">
      <c r="A13552" s="1" t="s">
        <v>26688</v>
      </c>
      <c r="B13552" s="1">
        <v>0</v>
      </c>
      <c r="C13552" s="3">
        <v>44532.745995370373</v>
      </c>
      <c r="D13552" s="1" t="s">
        <v>26689</v>
      </c>
      <c r="E13552" s="1" t="str">
        <f ca="1">IFERROR(__xludf.DUMMYFUNCTION("GOOGLETRANSLATE(A10351 , ""tr"" , ""en"")"),"@drfahrettinkoca other health personnel what to be")</f>
        <v>@drfahrettinkoca other health personnel what to be</v>
      </c>
    </row>
    <row r="13553" spans="1:5" ht="15" customHeight="1" x14ac:dyDescent="0.2">
      <c r="A13553" s="1" t="s">
        <v>26690</v>
      </c>
      <c r="B13553" s="1">
        <v>0</v>
      </c>
      <c r="C13553" s="3">
        <v>44540.991851851853</v>
      </c>
      <c r="D13553" s="1" t="s">
        <v>26691</v>
      </c>
      <c r="E13553" s="1" t="str">
        <f ca="1">IFERROR(__xludf.DUMMYFUNCTION("GOOGLETRANSLATE(A10352 , ""tr"" , ""en"")"),"@drfahrettinkoca @rterdogan @drfahrettinkoca @hmbakanligi @sagliksen https://t.co/fronfukxyj")</f>
        <v>@drfahrettinkoca @rterdogan @drfahrettinkoca @hmbakanligi @sagliksen https://t.co/fronfukxyj</v>
      </c>
    </row>
    <row r="13554" spans="1:5" ht="15" customHeight="1" x14ac:dyDescent="0.2">
      <c r="A13554" s="1" t="s">
        <v>26692</v>
      </c>
      <c r="B13554" s="1">
        <v>0</v>
      </c>
      <c r="C13554" s="3">
        <v>44535.77306712963</v>
      </c>
      <c r="D13554" s="1" t="s">
        <v>26693</v>
      </c>
      <c r="E13554" s="1" t="str">
        <f ca="1">IFERROR(__xludf.DUMMYFUNCTION("GOOGLETRANSLATE(A10353 , ""tr"" , ""en"")"),"@drfahrettinkoca starts at the beginning of the heads, they racing with doctors.")</f>
        <v>@drfahrettinkoca starts at the beginning of the heads, they racing with doctors.</v>
      </c>
    </row>
    <row r="13555" spans="1:5" ht="15" customHeight="1" x14ac:dyDescent="0.2">
      <c r="A13555" s="1" t="s">
        <v>26694</v>
      </c>
      <c r="B13555" s="1">
        <v>0</v>
      </c>
      <c r="C13555" s="3">
        <v>44535.772141203706</v>
      </c>
      <c r="D13555" s="1" t="s">
        <v>26695</v>
      </c>
      <c r="E13555" s="1" t="str">
        <f ca="1">IFERROR(__xludf.DUMMYFUNCTION("GOOGLETRANSLATE(A10354 , ""tr"" , ""en"")"),"@drfahrettinkoca I'm looking no longer these uncommon healthcare people knew to elephant him to give a minister .A ... https://t.co/gc3I7tuthy")</f>
        <v>@drfahrettinkoca I'm looking no longer these uncommon healthcare people knew to elephant him to give a minister .A ... https://t.co/gc3I7tuthy</v>
      </c>
    </row>
    <row r="13556" spans="1:5" ht="15" customHeight="1" x14ac:dyDescent="0.2">
      <c r="A13556" s="1" t="s">
        <v>26696</v>
      </c>
      <c r="B13556" s="1">
        <v>0</v>
      </c>
      <c r="C13556" s="3">
        <v>44535.743495370371</v>
      </c>
      <c r="D13556" s="1" t="s">
        <v>26697</v>
      </c>
      <c r="E13556" s="1" t="str">
        <f ca="1">IFERROR(__xludf.DUMMYFUNCTION("GOOGLETRANSLATE(A10355 , ""tr"" , ""en"")"),"@drfahrettinkoca has always tops in the professions.")</f>
        <v>@drfahrettinkoca has always tops in the professions.</v>
      </c>
    </row>
    <row r="13557" spans="1:5" ht="15" customHeight="1" x14ac:dyDescent="0.2">
      <c r="A13557" s="1" t="s">
        <v>26698</v>
      </c>
      <c r="B13557" s="1">
        <v>0</v>
      </c>
      <c r="C13557" s="3">
        <v>44535.703726851854</v>
      </c>
      <c r="D13557" s="1" t="s">
        <v>26699</v>
      </c>
      <c r="E13557" s="1" t="str">
        <f ca="1">IFERROR(__xludf.DUMMYFUNCTION("GOOGLETRANSLATE(A10356 , ""tr"" , ""en"")"),"@drfahrettinka We are not a health worker, the Ministry of Mr., we are graduated from medical medical doctors. please this k ... https://t.co/pgkumblpk2")</f>
        <v>@drfahrettinka We are not a health worker, the Ministry of Mr., we are graduated from medical medical doctors. please this k ... https://t.co/pgkumblpk2</v>
      </c>
    </row>
    <row r="13558" spans="1:5" ht="15" customHeight="1" x14ac:dyDescent="0.2">
      <c r="A13558" s="1" t="s">
        <v>26700</v>
      </c>
      <c r="B13558" s="1">
        <v>1</v>
      </c>
      <c r="C13558" s="3">
        <v>44535.701435185183</v>
      </c>
      <c r="D13558" s="1" t="s">
        <v>26701</v>
      </c>
      <c r="E13558" s="1" t="str">
        <f ca="1">IFERROR(__xludf.DUMMYFUNCTION("GOOGLETRANSLATE(A10357 , ""tr"" , ""en"")"),"@drfahrettinkoca these other health professors in the minds of the leading money to their employees.")</f>
        <v>@drfahrettinkoca these other health professors in the minds of the leading money to their employees.</v>
      </c>
    </row>
    <row r="13559" spans="1:5" ht="15" customHeight="1" x14ac:dyDescent="0.2">
      <c r="A13559" s="1" t="s">
        <v>26702</v>
      </c>
      <c r="B13559" s="1">
        <v>0</v>
      </c>
      <c r="C13559" s="3">
        <v>44537.778124999997</v>
      </c>
      <c r="D13559" s="1" t="s">
        <v>26703</v>
      </c>
      <c r="E13559" s="1" t="str">
        <f ca="1">IFERROR(__xludf.DUMMYFUNCTION("GOOGLETRANSLATE(A10358 , ""tr"" , ""en"")"),"@drfahrettinkoca specialist physician salary 20bin + 10bin rotary pr.hekim salary 15 thousand + 5 thousand rotary licensed salary 10bin + 25 ... https://t.co/nollfo7BIF")</f>
        <v>@drfahrettinkoca specialist physician salary 20bin + 10bin rotary pr.hekim salary 15 thousand + 5 thousand rotary licensed salary 10bin + 25 ... https://t.co/nollfo7BIF</v>
      </c>
    </row>
    <row r="13560" spans="1:5" ht="15" customHeight="1" x14ac:dyDescent="0.2">
      <c r="A13560" s="1" t="s">
        <v>26704</v>
      </c>
      <c r="B13560" s="1">
        <v>0</v>
      </c>
      <c r="C13560" s="3">
        <v>44537.698634259257</v>
      </c>
      <c r="D13560" s="1" t="s">
        <v>26705</v>
      </c>
      <c r="E13560" s="1" t="str">
        <f ca="1">IFERROR(__xludf.DUMMYFUNCTION("GOOGLETRANSLATE(A10359 , ""tr"" , ""en"")"),"@drfahrettinkoca Health Minister Coronavirus Time")</f>
        <v>@drfahrettinkoca Health Minister Coronavirus Time</v>
      </c>
    </row>
    <row r="13561" spans="1:5" ht="15" customHeight="1" x14ac:dyDescent="0.2">
      <c r="A13561" s="1" t="s">
        <v>26706</v>
      </c>
      <c r="B13561" s="1">
        <v>1</v>
      </c>
      <c r="C13561" s="3">
        <v>44539.442766203705</v>
      </c>
      <c r="D13561" s="1" t="s">
        <v>26707</v>
      </c>
      <c r="E13561" s="1" t="str">
        <f ca="1">IFERROR(__xludf.DUMMYFUNCTION("GOOGLETRANSLATE(A10360 , ""tr"" , ""en"")"),"@drfahrettinkoca I work as an anesthesia technician in a hospital, but the minimum wage in the status of 4D Li workers ... https://t.co/doqszh2ya6")</f>
        <v>@drfahrettinkoca I work as an anesthesia technician in a hospital, but the minimum wage in the status of 4D Li workers ... https://t.co/doqszh2ya6</v>
      </c>
    </row>
    <row r="13562" spans="1:5" ht="15" customHeight="1" x14ac:dyDescent="0.2">
      <c r="A13562" s="1" t="s">
        <v>26708</v>
      </c>
      <c r="B13562" s="1">
        <v>0</v>
      </c>
      <c r="C13562" s="3">
        <v>44539.279861111114</v>
      </c>
      <c r="D13562" s="1" t="s">
        <v>26709</v>
      </c>
      <c r="E13562" s="1" t="str">
        <f ca="1">IFERROR(__xludf.DUMMYFUNCTION("GOOGLETRANSLATE(A10361 , ""tr"" , ""en"")"),"@drfahrettinkoca HoCamm Varya You Heder Heder This Ambulousr")</f>
        <v>@drfahrettinkoca HoCamm Varya You Heder Heder This Ambulousr</v>
      </c>
    </row>
    <row r="13563" spans="1:5" ht="15" customHeight="1" x14ac:dyDescent="0.2">
      <c r="A13563" s="1" t="s">
        <v>26710</v>
      </c>
      <c r="B13563" s="1">
        <v>0</v>
      </c>
      <c r="C13563" s="3">
        <v>44534.963067129633</v>
      </c>
      <c r="D13563" s="1" t="s">
        <v>26711</v>
      </c>
      <c r="E13563" s="1" t="str">
        <f ca="1">IFERROR(__xludf.DUMMYFUNCTION("GOOGLETRANSLATE(A10362 , ""tr"" , ""en"")"),"@drfahrettinkoca We didn't have faith in you too Traded by seeing Erdogan")</f>
        <v>@drfahrettinkoca We didn't have faith in you too Traded by seeing Erdogan</v>
      </c>
    </row>
    <row r="13564" spans="1:5" ht="15" customHeight="1" x14ac:dyDescent="0.2">
      <c r="A13564" s="1" t="s">
        <v>26712</v>
      </c>
      <c r="B13564" s="1">
        <v>0</v>
      </c>
      <c r="C13564" s="3">
        <v>44534.954386574071</v>
      </c>
      <c r="D13564" s="1" t="s">
        <v>26713</v>
      </c>
      <c r="E13564" s="1" t="str">
        <f ca="1">IFERROR(__xludf.DUMMYFUNCTION("GOOGLETRANSLATE(A10363 , ""tr"" , ""en"")"),"@drfahrettinkoca I'm looking at everyone who has rebelliously rebelliously he wrote their troubles like civil people but the problem is ... HTTPS://T.CO/O0DDISJHHC")</f>
        <v>@drfahrettinkoca I'm looking at everyone who has rebelliously rebelliously he wrote their troubles like civil people but the problem is ... HTTPS://T.CO/O0DDISJHHC</v>
      </c>
    </row>
    <row r="13565" spans="1:5" ht="15" customHeight="1" x14ac:dyDescent="0.2">
      <c r="A13565" s="1" t="s">
        <v>26714</v>
      </c>
      <c r="B13565" s="1">
        <v>0</v>
      </c>
      <c r="C13565" s="3">
        <v>44534.91165509259</v>
      </c>
      <c r="D13565" s="1" t="s">
        <v>26715</v>
      </c>
      <c r="E13565" s="1" t="str">
        <f ca="1">IFERROR(__xludf.DUMMYFUNCTION("GOOGLETRANSLATE(A10364 , ""tr"" , ""en"")"),"@drfahrettinkoca @saglikbakanligi für Medizinisches Deutsch Folgen Sie Bitte https://t.co/nx6aq2ub7o")</f>
        <v>@drfahrettinkoca @saglikbakanligi für Medizinisches Deutsch Folgen Sie Bitte https://t.co/nx6aq2ub7o</v>
      </c>
    </row>
    <row r="13566" spans="1:5" ht="15" customHeight="1" x14ac:dyDescent="0.2">
      <c r="A13566" s="1" t="s">
        <v>26716</v>
      </c>
      <c r="B13566" s="1">
        <v>0</v>
      </c>
      <c r="C13566" s="3">
        <v>44534.889293981483</v>
      </c>
      <c r="D13566" s="1" t="s">
        <v>26717</v>
      </c>
      <c r="E13566" s="1" t="str">
        <f ca="1">IFERROR(__xludf.DUMMYFUNCTION("GOOGLETRANSLATE(A10365 , ""tr"" , ""en"")"),"@drfahrettinkoca What happened to the Minister of Study What has been the Rights? Anyway, we now come to a point nor other BU ... https://t.co/xy5kovqnb3")</f>
        <v>@drfahrettinkoca What happened to the Minister of Study What has been the Rights? Anyway, we now come to a point nor other BU ... https://t.co/xy5kovqnb3</v>
      </c>
    </row>
    <row r="13567" spans="1:5" ht="15" customHeight="1" x14ac:dyDescent="0.2">
      <c r="A13567" s="1" t="s">
        <v>26718</v>
      </c>
      <c r="B13567" s="1">
        <v>0</v>
      </c>
      <c r="C13567" s="3">
        <v>44534.851886574077</v>
      </c>
      <c r="D13567" s="1" t="s">
        <v>26719</v>
      </c>
      <c r="E13567" s="1" t="str">
        <f ca="1">IFERROR(__xludf.DUMMYFUNCTION("GOOGLETRANSLATE(A10366 , ""tr"" , ""en"")"),"@drfahrettinkoca Sayin Minister Minister of a Cleaning Officer's Graduate Graduate Graduate Ingredite or very close to Maas and Others ... https://t.co/xfurvpmnz0")</f>
        <v>@drfahrettinkoca Sayin Minister Minister of a Cleaning Officer's Graduate Graduate Graduate Ingredite or very close to Maas and Others ... https://t.co/xfurvpmnz0</v>
      </c>
    </row>
    <row r="13568" spans="1:5" ht="15" customHeight="1" x14ac:dyDescent="0.2">
      <c r="A13568" s="1" t="s">
        <v>26720</v>
      </c>
      <c r="B13568" s="1">
        <v>0</v>
      </c>
      <c r="C13568" s="3">
        <v>44534.847534722219</v>
      </c>
      <c r="D13568" s="1" t="s">
        <v>26721</v>
      </c>
      <c r="E13568" s="1" t="str">
        <f ca="1">IFERROR(__xludf.DUMMYFUNCTION("GOOGLETRANSLATE(A10367 , ""tr"" , ""en"")"),"@drfahrettinkoca Mr. Ministry Our physicians are of course improving salary. However we are Hemyir ... https://t.co/eyxthh5epd")</f>
        <v>@drfahrettinkoca Mr. Ministry Our physicians are of course improving salary. However we are Hemyir ... https://t.co/eyxthh5epd</v>
      </c>
    </row>
    <row r="13569" spans="1:5" ht="15" customHeight="1" x14ac:dyDescent="0.2">
      <c r="A13569" s="1" t="s">
        <v>26722</v>
      </c>
      <c r="B13569" s="1">
        <v>0</v>
      </c>
      <c r="C13569" s="3">
        <v>44534.831180555557</v>
      </c>
      <c r="D13569" s="1" t="s">
        <v>26723</v>
      </c>
      <c r="E13569" s="1" t="str">
        <f ca="1">IFERROR(__xludf.DUMMYFUNCTION("GOOGLETRANSLATE(A10368 , ""tr"" , ""en"")"),"@drfahrettinkoca @saglikbakanligi bi lying and throw them in front of the nation Gene ....")</f>
        <v>@drfahrettinkoca @saglikbakanligi bi lying and throw them in front of the nation Gene ....</v>
      </c>
    </row>
    <row r="13570" spans="1:5" ht="15" customHeight="1" x14ac:dyDescent="0.2">
      <c r="A13570" s="1" t="s">
        <v>26724</v>
      </c>
      <c r="B13570" s="1">
        <v>0</v>
      </c>
      <c r="C13570" s="3">
        <v>44534.804756944446</v>
      </c>
      <c r="D13570" s="1" t="s">
        <v>26725</v>
      </c>
      <c r="E13570" s="1" t="str">
        <f ca="1">IFERROR(__xludf.DUMMYFUNCTION("GOOGLETRANSLATE(A10369 , ""tr"" , ""en"")"),"@drfahrettinkoca Mr. Ministry of this nursing schools to schools that grow other health personnel, ami ... https://t.co/9ppxyq6leq")</f>
        <v>@drfahrettinkoca Mr. Ministry of this nursing schools to schools that grow other health personnel, ami ... https://t.co/9ppxyq6leq</v>
      </c>
    </row>
    <row r="13571" spans="1:5" ht="15" customHeight="1" x14ac:dyDescent="0.2">
      <c r="A13571" s="1" t="s">
        <v>26726</v>
      </c>
      <c r="B13571" s="1">
        <v>0</v>
      </c>
      <c r="C13571" s="3">
        <v>44534.790162037039</v>
      </c>
      <c r="D13571" s="1" t="s">
        <v>26727</v>
      </c>
      <c r="E13571" s="1" t="str">
        <f ca="1">IFERROR(__xludf.DUMMYFUNCTION("GOOGLETRANSLATE(A10370 , ""tr"" , ""en"")"),"@drfahrettinkoca #bendoktorum; I'm nurse yim; I'm a sick caregiver; I'm the ambulance staff in the State Hospital ... Https://t.co/plrh4xlwrg")</f>
        <v>@drfahrettinkoca #bendoktorum; I'm nurse yim; I'm a sick caregiver; I'm the ambulance staff in the State Hospital ... Https://t.co/plrh4xlwrg</v>
      </c>
    </row>
    <row r="13572" spans="1:5" ht="15" customHeight="1" x14ac:dyDescent="0.2">
      <c r="A13572" s="1" t="s">
        <v>26728</v>
      </c>
      <c r="B13572" s="1">
        <v>0</v>
      </c>
      <c r="C13572" s="3">
        <v>44534.760844907411</v>
      </c>
      <c r="D13572" s="1" t="s">
        <v>26729</v>
      </c>
      <c r="E13572" s="1" t="str">
        <f ca="1">IFERROR(__xludf.DUMMYFUNCTION("GOOGLETRANSLATE(A10371 , ""tr"" , ""en"")"),"@drfahrettinkoca Mr. Ministry Thus, you see you with your eyes .. Nurses are di ... https://t.co/7pzcrypoz")</f>
        <v>@drfahrettinkoca Mr. Ministry Thus, you see you with your eyes .. Nurses are di ... https://t.co/7pzcrypoz</v>
      </c>
    </row>
    <row r="13573" spans="1:5" ht="15" customHeight="1" x14ac:dyDescent="0.2">
      <c r="A13573" s="1" t="s">
        <v>26730</v>
      </c>
      <c r="B13573" s="1">
        <v>0</v>
      </c>
      <c r="C13573" s="3">
        <v>44534.756990740738</v>
      </c>
      <c r="D13573" s="1" t="s">
        <v>26731</v>
      </c>
      <c r="E13573" s="1" t="str">
        <f ca="1">IFERROR(__xludf.DUMMYFUNCTION("GOOGLETRANSLATE(A10372 , ""tr"" , ""en"")"),"@drfahrettinkoca has learned how much physician of the health personnel is the enemy of the health personnel. Cancel in the hotels ...")</f>
        <v>@drfahrettinkoca has learned how much physician of the health personnel is the enemy of the health personnel. Cancel in the hotels ...</v>
      </c>
    </row>
    <row r="13574" spans="1:5" ht="15" customHeight="1" x14ac:dyDescent="0.2">
      <c r="A13574" s="1" t="s">
        <v>26732</v>
      </c>
      <c r="B13574" s="1">
        <v>0</v>
      </c>
      <c r="C13574" s="3">
        <v>44534.719270833331</v>
      </c>
      <c r="D13574" s="1" t="s">
        <v>26733</v>
      </c>
      <c r="E13574" s="1" t="str">
        <f ca="1">IFERROR(__xludf.DUMMYFUNCTION("GOOGLETRANSLATE(A10373 , ""tr"" , ""en"")"),"@drfahrettinkoca veterinarian physicians cannot even enter the healthcare class !! Our major to trade our field Filan ... https://t.co/lknwq9ly0a")</f>
        <v>@drfahrettinkoca veterinarian physicians cannot even enter the healthcare class !! Our major to trade our field Filan ... https://t.co/lknwq9ly0a</v>
      </c>
    </row>
    <row r="13575" spans="1:5" ht="15" customHeight="1" x14ac:dyDescent="0.2">
      <c r="A13575" s="1" t="s">
        <v>26734</v>
      </c>
      <c r="B13575" s="1">
        <v>0</v>
      </c>
      <c r="C13575" s="3">
        <v>44534.702048611114</v>
      </c>
      <c r="D13575" s="1" t="s">
        <v>26735</v>
      </c>
      <c r="E13575" s="1" t="str">
        <f ca="1">IFERROR(__xludf.DUMMYFUNCTION("GOOGLETRANSLATE(A10374 , ""tr"" , ""en"")"),"@drfahrettinkoca Overlooking your Physician You are not valuable to your nurse. I don't know how to sleep at night with your conscience.")</f>
        <v>@drfahrettinkoca Overlooking your Physician You are not valuable to your nurse. I don't know how to sleep at night with your conscience.</v>
      </c>
    </row>
    <row r="13576" spans="1:5" ht="15" customHeight="1" x14ac:dyDescent="0.2">
      <c r="A13576" s="1" t="s">
        <v>26736</v>
      </c>
      <c r="B13576" s="1">
        <v>0</v>
      </c>
      <c r="C13576" s="3">
        <v>44534.694305555553</v>
      </c>
      <c r="D13576" s="1" t="s">
        <v>26737</v>
      </c>
      <c r="E13576" s="1" t="str">
        <f ca="1">IFERROR(__xludf.DUMMYFUNCTION("GOOGLETRANSLATE(A10375 , ""tr"" , ""en"")"),"@drfahrettinkoca hike they said, he didn't come out. Exit the PhD 200 Ti output 🙂")</f>
        <v>@drfahrettinkoca hike they said, he didn't come out. Exit the PhD 200 Ti output 🙂</v>
      </c>
    </row>
    <row r="13577" spans="1:5" ht="15" customHeight="1" x14ac:dyDescent="0.2">
      <c r="A13577" s="1" t="s">
        <v>26738</v>
      </c>
      <c r="B13577" s="1">
        <v>0</v>
      </c>
      <c r="C13577" s="3">
        <v>44533.929537037038</v>
      </c>
      <c r="D13577" s="1" t="s">
        <v>26739</v>
      </c>
      <c r="E13577" s="1" t="str">
        <f ca="1">IFERROR(__xludf.DUMMYFUNCTION("GOOGLETRANSLATE(A10376 , ""tr"" , ""en"")"),"@drfahrettinkoca ee the result has gave the hike that has not been in case, the teamwork is the supposed teammates that the style is installed ... https://t.co/ukubca65dt")</f>
        <v>@drfahrettinkoca ee the result has gave the hike that has not been in case, the teamwork is the supposed teammates that the style is installed ... https://t.co/ukubca65dt</v>
      </c>
    </row>
    <row r="13578" spans="1:5" ht="15" customHeight="1" x14ac:dyDescent="0.2">
      <c r="A13578" s="1" t="s">
        <v>26740</v>
      </c>
      <c r="B13578" s="1">
        <v>0</v>
      </c>
      <c r="C13578" s="3">
        <v>44533.906886574077</v>
      </c>
      <c r="D13578" s="1" t="s">
        <v>26741</v>
      </c>
      <c r="E13578" s="1" t="str">
        <f ca="1">IFERROR(__xludf.DUMMYFUNCTION("GOOGLETRANSLATE(A10377 , ""tr"" , ""en"")"),"@drfahrettinkoca basta physicians to be the probe Hicbiri.")</f>
        <v>@drfahrettinkoca basta physicians to be the probe Hicbiri.</v>
      </c>
    </row>
    <row r="13579" spans="1:5" ht="15" customHeight="1" x14ac:dyDescent="0.2">
      <c r="A13579" s="1" t="s">
        <v>26742</v>
      </c>
      <c r="B13579" s="1">
        <v>0</v>
      </c>
      <c r="C13579" s="3">
        <v>44533.90115740741</v>
      </c>
      <c r="D13579" s="1" t="s">
        <v>26743</v>
      </c>
      <c r="E13579" s="1" t="str">
        <f ca="1">IFERROR(__xludf.DUMMYFUNCTION("GOOGLETRANSLATE(A10378 , ""tr"" , ""en"")"),"@drfahrettinkoca Why do you know this right to doctors only type faculty? You know about pharmacy uz ... https://t.co/yh3pybliha")</f>
        <v>@drfahrettinkoca Why do you know this right to doctors only type faculty? You know about pharmacy uz ... https://t.co/yh3pybliha</v>
      </c>
    </row>
    <row r="13580" spans="1:5" ht="15" customHeight="1" x14ac:dyDescent="0.2">
      <c r="A13580" s="1" t="s">
        <v>26744</v>
      </c>
      <c r="B13580" s="1">
        <v>0</v>
      </c>
      <c r="C13580" s="3">
        <v>44533.848819444444</v>
      </c>
      <c r="D13580" s="1" t="s">
        <v>26745</v>
      </c>
      <c r="E13580" s="1" t="str">
        <f ca="1">IFERROR(__xludf.DUMMYFUNCTION("GOOGLETRANSLATE(A10379 , ""tr"" , ""en"")"),"@drfahrettinkoca society to believe in the shares of the clap will seek to see the execution nurses. We madem minimum free ... https://t.co/67m3ltwmo2")</f>
        <v>@drfahrettinkoca society to believe in the shares of the clap will seek to see the execution nurses. We madem minimum free ... https://t.co/67m3ltwmo2</v>
      </c>
    </row>
    <row r="13581" spans="1:5" ht="15" customHeight="1" x14ac:dyDescent="0.2">
      <c r="A13581" s="1" t="s">
        <v>26746</v>
      </c>
      <c r="B13581" s="1">
        <v>0</v>
      </c>
      <c r="C13581" s="3">
        <v>44533.81554398148</v>
      </c>
      <c r="D13581" s="1" t="s">
        <v>26747</v>
      </c>
      <c r="E13581" s="1" t="str">
        <f ca="1">IFERROR(__xludf.DUMMYFUNCTION("GOOGLETRANSLATE(A10380 , ""tr"" , ""en"")"),"@drfahrettinkoca I have got my 32 years I will be the doctor in my life I have everything in my life Https://t.co/1gkaj8nth5 What is my home ... HTTPS://T.CO/2CRCLTJ56I")</f>
        <v>@drfahrettinkoca I have got my 32 years I will be the doctor in my life I have everything in my life Https://t.co/1gkaj8nth5 What is my home ... HTTPS://T.CO/2CRCLTJ56I</v>
      </c>
    </row>
    <row r="13582" spans="1:5" ht="15" customHeight="1" x14ac:dyDescent="0.2">
      <c r="A13582" s="1" t="s">
        <v>26748</v>
      </c>
      <c r="B13582" s="1">
        <v>0</v>
      </c>
      <c r="C13582" s="3">
        <v>44533.797442129631</v>
      </c>
      <c r="D13582" s="1" t="s">
        <v>26749</v>
      </c>
      <c r="E13582" s="1" t="str">
        <f ca="1">IFERROR(__xludf.DUMMYFUNCTION("GOOGLETRANSLATE(A10381 , ""tr"" , ""en"")"),"@drfahrettinkoca Ya is subject to the task, they deserve the slightest distress, but to forget them in ... https://t.co/bel0vaeewp")</f>
        <v>@drfahrettinkoca Ya is subject to the task, they deserve the slightest distress, but to forget them in ... https://t.co/bel0vaeewp</v>
      </c>
    </row>
    <row r="13583" spans="1:5" ht="15" customHeight="1" x14ac:dyDescent="0.2">
      <c r="A13583" s="1" t="s">
        <v>26750</v>
      </c>
      <c r="B13583" s="1">
        <v>0</v>
      </c>
      <c r="C13583" s="3">
        <v>44533.783113425925</v>
      </c>
      <c r="D13583" s="1" t="s">
        <v>26751</v>
      </c>
      <c r="E13583" s="1" t="str">
        <f ca="1">IFERROR(__xludf.DUMMYFUNCTION("GOOGLETRANSLATE(A10382 , ""tr"" , ""en"")"),"@drfahrettinka Mr. Minister, is the healthcare community not a whole?")</f>
        <v>@drfahrettinka Mr. Minister, is the healthcare community not a whole?</v>
      </c>
    </row>
    <row r="13584" spans="1:5" ht="15" customHeight="1" x14ac:dyDescent="0.2">
      <c r="A13584" s="1" t="s">
        <v>26752</v>
      </c>
      <c r="B13584" s="1">
        <v>1</v>
      </c>
      <c r="C13584" s="3">
        <v>44533.762129629627</v>
      </c>
      <c r="D13584" s="1" t="s">
        <v>26753</v>
      </c>
      <c r="E13584" s="1" t="str">
        <f ca="1">IFERROR(__xludf.DUMMYFUNCTION("GOOGLETRANSLATE(A10383 , ""tr"" , ""en"")"),"@drfahrettinka when are we will try to pay the right to the realizing other healthcare?")</f>
        <v>@drfahrettinka when are we will try to pay the right to the realizing other healthcare?</v>
      </c>
    </row>
    <row r="13585" spans="1:5" ht="15" customHeight="1" x14ac:dyDescent="0.2">
      <c r="A13585" s="1" t="s">
        <v>26754</v>
      </c>
      <c r="B13585" s="1">
        <v>0</v>
      </c>
      <c r="C13585" s="3">
        <v>44533.761597222219</v>
      </c>
      <c r="D13585" s="1" t="s">
        <v>26755</v>
      </c>
      <c r="E13585" s="1" t="str">
        <f ca="1">IFERROR(__xludf.DUMMYFUNCTION("GOOGLETRANSLATE(A10384 , ""tr"" , ""en"")"),"@drfahrettinkoca #health'sAyok We are what are you in this team? Physicians alone or sick looking? Therapy ... https://t.co/kaj2cxpzcf")</f>
        <v>@drfahrettinkoca #health'sAyok We are what are you in this team? Physicians alone or sick looking? Therapy ... https://t.co/kaj2cxpzcf</v>
      </c>
    </row>
    <row r="13586" spans="1:5" ht="15" customHeight="1" x14ac:dyDescent="0.2">
      <c r="A13586" s="1" t="s">
        <v>26756</v>
      </c>
      <c r="B13586" s="1">
        <v>0</v>
      </c>
      <c r="C13586" s="3">
        <v>44533.754895833335</v>
      </c>
      <c r="D13586" s="1" t="s">
        <v>26757</v>
      </c>
      <c r="E13586" s="1" t="str">
        <f ca="1">IFERROR(__xludf.DUMMYFUNCTION("GOOGLETRANSLATE(A10385 , ""tr"" , ""en"")"),"@drfahrettinkoca health worker just want to minister of health worker not a doctor")</f>
        <v>@drfahrettinkoca health worker just want to minister of health worker not a doctor</v>
      </c>
    </row>
    <row r="13587" spans="1:5" ht="15" customHeight="1" x14ac:dyDescent="0.2">
      <c r="A13587" s="1" t="s">
        <v>26758</v>
      </c>
      <c r="B13587" s="1">
        <v>0</v>
      </c>
      <c r="C13587" s="3">
        <v>44533.746655092589</v>
      </c>
      <c r="D13587" s="1" t="s">
        <v>26759</v>
      </c>
      <c r="E13587" s="1" t="str">
        <f ca="1">IFERROR(__xludf.DUMMYFUNCTION("GOOGLETRANSLATE(A10386 , ""tr"" , ""en"")"),"@drfahrettinkoca @rterdogan @drfahrettinkoca @sagliksen https://t.co/qqkpyp8wz4")</f>
        <v>@drfahrettinkoca @rterdogan @drfahrettinkoca @sagliksen https://t.co/qqkpyp8wz4</v>
      </c>
    </row>
    <row r="13588" spans="1:5" ht="15" customHeight="1" x14ac:dyDescent="0.2">
      <c r="A13588" s="1" t="s">
        <v>26760</v>
      </c>
      <c r="B13588" s="1">
        <v>0</v>
      </c>
      <c r="C13588" s="3">
        <v>44533.734537037039</v>
      </c>
      <c r="D13588" s="1" t="s">
        <v>26761</v>
      </c>
      <c r="E13588" s="1" t="str">
        <f ca="1">IFERROR(__xludf.DUMMYFUNCTION("GOOGLETRANSLATE(A10387 , ""tr"" , ""en"")"),"@drfahrettinkoca ""homeland; The rich in peace is the poor in the war, ""Saglik employees are currently fighting in hospitals.")</f>
        <v>@drfahrettinkoca "homeland; The rich in peace is the poor in the war, "Saglik employees are currently fighting in hospitals.</v>
      </c>
    </row>
    <row r="13589" spans="1:5" ht="15" customHeight="1" x14ac:dyDescent="0.2">
      <c r="A13589" s="1" t="s">
        <v>26762</v>
      </c>
      <c r="B13589" s="1">
        <v>0</v>
      </c>
      <c r="C13589" s="3">
        <v>44533.730254629627</v>
      </c>
      <c r="D13589" s="1" t="s">
        <v>26763</v>
      </c>
      <c r="E13589" s="1" t="str">
        <f ca="1">IFERROR(__xludf.DUMMYFUNCTION("GOOGLETRANSLATE(A10388 , ""tr"" , ""en"")"),"@drfahrettinkoca should be given all laborers for their labor. We want a humanly fee that can be experienced.")</f>
        <v>@drfahrettinkoca should be given all laborers for their labor. We want a humanly fee that can be experienced.</v>
      </c>
    </row>
    <row r="13590" spans="1:5" ht="15" customHeight="1" x14ac:dyDescent="0.2">
      <c r="A13590" s="1" t="s">
        <v>26764</v>
      </c>
      <c r="B13590" s="1">
        <v>0</v>
      </c>
      <c r="C13590" s="3">
        <v>44533.7184837963</v>
      </c>
      <c r="D13590" s="1" t="s">
        <v>26765</v>
      </c>
      <c r="E13590" s="1" t="str">
        <f ca="1">IFERROR(__xludf.DUMMYFUNCTION("GOOGLETRANSLATE(A10389 , ""tr"" , ""en"")"),"@drfahrettinka you think of people entering 30 thousands of money in 30 thousand caused 4ila6 thousand TL fields ... https://t.co/7pmsq9ostl")</f>
        <v>@drfahrettinka you think of people entering 30 thousands of money in 30 thousand caused 4ila6 thousand TL fields ... https://t.co/7pmsq9ostl</v>
      </c>
    </row>
    <row r="13591" spans="1:5" ht="15" customHeight="1" x14ac:dyDescent="0.2">
      <c r="A13591" s="1" t="s">
        <v>26766</v>
      </c>
      <c r="B13591" s="1">
        <v>0</v>
      </c>
      <c r="C13591" s="3">
        <v>44533.707418981481</v>
      </c>
      <c r="D13591" s="1" t="s">
        <v>26767</v>
      </c>
      <c r="E13591" s="1" t="str">
        <f ca="1">IFERROR(__xludf.DUMMYFUNCTION("GOOGLETRANSLATE(A10390 , ""tr"" , ""en"")"),"@drfahrettinkoca is deferred, gone through vas")</f>
        <v>@drfahrettinkoca is deferred, gone through vas</v>
      </c>
    </row>
    <row r="13592" spans="1:5" ht="15" customHeight="1" x14ac:dyDescent="0.2">
      <c r="A13592" s="1" t="s">
        <v>26768</v>
      </c>
      <c r="B13592" s="1">
        <v>2</v>
      </c>
      <c r="C13592" s="3">
        <v>44532.948206018518</v>
      </c>
      <c r="D13592" s="1" t="s">
        <v>26769</v>
      </c>
      <c r="E13592" s="1" t="str">
        <f ca="1">IFERROR(__xludf.DUMMYFUNCTION("GOOGLETRANSLATE(A10391 , ""tr"" , ""en"")"),"@DRFAHRETTINKACA Mr. Minister Say Güele What did Pharmacists do to you? What is our crime sin we have no ... https://t.co/q83qxvyn0b")</f>
        <v>@DRFAHRETTINKACA Mr. Minister Say Güele What did Pharmacists do to you? What is our crime sin we have no ... https://t.co/q83qxvyn0b</v>
      </c>
    </row>
    <row r="13593" spans="1:5" ht="15" customHeight="1" x14ac:dyDescent="0.2">
      <c r="A13593" s="1" t="s">
        <v>26770</v>
      </c>
      <c r="B13593" s="1">
        <v>0</v>
      </c>
      <c r="C13593" s="3">
        <v>44532.935856481483</v>
      </c>
      <c r="D13593" s="1" t="s">
        <v>26771</v>
      </c>
      <c r="E13593" s="1" t="str">
        <f ca="1">IFERROR(__xludf.DUMMYFUNCTION("GOOGLETRANSLATE(A10392 , ""tr"" , ""en"")"),"@drfahrettinkoca Hospitals Waist Bone Drivers. Carries 100 kovite per day. Touches every patient. But not healthcare. Your justice is Batin World.")</f>
        <v>@drfahrettinkoca Hospitals Waist Bone Drivers. Carries 100 kovite per day. Touches every patient. But not healthcare. Your justice is Batin World.</v>
      </c>
    </row>
    <row r="13594" spans="1:5" ht="15" customHeight="1" x14ac:dyDescent="0.2">
      <c r="A13594" s="1" t="s">
        <v>26772</v>
      </c>
      <c r="B13594" s="1">
        <v>0</v>
      </c>
      <c r="C13594" s="3">
        <v>44532.922118055554</v>
      </c>
      <c r="D13594" s="1" t="s">
        <v>26773</v>
      </c>
      <c r="E13594" s="1" t="str">
        <f ca="1">IFERROR(__xludf.DUMMYFUNCTION("GOOGLETRANSLATE(A10393 , ""tr"" , ""en"")"),"@drfahrettinkoca is crossing my wave with our mind.")</f>
        <v>@drfahrettinkoca is crossing my wave with our mind.</v>
      </c>
    </row>
    <row r="13595" spans="1:5" ht="15" customHeight="1" x14ac:dyDescent="0.2">
      <c r="A13595" s="1" t="s">
        <v>26774</v>
      </c>
      <c r="B13595" s="1">
        <v>0</v>
      </c>
      <c r="C13595" s="3">
        <v>44532.921527777777</v>
      </c>
      <c r="D13595" s="1" t="s">
        <v>26775</v>
      </c>
      <c r="E13595" s="1" t="str">
        <f ca="1">IFERROR(__xludf.DUMMYFUNCTION("GOOGLETRANSLATE(A10394 , ""tr"" , ""en"")"),"@drfahrettinkoca Mr. Ministry of your family, as a father if you have your partner, your spouse and children, the opposite of the press ... https://t.co/gckpica5pt")</f>
        <v>@drfahrettinkoca Mr. Ministry of your family, as a father if you have your partner, your spouse and children, the opposite of the press ... https://t.co/gckpica5pt</v>
      </c>
    </row>
    <row r="13596" spans="1:5" ht="15" customHeight="1" x14ac:dyDescent="0.2">
      <c r="A13596" s="1" t="s">
        <v>26776</v>
      </c>
      <c r="B13596" s="1">
        <v>0</v>
      </c>
      <c r="C13596" s="3">
        <v>44532.899710648147</v>
      </c>
      <c r="D13596" s="1" t="s">
        <v>26777</v>
      </c>
      <c r="E13596" s="1" t="str">
        <f ca="1">IFERROR(__xludf.DUMMYFUNCTION("GOOGLETRANSLATE(A10395 , ""tr"" , ""en"")"),"@drfahrettinkoca Mr. Minister, I think only physicians in the Ministry of Health The health personnel are called htta ... https://t.co/ptowrpzd3l")</f>
        <v>@drfahrettinkoca Mr. Minister, I think only physicians in the Ministry of Health The health personnel are called htta ... https://t.co/ptowrpzd3l</v>
      </c>
    </row>
    <row r="13597" spans="1:5" ht="15" customHeight="1" x14ac:dyDescent="0.2">
      <c r="A13597" s="1" t="s">
        <v>26778</v>
      </c>
      <c r="B13597" s="1">
        <v>0</v>
      </c>
      <c r="C13597" s="3">
        <v>44532.895150462966</v>
      </c>
      <c r="D13597" s="1" t="s">
        <v>26779</v>
      </c>
      <c r="E13597" s="1" t="str">
        <f ca="1">IFERROR(__xludf.DUMMYFUNCTION("GOOGLETRANSLATE(A10396 , ""tr"" , ""en"")"),"@drfahrettinka Minister We don't spend the hike in everything in the country ... If you don't want to hike in salaries ... Https://t.co/FLJQHRSGG6")</f>
        <v>@drfahrettinka Minister We don't spend the hike in everything in the country ... If you don't want to hike in salaries ... Https://t.co/FLJQHRSGG6</v>
      </c>
    </row>
    <row r="13598" spans="1:5" ht="15" customHeight="1" x14ac:dyDescent="0.2">
      <c r="A13598" s="1" t="s">
        <v>26780</v>
      </c>
      <c r="B13598" s="1">
        <v>0</v>
      </c>
      <c r="C13598" s="3">
        <v>44532.888240740744</v>
      </c>
      <c r="D13598" s="1" t="s">
        <v>26781</v>
      </c>
      <c r="E13598" s="1" t="str">
        <f ca="1">IFERROR(__xludf.DUMMYFUNCTION("GOOGLETRANSLATE(A10397 , ""tr"" , ""en"")"),"@drfahrettinkoca Mr. Minister When you say that you only say that you meant your doctors in the health minister ... Https://t.co/sftnkukj7a")</f>
        <v>@drfahrettinkoca Mr. Minister When you say that you only say that you meant your doctors in the health minister ... Https://t.co/sftnkukj7a</v>
      </c>
    </row>
    <row r="13599" spans="1:5" ht="15" customHeight="1" x14ac:dyDescent="0.2">
      <c r="A13599" s="1" t="s">
        <v>26782</v>
      </c>
      <c r="B13599" s="1">
        <v>0</v>
      </c>
      <c r="C13599" s="3">
        <v>44532.881284722222</v>
      </c>
      <c r="D13599" s="1" t="s">
        <v>26783</v>
      </c>
      <c r="E13599" s="1" t="str">
        <f ca="1">IFERROR(__xludf.DUMMYFUNCTION("GOOGLETRANSLATE(A10398 , ""tr"" , ""en"")"),"@drfahrettinkoca If a right is to be given from the secretary of the hospital to the cleaning staff to the cleaning staff ... https://t.co/xrx4buvyrn")</f>
        <v>@drfahrettinkoca If a right is to be given from the secretary of the hospital to the cleaning staff to the cleaning staff ... https://t.co/xrx4buvyrn</v>
      </c>
    </row>
    <row r="13600" spans="1:5" ht="15" customHeight="1" x14ac:dyDescent="0.2">
      <c r="A13600" s="1" t="s">
        <v>26784</v>
      </c>
      <c r="B13600" s="1">
        <v>0</v>
      </c>
      <c r="C13600" s="3">
        <v>44532.880752314813</v>
      </c>
      <c r="D13600" s="1" t="s">
        <v>26785</v>
      </c>
      <c r="E13600" s="1" t="str">
        <f ca="1">IFERROR(__xludf.DUMMYFUNCTION("GOOGLETRANSLATE(A10399 , ""tr"" , ""en"")"),"@drfahrettinkoca is very bad management of some hospitals. State Hospital Training and Researched with Tumor Suspicion Training and Research ... https://t.co/m3wwz3zwrl")</f>
        <v>@drfahrettinkoca is very bad management of some hospitals. State Hospital Training and Researched with Tumor Suspicion Training and Research ... https://t.co/m3wwz3zwrl</v>
      </c>
    </row>
    <row r="13601" spans="1:5" ht="15" customHeight="1" x14ac:dyDescent="0.2">
      <c r="A13601" s="1" t="s">
        <v>26786</v>
      </c>
      <c r="B13601" s="1">
        <v>0</v>
      </c>
      <c r="C13601" s="3">
        <v>44532.879548611112</v>
      </c>
      <c r="D13601" s="1" t="s">
        <v>26787</v>
      </c>
      <c r="E13601" s="1" t="str">
        <f ca="1">IFERROR(__xludf.DUMMYFUNCTION("GOOGLETRANSLATE(A10400 , ""tr"" , ""en"")"),"@drfahrettinka Mr. Minister, the health system is like a chain as you know, doctor, nurse, single ... https://t.co/hgdqy7gajc")</f>
        <v>@drfahrettinka Mr. Minister, the health system is like a chain as you know, doctor, nurse, single ... https://t.co/hgdqy7gajc</v>
      </c>
    </row>
    <row r="13602" spans="1:5" ht="15" customHeight="1" x14ac:dyDescent="0.2">
      <c r="A13602" s="1" t="s">
        <v>26788</v>
      </c>
      <c r="B13602" s="1">
        <v>0</v>
      </c>
      <c r="C13602" s="3">
        <v>44532.872939814813</v>
      </c>
      <c r="D13602" s="1" t="s">
        <v>26789</v>
      </c>
      <c r="E13602" s="1" t="str">
        <f ca="1">IFERROR(__xludf.DUMMYFUNCTION("GOOGLETRANSLATE(A10401 , ""tr"" , ""en"")"),"@drfahrettinka is already unable to take advantage of good work every time family physicians. Or Benefit or Benefit of A Contingent ... https://t.co/mdqnm4xntt")</f>
        <v>@drfahrettinka is already unable to take advantage of good work every time family physicians. Or Benefit or Benefit of A Contingent ... https://t.co/mdqnm4xntt</v>
      </c>
    </row>
    <row r="13603" spans="1:5" ht="15" customHeight="1" x14ac:dyDescent="0.2">
      <c r="A13603" s="1" t="s">
        <v>26790</v>
      </c>
      <c r="B13603" s="1">
        <v>0</v>
      </c>
      <c r="C13603" s="3">
        <v>44532.867997685185</v>
      </c>
      <c r="D13603" s="1" t="s">
        <v>26791</v>
      </c>
      <c r="E13603" s="1" t="str">
        <f ca="1">IFERROR(__xludf.DUMMYFUNCTION("GOOGLETRANSLATE(A10402 , ""tr"" , ""en"")"),"@drfahrettinkoca Minister Loves the Means that I Likes Menses Stops My Sister's Guide in the House Minister Guide ... HTTPS://T.CO/VYLTIWNC66")</f>
        <v>@drfahrettinkoca Minister Loves the Means that I Likes Menses Stops My Sister's Guide in the House Minister Guide ... HTTPS://T.CO/VYLTIWNC66</v>
      </c>
    </row>
    <row r="13604" spans="1:5" ht="15" customHeight="1" x14ac:dyDescent="0.2">
      <c r="A13604" s="1" t="s">
        <v>26792</v>
      </c>
      <c r="B13604" s="1">
        <v>1</v>
      </c>
      <c r="C13604" s="3">
        <v>44532.861111111109</v>
      </c>
      <c r="D13604" s="1" t="s">
        <v>26793</v>
      </c>
      <c r="E13604" s="1" t="str">
        <f ca="1">IFERROR(__xludf.DUMMYFUNCTION("GOOGLETRANSLATE(A10403 , ""tr"" , ""en"")"),"@drfahrettinkoca When physicians say only the physicians already that you have already said")</f>
        <v>@drfahrettinkoca When physicians say only the physicians already that you have already said</v>
      </c>
    </row>
    <row r="13605" spans="1:5" ht="15" customHeight="1" x14ac:dyDescent="0.2">
      <c r="A13605" s="1" t="s">
        <v>26794</v>
      </c>
      <c r="B13605" s="1">
        <v>0</v>
      </c>
      <c r="C13605" s="3">
        <v>44532.856215277781</v>
      </c>
      <c r="D13605" s="1" t="s">
        <v>26795</v>
      </c>
      <c r="E13605" s="1" t="str">
        <f ca="1">IFERROR(__xludf.DUMMYFUNCTION("GOOGLETRANSLATE(A10404 , ""tr"" , ""en"")"),"@drfahrettinkoca precious minister.")</f>
        <v>@drfahrettinkoca precious minister.</v>
      </c>
    </row>
    <row r="13606" spans="1:5" ht="15" customHeight="1" x14ac:dyDescent="0.2">
      <c r="A13606" s="1" t="s">
        <v>26796</v>
      </c>
      <c r="B13606" s="1">
        <v>0</v>
      </c>
      <c r="C13606" s="3">
        <v>44532.846817129626</v>
      </c>
      <c r="D13606" s="1" t="s">
        <v>26797</v>
      </c>
      <c r="E13606" s="1" t="str">
        <f ca="1">IFERROR(__xludf.DUMMYFUNCTION("GOOGLETRANSLATE(A10405 , ""tr"" , ""en"")"),"@drfahrettinkoca as a healthcare man who sees our doctors only contracted teachers Gi ... HTTPS://T.CO/NPSIASHKQV")</f>
        <v>@drfahrettinkoca as a healthcare man who sees our doctors only contracted teachers Gi ... HTTPS://T.CO/NPSIASHKQV</v>
      </c>
    </row>
    <row r="13607" spans="1:5" ht="15" customHeight="1" x14ac:dyDescent="0.2">
      <c r="A13607" s="1" t="s">
        <v>26798</v>
      </c>
      <c r="B13607" s="1">
        <v>0</v>
      </c>
      <c r="C13607" s="3">
        <v>44532.84103009259</v>
      </c>
      <c r="D13607" s="1" t="s">
        <v>26799</v>
      </c>
      <c r="E13607" s="1" t="str">
        <f ca="1">IFERROR(__xludf.DUMMYFUNCTION("GOOGLETRANSLATE(A10406 , ""tr"" , ""en"")"),"@drfahrettinkoca what lovely physician demi is discriminated your conscience while your conscience is not too behind")</f>
        <v>@drfahrettinkoca what lovely physician demi is discriminated your conscience while your conscience is not too behind</v>
      </c>
    </row>
    <row r="13608" spans="1:5" ht="15" customHeight="1" x14ac:dyDescent="0.2">
      <c r="A13608" s="1" t="s">
        <v>26800</v>
      </c>
      <c r="B13608" s="1">
        <v>0</v>
      </c>
      <c r="C13608" s="3">
        <v>44532.837962962964</v>
      </c>
      <c r="D13608" s="1" t="s">
        <v>26801</v>
      </c>
      <c r="E13608" s="1" t="str">
        <f ca="1">IFERROR(__xludf.DUMMYFUNCTION("GOOGLETRANSLATE(A10407 , ""tr"" , ""en"")"),"@drfahrettinkoca We are very pity @drfahrettinkoca @saglikbakanligi @rterdogan")</f>
        <v>@drfahrettinkoca We are very pity @drfahrettinkoca @saglikbakanligi @rterdogan</v>
      </c>
    </row>
    <row r="13609" spans="1:5" ht="15" customHeight="1" x14ac:dyDescent="0.2">
      <c r="A13609" s="1" t="s">
        <v>26802</v>
      </c>
      <c r="B13609" s="1">
        <v>0</v>
      </c>
      <c r="C13609" s="3">
        <v>44532.814513888887</v>
      </c>
      <c r="D13609" s="1" t="s">
        <v>26803</v>
      </c>
      <c r="E13609" s="1" t="str">
        <f ca="1">IFERROR(__xludf.DUMMYFUNCTION("GOOGLETRANSLATE(A10408 , ""tr"" , ""en"")"),"@drfahrettinkoca resigns increased most of the physicians have been abroad, you have applied in the hands that you have escaped in the hands ... https://t.co/okeas25jdg")</f>
        <v>@drfahrettinkoca resigns increased most of the physicians have been abroad, you have applied in the hands that you have escaped in the hands ... https://t.co/okeas25jdg</v>
      </c>
    </row>
    <row r="13610" spans="1:5" ht="15" customHeight="1" x14ac:dyDescent="0.2">
      <c r="A13610" s="1" t="s">
        <v>26804</v>
      </c>
      <c r="B13610" s="1">
        <v>0</v>
      </c>
      <c r="C13610" s="3">
        <v>44532.810474537036</v>
      </c>
      <c r="D13610" s="1" t="s">
        <v>26805</v>
      </c>
      <c r="E13610" s="1" t="str">
        <f ca="1">IFERROR(__xludf.DUMMYFUNCTION("GOOGLETRANSLATE(A10409 , ""tr"" , ""en"")"),"@drfahrettinkoca I have health worker in public worker staff security personnel https://t.co/02pzswohzp")</f>
        <v>@drfahrettinkoca I have health worker in public worker staff security personnel https://t.co/02pzswohzp</v>
      </c>
    </row>
    <row r="13611" spans="1:5" ht="15" customHeight="1" x14ac:dyDescent="0.2">
      <c r="A13611" s="1" t="s">
        <v>26806</v>
      </c>
      <c r="B13611" s="1">
        <v>0</v>
      </c>
      <c r="C13611" s="3">
        <v>44532.809212962966</v>
      </c>
      <c r="D13611" s="1" t="s">
        <v>26807</v>
      </c>
      <c r="E13611" s="1" t="str">
        <f ca="1">IFERROR(__xludf.DUMMYFUNCTION("GOOGLETRANSLATE(A10410 , ""tr"" , ""en"")"),"@drfahrettinkoca yaaa lets you spit on your perception oparity Your Koskoca Labeling is the DR LARA ZAM Change ... https://t.co/tmdd9qhlay")</f>
        <v>@drfahrettinkoca yaaa lets you spit on your perception oparity Your Koskoca Labeling is the DR LARA ZAM Change ... https://t.co/tmdd9qhlay</v>
      </c>
    </row>
    <row r="13612" spans="1:5" ht="15" customHeight="1" x14ac:dyDescent="0.2">
      <c r="A13612" s="1" t="s">
        <v>26808</v>
      </c>
      <c r="B13612" s="1">
        <v>0</v>
      </c>
      <c r="C13612" s="3">
        <v>44532.804444444446</v>
      </c>
      <c r="D13612" s="1" t="s">
        <v>26809</v>
      </c>
      <c r="E13612" s="1" t="str">
        <f ca="1">IFERROR(__xludf.DUMMYFUNCTION("GOOGLETRANSLATE(A10411 , ""tr"" , ""en"")"),"@drfahrettinkoca is not only hike to physicians and to ignore 38 branches, it is not right to eat.")</f>
        <v>@drfahrettinkoca is not only hike to physicians and to ignore 38 branches, it is not right to eat.</v>
      </c>
    </row>
    <row r="13613" spans="1:5" ht="15" customHeight="1" x14ac:dyDescent="0.2">
      <c r="A13613" s="1" t="s">
        <v>26810</v>
      </c>
      <c r="B13613" s="1">
        <v>0</v>
      </c>
      <c r="C13613" s="3">
        <v>44532.80159722222</v>
      </c>
      <c r="D13613" s="1" t="s">
        <v>26811</v>
      </c>
      <c r="E13613" s="1" t="str">
        <f ca="1">IFERROR(__xludf.DUMMYFUNCTION("GOOGLETRANSLATE(A10412 , ""tr"" , ""en"")"),"@drfahrettinkoca I wish he was not only to physicians but all health workers' face laughed")</f>
        <v>@drfahrettinkoca I wish he was not only to physicians but all health workers' face laughed</v>
      </c>
    </row>
    <row r="13614" spans="1:5" ht="15" customHeight="1" x14ac:dyDescent="0.2">
      <c r="A13614" s="1" t="s">
        <v>26812</v>
      </c>
      <c r="B13614" s="1">
        <v>0</v>
      </c>
      <c r="C13614" s="3">
        <v>44532.797534722224</v>
      </c>
      <c r="D13614" s="1" t="s">
        <v>26813</v>
      </c>
      <c r="E13614" s="1" t="str">
        <f ca="1">IFERROR(__xludf.DUMMYFUNCTION("GOOGLETRANSLATE(A10413 , ""tr"" , ""en"")"),"@drfahrettinkoca allah will be setting up in materials")</f>
        <v>@drfahrettinkoca allah will be setting up in materials</v>
      </c>
    </row>
    <row r="13615" spans="1:5" ht="15" customHeight="1" x14ac:dyDescent="0.2">
      <c r="A13615" s="1" t="s">
        <v>26814</v>
      </c>
      <c r="B13615" s="1">
        <v>0</v>
      </c>
      <c r="C13615" s="3">
        <v>44532.794675925928</v>
      </c>
      <c r="D13615" s="1" t="s">
        <v>26815</v>
      </c>
      <c r="E13615" s="1" t="str">
        <f ca="1">IFERROR(__xludf.DUMMYFUNCTION("GOOGLETRANSLATE(A10414 , ""tr"" , ""en"")"),"@drfahrettinkoca I wonder what the doctors do not have their own bass.")</f>
        <v>@drfahrettinkoca I wonder what the doctors do not have their own bass.</v>
      </c>
    </row>
    <row r="13616" spans="1:5" ht="15" customHeight="1" x14ac:dyDescent="0.2">
      <c r="A13616" s="1" t="s">
        <v>26816</v>
      </c>
      <c r="B13616" s="1">
        <v>0</v>
      </c>
      <c r="C13616" s="3">
        <v>44532.790335648147</v>
      </c>
      <c r="D13616" s="1" t="s">
        <v>26817</v>
      </c>
      <c r="E13616" s="1" t="str">
        <f ca="1">IFERROR(__xludf.DUMMYFUNCTION("GOOGLETRANSLATE(A10415 , ""tr"" , ""en"")"),"@drfahrettinkoca All health workers are valuable. It has been so shame that you say ""physicians in the beginning."" #Health of your healthcare")</f>
        <v>@drfahrettinkoca All health workers are valuable. It has been so shame that you say "physicians in the beginning." #Health of your healthcare</v>
      </c>
    </row>
    <row r="13617" spans="1:5" ht="15" customHeight="1" x14ac:dyDescent="0.2">
      <c r="A13617" s="1" t="s">
        <v>26818</v>
      </c>
      <c r="B13617" s="1">
        <v>0</v>
      </c>
      <c r="C13617" s="3">
        <v>44532.78974537037</v>
      </c>
      <c r="D13617" s="1" t="s">
        <v>26819</v>
      </c>
      <c r="E13617" s="1" t="str">
        <f ca="1">IFERROR(__xludf.DUMMYFUNCTION("GOOGLETRANSLATE(A10416 , ""tr"" , ""en"")"),"@drfahrettinkoca Mr. @drfahrettinkoca Private sector Material and spiritual of health personnel working with minimum wage ... https://t.co/lijtllye5b")</f>
        <v>@drfahrettinkoca Mr. @drfahrettinkoca Private sector Material and spiritual of health personnel working with minimum wage ... https://t.co/lijtllye5b</v>
      </c>
    </row>
    <row r="13618" spans="1:5" ht="15" customHeight="1" x14ac:dyDescent="0.2">
      <c r="A13618" s="1" t="s">
        <v>26820</v>
      </c>
      <c r="B13618" s="1">
        <v>1</v>
      </c>
      <c r="C13618" s="3">
        <v>44532.786851851852</v>
      </c>
      <c r="D13618" s="1" t="s">
        <v>26821</v>
      </c>
      <c r="E13618" s="1" t="str">
        <f ca="1">IFERROR(__xludf.DUMMYFUNCTION("GOOGLETRANSLATE(A10417 , ""tr"" , ""en"")"),"@drfahrettinkoca Results even begin to reflect. # Healthconships")</f>
        <v>@drfahrettinkoca Results even begin to reflect. # Healthconships</v>
      </c>
    </row>
    <row r="13619" spans="1:5" ht="15" customHeight="1" x14ac:dyDescent="0.2">
      <c r="A13619" s="1" t="s">
        <v>26822</v>
      </c>
      <c r="B13619" s="1">
        <v>0</v>
      </c>
      <c r="C13619" s="3">
        <v>44532.784745370373</v>
      </c>
      <c r="D13619" s="1" t="s">
        <v>26823</v>
      </c>
      <c r="E13619" s="1" t="str">
        <f ca="1">IFERROR(__xludf.DUMMYFUNCTION("GOOGLETRANSLATE(A10418 , ""tr"" , ""en"")"),"@drfahrettinkoca Healthist'sOyok")</f>
        <v>@drfahrettinkoca Healthist'sOyok</v>
      </c>
    </row>
    <row r="13620" spans="1:5" ht="15" customHeight="1" x14ac:dyDescent="0.2">
      <c r="A13620" s="1" t="s">
        <v>26824</v>
      </c>
      <c r="B13620" s="1">
        <v>0</v>
      </c>
      <c r="C13620" s="3">
        <v>44532.784039351849</v>
      </c>
      <c r="D13620" s="1" t="s">
        <v>26825</v>
      </c>
      <c r="E13620" s="1" t="str">
        <f ca="1">IFERROR(__xludf.DUMMYFUNCTION("GOOGLETRANSLATE(A10419 , ""tr"" , ""en"")"),"@drfahrettinka https://t.co/rotqlsb7an")</f>
        <v>@drfahrettinka https://t.co/rotqlsb7an</v>
      </c>
    </row>
    <row r="13621" spans="1:5" ht="15" customHeight="1" x14ac:dyDescent="0.2">
      <c r="A13621" s="1" t="s">
        <v>26826</v>
      </c>
      <c r="B13621" s="1">
        <v>0</v>
      </c>
      <c r="C13621" s="3">
        <v>44532.783877314818</v>
      </c>
      <c r="D13621" s="1" t="s">
        <v>26827</v>
      </c>
      <c r="E13621" s="1" t="str">
        <f ca="1">IFERROR(__xludf.DUMMYFUNCTION("GOOGLETRANSLATE(A10420 , ""tr"" , ""en"")"),"@drfahrettinka We have no health worker discrimination.")</f>
        <v>@drfahrettinka We have no health worker discrimination.</v>
      </c>
    </row>
    <row r="13622" spans="1:5" ht="15" customHeight="1" x14ac:dyDescent="0.2">
      <c r="A13622" s="1" t="s">
        <v>26828</v>
      </c>
      <c r="B13622" s="1">
        <v>0</v>
      </c>
      <c r="C13622" s="3">
        <v>44532.779328703706</v>
      </c>
      <c r="D13622" s="1" t="s">
        <v>26829</v>
      </c>
      <c r="E13622" s="1" t="str">
        <f ca="1">IFERROR(__xludf.DUMMYFUNCTION("GOOGLETRANSLATE(A10421 , ""tr"" , ""en"")"),"@drfahrettinkoca staff If you are not going to give you when you graduated at IT?")</f>
        <v>@drfahrettinkoca staff If you are not going to give you when you graduated at IT?</v>
      </c>
    </row>
    <row r="13623" spans="1:5" ht="15" customHeight="1" x14ac:dyDescent="0.2">
      <c r="A13623" s="1" t="s">
        <v>26830</v>
      </c>
      <c r="B13623" s="1">
        <v>0</v>
      </c>
      <c r="C13623" s="3">
        <v>44532.774247685185</v>
      </c>
      <c r="D13623" s="1" t="s">
        <v>26831</v>
      </c>
      <c r="E13623" s="1" t="str">
        <f ca="1">IFERROR(__xludf.DUMMYFUNCTION("GOOGLETRANSLATE(A10422 , ""tr"" , ""en"")"),"@drfahrettinkoca # Suberonakadronold # Suberonakadronold uses in this pandemi process Hospital staff workers ... https://t.co/2zv5a675hd")</f>
        <v>@drfahrettinkoca # Suberonakadronold # Suberonakadronold uses in this pandemi process Hospital staff workers ... https://t.co/2zv5a675hd</v>
      </c>
    </row>
    <row r="13624" spans="1:5" ht="15" customHeight="1" x14ac:dyDescent="0.2">
      <c r="A13624" s="1" t="s">
        <v>26832</v>
      </c>
      <c r="B13624" s="1">
        <v>0</v>
      </c>
      <c r="C13624" s="3">
        <v>44532.765185185184</v>
      </c>
      <c r="D13624" s="1" t="s">
        <v>26833</v>
      </c>
      <c r="E13624" s="1" t="str">
        <f ca="1">IFERROR(__xludf.DUMMYFUNCTION("GOOGLETRANSLATE(A10423 , ""tr"" , ""en"")"),"@drfahrettinkoca Mr. Mr. Is the health worker, when it is called only physicians? In the health sector ... https://t.co/cnhvnlsxox")</f>
        <v>@drfahrettinkoca Mr. Mr. Is the health worker, when it is called only physicians? In the health sector ... https://t.co/cnhvnlsxox</v>
      </c>
    </row>
    <row r="13625" spans="1:5" ht="15" customHeight="1" x14ac:dyDescent="0.2">
      <c r="A13625" s="1" t="s">
        <v>26834</v>
      </c>
      <c r="B13625" s="1">
        <v>0</v>
      </c>
      <c r="C13625" s="3">
        <v>44532.764699074076</v>
      </c>
      <c r="D13625" s="1" t="s">
        <v>26835</v>
      </c>
      <c r="E13625" s="1" t="str">
        <f ca="1">IFERROR(__xludf.DUMMYFUNCTION("GOOGLETRANSLATE(A10424 , ""tr"" , ""en"")"),"@drfahrettinka https://t.co/gvtfqz9di7")</f>
        <v>@drfahrettinka https://t.co/gvtfqz9di7</v>
      </c>
    </row>
    <row r="13626" spans="1:5" ht="15" customHeight="1" x14ac:dyDescent="0.2">
      <c r="A13626" s="1" t="s">
        <v>26836</v>
      </c>
      <c r="B13626" s="1">
        <v>0</v>
      </c>
      <c r="C13626" s="3">
        <v>44532.756527777776</v>
      </c>
      <c r="D13626" s="1" t="s">
        <v>26837</v>
      </c>
      <c r="E13626" s="1" t="str">
        <f ca="1">IFERROR(__xludf.DUMMYFUNCTION("GOOGLETRANSLATE(A10425 , ""tr"" , ""en"")"),"@drfahrettinkoca What did you say?")</f>
        <v>@drfahrettinkoca What did you say?</v>
      </c>
    </row>
    <row r="13627" spans="1:5" ht="15" customHeight="1" x14ac:dyDescent="0.2">
      <c r="A13627" s="1" t="s">
        <v>26838</v>
      </c>
      <c r="B13627" s="1">
        <v>0</v>
      </c>
      <c r="C13627" s="3">
        <v>44532.755231481482</v>
      </c>
      <c r="D13627" s="1" t="s">
        <v>26839</v>
      </c>
      <c r="E13627" s="1" t="str">
        <f ca="1">IFERROR(__xludf.DUMMYFUNCTION("GOOGLETRANSLATE(A10426 , ""tr"" , ""en"")"),"@drfahrettinka https://t.co/wwxnIpjq8g")</f>
        <v>@drfahrettinka https://t.co/wwxnIpjq8g</v>
      </c>
    </row>
    <row r="13628" spans="1:5" ht="15" customHeight="1" x14ac:dyDescent="0.2">
      <c r="A13628" s="1" t="s">
        <v>26840</v>
      </c>
      <c r="B13628" s="1">
        <v>0</v>
      </c>
      <c r="C13628" s="3">
        <v>44532.755150462966</v>
      </c>
      <c r="D13628" s="1" t="s">
        <v>26841</v>
      </c>
      <c r="E13628" s="1" t="str">
        <f ca="1">IFERROR(__xludf.DUMMYFUNCTION("GOOGLETRANSLATE(A10427 , ""tr"" , ""en"")"),"@drfahrettinka https://t.co/u9BI8loioz")</f>
        <v>@drfahrettinka https://t.co/u9BI8loioz</v>
      </c>
    </row>
    <row r="13629" spans="1:5" ht="15" customHeight="1" x14ac:dyDescent="0.2">
      <c r="A13629" s="1" t="s">
        <v>26842</v>
      </c>
      <c r="B13629" s="1">
        <v>0</v>
      </c>
      <c r="C13629" s="3">
        <v>44532.754340277781</v>
      </c>
      <c r="D13629" s="1" t="s">
        <v>26843</v>
      </c>
      <c r="E13629" s="1" t="str">
        <f ca="1">IFERROR(__xludf.DUMMYFUNCTION("GOOGLETRANSLATE(A10428 , ""tr"" , ""en"")"),"@drfahrettinkoca political conversations remain indifferent to the right to the nurse with the same salary as the cleaning staff at the hospital ... https://t.co/kninlsaghw")</f>
        <v>@drfahrettinkoca political conversations remain indifferent to the right to the nurse with the same salary as the cleaning staff at the hospital ... https://t.co/kninlsaghw</v>
      </c>
    </row>
    <row r="13630" spans="1:5" ht="15" customHeight="1" x14ac:dyDescent="0.2">
      <c r="A13630" s="1" t="s">
        <v>26844</v>
      </c>
      <c r="B13630" s="1">
        <v>0</v>
      </c>
      <c r="C13630" s="3">
        <v>44532.754212962966</v>
      </c>
      <c r="D13630" s="1" t="s">
        <v>26845</v>
      </c>
      <c r="E13630" s="1" t="str">
        <f ca="1">IFERROR(__xludf.DUMMYFUNCTION("GOOGLETRANSLATE(A10429 , ""tr"" , ""en"")"),"@drfahrettinkoca you are not intimate nurses will come to see you Oket")</f>
        <v>@drfahrettinkoca you are not intimate nurses will come to see you Oket</v>
      </c>
    </row>
    <row r="13631" spans="1:5" ht="15" customHeight="1" x14ac:dyDescent="0.2">
      <c r="A13631" s="1" t="s">
        <v>26846</v>
      </c>
      <c r="B13631" s="1">
        <v>0</v>
      </c>
      <c r="C13631" s="3">
        <v>44532.753263888888</v>
      </c>
      <c r="D13631" s="1" t="s">
        <v>26847</v>
      </c>
      <c r="E13631" s="1" t="str">
        <f ca="1">IFERROR(__xludf.DUMMYFUNCTION("GOOGLETRANSLATE(A10430 , ""tr"" , ""en"")"),"@drfahrettinkoca Patients in Bursa, who has Dog treats in Bursa, I don't halic my right.")</f>
        <v>@drfahrettinkoca Patients in Bursa, who has Dog treats in Bursa, I don't halic my right.</v>
      </c>
    </row>
    <row r="13632" spans="1:5" ht="15" customHeight="1" x14ac:dyDescent="0.2">
      <c r="A13632" s="1" t="s">
        <v>26848</v>
      </c>
      <c r="B13632" s="1">
        <v>5</v>
      </c>
      <c r="C13632" s="3">
        <v>44532.74386574074</v>
      </c>
      <c r="D13632" s="1" t="s">
        <v>26849</v>
      </c>
      <c r="E13632" s="1" t="str">
        <f ca="1">IFERROR(__xludf.DUMMYFUNCTION("GOOGLETRANSLATE(A10431 , ""tr"" , ""en"")"),"@drfahrettinkoca selection of external extinctionakadro hospitals working in hospitals")</f>
        <v>@drfahrettinkoca selection of external extinctionakadro hospitals working in hospitals</v>
      </c>
    </row>
    <row r="13633" spans="1:5" ht="15" customHeight="1" x14ac:dyDescent="0.2">
      <c r="A13633" s="1" t="s">
        <v>26850</v>
      </c>
      <c r="B13633" s="1">
        <v>0</v>
      </c>
      <c r="C13633" s="3">
        <v>44532.743321759262</v>
      </c>
      <c r="D13633" s="1" t="s">
        <v>26851</v>
      </c>
      <c r="E13633" s="1" t="str">
        <f ca="1">IFERROR(__xludf.DUMMYFUNCTION("GOOGLETRANSLATE(A10432 , ""tr"" , ""en"")"),"@drfahrettinkoca We are running on everyone's job in hospitals in hospitals there are no words but not holding https://t.co/7v1vvf93FI")</f>
        <v>@drfahrettinkoca We are running on everyone's job in hospitals in hospitals there are no words but not holding https://t.co/7v1vvf93FI</v>
      </c>
    </row>
    <row r="13634" spans="1:5" ht="15" customHeight="1" x14ac:dyDescent="0.2">
      <c r="A13634" s="1" t="s">
        <v>26852</v>
      </c>
      <c r="B13634" s="1">
        <v>8</v>
      </c>
      <c r="C13634" s="3">
        <v>44532.742488425924</v>
      </c>
      <c r="D13634" s="1" t="s">
        <v>26853</v>
      </c>
      <c r="E13634" s="1" t="str">
        <f ca="1">IFERROR(__xludf.DUMMYFUNCTION("GOOGLETRANSLATE(A10433 , ""tr"" , ""en"")"),"@drfahrettinka Mr. Minister So where are our rights? https://t.co/gnzla5wejt")</f>
        <v>@drfahrettinka Mr. Minister So where are our rights? https://t.co/gnzla5wejt</v>
      </c>
    </row>
    <row r="13635" spans="1:5" ht="15" customHeight="1" x14ac:dyDescent="0.2">
      <c r="A13635" s="1" t="s">
        <v>26854</v>
      </c>
      <c r="B13635" s="1">
        <v>0</v>
      </c>
      <c r="C13635" s="3">
        <v>44539.280219907407</v>
      </c>
      <c r="D13635" s="1" t="s">
        <v>26855</v>
      </c>
      <c r="E13635" s="1" t="str">
        <f ca="1">IFERROR(__xludf.DUMMYFUNCTION("GOOGLETRANSLATE(A10434 , ""tr"" , ""en"")"),"@drfahrettinkoca 5. SI Dominated")</f>
        <v>@drfahrettinkoca 5. SI Dominated</v>
      </c>
    </row>
    <row r="13636" spans="1:5" ht="15" customHeight="1" x14ac:dyDescent="0.2">
      <c r="A13636" s="1" t="s">
        <v>26856</v>
      </c>
      <c r="B13636" s="1">
        <v>0</v>
      </c>
      <c r="C13636" s="3">
        <v>44532.906608796293</v>
      </c>
      <c r="D13636" s="1" t="s">
        <v>26857</v>
      </c>
      <c r="E13636" s="1" t="str">
        <f ca="1">IFERROR(__xludf.DUMMYFUNCTION("GOOGLETRANSLATE(A10435 , ""tr"" , ""en"")"),"@drfahrettinka Mr. Fahrettin Bey Corona is a human drug as a medicine are given histories")</f>
        <v>@drfahrettinka Mr. Fahrettin Bey Corona is a human drug as a medicine are given histories</v>
      </c>
    </row>
    <row r="13637" spans="1:5" ht="15" customHeight="1" x14ac:dyDescent="0.2">
      <c r="A13637" s="1" t="s">
        <v>26858</v>
      </c>
      <c r="B13637" s="1">
        <v>0</v>
      </c>
      <c r="C13637" s="3">
        <v>44532.868263888886</v>
      </c>
      <c r="D13637" s="1" t="s">
        <v>26859</v>
      </c>
      <c r="E13637" s="1" t="str">
        <f ca="1">IFERROR(__xludf.DUMMYFUNCTION("GOOGLETRANSLATE(A10436 , ""tr"" , ""en"")"),"@drfahrettinka please guide please")</f>
        <v>@drfahrettinka please guide please</v>
      </c>
    </row>
    <row r="13638" spans="1:5" ht="15" customHeight="1" x14ac:dyDescent="0.2">
      <c r="A13638" s="1" t="s">
        <v>26860</v>
      </c>
      <c r="B13638" s="1">
        <v>0</v>
      </c>
      <c r="C13638" s="3">
        <v>44534.780949074076</v>
      </c>
      <c r="D13638" s="1" t="s">
        <v>26861</v>
      </c>
      <c r="E13638" s="1" t="str">
        <f ca="1">IFERROR(__xludf.DUMMYFUNCTION("GOOGLETRANSLATE(A10437 , ""tr"" , ""en"")"),"@drfahrettinkoca is a simple influenza YI 30 jackets You have stuck in variant What do you know what a lot of Dalavere Ihane ... https://t.co/obvwhrxqw8")</f>
        <v>@drfahrettinkoca is a simple influenza YI 30 jackets You have stuck in variant What do you know what a lot of Dalavere Ihane ... https://t.co/obvwhrxqw8</v>
      </c>
    </row>
    <row r="13639" spans="1:5" ht="15" customHeight="1" x14ac:dyDescent="0.2">
      <c r="A13639" s="1" t="s">
        <v>26862</v>
      </c>
      <c r="B13639" s="1">
        <v>0</v>
      </c>
      <c r="C13639" s="3">
        <v>44533.802673611113</v>
      </c>
      <c r="D13639" s="1" t="s">
        <v>26863</v>
      </c>
      <c r="E13639" s="1" t="str">
        <f ca="1">IFERROR(__xludf.DUMMYFUNCTION("GOOGLETRANSLATE(A10438 , ""tr"" , ""en"")"),"@drfahrettinkoca where do you know this? How many epidemics have you had?")</f>
        <v>@drfahrettinkoca where do you know this? How many epidemics have you had?</v>
      </c>
    </row>
    <row r="13640" spans="1:5" ht="15" customHeight="1" x14ac:dyDescent="0.2">
      <c r="A13640" s="1" t="s">
        <v>26864</v>
      </c>
      <c r="B13640" s="1">
        <v>0</v>
      </c>
      <c r="C13640" s="3">
        <v>44533.722453703704</v>
      </c>
      <c r="D13640" s="1" t="s">
        <v>26865</v>
      </c>
      <c r="E13640" s="1" t="str">
        <f ca="1">IFERROR(__xludf.DUMMYFUNCTION("GOOGLETRANSLATE(A10439 , ""tr"" , ""en"")"),"@drfahrettinkoca All our hopbership Hepbersber Unity is a moment by convincing those who do not meet the rules with the rules ... https://t.co/1acsg1v0hp")</f>
        <v>@drfahrettinkoca All our hopbership Hepbersber Unity is a moment by convincing those who do not meet the rules with the rules ... https://t.co/1acsg1v0hp</v>
      </c>
    </row>
    <row r="13641" spans="1:5" ht="15" customHeight="1" x14ac:dyDescent="0.2">
      <c r="A13641" s="1" t="s">
        <v>26866</v>
      </c>
      <c r="B13641" s="1">
        <v>0</v>
      </c>
      <c r="C13641" s="3">
        <v>44532.934016203704</v>
      </c>
      <c r="D13641" s="1" t="s">
        <v>26867</v>
      </c>
      <c r="E13641" s="1" t="str">
        <f ca="1">IFERROR(__xludf.DUMMYFUNCTION("GOOGLETRANSLATE(A10440 , ""tr"" , ""en"")"),"@drfahrettinkoca Remove the AKCACK that you apply to employees. Died donkey is not afraid of the wolf ... https://t.co/zpndzneuno")</f>
        <v>@drfahrettinkoca Remove the AKCACK that you apply to employees. Died donkey is not afraid of the wolf ... https://t.co/zpndzneuno</v>
      </c>
    </row>
    <row r="13642" spans="1:5" ht="15" customHeight="1" x14ac:dyDescent="0.2">
      <c r="A13642" s="1" t="s">
        <v>26868</v>
      </c>
      <c r="B13642" s="1">
        <v>0</v>
      </c>
      <c r="C13642" s="3">
        <v>44532.798796296294</v>
      </c>
      <c r="D13642" s="1" t="s">
        <v>26869</v>
      </c>
      <c r="E13642" s="1" t="str">
        <f ca="1">IFERROR(__xludf.DUMMYFUNCTION("GOOGLETRANSLATE(A10441 , ""tr"" , ""en"")"),"@drfahrettinkoca DOGRU DOGRU You say correctly You can't find soz can't find congratulations Wish you wish")</f>
        <v>@drfahrettinkoca DOGRU DOGRU You say correctly You can't find soz can't find congratulations Wish you wish</v>
      </c>
    </row>
    <row r="13643" spans="1:5" ht="15" customHeight="1" x14ac:dyDescent="0.2">
      <c r="A13643" s="1" t="s">
        <v>26870</v>
      </c>
      <c r="B13643" s="1">
        <v>1</v>
      </c>
      <c r="C13643" s="3">
        <v>44532.778668981482</v>
      </c>
      <c r="D13643" s="1" t="s">
        <v>26871</v>
      </c>
      <c r="E13643" s="1" t="str">
        <f ca="1">IFERROR(__xludf.DUMMYFUNCTION("GOOGLETRANSLATE(A10442 , ""tr"" , ""en"")"),"@drfahrettinkoca is no vaccination of flu!")</f>
        <v>@drfahrettinkoca is no vaccination of flu!</v>
      </c>
    </row>
    <row r="13644" spans="1:5" ht="15" customHeight="1" x14ac:dyDescent="0.2">
      <c r="A13644" s="1" t="s">
        <v>26872</v>
      </c>
      <c r="B13644" s="1">
        <v>0</v>
      </c>
      <c r="C13644" s="3">
        <v>44532.766909722224</v>
      </c>
      <c r="D13644" s="1" t="s">
        <v>26873</v>
      </c>
      <c r="E13644" s="1" t="str">
        <f ca="1">IFERROR(__xludf.DUMMYFUNCTION("GOOGLETRANSLATE(A10443 , ""tr"" , ""en"")"),"@drfahrettinkoca flu virus, LEAST MUTATION EVERY SEE A $ I GUNCELLEME AND RENGROUND YA ... https://t.co/jotqzg5whq")</f>
        <v>@drfahrettinkoca flu virus, LEAST MUTATION EVERY SEE A $ I GUNCELLEME AND RENGROUND YA ... https://t.co/jotqzg5whq</v>
      </c>
    </row>
    <row r="13645" spans="1:5" ht="15" customHeight="1" x14ac:dyDescent="0.2">
      <c r="A13645" s="1" t="s">
        <v>26874</v>
      </c>
      <c r="B13645" s="1">
        <v>0</v>
      </c>
      <c r="C13645" s="3">
        <v>44532.756574074076</v>
      </c>
      <c r="D13645" s="1" t="s">
        <v>26875</v>
      </c>
      <c r="E13645" s="1" t="str">
        <f ca="1">IFERROR(__xludf.DUMMYFUNCTION("GOOGLETRANSLATE(A10444 , ""tr"" , ""en"")"),"@drfahrettinkoca so it's not an epidemic in the middle is finally ultimately y ... https://t.co/luoev2vkli")</f>
        <v>@drfahrettinkoca so it's not an epidemic in the middle is finally ultimately y ... https://t.co/luoev2vkli</v>
      </c>
    </row>
    <row r="13646" spans="1:5" ht="15" customHeight="1" x14ac:dyDescent="0.2">
      <c r="A13646" s="1" t="s">
        <v>26876</v>
      </c>
      <c r="B13646" s="1">
        <v>0</v>
      </c>
      <c r="C13646" s="3">
        <v>44532.756226851852</v>
      </c>
      <c r="D13646" s="1" t="s">
        <v>26877</v>
      </c>
      <c r="E13646" s="1" t="str">
        <f ca="1">IFERROR(__xludf.DUMMYFUNCTION("GOOGLETRANSLATE(A10445 , ""tr"" , ""en"")"),"If @drfahrettinkoca is not a vaccination of something mutating, then why do you grind the nation vaccinated?")</f>
        <v>If @drfahrettinkoca is not a vaccination of something mutating, then why do you grind the nation vaccinated?</v>
      </c>
    </row>
    <row r="13647" spans="1:5" ht="15" customHeight="1" x14ac:dyDescent="0.2">
      <c r="A13647" s="1" t="s">
        <v>26878</v>
      </c>
      <c r="B13647" s="1">
        <v>0</v>
      </c>
      <c r="C13647" s="3">
        <v>44536.7656712963</v>
      </c>
      <c r="D13647" s="1" t="s">
        <v>26879</v>
      </c>
      <c r="E13647" s="1" t="str">
        <f ca="1">IFERROR(__xludf.DUMMYFUNCTION("GOOGLETRANSLATE(A10446 , ""tr"" , ""en"")"),"@drfahrettinka Mr. Ministry of Nurses Stay separately from children in the period of the nurses in the period of Separate disgust ... https://t.co/vbrıpnfn8w")</f>
        <v>@drfahrettinka Mr. Ministry of Nurses Stay separately from children in the period of the nurses in the period of Separate disgust ... https://t.co/vbrıpnfn8w</v>
      </c>
    </row>
    <row r="13648" spans="1:5" ht="15" customHeight="1" x14ac:dyDescent="0.2">
      <c r="A13648" s="1" t="s">
        <v>26880</v>
      </c>
      <c r="B13648" s="1">
        <v>0</v>
      </c>
      <c r="C13648" s="3">
        <v>44530.97929398148</v>
      </c>
      <c r="D13648" s="1" t="s">
        <v>26881</v>
      </c>
      <c r="E13648" s="1" t="str">
        <f ca="1">IFERROR(__xludf.DUMMYFUNCTION("GOOGLETRANSLATE(A10447 , ""tr"" , ""en"")"),"@drfahrettinkoca turkiye Dollar Firtinasina What Diosun")</f>
        <v>@drfahrettinkoca turkiye Dollar Firtinasina What Diosun</v>
      </c>
    </row>
    <row r="13649" spans="1:5" ht="15" customHeight="1" x14ac:dyDescent="0.2">
      <c r="A13649" s="1" t="s">
        <v>26882</v>
      </c>
      <c r="B13649" s="1">
        <v>0</v>
      </c>
      <c r="C13649" s="3">
        <v>44530.965300925927</v>
      </c>
      <c r="D13649" s="1" t="s">
        <v>26883</v>
      </c>
      <c r="E13649" s="1" t="str">
        <f ca="1">IFERROR(__xludf.DUMMYFUNCTION("GOOGLETRANSLATE(A10448 , ""tr"" , ""en"")"),"@drfahrettinkoca 1 times Discard with purchases At all departure to me")</f>
        <v>@drfahrettinkoca 1 times Discard with purchases At all departure to me</v>
      </c>
    </row>
    <row r="13650" spans="1:5" ht="15" customHeight="1" x14ac:dyDescent="0.2">
      <c r="A13650" s="1" t="s">
        <v>26884</v>
      </c>
      <c r="B13650" s="1">
        <v>0</v>
      </c>
      <c r="C13650" s="3">
        <v>44530.964826388888</v>
      </c>
      <c r="D13650" s="1" t="s">
        <v>26885</v>
      </c>
      <c r="E13650" s="1" t="str">
        <f ca="1">IFERROR(__xludf.DUMMYFUNCTION("GOOGLETRANSLATE(A10449 , ""tr"" , ""en"")"),"@drfahrettinkoca Twit If you hear us as well as you answer I wish you answer")</f>
        <v>@drfahrettinkoca Twit If you hear us as well as you answer I wish you answer</v>
      </c>
    </row>
    <row r="13651" spans="1:5" ht="15" customHeight="1" x14ac:dyDescent="0.2">
      <c r="A13651" s="1" t="s">
        <v>26886</v>
      </c>
      <c r="B13651" s="1">
        <v>0</v>
      </c>
      <c r="C13651" s="3">
        <v>44530.95826388889</v>
      </c>
      <c r="D13651" s="1" t="s">
        <v>26887</v>
      </c>
      <c r="E13651" s="1" t="str">
        <f ca="1">IFERROR(__xludf.DUMMYFUNCTION("GOOGLETRANSLATE(A10450 , ""tr"" , ""en"")"),"@drfahrettinkoca is the only one of the money that has been the money.")</f>
        <v>@drfahrettinkoca is the only one of the money that has been the money.</v>
      </c>
    </row>
    <row r="13652" spans="1:5" ht="15" customHeight="1" x14ac:dyDescent="0.2">
      <c r="A13652" s="1" t="s">
        <v>26888</v>
      </c>
      <c r="B13652" s="1">
        <v>0</v>
      </c>
      <c r="C13652" s="3">
        <v>44530.938784722224</v>
      </c>
      <c r="D13652" s="1" t="s">
        <v>26889</v>
      </c>
      <c r="E13652" s="1" t="str">
        <f ca="1">IFERROR(__xludf.DUMMYFUNCTION("GOOGLETRANSLATE(A10451 , ""tr"" , ""en"")"),"@drfahrettinkoca SYN Ministry The result of disaster events is not the result of this supronement neglect. Route in many structures ... https://t.co/ekrxjdlpzm")</f>
        <v>@drfahrettinkoca SYN Ministry The result of disaster events is not the result of this supronement neglect. Route in many structures ... https://t.co/ekrxjdlpzm</v>
      </c>
    </row>
    <row r="13653" spans="1:5" ht="15" customHeight="1" x14ac:dyDescent="0.2">
      <c r="A13653" s="1" t="s">
        <v>26890</v>
      </c>
      <c r="B13653" s="1">
        <v>0</v>
      </c>
      <c r="C13653" s="3">
        <v>44530.938368055555</v>
      </c>
      <c r="D13653" s="1" t="s">
        <v>26891</v>
      </c>
      <c r="E13653" s="1" t="str">
        <f ca="1">IFERROR(__xludf.DUMMYFUNCTION("GOOGLETRANSLATE(A10452 , ""tr"" , ""en"")"),"@drfahrettinkoca numbers are also interesting that can be given without lies!")</f>
        <v>@drfahrettinkoca numbers are also interesting that can be given without lies!</v>
      </c>
    </row>
    <row r="13654" spans="1:5" ht="15" customHeight="1" x14ac:dyDescent="0.2">
      <c r="A13654" s="1" t="s">
        <v>26892</v>
      </c>
      <c r="B13654" s="1">
        <v>0</v>
      </c>
      <c r="C13654" s="3">
        <v>44530.933136574073</v>
      </c>
      <c r="D13654" s="1" t="s">
        <v>26893</v>
      </c>
      <c r="E13654" s="1" t="str">
        <f ca="1">IFERROR(__xludf.DUMMYFUNCTION("GOOGLETRANSLATE(A10453 , ""tr"" , ""en"")"),"@drfahrettinkoca your head is sagolun and get past Turkey")</f>
        <v>@drfahrettinkoca your head is sagolun and get past Turkey</v>
      </c>
    </row>
    <row r="13655" spans="1:5" ht="15" customHeight="1" x14ac:dyDescent="0.2">
      <c r="A13655" s="1" t="s">
        <v>26894</v>
      </c>
      <c r="B13655" s="1">
        <v>0</v>
      </c>
      <c r="C13655" s="3">
        <v>44530.927534722221</v>
      </c>
      <c r="D13655" s="1" t="s">
        <v>26895</v>
      </c>
      <c r="E13655" s="1" t="str">
        <f ca="1">IFERROR(__xludf.DUMMYFUNCTION("GOOGLETRANSLATE(A10454 , ""tr"" , ""en"")"),"@drfahrettinkoca Minister Now stop playing with our hopes After a hope in every statement is again frustrated again ... https://t.co/t9vwre4un2")</f>
        <v>@drfahrettinkoca Minister Now stop playing with our hopes After a hope in every statement is again frustrated again ... https://t.co/t9vwre4un2</v>
      </c>
    </row>
    <row r="13656" spans="1:5" ht="15" customHeight="1" x14ac:dyDescent="0.2">
      <c r="A13656" s="1" t="s">
        <v>26896</v>
      </c>
      <c r="B13656" s="1">
        <v>0</v>
      </c>
      <c r="C13656" s="3">
        <v>44530.926296296297</v>
      </c>
      <c r="D13656" s="1" t="s">
        <v>26897</v>
      </c>
      <c r="E13656" s="1" t="str">
        <f ca="1">IFERROR(__xludf.DUMMYFUNCTION("GOOGLETRANSLATE(A10455 , ""tr"" , ""en"")"),"@drfahrettinkoca sec. The minister is passing over the citizen COVID every day. Why don't you throw the Head Health message every day?")</f>
        <v>@drfahrettinkoca sec. The minister is passing over the citizen COVID every day. Why don't you throw the Head Health message every day?</v>
      </c>
    </row>
    <row r="13657" spans="1:5" ht="15" customHeight="1" x14ac:dyDescent="0.2">
      <c r="A13657" s="1" t="s">
        <v>26898</v>
      </c>
      <c r="B13657" s="1">
        <v>1</v>
      </c>
      <c r="C13657" s="3">
        <v>44530.923414351855</v>
      </c>
      <c r="D13657" s="1" t="s">
        <v>26899</v>
      </c>
      <c r="E13657" s="1" t="str">
        <f ca="1">IFERROR(__xludf.DUMMYFUNCTION("GOOGLETRANSLATE(A10456 , ""tr"" , ""en"")"),"@drfahrettinkoca ah 112")</f>
        <v>@drfahrettinkoca ah 112</v>
      </c>
    </row>
    <row r="13658" spans="1:5" ht="15" customHeight="1" x14ac:dyDescent="0.2">
      <c r="A13658" s="1" t="s">
        <v>26900</v>
      </c>
      <c r="B13658" s="1">
        <v>0</v>
      </c>
      <c r="C13658" s="3">
        <v>44530.923078703701</v>
      </c>
      <c r="D13658" s="1" t="s">
        <v>26901</v>
      </c>
      <c r="E13658" s="1" t="str">
        <f ca="1">IFERROR(__xludf.DUMMYFUNCTION("GOOGLETRANSLATE(A10457 , ""tr"" , ""en"")"),"@drfahrettinkoca AF will bring peace 🇹🇷📢👇📢👇 prisoners prisoners prisoners prisoner prisoner prisoner prisoner ... https://t.co/bjewt1ljkz")</f>
        <v>@drfahrettinkoca AF will bring peace 🇹🇷📢👇📢👇 prisoners prisoners prisoners prisoner prisoner prisoner prisoner ... https://t.co/bjewt1ljkz</v>
      </c>
    </row>
    <row r="13659" spans="1:5" ht="15" customHeight="1" x14ac:dyDescent="0.2">
      <c r="A13659" s="1" t="s">
        <v>26902</v>
      </c>
      <c r="B13659" s="1">
        <v>0</v>
      </c>
      <c r="C13659" s="3">
        <v>44530.921064814815</v>
      </c>
      <c r="D13659" s="1" t="s">
        <v>26903</v>
      </c>
      <c r="E13659" s="1" t="str">
        <f ca="1">IFERROR(__xludf.DUMMYFUNCTION("GOOGLETRANSLATE(A10458 , ""tr"" , ""en"")"),"@drfahrettinkoca ATTLER When you don't graduate the current remainder, if you don't get the existing minister with the ELUSE")</f>
        <v>@drfahrettinkoca ATTLER When you don't graduate the current remainder, if you don't get the existing minister with the ELUSE</v>
      </c>
    </row>
    <row r="13660" spans="1:5" ht="15" customHeight="1" x14ac:dyDescent="0.2">
      <c r="A13660" s="1" t="s">
        <v>26904</v>
      </c>
      <c r="B13660" s="1">
        <v>0</v>
      </c>
      <c r="C13660" s="3">
        <v>44530.920254629629</v>
      </c>
      <c r="D13660" s="1" t="s">
        <v>26905</v>
      </c>
      <c r="E13660" s="1" t="str">
        <f ca="1">IFERROR(__xludf.DUMMYFUNCTION("GOOGLETRANSLATE(A10459 , ""tr"" , ""en"")"),"@drfahrettinkoca blue what the realm")</f>
        <v>@drfahrettinkoca blue what the realm</v>
      </c>
    </row>
    <row r="13661" spans="1:5" ht="15" customHeight="1" x14ac:dyDescent="0.2">
      <c r="A13661" s="1" t="s">
        <v>26906</v>
      </c>
      <c r="B13661" s="1">
        <v>1</v>
      </c>
      <c r="C13661" s="3">
        <v>44530.919363425928</v>
      </c>
      <c r="D13661" s="1" t="s">
        <v>26907</v>
      </c>
      <c r="E13661" s="1" t="str">
        <f ca="1">IFERROR(__xludf.DUMMYFUNCTION("GOOGLETRANSLATE(A10460 , ""tr"" , ""en"")"),"@drfahrettinka close schools tomorrow please")</f>
        <v>@drfahrettinka close schools tomorrow please</v>
      </c>
    </row>
    <row r="13662" spans="1:5" ht="15" customHeight="1" x14ac:dyDescent="0.2">
      <c r="A13662" s="1" t="s">
        <v>26908</v>
      </c>
      <c r="B13662" s="1">
        <v>1</v>
      </c>
      <c r="C13662" s="3">
        <v>44530.917708333334</v>
      </c>
      <c r="D13662" s="1" t="s">
        <v>26909</v>
      </c>
      <c r="E13662" s="1" t="str">
        <f ca="1">IFERROR(__xludf.DUMMYFUNCTION("GOOGLETRANSLATE(A10461 , ""tr"" , ""en"")"),"@drfahrettinkoca on land, in the air, at sea, emergency, 112 stations, umkede, Afadda ... Do I count more, where AC ... https://t.co/h1i3aldaut")</f>
        <v>@drfahrettinkoca on land, in the air, at sea, emergency, 112 stations, umkede, Afadda ... Do I count more, where AC ... https://t.co/h1i3aldaut</v>
      </c>
    </row>
    <row r="13663" spans="1:5" ht="15" customHeight="1" x14ac:dyDescent="0.2">
      <c r="A13663" s="1" t="s">
        <v>26910</v>
      </c>
      <c r="B13663" s="1">
        <v>0</v>
      </c>
      <c r="C13663" s="3">
        <v>44530.917627314811</v>
      </c>
      <c r="D13663" s="1" t="s">
        <v>26911</v>
      </c>
      <c r="E13663" s="1" t="str">
        <f ca="1">IFERROR(__xludf.DUMMYFUNCTION("GOOGLETRANSLATE(A10462 , ""tr"" , ""en"")"),"@drfahrettinkoca acrifling yaomak is that much difficult minister")</f>
        <v>@drfahrettinkoca acrifling yaomak is that much difficult minister</v>
      </c>
    </row>
    <row r="13664" spans="1:5" ht="15" customHeight="1" x14ac:dyDescent="0.2">
      <c r="A13664" s="1" t="s">
        <v>26912</v>
      </c>
      <c r="B13664" s="1">
        <v>0</v>
      </c>
      <c r="C13664" s="3">
        <v>44530.916678240741</v>
      </c>
      <c r="D13664" s="1" t="s">
        <v>26913</v>
      </c>
      <c r="E13664" s="1" t="str">
        <f ca="1">IFERROR(__xludf.DUMMYFUNCTION("GOOGLETRANSLATE(A10463 , ""tr"" , ""en"")"),"@drfahrettinkoca everywhere is paramedic everywhere when you are paramedic in 30 thousand in 30 thousand do not suit the staff of the minister the right ... https://t.co/z6s9s3k9mq")</f>
        <v>@drfahrettinkoca everywhere is paramedic everywhere when you are paramedic in 30 thousand in 30 thousand do not suit the staff of the minister the right ... https://t.co/z6s9s3k9mq</v>
      </c>
    </row>
    <row r="13665" spans="1:5" ht="15" customHeight="1" x14ac:dyDescent="0.2">
      <c r="A13665" s="1" t="s">
        <v>26914</v>
      </c>
      <c r="B13665" s="1">
        <v>0</v>
      </c>
      <c r="C13665" s="3">
        <v>44530.915763888886</v>
      </c>
      <c r="D13665" s="1" t="s">
        <v>26915</v>
      </c>
      <c r="E13665" s="1" t="str">
        <f ca="1">IFERROR(__xludf.DUMMYFUNCTION("GOOGLETRANSLATE(A10464 , ""tr"" , ""en"")"),"@drfahrettinka https://t.co/csmphpu8cr")</f>
        <v>@drfahrettinka https://t.co/csmphpu8cr</v>
      </c>
    </row>
    <row r="13666" spans="1:5" ht="15" customHeight="1" x14ac:dyDescent="0.2">
      <c r="A13666" s="1" t="s">
        <v>26916</v>
      </c>
      <c r="B13666" s="1">
        <v>0</v>
      </c>
      <c r="C13666" s="3">
        <v>44530.909537037034</v>
      </c>
      <c r="D13666" s="1" t="s">
        <v>26917</v>
      </c>
      <c r="E13666" s="1" t="str">
        <f ca="1">IFERROR(__xludf.DUMMYFUNCTION("GOOGLETRANSLATE(A10465 , ""tr"" , ""en"")"),"@drfahrettinkoca hocam we were not biontek we were not biontek we can't go abroad 4. We ask the dose to come")</f>
        <v>@drfahrettinkoca hocam we were not biontek we were not biontek we can't go abroad 4. We ask the dose to come</v>
      </c>
    </row>
    <row r="13667" spans="1:5" ht="15" customHeight="1" x14ac:dyDescent="0.2">
      <c r="A13667" s="1" t="s">
        <v>26918</v>
      </c>
      <c r="B13667" s="1">
        <v>0</v>
      </c>
      <c r="C13667" s="3">
        <v>44530.908773148149</v>
      </c>
      <c r="D13667" s="1" t="s">
        <v>26919</v>
      </c>
      <c r="E13667" s="1" t="str">
        <f ca="1">IFERROR(__xludf.DUMMYFUNCTION("GOOGLETRANSLATE(A10466 , ""tr"" , ""en"")"),"Assign Assign Assign Assign Assignment Assignment Assignment @drfahrettinkoca")</f>
        <v>Assign Assign Assign Assign Assignment Assignment Assignment @drfahrettinkoca</v>
      </c>
    </row>
    <row r="13668" spans="1:5" ht="15" customHeight="1" x14ac:dyDescent="0.2">
      <c r="A13668" s="1" t="s">
        <v>26920</v>
      </c>
      <c r="B13668" s="1">
        <v>0</v>
      </c>
      <c r="C13668" s="3">
        <v>44530.908159722225</v>
      </c>
      <c r="D13668" s="1" t="s">
        <v>26921</v>
      </c>
      <c r="E13668" s="1" t="str">
        <f ca="1">IFERROR(__xludf.DUMMYFUNCTION("GOOGLETRANSLATE(A10467 , ""tr"" , ""en"")"),"@drfahrettinkoca is no one in charge of this roof fly? Not receiving a roof of the roof. Doesn't take a penalty on the roof ... https://t.co/o9d3xpwata")</f>
        <v>@drfahrettinkoca is no one in charge of this roof fly? Not receiving a roof of the roof. Doesn't take a penalty on the roof ... https://t.co/o9d3xpwata</v>
      </c>
    </row>
    <row r="13669" spans="1:5" ht="15" customHeight="1" x14ac:dyDescent="0.2">
      <c r="A13669" s="1" t="s">
        <v>26922</v>
      </c>
      <c r="B13669" s="1">
        <v>0</v>
      </c>
      <c r="C13669" s="3">
        <v>44530.906678240739</v>
      </c>
      <c r="D13669" s="1" t="s">
        <v>26923</v>
      </c>
      <c r="E13669" s="1" t="str">
        <f ca="1">IFERROR(__xludf.DUMMYFUNCTION("GOOGLETRANSLATE(A10468 , ""tr"" , ""en"")"),"@drfahrettinkoca social workers waiting for fair dispersion")</f>
        <v>@drfahrettinkoca social workers waiting for fair dispersion</v>
      </c>
    </row>
    <row r="13670" spans="1:5" ht="15" customHeight="1" x14ac:dyDescent="0.2">
      <c r="A13670" s="1" t="s">
        <v>26924</v>
      </c>
      <c r="B13670" s="1">
        <v>1</v>
      </c>
      <c r="C13670" s="3">
        <v>44530.90483796296</v>
      </c>
      <c r="D13670" s="1" t="s">
        <v>26925</v>
      </c>
      <c r="E13670" s="1" t="str">
        <f ca="1">IFERROR(__xludf.DUMMYFUNCTION("GOOGLETRANSLATE(A10469 , ""tr"" , ""en"")"),"@drfahrettinkoca also explain the following guide now my dearness")</f>
        <v>@drfahrettinkoca also explain the following guide now my dearness</v>
      </c>
    </row>
    <row r="13671" spans="1:5" ht="15" customHeight="1" x14ac:dyDescent="0.2">
      <c r="A13671" s="1" t="s">
        <v>26926</v>
      </c>
      <c r="B13671" s="1">
        <v>0</v>
      </c>
      <c r="C13671" s="3">
        <v>44530.904606481483</v>
      </c>
      <c r="D13671" s="1" t="s">
        <v>26927</v>
      </c>
      <c r="E13671" s="1" t="str">
        <f ca="1">IFERROR(__xludf.DUMMYFUNCTION("GOOGLETRANSLATE(A10470 , ""tr"" , ""en"")"),"@drfahrettinkoca please give us a nice paramedic number of us")</f>
        <v>@drfahrettinkoca please give us a nice paramedic number of us</v>
      </c>
    </row>
    <row r="13672" spans="1:5" ht="15" customHeight="1" x14ac:dyDescent="0.2">
      <c r="A13672" s="1" t="s">
        <v>26928</v>
      </c>
      <c r="B13672" s="1">
        <v>0</v>
      </c>
      <c r="C13672" s="3">
        <v>44530.904444444444</v>
      </c>
      <c r="D13672" s="1" t="s">
        <v>26929</v>
      </c>
      <c r="E13672" s="1" t="str">
        <f ca="1">IFERROR(__xludf.DUMMYFUNCTION("GOOGLETRANSLATE(A10471 , ""tr"" , ""en"")"),"@drfahrettinkoca 4 meat")</f>
        <v>@drfahrettinkoca 4 meat</v>
      </c>
    </row>
    <row r="13673" spans="1:5" ht="15" customHeight="1" x14ac:dyDescent="0.2">
      <c r="A13673" s="1" t="s">
        <v>26930</v>
      </c>
      <c r="B13673" s="1">
        <v>0</v>
      </c>
      <c r="C13673" s="3">
        <v>44530.904097222221</v>
      </c>
      <c r="D13673" s="1" t="s">
        <v>26931</v>
      </c>
      <c r="E13673" s="1" t="str">
        <f ca="1">IFERROR(__xludf.DUMMYFUNCTION("GOOGLETRANSLATE(A10472 , ""tr"" , ""en"")"),"@drfahrettinka experimental death drugs you killed how many people you killed every time we have to do diy ... https://t.co/iomsdmgqhw")</f>
        <v>@drfahrettinka experimental death drugs you killed how many people you killed every time we have to do diy ... https://t.co/iomsdmgqhw</v>
      </c>
    </row>
    <row r="13674" spans="1:5" ht="15" customHeight="1" x14ac:dyDescent="0.2">
      <c r="A13674" s="1" t="s">
        <v>26932</v>
      </c>
      <c r="B13674" s="1">
        <v>0</v>
      </c>
      <c r="C13674" s="3">
        <v>44530.903784722221</v>
      </c>
      <c r="D13674" s="1" t="s">
        <v>26933</v>
      </c>
      <c r="E13674" s="1" t="str">
        <f ca="1">IFERROR(__xludf.DUMMYFUNCTION("GOOGLETRANSLATE(A10473 , ""tr"" , ""en"")"),"@drfahrettinkoca 10 11 months has been placed in the brain in the brain and pwned me and have taken me pawnshop and teh my parents. Https://t.co/s82qxiupz4")</f>
        <v>@drfahrettinkoca 10 11 months has been placed in the brain in the brain and pwned me and have taken me pawnshop and teh my parents. Https://t.co/s82qxiupz4</v>
      </c>
    </row>
    <row r="13675" spans="1:5" ht="15" customHeight="1" x14ac:dyDescent="0.2">
      <c r="A13675" s="1" t="s">
        <v>26934</v>
      </c>
      <c r="B13675" s="1">
        <v>0</v>
      </c>
      <c r="C13675" s="3">
        <v>44530.903715277775</v>
      </c>
      <c r="D13675" s="1" t="s">
        <v>26935</v>
      </c>
      <c r="E13675" s="1" t="str">
        <f ca="1">IFERROR(__xludf.DUMMYFUNCTION("GOOGLETRANSLATE(A10474 , ""tr"" , ""en"")"),"@drfahrettinkoca Ministry We passed ourselves Children very afraid of school don't want to enter school They hate school ... https://t.co/spl3xkdish")</f>
        <v>@drfahrettinkoca Ministry We passed ourselves Children very afraid of school don't want to enter school They hate school ... https://t.co/spl3xkdish</v>
      </c>
    </row>
    <row r="13676" spans="1:5" ht="15" customHeight="1" x14ac:dyDescent="0.2">
      <c r="A13676" s="1" t="s">
        <v>26936</v>
      </c>
      <c r="B13676" s="1">
        <v>0</v>
      </c>
      <c r="C13676" s="3">
        <v>44530.901967592596</v>
      </c>
      <c r="D13676" s="1" t="s">
        <v>26937</v>
      </c>
      <c r="E13676" s="1" t="str">
        <f ca="1">IFERROR(__xludf.DUMMYFUNCTION("GOOGLETRANSLATE(A10475 , ""tr"" , ""en"")"),"@drfahrettinkoca 40 The Health Administration section of the 5 billitums will also require a fair assignment in which it is within")</f>
        <v>@drfahrettinkoca 40 The Health Administration section of the 5 billitums will also require a fair assignment in which it is within</v>
      </c>
    </row>
    <row r="13677" spans="1:5" ht="15" customHeight="1" x14ac:dyDescent="0.2">
      <c r="A13677" s="1" t="s">
        <v>26938</v>
      </c>
      <c r="B13677" s="1">
        <v>0</v>
      </c>
      <c r="C13677" s="3">
        <v>44530.901180555556</v>
      </c>
      <c r="D13677" s="1" t="s">
        <v>26939</v>
      </c>
      <c r="E13677" s="1" t="str">
        <f ca="1">IFERROR(__xludf.DUMMYFUNCTION("GOOGLETRANSLATE(A10476 , ""tr"" , ""en"")"),"@drfahrettinkoca again no one hear us again nobody can see us cares anymore or we are now in Walla Cancer Minister of Allah ... https://t.co/um1xb98eqo")</f>
        <v>@drfahrettinkoca again no one hear us again nobody can see us cares anymore or we are now in Walla Cancer Minister of Allah ... https://t.co/um1xb98eqo</v>
      </c>
    </row>
    <row r="13678" spans="1:5" ht="15" customHeight="1" x14ac:dyDescent="0.2">
      <c r="A13678" s="1" t="s">
        <v>26940</v>
      </c>
      <c r="B13678" s="1">
        <v>0</v>
      </c>
      <c r="C13678" s="3">
        <v>44530.900590277779</v>
      </c>
      <c r="D13678" s="1" t="s">
        <v>26941</v>
      </c>
      <c r="E13678" s="1" t="str">
        <f ca="1">IFERROR(__xludf.DUMMYFUNCTION("GOOGLETRANSLATE(A10477 , ""tr"" , ""en"")"),"@drfahrettinkoca is enough anymore guide where")</f>
        <v>@drfahrettinkoca is enough anymore guide where</v>
      </c>
    </row>
    <row r="13679" spans="1:5" ht="15" customHeight="1" x14ac:dyDescent="0.2">
      <c r="A13679" s="1" t="s">
        <v>26942</v>
      </c>
      <c r="B13679" s="1">
        <v>0</v>
      </c>
      <c r="C13679" s="3">
        <v>44530.900046296294</v>
      </c>
      <c r="D13679" s="1" t="s">
        <v>26943</v>
      </c>
      <c r="E13679" s="1" t="str">
        <f ca="1">IFERROR(__xludf.DUMMYFUNCTION("GOOGLETRANSLATE(A10478 , ""tr"" , ""en"")"),"@drfahrettinka has been in the inside of my head What do you think about what we got 87 we didn't work but didn't work Road angle for the parent ... https://t.co/vyphkobkip")</f>
        <v>@drfahrettinka has been in the inside of my head What do you think about what we got 87 we didn't work but didn't work Road angle for the parent ... https://t.co/vyphkobkip</v>
      </c>
    </row>
    <row r="13680" spans="1:5" ht="15" customHeight="1" x14ac:dyDescent="0.2">
      <c r="A13680" s="1" t="s">
        <v>26944</v>
      </c>
      <c r="B13680" s="1">
        <v>0</v>
      </c>
      <c r="C13680" s="3">
        <v>44530.899664351855</v>
      </c>
      <c r="D13680" s="1" t="s">
        <v>26945</v>
      </c>
      <c r="E13680" s="1" t="str">
        <f ca="1">IFERROR(__xludf.DUMMYFUNCTION("GOOGLETRANSLATE(A10479 , ""tr"" , ""en"")"),"@drfahrettinkoca where is the guide in assignment to health")</f>
        <v>@drfahrettinkoca where is the guide in assignment to health</v>
      </c>
    </row>
    <row r="13681" spans="1:5" ht="15" customHeight="1" x14ac:dyDescent="0.2">
      <c r="A13681" s="1" t="s">
        <v>26946</v>
      </c>
      <c r="B13681" s="1">
        <v>4</v>
      </c>
      <c r="C13681" s="3">
        <v>44530.899594907409</v>
      </c>
      <c r="D13681" s="1" t="s">
        <v>26947</v>
      </c>
      <c r="E13681" s="1" t="str">
        <f ca="1">IFERROR(__xludf.DUMMYFUNCTION("GOOGLETRANSLATE(A10480 , ""tr"" , ""en"")"),"@drfahrettinkoca lodos also caught the virus staring at the min overlooking everyone who is also smeared in the air hang on the air ... https://t.co/e5tlq0ul1q")</f>
        <v>@drfahrettinkoca lodos also caught the virus staring at the min overlooking everyone who is also smeared in the air hang on the air ... https://t.co/e5tlq0ul1q</v>
      </c>
    </row>
    <row r="13682" spans="1:5" ht="15" customHeight="1" x14ac:dyDescent="0.2">
      <c r="A13682" s="1" t="s">
        <v>26948</v>
      </c>
      <c r="B13682" s="1">
        <v>0</v>
      </c>
      <c r="C13682" s="3">
        <v>44530.89947916667</v>
      </c>
      <c r="D13682" s="1" t="s">
        <v>26949</v>
      </c>
      <c r="E13682" s="1" t="str">
        <f ca="1">IFERROR(__xludf.DUMMYFUNCTION("GOOGLETRANSLATE(A10481 , ""tr"" , ""en"")"),"@drfahrettinkoca We have studied many months of Tweet to stay for bomish to stay so high by high scores ... https://t.co/mdt5nowzc2")</f>
        <v>@drfahrettinkoca We have studied many months of Tweet to stay for bomish to stay so high by high scores ... https://t.co/mdt5nowzc2</v>
      </c>
    </row>
    <row r="13683" spans="1:5" ht="15" customHeight="1" x14ac:dyDescent="0.2">
      <c r="A13683" s="1" t="s">
        <v>26950</v>
      </c>
      <c r="B13683" s="1">
        <v>4</v>
      </c>
      <c r="C13683" s="3">
        <v>44530.899421296293</v>
      </c>
      <c r="D13683" s="1" t="s">
        <v>26951</v>
      </c>
      <c r="E13683" s="1" t="str">
        <f ca="1">IFERROR(__xludf.DUMMYFUNCTION("GOOGLETRANSLATE(A10482 , ""tr"" , ""en"")"),"@drfahrettinkoca In our country, those who fly in the storm that lasts 2 days should be tried from the murder. Https://t.co/wyc2bhpepu")</f>
        <v>@drfahrettinkoca In our country, those who fly in the storm that lasts 2 days should be tried from the murder. Https://t.co/wyc2bhpepu</v>
      </c>
    </row>
    <row r="13684" spans="1:5" ht="15" customHeight="1" x14ac:dyDescent="0.2">
      <c r="A13684" s="1" t="s">
        <v>26952</v>
      </c>
      <c r="B13684" s="1">
        <v>1</v>
      </c>
      <c r="C13684" s="3">
        <v>44530.899409722224</v>
      </c>
      <c r="D13684" s="1" t="s">
        <v>26953</v>
      </c>
      <c r="E13684" s="1" t="str">
        <f ca="1">IFERROR(__xludf.DUMMYFUNCTION("GOOGLETRANSLATE(A10483 , ""tr"" , ""en"")"),"@drfahrettinkoca 40 Bin of the Health Management Department in the Bin, we want a fair assignment in which it is also within the Minister.,.")</f>
        <v>@drfahrettinkoca 40 Bin of the Health Management Department in the Bin, we want a fair assignment in which it is also within the Minister.,.</v>
      </c>
    </row>
    <row r="13685" spans="1:5" ht="15" customHeight="1" x14ac:dyDescent="0.2">
      <c r="A13685" s="1" t="s">
        <v>26954</v>
      </c>
      <c r="B13685" s="1">
        <v>1</v>
      </c>
      <c r="C13685" s="3">
        <v>44530.899016203701</v>
      </c>
      <c r="D13685" s="1" t="s">
        <v>26955</v>
      </c>
      <c r="E13685" s="1" t="str">
        <f ca="1">IFERROR(__xludf.DUMMYFUNCTION("GOOGLETRANSLATE(A10484 , ""tr"" , ""en"")"),"@drfahrettinkoca 40 Bin of the Health Management Department in the Bin of Bin, we want a fair assignment in the place ... https://t.co/egipwnwdhu")</f>
        <v>@drfahrettinkoca 40 Bin of the Health Management Department in the Bin of Bin, we want a fair assignment in the place ... https://t.co/egipwnwdhu</v>
      </c>
    </row>
    <row r="13686" spans="1:5" ht="15" customHeight="1" x14ac:dyDescent="0.2">
      <c r="A13686" s="1" t="s">
        <v>26956</v>
      </c>
      <c r="B13686" s="1">
        <v>0</v>
      </c>
      <c r="C13686" s="3">
        <v>44530.898877314816</v>
      </c>
      <c r="D13686" s="1" t="s">
        <v>26957</v>
      </c>
      <c r="E13686" s="1" t="str">
        <f ca="1">IFERROR(__xludf.DUMMYFUNCTION("GOOGLETRANSLATE(A10485 , ""tr"" , ""en"")"),"@drfahrettinkoca nights we were unable to sleep 87 With 87 we stayed with the parish these numbers given to the parent is abnormally du ... https://t.co/lullc5l8u4")</f>
        <v>@drfahrettinkoca nights we were unable to sleep 87 With 87 we stayed with the parish these numbers given to the parent is abnormally du ... https://t.co/lullc5l8u4</v>
      </c>
    </row>
    <row r="13687" spans="1:5" ht="15" customHeight="1" x14ac:dyDescent="0.2">
      <c r="A13687" s="1" t="s">
        <v>26958</v>
      </c>
      <c r="B13687" s="1">
        <v>5</v>
      </c>
      <c r="C13687" s="3">
        <v>44530.898784722223</v>
      </c>
      <c r="D13687" s="1" t="s">
        <v>26959</v>
      </c>
      <c r="E13687" s="1" t="str">
        <f ca="1">IFERROR(__xludf.DUMMYFUNCTION("GOOGLETRANSLATE(A10486 , ""tr"" , ""en"")"),"@drfahrettinkoca 40 Bin of the Health Management section of the Bin of Health Administration, see a fair assignment, see: https://t.co/o4eqnc2wiz")</f>
        <v>@drfahrettinkoca 40 Bin of the Health Management section of the Bin of Health Administration, see a fair assignment, see: https://t.co/o4eqnc2wiz</v>
      </c>
    </row>
    <row r="13688" spans="1:5" ht="15" customHeight="1" x14ac:dyDescent="0.2">
      <c r="A13688" s="1" t="s">
        <v>26960</v>
      </c>
      <c r="B13688" s="1">
        <v>2</v>
      </c>
      <c r="C13688" s="3">
        <v>44530.898576388892</v>
      </c>
      <c r="D13688" s="1" t="s">
        <v>26961</v>
      </c>
      <c r="E13688" s="1" t="str">
        <f ca="1">IFERROR(__xludf.DUMMYFUNCTION("GOOGLETRANSLATE(A10487 , ""tr"" , ""en"")"),"@drfahrettinkoca 40 Bin of the Health Management section in the vibration of the Health Management section is also included in the Https://t.co/z8dgf0jven")</f>
        <v>@drfahrettinkoca 40 Bin of the Health Management section in the vibration of the Health Management section is also included in the Https://t.co/z8dgf0jven</v>
      </c>
    </row>
    <row r="13689" spans="1:5" ht="15" customHeight="1" x14ac:dyDescent="0.2">
      <c r="A13689" s="1" t="s">
        <v>26962</v>
      </c>
      <c r="B13689" s="1">
        <v>2</v>
      </c>
      <c r="C13689" s="3">
        <v>44530.898333333331</v>
      </c>
      <c r="D13689" s="1" t="s">
        <v>26963</v>
      </c>
      <c r="E13689" s="1" t="str">
        <f ca="1">IFERROR(__xludf.DUMMYFUNCTION("GOOGLETRANSLATE(A10488 , ""tr"" , ""en"")"),"@drfahrettinkoca 40 Bin of the Health Management Department in the Bilarity Purchase You want to be a fair assignment in which it is also ... https://t.co/xsrt8s27jj")</f>
        <v>@drfahrettinkoca 40 Bin of the Health Management Department in the Bilarity Purchase You want to be a fair assignment in which it is also ... https://t.co/xsrt8s27jj</v>
      </c>
    </row>
    <row r="13690" spans="1:5" ht="15" customHeight="1" x14ac:dyDescent="0.2">
      <c r="A13690" s="1" t="s">
        <v>26964</v>
      </c>
      <c r="B13690" s="1">
        <v>1</v>
      </c>
      <c r="C13690" s="3">
        <v>44530.898101851853</v>
      </c>
      <c r="D13690" s="1" t="s">
        <v>26965</v>
      </c>
      <c r="E13690" s="1" t="str">
        <f ca="1">IFERROR(__xludf.DUMMYFUNCTION("GOOGLETRANSLATE(A10489 , ""tr"" , ""en"")"),"@drfahrettinkoca 40 Bin of the Health Management Department in the Bin Take You want a fair assignment in which it is also included ... https://t.co/eosuwt6xjx")</f>
        <v>@drfahrettinkoca 40 Bin of the Health Management Department in the Bin Take You want a fair assignment in which it is also included ... https://t.co/eosuwt6xjx</v>
      </c>
    </row>
    <row r="13691" spans="1:5" ht="15" customHeight="1" x14ac:dyDescent="0.2">
      <c r="A13691" s="1" t="s">
        <v>26966</v>
      </c>
      <c r="B13691" s="1">
        <v>0</v>
      </c>
      <c r="C13691" s="3">
        <v>44530.897951388892</v>
      </c>
      <c r="D13691" s="1" t="s">
        <v>26967</v>
      </c>
      <c r="E13691" s="1" t="str">
        <f ca="1">IFERROR(__xludf.DUMMYFUNCTION("GOOGLETRANSLATE(A10490 , ""tr"" , ""en"")"),"@drfahrettinkoca quit your mask + distance all you know is this")</f>
        <v>@drfahrettinkoca quit your mask + distance all you know is this</v>
      </c>
    </row>
    <row r="13692" spans="1:5" ht="15" customHeight="1" x14ac:dyDescent="0.2">
      <c r="A13692" s="1" t="s">
        <v>26968</v>
      </c>
      <c r="B13692" s="1">
        <v>0</v>
      </c>
      <c r="C13692" s="3">
        <v>44530.897870370369</v>
      </c>
      <c r="D13692" s="1" t="s">
        <v>26969</v>
      </c>
      <c r="E13692" s="1" t="str">
        <f ca="1">IFERROR(__xludf.DUMMYFUNCTION("GOOGLETRANSLATE(A10491 , ""tr"" , ""en"")"),"@drfahrettinkoca How to go to the paramedics such as these events such as Koskoca 22 million 100. Paramedic or at least 30 ... https://t.co/jcao1faoql")</f>
        <v>@drfahrettinkoca How to go to the paramedics such as these events such as Koskoca 22 million 100. Paramedic or at least 30 ... https://t.co/jcao1faoql</v>
      </c>
    </row>
    <row r="13693" spans="1:5" ht="15" customHeight="1" x14ac:dyDescent="0.2">
      <c r="A13693" s="1" t="s">
        <v>26970</v>
      </c>
      <c r="B13693" s="1">
        <v>1</v>
      </c>
      <c r="C13693" s="3">
        <v>44530.897638888891</v>
      </c>
      <c r="D13693" s="1" t="s">
        <v>26971</v>
      </c>
      <c r="E13693" s="1" t="str">
        <f ca="1">IFERROR(__xludf.DUMMYFUNCTION("GOOGLETRANSLATE(A10492 , ""tr"" , ""en"")"),"@drfahrettinkoca 40 Bin of the Health Management section in the vibration of the Health Administration, see the fair assignment count ... HTTPS://T.CO/AIBAFBQXDR")</f>
        <v>@drfahrettinkoca 40 Bin of the Health Management section in the vibration of the Health Administration, see the fair assignment count ... HTTPS://T.CO/AIBAFBQXDR</v>
      </c>
    </row>
    <row r="13694" spans="1:5" ht="15" customHeight="1" x14ac:dyDescent="0.2">
      <c r="A13694" s="1" t="s">
        <v>26972</v>
      </c>
      <c r="B13694" s="1">
        <v>1</v>
      </c>
      <c r="C13694" s="3">
        <v>44530.897523148145</v>
      </c>
      <c r="D13694" s="1" t="s">
        <v>26973</v>
      </c>
      <c r="E13694" s="1" t="str">
        <f ca="1">IFERROR(__xludf.DUMMYFUNCTION("GOOGLETRANSLATE(A10493 , ""tr"" , ""en"")"),"@drfahrettinkoca @ rska034 The injured 63 people are not familiar with my minister? You have not explained on that subject. These are these ... https://t.co/DICK45UQJU")</f>
        <v>@drfahrettinkoca @ rska034 The injured 63 people are not familiar with my minister? You have not explained on that subject. These are these ... https://t.co/DICK45UQJU</v>
      </c>
    </row>
    <row r="13695" spans="1:5" ht="15" customHeight="1" x14ac:dyDescent="0.2">
      <c r="A13695" s="1" t="s">
        <v>26974</v>
      </c>
      <c r="B13695" s="1">
        <v>0</v>
      </c>
      <c r="C13695" s="3">
        <v>44530.897418981483</v>
      </c>
      <c r="D13695" s="1" t="s">
        <v>26975</v>
      </c>
      <c r="E13695" s="1" t="str">
        <f ca="1">IFERROR(__xludf.DUMMYFUNCTION("GOOGLETRANSLATE(A10494 , ""tr"" , ""en"")"),"@drfahrettinkoca Mr. Minister The number given to the parent is 100 Paramedic to Istanbul or an acceptable s ... https://t.co/yhxzıqem7s")</f>
        <v>@drfahrettinkoca Mr. Minister The number given to the parent is 100 Paramedic to Istanbul or an acceptable s ... https://t.co/yhxzıqem7s</v>
      </c>
    </row>
    <row r="13696" spans="1:5" ht="15" customHeight="1" x14ac:dyDescent="0.2">
      <c r="A13696" s="1" t="s">
        <v>26976</v>
      </c>
      <c r="B13696" s="1">
        <v>2</v>
      </c>
      <c r="C13696" s="3">
        <v>44530.897407407407</v>
      </c>
      <c r="D13696" s="1" t="s">
        <v>26977</v>
      </c>
      <c r="E13696" s="1" t="str">
        <f ca="1">IFERROR(__xludf.DUMMYFUNCTION("GOOGLETRANSLATE(A10495 , ""tr"" , ""en"")"),"@drfahrettinkoca 40 premises we want a fair assignment in the vibration of the Health Administration, see Mr.")</f>
        <v>@drfahrettinkoca 40 premises we want a fair assignment in the vibration of the Health Administration, see Mr.</v>
      </c>
    </row>
    <row r="13697" spans="1:5" ht="15" customHeight="1" x14ac:dyDescent="0.2">
      <c r="A13697" s="1" t="s">
        <v>26978</v>
      </c>
      <c r="B13697" s="1">
        <v>0</v>
      </c>
      <c r="C13697" s="3">
        <v>44530.897291666668</v>
      </c>
      <c r="D13697" s="1" t="s">
        <v>26979</v>
      </c>
      <c r="E13697" s="1" t="str">
        <f ca="1">IFERROR(__xludf.DUMMYFUNCTION("GOOGLETRANSLATE(A10496 , ""tr"" , ""en"")"),"@drfahrettinkoca why are our children in danger causing schools outdoor illegal kids absences or ... https://t.co/mlzugzhx2v")</f>
        <v>@drfahrettinkoca why are our children in danger causing schools outdoor illegal kids absences or ... https://t.co/mlzugzhx2v</v>
      </c>
    </row>
    <row r="13698" spans="1:5" ht="15" customHeight="1" x14ac:dyDescent="0.2">
      <c r="A13698" s="1" t="s">
        <v>26980</v>
      </c>
      <c r="B13698" s="1">
        <v>1</v>
      </c>
      <c r="C13698" s="3">
        <v>44530.897280092591</v>
      </c>
      <c r="D13698" s="1" t="s">
        <v>26981</v>
      </c>
      <c r="E13698" s="1" t="str">
        <f ca="1">IFERROR(__xludf.DUMMYFUNCTION("GOOGLETRANSLATE(A10497 , ""tr"" , ""en"")"),"@drfahrettinkoca Ministry please get to remote training")</f>
        <v>@drfahrettinkoca Ministry please get to remote training</v>
      </c>
    </row>
    <row r="13699" spans="1:5" ht="15" customHeight="1" x14ac:dyDescent="0.2">
      <c r="A13699" s="1" t="s">
        <v>26982</v>
      </c>
      <c r="B13699" s="1">
        <v>2</v>
      </c>
      <c r="C13699" s="3">
        <v>44530.897175925929</v>
      </c>
      <c r="D13699" s="1" t="s">
        <v>26983</v>
      </c>
      <c r="E13699" s="1" t="str">
        <f ca="1">IFERROR(__xludf.DUMMYFUNCTION("GOOGLETRANSLATE(A10498 , ""tr"" , ""en"")"),"@drfahrettinkoca 40 premises we want a fair assignment in the vibration of the Health Management section in the vibration, see Say ... https://t.co/oqrcsdkqk9")</f>
        <v>@drfahrettinkoca 40 premises we want a fair assignment in the vibration of the Health Management section in the vibration, see Say ... https://t.co/oqrcsdkqk9</v>
      </c>
    </row>
    <row r="13700" spans="1:5" ht="15" customHeight="1" x14ac:dyDescent="0.2">
      <c r="A13700" s="1" t="s">
        <v>26984</v>
      </c>
      <c r="B13700" s="1">
        <v>0</v>
      </c>
      <c r="C13700" s="3">
        <v>44530.89644675926</v>
      </c>
      <c r="D13700" s="1" t="s">
        <v>26985</v>
      </c>
      <c r="E13700" s="1" t="str">
        <f ca="1">IFERROR(__xludf.DUMMYFUNCTION("GOOGLETRANSLATE(A10499 , ""tr"" , ""en"")"),"@drfahrettinkoca psychology Our psychology is desperate to be helpless remedy us should not be so low us")</f>
        <v>@drfahrettinkoca psychology Our psychology is desperate to be helpless remedy us should not be so low us</v>
      </c>
    </row>
    <row r="13701" spans="1:5" ht="15" customHeight="1" x14ac:dyDescent="0.2">
      <c r="A13701" s="1" t="s">
        <v>26986</v>
      </c>
      <c r="B13701" s="1">
        <v>3</v>
      </c>
      <c r="C13701" s="3">
        <v>44530.895972222221</v>
      </c>
      <c r="D13701" s="1" t="s">
        <v>26987</v>
      </c>
      <c r="E13701" s="1" t="str">
        <f ca="1">IFERROR(__xludf.DUMMYFUNCTION("GOOGLETRANSLATE(A10500 , ""tr"" , ""en"")"),"@drfahrettinkoca wants to be appointed that they don't want to see different brans in the squads of the Health Management section")</f>
        <v>@drfahrettinkoca wants to be appointed that they don't want to see different brans in the squads of the Health Management section</v>
      </c>
    </row>
    <row r="13702" spans="1:5" ht="15" customHeight="1" x14ac:dyDescent="0.2">
      <c r="A13702" s="1" t="s">
        <v>26988</v>
      </c>
      <c r="B13702" s="1">
        <v>0</v>
      </c>
      <c r="C13702" s="3">
        <v>44530.895752314813</v>
      </c>
      <c r="D13702" s="1" t="s">
        <v>26989</v>
      </c>
      <c r="E13702" s="1" t="str">
        <f ca="1">IFERROR(__xludf.DUMMYFUNCTION("GOOGLETRANSLATE(A10501 , ""tr"" , ""en"")"),"@drfahrettinkoca Number of employment for employment for parents What happens to Koskoca Istanbul 100 what happens to @drfahrettinkoca")</f>
        <v>@drfahrettinkoca Number of employment for employment for parents What happens to Koskoca Istanbul 100 what happens to @drfahrettinkoca</v>
      </c>
    </row>
    <row r="13703" spans="1:5" ht="15" customHeight="1" x14ac:dyDescent="0.2">
      <c r="A13703" s="1" t="s">
        <v>26990</v>
      </c>
      <c r="B13703" s="1">
        <v>1</v>
      </c>
      <c r="C13703" s="3">
        <v>44530.895555555559</v>
      </c>
      <c r="D13703" s="1" t="s">
        <v>26991</v>
      </c>
      <c r="E13703" s="1" t="str">
        <f ca="1">IFERROR(__xludf.DUMMYFUNCTION("GOOGLETRANSLATE(A10502 , ""tr"" , ""en"")"),"@drfahrettinkoca Mr. Minister, who blocks HBYS computing workers from receiving staff? https://t.co/srfuettgPI")</f>
        <v>@drfahrettinkoca Mr. Minister, who blocks HBYS computing workers from receiving staff? https://t.co/srfuettgPI</v>
      </c>
    </row>
    <row r="13704" spans="1:5" ht="15" customHeight="1" x14ac:dyDescent="0.2">
      <c r="A13704" s="1" t="s">
        <v>26992</v>
      </c>
      <c r="B13704" s="1">
        <v>1</v>
      </c>
      <c r="C13704" s="3">
        <v>44530.895509259259</v>
      </c>
      <c r="D13704" s="1" t="s">
        <v>26993</v>
      </c>
      <c r="E13704" s="1" t="str">
        <f ca="1">IFERROR(__xludf.DUMMYFUNCTION("GOOGLETRANSLATE(A10503 , ""tr"" , ""en"")"),"@drfahrettinkoca Health Management Department is not given 1 staff, but universities receive 20s students every year")</f>
        <v>@drfahrettinkoca Health Management Department is not given 1 staff, but universities receive 20s students every year</v>
      </c>
    </row>
    <row r="13705" spans="1:5" ht="15" customHeight="1" x14ac:dyDescent="0.2">
      <c r="A13705" s="1" t="s">
        <v>26994</v>
      </c>
      <c r="B13705" s="1">
        <v>0</v>
      </c>
      <c r="C13705" s="3">
        <v>44530.895405092589</v>
      </c>
      <c r="D13705" s="1" t="s">
        <v>26995</v>
      </c>
      <c r="E13705" s="1" t="str">
        <f ca="1">IFERROR(__xludf.DUMMYFUNCTION("GOOGLETRANSLATE(A10504 , ""tr"" , ""en"")"),"@drfahrettinkoca Don't do this if it is at least 3000 squads are welcomed @drfahrettinkoca @haleleldemir")</f>
        <v>@drfahrettinkoca Don't do this if it is at least 3000 squads are welcomed @drfahrettinkoca @haleleldemir</v>
      </c>
    </row>
    <row r="13706" spans="1:5" ht="15" customHeight="1" x14ac:dyDescent="0.2">
      <c r="A13706" s="1" t="s">
        <v>26996</v>
      </c>
      <c r="B13706" s="1">
        <v>4</v>
      </c>
      <c r="C13706" s="3">
        <v>44530.895011574074</v>
      </c>
      <c r="D13706" s="1" t="s">
        <v>26997</v>
      </c>
      <c r="E13706" s="1" t="str">
        <f ca="1">IFERROR(__xludf.DUMMYFUNCTION("GOOGLETRANSLATE(A10505 , ""tr"" , ""en"")"),"@drfahrettinka Mr. Ministry of Mr. 112. The number of squad you are distributing is not in the place where do you don't need the parcel there is no need ... https://t.co/uhk05atp7h")</f>
        <v>@drfahrettinka Mr. Ministry of Mr. 112. The number of squad you are distributing is not in the place where do you don't need the parcel there is no need ... https://t.co/uhk05atp7h</v>
      </c>
    </row>
    <row r="13707" spans="1:5" ht="15" customHeight="1" x14ac:dyDescent="0.2">
      <c r="A13707" s="1" t="s">
        <v>26998</v>
      </c>
      <c r="B13707" s="1">
        <v>1</v>
      </c>
      <c r="C13707" s="3">
        <v>44530.894976851851</v>
      </c>
      <c r="D13707" s="1" t="s">
        <v>26999</v>
      </c>
      <c r="E13707" s="1" t="str">
        <f ca="1">IFERROR(__xludf.DUMMYFUNCTION("GOOGLETRANSLATE(A10506 , ""tr"" , ""en"")"),"@drfahrettinkoca Health Management Department wants to be designated and appointed professions 100 thousand people victim")</f>
        <v>@drfahrettinkoca Health Management Department wants to be designated and appointed professions 100 thousand people victim</v>
      </c>
    </row>
    <row r="13708" spans="1:5" ht="15" customHeight="1" x14ac:dyDescent="0.2">
      <c r="A13708" s="1" t="s">
        <v>27000</v>
      </c>
      <c r="B13708" s="1">
        <v>2</v>
      </c>
      <c r="C13708" s="3">
        <v>44530.894560185188</v>
      </c>
      <c r="D13708" s="1" t="s">
        <v>27001</v>
      </c>
      <c r="E13708" s="1" t="str">
        <f ca="1">IFERROR(__xludf.DUMMYFUNCTION("GOOGLETRANSLATE(A10507 , ""tr"" , ""en"")"),"@drfahrettinkoca Health Management Department to see more of what we need to do")</f>
        <v>@drfahrettinkoca Health Management Department to see more of what we need to do</v>
      </c>
    </row>
    <row r="13709" spans="1:5" ht="15" customHeight="1" x14ac:dyDescent="0.2">
      <c r="A13709" s="1" t="s">
        <v>27002</v>
      </c>
      <c r="B13709" s="1">
        <v>1</v>
      </c>
      <c r="C13709" s="3">
        <v>44530.894236111111</v>
      </c>
      <c r="D13709" s="1" t="s">
        <v>27003</v>
      </c>
      <c r="E13709" s="1" t="str">
        <f ca="1">IFERROR(__xludf.DUMMYFUNCTION("GOOGLETRANSLATE(A10508 , ""tr"" , ""en"")"),"@drfahrettinkoca Health Management Department You will see when Mr. Ministry")</f>
        <v>@drfahrettinkoca Health Management Department You will see when Mr. Ministry</v>
      </c>
    </row>
    <row r="13710" spans="1:5" ht="15" customHeight="1" x14ac:dyDescent="0.2">
      <c r="A13710" s="1" t="s">
        <v>27004</v>
      </c>
      <c r="B13710" s="1">
        <v>0</v>
      </c>
      <c r="C13710" s="3">
        <v>44530.894085648149</v>
      </c>
      <c r="D13710" s="1" t="s">
        <v>27005</v>
      </c>
      <c r="E13710" s="1" t="str">
        <f ca="1">IFERROR(__xludf.DUMMYFUNCTION("GOOGLETRANSLATE(A10509 , ""tr"" , ""en"")"),"@drfahrettinkoca should be returned from unfair to 112 Mr. Ministry @drfahrettinkoca @haleleldemir")</f>
        <v>@drfahrettinkoca should be returned from unfair to 112 Mr. Ministry @drfahrettinkoca @haleleldemir</v>
      </c>
    </row>
    <row r="13711" spans="1:5" ht="15" customHeight="1" x14ac:dyDescent="0.2">
      <c r="A13711" s="1" t="s">
        <v>27006</v>
      </c>
      <c r="B13711" s="1">
        <v>27</v>
      </c>
      <c r="C13711" s="3">
        <v>44530.894016203703</v>
      </c>
      <c r="D13711" s="1" t="s">
        <v>27007</v>
      </c>
      <c r="E13711" s="1" t="str">
        <f ca="1">IFERROR(__xludf.DUMMYFUNCTION("GOOGLETRANSLATE(A10510 , ""tr"" , ""en"")"),"@drfahrettinkoca you have no difference in you lodostan You've killed our hopes, you have killed our hopes.")</f>
        <v>@drfahrettinkoca you have no difference in you lodostan You've killed our hopes, you have killed our hopes.</v>
      </c>
    </row>
    <row r="13712" spans="1:5" ht="15" customHeight="1" x14ac:dyDescent="0.2">
      <c r="A13712" s="1" t="s">
        <v>27008</v>
      </c>
      <c r="B13712" s="1">
        <v>1</v>
      </c>
      <c r="C13712" s="3">
        <v>44530.893935185188</v>
      </c>
      <c r="D13712" s="1" t="s">
        <v>27009</v>
      </c>
      <c r="E13712" s="1" t="str">
        <f ca="1">IFERROR(__xludf.DUMMYFUNCTION("GOOGLETRANSLATE(A10511 , ""tr"" , ""en"")"),"@drfahrettinkoca Health Management Wants to take part in 40K")</f>
        <v>@drfahrettinkoca Health Management Wants to take part in 40K</v>
      </c>
    </row>
    <row r="13713" spans="1:5" ht="15" customHeight="1" x14ac:dyDescent="0.2">
      <c r="A13713" s="1" t="s">
        <v>27010</v>
      </c>
      <c r="B13713" s="1">
        <v>3</v>
      </c>
      <c r="C13713" s="3">
        <v>44530.893900462965</v>
      </c>
      <c r="D13713" s="1" t="s">
        <v>27011</v>
      </c>
      <c r="E13713" s="1" t="str">
        <f ca="1">IFERROR(__xludf.DUMMYFUNCTION("GOOGLETRANSLATE(A10512 , ""tr"" , ""en"")"),"@drfahrettinkoca not all of the deceased they were not inhabited ... I ask me to ask the vaccine ""100% of death"" du.")</f>
        <v>@drfahrettinkoca not all of the deceased they were not inhabited ... I ask me to ask the vaccine "100% of death" du.</v>
      </c>
    </row>
    <row r="13714" spans="1:5" ht="15" customHeight="1" x14ac:dyDescent="0.2">
      <c r="A13714" s="1" t="s">
        <v>27012</v>
      </c>
      <c r="B13714" s="1">
        <v>0</v>
      </c>
      <c r="C13714" s="3">
        <v>44530.893807870372</v>
      </c>
      <c r="D13714" s="1" t="s">
        <v>27013</v>
      </c>
      <c r="E13714" s="1" t="str">
        <f ca="1">IFERROR(__xludf.DUMMYFUNCTION("GOOGLETRANSLATE(A10513 , ""tr"" , ""en"")"),"@drfahrettinkoca Don't do this for the parent We are waiting for at least 3000 @drfahrettinkoca")</f>
        <v>@drfahrettinkoca Don't do this for the parent We are waiting for at least 3000 @drfahrettinkoca</v>
      </c>
    </row>
    <row r="13715" spans="1:5" ht="15" customHeight="1" x14ac:dyDescent="0.2">
      <c r="A13715" s="1" t="s">
        <v>27014</v>
      </c>
      <c r="B13715" s="1">
        <v>2</v>
      </c>
      <c r="C13715" s="3">
        <v>44530.893796296295</v>
      </c>
      <c r="D13715" s="1" t="s">
        <v>27015</v>
      </c>
      <c r="E13715" s="1" t="str">
        <f ca="1">IFERROR(__xludf.DUMMYFUNCTION("GOOGLETRANSLATE(A10514 , ""tr"" , ""en"")"),"@drfahrettinkoca is the past get on the November, the Ministry of Ministry. Landing and Hasretle to the Guide .. @drfahrettinkoca")</f>
        <v>@drfahrettinkoca is the past get on the November, the Ministry of Ministry. Landing and Hasretle to the Guide .. @drfahrettinkoca</v>
      </c>
    </row>
    <row r="13716" spans="1:5" ht="15" customHeight="1" x14ac:dyDescent="0.2">
      <c r="A13716" s="1" t="s">
        <v>27016</v>
      </c>
      <c r="B13716" s="1">
        <v>1</v>
      </c>
      <c r="C13716" s="3">
        <v>44530.893622685187</v>
      </c>
      <c r="D13716" s="1" t="s">
        <v>27017</v>
      </c>
      <c r="E13716" s="1" t="str">
        <f ca="1">IFERROR(__xludf.DUMMYFUNCTION("GOOGLETRANSLATE(A10515 , ""tr"" , ""en"")"),"@drfahrettinkoca can't be assigned even if the health management department takes 100 points")</f>
        <v>@drfahrettinkoca can't be assigned even if the health management department takes 100 points</v>
      </c>
    </row>
    <row r="13717" spans="1:5" ht="15" customHeight="1" x14ac:dyDescent="0.2">
      <c r="A13717" s="1" t="s">
        <v>27018</v>
      </c>
      <c r="B13717" s="1">
        <v>5</v>
      </c>
      <c r="C13717" s="3">
        <v>44530.893587962964</v>
      </c>
      <c r="D13717" s="1" t="s">
        <v>27019</v>
      </c>
      <c r="E13717" s="1" t="str">
        <f ca="1">IFERROR(__xludf.DUMMYFUNCTION("GOOGLETRANSLATE(A10516 , ""tr"" , ""en"")"),"@drfahrettinkoca Paramedic Department In an infamous case with 87 points with 87 points What happens to @drfahrettinkoca")</f>
        <v>@drfahrettinkoca Paramedic Department In an infamous case with 87 points with 87 points What happens to @drfahrettinkoca</v>
      </c>
    </row>
    <row r="13718" spans="1:5" ht="15" customHeight="1" x14ac:dyDescent="0.2">
      <c r="A13718" s="1" t="s">
        <v>27020</v>
      </c>
      <c r="B13718" s="1">
        <v>2</v>
      </c>
      <c r="C13718" s="3">
        <v>44530.893275462964</v>
      </c>
      <c r="D13718" s="1" t="s">
        <v>27021</v>
      </c>
      <c r="E13718" s="1" t="str">
        <f ca="1">IFERROR(__xludf.DUMMYFUNCTION("GOOGLETRANSLATE(A10517 , ""tr"" , ""en"")"),"@drfahrettinkoca Health Management Department Graduates victim")</f>
        <v>@drfahrettinkoca Health Management Department Graduates victim</v>
      </c>
    </row>
    <row r="13719" spans="1:5" ht="15" customHeight="1" x14ac:dyDescent="0.2">
      <c r="A13719" s="1" t="s">
        <v>27022</v>
      </c>
      <c r="B13719" s="1">
        <v>0</v>
      </c>
      <c r="C13719" s="3">
        <v>44530.893078703702</v>
      </c>
      <c r="D13719" s="1" t="s">
        <v>27023</v>
      </c>
      <c r="E13719" s="1" t="str">
        <f ca="1">IFERROR(__xludf.DUMMYFUNCTION("GOOGLETRANSLATE(A10518 , ""tr"" , ""en"")"),"@drfahrettinkoca get through the vaccine dying")</f>
        <v>@drfahrettinkoca get through the vaccine dying</v>
      </c>
    </row>
    <row r="13720" spans="1:5" ht="15" customHeight="1" x14ac:dyDescent="0.2">
      <c r="A13720" s="1" t="s">
        <v>27024</v>
      </c>
      <c r="B13720" s="1">
        <v>0</v>
      </c>
      <c r="C13720" s="3">
        <v>44530.89298611111</v>
      </c>
      <c r="D13720" s="1" t="s">
        <v>27025</v>
      </c>
      <c r="E13720" s="1" t="str">
        <f ca="1">IFERROR(__xludf.DUMMYFUNCTION("GOOGLETRANSLATE(A10519 , ""tr"" , ""en"")"),"@drfahrettinkoca Everywhere Paramedic are at least 3/4 thousand squads in the 30-premium pickup I expect at least 3/4 thousand staff at least a s ... https://t.co/ew4izkgjcu")</f>
        <v>@drfahrettinkoca Everywhere Paramedic are at least 3/4 thousand squads in the 30-premium pickup I expect at least 3/4 thousand staff at least a s ... https://t.co/ew4izkgjcu</v>
      </c>
    </row>
    <row r="13721" spans="1:5" ht="15" customHeight="1" x14ac:dyDescent="0.2">
      <c r="A13721" s="1" t="s">
        <v>27026</v>
      </c>
      <c r="B13721" s="1">
        <v>0</v>
      </c>
      <c r="C13721" s="3">
        <v>44530.892962962964</v>
      </c>
      <c r="D13721" s="1" t="s">
        <v>27027</v>
      </c>
      <c r="E13721" s="1" t="str">
        <f ca="1">IFERROR(__xludf.DUMMYFUNCTION("GOOGLETRANSLATE(A10520 , ""tr"" , ""en"")"),"@drfahrettinkoca 22 Million 100 Paramedic Employment for Istanbul Dear Minister Like Joke What happens @drfahrettinkoca")</f>
        <v>@drfahrettinkoca 22 Million 100 Paramedic Employment for Istanbul Dear Minister Like Joke What happens @drfahrettinkoca</v>
      </c>
    </row>
    <row r="13722" spans="1:5" ht="15" customHeight="1" x14ac:dyDescent="0.2">
      <c r="A13722" s="1" t="s">
        <v>27028</v>
      </c>
      <c r="B13722" s="1">
        <v>0</v>
      </c>
      <c r="C13722" s="3">
        <v>44530.892592592594</v>
      </c>
      <c r="D13722" s="1" t="s">
        <v>27029</v>
      </c>
      <c r="E13722" s="1" t="str">
        <f ca="1">IFERROR(__xludf.DUMMYFUNCTION("GOOGLETRANSLATE(A10521 , ""tr"" , ""en"")"),"@drfahrettinkoca is 100 paramedic to Istanbul for urgent health services Don't you fucking like @drfahrettinkoca")</f>
        <v>@drfahrettinkoca is 100 paramedic to Istanbul for urgent health services Don't you fucking like @drfahrettinkoca</v>
      </c>
    </row>
    <row r="13723" spans="1:5" ht="15" customHeight="1" x14ac:dyDescent="0.2">
      <c r="A13723" s="1" t="s">
        <v>27030</v>
      </c>
      <c r="B13723" s="1">
        <v>1</v>
      </c>
      <c r="C13723" s="3">
        <v>44530.892337962963</v>
      </c>
      <c r="D13723" s="1" t="s">
        <v>27031</v>
      </c>
      <c r="E13723" s="1" t="str">
        <f ca="1">IFERROR(__xludf.DUMMYFUNCTION("GOOGLETRANSLATE(A10522 , ""tr"" , ""en"")"),"@drfahrettinkoca Paramedic When waiting at least 3000 at least 3000 What do you say 1500 Mr. Ministry @drfahrettinkoca")</f>
        <v>@drfahrettinkoca Paramedic When waiting at least 3000 at least 3000 What do you say 1500 Mr. Ministry @drfahrettinkoca</v>
      </c>
    </row>
    <row r="13724" spans="1:5" ht="15" customHeight="1" x14ac:dyDescent="0.2">
      <c r="A13724" s="1" t="s">
        <v>27032</v>
      </c>
      <c r="B13724" s="1">
        <v>1</v>
      </c>
      <c r="C13724" s="3">
        <v>44530.892094907409</v>
      </c>
      <c r="D13724" s="1" t="s">
        <v>27033</v>
      </c>
      <c r="E13724" s="1" t="str">
        <f ca="1">IFERROR(__xludf.DUMMYFUNCTION("GOOGLETRANSLATE(A10523 , ""tr"" , ""en"")"),"@drfahrettinkoca now has already passed the time")</f>
        <v>@drfahrettinkoca now has already passed the time</v>
      </c>
    </row>
    <row r="13725" spans="1:5" ht="15" customHeight="1" x14ac:dyDescent="0.2">
      <c r="A13725" s="1" t="s">
        <v>27034</v>
      </c>
      <c r="B13725" s="1">
        <v>0</v>
      </c>
      <c r="C13725" s="3">
        <v>44530.892071759263</v>
      </c>
      <c r="D13725" s="1" t="s">
        <v>27035</v>
      </c>
      <c r="E13725" s="1" t="str">
        <f ca="1">IFERROR(__xludf.DUMMYFUNCTION("GOOGLETRANSLATE(A10524 , ""tr"" , ""en"")"),"@drfahrettinkoca la Atama Atamaaaaaaaa")</f>
        <v>@drfahrettinkoca la Atama Atamaaaaaaaa</v>
      </c>
    </row>
    <row r="13726" spans="1:5" ht="15" customHeight="1" x14ac:dyDescent="0.2">
      <c r="A13726" s="1" t="s">
        <v>27036</v>
      </c>
      <c r="B13726" s="1">
        <v>9</v>
      </c>
      <c r="C13726" s="3">
        <v>44530.89203703704</v>
      </c>
      <c r="D13726" s="1" t="s">
        <v>27037</v>
      </c>
      <c r="E13726" s="1" t="str">
        <f ca="1">IFERROR(__xludf.DUMMYFUNCTION("GOOGLETRANSLATE(A10525 , ""tr"" , ""en"")"),"@drfahrettinkoca Paramedics is not opening for employment to employment as few reasons why this is being done. Gift ... https://t.co/flq3lkr22a")</f>
        <v>@drfahrettinkoca Paramedics is not opening for employment to employment as few reasons why this is being done. Gift ... https://t.co/flq3lkr22a</v>
      </c>
    </row>
    <row r="13727" spans="1:5" ht="15" customHeight="1" x14ac:dyDescent="0.2">
      <c r="A13727" s="1" t="s">
        <v>27038</v>
      </c>
      <c r="B13727" s="1">
        <v>6</v>
      </c>
      <c r="C13727" s="3">
        <v>44530.891944444447</v>
      </c>
      <c r="D13727" s="1" t="s">
        <v>27039</v>
      </c>
      <c r="E13727" s="1" t="str">
        <f ca="1">IFERROR(__xludf.DUMMYFUNCTION("GOOGLETRANSLATE(A10526 , ""tr"" , ""en"")"),"Whether @drfahrettinka ee schools holiday then my minister flew yesterday my umblay flew to school or tomorrow i fly some serious")</f>
        <v>Whether @drfahrettinka ee schools holiday then my minister flew yesterday my umblay flew to school or tomorrow i fly some serious</v>
      </c>
    </row>
    <row r="13728" spans="1:5" ht="15" customHeight="1" x14ac:dyDescent="0.2">
      <c r="A13728" s="1" t="s">
        <v>27040</v>
      </c>
      <c r="B13728" s="1">
        <v>0</v>
      </c>
      <c r="C13728" s="3">
        <v>44530.891863425924</v>
      </c>
      <c r="D13728" s="1" t="s">
        <v>27041</v>
      </c>
      <c r="E13728" s="1" t="str">
        <f ca="1">IFERROR(__xludf.DUMMYFUNCTION("GOOGLETRANSLATE(A10527 , ""tr"" , ""en"")"),"@drfahrettinkoca guide @drfahrettinkoca")</f>
        <v>@drfahrettinkoca guide @drfahrettinkoca</v>
      </c>
    </row>
    <row r="13729" spans="1:5" ht="15" customHeight="1" x14ac:dyDescent="0.2">
      <c r="A13729" s="1" t="s">
        <v>27042</v>
      </c>
      <c r="B13729" s="1">
        <v>0</v>
      </c>
      <c r="C13729" s="3">
        <v>44530.891736111109</v>
      </c>
      <c r="D13729" s="1" t="s">
        <v>27043</v>
      </c>
      <c r="E13729" s="1" t="str">
        <f ca="1">IFERROR(__xludf.DUMMYFUNCTION("GOOGLETRANSLATE(A10528 , ""tr"" , ""en"")"),"@drfahrettinkoca is no longer @drfahrettinkoca")</f>
        <v>@drfahrettinkoca is no longer @drfahrettinkoca</v>
      </c>
    </row>
    <row r="13730" spans="1:5" ht="15" customHeight="1" x14ac:dyDescent="0.2">
      <c r="A13730" s="1" t="s">
        <v>27044</v>
      </c>
      <c r="B13730" s="1">
        <v>70</v>
      </c>
      <c r="C13730" s="3">
        <v>44530.891585648147</v>
      </c>
      <c r="D13730" s="1" t="s">
        <v>27045</v>
      </c>
      <c r="E13730" s="1" t="str">
        <f ca="1">IFERROR(__xludf.DUMMYFUNCTION("GOOGLETRANSLATE(A10529 , ""tr"" , ""en"")"),"@drfahrettinkoca has not been able to stay soon, not treated soon, you pass into the category of your face ... Night SA ... https://t.co/c8168l7hol")</f>
        <v>@drfahrettinkoca has not been able to stay soon, not treated soon, you pass into the category of your face ... Night SA ... https://t.co/c8168l7hol</v>
      </c>
    </row>
    <row r="13731" spans="1:5" ht="15" customHeight="1" x14ac:dyDescent="0.2">
      <c r="A13731" s="1" t="s">
        <v>27046</v>
      </c>
      <c r="B13731" s="1">
        <v>0</v>
      </c>
      <c r="C13731" s="3">
        <v>44530.891261574077</v>
      </c>
      <c r="D13731" s="1" t="s">
        <v>27047</v>
      </c>
      <c r="E13731" s="1" t="str">
        <f ca="1">IFERROR(__xludf.DUMMYFUNCTION("GOOGLETRANSLATE(A10530 , ""tr"" , ""en"")"),"@drfahrettinkoca 112 and the numbers you have provided in the Purchase Numbers Minister to @drfahrettinkoca")</f>
        <v>@drfahrettinkoca 112 and the numbers you have provided in the Purchase Numbers Minister to @drfahrettinkoca</v>
      </c>
    </row>
    <row r="13732" spans="1:5" ht="15" customHeight="1" x14ac:dyDescent="0.2">
      <c r="A13732" s="1" t="s">
        <v>27048</v>
      </c>
      <c r="B13732" s="1">
        <v>1</v>
      </c>
      <c r="C13732" s="3">
        <v>44530.891215277778</v>
      </c>
      <c r="D13732" s="1" t="s">
        <v>27049</v>
      </c>
      <c r="E13732" s="1" t="str">
        <f ca="1">IFERROR(__xludf.DUMMYFUNCTION("GOOGLETRANSLATE(A10531 , ""tr"" , ""en"")"),"@drfahrettinkoca pes, we were surprised that a description of the dies were tone.")</f>
        <v>@drfahrettinkoca pes, we were surprised that a description of the dies were tone.</v>
      </c>
    </row>
    <row r="13733" spans="1:5" ht="15" customHeight="1" x14ac:dyDescent="0.2">
      <c r="A13733" s="1" t="s">
        <v>27050</v>
      </c>
      <c r="B13733" s="1">
        <v>0</v>
      </c>
      <c r="C13733" s="3">
        <v>44530.891134259262</v>
      </c>
      <c r="D13733" s="1" t="s">
        <v>27051</v>
      </c>
      <c r="E13733" s="1" t="str">
        <f ca="1">IFERROR(__xludf.DUMMYFUNCTION("GOOGLETRANSLATE(A10532 , ""tr"" , ""en"")"),"@drfahrettinkoca You will not be able to vote from a health as long as you do notify the private sector to the private sector. You are crawling us")</f>
        <v>@drfahrettinkoca You will not be able to vote from a health as long as you do notify the private sector to the private sector. You are crawling us</v>
      </c>
    </row>
    <row r="13734" spans="1:5" ht="15" customHeight="1" x14ac:dyDescent="0.2">
      <c r="A13734" s="1" t="s">
        <v>27052</v>
      </c>
      <c r="B13734" s="1">
        <v>14</v>
      </c>
      <c r="C13734" s="3">
        <v>44530.88994212963</v>
      </c>
      <c r="D13734" s="1" t="s">
        <v>27053</v>
      </c>
      <c r="E13734" s="1" t="str">
        <f ca="1">IFERROR(__xludf.DUMMYFUNCTION("GOOGLETRANSLATE(A10533 , ""tr"" , ""en"")"),"@drfahrettinkoca Health System has been very evolved in your number, leaving the hospital on foot walks. We are referring to Allaha")</f>
        <v>@drfahrettinkoca Health System has been very evolved in your number, leaving the hospital on foot walks. We are referring to Allaha</v>
      </c>
    </row>
    <row r="13735" spans="1:5" ht="15" customHeight="1" x14ac:dyDescent="0.2">
      <c r="A13735" s="1" t="s">
        <v>27054</v>
      </c>
      <c r="B13735" s="1">
        <v>0</v>
      </c>
      <c r="C13735" s="3">
        <v>44530.889675925922</v>
      </c>
      <c r="D13735" s="1" t="s">
        <v>27055</v>
      </c>
      <c r="E13735" s="1" t="str">
        <f ca="1">IFERROR(__xludf.DUMMYFUNCTION("GOOGLETRANSLATE(A10534 , ""tr"" , ""en"")"),"@drfahrettinkoca Humanity Deccale You delivered to whom you are condolences (!)")</f>
        <v>@drfahrettinkoca Humanity Deccale You delivered to whom you are condolences (!)</v>
      </c>
    </row>
    <row r="13736" spans="1:5" ht="15" customHeight="1" x14ac:dyDescent="0.2">
      <c r="A13736" s="1" t="s">
        <v>27056</v>
      </c>
      <c r="B13736" s="1">
        <v>0</v>
      </c>
      <c r="C13736" s="3">
        <v>44530.889421296299</v>
      </c>
      <c r="D13736" s="1" t="s">
        <v>27057</v>
      </c>
      <c r="E13736" s="1" t="str">
        <f ca="1">IFERROR(__xludf.DUMMYFUNCTION("GOOGLETRANSLATE(A10535 , ""tr"" , ""en"")"),"@drfahrettinkoca Mr. Mr. Minister get a past sn. Erdogan Talk to the Underlying National Purchase Turkish Lira ... https://t.co/copqajib45")</f>
        <v>@drfahrettinkoca Mr. Mr. Minister get a past sn. Erdogan Talk to the Underlying National Purchase Turkish Lira ... https://t.co/copqajib45</v>
      </c>
    </row>
    <row r="13737" spans="1:5" ht="15" customHeight="1" x14ac:dyDescent="0.2">
      <c r="A13737" s="1" t="s">
        <v>27058</v>
      </c>
      <c r="B13737" s="1">
        <v>6</v>
      </c>
      <c r="C13737" s="3">
        <v>44530.889398148145</v>
      </c>
      <c r="D13737" s="1" t="s">
        <v>27059</v>
      </c>
      <c r="E13737" s="1" t="str">
        <f ca="1">IFERROR(__xludf.DUMMYFUNCTION("GOOGLETRANSLATE(A10536 , ""tr"" , ""en"")"),"@drfahrettinkoca Allah mercy. I wish we were assigning and the guide to the bottom of such a twinkle but you are obliged us.")</f>
        <v>@drfahrettinkoca Allah mercy. I wish we were assigning and the guide to the bottom of such a twinkle but you are obliged us.</v>
      </c>
    </row>
    <row r="13738" spans="1:5" ht="15" customHeight="1" x14ac:dyDescent="0.2">
      <c r="A13738" s="1" t="s">
        <v>27060</v>
      </c>
      <c r="B13738" s="1">
        <v>0</v>
      </c>
      <c r="C13738" s="3">
        <v>44530.889317129629</v>
      </c>
      <c r="D13738" s="1" t="s">
        <v>27061</v>
      </c>
      <c r="E13738" s="1" t="str">
        <f ca="1">IFERROR(__xludf.DUMMYFUNCTION("GOOGLETRANSLATE(A10537 , ""tr"" , ""en"")"),"@drfahrettinkoca dietitians are looking forward to assigning a large number of assignments with the minister 91 score of cumbershaes still acika")</f>
        <v>@drfahrettinkoca dietitians are looking forward to assigning a large number of assignments with the minister 91 score of cumbershaes still acika</v>
      </c>
    </row>
    <row r="13739" spans="1:5" ht="15" customHeight="1" x14ac:dyDescent="0.2">
      <c r="A13739" s="1" t="s">
        <v>27062</v>
      </c>
      <c r="B13739" s="1">
        <v>1</v>
      </c>
      <c r="C13739" s="3">
        <v>44530.889305555553</v>
      </c>
      <c r="D13739" s="1" t="s">
        <v>27063</v>
      </c>
      <c r="E13739" s="1" t="str">
        <f ca="1">IFERROR(__xludf.DUMMYFUNCTION("GOOGLETRANSLATE(A10538 , ""tr"" , ""en"")"),"@drfahrettinkoca 40 Bin of the Health Management section in the vibration, we want a fair assignment in which it is also within the Minister. .")</f>
        <v>@drfahrettinkoca 40 Bin of the Health Management section in the vibration, we want a fair assignment in which it is also within the Minister. .</v>
      </c>
    </row>
    <row r="13740" spans="1:5" ht="15" customHeight="1" x14ac:dyDescent="0.2">
      <c r="A13740" s="1" t="s">
        <v>27064</v>
      </c>
      <c r="B13740" s="1">
        <v>0</v>
      </c>
      <c r="C13740" s="3">
        <v>44530.889293981483</v>
      </c>
      <c r="D13740" s="1" t="s">
        <v>27065</v>
      </c>
      <c r="E13740" s="1" t="str">
        <f ca="1">IFERROR(__xludf.DUMMYFUNCTION("GOOGLETRANSLATE(A10539 , ""tr"" , ""en"")"),"@drfahrettinka I'm holding the official newspaper vigil")</f>
        <v>@drfahrettinka I'm holding the official newspaper vigil</v>
      </c>
    </row>
    <row r="13741" spans="1:5" ht="15" customHeight="1" x14ac:dyDescent="0.2">
      <c r="A13741" s="1" t="s">
        <v>27066</v>
      </c>
      <c r="B13741" s="1">
        <v>99</v>
      </c>
      <c r="C13741" s="3">
        <v>44530.88921296296</v>
      </c>
      <c r="D13741" s="1" t="s">
        <v>27067</v>
      </c>
      <c r="E13741" s="1" t="str">
        <f ca="1">IFERROR(__xludf.DUMMYFUNCTION("GOOGLETRANSLATE(A10540 , ""tr"" , ""en"")"),"@drfahrettinkoca staring Bey Do you think that you are very thinking about these people in hospitals, what do you call for people. https://t.co/ufqtjnvyk9")</f>
        <v>@drfahrettinkoca staring Bey Do you think that you are very thinking about these people in hospitals, what do you call for people. https://t.co/ufqtjnvyk9</v>
      </c>
    </row>
    <row r="13742" spans="1:5" ht="15" customHeight="1" x14ac:dyDescent="0.2">
      <c r="A13742" s="1" t="s">
        <v>27068</v>
      </c>
      <c r="B13742" s="1">
        <v>0</v>
      </c>
      <c r="C13742" s="3">
        <v>44530.889178240737</v>
      </c>
      <c r="D13742" s="1" t="s">
        <v>27069</v>
      </c>
      <c r="E13742" s="1" t="str">
        <f ca="1">IFERROR(__xludf.DUMMYFUNCTION("GOOGLETRANSLATE(A10541 , ""tr"" , ""en"")"),"@drfahrettinkoca is now enough")</f>
        <v>@drfahrettinkoca is now enough</v>
      </c>
    </row>
    <row r="13743" spans="1:5" ht="15" customHeight="1" x14ac:dyDescent="0.2">
      <c r="A13743" s="1" t="s">
        <v>27070</v>
      </c>
      <c r="B13743" s="1">
        <v>1</v>
      </c>
      <c r="C13743" s="3">
        <v>44530.889131944445</v>
      </c>
      <c r="D13743" s="1" t="s">
        <v>27071</v>
      </c>
      <c r="E13743" s="1" t="str">
        <f ca="1">IFERROR(__xludf.DUMMYFUNCTION("GOOGLETRANSLATE(A10542 , ""tr"" , ""en"")"),"@drfahrettinkoca 40 Bin of the Health Management section in the vibration, we want a fair assignment in which it is also within the Minister.")</f>
        <v>@drfahrettinkoca 40 Bin of the Health Management section in the vibration, we want a fair assignment in which it is also within the Minister.</v>
      </c>
    </row>
    <row r="13744" spans="1:5" ht="15" customHeight="1" x14ac:dyDescent="0.2">
      <c r="A13744" s="1" t="s">
        <v>27072</v>
      </c>
      <c r="B13744" s="1">
        <v>1</v>
      </c>
      <c r="C13744" s="3">
        <v>44530.889050925929</v>
      </c>
      <c r="D13744" s="1" t="s">
        <v>27073</v>
      </c>
      <c r="E13744" s="1" t="str">
        <f ca="1">IFERROR(__xludf.DUMMYFUNCTION("GOOGLETRANSLATE(A10543 , ""tr"" , ""en"")"),"@drfahrettinkoca 40 The Health Administration section of the 5 billitums will also require a fair assignment in which it is within")</f>
        <v>@drfahrettinkoca 40 The Health Administration section of the 5 billitums will also require a fair assignment in which it is within</v>
      </c>
    </row>
    <row r="13745" spans="1:5" ht="15" customHeight="1" x14ac:dyDescent="0.2">
      <c r="A13745" s="1" t="s">
        <v>27074</v>
      </c>
      <c r="B13745" s="1">
        <v>7</v>
      </c>
      <c r="C13745" s="3">
        <v>44530.888819444444</v>
      </c>
      <c r="D13745" s="1" t="s">
        <v>27075</v>
      </c>
      <c r="E13745" s="1" t="str">
        <f ca="1">IFERROR(__xludf.DUMMYFUNCTION("GOOGLETRANSLATE(A10544 , ""tr"" , ""en"")"),"@drfahrettinkoca Ministry of November is over all we have never seen the guide in this month Sorry @drfahrettinkoca")</f>
        <v>@drfahrettinkoca Ministry of November is over all we have never seen the guide in this month Sorry @drfahrettinkoca</v>
      </c>
    </row>
    <row r="13746" spans="1:5" ht="15" customHeight="1" x14ac:dyDescent="0.2">
      <c r="A13746" s="1" t="s">
        <v>27076</v>
      </c>
      <c r="B13746" s="1">
        <v>5</v>
      </c>
      <c r="C13746" s="3">
        <v>44530.888796296298</v>
      </c>
      <c r="D13746" s="1" t="s">
        <v>27077</v>
      </c>
      <c r="E13746" s="1" t="str">
        <f ca="1">IFERROR(__xludf.DUMMYFUNCTION("GOOGLETRANSLATE(A10545 , ""tr"" , ""en"")"),"@drfahrettinka 40 Health Management in Bin. We would like a fair assignment in which part is within")</f>
        <v>@drfahrettinka 40 Health Management in Bin. We would like a fair assignment in which part is within</v>
      </c>
    </row>
    <row r="13747" spans="1:5" ht="15" customHeight="1" x14ac:dyDescent="0.2">
      <c r="A13747" s="1" t="s">
        <v>27078</v>
      </c>
      <c r="B13747" s="1">
        <v>1</v>
      </c>
      <c r="C13747" s="3">
        <v>44530.888668981483</v>
      </c>
      <c r="D13747" s="1" t="s">
        <v>27079</v>
      </c>
      <c r="E13747" s="1" t="str">
        <f ca="1">IFERROR(__xludf.DUMMYFUNCTION("GOOGLETRANSLATE(A10546 , ""tr"" , ""en"")"),"@drfahrettinkoca 40 Bin of the Health Management section in the vibration, we want a fair assignment in which it is also within the Minister.")</f>
        <v>@drfahrettinkoca 40 Bin of the Health Management section in the vibration, we want a fair assignment in which it is also within the Minister.</v>
      </c>
    </row>
    <row r="13748" spans="1:5" ht="15" customHeight="1" x14ac:dyDescent="0.2">
      <c r="A13748" s="1" t="s">
        <v>27080</v>
      </c>
      <c r="B13748" s="1">
        <v>15</v>
      </c>
      <c r="C13748" s="3">
        <v>44530.88863425926</v>
      </c>
      <c r="D13748" s="1" t="s">
        <v>27081</v>
      </c>
      <c r="E13748" s="1" t="str">
        <f ca="1">IFERROR(__xludf.DUMMYFUNCTION("GOOGLETRANSLATE(A10547 , ""tr"" , ""en"")"),"@drfahrettinkoca schools close enough no longer the air ice")</f>
        <v>@drfahrettinkoca schools close enough no longer the air ice</v>
      </c>
    </row>
    <row r="13749" spans="1:5" ht="15" customHeight="1" x14ac:dyDescent="0.2">
      <c r="A13749" s="1" t="s">
        <v>27082</v>
      </c>
      <c r="B13749" s="1">
        <v>1</v>
      </c>
      <c r="C13749" s="3">
        <v>44530.88853009259</v>
      </c>
      <c r="D13749" s="1" t="s">
        <v>27083</v>
      </c>
      <c r="E13749" s="1" t="str">
        <f ca="1">IFERROR(__xludf.DUMMYFUNCTION("GOOGLETRANSLATE(A10548 , ""tr"" , ""en"")"),"@drfahrettinka We want a fair assignment in which the Health Management section is within 40 million purchases. Mr. Minister")</f>
        <v>@drfahrettinka We want a fair assignment in which the Health Management section is within 40 million purchases. Mr. Minister</v>
      </c>
    </row>
    <row r="13750" spans="1:5" ht="15" customHeight="1" x14ac:dyDescent="0.2">
      <c r="A13750" s="1" t="s">
        <v>27084</v>
      </c>
      <c r="B13750" s="1">
        <v>0</v>
      </c>
      <c r="C13750" s="3">
        <v>44530.888506944444</v>
      </c>
      <c r="D13750" s="1" t="s">
        <v>27085</v>
      </c>
      <c r="E13750" s="1" t="str">
        <f ca="1">IFERROR(__xludf.DUMMYFUNCTION("GOOGLETRANSLATE(A10549 , ""tr"" , ""en"")"),"@drfahrettinkoca State Bahceli-Mansur Slow Threat to Slow! https://t.co/eucciydgom")</f>
        <v>@drfahrettinkoca State Bahceli-Mansur Slow Threat to Slow! https://t.co/eucciydgom</v>
      </c>
    </row>
    <row r="13751" spans="1:5" ht="15" customHeight="1" x14ac:dyDescent="0.2">
      <c r="A13751" s="1" t="s">
        <v>27086</v>
      </c>
      <c r="B13751" s="1">
        <v>2</v>
      </c>
      <c r="C13751" s="3">
        <v>44530.888425925928</v>
      </c>
      <c r="D13751" s="1" t="s">
        <v>27087</v>
      </c>
      <c r="E13751" s="1" t="str">
        <f ca="1">IFERROR(__xludf.DUMMYFUNCTION("GOOGLETRANSLATE(A10550 , ""tr"" , ""en"")"),"@drfahrettinkoca 40 Bin of the Health Management section in the vibration, we want a fair assignment in which it is also within the Minister.")</f>
        <v>@drfahrettinkoca 40 Bin of the Health Management section in the vibration, we want a fair assignment in which it is also within the Minister.</v>
      </c>
    </row>
    <row r="13752" spans="1:5" ht="15" customHeight="1" x14ac:dyDescent="0.2">
      <c r="A13752" s="1" t="s">
        <v>11516</v>
      </c>
      <c r="B13752" s="1">
        <v>0</v>
      </c>
      <c r="C13752" s="3">
        <v>44530.888252314813</v>
      </c>
      <c r="D13752" s="1" t="s">
        <v>27088</v>
      </c>
      <c r="E13752" s="1" t="str">
        <f ca="1">IFERROR(__xludf.DUMMYFUNCTION("GOOGLETRANSLATE(A10551 , ""tr"" , ""en"")"),"@drfahrettinkoca We want to guide")</f>
        <v>@drfahrettinkoca We want to guide</v>
      </c>
    </row>
    <row r="13753" spans="1:5" ht="15" customHeight="1" x14ac:dyDescent="0.2">
      <c r="A13753" s="1" t="s">
        <v>27089</v>
      </c>
      <c r="B13753" s="1">
        <v>2</v>
      </c>
      <c r="C13753" s="3">
        <v>44530.888078703705</v>
      </c>
      <c r="D13753" s="1" t="s">
        <v>27090</v>
      </c>
      <c r="E13753" s="1" t="str">
        <f ca="1">IFERROR(__xludf.DUMMYFUNCTION("GOOGLETRANSLATE(A10552 , ""tr"" , ""en"")"),"@drfahrettinkoca 40 Bin of the Health Management section in the vibration, we want a fair assignment in which it is also within the Minister.")</f>
        <v>@drfahrettinkoca 40 Bin of the Health Management section in the vibration, we want a fair assignment in which it is also within the Minister.</v>
      </c>
    </row>
    <row r="13754" spans="1:5" ht="15" customHeight="1" x14ac:dyDescent="0.2">
      <c r="A13754" s="1" t="s">
        <v>27091</v>
      </c>
      <c r="B13754" s="1">
        <v>2</v>
      </c>
      <c r="C13754" s="3">
        <v>44530.887939814813</v>
      </c>
      <c r="D13754" s="1" t="s">
        <v>27092</v>
      </c>
      <c r="E13754" s="1" t="str">
        <f ca="1">IFERROR(__xludf.DUMMYFUNCTION("GOOGLETRANSLATE(A10553 , ""tr"" , ""en"")"),"@drfahrettinkoca 40 The Health Administration section of the 5 billitums will also require a fair assignment in which it is within")</f>
        <v>@drfahrettinkoca 40 The Health Administration section of the 5 billitums will also require a fair assignment in which it is within</v>
      </c>
    </row>
    <row r="13755" spans="1:5" ht="15" customHeight="1" x14ac:dyDescent="0.2">
      <c r="A13755" s="1" t="s">
        <v>27093</v>
      </c>
      <c r="B13755" s="1">
        <v>1</v>
      </c>
      <c r="C13755" s="3">
        <v>44530.88784722222</v>
      </c>
      <c r="D13755" s="1" t="s">
        <v>27094</v>
      </c>
      <c r="E13755" s="1" t="str">
        <f ca="1">IFERROR(__xludf.DUMMYFUNCTION("GOOGLETRANSLATE(A10554 , ""tr"" , ""en"")"),"@drfahrettinkoca Ministry of Guide or Guide Either we have been cut out of bread from narrowing in our handsle")</f>
        <v>@drfahrettinkoca Ministry of Guide or Guide Either we have been cut out of bread from narrowing in our handsle</v>
      </c>
    </row>
    <row r="13756" spans="1:5" ht="15" customHeight="1" x14ac:dyDescent="0.2">
      <c r="A13756" s="1" t="s">
        <v>27095</v>
      </c>
      <c r="B13756" s="1">
        <v>2</v>
      </c>
      <c r="C13756" s="3">
        <v>44530.887835648151</v>
      </c>
      <c r="D13756" s="1" t="s">
        <v>27096</v>
      </c>
      <c r="E13756" s="1" t="str">
        <f ca="1">IFERROR(__xludf.DUMMYFUNCTION("GOOGLETRANSLATE(A10555 , ""tr"" , ""en"")"),"@drfahrettinkoca 40 The Health Administration section of the 5 billitums will also require a fair assignment in which it is within")</f>
        <v>@drfahrettinkoca 40 The Health Administration section of the 5 billitums will also require a fair assignment in which it is within</v>
      </c>
    </row>
    <row r="13757" spans="1:5" ht="15" customHeight="1" x14ac:dyDescent="0.2">
      <c r="A13757" s="1" t="s">
        <v>27097</v>
      </c>
      <c r="B13757" s="1">
        <v>7</v>
      </c>
      <c r="C13757" s="3">
        <v>44530.887743055559</v>
      </c>
      <c r="D13757" s="1" t="s">
        <v>27098</v>
      </c>
      <c r="E13757" s="1" t="str">
        <f ca="1">IFERROR(__xludf.DUMMYFUNCTION("GOOGLETRANSLATE(A10556 , ""tr"" , ""en"")"),"@drfahrettinkoca 40 The Health Administration section of the 5 billitums will also require a fair assignment in which it is within")</f>
        <v>@drfahrettinkoca 40 The Health Administration section of the 5 billitums will also require a fair assignment in which it is within</v>
      </c>
    </row>
    <row r="13758" spans="1:5" ht="15" customHeight="1" x14ac:dyDescent="0.2">
      <c r="A13758" s="1" t="s">
        <v>27099</v>
      </c>
      <c r="B13758" s="1">
        <v>1</v>
      </c>
      <c r="C13758" s="3">
        <v>44530.887685185182</v>
      </c>
      <c r="D13758" s="1" t="s">
        <v>27100</v>
      </c>
      <c r="E13758" s="1" t="str">
        <f ca="1">IFERROR(__xludf.DUMMYFUNCTION("GOOGLETRANSLATE(A10557 , ""tr"" , ""en"")"),"@drfahrettinkoca I wonder if emergency health services have a news of the")</f>
        <v>@drfahrettinkoca I wonder if emergency health services have a news of the</v>
      </c>
    </row>
    <row r="13759" spans="1:5" ht="15" customHeight="1" x14ac:dyDescent="0.2">
      <c r="A13759" s="1" t="s">
        <v>27101</v>
      </c>
      <c r="B13759" s="1">
        <v>6</v>
      </c>
      <c r="C13759" s="3">
        <v>44530.887650462966</v>
      </c>
      <c r="D13759" s="1" t="s">
        <v>27102</v>
      </c>
      <c r="E13759" s="1" t="str">
        <f ca="1">IFERROR(__xludf.DUMMYFUNCTION("GOOGLETRANSLATE(A10558 , ""tr"" , ""en"")"),"@drfahrettinkoca 40 The Health Administration section of the 5 billitums will also require a fair assignment in which it is within")</f>
        <v>@drfahrettinkoca 40 The Health Administration section of the 5 billitums will also require a fair assignment in which it is within</v>
      </c>
    </row>
    <row r="13760" spans="1:5" ht="15" customHeight="1" x14ac:dyDescent="0.2">
      <c r="A13760" s="1" t="s">
        <v>27103</v>
      </c>
      <c r="B13760" s="1">
        <v>2</v>
      </c>
      <c r="C13760" s="3">
        <v>44530.887569444443</v>
      </c>
      <c r="D13760" s="1" t="s">
        <v>27104</v>
      </c>
      <c r="E13760" s="1" t="str">
        <f ca="1">IFERROR(__xludf.DUMMYFUNCTION("GOOGLETRANSLATE(A10559 , ""tr"" , ""en"")"),"@drfahrettinkoca 40 The Health Administration section of the 5 billitums will also require a fair assignment in which it is within")</f>
        <v>@drfahrettinkoca 40 The Health Administration section of the 5 billitums will also require a fair assignment in which it is within</v>
      </c>
    </row>
    <row r="13761" spans="1:5" ht="15" customHeight="1" x14ac:dyDescent="0.2">
      <c r="A13761" s="1" t="s">
        <v>27105</v>
      </c>
      <c r="B13761" s="1">
        <v>0</v>
      </c>
      <c r="C13761" s="3">
        <v>44533.756851851853</v>
      </c>
      <c r="D13761" s="1" t="s">
        <v>27106</v>
      </c>
      <c r="E13761" s="1" t="str">
        <f ca="1">IFERROR(__xludf.DUMMYFUNCTION("GOOGLETRANSLATE(A10560 , ""tr"" , ""en"")"),"@drfahrettinka Mr. Minister I don't know you will hear me but I hope you read it. We starred in public hospitals ... https://t.co/ujxqkpvox4")</f>
        <v>@drfahrettinka Mr. Minister I don't know you will hear me but I hope you read it. We starred in public hospitals ... https://t.co/ujxqkpvox4</v>
      </c>
    </row>
    <row r="13762" spans="1:5" ht="15" customHeight="1" x14ac:dyDescent="0.2">
      <c r="A13762" s="1" t="s">
        <v>27107</v>
      </c>
      <c r="B13762" s="1">
        <v>0</v>
      </c>
      <c r="C13762" s="3">
        <v>44530.943148148152</v>
      </c>
      <c r="D13762" s="1" t="s">
        <v>27108</v>
      </c>
      <c r="E13762" s="1" t="str">
        <f ca="1">IFERROR(__xludf.DUMMYFUNCTION("GOOGLETRANSLATE(A10561 , ""tr"" , ""en"")"),"@drfahrettinkoca You are not the Minister of Health Climate")</f>
        <v>@drfahrettinkoca You are not the Minister of Health Climate</v>
      </c>
    </row>
    <row r="13763" spans="1:5" ht="15" customHeight="1" x14ac:dyDescent="0.2">
      <c r="A13763" s="1" t="s">
        <v>27109</v>
      </c>
      <c r="B13763" s="1">
        <v>4</v>
      </c>
      <c r="C13763" s="3">
        <v>44530.917650462965</v>
      </c>
      <c r="D13763" s="1" t="s">
        <v>27110</v>
      </c>
      <c r="E13763" s="1" t="str">
        <f ca="1">IFERROR(__xludf.DUMMYFUNCTION("GOOGLETRANSLATE(A10562 , ""tr"" , ""en"")"),"@drfahrettinkoca dollar 14 TL 14 TL MILLET What do you do Covid What do the climate crisis folks evening what the food is ... https://t.co/0uf06qaazr")</f>
        <v>@drfahrettinkoca dollar 14 TL 14 TL MILLET What do you do Covid What do the climate crisis folks evening what the food is ... https://t.co/0uf06qaazr</v>
      </c>
    </row>
    <row r="13764" spans="1:5" ht="15" customHeight="1" x14ac:dyDescent="0.2">
      <c r="A13764" s="1" t="s">
        <v>27111</v>
      </c>
      <c r="B13764" s="1">
        <v>5</v>
      </c>
      <c r="C13764" s="3">
        <v>44530.912314814814</v>
      </c>
      <c r="D13764" s="1" t="s">
        <v>27112</v>
      </c>
      <c r="E13764" s="1" t="str">
        <f ca="1">IFERROR(__xludf.DUMMYFUNCTION("GOOGLETRANSLATE(A10563 , ""tr"" , ""en"")"),"@drfahrettinkoca Minister of children in the mental health of children")</f>
        <v>@drfahrettinkoca Minister of children in the mental health of children</v>
      </c>
    </row>
    <row r="13765" spans="1:5" ht="15" customHeight="1" x14ac:dyDescent="0.2">
      <c r="A13765" s="1" t="s">
        <v>27113</v>
      </c>
      <c r="B13765" s="1">
        <v>2</v>
      </c>
      <c r="C13765" s="3">
        <v>44530.908518518518</v>
      </c>
      <c r="D13765" s="1" t="s">
        <v>27114</v>
      </c>
      <c r="E13765" s="1" t="str">
        <f ca="1">IFERROR(__xludf.DUMMYFUNCTION("GOOGLETRANSLATE(A10564 , ""tr"" , ""en"")"),"@drfahrettinkoca all i know is the bisey.Ada both of you are virus.")</f>
        <v>@drfahrettinkoca all i know is the bisey.Ada both of you are virus.</v>
      </c>
    </row>
    <row r="13766" spans="1:5" ht="15" customHeight="1" x14ac:dyDescent="0.2">
      <c r="A13766" s="1" t="s">
        <v>27115</v>
      </c>
      <c r="B13766" s="1">
        <v>0</v>
      </c>
      <c r="C13766" s="3">
        <v>44530.905636574076</v>
      </c>
      <c r="D13766" s="1" t="s">
        <v>27116</v>
      </c>
      <c r="E13766" s="1" t="str">
        <f ca="1">IFERROR(__xludf.DUMMYFUNCTION("GOOGLETRANSLATE(A10565 , ""tr"" , ""en"")"),"@drfahrettinkoca is the one of my mental health")</f>
        <v>@drfahrettinkoca is the one of my mental health</v>
      </c>
    </row>
    <row r="13767" spans="1:5" ht="15" customHeight="1" x14ac:dyDescent="0.2">
      <c r="A13767" s="1" t="s">
        <v>27117</v>
      </c>
      <c r="B13767" s="1">
        <v>0</v>
      </c>
      <c r="C13767" s="3">
        <v>44530.903553240743</v>
      </c>
      <c r="D13767" s="1" t="s">
        <v>27118</v>
      </c>
      <c r="E13767" s="1" t="str">
        <f ca="1">IFERROR(__xludf.DUMMYFUNCTION("GOOGLETRANSLATE(A10566 , ""tr"" , ""en"")"),"@drfahrettinkoca Mental Health Bi improvement Bari?")</f>
        <v>@drfahrettinkoca Mental Health Bi improvement Bari?</v>
      </c>
    </row>
    <row r="13768" spans="1:5" ht="15" customHeight="1" x14ac:dyDescent="0.2">
      <c r="A13768" s="1" t="s">
        <v>27119</v>
      </c>
      <c r="B13768" s="1">
        <v>0</v>
      </c>
      <c r="C13768" s="3">
        <v>44530.898761574077</v>
      </c>
      <c r="D13768" s="1" t="s">
        <v>27120</v>
      </c>
      <c r="E13768" s="1" t="str">
        <f ca="1">IFERROR(__xludf.DUMMYFUNCTION("GOOGLETRANSLATE(A10567 , ""tr"" , ""en"")"),"@drfahrettinkoca If you have addressed protection from cancer, look at this is good ..")</f>
        <v>@drfahrettinkoca If you have addressed protection from cancer, look at this is good ..</v>
      </c>
    </row>
    <row r="13769" spans="1:5" ht="15" customHeight="1" x14ac:dyDescent="0.2">
      <c r="A13769" s="1" t="s">
        <v>27121</v>
      </c>
      <c r="B13769" s="1">
        <v>0</v>
      </c>
      <c r="C13769" s="3">
        <v>44530.897534722222</v>
      </c>
      <c r="D13769" s="1" t="s">
        <v>27122</v>
      </c>
      <c r="E13769" s="1" t="str">
        <f ca="1">IFERROR(__xludf.DUMMYFUNCTION("GOOGLETRANSLATE(A10568 , ""tr"" , ""en"")"),"@drfahrettinkoca ashi larray after larray is talking to my cancer why 🤔")</f>
        <v>@drfahrettinkoca ashi larray after larray is talking to my cancer why 🤔</v>
      </c>
    </row>
    <row r="13770" spans="1:5" ht="15" customHeight="1" x14ac:dyDescent="0.2">
      <c r="A13770" s="1" t="s">
        <v>27123</v>
      </c>
      <c r="B13770" s="1">
        <v>0</v>
      </c>
      <c r="C13770" s="3">
        <v>44530.896458333336</v>
      </c>
      <c r="D13770" s="1" t="s">
        <v>27124</v>
      </c>
      <c r="E13770" s="1" t="str">
        <f ca="1">IFERROR(__xludf.DUMMYFUNCTION("GOOGLETRANSLATE(A10569 , ""tr"" , ""en"")"),"@drfahrettinkoca @saglikbakanligi If such a right is recognized, we are very pleased with the disabled people. Drop now ... https://t.co/te7weymwwf")</f>
        <v>@drfahrettinkoca @saglikbakanligi If such a right is recognized, we are very pleased with the disabled people. Drop now ... https://t.co/te7weymwwf</v>
      </c>
    </row>
    <row r="13771" spans="1:5" ht="15" customHeight="1" x14ac:dyDescent="0.2">
      <c r="A13771" s="1" t="s">
        <v>27125</v>
      </c>
      <c r="B13771" s="1">
        <v>0</v>
      </c>
      <c r="C13771" s="3">
        <v>44530.894999999997</v>
      </c>
      <c r="D13771" s="1" t="s">
        <v>27126</v>
      </c>
      <c r="E13771" s="1" t="str">
        <f ca="1">IFERROR(__xludf.DUMMYFUNCTION("GOOGLETRANSLATE(A10570 , ""tr"" , ""en"")"),"@drfahrettinkoca @saglikbakanligi Anadolu University Associate AÖF Social Services Graduate: In the past years s ... https://t.co/qhdzhnbhgr")</f>
        <v>@drfahrettinkoca @saglikbakanligi Anadolu University Associate AÖF Social Services Graduate: In the past years s ... https://t.co/qhdzhnbhgr</v>
      </c>
    </row>
    <row r="13772" spans="1:5" ht="15" customHeight="1" x14ac:dyDescent="0.2">
      <c r="A13772" s="1" t="s">
        <v>27127</v>
      </c>
      <c r="B13772" s="1">
        <v>0</v>
      </c>
      <c r="C13772" s="3">
        <v>44530.893622685187</v>
      </c>
      <c r="D13772" s="1" t="s">
        <v>27128</v>
      </c>
      <c r="E13772" s="1" t="str">
        <f ca="1">IFERROR(__xludf.DUMMYFUNCTION("GOOGLETRANSLATE(A10571 , ""tr"" , ""en"")"),"@drfahrettinkoca Our soul was Capkara, we're still out of our health, what koviti vs is sufficient anymore")</f>
        <v>@drfahrettinkoca Our soul was Capkara, we're still out of our health, what koviti vs is sufficient anymore</v>
      </c>
    </row>
    <row r="13773" spans="1:5" ht="15" customHeight="1" x14ac:dyDescent="0.2">
      <c r="A13773" s="1" t="s">
        <v>27129</v>
      </c>
      <c r="B13773" s="1">
        <v>0</v>
      </c>
      <c r="C13773" s="3">
        <v>44530.893553240741</v>
      </c>
      <c r="D13773" s="1" t="s">
        <v>27130</v>
      </c>
      <c r="E13773" s="1" t="str">
        <f ca="1">IFERROR(__xludf.DUMMYFUNCTION("GOOGLETRANSLATE(A10572 , ""tr"" , ""en"")"),"@drfahrettinkoca Dr. Thomas Jendges Why did the vaccinations have suicide by writing relevant letters as they are genocide? Per * https://t.co/6kwh7cr2x5")</f>
        <v>@drfahrettinkoca Dr. Thomas Jendges Why did the vaccinations have suicide by writing relevant letters as they are genocide? Per * https://t.co/6kwh7cr2x5</v>
      </c>
    </row>
    <row r="13774" spans="1:5" ht="15" customHeight="1" x14ac:dyDescent="0.2">
      <c r="A13774" s="1" t="s">
        <v>27131</v>
      </c>
      <c r="B13774" s="1">
        <v>0</v>
      </c>
      <c r="C13774" s="3">
        <v>44530.892511574071</v>
      </c>
      <c r="D13774" s="1" t="s">
        <v>27132</v>
      </c>
      <c r="E13774" s="1" t="str">
        <f ca="1">IFERROR(__xludf.DUMMYFUNCTION("GOOGLETRANSLATE(A10573 , ""tr"" , ""en"")"),"@drfahrettinkoca Assignment Yi DA BİZE BİZTIC")</f>
        <v>@drfahrettinkoca Assignment Yi DA BİZE BİZTIC</v>
      </c>
    </row>
    <row r="13775" spans="1:5" ht="15" customHeight="1" x14ac:dyDescent="0.2">
      <c r="A13775" s="1" t="s">
        <v>27133</v>
      </c>
      <c r="B13775" s="1">
        <v>0</v>
      </c>
      <c r="C13775" s="3">
        <v>44530.891828703701</v>
      </c>
      <c r="D13775" s="1" t="s">
        <v>27134</v>
      </c>
      <c r="E13775" s="1" t="str">
        <f ca="1">IFERROR(__xludf.DUMMYFUNCTION("GOOGLETRANSLATE(A10574 , ""tr"" , ""en"")"),"@drfahrettinkoca is the biggest threaten you are https://t.co/GBWYHYIXIC")</f>
        <v>@drfahrettinkoca is the biggest threaten you are https://t.co/GBWYHYIXIC</v>
      </c>
    </row>
    <row r="13776" spans="1:5" ht="15" customHeight="1" x14ac:dyDescent="0.2">
      <c r="A13776" s="1" t="s">
        <v>27135</v>
      </c>
      <c r="B13776" s="1">
        <v>0</v>
      </c>
      <c r="C13776" s="3">
        <v>44530.891481481478</v>
      </c>
      <c r="D13776" s="1" t="s">
        <v>27136</v>
      </c>
      <c r="E13776" s="1" t="str">
        <f ca="1">IFERROR(__xludf.DUMMYFUNCTION("GOOGLETRANSLATE(A10575 , ""tr"" , ""en"")"),"@drfahrettinkoca You will not be able to vote from a healthcare unless you determine the private sector to the private sector. ... https://t.co/kbssdrmtvn")</f>
        <v>@drfahrettinkoca You will not be able to vote from a healthcare unless you determine the private sector to the private sector. ... https://t.co/kbssdrmtvn</v>
      </c>
    </row>
    <row r="13777" spans="1:5" ht="15" customHeight="1" x14ac:dyDescent="0.2">
      <c r="A13777" s="1" t="s">
        <v>27137</v>
      </c>
      <c r="B13777" s="1">
        <v>1</v>
      </c>
      <c r="C13777" s="3">
        <v>44530.889201388891</v>
      </c>
      <c r="D13777" s="1" t="s">
        <v>27138</v>
      </c>
      <c r="E13777" s="1" t="str">
        <f ca="1">IFERROR(__xludf.DUMMYFUNCTION("GOOGLETRANSLATE(A10576 , ""tr"" , ""en"")"),"@drfahrettinkoca no to vaccine 🚫 Fahrettin hubby quit a crime against Humanity is being committed help ... https://t.co/ER2TIZ4ijc")</f>
        <v>@drfahrettinkoca no to vaccine 🚫 Fahrettin hubby quit a crime against Humanity is being committed help ... https://t.co/ER2TIZ4ijc</v>
      </c>
    </row>
    <row r="13778" spans="1:5" ht="15" customHeight="1" x14ac:dyDescent="0.2">
      <c r="A13778" s="1" t="s">
        <v>27139</v>
      </c>
      <c r="B13778" s="1">
        <v>0</v>
      </c>
      <c r="C13778" s="3">
        <v>44530.888391203705</v>
      </c>
      <c r="D13778" s="1" t="s">
        <v>27140</v>
      </c>
      <c r="E13778" s="1" t="str">
        <f ca="1">IFERROR(__xludf.DUMMYFUNCTION("GOOGLETRANSLATE(A10577 , ""tr"" , ""en"")"),"@drfahrettinkoca @drfahrettinkoca is enough no longer sacrifice wife steady-state child a place in a mother dad somewhere")</f>
        <v>@drfahrettinkoca @drfahrettinkoca is enough no longer sacrifice wife steady-state child a place in a mother dad somewhere</v>
      </c>
    </row>
    <row r="13779" spans="1:5" ht="15" customHeight="1" x14ac:dyDescent="0.2">
      <c r="A13779" s="1" t="s">
        <v>27141</v>
      </c>
      <c r="B13779" s="1">
        <v>0</v>
      </c>
      <c r="C13779" s="3">
        <v>44537.658622685187</v>
      </c>
      <c r="D13779" s="1" t="s">
        <v>27142</v>
      </c>
      <c r="E13779" s="1" t="str">
        <f ca="1">IFERROR(__xludf.DUMMYFUNCTION("GOOGLETRANSLATE(A10578 , ""tr"" , ""en"")"),"@drfahrettinkoca folks waking up hamgolds. Zatwn Cogu has also been from your prints")</f>
        <v>@drfahrettinkoca folks waking up hamgolds. Zatwn Cogu has also been from your prints</v>
      </c>
    </row>
    <row r="13780" spans="1:5" ht="15" customHeight="1" x14ac:dyDescent="0.2">
      <c r="A13780" s="1" t="s">
        <v>27143</v>
      </c>
      <c r="B13780" s="1">
        <v>0</v>
      </c>
      <c r="C13780" s="3">
        <v>44533.956446759257</v>
      </c>
      <c r="D13780" s="1" t="s">
        <v>27144</v>
      </c>
      <c r="E13780" s="1" t="str">
        <f ca="1">IFERROR(__xludf.DUMMYFUNCTION("GOOGLETRANSLATE(A10579 , ""tr"" , ""en"")"),"@drfahrettinkoca @yukselpehlevan How much attention to the social distance is the province and district HIFZI SIHHA boards Ko ... https://t.co/bhi4l0gbra")</f>
        <v>@drfahrettinkoca @yukselpehlevan How much attention to the social distance is the province and district HIFZI SIHHA boards Ko ... https://t.co/bhi4l0gbra</v>
      </c>
    </row>
    <row r="13781" spans="1:5" ht="15" customHeight="1" x14ac:dyDescent="0.2">
      <c r="A13781" s="1" t="s">
        <v>27145</v>
      </c>
      <c r="B13781" s="1">
        <v>1</v>
      </c>
      <c r="C13781" s="3">
        <v>44533.946446759262</v>
      </c>
      <c r="D13781" s="1" t="s">
        <v>27146</v>
      </c>
      <c r="E13781" s="1" t="str">
        <f ca="1">IFERROR(__xludf.DUMMYFUNCTION("GOOGLETRANSLATE(A10580 , ""tr"" , ""en"")"),"@drfahrettinkca nation is close to whom you have taken from the pledge of fluid of the millet.")</f>
        <v>@drfahrettinkca nation is close to whom you have taken from the pledge of fluid of the millet.</v>
      </c>
    </row>
    <row r="13782" spans="1:5" ht="15" customHeight="1" x14ac:dyDescent="0.2">
      <c r="A13782" s="1" t="s">
        <v>27147</v>
      </c>
      <c r="B13782" s="1">
        <v>0</v>
      </c>
      <c r="C13782" s="3">
        <v>44533.774224537039</v>
      </c>
      <c r="D13782" s="1" t="s">
        <v>27148</v>
      </c>
      <c r="E13782" s="1" t="str">
        <f ca="1">IFERROR(__xludf.DUMMYFUNCTION("GOOGLETRANSLATE(A10581 , ""tr"" , ""en"")"),"@drfahrettinkoca @serapsimsekyvz Non-vaccination Non-Come Law Came in the gallows Having Ear On Comments and ... https://t.co/ndljgwcfl4")</f>
        <v>@drfahrettinkoca @serapsimsekyvz Non-vaccination Non-Come Law Came in the gallows Having Ear On Comments and ... https://t.co/ndljgwcfl4</v>
      </c>
    </row>
    <row r="13783" spans="1:5" ht="15" customHeight="1" x14ac:dyDescent="0.2">
      <c r="A13783" s="1" t="s">
        <v>27149</v>
      </c>
      <c r="B13783" s="1">
        <v>1</v>
      </c>
      <c r="C13783" s="3">
        <v>44532.96162037037</v>
      </c>
      <c r="D13783" s="1" t="s">
        <v>27150</v>
      </c>
      <c r="E13783" s="1" t="str">
        <f ca="1">IFERROR(__xludf.DUMMYFUNCTION("GOOGLETRANSLATE(A10582 , ""tr"" , ""en"")"),"@drfahrettinkoca yahu what is this insistence what is this imposition we do not want to be doing that fluids")</f>
        <v>@drfahrettinkoca yahu what is this insistence what is this imposition we do not want to be doing that fluids</v>
      </c>
    </row>
    <row r="13784" spans="1:5" ht="15" customHeight="1" x14ac:dyDescent="0.2">
      <c r="A13784" s="1" t="s">
        <v>27151</v>
      </c>
      <c r="B13784" s="1">
        <v>0</v>
      </c>
      <c r="C13784" s="3">
        <v>44532.813900462963</v>
      </c>
      <c r="D13784" s="1" t="s">
        <v>27152</v>
      </c>
      <c r="E13784" s="1" t="str">
        <f ca="1">IFERROR(__xludf.DUMMYFUNCTION("GOOGLETRANSLATE(A10583 , ""tr"" , ""en"")"),"@drfahrettinkoca Olmaycagiz Be the Devil's subject fluid Ma or CA GIZ !! Rights from this process The Bed of this betrayal ... https://t.co/r38gd3n3ea")</f>
        <v>@drfahrettinkoca Olmaycagiz Be the Devil's subject fluid Ma or CA GIZ !! Rights from this process The Bed of this betrayal ... https://t.co/r38gd3n3ea</v>
      </c>
    </row>
    <row r="13785" spans="1:5" ht="15" customHeight="1" x14ac:dyDescent="0.2">
      <c r="A13785" s="1" t="s">
        <v>27153</v>
      </c>
      <c r="B13785" s="1">
        <v>0</v>
      </c>
      <c r="C13785" s="3">
        <v>44532.754583333335</v>
      </c>
      <c r="D13785" s="1" t="s">
        <v>27154</v>
      </c>
      <c r="E13785" s="1" t="str">
        <f ca="1">IFERROR(__xludf.DUMMYFUNCTION("GOOGLETRANSLATE(A10584 , ""tr"" , ""en"")"),"@drfahrettinkoca is the manifestation of you to lose your reliability Mr. Minister.")</f>
        <v>@drfahrettinkoca is the manifestation of you to lose your reliability Mr. Minister.</v>
      </c>
    </row>
    <row r="13786" spans="1:5" ht="15" customHeight="1" x14ac:dyDescent="0.2">
      <c r="A13786" s="1" t="s">
        <v>27155</v>
      </c>
      <c r="B13786" s="1">
        <v>0</v>
      </c>
      <c r="C13786" s="3">
        <v>44540.810173611113</v>
      </c>
      <c r="D13786" s="1" t="s">
        <v>27156</v>
      </c>
      <c r="E13786" s="1" t="str">
        <f ca="1">IFERROR(__xludf.DUMMYFUNCTION("GOOGLETRANSLATE(A10585 , ""tr"" , ""en"")"),"@drfahrettinkoca Meanwhile Istanbul FSM is not PCR to the patient ending the quarantine. They are getting money if you like it ... https://t.co/abi7kcxiff")</f>
        <v>@drfahrettinkoca Meanwhile Istanbul FSM is not PCR to the patient ending the quarantine. They are getting money if you like it ... https://t.co/abi7kcxiff</v>
      </c>
    </row>
    <row r="13787" spans="1:5" ht="15" customHeight="1" x14ac:dyDescent="0.2">
      <c r="A13787" s="1" t="s">
        <v>27157</v>
      </c>
      <c r="B13787" s="1">
        <v>0</v>
      </c>
      <c r="C13787" s="3">
        <v>44530.991863425923</v>
      </c>
      <c r="D13787" s="1" t="s">
        <v>27158</v>
      </c>
      <c r="E13787" s="1" t="str">
        <f ca="1">IFERROR(__xludf.DUMMYFUNCTION("GOOGLETRANSLATE(A10586 , ""tr"" , ""en"")"),"@drfahrettinka you order ...")</f>
        <v>@drfahrettinka you order ...</v>
      </c>
    </row>
    <row r="13788" spans="1:5" ht="15" customHeight="1" x14ac:dyDescent="0.2">
      <c r="A13788" s="1" t="s">
        <v>27159</v>
      </c>
      <c r="B13788" s="1">
        <v>0</v>
      </c>
      <c r="C13788" s="3">
        <v>44530.977500000001</v>
      </c>
      <c r="D13788" s="1" t="s">
        <v>27160</v>
      </c>
      <c r="E13788" s="1" t="str">
        <f ca="1">IFERROR(__xludf.DUMMYFUNCTION("GOOGLETRANSLATE(A10587 , ""tr"" , ""en"")"),"@drfahrettinkoca teacher, ignorant epidemic, even more dangerous than Covidden ... Allah give you convenience ..")</f>
        <v>@drfahrettinkoca teacher, ignorant epidemic, even more dangerous than Covidden ... Allah give you convenience ..</v>
      </c>
    </row>
    <row r="13789" spans="1:5" ht="15" customHeight="1" x14ac:dyDescent="0.2">
      <c r="A13789" s="1" t="s">
        <v>27161</v>
      </c>
      <c r="B13789" s="1">
        <v>0</v>
      </c>
      <c r="C13789" s="3">
        <v>44530.972604166665</v>
      </c>
      <c r="D13789" s="1" t="s">
        <v>27162</v>
      </c>
      <c r="E13789" s="1" t="str">
        <f ca="1">IFERROR(__xludf.DUMMYFUNCTION("GOOGLETRANSLATE(A10588 , ""tr"" , ""en"")"),"@drfahrettinkoca @saglikbakanli Make your vaccines")</f>
        <v>@drfahrettinkoca @saglikbakanli Make your vaccines</v>
      </c>
    </row>
    <row r="13790" spans="1:5" ht="15" customHeight="1" x14ac:dyDescent="0.2">
      <c r="A13790" s="1" t="s">
        <v>27163</v>
      </c>
      <c r="B13790" s="1">
        <v>0</v>
      </c>
      <c r="C13790" s="3">
        <v>44530.972129629627</v>
      </c>
      <c r="D13790" s="1" t="s">
        <v>27164</v>
      </c>
      <c r="E13790" s="1" t="str">
        <f ca="1">IFERROR(__xludf.DUMMYFUNCTION("GOOGLETRANSLATE(A10589 , ""tr"" , ""en"")"),"@drfahrettinkoca If we don't nolur tell him the gentleman")</f>
        <v>@drfahrettinkoca If we don't nolur tell him the gentleman</v>
      </c>
    </row>
    <row r="13791" spans="1:5" ht="15" customHeight="1" x14ac:dyDescent="0.2">
      <c r="A13791" s="1" t="s">
        <v>27165</v>
      </c>
      <c r="B13791" s="1">
        <v>0</v>
      </c>
      <c r="C13791" s="3">
        <v>44530.968553240738</v>
      </c>
      <c r="D13791" s="1" t="s">
        <v>27166</v>
      </c>
      <c r="E13791" s="1" t="str">
        <f ca="1">IFERROR(__xludf.DUMMYFUNCTION("GOOGLETRANSLATE(A10590 , ""tr"" , ""en"")"),"@drfahrettinkoca Describe real case numbers")</f>
        <v>@drfahrettinkoca Describe real case numbers</v>
      </c>
    </row>
    <row r="13792" spans="1:5" ht="15" customHeight="1" x14ac:dyDescent="0.2">
      <c r="A13792" s="1" t="s">
        <v>27167</v>
      </c>
      <c r="B13792" s="1">
        <v>0</v>
      </c>
      <c r="C13792" s="3">
        <v>44530.968449074076</v>
      </c>
      <c r="D13792" s="1" t="s">
        <v>27168</v>
      </c>
      <c r="E13792" s="1" t="str">
        <f ca="1">IFERROR(__xludf.DUMMYFUNCTION("GOOGLETRANSLATE(A10591 , ""tr"" , ""en"")"),"@drfahrettinkoca you can't give orders I don't get the vaccination testing no one can touch the body integrity 🤮🤮🤮🤮🤮🤮 ... https://t.co/9xgrph4jg4")</f>
        <v>@drfahrettinkoca you can't give orders I don't get the vaccination testing no one can touch the body integrity 🤮🤮🤮🤮🤮🤮 ... https://t.co/9xgrph4jg4</v>
      </c>
    </row>
    <row r="13793" spans="1:5" ht="15" customHeight="1" x14ac:dyDescent="0.2">
      <c r="A13793" s="1" t="s">
        <v>27169</v>
      </c>
      <c r="B13793" s="1">
        <v>0</v>
      </c>
      <c r="C13793" s="3">
        <v>44530.967048611114</v>
      </c>
      <c r="D13793" s="1" t="s">
        <v>27170</v>
      </c>
      <c r="E13793" s="1" t="str">
        <f ca="1">IFERROR(__xludf.DUMMYFUNCTION("GOOGLETRANSLATE(A10592 , ""tr"" , ""en"")"),"@drfahrettinkoca finally what they woke up in a nation how would it match your lying to your news makes the meaning ... https://t.co/sfssvsjog8")</f>
        <v>@drfahrettinkoca finally what they woke up in a nation how would it match your lying to your news makes the meaning ... https://t.co/sfssvsjog8</v>
      </c>
    </row>
    <row r="13794" spans="1:5" ht="15" customHeight="1" x14ac:dyDescent="0.2">
      <c r="A13794" s="1" t="s">
        <v>27171</v>
      </c>
      <c r="B13794" s="1">
        <v>0</v>
      </c>
      <c r="C13794" s="3">
        <v>44530.966782407406</v>
      </c>
      <c r="D13794" s="1" t="s">
        <v>27172</v>
      </c>
      <c r="E13794" s="1" t="str">
        <f ca="1">IFERROR(__xludf.DUMMYFUNCTION("GOOGLETRANSLATE(A10593 , ""tr"" , ""en"")"),"@drfahrettinkoca Lives Heart Replacement because of the kovite medicine Dr Dr Dr Dr Dr. In State hospitals Dr L ... https://t.co/ah4rszqugb")</f>
        <v>@drfahrettinkoca Lives Heart Replacement because of the kovite medicine Dr Dr Dr Dr Dr. In State hospitals Dr L ... https://t.co/ah4rszqugb</v>
      </c>
    </row>
    <row r="13795" spans="1:5" ht="15" customHeight="1" x14ac:dyDescent="0.2">
      <c r="A13795" s="1" t="s">
        <v>27173</v>
      </c>
      <c r="B13795" s="1">
        <v>0</v>
      </c>
      <c r="C13795" s="3">
        <v>44530.962407407409</v>
      </c>
      <c r="D13795" s="1" t="s">
        <v>27174</v>
      </c>
      <c r="E13795" s="1" t="str">
        <f ca="1">IFERROR(__xludf.DUMMYFUNCTION("GOOGLETRANSLATE(A10594 , ""tr"" , ""en"")"),"@drfahrettinkoca orders is the Minister of Outbreak .. !! You have born the 3rd dose to 12 million but you didn't fill the little limit ... https://t.co/0xzraef45s")</f>
        <v>@drfahrettinkoca orders is the Minister of Outbreak .. !! You have born the 3rd dose to 12 million but you didn't fill the little limit ... https://t.co/0xzraef45s</v>
      </c>
    </row>
    <row r="13796" spans="1:5" ht="15" customHeight="1" x14ac:dyDescent="0.2">
      <c r="A13796" s="1" t="s">
        <v>27175</v>
      </c>
      <c r="B13796" s="1">
        <v>13</v>
      </c>
      <c r="C13796" s="3">
        <v>44530.961689814816</v>
      </c>
      <c r="D13796" s="1" t="s">
        <v>27176</v>
      </c>
      <c r="E13796" s="1" t="str">
        <f ca="1">IFERROR(__xludf.DUMMYFUNCTION("GOOGLETRANSLATE(A10595 , ""tr"" , ""en"")"),"@drfahrettinkoca Know the Roll of Famrredit of Famrredit You are not to make the Ring instructions to the Emir Vaki ... https://t.co/m38houprx2")</f>
        <v>@drfahrettinkoca Know the Roll of Famrredit of Famrredit You are not to make the Ring instructions to the Emir Vaki ... https://t.co/m38houprx2</v>
      </c>
    </row>
    <row r="13797" spans="1:5" ht="15" customHeight="1" x14ac:dyDescent="0.2">
      <c r="A13797" s="1" t="s">
        <v>27177</v>
      </c>
      <c r="B13797" s="1">
        <v>0</v>
      </c>
      <c r="C13797" s="3">
        <v>44530.95884259259</v>
      </c>
      <c r="D13797" s="1" t="s">
        <v>27178</v>
      </c>
      <c r="E13797" s="1" t="str">
        <f ca="1">IFERROR(__xludf.DUMMYFUNCTION("GOOGLETRANSLATE(A10596 , ""tr"" , ""en"")"),"@drfahrettinkoca 1 Ken 2,3,4 ........? What is the number in your mind is the Minister?")</f>
        <v>@drfahrettinkoca 1 Ken 2,3,4 ........? What is the number in your mind is the Minister?</v>
      </c>
    </row>
    <row r="13798" spans="1:5" ht="15" customHeight="1" x14ac:dyDescent="0.2">
      <c r="A13798" s="1" t="s">
        <v>27179</v>
      </c>
      <c r="B13798" s="1">
        <v>0</v>
      </c>
      <c r="C13798" s="3">
        <v>44530.954375000001</v>
      </c>
      <c r="D13798" s="1" t="s">
        <v>27180</v>
      </c>
      <c r="E13798" s="1" t="str">
        <f ca="1">IFERROR(__xludf.DUMMYFUNCTION("GOOGLETRANSLATE(A10597 , ""tr"" , ""en"")"),"@drfahrettinkoca vaccine Dötkenınlan Hani is unlicensed and ""We're the vaccination we don't know the results ZA enough to make our nation ... https://t.co/vkwd7cc5mq")</f>
        <v>@drfahrettinkoca vaccine Dötkenınlan Hani is unlicensed and "We're the vaccination we don't know the results ZA enough to make our nation ... https://t.co/vkwd7cc5mq</v>
      </c>
    </row>
    <row r="13799" spans="1:5" ht="15" customHeight="1" x14ac:dyDescent="0.2">
      <c r="A13799" s="1" t="s">
        <v>27181</v>
      </c>
      <c r="B13799" s="1">
        <v>0</v>
      </c>
      <c r="C13799" s="3">
        <v>44530.953483796293</v>
      </c>
      <c r="D13799" s="1" t="s">
        <v>27182</v>
      </c>
      <c r="E13799" s="1" t="str">
        <f ca="1">IFERROR(__xludf.DUMMYFUNCTION("GOOGLETRANSLATE(A10598 , ""tr"" , ""en"")"),"@drfahrettinkoca vaccination is the least of the provinces orange and least case explained locations.")</f>
        <v>@drfahrettinkoca vaccination is the least of the provinces orange and least case explained locations.</v>
      </c>
    </row>
    <row r="13800" spans="1:5" ht="15" customHeight="1" x14ac:dyDescent="0.2">
      <c r="A13800" s="1" t="s">
        <v>27183</v>
      </c>
      <c r="B13800" s="1">
        <v>2</v>
      </c>
      <c r="C13800" s="3">
        <v>44530.94803240741</v>
      </c>
      <c r="D13800" s="1" t="s">
        <v>27184</v>
      </c>
      <c r="E13800" s="1" t="str">
        <f ca="1">IFERROR(__xludf.DUMMYFUNCTION("GOOGLETRANSLATE(A10599 , ""tr"" , ""en"")"),"@drfahrettinkoca I read the comments and the impression of the impression of the impression folks who don't trust you and politely cursively. Https://t.co/svvvnvbppte")</f>
        <v>@drfahrettinkoca I read the comments and the impression of the impression of the impression folks who don't trust you and politely cursively. Https://t.co/svvvnvbppte</v>
      </c>
    </row>
    <row r="13801" spans="1:5" ht="15" customHeight="1" x14ac:dyDescent="0.2">
      <c r="A13801" s="1" t="s">
        <v>27185</v>
      </c>
      <c r="B13801" s="1">
        <v>0</v>
      </c>
      <c r="C13801" s="3">
        <v>44530.947731481479</v>
      </c>
      <c r="D13801" s="1" t="s">
        <v>27186</v>
      </c>
      <c r="E13801" s="1" t="str">
        <f ca="1">IFERROR(__xludf.DUMMYFUNCTION("GOOGLETRANSLATE(A10600 , ""tr"" , ""en"")"),"@drfahrettinkoca is relaxed overlooking!")</f>
        <v>@drfahrettinkoca is relaxed overlooking!</v>
      </c>
    </row>
    <row r="13802" spans="1:5" ht="15" customHeight="1" x14ac:dyDescent="0.2">
      <c r="A13802" s="1" t="s">
        <v>27187</v>
      </c>
      <c r="B13802" s="1">
        <v>0</v>
      </c>
      <c r="C13802" s="3">
        <v>44530.944861111115</v>
      </c>
      <c r="D13802" s="1" t="s">
        <v>27188</v>
      </c>
      <c r="E13802" s="1" t="str">
        <f ca="1">IFERROR(__xludf.DUMMYFUNCTION("GOOGLETRANSLATE(A10601 , ""tr"" , ""en"")"),"@drfahrettinkoca 2doz Biontek After Vaccination Regularly My Heart Started My Heart Started I Am Not Of 3")</f>
        <v>@drfahrettinkoca 2doz Biontek After Vaccination Regularly My Heart Started My Heart Started I Am Not Of 3</v>
      </c>
    </row>
    <row r="13803" spans="1:5" ht="15" customHeight="1" x14ac:dyDescent="0.2">
      <c r="A13803" s="1" t="s">
        <v>27189</v>
      </c>
      <c r="B13803" s="1">
        <v>0</v>
      </c>
      <c r="C13803" s="3">
        <v>44530.944155092591</v>
      </c>
      <c r="D13803" s="1" t="s">
        <v>27190</v>
      </c>
      <c r="E13803" s="1" t="str">
        <f ca="1">IFERROR(__xludf.DUMMYFUNCTION("GOOGLETRANSLATE(A10602 , ""tr"" , ""en"")"),"@drfahrettinkoca I mean your confident's yokmus minister")</f>
        <v>@drfahrettinkoca I mean your confident's yokmus minister</v>
      </c>
    </row>
    <row r="13804" spans="1:5" ht="15" customHeight="1" x14ac:dyDescent="0.2">
      <c r="A13804" s="1" t="s">
        <v>27191</v>
      </c>
      <c r="B13804" s="1">
        <v>0</v>
      </c>
      <c r="C13804" s="3">
        <v>44530.943564814814</v>
      </c>
      <c r="D13804" s="1" t="s">
        <v>27192</v>
      </c>
      <c r="E13804" s="1" t="str">
        <f ca="1">IFERROR(__xludf.DUMMYFUNCTION("GOOGLETRANSLATE(A10603 , ""tr"" , ""en"")"),"@drfahrettinkoca We are not your seperation I will never be a time vaccine, I'm not going to do my child too 😡")</f>
        <v>@drfahrettinkoca We are not your seperation I will never be a time vaccine, I'm not going to do my child too 😡</v>
      </c>
    </row>
    <row r="13805" spans="1:5" ht="15" customHeight="1" x14ac:dyDescent="0.2">
      <c r="A13805" s="1" t="s">
        <v>27193</v>
      </c>
      <c r="B13805" s="1">
        <v>0</v>
      </c>
      <c r="C13805" s="3">
        <v>44530.939189814817</v>
      </c>
      <c r="D13805" s="1" t="s">
        <v>27194</v>
      </c>
      <c r="E13805" s="1" t="str">
        <f ca="1">IFERROR(__xludf.DUMMYFUNCTION("GOOGLETRANSLATE(A10604 , ""tr"" , ""en"")"),"@drfahrettinkoca kb but vaccination story")</f>
        <v>@drfahrettinkoca kb but vaccination story</v>
      </c>
    </row>
    <row r="13806" spans="1:5" ht="15" customHeight="1" x14ac:dyDescent="0.2">
      <c r="A13806" s="1" t="s">
        <v>27195</v>
      </c>
      <c r="B13806" s="1">
        <v>0</v>
      </c>
      <c r="C13806" s="3">
        <v>44530.938726851855</v>
      </c>
      <c r="D13806" s="1" t="s">
        <v>27196</v>
      </c>
      <c r="E13806" s="1" t="str">
        <f ca="1">IFERROR(__xludf.DUMMYFUNCTION("GOOGLETRANSLATE(A10605 , ""tr"" , ""en"")"),"@drfahrettinkoca Be your ARRIVISION If you don't cry if the closing comes. But the folks were woke up now the trades Dukek ... https://t.co/0xbl8k1l5w")</f>
        <v>@drfahrettinkoca Be your ARRIVISION If you don't cry if the closing comes. But the folks were woke up now the trades Dukek ... https://t.co/0xbl8k1l5w</v>
      </c>
    </row>
    <row r="13807" spans="1:5" ht="15" customHeight="1" x14ac:dyDescent="0.2">
      <c r="A13807" s="1" t="s">
        <v>27197</v>
      </c>
      <c r="B13807" s="1">
        <v>1</v>
      </c>
      <c r="C13807" s="3">
        <v>44530.937685185185</v>
      </c>
      <c r="D13807" s="1" t="s">
        <v>27198</v>
      </c>
      <c r="E13807" s="1" t="str">
        <f ca="1">IFERROR(__xludf.DUMMYFUNCTION("GOOGLETRANSLATE(A10606 , ""tr"" , ""en"")"),"@drfahrettinkoca desire waking up 😁😁")</f>
        <v>@drfahrettinkoca desire waking up 😁😁</v>
      </c>
    </row>
    <row r="13808" spans="1:5" ht="15" customHeight="1" x14ac:dyDescent="0.2">
      <c r="A13808" s="1" t="s">
        <v>27199</v>
      </c>
      <c r="B13808" s="1">
        <v>0</v>
      </c>
      <c r="C13808" s="3">
        <v>44530.937175925923</v>
      </c>
      <c r="D13808" s="1" t="s">
        <v>27200</v>
      </c>
      <c r="E13808" s="1" t="str">
        <f ca="1">IFERROR(__xludf.DUMMYFUNCTION("GOOGLETRANSLATE(A10607 , ""tr"" , ""en"")"),"@drfahrettinka you order")</f>
        <v>@drfahrettinka you order</v>
      </c>
    </row>
    <row r="13809" spans="1:5" ht="15" customHeight="1" x14ac:dyDescent="0.2">
      <c r="A13809" s="1" t="s">
        <v>27201</v>
      </c>
      <c r="B13809" s="1">
        <v>0</v>
      </c>
      <c r="C13809" s="3">
        <v>44530.935682870368</v>
      </c>
      <c r="D13809" s="1" t="s">
        <v>27202</v>
      </c>
      <c r="E13809" s="1" t="str">
        <f ca="1">IFERROR(__xludf.DUMMYFUNCTION("GOOGLETRANSLATE(A10608 , ""tr"" , ""en"")"),"@drfahrettinkoca 1.Dozu, where the side effects are 2.doza, 2.doza and side effects, 3.doza, 3rdoza, new ... https://t.co/ly79ela4sc")</f>
        <v>@drfahrettinkoca 1.Dozu, where the side effects are 2.doza, 2.doza and side effects, 3.doza, 3rdoza, new ... https://t.co/ly79ela4sc</v>
      </c>
    </row>
    <row r="13810" spans="1:5" ht="15" customHeight="1" x14ac:dyDescent="0.2">
      <c r="A13810" s="1" t="s">
        <v>27203</v>
      </c>
      <c r="B13810" s="1">
        <v>0</v>
      </c>
      <c r="C13810" s="3">
        <v>44530.934907407405</v>
      </c>
      <c r="D13810" s="1" t="s">
        <v>27204</v>
      </c>
      <c r="E13810" s="1" t="str">
        <f ca="1">IFERROR(__xludf.DUMMYFUNCTION("GOOGLETRANSLATE(A10609 , ""tr"" , ""en"")"),"@drfahrettinkoca Emiran with embrivacs can persuade the nation to persuade unnecessary minister")</f>
        <v>@drfahrettinkoca Emiran with embrivacs can persuade the nation to persuade unnecessary minister</v>
      </c>
    </row>
    <row r="13811" spans="1:5" ht="15" customHeight="1" x14ac:dyDescent="0.2">
      <c r="A13811" s="1" t="s">
        <v>27205</v>
      </c>
      <c r="B13811" s="1">
        <v>0</v>
      </c>
      <c r="C13811" s="3">
        <v>44530.931273148148</v>
      </c>
      <c r="D13811" s="1" t="s">
        <v>27206</v>
      </c>
      <c r="E13811" s="1" t="str">
        <f ca="1">IFERROR(__xludf.DUMMYFUNCTION("GOOGLETRANSLATE(A10610 , ""tr"" , ""en"")"),"@drfahrettinkoca @saglikbakanligi This time you sign the consent paper Let us do 3 CU dose for us.")</f>
        <v>@drfahrettinkoca @saglikbakanligi This time you sign the consent paper Let us do 3 CU dose for us.</v>
      </c>
    </row>
    <row r="13812" spans="1:5" ht="15" customHeight="1" x14ac:dyDescent="0.2">
      <c r="A13812" s="1" t="s">
        <v>27207</v>
      </c>
      <c r="B13812" s="1">
        <v>1</v>
      </c>
      <c r="C13812" s="3">
        <v>44530.930486111109</v>
      </c>
      <c r="D13812" s="1" t="s">
        <v>27208</v>
      </c>
      <c r="E13812" s="1" t="str">
        <f ca="1">IFERROR(__xludf.DUMMYFUNCTION("GOOGLETRANSLATE(A10611 , ""tr"" , ""en"")"),"@drfahrettinkoca I'm not being famous for the family ... We weren't hicked..It is no longer from our dream side ..")</f>
        <v>@drfahrettinkoca I'm not being famous for the family ... We weren't hicked..It is no longer from our dream side ..</v>
      </c>
    </row>
    <row r="13813" spans="1:5" ht="15" customHeight="1" x14ac:dyDescent="0.2">
      <c r="A13813" s="1" t="s">
        <v>27209</v>
      </c>
      <c r="B13813" s="1">
        <v>8</v>
      </c>
      <c r="C13813" s="3">
        <v>44530.929432870369</v>
      </c>
      <c r="D13813" s="1" t="s">
        <v>27210</v>
      </c>
      <c r="E13813" s="1" t="str">
        <f ca="1">IFERROR(__xludf.DUMMYFUNCTION("GOOGLETRANSLATE(A10612 , ""tr"" , ""en"")"),"@drfahrettinkoca Either enough you have done this nation by forced vaccine maniac. 1idi was 2oldu.2 was 3. Although it will stop in the saying ... https://t.co/i6jhsdkisf")</f>
        <v>@drfahrettinkoca Either enough you have done this nation by forced vaccine maniac. 1idi was 2oldu.2 was 3. Although it will stop in the saying ... https://t.co/i6jhsdkisf</v>
      </c>
    </row>
    <row r="13814" spans="1:5" ht="15" customHeight="1" x14ac:dyDescent="0.2">
      <c r="A13814" s="1" t="s">
        <v>27211</v>
      </c>
      <c r="B13814" s="1">
        <v>0</v>
      </c>
      <c r="C13814" s="3">
        <v>44530.928229166668</v>
      </c>
      <c r="D13814" s="1" t="s">
        <v>27212</v>
      </c>
      <c r="E13814" s="1" t="str">
        <f ca="1">IFERROR(__xludf.DUMMYFUNCTION("GOOGLETRANSLATE(A10613 , ""tr"" , ""en"")"),"@drfahrettinkoca eee so")</f>
        <v>@drfahrettinkoca eee so</v>
      </c>
    </row>
    <row r="13815" spans="1:5" ht="15" customHeight="1" x14ac:dyDescent="0.2">
      <c r="A13815" s="1" t="s">
        <v>27213</v>
      </c>
      <c r="B13815" s="1">
        <v>0</v>
      </c>
      <c r="C13815" s="3">
        <v>44530.926458333335</v>
      </c>
      <c r="D13815" s="1" t="s">
        <v>27214</v>
      </c>
      <c r="E13815" s="1" t="str">
        <f ca="1">IFERROR(__xludf.DUMMYFUNCTION("GOOGLETRANSLATE(A10614 , ""tr"" , ""en"")"),"@drfahrettinkoca your supreme desire")</f>
        <v>@drfahrettinkoca your supreme desire</v>
      </c>
    </row>
    <row r="13816" spans="1:5" ht="15" customHeight="1" x14ac:dyDescent="0.2">
      <c r="A13816" s="1" t="s">
        <v>27215</v>
      </c>
      <c r="B13816" s="1">
        <v>1</v>
      </c>
      <c r="C13816" s="3">
        <v>44530.924861111111</v>
      </c>
      <c r="D13816" s="1" t="s">
        <v>27216</v>
      </c>
      <c r="E13816" s="1" t="str">
        <f ca="1">IFERROR(__xludf.DUMMYFUNCTION("GOOGLETRANSLATE(A10615 , ""tr"" , ""en"")"),"@drfahrettinkca I have never been vaccinated like me, can we say that we were boiled together")</f>
        <v>@drfahrettinkca I have never been vaccinated like me, can we say that we were boiled together</v>
      </c>
    </row>
    <row r="13817" spans="1:5" ht="15" customHeight="1" x14ac:dyDescent="0.2">
      <c r="A13817" s="1" t="s">
        <v>27217</v>
      </c>
      <c r="B13817" s="1">
        <v>0</v>
      </c>
      <c r="C13817" s="3">
        <v>44530.921944444446</v>
      </c>
      <c r="D13817" s="1" t="s">
        <v>27218</v>
      </c>
      <c r="E13817" s="1" t="str">
        <f ca="1">IFERROR(__xludf.DUMMYFUNCTION("GOOGLETRANSLATE(A10616 , ""tr"" , ""en"")"),"@drfahrettinkoca not the name of MRNA gene therapy is the name of the liquid you give. Do not show cute to people by saying vaccines.")</f>
        <v>@drfahrettinkoca not the name of MRNA gene therapy is the name of the liquid you give. Do not show cute to people by saying vaccines.</v>
      </c>
    </row>
    <row r="13818" spans="1:5" ht="15" customHeight="1" x14ac:dyDescent="0.2">
      <c r="A13818" s="1" t="s">
        <v>27219</v>
      </c>
      <c r="B13818" s="1">
        <v>0</v>
      </c>
      <c r="C13818" s="3">
        <v>44530.921238425923</v>
      </c>
      <c r="D13818" s="1" t="s">
        <v>27220</v>
      </c>
      <c r="E13818" s="1" t="str">
        <f ca="1">IFERROR(__xludf.DUMMYFUNCTION("GOOGLETRANSLATE(A10617 , ""tr"" , ""en"")"),"@drfahrettinkoca I don't use my people's content as a subject to a liquid that is not clear .... Here is my right now ... https://t.co/ao7bxtrifg")</f>
        <v>@drfahrettinkoca I don't use my people's content as a subject to a liquid that is not clear .... Here is my right now ... https://t.co/ao7bxtrifg</v>
      </c>
    </row>
    <row r="13819" spans="1:5" ht="15" customHeight="1" x14ac:dyDescent="0.2">
      <c r="A13819" s="1" t="s">
        <v>27221</v>
      </c>
      <c r="B13819" s="1">
        <v>0</v>
      </c>
      <c r="C13819" s="3">
        <v>44530.919849537036</v>
      </c>
      <c r="D13819" s="1" t="s">
        <v>27222</v>
      </c>
      <c r="E13819" s="1" t="str">
        <f ca="1">IFERROR(__xludf.DUMMYFUNCTION("GOOGLETRANSLATE(A10618 , ""tr"" , ""en"")"),"@drfahrettinkoca The highest vaccination Army also has the highest coater rate in this work in this job")</f>
        <v>@drfahrettinkoca The highest vaccination Army also has the highest coater rate in this work in this job</v>
      </c>
    </row>
    <row r="13820" spans="1:5" ht="15" customHeight="1" x14ac:dyDescent="0.2">
      <c r="A13820" s="1" t="s">
        <v>27223</v>
      </c>
      <c r="B13820" s="1">
        <v>1</v>
      </c>
      <c r="C13820" s="3">
        <v>44530.918055555558</v>
      </c>
      <c r="D13820" s="1" t="s">
        <v>27224</v>
      </c>
      <c r="E13820" s="1" t="str">
        <f ca="1">IFERROR(__xludf.DUMMYFUNCTION("GOOGLETRANSLATE(A10619 , ""tr"" , ""en"")"),"@drfahrettinkoca I'm not the vaccination Masi. You send messages such as banks trying to give credit, your social media ... https://t.co/kuehyzeb1o")</f>
        <v>@drfahrettinkoca I'm not the vaccination Masi. You send messages such as banks trying to give credit, your social media ... https://t.co/kuehyzeb1o</v>
      </c>
    </row>
    <row r="13821" spans="1:5" ht="15" customHeight="1" x14ac:dyDescent="0.2">
      <c r="A13821" s="1" t="s">
        <v>27225</v>
      </c>
      <c r="B13821" s="1">
        <v>7</v>
      </c>
      <c r="C13821" s="3">
        <v>44530.917905092596</v>
      </c>
      <c r="D13821" s="1" t="s">
        <v>27226</v>
      </c>
      <c r="E13821" s="1" t="str">
        <f ca="1">IFERROR(__xludf.DUMMYFUNCTION("GOOGLETRANSLATE(A10620 , ""tr"" , ""en"")"),"@drfahrettinkoca because it ... no longer fit the spear sacks! ""No timeout in crimes committed against humanity!"" ... https://t.co/wxdz6gzıqb")</f>
        <v>@drfahrettinkoca because it ... no longer fit the spear sacks! "No timeout in crimes committed against humanity!" ... https://t.co/wxdz6gzıqb</v>
      </c>
    </row>
    <row r="13822" spans="1:5" ht="15" customHeight="1" x14ac:dyDescent="0.2">
      <c r="A13822" s="1" t="s">
        <v>27227</v>
      </c>
      <c r="B13822" s="1">
        <v>57</v>
      </c>
      <c r="C13822" s="3">
        <v>44530.917731481481</v>
      </c>
      <c r="D13822" s="1" t="s">
        <v>27228</v>
      </c>
      <c r="E13822" s="1" t="str">
        <f ca="1">IFERROR(__xludf.DUMMYFUNCTION("GOOGLETRANSLATE(A10621 , ""tr"" , ""en"")"),"@drfahrettinkoca man was killed for saying these. Do you still think that the subject is health and vaccine? https://t.co/wjk5txzviy")</f>
        <v>@drfahrettinkoca man was killed for saying these. Do you still think that the subject is health and vaccine? https://t.co/wjk5txzviy</v>
      </c>
    </row>
    <row r="13823" spans="1:5" ht="15" customHeight="1" x14ac:dyDescent="0.2">
      <c r="A13823" s="1" t="s">
        <v>27229</v>
      </c>
      <c r="B13823" s="1">
        <v>6</v>
      </c>
      <c r="C13823" s="3">
        <v>44530.917349537034</v>
      </c>
      <c r="D13823" s="1" t="s">
        <v>27230</v>
      </c>
      <c r="E13823" s="1" t="str">
        <f ca="1">IFERROR(__xludf.DUMMYFUNCTION("GOOGLETRANSLATE(A10622 , ""tr"" , ""en"")"),"@drfahrettinkoca you order the pair. Come on is either to understand the pattern or death pattern. You aren't that. Your goal is different ..")</f>
        <v>@drfahrettinkoca you order the pair. Come on is either to understand the pattern or death pattern. You aren't that. Your goal is different ..</v>
      </c>
    </row>
    <row r="13824" spans="1:5" ht="15" customHeight="1" x14ac:dyDescent="0.2">
      <c r="A13824" s="1" t="s">
        <v>27231</v>
      </c>
      <c r="B13824" s="1">
        <v>0</v>
      </c>
      <c r="C13824" s="3">
        <v>44530.917210648149</v>
      </c>
      <c r="D13824" s="1" t="s">
        <v>27232</v>
      </c>
      <c r="E13824" s="1" t="str">
        <f ca="1">IFERROR(__xludf.DUMMYFUNCTION("GOOGLETRANSLATE(A10623 , ""tr"" , ""en"")"),"@drfahrettinkoca I'm not being")</f>
        <v>@drfahrettinkoca I'm not being</v>
      </c>
    </row>
    <row r="13825" spans="1:5" ht="15" customHeight="1" x14ac:dyDescent="0.2">
      <c r="A13825" s="1" t="s">
        <v>27233</v>
      </c>
      <c r="B13825" s="1">
        <v>0</v>
      </c>
      <c r="C13825" s="3">
        <v>44530.917187500003</v>
      </c>
      <c r="D13825" s="1" t="s">
        <v>27234</v>
      </c>
      <c r="E13825" s="1" t="str">
        <f ca="1">IFERROR(__xludf.DUMMYFUNCTION("GOOGLETRANSLATE(A10624 , ""tr"" , ""en"")"),"@drfahrettinkoca Despite the insistent warnings you are stubborn in keeping schools open. HTTPS://T.CO/K5JYXRCEHI in schools")</f>
        <v>@drfahrettinkoca Despite the insistent warnings you are stubborn in keeping schools open. HTTPS://T.CO/K5JYXRCEHI in schools</v>
      </c>
    </row>
    <row r="13826" spans="1:5" ht="15" customHeight="1" x14ac:dyDescent="0.2">
      <c r="A13826" s="1" t="s">
        <v>27235</v>
      </c>
      <c r="B13826" s="1">
        <v>0</v>
      </c>
      <c r="C13826" s="3">
        <v>44530.917083333334</v>
      </c>
      <c r="D13826" s="1" t="s">
        <v>27236</v>
      </c>
      <c r="E13826" s="1" t="str">
        <f ca="1">IFERROR(__xludf.DUMMYFUNCTION("GOOGLETRANSLATE(A10625 , ""tr"" , ""en"")"),"@drfahrettinkoca no one has left the vaccine confidence in the vaccine so that I will not be the minister subject to the pray that you are now convincing that you are good")</f>
        <v>@drfahrettinkoca no one has left the vaccine confidence in the vaccine so that I will not be the minister subject to the pray that you are now convincing that you are good</v>
      </c>
    </row>
    <row r="13827" spans="1:5" ht="15" customHeight="1" x14ac:dyDescent="0.2">
      <c r="A13827" s="1" t="s">
        <v>27237</v>
      </c>
      <c r="B13827" s="1">
        <v>0</v>
      </c>
      <c r="C13827" s="3">
        <v>44530.916550925926</v>
      </c>
      <c r="D13827" s="1" t="s">
        <v>27238</v>
      </c>
      <c r="E13827" s="1" t="str">
        <f ca="1">IFERROR(__xludf.DUMMYFUNCTION("GOOGLETRANSLATE(A10626 , ""tr"" , ""en"")"),"@drfahrettinkoca No. Yau, have you giving orders from the volunteering basis.")</f>
        <v>@drfahrettinkoca No. Yau, have you giving orders from the volunteering basis.</v>
      </c>
    </row>
    <row r="13828" spans="1:5" ht="15" customHeight="1" x14ac:dyDescent="0.2">
      <c r="A13828" s="1" t="s">
        <v>27239</v>
      </c>
      <c r="B13828" s="1">
        <v>0</v>
      </c>
      <c r="C13828" s="3">
        <v>44530.915798611109</v>
      </c>
      <c r="D13828" s="1" t="s">
        <v>27240</v>
      </c>
      <c r="E13828" s="1" t="str">
        <f ca="1">IFERROR(__xludf.DUMMYFUNCTION("GOOGLETRANSLATE(A10627 , ""tr"" , ""en"")"),"@drfahrettinkoca If you want 30 dose vaccines 31 ci you have not been the vaccine to the bitmiyo to say Bitmiyo makes a massacre with death drugs ... https://t.co/0xfhzıj46y")</f>
        <v>@drfahrettinkoca If you want 30 dose vaccines 31 ci you have not been the vaccine to the bitmiyo to say Bitmiyo makes a massacre with death drugs ... https://t.co/0xfhzıj46y</v>
      </c>
    </row>
    <row r="13829" spans="1:5" ht="15" customHeight="1" x14ac:dyDescent="0.2">
      <c r="A13829" s="1" t="s">
        <v>27241</v>
      </c>
      <c r="B13829" s="1">
        <v>0</v>
      </c>
      <c r="C13829" s="3">
        <v>44530.914641203701</v>
      </c>
      <c r="D13829" s="1" t="s">
        <v>27242</v>
      </c>
      <c r="E13829" s="1" t="str">
        <f ca="1">IFERROR(__xludf.DUMMYFUNCTION("GOOGLETRANSLATE(A10628 , ""tr"" , ""en"")"),"@drfahrettinkoca 2 dose not enough 6 more nationality confidence has not left this vaccine to the useless liquid you say")</f>
        <v>@drfahrettinkoca 2 dose not enough 6 more nationality confidence has not left this vaccine to the useless liquid you say</v>
      </c>
    </row>
    <row r="13830" spans="1:5" ht="15" customHeight="1" x14ac:dyDescent="0.2">
      <c r="A13830" s="1" t="s">
        <v>27243</v>
      </c>
      <c r="B13830" s="1">
        <v>1</v>
      </c>
      <c r="C13830" s="3">
        <v>44530.914375</v>
      </c>
      <c r="D13830" s="1" t="s">
        <v>27244</v>
      </c>
      <c r="E13830" s="1" t="str">
        <f ca="1">IFERROR(__xludf.DUMMYFUNCTION("GOOGLETRANSLATE(A10629 , ""tr"" , ""en"")"),"@drfahrettinkoca is a beautiful news. I mean people wake up against your reserves.")</f>
        <v>@drfahrettinkoca is a beautiful news. I mean people wake up against your reserves.</v>
      </c>
    </row>
    <row r="13831" spans="1:5" ht="15" customHeight="1" x14ac:dyDescent="0.2">
      <c r="A13831" s="1" t="s">
        <v>27245</v>
      </c>
      <c r="B13831" s="1">
        <v>0</v>
      </c>
      <c r="C13831" s="3">
        <v>44530.914143518516</v>
      </c>
      <c r="D13831" s="1" t="s">
        <v>27246</v>
      </c>
      <c r="E13831" s="1" t="str">
        <f ca="1">IFERROR(__xludf.DUMMYFUNCTION("GOOGLETRANSLATE(A10630 , ""tr"" , ""en"")"),"@drfahrettinkoca You have another command of the prair? How to get your coffee? How many dose do we do? Right arm ? Left arm ? Hips? ... https://t.co/klpzbooag9")</f>
        <v>@drfahrettinkoca You have another command of the prair? How to get your coffee? How many dose do we do? Right arm ? Left arm ? Hips? ... https://t.co/klpzbooag9</v>
      </c>
    </row>
    <row r="13832" spans="1:5" ht="15" customHeight="1" x14ac:dyDescent="0.2">
      <c r="A13832" s="1" t="s">
        <v>27247</v>
      </c>
      <c r="B13832" s="1">
        <v>0</v>
      </c>
      <c r="C13832" s="3">
        <v>44530.913969907408</v>
      </c>
      <c r="D13832" s="1" t="s">
        <v>27248</v>
      </c>
      <c r="E13832" s="1" t="str">
        <f ca="1">IFERROR(__xludf.DUMMYFUNCTION("GOOGLETRANSLATE(A10631 , ""tr"" , ""en"")"),"@drfahrettinkoca @drfahrettinkoca happens to complete and sign the form. https://t.co/j10vwwyu0b")</f>
        <v>@drfahrettinkoca @drfahrettinkoca happens to complete and sign the form. https://t.co/j10vwwyu0b</v>
      </c>
    </row>
    <row r="13833" spans="1:5" ht="15" customHeight="1" x14ac:dyDescent="0.2">
      <c r="A13833" s="1" t="s">
        <v>27249</v>
      </c>
      <c r="B13833" s="1">
        <v>1</v>
      </c>
      <c r="C13833" s="3">
        <v>44530.912361111114</v>
      </c>
      <c r="D13833" s="1" t="s">
        <v>27250</v>
      </c>
      <c r="E13833" s="1" t="str">
        <f ca="1">IFERROR(__xludf.DUMMYFUNCTION("GOOGLETRANSLATE(A10632 , ""tr"" , ""en"")"),"@drfahrettinkoca ECCRAZ Dose ASI OWINGS HEART HEART BRING HAVE HAVE NOW IN HOSPITAL Mr. Overlooking Neither Dear Go Ke ... https://t.co/4d2sdzclrk")</f>
        <v>@drfahrettinkoca ECCRAZ Dose ASI OWINGS HEART HEART BRING HAVE HAVE NOW IN HOSPITAL Mr. Overlooking Neither Dear Go Ke ... https://t.co/4d2sdzclrk</v>
      </c>
    </row>
    <row r="13834" spans="1:5" ht="15" customHeight="1" x14ac:dyDescent="0.2">
      <c r="A13834" s="1" t="s">
        <v>27251</v>
      </c>
      <c r="B13834" s="1">
        <v>0</v>
      </c>
      <c r="C13834" s="3">
        <v>44530.910914351851</v>
      </c>
      <c r="D13834" s="1" t="s">
        <v>27252</v>
      </c>
      <c r="E13834" s="1" t="str">
        <f ca="1">IFERROR(__xludf.DUMMYFUNCTION("GOOGLETRANSLATE(A10633 , ""tr"" , ""en"")"),"@drfahrettinkoca Please help us everything is a costly worker salary we don't even get the cloth to my daughter ... https://t.co/lfk3bqjufa")</f>
        <v>@drfahrettinkoca Please help us everything is a costly worker salary we don't even get the cloth to my daughter ... https://t.co/lfk3bqjufa</v>
      </c>
    </row>
    <row r="13835" spans="1:5" ht="15" customHeight="1" x14ac:dyDescent="0.2">
      <c r="A13835" s="1" t="s">
        <v>27253</v>
      </c>
      <c r="B13835" s="1">
        <v>0</v>
      </c>
      <c r="C13835" s="3">
        <v>44530.90929398148</v>
      </c>
      <c r="D13835" s="1" t="s">
        <v>27254</v>
      </c>
      <c r="E13835" s="1" t="str">
        <f ca="1">IFERROR(__xludf.DUMMYFUNCTION("GOOGLETRANSLATE(A10634 , ""tr"" , ""en"")"),"@drfahrettinkoca does not close, the economy is aware of the crash so they don't think of anyone in this process.")</f>
        <v>@drfahrettinkoca does not close, the economy is aware of the crash so they don't think of anyone in this process.</v>
      </c>
    </row>
    <row r="13836" spans="1:5" ht="15" customHeight="1" x14ac:dyDescent="0.2">
      <c r="A13836" s="1" t="s">
        <v>27255</v>
      </c>
      <c r="B13836" s="1">
        <v>1</v>
      </c>
      <c r="C13836" s="3">
        <v>44530.908206018517</v>
      </c>
      <c r="D13836" s="1" t="s">
        <v>27256</v>
      </c>
      <c r="E13836" s="1" t="str">
        <f ca="1">IFERROR(__xludf.DUMMYFUNCTION("GOOGLETRANSLATE(A10635 , ""tr"" , ""en"")"),"@drfahrettinkoca sene 2013 gave the doctor gave the mask to enter the child, if you have to be infected with the mask, I slept on the mask, nobody ... https://t.co/u3rxmb5s8k")</f>
        <v>@drfahrettinkoca sene 2013 gave the doctor gave the mask to enter the child, if you have to be infected with the mask, I slept on the mask, nobody ... https://t.co/u3rxmb5s8k</v>
      </c>
    </row>
    <row r="13837" spans="1:5" ht="15" customHeight="1" x14ac:dyDescent="0.2">
      <c r="A13837" s="1" t="s">
        <v>27257</v>
      </c>
      <c r="B13837" s="1">
        <v>0</v>
      </c>
      <c r="C13837" s="3">
        <v>44530.908171296294</v>
      </c>
      <c r="D13837" s="1" t="s">
        <v>27258</v>
      </c>
      <c r="E13837" s="1" t="str">
        <f ca="1">IFERROR(__xludf.DUMMYFUNCTION("GOOGLETRANSLATE(A10636 , ""tr"" , ""en"")"),"@drfahrettinkoca ""Be your vaccines."" Where went 1. Plural person with style?")</f>
        <v>@drfahrettinkoca "Be your vaccines." Where went 1. Plural person with style?</v>
      </c>
    </row>
    <row r="13838" spans="1:5" ht="15" customHeight="1" x14ac:dyDescent="0.2">
      <c r="A13838" s="1" t="s">
        <v>27259</v>
      </c>
      <c r="B13838" s="1">
        <v>0</v>
      </c>
      <c r="C13838" s="3">
        <v>44530.906585648147</v>
      </c>
      <c r="D13838" s="1" t="s">
        <v>27260</v>
      </c>
      <c r="E13838" s="1" t="str">
        <f ca="1">IFERROR(__xludf.DUMMYFUNCTION("GOOGLETRANSLATE(A10637 , ""tr"" , ""en"")"),"@drfahrettinka Your films are trying to pour the nation in the street. But be the vaccination this place make you be a vaccination be ...")</f>
        <v>@drfahrettinka Your films are trying to pour the nation in the street. But be the vaccination this place make you be a vaccination be ...</v>
      </c>
    </row>
    <row r="13839" spans="1:5" ht="15" customHeight="1" x14ac:dyDescent="0.2">
      <c r="A13839" s="1" t="s">
        <v>27261</v>
      </c>
      <c r="B13839" s="1">
        <v>0</v>
      </c>
      <c r="C13839" s="3">
        <v>44530.906180555554</v>
      </c>
      <c r="D13839" s="1" t="s">
        <v>27262</v>
      </c>
      <c r="E13839" s="1" t="str">
        <f ca="1">IFERROR(__xludf.DUMMYFUNCTION("GOOGLETRANSLATE(A10638 , ""tr"" , ""en"")"),"@drfahrettinkoca Madem No risk Open Medipol.If you are not superior to us as your students are not superior to us.")</f>
        <v>@drfahrettinkoca Madem No risk Open Medipol.If you are not superior to us as your students are not superior to us.</v>
      </c>
    </row>
    <row r="13840" spans="1:5" ht="15" customHeight="1" x14ac:dyDescent="0.2">
      <c r="A13840" s="1" t="s">
        <v>27263</v>
      </c>
      <c r="B13840" s="1">
        <v>0</v>
      </c>
      <c r="C13840" s="3">
        <v>44530.90552083333</v>
      </c>
      <c r="D13840" s="1" t="s">
        <v>27264</v>
      </c>
      <c r="E13840" s="1" t="str">
        <f ca="1">IFERROR(__xludf.DUMMYFUNCTION("GOOGLETRANSLATE(A10639 , ""tr"" , ""en"")"),"@drfahrettinkoca you are relying on your madem vaccines why do you sign us ""consent form""? ... Onam Fo ... https://t.co/6nk8azlt9z")</f>
        <v>@drfahrettinkoca you are relying on your madem vaccines why do you sign us "consent form"? ... Onam Fo ... https://t.co/6nk8azlt9z</v>
      </c>
    </row>
    <row r="13841" spans="1:5" ht="15" customHeight="1" x14ac:dyDescent="0.2">
      <c r="A13841" s="1" t="s">
        <v>27265</v>
      </c>
      <c r="B13841" s="1">
        <v>0</v>
      </c>
      <c r="C13841" s="3">
        <v>44530.904872685183</v>
      </c>
      <c r="D13841" s="1" t="s">
        <v>27266</v>
      </c>
      <c r="E13841" s="1" t="str">
        <f ca="1">IFERROR(__xludf.DUMMYFUNCTION("GOOGLETRANSLATE(A10640 , ""tr"" , ""en"")"),"@drfahrettinkoca I'm not being who you are ula")</f>
        <v>@drfahrettinkoca I'm not being who you are ula</v>
      </c>
    </row>
    <row r="13842" spans="1:5" ht="15" customHeight="1" x14ac:dyDescent="0.2">
      <c r="A13842" s="1" t="s">
        <v>27267</v>
      </c>
      <c r="B13842" s="1">
        <v>0</v>
      </c>
      <c r="C13842" s="3">
        <v>44530.90457175926</v>
      </c>
      <c r="D13842" s="1" t="s">
        <v>27268</v>
      </c>
      <c r="E13842" s="1" t="str">
        <f ca="1">IFERROR(__xludf.DUMMYFUNCTION("GOOGLETRANSLATE(A10641 , ""tr"" , ""en"")"),"@drfahrettinkoca we were fed up if you love allah")</f>
        <v>@drfahrettinkoca we were fed up if you love allah</v>
      </c>
    </row>
    <row r="13843" spans="1:5" ht="15" customHeight="1" x14ac:dyDescent="0.2">
      <c r="A13843" s="1" t="s">
        <v>27269</v>
      </c>
      <c r="B13843" s="1">
        <v>0</v>
      </c>
      <c r="C13843" s="3">
        <v>44530.904016203705</v>
      </c>
      <c r="D13843" s="1" t="s">
        <v>27270</v>
      </c>
      <c r="E13843" s="1" t="str">
        <f ca="1">IFERROR(__xludf.DUMMYFUNCTION("GOOGLETRANSLATE(A10642 , ""tr"" , ""en"")"),"@drfahrettinkoca I and my parents are defined in the name of the poisonous fluids in the head of you and our team, hobbying your pleasure sn.bakan")</f>
        <v>@drfahrettinkoca I and my parents are defined in the name of the poisonous fluids in the head of you and our team, hobbying your pleasure sn.bakan</v>
      </c>
    </row>
    <row r="13844" spans="1:5" ht="15" customHeight="1" x14ac:dyDescent="0.2">
      <c r="A13844" s="1" t="s">
        <v>27271</v>
      </c>
      <c r="B13844" s="1">
        <v>1</v>
      </c>
      <c r="C13844" s="3">
        <v>44530.903657407405</v>
      </c>
      <c r="D13844" s="1" t="s">
        <v>27272</v>
      </c>
      <c r="E13844" s="1" t="str">
        <f ca="1">IFERROR(__xludf.DUMMYFUNCTION("GOOGLETRANSLATE(A10643 , ""tr"" , ""en"")"),"I wonder if you wonder if they are the serious side impact, they can be those who experience a serious side effect.")</f>
        <v>I wonder if you wonder if they are the serious side impact, they can be those who experience a serious side effect.</v>
      </c>
    </row>
    <row r="13845" spans="1:5" ht="15" customHeight="1" x14ac:dyDescent="0.2">
      <c r="A13845" s="1" t="s">
        <v>27273</v>
      </c>
      <c r="B13845" s="1">
        <v>0</v>
      </c>
      <c r="C13845" s="3">
        <v>44530.903391203705</v>
      </c>
      <c r="D13845" s="1" t="s">
        <v>27274</v>
      </c>
      <c r="E13845" s="1" t="str">
        <f ca="1">IFERROR(__xludf.DUMMYFUNCTION("GOOGLETRANSLATE(A10644 , ""tr"" , ""en"")"),"@drfahrettinkoca I wish you can now see the economy crisis if you can not be found in the drug that the drugs are very expensive if you see the solution")</f>
        <v>@drfahrettinkoca I wish you can now see the economy crisis if you can not be found in the drug that the drugs are very expensive if you see the solution</v>
      </c>
    </row>
    <row r="13846" spans="1:5" ht="15" customHeight="1" x14ac:dyDescent="0.2">
      <c r="A13846" s="1" t="s">
        <v>27275</v>
      </c>
      <c r="B13846" s="1">
        <v>0</v>
      </c>
      <c r="C13846" s="3">
        <v>44530.90148148148</v>
      </c>
      <c r="D13846" s="1" t="s">
        <v>27276</v>
      </c>
      <c r="E13846" s="1" t="str">
        <f ca="1">IFERROR(__xludf.DUMMYFUNCTION("GOOGLETRANSLATE(A10645 , ""tr"" , ""en"")"),"@drfahrettinkoca @saglikbakanligi What the Acisi Ministering Sneakers.")</f>
        <v>@drfahrettinkoca @saglikbakanligi What the Acisi Ministering Sneakers.</v>
      </c>
    </row>
    <row r="13847" spans="1:5" ht="15" customHeight="1" x14ac:dyDescent="0.2">
      <c r="A13847" s="1" t="s">
        <v>27277</v>
      </c>
      <c r="B13847" s="1">
        <v>0</v>
      </c>
      <c r="C13847" s="3">
        <v>44530.898113425923</v>
      </c>
      <c r="D13847" s="1" t="s">
        <v>27278</v>
      </c>
      <c r="E13847" s="1" t="str">
        <f ca="1">IFERROR(__xludf.DUMMYFUNCTION("GOOGLETRANSLATE(A10646 , ""tr"" , ""en"")"),"Make your @drfahrettinka vaccinations this statement contains a serious hypnotic language? I'm asking as a citizen who has no vaccines ...")</f>
        <v>Make your @drfahrettinka vaccinations this statement contains a serious hypnotic language? I'm asking as a citizen who has no vaccines ...</v>
      </c>
    </row>
    <row r="13848" spans="1:5" ht="15" customHeight="1" x14ac:dyDescent="0.2">
      <c r="A13848" s="1" t="s">
        <v>27279</v>
      </c>
      <c r="B13848" s="1">
        <v>1</v>
      </c>
      <c r="C13848" s="3">
        <v>44530.897662037038</v>
      </c>
      <c r="D13848" s="1" t="s">
        <v>27280</v>
      </c>
      <c r="E13848" s="1" t="str">
        <f ca="1">IFERROR(__xludf.DUMMYFUNCTION("GOOGLETRANSLATE(A10647 , ""tr"" , ""en"")"),"@drfahrettinkoca Ol-Mu-Yo-Ruz")</f>
        <v>@drfahrettinkoca Ol-Mu-Yo-Ruz</v>
      </c>
    </row>
    <row r="13849" spans="1:5" ht="15" customHeight="1" x14ac:dyDescent="0.2">
      <c r="A13849" s="1" t="s">
        <v>27281</v>
      </c>
      <c r="B13849" s="1">
        <v>0</v>
      </c>
      <c r="C13849" s="3">
        <v>44530.897141203706</v>
      </c>
      <c r="D13849" s="1" t="s">
        <v>27282</v>
      </c>
      <c r="E13849" s="1" t="str">
        <f ca="1">IFERROR(__xludf.DUMMYFUNCTION("GOOGLETRANSLATE(A10648 , ""tr"" , ""en"")"),"@drfahrettinkoca Orsdersin Paşam Now Running Bi Running Go to what Hitch you don't even receive the responsibility ... HTTPS://T.CO/LGIL2QXUIZ")</f>
        <v>@drfahrettinkoca Orsdersin Paşam Now Running Bi Running Go to what Hitch you don't even receive the responsibility ... HTTPS://T.CO/LGIL2QXUIZ</v>
      </c>
    </row>
    <row r="13850" spans="1:5" ht="15" customHeight="1" x14ac:dyDescent="0.2">
      <c r="A13850" s="1" t="s">
        <v>27283</v>
      </c>
      <c r="B13850" s="1">
        <v>0</v>
      </c>
      <c r="C13850" s="3">
        <v>44530.896817129629</v>
      </c>
      <c r="D13850" s="1" t="s">
        <v>27284</v>
      </c>
      <c r="E13850" s="1" t="str">
        <f ca="1">IFERROR(__xludf.DUMMYFUNCTION("GOOGLETRANSLATE(A10649 , ""tr"" , ""en"")"),"@drfahrettinkoca I really don't want to get involved in your business Mr. Ministry but these 2nd and 3. Don't do doses vaccine face ... https://t.co/rr8eapxrnb")</f>
        <v>@drfahrettinkoca I really don't want to get involved in your business Mr. Ministry but these 2nd and 3. Don't do doses vaccine face ... https://t.co/rr8eapxrnb</v>
      </c>
    </row>
    <row r="13851" spans="1:5" ht="15" customHeight="1" x14ac:dyDescent="0.2">
      <c r="A13851" s="1" t="s">
        <v>27285</v>
      </c>
      <c r="B13851" s="1">
        <v>0</v>
      </c>
      <c r="C13851" s="3">
        <v>44530.896678240744</v>
      </c>
      <c r="D13851" s="1" t="s">
        <v>27286</v>
      </c>
      <c r="E13851" s="1" t="str">
        <f ca="1">IFERROR(__xludf.DUMMYFUNCTION("GOOGLETRANSLATE(A10650 , ""tr"" , ""en"")"),"@drfahrettinkoca ank onk Hast.BionTec vaccine to make an appointment to make an appointment I would like to see the vaccine bottle to the nurse d ... https://t.co/6gioyzfeft")</f>
        <v>@drfahrettinkoca ank onk Hast.BionTec vaccine to make an appointment to make an appointment I would like to see the vaccine bottle to the nurse d ... https://t.co/6gioyzfeft</v>
      </c>
    </row>
    <row r="13852" spans="1:5" ht="15" customHeight="1" x14ac:dyDescent="0.2">
      <c r="A13852" s="1" t="s">
        <v>27287</v>
      </c>
      <c r="B13852" s="1">
        <v>0</v>
      </c>
      <c r="C13852" s="3">
        <v>44530.896018518521</v>
      </c>
      <c r="D13852" s="1" t="s">
        <v>27288</v>
      </c>
      <c r="E13852" s="1" t="str">
        <f ca="1">IFERROR(__xludf.DUMMYFUNCTION("GOOGLETRANSLATE(A10651 , ""tr"" , ""en"")"),"@drfahrettinkoca I'm not, I'm not, I won't be with the permission of God. You shut up as well. Of GOD'S (trail).")</f>
        <v>@drfahrettinkoca I'm not, I'm not, I won't be with the permission of God. You shut up as well. Of GOD'S (trail).</v>
      </c>
    </row>
    <row r="13853" spans="1:5" ht="15" customHeight="1" x14ac:dyDescent="0.2">
      <c r="A13853" s="1" t="s">
        <v>27289</v>
      </c>
      <c r="B13853" s="1">
        <v>0</v>
      </c>
      <c r="C13853" s="3">
        <v>44530.894768518519</v>
      </c>
      <c r="D13853" s="1" t="s">
        <v>27290</v>
      </c>
      <c r="E13853" s="1" t="str">
        <f ca="1">IFERROR(__xludf.DUMMYFUNCTION("GOOGLETRANSLATE(A10652 , ""tr"" , ""en"")"),"@drfahrettinkoca 2 DOSPES also reviewed the DSO officer. 3 skin down grafts, sentences ... https://t.co/sts62ymzlj")</f>
        <v>@drfahrettinkoca 2 DOSPES also reviewed the DSO officer. 3 skin down grafts, sentences ... https://t.co/sts62ymzlj</v>
      </c>
    </row>
    <row r="13854" spans="1:5" ht="15" customHeight="1" x14ac:dyDescent="0.2">
      <c r="A13854" s="1" t="s">
        <v>27291</v>
      </c>
      <c r="B13854" s="1">
        <v>0</v>
      </c>
      <c r="C13854" s="3">
        <v>44530.894236111111</v>
      </c>
      <c r="D13854" s="1" t="s">
        <v>27292</v>
      </c>
      <c r="E13854" s="1" t="str">
        <f ca="1">IFERROR(__xludf.DUMMYFUNCTION("GOOGLETRANSLATE(A10653 , ""tr"" , ""en"")"),"@drfahrettinkoca backer Stat Ministry of Dollar Economy Mixed. What the state of the Covidi")</f>
        <v>@drfahrettinkoca backer Stat Ministry of Dollar Economy Mixed. What the state of the Covidi</v>
      </c>
    </row>
    <row r="13855" spans="1:5" ht="15" customHeight="1" x14ac:dyDescent="0.2">
      <c r="A13855" s="1" t="s">
        <v>27293</v>
      </c>
      <c r="B13855" s="1">
        <v>8</v>
      </c>
      <c r="C13855" s="3">
        <v>44530.893726851849</v>
      </c>
      <c r="D13855" s="1" t="s">
        <v>27294</v>
      </c>
      <c r="E13855" s="1" t="str">
        <f ca="1">IFERROR(__xludf.DUMMYFUNCTION("GOOGLETRANSLATE(A10654 , ""tr"" , ""en"")"),"@drfahrettinkoca what doesn't come to the end of the lies.")</f>
        <v>@drfahrettinkoca what doesn't come to the end of the lies.</v>
      </c>
    </row>
    <row r="13856" spans="1:5" ht="15" customHeight="1" x14ac:dyDescent="0.2">
      <c r="A13856" s="1" t="s">
        <v>27295</v>
      </c>
      <c r="B13856" s="1">
        <v>0</v>
      </c>
      <c r="C13856" s="3">
        <v>44530.893726851849</v>
      </c>
      <c r="D13856" s="1" t="s">
        <v>27296</v>
      </c>
      <c r="E13856" s="1" t="str">
        <f ca="1">IFERROR(__xludf.DUMMYFUNCTION("GOOGLETRANSLATE(A10655 , ""tr"" , ""en"")"),"@drfahrettinkoca in Germany in Francada in France in the Netherland in the Netherlands in the UK and many countries variable in the daily basis ... https://t.co/xlag0y9gc8")</f>
        <v>@drfahrettinkoca in Germany in Francada in France in the Netherland in the Netherlands in the UK and many countries variable in the daily basis ... https://t.co/xlag0y9gc8</v>
      </c>
    </row>
    <row r="13857" spans="1:5" ht="15" customHeight="1" x14ac:dyDescent="0.2">
      <c r="A13857" s="1" t="s">
        <v>27297</v>
      </c>
      <c r="B13857" s="1">
        <v>0</v>
      </c>
      <c r="C13857" s="3">
        <v>44530.893368055556</v>
      </c>
      <c r="D13857" s="1" t="s">
        <v>27298</v>
      </c>
      <c r="E13857" s="1" t="str">
        <f ca="1">IFERROR(__xludf.DUMMYFUNCTION("GOOGLETRANSLATE(A10656 , ""tr"" , ""en"")"),"@drfahrettinkoca Is that this? What happened to have been the Zorlq?")</f>
        <v>@drfahrettinkoca Is that this? What happened to have been the Zorlq?</v>
      </c>
    </row>
    <row r="13858" spans="1:5" ht="15" customHeight="1" x14ac:dyDescent="0.2">
      <c r="A13858" s="1" t="s">
        <v>27299</v>
      </c>
      <c r="B13858" s="1">
        <v>2</v>
      </c>
      <c r="C13858" s="3">
        <v>44530.892731481479</v>
      </c>
      <c r="D13858" s="1" t="s">
        <v>27300</v>
      </c>
      <c r="E13858" s="1" t="str">
        <f ca="1">IFERROR(__xludf.DUMMYFUNCTION("GOOGLETRANSLATE(A10657 , ""tr"" , ""en"")"),"@drfahrettinkoca Chamet of the phrases that end in command of orders, but we will still make our naive warning on behalf of humanity.")</f>
        <v>@drfahrettinkoca Chamet of the phrases that end in command of orders, but we will still make our naive warning on behalf of humanity.</v>
      </c>
    </row>
    <row r="13859" spans="1:5" ht="15" customHeight="1" x14ac:dyDescent="0.2">
      <c r="A13859" s="1" t="s">
        <v>27301</v>
      </c>
      <c r="B13859" s="1">
        <v>1</v>
      </c>
      <c r="C13859" s="3">
        <v>44530.892557870371</v>
      </c>
      <c r="D13859" s="1" t="s">
        <v>27302</v>
      </c>
      <c r="E13859" s="1" t="str">
        <f ca="1">IFERROR(__xludf.DUMMYFUNCTION("GOOGLETRANSLATE(A10658 , ""tr"" , ""en"")"),"@drfahrettinkoca Even in the simplest medicine, when you see an unwanted effect, apply to your doctor. First Dose V ... https://t.co/b9406whtk1")</f>
        <v>@drfahrettinkoca Even in the simplest medicine, when you see an unwanted effect, apply to your doctor. First Dose V ... https://t.co/b9406whtk1</v>
      </c>
    </row>
    <row r="13860" spans="1:5" ht="15" customHeight="1" x14ac:dyDescent="0.2">
      <c r="A13860" s="1" t="s">
        <v>27303</v>
      </c>
      <c r="B13860" s="1">
        <v>0</v>
      </c>
      <c r="C13860" s="3">
        <v>44530.891770833332</v>
      </c>
      <c r="D13860" s="1" t="s">
        <v>27304</v>
      </c>
      <c r="E13860" s="1" t="str">
        <f ca="1">IFERROR(__xludf.DUMMYFUNCTION("GOOGLETRANSLATE(A10659 , ""tr"" , ""en"")"),"@drfahrettinkoca So I mean people don't believe in crooks. Neither the meaning of the Meaning of the Vaccine Minister.")</f>
        <v>@drfahrettinkoca So I mean people don't believe in crooks. Neither the meaning of the Meaning of the Vaccine Minister.</v>
      </c>
    </row>
    <row r="13861" spans="1:5" ht="15" customHeight="1" x14ac:dyDescent="0.2">
      <c r="A13861" s="1" t="s">
        <v>27305</v>
      </c>
      <c r="B13861" s="1">
        <v>0</v>
      </c>
      <c r="C13861" s="3">
        <v>44530.89162037037</v>
      </c>
      <c r="D13861" s="1" t="s">
        <v>27306</v>
      </c>
      <c r="E13861" s="1" t="str">
        <f ca="1">IFERROR(__xludf.DUMMYFUNCTION("GOOGLETRANSLATE(A10660 , ""tr"" , ""en"")"),"@drfahrettinka non-vaccines to risk themselves. They should pay themselves as well. Treatments are paid o ... https://t.co/kkwkbabk2l")</f>
        <v>@drfahrettinka non-vaccines to risk themselves. They should pay themselves as well. Treatments are paid o ... https://t.co/kkwkbabk2l</v>
      </c>
    </row>
    <row r="13862" spans="1:5" ht="15" customHeight="1" x14ac:dyDescent="0.2">
      <c r="A13862" s="1" t="s">
        <v>27307</v>
      </c>
      <c r="B13862" s="1">
        <v>0</v>
      </c>
      <c r="C13862" s="3">
        <v>44530.891597222224</v>
      </c>
      <c r="D13862" s="1" t="s">
        <v>27308</v>
      </c>
      <c r="E13862" s="1" t="str">
        <f ca="1">IFERROR(__xludf.DUMMYFUNCTION("GOOGLETRANSLATE(A10661 , ""tr"" , ""en"")"),"@drfahrettinkoca You will not be able to vote from a healthy sector unless you determine the private sector to the private sector. ... https://t.co/qiugjav3oe")</f>
        <v>@drfahrettinkoca You will not be able to vote from a healthy sector unless you determine the private sector to the private sector. ... https://t.co/qiugjav3oe</v>
      </c>
    </row>
    <row r="13863" spans="1:5" ht="15" customHeight="1" x14ac:dyDescent="0.2">
      <c r="A13863" s="1" t="s">
        <v>27309</v>
      </c>
      <c r="B13863" s="1">
        <v>1</v>
      </c>
      <c r="C13863" s="3">
        <v>44530.891064814816</v>
      </c>
      <c r="D13863" s="1" t="s">
        <v>27310</v>
      </c>
      <c r="E13863" s="1" t="str">
        <f ca="1">IFERROR(__xludf.DUMMYFUNCTION("GOOGLETRANSLATE(A10662 , ""tr"" , ""en"")"),"@drfahrettinkoca so-called 1st dose")</f>
        <v>@drfahrettinkoca so-called 1st dose</v>
      </c>
    </row>
    <row r="13864" spans="1:5" ht="15" customHeight="1" x14ac:dyDescent="0.2">
      <c r="A13864" s="1" t="s">
        <v>27311</v>
      </c>
      <c r="B13864" s="1">
        <v>0</v>
      </c>
      <c r="C13864" s="3">
        <v>44530.889317129629</v>
      </c>
      <c r="D13864" s="1" t="s">
        <v>27312</v>
      </c>
      <c r="E13864" s="1" t="str">
        <f ca="1">IFERROR(__xludf.DUMMYFUNCTION("GOOGLETRANSLATE(A10663 , ""tr"" , ""en"")"),"@drfahrettinkoca Ya Kahhar, we are referring to you. More people are damaged by damage to Kahr U miserable meat Allah")</f>
        <v>@drfahrettinkoca Ya Kahhar, we are referring to you. More people are damaged by damage to Kahr U miserable meat Allah</v>
      </c>
    </row>
    <row r="13865" spans="1:5" ht="15" customHeight="1" x14ac:dyDescent="0.2">
      <c r="A13865" s="1" t="s">
        <v>27313</v>
      </c>
      <c r="B13865" s="1">
        <v>0</v>
      </c>
      <c r="C13865" s="3">
        <v>44530.888414351852</v>
      </c>
      <c r="D13865" s="1" t="s">
        <v>27314</v>
      </c>
      <c r="E13865" s="1" t="str">
        <f ca="1">IFERROR(__xludf.DUMMYFUNCTION("GOOGLETRANSLATE(A10664 , ""tr"" , ""en"")"),"May your @drfahrettinkoca vaccine continue plandemi. In vaccinated, you will be in your mutants v variants.")</f>
        <v>May your @drfahrettinkoca vaccine continue plandemi. In vaccinated, you will be in your mutants v variants.</v>
      </c>
    </row>
    <row r="13866" spans="1:5" ht="15" customHeight="1" x14ac:dyDescent="0.2">
      <c r="A13866" s="1" t="s">
        <v>27315</v>
      </c>
      <c r="B13866" s="1">
        <v>0</v>
      </c>
      <c r="C13866" s="3">
        <v>44534.770509259259</v>
      </c>
      <c r="D13866" s="1" t="s">
        <v>27316</v>
      </c>
      <c r="E13866" s="1" t="str">
        <f ca="1">IFERROR(__xludf.DUMMYFUNCTION("GOOGLETRANSLATE(A10665 , ""tr"" , ""en"")"),"@drfahrettinkoca all of you are in this vaccine in the name of the company and money. Trial Level 2 Devrey Arkad ... https://t.co/mb60s2xcfk")</f>
        <v>@drfahrettinkoca all of you are in this vaccine in the name of the company and money. Trial Level 2 Devrey Arkad ... https://t.co/mb60s2xcfk</v>
      </c>
    </row>
    <row r="13867" spans="1:5" ht="15" customHeight="1" x14ac:dyDescent="0.2">
      <c r="A13867" s="1" t="s">
        <v>27317</v>
      </c>
      <c r="B13867" s="1">
        <v>0</v>
      </c>
      <c r="C13867" s="3">
        <v>44530.997662037036</v>
      </c>
      <c r="D13867" s="1" t="s">
        <v>27318</v>
      </c>
      <c r="E13867" s="1" t="str">
        <f ca="1">IFERROR(__xludf.DUMMYFUNCTION("GOOGLETRANSLATE(A10666 , ""tr"" , ""en"")"),"@drfahrettinkoca summer season is over anyway no need for much")</f>
        <v>@drfahrettinkoca summer season is over anyway no need for much</v>
      </c>
    </row>
    <row r="13868" spans="1:5" ht="15" customHeight="1" x14ac:dyDescent="0.2">
      <c r="A13868" s="1" t="s">
        <v>27319</v>
      </c>
      <c r="B13868" s="1">
        <v>0</v>
      </c>
      <c r="C13868" s="3">
        <v>44530.931990740741</v>
      </c>
      <c r="D13868" s="1" t="s">
        <v>27320</v>
      </c>
      <c r="E13868" s="1" t="str">
        <f ca="1">IFERROR(__xludf.DUMMYFUNCTION("GOOGLETRANSLATE(A10667 , ""tr"" , ""en"")"),"@drfahrettinka How many more rounds will be the fluid that people are up to stocks until they are finished or more people die ??")</f>
        <v>@drfahrettinka How many more rounds will be the fluid that people are up to stocks until they are finished or more people die ??</v>
      </c>
    </row>
    <row r="13869" spans="1:5" ht="15" customHeight="1" x14ac:dyDescent="0.2">
      <c r="A13869" s="1" t="s">
        <v>27321</v>
      </c>
      <c r="B13869" s="1">
        <v>0</v>
      </c>
      <c r="C13869" s="3">
        <v>44530.893020833333</v>
      </c>
      <c r="D13869" s="1" t="s">
        <v>27322</v>
      </c>
      <c r="E13869" s="1" t="str">
        <f ca="1">IFERROR(__xludf.DUMMYFUNCTION("GOOGLETRANSLATE(A10668 , ""tr"" , ""en"")"),"@drfahrettinkoca is the chart of this assignment overlooking this?")</f>
        <v>@drfahrettinkoca is the chart of this assignment overlooking this?</v>
      </c>
    </row>
    <row r="13870" spans="1:5" ht="15" customHeight="1" x14ac:dyDescent="0.2">
      <c r="A13870" s="1" t="s">
        <v>27323</v>
      </c>
      <c r="B13870" s="1">
        <v>0</v>
      </c>
      <c r="C13870" s="3">
        <v>44530.891689814816</v>
      </c>
      <c r="D13870" s="1" t="s">
        <v>27324</v>
      </c>
      <c r="E13870" s="1" t="str">
        <f ca="1">IFERROR(__xludf.DUMMYFUNCTION("GOOGLETRANSLATE(A10669 , ""tr"" , ""en"")"),"@drfahrettinkoca You will not be able to vote from a health to the private sector to the private sector. ... HTTPS://T.CO/CILKXJWLY8")</f>
        <v>@drfahrettinkoca You will not be able to vote from a health to the private sector to the private sector. ... HTTPS://T.CO/CILKXJWLY8</v>
      </c>
    </row>
    <row r="13871" spans="1:5" ht="15" customHeight="1" x14ac:dyDescent="0.2">
      <c r="A13871" s="1" t="s">
        <v>27325</v>
      </c>
      <c r="B13871" s="1">
        <v>0</v>
      </c>
      <c r="C13871" s="3">
        <v>44532.920023148145</v>
      </c>
      <c r="D13871" s="1" t="s">
        <v>27326</v>
      </c>
      <c r="E13871" s="1" t="str">
        <f ca="1">IFERROR(__xludf.DUMMYFUNCTION("GOOGLETRANSLATE(A10670 , ""tr"" , ""en"")"),"@drfahrettinkoca This is less than the fact that there are few places in vaccination in vaccination.")</f>
        <v>@drfahrettinkoca This is less than the fact that there are few places in vaccination in vaccination.</v>
      </c>
    </row>
    <row r="13872" spans="1:5" ht="15" customHeight="1" x14ac:dyDescent="0.2">
      <c r="A13872" s="1" t="s">
        <v>27327</v>
      </c>
      <c r="B13872" s="1">
        <v>0</v>
      </c>
      <c r="C13872" s="3">
        <v>44532.80265046296</v>
      </c>
      <c r="D13872" s="1" t="s">
        <v>27328</v>
      </c>
      <c r="E13872" s="1" t="str">
        <f ca="1">IFERROR(__xludf.DUMMYFUNCTION("GOOGLETRANSLATE(A10671 , ""tr"" , ""en"")"),"@drfahrettinka vaccine and the number of patients is inversely proportional. I think the vaccine job is empty.")</f>
        <v>@drfahrettinka vaccine and the number of patients is inversely proportional. I think the vaccine job is empty.</v>
      </c>
    </row>
    <row r="13873" spans="1:5" ht="15" customHeight="1" x14ac:dyDescent="0.2">
      <c r="A13873" s="1" t="s">
        <v>27329</v>
      </c>
      <c r="B13873" s="1">
        <v>0</v>
      </c>
      <c r="C13873" s="3">
        <v>44532.782789351855</v>
      </c>
      <c r="D13873" s="1" t="s">
        <v>27330</v>
      </c>
      <c r="E13873" s="1" t="str">
        <f ca="1">IFERROR(__xludf.DUMMYFUNCTION("GOOGLETRANSLATE(A10672 , ""tr"" , ""en"")"),"@drfahrettinka Mr. Ministry is going to school for the acute leukemia son training. My son is born in December 2009/17 k ... https://t.co/adzpqfxnhl")</f>
        <v>@drfahrettinka Mr. Ministry is going to school for the acute leukemia son training. My son is born in December 2009/17 k ... https://t.co/adzpqfxnhl</v>
      </c>
    </row>
    <row r="13874" spans="1:5" ht="15" customHeight="1" x14ac:dyDescent="0.2">
      <c r="A13874" s="1" t="s">
        <v>27331</v>
      </c>
      <c r="B13874" s="1">
        <v>0</v>
      </c>
      <c r="C13874" s="3">
        <v>44530.918425925927</v>
      </c>
      <c r="D13874" s="1" t="s">
        <v>27332</v>
      </c>
      <c r="E13874" s="1" t="str">
        <f ca="1">IFERROR(__xludf.DUMMYFUNCTION("GOOGLETRANSLATE(A10673 , ""tr"" , ""en"")"),"If @drfahrettinkoca country is the situation grave this is your ineptability")</f>
        <v>If @drfahrettinkoca country is the situation grave this is your ineptability</v>
      </c>
    </row>
    <row r="13875" spans="1:5" ht="15" customHeight="1" x14ac:dyDescent="0.2">
      <c r="A13875" s="1" t="s">
        <v>27333</v>
      </c>
      <c r="B13875" s="1">
        <v>0</v>
      </c>
      <c r="C13875" s="3">
        <v>44530.893263888887</v>
      </c>
      <c r="D13875" s="1" t="s">
        <v>27334</v>
      </c>
      <c r="E13875" s="1" t="str">
        <f ca="1">IFERROR(__xludf.DUMMYFUNCTION("GOOGLETRANSLATE(A10674 , ""tr"" , ""en"")"),"@drfahrettinkoca is going to bother but explain now the damn to fucking")</f>
        <v>@drfahrettinkoca is going to bother but explain now the damn to fucking</v>
      </c>
    </row>
    <row r="13876" spans="1:5" ht="15" customHeight="1" x14ac:dyDescent="0.2">
      <c r="A13876" s="1" t="s">
        <v>27335</v>
      </c>
      <c r="B13876" s="1">
        <v>0</v>
      </c>
      <c r="C13876" s="3">
        <v>44530.891747685186</v>
      </c>
      <c r="D13876" s="1" t="s">
        <v>27336</v>
      </c>
      <c r="E13876" s="1" t="str">
        <f ca="1">IFERROR(__xludf.DUMMYFUNCTION("GOOGLETRANSLATE(A10675 , ""tr"" , ""en"")"),"@drfahrettinkoca You will not be able to vote from a health to the private sector to the private sector. ... https://t.co/j5jyn3tro5")</f>
        <v>@drfahrettinkoca You will not be able to vote from a health to the private sector to the private sector. ... https://t.co/j5jyn3tro5</v>
      </c>
    </row>
    <row r="13877" spans="1:5" ht="15" customHeight="1" x14ac:dyDescent="0.2">
      <c r="A13877" s="1" t="s">
        <v>27337</v>
      </c>
      <c r="B13877" s="1">
        <v>0</v>
      </c>
      <c r="C13877" s="3">
        <v>44529.988935185182</v>
      </c>
      <c r="D13877" s="1" t="s">
        <v>27338</v>
      </c>
      <c r="E13877" s="1" t="str">
        <f ca="1">IFERROR(__xludf.DUMMYFUNCTION("GOOGLETRANSLATE(A10676 , ""tr"" , ""en"")"),"@drfahrettinkoca Mr. Minister Both Celebrating today and the right to be given with the collective agreement Night Zamma K ... HTTPS://T.CO/9CSLLERLXI")</f>
        <v>@drfahrettinkoca Mr. Minister Both Celebrating today and the right to be given with the collective agreement Night Zamma K ... HTTPS://T.CO/9CSLLERLXI</v>
      </c>
    </row>
    <row r="13878" spans="1:5" ht="15" customHeight="1" x14ac:dyDescent="0.2">
      <c r="A13878" s="1" t="s">
        <v>27339</v>
      </c>
      <c r="B13878" s="1">
        <v>0</v>
      </c>
      <c r="C13878" s="3">
        <v>44529.988252314812</v>
      </c>
      <c r="D13878" s="1" t="s">
        <v>27340</v>
      </c>
      <c r="E13878" s="1" t="str">
        <f ca="1">IFERROR(__xludf.DUMMYFUNCTION("GOOGLETRANSLATE(A10677 , ""tr"" , ""en"")"),"@drfahrettinkoca you have a work on this one Fahrettin Bey! https://t.co/sxybgtondo")</f>
        <v>@drfahrettinkoca you have a work on this one Fahrettin Bey! https://t.co/sxybgtondo</v>
      </c>
    </row>
    <row r="13879" spans="1:5" ht="15" customHeight="1" x14ac:dyDescent="0.2">
      <c r="A13879" s="1" t="s">
        <v>27341</v>
      </c>
      <c r="B13879" s="1">
        <v>0</v>
      </c>
      <c r="C13879" s="3">
        <v>44529.948194444441</v>
      </c>
      <c r="D13879" s="1" t="s">
        <v>27342</v>
      </c>
      <c r="E13879" s="1" t="str">
        <f ca="1">IFERROR(__xludf.DUMMYFUNCTION("GOOGLETRANSLATE(A10678 , ""tr"" , ""en"")"),"@drfahrettinkoca 2597 Say in Health Services and Assistant Health Services Class Ruler No. 190")</f>
        <v>@drfahrettinkoca 2597 Say in Health Services and Assistant Health Services Class Ruler No. 190</v>
      </c>
    </row>
    <row r="13880" spans="1:5" ht="15" customHeight="1" x14ac:dyDescent="0.2">
      <c r="A13880" s="1" t="s">
        <v>27343</v>
      </c>
      <c r="B13880" s="1">
        <v>0</v>
      </c>
      <c r="C13880" s="3">
        <v>44529.947314814817</v>
      </c>
      <c r="D13880" s="1" t="s">
        <v>27344</v>
      </c>
      <c r="E13880" s="1" t="str">
        <f ca="1">IFERROR(__xludf.DUMMYFUNCTION("GOOGLETRANSLATE(A10679 , ""tr"" , ""en"")"),"@drfahrettinkoca 2597 Say in Health Services and Assistant Health Services Class Ruler No. 190")</f>
        <v>@drfahrettinkoca 2597 Say in Health Services and Assistant Health Services Class Ruler No. 190</v>
      </c>
    </row>
    <row r="13881" spans="1:5" ht="15" customHeight="1" x14ac:dyDescent="0.2">
      <c r="A13881" s="1" t="s">
        <v>27345</v>
      </c>
      <c r="B13881" s="1">
        <v>0</v>
      </c>
      <c r="C13881" s="3">
        <v>44529.947152777779</v>
      </c>
      <c r="D13881" s="1" t="s">
        <v>27346</v>
      </c>
      <c r="E13881" s="1" t="str">
        <f ca="1">IFERROR(__xludf.DUMMYFUNCTION("GOOGLETRANSLATE(A10680 , ""tr"" , ""en"")"),"@drfahrettinkoca 2597 Say in Health Services and Auxiliary Health Care Ruler No. 190")</f>
        <v>@drfahrettinkoca 2597 Say in Health Services and Auxiliary Health Care Ruler No. 190</v>
      </c>
    </row>
    <row r="13882" spans="1:5" ht="15" customHeight="1" x14ac:dyDescent="0.2">
      <c r="A13882" s="1" t="s">
        <v>27347</v>
      </c>
      <c r="B13882" s="1">
        <v>0</v>
      </c>
      <c r="C13882" s="3">
        <v>44529.94699074074</v>
      </c>
      <c r="D13882" s="1" t="s">
        <v>27348</v>
      </c>
      <c r="E13882" s="1" t="str">
        <f ca="1">IFERROR(__xludf.DUMMYFUNCTION("GOOGLETRANSLATE(A10681 , ""tr"" , ""en"")"),"@drfahrettinkoca 190 No. 2597 Say in Health Services and Auxiliary Health Services Class Ruler in 190 ... Https://t.co/yn6wlxhxds")</f>
        <v>@drfahrettinkoca 190 No. 2597 Say in Health Services and Auxiliary Health Services Class Ruler in 190 ... Https://t.co/yn6wlxhxds</v>
      </c>
    </row>
    <row r="13883" spans="1:5" ht="15" customHeight="1" x14ac:dyDescent="0.2">
      <c r="A13883" s="1" t="s">
        <v>27349</v>
      </c>
      <c r="B13883" s="1">
        <v>0</v>
      </c>
      <c r="C13883" s="3">
        <v>44529.946793981479</v>
      </c>
      <c r="D13883" s="1" t="s">
        <v>27350</v>
      </c>
      <c r="E13883" s="1" t="str">
        <f ca="1">IFERROR(__xludf.DUMMYFUNCTION("GOOGLETRANSLATE(A10682 , ""tr"" , ""en"")"),"@drfahrettinkoca No. 2597 Say in Health Services and Auxiliary Health Services Class Ruler Numbers in 190 ... https://t.co/qcbjet247b")</f>
        <v>@drfahrettinkoca No. 2597 Say in Health Services and Auxiliary Health Services Class Ruler Numbers in 190 ... https://t.co/qcbjet247b</v>
      </c>
    </row>
    <row r="13884" spans="1:5" ht="15" customHeight="1" x14ac:dyDescent="0.2">
      <c r="A13884" s="1" t="s">
        <v>27351</v>
      </c>
      <c r="B13884" s="1">
        <v>0</v>
      </c>
      <c r="C13884" s="3">
        <v>44529.946620370371</v>
      </c>
      <c r="D13884" s="1" t="s">
        <v>27352</v>
      </c>
      <c r="E13884" s="1" t="str">
        <f ca="1">IFERROR(__xludf.DUMMYFUNCTION("GOOGLETRANSLATE(A10683 , ""tr"" , ""en"")"),"@drfahrettinkoca No. 2597 Say in Health Services and Auxiliary Health Services Class Ruler of 190.")</f>
        <v>@drfahrettinkoca No. 2597 Say in Health Services and Auxiliary Health Services Class Ruler of 190.</v>
      </c>
    </row>
    <row r="13885" spans="1:5" ht="15" customHeight="1" x14ac:dyDescent="0.2">
      <c r="A13885" s="1" t="s">
        <v>27353</v>
      </c>
      <c r="B13885" s="1">
        <v>0</v>
      </c>
      <c r="C13885" s="3">
        <v>44529.946493055555</v>
      </c>
      <c r="D13885" s="1" t="s">
        <v>27354</v>
      </c>
      <c r="E13885" s="1" t="str">
        <f ca="1">IFERROR(__xludf.DUMMYFUNCTION("GOOGLETRANSLATE(A10684 , ""tr"" , ""en"")"),"@drfahrettinkoca 2597 Say in Health Services and Auxiliary Health Care Ruler No. 190")</f>
        <v>@drfahrettinkoca 2597 Say in Health Services and Auxiliary Health Care Ruler No. 190</v>
      </c>
    </row>
    <row r="13886" spans="1:5" ht="15" customHeight="1" x14ac:dyDescent="0.2">
      <c r="A13886" s="1" t="s">
        <v>27355</v>
      </c>
      <c r="B13886" s="1">
        <v>1</v>
      </c>
      <c r="C13886" s="3">
        <v>44529.946342592593</v>
      </c>
      <c r="D13886" s="1" t="s">
        <v>27356</v>
      </c>
      <c r="E13886" s="1" t="str">
        <f ca="1">IFERROR(__xludf.DUMMYFUNCTION("GOOGLETRANSLATE(A10685 , ""tr"" , ""en"")"),"@drfahrettinkoca 2597 Say in Health Services and Assistant Health Services class ruler No. 190")</f>
        <v>@drfahrettinkoca 2597 Say in Health Services and Assistant Health Services class ruler No. 190</v>
      </c>
    </row>
    <row r="13887" spans="1:5" ht="15" customHeight="1" x14ac:dyDescent="0.2">
      <c r="A13887" s="1" t="s">
        <v>27357</v>
      </c>
      <c r="B13887" s="1">
        <v>1</v>
      </c>
      <c r="C13887" s="3">
        <v>44529.946192129632</v>
      </c>
      <c r="D13887" s="1" t="s">
        <v>27358</v>
      </c>
      <c r="E13887" s="1" t="str">
        <f ca="1">IFERROR(__xludf.DUMMYFUNCTION("GOOGLETRANSLATE(A10686 , ""tr"" , ""en"")"),"@drfahrettinkoca No. 2597 Say in Health Services and Assistant Health Services Class Ruler Numbers in 190 ... Https://t.co/zo36mgc5wf")</f>
        <v>@drfahrettinkoca No. 2597 Say in Health Services and Assistant Health Services Class Ruler Numbers in 190 ... Https://t.co/zo36mgc5wf</v>
      </c>
    </row>
    <row r="13888" spans="1:5" ht="15" customHeight="1" x14ac:dyDescent="0.2">
      <c r="A13888" s="1" t="s">
        <v>27359</v>
      </c>
      <c r="B13888" s="1">
        <v>0</v>
      </c>
      <c r="C13888" s="3">
        <v>44529.946018518516</v>
      </c>
      <c r="D13888" s="1" t="s">
        <v>27360</v>
      </c>
      <c r="E13888" s="1" t="str">
        <f ca="1">IFERROR(__xludf.DUMMYFUNCTION("GOOGLETRANSLATE(A10687 , ""tr"" , ""en"")"),"@drfahrettinkoca 190 No. 2597 Say in Health Services and Assistant Health Services Class Ruler of 190 ... Https://t.co/fcizub6ier")</f>
        <v>@drfahrettinkoca 190 No. 2597 Say in Health Services and Assistant Health Services Class Ruler of 190 ... Https://t.co/fcizub6ier</v>
      </c>
    </row>
    <row r="13889" spans="1:5" ht="15" customHeight="1" x14ac:dyDescent="0.2">
      <c r="A13889" s="1" t="s">
        <v>27361</v>
      </c>
      <c r="B13889" s="1">
        <v>1</v>
      </c>
      <c r="C13889" s="3">
        <v>44529.945787037039</v>
      </c>
      <c r="D13889" s="1" t="s">
        <v>27362</v>
      </c>
      <c r="E13889" s="1" t="str">
        <f ca="1">IFERROR(__xludf.DUMMYFUNCTION("GOOGLETRANSLATE(A10688 , ""tr"" , ""en"")"),"@drfahrettinkoca No. 2597 Say in Health Services and Assistant Health Services Class Ruler Numbers. Https://t.co/icwfoikees")</f>
        <v>@drfahrettinkoca No. 2597 Say in Health Services and Assistant Health Services Class Ruler Numbers. Https://t.co/icwfoikees</v>
      </c>
    </row>
    <row r="13890" spans="1:5" ht="15" customHeight="1" x14ac:dyDescent="0.2">
      <c r="A13890" s="1" t="s">
        <v>27363</v>
      </c>
      <c r="B13890" s="1">
        <v>0</v>
      </c>
      <c r="C13890" s="3">
        <v>44529.945694444446</v>
      </c>
      <c r="D13890" s="1" t="s">
        <v>27364</v>
      </c>
      <c r="E13890" s="1" t="str">
        <f ca="1">IFERROR(__xludf.DUMMYFUNCTION("GOOGLETRANSLATE(A10689 , ""tr"" , ""en"")"),"@drfahrettinkoca No. 2597 Say in Health Services and Auxiliary Health Services Class Ruler No. 190")</f>
        <v>@drfahrettinkoca No. 2597 Say in Health Services and Auxiliary Health Services Class Ruler No. 190</v>
      </c>
    </row>
    <row r="13891" spans="1:5" ht="15" customHeight="1" x14ac:dyDescent="0.2">
      <c r="A13891" s="1" t="s">
        <v>27365</v>
      </c>
      <c r="B13891" s="1">
        <v>0</v>
      </c>
      <c r="C13891" s="3">
        <v>44529.945173611108</v>
      </c>
      <c r="D13891" s="1" t="s">
        <v>27366</v>
      </c>
      <c r="E13891" s="1" t="str">
        <f ca="1">IFERROR(__xludf.DUMMYFUNCTION("GOOGLETRANSLATE(A10690 , ""tr"" , ""en"")"),"@drfahrettinkoca 190 No. 2597 Say in Health Services and Auxiliary Health Services Class Ruler of 190 ... https://t.co/sjfpplc2zs")</f>
        <v>@drfahrettinkoca 190 No. 2597 Say in Health Services and Auxiliary Health Services Class Ruler of 190 ... https://t.co/sjfpplc2zs</v>
      </c>
    </row>
    <row r="13892" spans="1:5" ht="15" customHeight="1" x14ac:dyDescent="0.2">
      <c r="A13892" s="1" t="s">
        <v>27367</v>
      </c>
      <c r="B13892" s="1">
        <v>0</v>
      </c>
      <c r="C13892" s="3">
        <v>44529.945069444446</v>
      </c>
      <c r="D13892" s="1" t="s">
        <v>27368</v>
      </c>
      <c r="E13892" s="1" t="str">
        <f ca="1">IFERROR(__xludf.DUMMYFUNCTION("GOOGLETRANSLATE(A10691 , ""tr"" , ""en"")"),"@drfahrettinkoca FHLI KHK's ""Health Services and Auxiliary Health Care Ruler Number 4597 in Https://t.co/ds3otoutao")</f>
        <v>@drfahrettinkoca FHLI KHK's "Health Services and Auxiliary Health Care Ruler Number 4597 in Https://t.co/ds3otoutao</v>
      </c>
    </row>
    <row r="13893" spans="1:5" ht="15" customHeight="1" x14ac:dyDescent="0.2">
      <c r="A13893" s="1" t="s">
        <v>27369</v>
      </c>
      <c r="B13893" s="1">
        <v>0</v>
      </c>
      <c r="C13893" s="3">
        <v>44529.944953703707</v>
      </c>
      <c r="D13893" s="1" t="s">
        <v>27370</v>
      </c>
      <c r="E13893" s="1" t="str">
        <f ca="1">IFERROR(__xludf.DUMMYFUNCTION("GOOGLETRANSLATE(A10692 , ""tr"" , ""en"")"),"@drfahrettinkoca 2597 Say in Health Services and Auxiliary Health Care Ruler No. 190")</f>
        <v>@drfahrettinkoca 2597 Say in Health Services and Auxiliary Health Care Ruler No. 190</v>
      </c>
    </row>
    <row r="13894" spans="1:5" ht="15" customHeight="1" x14ac:dyDescent="0.2">
      <c r="A13894" s="1" t="s">
        <v>27371</v>
      </c>
      <c r="B13894" s="1">
        <v>0</v>
      </c>
      <c r="C13894" s="3">
        <v>44529.944837962961</v>
      </c>
      <c r="D13894" s="1" t="s">
        <v>27372</v>
      </c>
      <c r="E13894" s="1" t="str">
        <f ca="1">IFERROR(__xludf.DUMMYFUNCTION("GOOGLETRANSLATE(A10693 , ""tr"" , ""en"")"),"@drfahrettinkoca 190 No. 2597 Say in Health Services and Auxiliary Health Services Class Ruler in 190 ... https://t.co/iglqjhtuwu")</f>
        <v>@drfahrettinkoca 190 No. 2597 Say in Health Services and Auxiliary Health Services Class Ruler in 190 ... https://t.co/iglqjhtuwu</v>
      </c>
    </row>
    <row r="13895" spans="1:5" ht="15" customHeight="1" x14ac:dyDescent="0.2">
      <c r="A13895" s="1" t="s">
        <v>27373</v>
      </c>
      <c r="B13895" s="1">
        <v>0</v>
      </c>
      <c r="C13895" s="3">
        <v>44529.944733796299</v>
      </c>
      <c r="D13895" s="1" t="s">
        <v>27374</v>
      </c>
      <c r="E13895" s="1" t="str">
        <f ca="1">IFERROR(__xludf.DUMMYFUNCTION("GOOGLETRANSLATE(A10694 , ""tr"" , ""en"")"),"@drfahrettinkoca No. 2597 Say in Health Services and Assistant Health Services Class Ruler No. 190")</f>
        <v>@drfahrettinkoca No. 2597 Say in Health Services and Assistant Health Services Class Ruler No. 190</v>
      </c>
    </row>
    <row r="13896" spans="1:5" ht="15" customHeight="1" x14ac:dyDescent="0.2">
      <c r="A13896" s="1" t="s">
        <v>27375</v>
      </c>
      <c r="B13896" s="1">
        <v>0</v>
      </c>
      <c r="C13896" s="3">
        <v>44529.944733796299</v>
      </c>
      <c r="D13896" s="1" t="s">
        <v>27376</v>
      </c>
      <c r="E13896" s="1" t="str">
        <f ca="1">IFERROR(__xludf.DUMMYFUNCTION("GOOGLETRANSLATE(A10695 , ""tr"" , ""en"")"),"@drfahrettinkoca Again the unnecessary business manager fahrettin stage today is the medical secretaries of today ...")</f>
        <v>@drfahrettinkoca Again the unnecessary business manager fahrettin stage today is the medical secretaries of today ...</v>
      </c>
    </row>
    <row r="13897" spans="1:5" ht="15" customHeight="1" x14ac:dyDescent="0.2">
      <c r="A13897" s="1" t="s">
        <v>27377</v>
      </c>
      <c r="B13897" s="1">
        <v>0</v>
      </c>
      <c r="C13897" s="3">
        <v>44529.94458333333</v>
      </c>
      <c r="D13897" s="1" t="s">
        <v>27378</v>
      </c>
      <c r="E13897" s="1" t="str">
        <f ca="1">IFERROR(__xludf.DUMMYFUNCTION("GOOGLETRANSLATE(A10696 , ""tr"" , ""en"")"),"@drfahrettinkoca No. 2597 Say in Health Services and Assistant Health Care Ruler Numbers 190 ... Https://t.co/eag2vdoh5y")</f>
        <v>@drfahrettinkoca No. 2597 Say in Health Services and Assistant Health Care Ruler Numbers 190 ... Https://t.co/eag2vdoh5y</v>
      </c>
    </row>
    <row r="13898" spans="1:5" ht="15" customHeight="1" x14ac:dyDescent="0.2">
      <c r="A13898" s="1" t="s">
        <v>27379</v>
      </c>
      <c r="B13898" s="1">
        <v>0</v>
      </c>
      <c r="C13898" s="3">
        <v>44529.944490740738</v>
      </c>
      <c r="D13898" s="1" t="s">
        <v>27380</v>
      </c>
      <c r="E13898" s="1" t="str">
        <f ca="1">IFERROR(__xludf.DUMMYFUNCTION("GOOGLETRANSLATE(A10697 , ""tr"" , ""en"")"),"@drfahrettinkoca 190 No. 2597 Say in Health Services and Assistant Health Services Class Ruler in 190 ... https://t.co/cqlkav0xsa")</f>
        <v>@drfahrettinkoca 190 No. 2597 Say in Health Services and Assistant Health Services Class Ruler in 190 ... https://t.co/cqlkav0xsa</v>
      </c>
    </row>
    <row r="13899" spans="1:5" ht="15" customHeight="1" x14ac:dyDescent="0.2">
      <c r="A13899" s="1" t="s">
        <v>27381</v>
      </c>
      <c r="B13899" s="1">
        <v>0</v>
      </c>
      <c r="C13899" s="3">
        <v>44529.944004629629</v>
      </c>
      <c r="D13899" s="1" t="s">
        <v>27382</v>
      </c>
      <c r="E13899" s="1" t="str">
        <f ca="1">IFERROR(__xludf.DUMMYFUNCTION("GOOGLETRANSLATE(A10698 , ""tr"" , ""en"")"),"@drfahrettinkoca LI KHK's ""Nite 4597 in Health Services and Auxiliary Health Care Ruler ... https://t.co/bciorwq4yj")</f>
        <v>@drfahrettinkoca LI KHK's "Nite 4597 in Health Services and Auxiliary Health Care Ruler ... https://t.co/bciorwq4yj</v>
      </c>
    </row>
    <row r="13900" spans="1:5" ht="15" customHeight="1" x14ac:dyDescent="0.2">
      <c r="A13900" s="1" t="s">
        <v>27383</v>
      </c>
      <c r="B13900" s="1">
        <v>0</v>
      </c>
      <c r="C13900" s="3">
        <v>44529.943761574075</v>
      </c>
      <c r="D13900" s="1" t="s">
        <v>27384</v>
      </c>
      <c r="E13900" s="1" t="str">
        <f ca="1">IFERROR(__xludf.DUMMYFUNCTION("GOOGLETRANSLATE(A10699 , ""tr"" , ""en"")"),"@drfahrettinkoca No. 4597 Say in Health Services and Assistant Health Services Class Ruler Numbers. Https://t.co/weey5ypw7b")</f>
        <v>@drfahrettinkoca No. 4597 Say in Health Services and Assistant Health Services Class Ruler Numbers. Https://t.co/weey5ypw7b</v>
      </c>
    </row>
    <row r="13901" spans="1:5" ht="15" customHeight="1" x14ac:dyDescent="0.2">
      <c r="A13901" s="1" t="s">
        <v>27385</v>
      </c>
      <c r="B13901" s="1">
        <v>0</v>
      </c>
      <c r="C13901" s="3">
        <v>44529.943668981483</v>
      </c>
      <c r="D13901" s="1" t="s">
        <v>27386</v>
      </c>
      <c r="E13901" s="1" t="str">
        <f ca="1">IFERROR(__xludf.DUMMYFUNCTION("GOOGLETRANSLATE(A10700 , ""tr"" , ""en"")"),"@drfahrettinkoca No. 2597 Say in Health Services and Assistant Health Services Class Ruler Numbers in 190 ... Https://t.co/rxvclg5hjz")</f>
        <v>@drfahrettinkoca No. 2597 Say in Health Services and Assistant Health Services Class Ruler Numbers in 190 ... Https://t.co/rxvclg5hjz</v>
      </c>
    </row>
    <row r="13902" spans="1:5" ht="15" customHeight="1" x14ac:dyDescent="0.2">
      <c r="A13902" s="1" t="s">
        <v>27387</v>
      </c>
      <c r="B13902" s="1">
        <v>0</v>
      </c>
      <c r="C13902" s="3">
        <v>44529.943518518521</v>
      </c>
      <c r="D13902" s="1" t="s">
        <v>27388</v>
      </c>
      <c r="E13902" s="1" t="str">
        <f ca="1">IFERROR(__xludf.DUMMYFUNCTION("GOOGLETRANSLATE(A10701 , ""tr"" , ""en"")"),"@drfahrettinkoca 190 No. 2597 Say in Health Services and Auxiliary Health Services Class Ruler in 190 ... Https://t.co/wtloo7u9uw")</f>
        <v>@drfahrettinkoca 190 No. 2597 Say in Health Services and Auxiliary Health Services Class Ruler in 190 ... Https://t.co/wtloo7u9uw</v>
      </c>
    </row>
    <row r="13903" spans="1:5" ht="15" customHeight="1" x14ac:dyDescent="0.2">
      <c r="A13903" s="1" t="s">
        <v>27389</v>
      </c>
      <c r="B13903" s="1">
        <v>0</v>
      </c>
      <c r="C13903" s="3">
        <v>44529.943379629629</v>
      </c>
      <c r="D13903" s="1" t="s">
        <v>27390</v>
      </c>
      <c r="E13903" s="1" t="str">
        <f ca="1">IFERROR(__xludf.DUMMYFUNCTION("GOOGLETRANSLATE(A10702 , ""tr"" , ""en"")"),"@drfahrettinkoca 190 No. 2597 Say in Health Services and Auxiliary Health Services Class Ruler in 190 ... Https://t.co/rfyphdf1t0")</f>
        <v>@drfahrettinkoca 190 No. 2597 Say in Health Services and Auxiliary Health Services Class Ruler in 190 ... Https://t.co/rfyphdf1t0</v>
      </c>
    </row>
    <row r="13904" spans="1:5" ht="15" customHeight="1" x14ac:dyDescent="0.2">
      <c r="A13904" s="1" t="s">
        <v>27391</v>
      </c>
      <c r="B13904" s="1">
        <v>0</v>
      </c>
      <c r="C13904" s="3">
        <v>44529.943240740744</v>
      </c>
      <c r="D13904" s="1" t="s">
        <v>27392</v>
      </c>
      <c r="E13904" s="1" t="str">
        <f ca="1">IFERROR(__xludf.DUMMYFUNCTION("GOOGLETRANSLATE(A10703 , ""tr"" , ""en"")"),"@drfahrettinkoca No. 2597 Say in Health Services and Auxiliary Health Services Class Ruler Numbers. Https://t.co/jnrqmsh5h1")</f>
        <v>@drfahrettinkoca No. 2597 Say in Health Services and Auxiliary Health Services Class Ruler Numbers. Https://t.co/jnrqmsh5h1</v>
      </c>
    </row>
    <row r="13905" spans="1:5" ht="15" customHeight="1" x14ac:dyDescent="0.2">
      <c r="A13905" s="1" t="s">
        <v>27393</v>
      </c>
      <c r="B13905" s="1">
        <v>0</v>
      </c>
      <c r="C13905" s="3">
        <v>44529.943101851852</v>
      </c>
      <c r="D13905" s="1" t="s">
        <v>27394</v>
      </c>
      <c r="E13905" s="1" t="str">
        <f ca="1">IFERROR(__xludf.DUMMYFUNCTION("GOOGLETRANSLATE(A10704 , ""tr"" , ""en"")"),"@drfahrettinkoca No. 2597 Say in Health Services and Assistant Health Services Class Ruler No. 190")</f>
        <v>@drfahrettinkoca No. 2597 Say in Health Services and Assistant Health Services Class Ruler No. 190</v>
      </c>
    </row>
    <row r="13906" spans="1:5" ht="15" customHeight="1" x14ac:dyDescent="0.2">
      <c r="A13906" s="1" t="s">
        <v>27395</v>
      </c>
      <c r="B13906" s="1">
        <v>0</v>
      </c>
      <c r="C13906" s="3">
        <v>44529.942893518521</v>
      </c>
      <c r="D13906" s="1" t="s">
        <v>27396</v>
      </c>
      <c r="E13906" s="1" t="str">
        <f ca="1">IFERROR(__xludf.DUMMYFUNCTION("GOOGLETRANSLATE(A10705 , ""tr"" , ""en"")"),"@drfahrettinkoca No. 2597 Say in Health Services and Auxiliary Health Care Ruler No. 190")</f>
        <v>@drfahrettinkoca No. 2597 Say in Health Services and Auxiliary Health Care Ruler No. 190</v>
      </c>
    </row>
    <row r="13907" spans="1:5" ht="15" customHeight="1" x14ac:dyDescent="0.2">
      <c r="A13907" s="1" t="s">
        <v>27397</v>
      </c>
      <c r="B13907" s="1">
        <v>0</v>
      </c>
      <c r="C13907" s="3">
        <v>44529.942743055559</v>
      </c>
      <c r="D13907" s="1" t="s">
        <v>27398</v>
      </c>
      <c r="E13907" s="1" t="str">
        <f ca="1">IFERROR(__xludf.DUMMYFUNCTION("GOOGLETRANSLATE(A10706 , ""tr"" , ""en"")"),"@drfahrettinkoca 190 No. 2597 Say in Health Services and Auxiliary Health Services Class Ruler in 190 ... Https://t.co/nuj5vc8hpr")</f>
        <v>@drfahrettinkoca 190 No. 2597 Say in Health Services and Auxiliary Health Services Class Ruler in 190 ... Https://t.co/nuj5vc8hpr</v>
      </c>
    </row>
    <row r="13908" spans="1:5" ht="15" customHeight="1" x14ac:dyDescent="0.2">
      <c r="A13908" s="1" t="s">
        <v>27399</v>
      </c>
      <c r="B13908" s="1">
        <v>0</v>
      </c>
      <c r="C13908" s="3">
        <v>44529.942615740743</v>
      </c>
      <c r="D13908" s="1" t="s">
        <v>27400</v>
      </c>
      <c r="E13908" s="1" t="str">
        <f ca="1">IFERROR(__xludf.DUMMYFUNCTION("GOOGLETRANSLATE(A10707 , ""tr"" , ""en"")"),"@drfahrettinkoca No. 4597 Say in Health Services and Auxiliary Health Services Class Ruler Numbers in 190 ... Https://t.co/cotafhq0tk")</f>
        <v>@drfahrettinkoca No. 4597 Say in Health Services and Auxiliary Health Services Class Ruler Numbers in 190 ... Https://t.co/cotafhq0tk</v>
      </c>
    </row>
    <row r="13909" spans="1:5" ht="15" customHeight="1" x14ac:dyDescent="0.2">
      <c r="A13909" s="1" t="s">
        <v>27401</v>
      </c>
      <c r="B13909" s="1">
        <v>0</v>
      </c>
      <c r="C13909" s="3">
        <v>44529.942499999997</v>
      </c>
      <c r="D13909" s="1" t="s">
        <v>27402</v>
      </c>
      <c r="E13909" s="1" t="str">
        <f ca="1">IFERROR(__xludf.DUMMYFUNCTION("GOOGLETRANSLATE(A10708 , ""tr"" , ""en"")"),"@drfahrettinkoca 2597 Say in Health Services and Auxiliary Health Services Class Ruler No. 190")</f>
        <v>@drfahrettinkoca 2597 Say in Health Services and Auxiliary Health Services Class Ruler No. 190</v>
      </c>
    </row>
    <row r="13910" spans="1:5" ht="15" customHeight="1" x14ac:dyDescent="0.2">
      <c r="A13910" s="1" t="s">
        <v>27403</v>
      </c>
      <c r="B13910" s="1">
        <v>0</v>
      </c>
      <c r="C13910" s="3">
        <v>44529.942337962966</v>
      </c>
      <c r="D13910" s="1" t="s">
        <v>27404</v>
      </c>
      <c r="E13910" s="1" t="str">
        <f ca="1">IFERROR(__xludf.DUMMYFUNCTION("GOOGLETRANSLATE(A10709 , ""tr"" , ""en"")"),"@drfahrettinkoca 190 No. 2597 Say in Health Services and Auxiliary Health Services Class Ruler of 190 ... https://t.co/xrqz20cwqt")</f>
        <v>@drfahrettinkoca 190 No. 2597 Say in Health Services and Auxiliary Health Services Class Ruler of 190 ... https://t.co/xrqz20cwqt</v>
      </c>
    </row>
    <row r="13911" spans="1:5" ht="15" customHeight="1" x14ac:dyDescent="0.2">
      <c r="A13911" s="1" t="s">
        <v>27405</v>
      </c>
      <c r="B13911" s="1">
        <v>0</v>
      </c>
      <c r="C13911" s="3">
        <v>44529.94222222222</v>
      </c>
      <c r="D13911" s="1" t="s">
        <v>27406</v>
      </c>
      <c r="E13911" s="1" t="str">
        <f ca="1">IFERROR(__xludf.DUMMYFUNCTION("GOOGLETRANSLATE(A10710 , ""tr"" , ""en"")"),"@drfahrettinkoca 190 No. 2597 Say in Health Services and Auxiliary Health Services Class Ruler in 190 ... Https://t.co/frdlcxjgu3")</f>
        <v>@drfahrettinkoca 190 No. 2597 Say in Health Services and Auxiliary Health Services Class Ruler in 190 ... Https://t.co/frdlcxjgu3</v>
      </c>
    </row>
    <row r="13912" spans="1:5" ht="15" customHeight="1" x14ac:dyDescent="0.2">
      <c r="A13912" s="1" t="s">
        <v>27407</v>
      </c>
      <c r="B13912" s="1">
        <v>0</v>
      </c>
      <c r="C13912" s="3">
        <v>44529.941747685189</v>
      </c>
      <c r="D13912" s="1" t="s">
        <v>27408</v>
      </c>
      <c r="E13912" s="1" t="str">
        <f ca="1">IFERROR(__xludf.DUMMYFUNCTION("GOOGLETRANSLATE(A10711 , ""tr"" , ""en"")"),"@drfahrettinkoca No. 4597 Say in Health Services and Auxiliary Health Services Class Ruler Numbers. Https://t.co/ks1n0sgagb")</f>
        <v>@drfahrettinkoca No. 4597 Say in Health Services and Auxiliary Health Services Class Ruler Numbers. Https://t.co/ks1n0sgagb</v>
      </c>
    </row>
    <row r="13913" spans="1:5" ht="15" customHeight="1" x14ac:dyDescent="0.2">
      <c r="A13913" s="1" t="s">
        <v>27409</v>
      </c>
      <c r="B13913" s="1">
        <v>0</v>
      </c>
      <c r="C13913" s="3">
        <v>44529.941620370373</v>
      </c>
      <c r="D13913" s="1" t="s">
        <v>27410</v>
      </c>
      <c r="E13913" s="1" t="str">
        <f ca="1">IFERROR(__xludf.DUMMYFUNCTION("GOOGLETRANSLATE(A10712 , ""tr"" , ""en"")"),"@drfahrettinkoca 190 No. 2597 Say in Health Services and Assistant Health Services Class Ruler in 190 ... https://t.co/rxtrg0k6ID")</f>
        <v>@drfahrettinkoca 190 No. 2597 Say in Health Services and Assistant Health Services Class Ruler in 190 ... https://t.co/rxtrg0k6ID</v>
      </c>
    </row>
    <row r="13914" spans="1:5" ht="15" customHeight="1" x14ac:dyDescent="0.2">
      <c r="A13914" s="1" t="s">
        <v>27411</v>
      </c>
      <c r="B13914" s="1">
        <v>0</v>
      </c>
      <c r="C13914" s="3">
        <v>44529.941527777781</v>
      </c>
      <c r="D13914" s="1" t="s">
        <v>27412</v>
      </c>
      <c r="E13914" s="1" t="str">
        <f ca="1">IFERROR(__xludf.DUMMYFUNCTION("GOOGLETRANSLATE(A10713 , ""tr"" , ""en"")"),"@drfahrettinkoca 190 No. 2597 Say in Health Services and Auxiliary Health Services Class Ruler in 190 ... Https://t.co/pal4x82udv")</f>
        <v>@drfahrettinkoca 190 No. 2597 Say in Health Services and Auxiliary Health Services Class Ruler in 190 ... Https://t.co/pal4x82udv</v>
      </c>
    </row>
    <row r="13915" spans="1:5" ht="15" customHeight="1" x14ac:dyDescent="0.2">
      <c r="A13915" s="1" t="s">
        <v>27413</v>
      </c>
      <c r="B13915" s="1">
        <v>0</v>
      </c>
      <c r="C13915" s="3">
        <v>44529.941446759258</v>
      </c>
      <c r="D13915" s="1" t="s">
        <v>27414</v>
      </c>
      <c r="E13915" s="1" t="str">
        <f ca="1">IFERROR(__xludf.DUMMYFUNCTION("GOOGLETRANSLATE(A10714 , ""tr"" , ""en"")"),"@drfahrettinkoca 2597 Say in Health Services and Auxiliary Health Care Ruler No. 190")</f>
        <v>@drfahrettinkoca 2597 Say in Health Services and Auxiliary Health Care Ruler No. 190</v>
      </c>
    </row>
    <row r="13916" spans="1:5" ht="15" customHeight="1" x14ac:dyDescent="0.2">
      <c r="A13916" s="1" t="s">
        <v>27415</v>
      </c>
      <c r="B13916" s="1">
        <v>0</v>
      </c>
      <c r="C13916" s="3">
        <v>44529.941365740742</v>
      </c>
      <c r="D13916" s="1" t="s">
        <v>27416</v>
      </c>
      <c r="E13916" s="1" t="str">
        <f ca="1">IFERROR(__xludf.DUMMYFUNCTION("GOOGLETRANSLATE(A10715 , ""tr"" , ""en"")"),"@drfahrettinkoca No. 2597 Say in Health Services and Assistant Health Services Class Ruler Numbered in 190 ... https://t.co/0gk3ydujbn")</f>
        <v>@drfahrettinkoca No. 2597 Say in Health Services and Assistant Health Services Class Ruler Numbered in 190 ... https://t.co/0gk3ydujbn</v>
      </c>
    </row>
    <row r="13917" spans="1:5" ht="15" customHeight="1" x14ac:dyDescent="0.2">
      <c r="A13917" s="1" t="s">
        <v>27417</v>
      </c>
      <c r="B13917" s="1">
        <v>0</v>
      </c>
      <c r="C13917" s="3">
        <v>44529.941238425927</v>
      </c>
      <c r="D13917" s="1" t="s">
        <v>27418</v>
      </c>
      <c r="E13917" s="1" t="str">
        <f ca="1">IFERROR(__xludf.DUMMYFUNCTION("GOOGLETRANSLATE(A10716 , ""tr"" , ""en"")"),"@drfahrettinkoca 190 No. 2597 Say in Health Services and Auxiliary Health Services Class Ruler in 190 ... https://t.co/qavqoncx9a")</f>
        <v>@drfahrettinkoca 190 No. 2597 Say in Health Services and Auxiliary Health Services Class Ruler in 190 ... https://t.co/qavqoncx9a</v>
      </c>
    </row>
    <row r="13918" spans="1:5" ht="15" customHeight="1" x14ac:dyDescent="0.2">
      <c r="A13918" s="1" t="s">
        <v>27419</v>
      </c>
      <c r="B13918" s="1">
        <v>0</v>
      </c>
      <c r="C13918" s="3">
        <v>44529.941203703704</v>
      </c>
      <c r="D13918" s="1" t="s">
        <v>27420</v>
      </c>
      <c r="E13918" s="1" t="str">
        <f ca="1">IFERROR(__xludf.DUMMYFUNCTION("GOOGLETRANSLATE(A10717 , ""tr"" , ""en"")"),"@drfahrettinkoca No. 2597 Say in Health Services and Assistant Health Services Class Ruler Numbers in 190 ... https://t.co/oyclpgnkp9")</f>
        <v>@drfahrettinkoca No. 2597 Say in Health Services and Assistant Health Services Class Ruler Numbers in 190 ... https://t.co/oyclpgnkp9</v>
      </c>
    </row>
    <row r="13919" spans="1:5" ht="15" customHeight="1" x14ac:dyDescent="0.2">
      <c r="A13919" s="1" t="s">
        <v>27421</v>
      </c>
      <c r="B13919" s="1">
        <v>0</v>
      </c>
      <c r="C13919" s="3">
        <v>44529.940949074073</v>
      </c>
      <c r="D13919" s="1" t="s">
        <v>27422</v>
      </c>
      <c r="E13919" s="1" t="str">
        <f ca="1">IFERROR(__xludf.DUMMYFUNCTION("GOOGLETRANSLATE(A10718 , ""tr"" , ""en"")"),"@drfahrettinkoca 190 No. 2597 Say in Health Services and Assistant Health Services Class Ruler")</f>
        <v>@drfahrettinkoca 190 No. 2597 Say in Health Services and Assistant Health Services Class Ruler</v>
      </c>
    </row>
    <row r="13920" spans="1:5" ht="15" customHeight="1" x14ac:dyDescent="0.2">
      <c r="A13920" s="1" t="s">
        <v>27423</v>
      </c>
      <c r="B13920" s="1">
        <v>0</v>
      </c>
      <c r="C13920" s="3">
        <v>44529.940844907411</v>
      </c>
      <c r="D13920" s="1" t="s">
        <v>27424</v>
      </c>
      <c r="E13920" s="1" t="str">
        <f ca="1">IFERROR(__xludf.DUMMYFUNCTION("GOOGLETRANSLATE(A10719 , ""tr"" , ""en"")"),"@drfahrettinkoca 2597 Say in Health Services and Assistant Health Services Class Ruler No. 190")</f>
        <v>@drfahrettinkoca 2597 Say in Health Services and Assistant Health Services Class Ruler No. 190</v>
      </c>
    </row>
    <row r="13921" spans="1:5" ht="15" customHeight="1" x14ac:dyDescent="0.2">
      <c r="A13921" s="1" t="s">
        <v>27425</v>
      </c>
      <c r="B13921" s="1">
        <v>0</v>
      </c>
      <c r="C13921" s="3">
        <v>44529.940729166665</v>
      </c>
      <c r="D13921" s="1" t="s">
        <v>27426</v>
      </c>
      <c r="E13921" s="1" t="str">
        <f ca="1">IFERROR(__xludf.DUMMYFUNCTION("GOOGLETRANSLATE(A10720 , ""tr"" , ""en"")"),"@drfahrettinkoca No. 4597 Say in Health Services and Auxiliary Health Services Class Ruler, numbered 190 ... Https://t.co/doupyj1ast")</f>
        <v>@drfahrettinkoca No. 4597 Say in Health Services and Auxiliary Health Services Class Ruler, numbered 190 ... Https://t.co/doupyj1ast</v>
      </c>
    </row>
    <row r="13922" spans="1:5" ht="15" customHeight="1" x14ac:dyDescent="0.2">
      <c r="A13922" s="1" t="s">
        <v>27427</v>
      </c>
      <c r="B13922" s="1">
        <v>0</v>
      </c>
      <c r="C13922" s="3">
        <v>44529.940648148149</v>
      </c>
      <c r="D13922" s="1" t="s">
        <v>27428</v>
      </c>
      <c r="E13922" s="1" t="str">
        <f ca="1">IFERROR(__xludf.DUMMYFUNCTION("GOOGLETRANSLATE(A10721 , ""tr"" , ""en"")"),"@drfahrettinkoca No. 2597 Say in Health Services and Assistant Health Services Class Ruler No. 190")</f>
        <v>@drfahrettinkoca No. 2597 Say in Health Services and Assistant Health Services Class Ruler No. 190</v>
      </c>
    </row>
    <row r="13923" spans="1:5" ht="15" customHeight="1" x14ac:dyDescent="0.2">
      <c r="A13923" s="1" t="s">
        <v>27429</v>
      </c>
      <c r="B13923" s="1">
        <v>0</v>
      </c>
      <c r="C13923" s="3">
        <v>44529.940405092595</v>
      </c>
      <c r="D13923" s="1" t="s">
        <v>27430</v>
      </c>
      <c r="E13923" s="1" t="str">
        <f ca="1">IFERROR(__xludf.DUMMYFUNCTION("GOOGLETRANSLATE(A10722 , ""tr"" , ""en"")"),"@drfahrettinka yvcxui")</f>
        <v>@drfahrettinka yvcxui</v>
      </c>
    </row>
    <row r="13924" spans="1:5" ht="15" customHeight="1" x14ac:dyDescent="0.2">
      <c r="A13924" s="1" t="s">
        <v>27431</v>
      </c>
      <c r="B13924" s="1">
        <v>6</v>
      </c>
      <c r="C13924" s="3">
        <v>44529.940324074072</v>
      </c>
      <c r="D13924" s="1" t="s">
        <v>27432</v>
      </c>
      <c r="E13924" s="1" t="str">
        <f ca="1">IFERROR(__xludf.DUMMYFUNCTION("GOOGLETRANSLATE(A10723 , ""tr"" , ""en"")"),"@drfahrettinkoca 2597 Say in Health Services and Auxiliary Health Services Class Ruler No. 190")</f>
        <v>@drfahrettinkoca 2597 Say in Health Services and Auxiliary Health Services Class Ruler No. 190</v>
      </c>
    </row>
    <row r="13925" spans="1:5" ht="15" customHeight="1" x14ac:dyDescent="0.2">
      <c r="A13925" s="1" t="s">
        <v>27433</v>
      </c>
      <c r="B13925" s="1">
        <v>0</v>
      </c>
      <c r="C13925" s="3">
        <v>44529.940162037034</v>
      </c>
      <c r="D13925" s="1" t="s">
        <v>27434</v>
      </c>
      <c r="E13925" s="1" t="str">
        <f ca="1">IFERROR(__xludf.DUMMYFUNCTION("GOOGLETRANSLATE(A10724 , ""tr"" , ""en"")"),"@drfahrettinkoca 190 No. 190 is the ""health services and auxiliary health care class ruler within 4597 Say ... https://t.co/AJOOVNIUKR")</f>
        <v>@drfahrettinkoca 190 No. 190 is the "health services and auxiliary health care class ruler within 4597 Say ... https://t.co/AJOOVNIUKR</v>
      </c>
    </row>
    <row r="13926" spans="1:5" ht="15" customHeight="1" x14ac:dyDescent="0.2">
      <c r="A13926" s="1" t="s">
        <v>27435</v>
      </c>
      <c r="B13926" s="1">
        <v>0</v>
      </c>
      <c r="C13926" s="3">
        <v>44529.939652777779</v>
      </c>
      <c r="D13926" s="1" t="s">
        <v>27436</v>
      </c>
      <c r="E13926" s="1" t="str">
        <f ca="1">IFERROR(__xludf.DUMMYFUNCTION("GOOGLETRANSLATE(A10725 , ""tr"" , ""en"")"),"@drfahrettinkoca 2597 Say in Health Services and Auxiliary Health Services Class Ruler No. 190")</f>
        <v>@drfahrettinkoca 2597 Say in Health Services and Auxiliary Health Services Class Ruler No. 190</v>
      </c>
    </row>
    <row r="13927" spans="1:5" ht="15" customHeight="1" x14ac:dyDescent="0.2">
      <c r="A13927" s="1" t="s">
        <v>27437</v>
      </c>
      <c r="B13927" s="1">
        <v>0</v>
      </c>
      <c r="C13927" s="3">
        <v>44529.939525462964</v>
      </c>
      <c r="D13927" s="1" t="s">
        <v>27438</v>
      </c>
      <c r="E13927" s="1" t="str">
        <f ca="1">IFERROR(__xludf.DUMMYFUNCTION("GOOGLETRANSLATE(A10726 , ""tr"" , ""en"")"),"@drfahrettinkoca 190 No. 2597 Say in Health Services and Assistant Health Services Class Ruler in 190 ... https://t.co/nmc6c72fft")</f>
        <v>@drfahrettinkoca 190 No. 2597 Say in Health Services and Assistant Health Services Class Ruler in 190 ... https://t.co/nmc6c72fft</v>
      </c>
    </row>
    <row r="13928" spans="1:5" ht="15" customHeight="1" x14ac:dyDescent="0.2">
      <c r="A13928" s="1" t="s">
        <v>27439</v>
      </c>
      <c r="B13928" s="1">
        <v>0</v>
      </c>
      <c r="C13928" s="3">
        <v>44529.938981481479</v>
      </c>
      <c r="D13928" s="1" t="s">
        <v>27440</v>
      </c>
      <c r="E13928" s="1" t="str">
        <f ca="1">IFERROR(__xludf.DUMMYFUNCTION("GOOGLETRANSLATE(A10727 , ""tr"" , ""en"")"),"@drfahrettinkoca 2597 Say in Health Services and Assistant Health Services Class Ruler No. 190")</f>
        <v>@drfahrettinkoca 2597 Say in Health Services and Assistant Health Services Class Ruler No. 190</v>
      </c>
    </row>
    <row r="13929" spans="1:5" ht="15" customHeight="1" x14ac:dyDescent="0.2">
      <c r="A13929" s="1" t="s">
        <v>27441</v>
      </c>
      <c r="B13929" s="1">
        <v>0</v>
      </c>
      <c r="C13929" s="3">
        <v>44529.938530092593</v>
      </c>
      <c r="D13929" s="1" t="s">
        <v>27442</v>
      </c>
      <c r="E13929" s="1" t="str">
        <f ca="1">IFERROR(__xludf.DUMMYFUNCTION("GOOGLETRANSLATE(A10728 , ""tr"" , ""en"")"),"@drfahrettinkoca No. 2597 Say in Health Services and Assistant Health Services Class Ruler No. 190")</f>
        <v>@drfahrettinkoca No. 2597 Say in Health Services and Assistant Health Services Class Ruler No. 190</v>
      </c>
    </row>
    <row r="13930" spans="1:5" ht="15" customHeight="1" x14ac:dyDescent="0.2">
      <c r="A13930" s="1" t="s">
        <v>27443</v>
      </c>
      <c r="B13930" s="1">
        <v>0</v>
      </c>
      <c r="C13930" s="3">
        <v>44529.938449074078</v>
      </c>
      <c r="D13930" s="1" t="s">
        <v>27444</v>
      </c>
      <c r="E13930" s="1" t="str">
        <f ca="1">IFERROR(__xludf.DUMMYFUNCTION("GOOGLETRANSLATE(A10729 , ""tr"" , ""en"")"),"@drfahrettinkoca 190 No. 2597 Say in Health Services and Assistant Health Services Class Ruler in 190 ... https://t.co/ptfj2sxcmb")</f>
        <v>@drfahrettinkoca 190 No. 2597 Say in Health Services and Assistant Health Services Class Ruler in 190 ... https://t.co/ptfj2sxcmb</v>
      </c>
    </row>
    <row r="13931" spans="1:5" ht="15" customHeight="1" x14ac:dyDescent="0.2">
      <c r="A13931" s="1" t="s">
        <v>27445</v>
      </c>
      <c r="B13931" s="1">
        <v>0</v>
      </c>
      <c r="C13931" s="3">
        <v>44529.938437500001</v>
      </c>
      <c r="D13931" s="1" t="s">
        <v>27446</v>
      </c>
      <c r="E13931" s="1" t="str">
        <f ca="1">IFERROR(__xludf.DUMMYFUNCTION("GOOGLETRANSLATE(A10730 , ""tr"" , ""en"")"),"@drfahrettinkoca 2597 Say in Health Services and Auxiliary Health Care Ruler No. 190")</f>
        <v>@drfahrettinkoca 2597 Say in Health Services and Auxiliary Health Care Ruler No. 190</v>
      </c>
    </row>
    <row r="13932" spans="1:5" ht="15" customHeight="1" x14ac:dyDescent="0.2">
      <c r="A13932" s="1" t="s">
        <v>27447</v>
      </c>
      <c r="B13932" s="1">
        <v>0</v>
      </c>
      <c r="C13932" s="3">
        <v>44529.938206018516</v>
      </c>
      <c r="D13932" s="1" t="s">
        <v>27448</v>
      </c>
      <c r="E13932" s="1" t="str">
        <f ca="1">IFERROR(__xludf.DUMMYFUNCTION("GOOGLETRANSLATE(A10731 , ""tr"" , ""en"")"),"@drfahrettinkoca No. 2597 Say in Health Services and Auxiliary Health Services Class Ruler Numbers. Https://t.co/yuıdqmruvg")</f>
        <v>@drfahrettinkoca No. 2597 Say in Health Services and Auxiliary Health Services Class Ruler Numbers. Https://t.co/yuıdqmruvg</v>
      </c>
    </row>
    <row r="13933" spans="1:5" ht="15" customHeight="1" x14ac:dyDescent="0.2">
      <c r="A13933" s="1" t="s">
        <v>27449</v>
      </c>
      <c r="B13933" s="1">
        <v>0</v>
      </c>
      <c r="C13933" s="3">
        <v>44529.937511574077</v>
      </c>
      <c r="D13933" s="1" t="s">
        <v>27450</v>
      </c>
      <c r="E13933" s="1" t="str">
        <f ca="1">IFERROR(__xludf.DUMMYFUNCTION("GOOGLETRANSLATE(A10732 , ""tr"" , ""en"")"),"@drfahrettinkoca 2597 Say in Health Services and Auxiliary Health Services Class Ruler No. 190")</f>
        <v>@drfahrettinkoca 2597 Say in Health Services and Auxiliary Health Services Class Ruler No. 190</v>
      </c>
    </row>
    <row r="13934" spans="1:5" ht="15" customHeight="1" x14ac:dyDescent="0.2">
      <c r="A13934" s="1" t="s">
        <v>27451</v>
      </c>
      <c r="B13934" s="1">
        <v>0</v>
      </c>
      <c r="C13934" s="3">
        <v>44529.937337962961</v>
      </c>
      <c r="D13934" s="1" t="s">
        <v>27452</v>
      </c>
      <c r="E13934" s="1" t="str">
        <f ca="1">IFERROR(__xludf.DUMMYFUNCTION("GOOGLETRANSLATE(A10733 , ""tr"" , ""en"")"),"@drfahrettinkoca 190 No. 2597 Say in Health Services and Auxiliary Health Services Class Ruler in 190 ... HTTPS://T.CO/98XTFITIQL")</f>
        <v>@drfahrettinkoca 190 No. 2597 Say in Health Services and Auxiliary Health Services Class Ruler in 190 ... HTTPS://T.CO/98XTFITIQL</v>
      </c>
    </row>
    <row r="13935" spans="1:5" ht="15" customHeight="1" x14ac:dyDescent="0.2">
      <c r="A13935" s="1" t="s">
        <v>27453</v>
      </c>
      <c r="B13935" s="1">
        <v>0</v>
      </c>
      <c r="C13935" s="3">
        <v>44529.937002314815</v>
      </c>
      <c r="D13935" s="1" t="s">
        <v>27454</v>
      </c>
      <c r="E13935" s="1" t="str">
        <f ca="1">IFERROR(__xludf.DUMMYFUNCTION("GOOGLETRANSLATE(A10734 , ""tr"" , ""en"")"),"@drfahrettinkoca 2597 Say in KHK ""Health Services and Assistant Health Care Ruler No. 190")</f>
        <v>@drfahrettinkoca 2597 Say in KHK "Health Services and Assistant Health Care Ruler No. 190</v>
      </c>
    </row>
    <row r="13936" spans="1:5" ht="15" customHeight="1" x14ac:dyDescent="0.2">
      <c r="A13936" s="1" t="s">
        <v>27455</v>
      </c>
      <c r="B13936" s="1">
        <v>0</v>
      </c>
      <c r="C13936" s="3">
        <v>44529.936921296299</v>
      </c>
      <c r="D13936" s="1" t="s">
        <v>27456</v>
      </c>
      <c r="E13936" s="1" t="str">
        <f ca="1">IFERROR(__xludf.DUMMYFUNCTION("GOOGLETRANSLATE(A10735 , ""tr"" , ""en"")"),"@drfahrettinkoca 190 No. 2597 Say in Health Services and Assistant Health Services Class Ruler in 190 ... https://t.co/7hqsavsomk")</f>
        <v>@drfahrettinkoca 190 No. 2597 Say in Health Services and Assistant Health Services Class Ruler in 190 ... https://t.co/7hqsavsomk</v>
      </c>
    </row>
    <row r="13937" spans="1:5" ht="15" customHeight="1" x14ac:dyDescent="0.2">
      <c r="A13937" s="1" t="s">
        <v>27457</v>
      </c>
      <c r="B13937" s="1">
        <v>0</v>
      </c>
      <c r="C13937" s="3">
        <v>44529.936828703707</v>
      </c>
      <c r="D13937" s="1" t="s">
        <v>27458</v>
      </c>
      <c r="E13937" s="1" t="str">
        <f ca="1">IFERROR(__xludf.DUMMYFUNCTION("GOOGLETRANSLATE(A10736 , ""tr"" , ""en"")"),"@drfahrettinkoca No. 2597 Say in Health Services and Assistant Health Services Class Ruler Numbers in 190 ... https://t.co/xbes77dj3n")</f>
        <v>@drfahrettinkoca No. 2597 Say in Health Services and Assistant Health Services Class Ruler Numbers in 190 ... https://t.co/xbes77dj3n</v>
      </c>
    </row>
    <row r="13938" spans="1:5" ht="15" customHeight="1" x14ac:dyDescent="0.2">
      <c r="A13938" s="1" t="s">
        <v>27459</v>
      </c>
      <c r="B13938" s="1">
        <v>0</v>
      </c>
      <c r="C13938" s="3">
        <v>44529.936747685184</v>
      </c>
      <c r="D13938" s="1" t="s">
        <v>27460</v>
      </c>
      <c r="E13938" s="1" t="str">
        <f ca="1">IFERROR(__xludf.DUMMYFUNCTION("GOOGLETRANSLATE(A10737 , ""tr"" , ""en"")"),"@drfahrettinkoca 190 No. 2597 Say in Health Services and Auxiliary Health Services Class Ruler in 190 ... Https://t.co/lgrlz2mz7x")</f>
        <v>@drfahrettinkoca 190 No. 2597 Say in Health Services and Auxiliary Health Services Class Ruler in 190 ... Https://t.co/lgrlz2mz7x</v>
      </c>
    </row>
    <row r="13939" spans="1:5" ht="15" customHeight="1" x14ac:dyDescent="0.2">
      <c r="A13939" s="1" t="s">
        <v>27461</v>
      </c>
      <c r="B13939" s="1">
        <v>0</v>
      </c>
      <c r="C13939" s="3">
        <v>44529.936655092592</v>
      </c>
      <c r="D13939" s="1" t="s">
        <v>27462</v>
      </c>
      <c r="E13939" s="1" t="str">
        <f ca="1">IFERROR(__xludf.DUMMYFUNCTION("GOOGLETRANSLATE(A10738 , ""tr"" , ""en"")"),"@drfahrettinkoca 2597 Say in Health Services and Auxiliary Health Care Ruler No. 190")</f>
        <v>@drfahrettinkoca 2597 Say in Health Services and Auxiliary Health Care Ruler No. 190</v>
      </c>
    </row>
    <row r="13940" spans="1:5" ht="15" customHeight="1" x14ac:dyDescent="0.2">
      <c r="A13940" s="1" t="s">
        <v>27463</v>
      </c>
      <c r="B13940" s="1">
        <v>0</v>
      </c>
      <c r="C13940" s="3">
        <v>44529.936574074076</v>
      </c>
      <c r="D13940" s="1" t="s">
        <v>27464</v>
      </c>
      <c r="E13940" s="1" t="str">
        <f ca="1">IFERROR(__xludf.DUMMYFUNCTION("GOOGLETRANSLATE(A10739 , ""tr"" , ""en"")"),"@drfahrettinkoca No. 4597 Say in Health Services and Assistant Health Services Class Ruler Numbers in 190 ... https://t.co/cn9cegnvfk")</f>
        <v>@drfahrettinkoca No. 4597 Say in Health Services and Assistant Health Services Class Ruler Numbers in 190 ... https://t.co/cn9cegnvfk</v>
      </c>
    </row>
    <row r="13941" spans="1:5" ht="15" customHeight="1" x14ac:dyDescent="0.2">
      <c r="A13941" s="1" t="s">
        <v>27465</v>
      </c>
      <c r="B13941" s="1">
        <v>0</v>
      </c>
      <c r="C13941" s="3">
        <v>44529.936493055553</v>
      </c>
      <c r="D13941" s="1" t="s">
        <v>27466</v>
      </c>
      <c r="E13941" s="1" t="str">
        <f ca="1">IFERROR(__xludf.DUMMYFUNCTION("GOOGLETRANSLATE(A10740 , ""tr"" , ""en"")"),"@drfahrettinkoca 2597 Say in Health Services and Auxiliary Health Services Class Ruler No. 190")</f>
        <v>@drfahrettinkoca 2597 Say in Health Services and Auxiliary Health Services Class Ruler No. 190</v>
      </c>
    </row>
    <row r="13942" spans="1:5" ht="15" customHeight="1" x14ac:dyDescent="0.2">
      <c r="A13942" s="1" t="s">
        <v>27467</v>
      </c>
      <c r="B13942" s="1">
        <v>0</v>
      </c>
      <c r="C13942" s="3">
        <v>44529.935879629629</v>
      </c>
      <c r="D13942" s="1" t="s">
        <v>27468</v>
      </c>
      <c r="E13942" s="1" t="str">
        <f ca="1">IFERROR(__xludf.DUMMYFUNCTION("GOOGLETRANSLATE(A10741 , ""tr"" , ""en"")"),"@drfahrettinkoca 2597 Say in Health Services and Auxiliary Health Services Class Ruler No. 190")</f>
        <v>@drfahrettinkoca 2597 Say in Health Services and Auxiliary Health Services Class Ruler No. 190</v>
      </c>
    </row>
    <row r="13943" spans="1:5" ht="15" customHeight="1" x14ac:dyDescent="0.2">
      <c r="A13943" s="1" t="s">
        <v>27469</v>
      </c>
      <c r="B13943" s="1">
        <v>0</v>
      </c>
      <c r="C13943" s="3">
        <v>44529.93577546296</v>
      </c>
      <c r="D13943" s="1" t="s">
        <v>27470</v>
      </c>
      <c r="E13943" s="1" t="str">
        <f ca="1">IFERROR(__xludf.DUMMYFUNCTION("GOOGLETRANSLATE(A10742 , ""tr"" , ""en"")"),"@drfahrettinkoca 2597 Say in Health Services and Auxiliary Health Services Class Ruler Numbered in 190 ... https://t.co/q2rleqf2iq")</f>
        <v>@drfahrettinkoca 2597 Say in Health Services and Auxiliary Health Services Class Ruler Numbered in 190 ... https://t.co/q2rleqf2iq</v>
      </c>
    </row>
    <row r="13944" spans="1:5" ht="15" customHeight="1" x14ac:dyDescent="0.2">
      <c r="A13944" s="1" t="s">
        <v>27471</v>
      </c>
      <c r="B13944" s="1">
        <v>0</v>
      </c>
      <c r="C13944" s="3">
        <v>44529.935636574075</v>
      </c>
      <c r="D13944" s="1" t="s">
        <v>27472</v>
      </c>
      <c r="E13944" s="1" t="str">
        <f ca="1">IFERROR(__xludf.DUMMYFUNCTION("GOOGLETRANSLATE(A10743 , ""tr"" , ""en"")"),"@drfahrettinkoca BLI KHK ""Nit 4597 in Health Services and Auxiliary Health Care Ruler ... Https://t.co/0poledbwd4")</f>
        <v>@drfahrettinkoca BLI KHK "Nit 4597 in Health Services and Auxiliary Health Care Ruler ... Https://t.co/0poledbwd4</v>
      </c>
    </row>
    <row r="13945" spans="1:5" ht="15" customHeight="1" x14ac:dyDescent="0.2">
      <c r="A13945" s="1" t="s">
        <v>27473</v>
      </c>
      <c r="B13945" s="1">
        <v>0</v>
      </c>
      <c r="C13945" s="3">
        <v>44529.93546296296</v>
      </c>
      <c r="D13945" s="1" t="s">
        <v>27474</v>
      </c>
      <c r="E13945" s="1" t="str">
        <f ca="1">IFERROR(__xludf.DUMMYFUNCTION("GOOGLETRANSLATE(A10744 , ""tr"" , ""en"")"),"@drfahrettinkoca No. 2597 Say in Health Services and Assistant Health Services Class Ruler Numbers. Https://t.co/zukdlhyhrn")</f>
        <v>@drfahrettinkoca No. 2597 Say in Health Services and Assistant Health Services Class Ruler Numbers. Https://t.co/zukdlhyhrn</v>
      </c>
    </row>
    <row r="13946" spans="1:5" ht="15" customHeight="1" x14ac:dyDescent="0.2">
      <c r="A13946" s="1" t="s">
        <v>27475</v>
      </c>
      <c r="B13946" s="1">
        <v>0</v>
      </c>
      <c r="C13946" s="3">
        <v>44529.935381944444</v>
      </c>
      <c r="D13946" s="1" t="s">
        <v>27476</v>
      </c>
      <c r="E13946" s="1" t="str">
        <f ca="1">IFERROR(__xludf.DUMMYFUNCTION("GOOGLETRANSLATE(A10745 , ""tr"" , ""en"")"),"@drfahrettinkoca 190 No. 2597 Say in Health Services and Assistant Health Services Class Ruler in 190 ... https://t.co/tabxucpupf")</f>
        <v>@drfahrettinkoca 190 No. 2597 Say in Health Services and Assistant Health Services Class Ruler in 190 ... https://t.co/tabxucpupf</v>
      </c>
    </row>
    <row r="13947" spans="1:5" ht="15" customHeight="1" x14ac:dyDescent="0.2">
      <c r="A13947" s="1" t="s">
        <v>27477</v>
      </c>
      <c r="B13947" s="1">
        <v>0</v>
      </c>
      <c r="C13947" s="3">
        <v>44529.935277777775</v>
      </c>
      <c r="D13947" s="1" t="s">
        <v>27478</v>
      </c>
      <c r="E13947" s="1" t="str">
        <f ca="1">IFERROR(__xludf.DUMMYFUNCTION("GOOGLETRANSLATE(A10746 , ""tr"" , ""en"")"),"@drfahrettinkoca 190 No. 2597 Say in Health Services and Assistant Health Services Class Ruler in 190")</f>
        <v>@drfahrettinkoca 190 No. 2597 Say in Health Services and Assistant Health Services Class Ruler in 190</v>
      </c>
    </row>
    <row r="13948" spans="1:5" ht="15" customHeight="1" x14ac:dyDescent="0.2">
      <c r="A13948" s="1" t="s">
        <v>27479</v>
      </c>
      <c r="B13948" s="1">
        <v>1</v>
      </c>
      <c r="C13948" s="3">
        <v>44529.935162037036</v>
      </c>
      <c r="D13948" s="1" t="s">
        <v>27480</v>
      </c>
      <c r="E13948" s="1" t="str">
        <f ca="1">IFERROR(__xludf.DUMMYFUNCTION("GOOGLETRANSLATE(A10747 , ""tr"" , ""en"")"),"@drfahrettinkoca you have misered the technicians What are these infamous numbers or what is our crime university ???? @drfahrettinkoca")</f>
        <v>@drfahrettinkoca you have misered the technicians What are these infamous numbers or what is our crime university ???? @drfahrettinkoca</v>
      </c>
    </row>
    <row r="13949" spans="1:5" ht="15" customHeight="1" x14ac:dyDescent="0.2">
      <c r="A13949" s="1" t="s">
        <v>27481</v>
      </c>
      <c r="B13949" s="1">
        <v>0</v>
      </c>
      <c r="C13949" s="3">
        <v>44529.93513888889</v>
      </c>
      <c r="D13949" s="1" t="s">
        <v>27482</v>
      </c>
      <c r="E13949" s="1" t="str">
        <f ca="1">IFERROR(__xludf.DUMMYFUNCTION("GOOGLETRANSLATE(A10748 , ""tr"" , ""en"")"),"@drfahrettinkoca 190 No. 2597 Say in Health Services and Auxiliary Health Services Class Ruler in 190 ... HTTPS://T.CO/AENBX9ECVI")</f>
        <v>@drfahrettinkoca 190 No. 2597 Say in Health Services and Auxiliary Health Services Class Ruler in 190 ... HTTPS://T.CO/AENBX9ECVI</v>
      </c>
    </row>
    <row r="13950" spans="1:5" ht="15" customHeight="1" x14ac:dyDescent="0.2">
      <c r="A13950" s="1" t="s">
        <v>27483</v>
      </c>
      <c r="B13950" s="1">
        <v>0</v>
      </c>
      <c r="C13950" s="3">
        <v>44529.934999999998</v>
      </c>
      <c r="D13950" s="1" t="s">
        <v>27484</v>
      </c>
      <c r="E13950" s="1" t="str">
        <f ca="1">IFERROR(__xludf.DUMMYFUNCTION("GOOGLETRANSLATE(A10749 , ""tr"" , ""en"")"),"@drfahrettinkoca 2597 Say in Health Services and Auxiliary Health Services Class Ruler No. 190")</f>
        <v>@drfahrettinkoca 2597 Say in Health Services and Auxiliary Health Services Class Ruler No. 190</v>
      </c>
    </row>
    <row r="13951" spans="1:5" ht="15" customHeight="1" x14ac:dyDescent="0.2">
      <c r="A13951" s="1" t="s">
        <v>27485</v>
      </c>
      <c r="B13951" s="1">
        <v>0</v>
      </c>
      <c r="C13951" s="3">
        <v>44529.934884259259</v>
      </c>
      <c r="D13951" s="1" t="s">
        <v>27486</v>
      </c>
      <c r="E13951" s="1" t="str">
        <f ca="1">IFERROR(__xludf.DUMMYFUNCTION("GOOGLETRANSLATE(A10750 , ""tr"" , ""en"")"),"@drfahrettinkoca No. 2597 Say in Health Services and Assistant Health Services Class Ruler No. 190")</f>
        <v>@drfahrettinkoca No. 2597 Say in Health Services and Assistant Health Services Class Ruler No. 190</v>
      </c>
    </row>
    <row r="13952" spans="1:5" ht="15" customHeight="1" x14ac:dyDescent="0.2">
      <c r="A13952" s="1" t="s">
        <v>27487</v>
      </c>
      <c r="B13952" s="1">
        <v>0</v>
      </c>
      <c r="C13952" s="3">
        <v>44529.934733796297</v>
      </c>
      <c r="D13952" s="1" t="s">
        <v>27488</v>
      </c>
      <c r="E13952" s="1" t="str">
        <f ca="1">IFERROR(__xludf.DUMMYFUNCTION("GOOGLETRANSLATE(A10751 , ""tr"" , ""en"")"),"@drfahrettinkoca 2597 Say in Health Services and Auxiliary Health Care Ruler No. 190")</f>
        <v>@drfahrettinkoca 2597 Say in Health Services and Auxiliary Health Care Ruler No. 190</v>
      </c>
    </row>
    <row r="13953" spans="1:5" ht="15" customHeight="1" x14ac:dyDescent="0.2">
      <c r="A13953" s="1" t="s">
        <v>27489</v>
      </c>
      <c r="B13953" s="1">
        <v>0</v>
      </c>
      <c r="C13953" s="3">
        <v>44529.934652777774</v>
      </c>
      <c r="D13953" s="1" t="s">
        <v>27490</v>
      </c>
      <c r="E13953" s="1" t="str">
        <f ca="1">IFERROR(__xludf.DUMMYFUNCTION("GOOGLETRANSLATE(A10752 , ""tr"" , ""en"")"),"@drfahrettinkoca No. 190 is the ""Health Services and Assistant Health Services Class Ruler 4597 Say ... https://t.co/v8ea3jsq17")</f>
        <v>@drfahrettinkoca No. 190 is the "Health Services and Assistant Health Services Class Ruler 4597 Say ... https://t.co/v8ea3jsq17</v>
      </c>
    </row>
    <row r="13954" spans="1:5" ht="15" customHeight="1" x14ac:dyDescent="0.2">
      <c r="A13954" s="1" t="s">
        <v>27491</v>
      </c>
      <c r="B13954" s="1">
        <v>0</v>
      </c>
      <c r="C13954" s="3">
        <v>44529.934513888889</v>
      </c>
      <c r="D13954" s="1" t="s">
        <v>27492</v>
      </c>
      <c r="E13954" s="1" t="str">
        <f ca="1">IFERROR(__xludf.DUMMYFUNCTION("GOOGLETRANSLATE(A10753 , ""tr"" , ""en"")"),"@drfahrettinkoca 190 No. 2597 Say in Health Services and Assistant Health Services Class Ruler in 190 ... Https://t.co/qbjp99maje")</f>
        <v>@drfahrettinkoca 190 No. 2597 Say in Health Services and Assistant Health Services Class Ruler in 190 ... Https://t.co/qbjp99maje</v>
      </c>
    </row>
    <row r="13955" spans="1:5" ht="15" customHeight="1" x14ac:dyDescent="0.2">
      <c r="A13955" s="1" t="s">
        <v>27493</v>
      </c>
      <c r="B13955" s="1">
        <v>0</v>
      </c>
      <c r="C13955" s="3">
        <v>44529.934328703705</v>
      </c>
      <c r="D13955" s="1" t="s">
        <v>27494</v>
      </c>
      <c r="E13955" s="1" t="str">
        <f ca="1">IFERROR(__xludf.DUMMYFUNCTION("GOOGLETRANSLATE(A10754 , ""tr"" , ""en"")"),"@drfahrettinkoca I want to die indeed the reason I read the absorption of the remedy we worked like the dog is an infamous ... https://t.co/yjcpfksxuq")</f>
        <v>@drfahrettinkoca I want to die indeed the reason I read the absorption of the remedy we worked like the dog is an infamous ... https://t.co/yjcpfksxuq</v>
      </c>
    </row>
    <row r="13956" spans="1:5" ht="15" customHeight="1" x14ac:dyDescent="0.2">
      <c r="A13956" s="1" t="s">
        <v>27495</v>
      </c>
      <c r="B13956" s="1">
        <v>0</v>
      </c>
      <c r="C13956" s="3">
        <v>44529.933969907404</v>
      </c>
      <c r="D13956" s="1" t="s">
        <v>27496</v>
      </c>
      <c r="E13956" s="1" t="str">
        <f ca="1">IFERROR(__xludf.DUMMYFUNCTION("GOOGLETRANSLATE(A10755 , ""tr"" , ""en"")"),"@drfahrettinkoca No. 4597 Say in Health Services and Assistant Health Services Class Ruler Numbered in 190 ... https://t.co/momrzetryh")</f>
        <v>@drfahrettinkoca No. 4597 Say in Health Services and Assistant Health Services Class Ruler Numbered in 190 ... https://t.co/momrzetryh</v>
      </c>
    </row>
    <row r="13957" spans="1:5" ht="15" customHeight="1" x14ac:dyDescent="0.2">
      <c r="A13957" s="1" t="s">
        <v>27497</v>
      </c>
      <c r="B13957" s="1">
        <v>0</v>
      </c>
      <c r="C13957" s="3">
        <v>44529.933831018519</v>
      </c>
      <c r="D13957" s="1" t="s">
        <v>27498</v>
      </c>
      <c r="E13957" s="1" t="str">
        <f ca="1">IFERROR(__xludf.DUMMYFUNCTION("GOOGLETRANSLATE(A10756 , ""tr"" , ""en"")"),"@drfahrettinkoca 2597 Say in Health Services and Assistant Health Care Ruler No. 190")</f>
        <v>@drfahrettinkoca 2597 Say in Health Services and Assistant Health Care Ruler No. 190</v>
      </c>
    </row>
    <row r="13958" spans="1:5" ht="15" customHeight="1" x14ac:dyDescent="0.2">
      <c r="A13958" s="1" t="s">
        <v>27499</v>
      </c>
      <c r="B13958" s="1">
        <v>0</v>
      </c>
      <c r="C13958" s="3">
        <v>44529.93372685185</v>
      </c>
      <c r="D13958" s="1" t="s">
        <v>27500</v>
      </c>
      <c r="E13958" s="1" t="str">
        <f ca="1">IFERROR(__xludf.DUMMYFUNCTION("GOOGLETRANSLATE(A10757 , ""tr"" , ""en"")"),"@drfahrettinkoca 2597 Say in Health Services and Auxiliary Health Care Ruler No. 190")</f>
        <v>@drfahrettinkoca 2597 Say in Health Services and Auxiliary Health Care Ruler No. 190</v>
      </c>
    </row>
    <row r="13959" spans="1:5" ht="15" customHeight="1" x14ac:dyDescent="0.2">
      <c r="A13959" s="1" t="s">
        <v>27501</v>
      </c>
      <c r="B13959" s="1">
        <v>0</v>
      </c>
      <c r="C13959" s="3">
        <v>44529.933541666665</v>
      </c>
      <c r="D13959" s="1" t="s">
        <v>27502</v>
      </c>
      <c r="E13959" s="1" t="str">
        <f ca="1">IFERROR(__xludf.DUMMYFUNCTION("GOOGLETRANSLATE(A10758 , ""tr"" , ""en"")"),"@drfahrettinkoca No. 2597 Say in Health Services and Auxiliary Health Care Ruler No. 190")</f>
        <v>@drfahrettinkoca No. 2597 Say in Health Services and Auxiliary Health Care Ruler No. 190</v>
      </c>
    </row>
    <row r="13960" spans="1:5" ht="15" customHeight="1" x14ac:dyDescent="0.2">
      <c r="A13960" s="1" t="s">
        <v>27503</v>
      </c>
      <c r="B13960" s="1">
        <v>0</v>
      </c>
      <c r="C13960" s="3">
        <v>44529.93341435185</v>
      </c>
      <c r="D13960" s="1" t="s">
        <v>27504</v>
      </c>
      <c r="E13960" s="1" t="str">
        <f ca="1">IFERROR(__xludf.DUMMYFUNCTION("GOOGLETRANSLATE(A10759 , ""tr"" , ""en"")"),"@drfahrettinkoca No. 2597 Say in Health Services and Auxiliary Health Services Class Ruler No. 190")</f>
        <v>@drfahrettinkoca No. 2597 Say in Health Services and Auxiliary Health Services Class Ruler No. 190</v>
      </c>
    </row>
    <row r="13961" spans="1:5" ht="15" customHeight="1" x14ac:dyDescent="0.2">
      <c r="A13961" s="1" t="s">
        <v>27505</v>
      </c>
      <c r="B13961" s="1">
        <v>0</v>
      </c>
      <c r="C13961" s="3">
        <v>44529.933321759258</v>
      </c>
      <c r="D13961" s="1" t="s">
        <v>27506</v>
      </c>
      <c r="E13961" s="1" t="str">
        <f ca="1">IFERROR(__xludf.DUMMYFUNCTION("GOOGLETRANSLATE(A10760 , ""tr"" , ""en"")"),"@drfahrettinkoca No. 2597 Say in Health Services and Auxiliary Health Services Class Ruler Numbered in 190 ... https://t.co/jdt6xbui7a")</f>
        <v>@drfahrettinkoca No. 2597 Say in Health Services and Auxiliary Health Services Class Ruler Numbered in 190 ... https://t.co/jdt6xbui7a</v>
      </c>
    </row>
    <row r="13962" spans="1:5" ht="15" customHeight="1" x14ac:dyDescent="0.2">
      <c r="A13962" s="1" t="s">
        <v>27507</v>
      </c>
      <c r="B13962" s="1">
        <v>0</v>
      </c>
      <c r="C13962" s="3">
        <v>44529.933194444442</v>
      </c>
      <c r="D13962" s="1" t="s">
        <v>27508</v>
      </c>
      <c r="E13962" s="1" t="str">
        <f ca="1">IFERROR(__xludf.DUMMYFUNCTION("GOOGLETRANSLATE(A10761 , ""tr"" , ""en"")"),"@drfahrettinkoca 190 No. 2597 Say in Health Services and Auxiliary Health Services Class Ruler of 190 ... https://t.co/exbqcqxw2u")</f>
        <v>@drfahrettinkoca 190 No. 2597 Say in Health Services and Auxiliary Health Services Class Ruler of 190 ... https://t.co/exbqcqxw2u</v>
      </c>
    </row>
    <row r="13963" spans="1:5" ht="15" customHeight="1" x14ac:dyDescent="0.2">
      <c r="A13963" s="1" t="s">
        <v>27509</v>
      </c>
      <c r="B13963" s="1">
        <v>0</v>
      </c>
      <c r="C13963" s="3">
        <v>44529.933067129627</v>
      </c>
      <c r="D13963" s="1" t="s">
        <v>27510</v>
      </c>
      <c r="E13963" s="1" t="str">
        <f ca="1">IFERROR(__xludf.DUMMYFUNCTION("GOOGLETRANSLATE(A10762 , ""tr"" , ""en"")"),"@drfahrettinkoca JYILI KHK 'Number 4597 in Health Services and Auxiliary Health Services Class Ruler ... Https://t.co/jbldngxtas")</f>
        <v>@drfahrettinkoca JYILI KHK 'Number 4597 in Health Services and Auxiliary Health Services Class Ruler ... Https://t.co/jbldngxtas</v>
      </c>
    </row>
    <row r="13964" spans="1:5" ht="15" customHeight="1" x14ac:dyDescent="0.2">
      <c r="A13964" s="1" t="s">
        <v>27511</v>
      </c>
      <c r="B13964" s="1">
        <v>0</v>
      </c>
      <c r="C13964" s="3">
        <v>44529.932893518519</v>
      </c>
      <c r="D13964" s="1" t="s">
        <v>27512</v>
      </c>
      <c r="E13964" s="1" t="str">
        <f ca="1">IFERROR(__xludf.DUMMYFUNCTION("GOOGLETRANSLATE(A10763 , ""tr"" , ""en"")"),"@drfahrettinkoca 190 No. 2597 Say in Health Services and Assistant Health Services Class Ruler in 190 ... Https://t.co/bvarysaoqs")</f>
        <v>@drfahrettinkoca 190 No. 2597 Say in Health Services and Assistant Health Services Class Ruler in 190 ... Https://t.co/bvarysaoqs</v>
      </c>
    </row>
    <row r="13965" spans="1:5" ht="15" customHeight="1" x14ac:dyDescent="0.2">
      <c r="A13965" s="1" t="s">
        <v>27513</v>
      </c>
      <c r="B13965" s="1">
        <v>0</v>
      </c>
      <c r="C13965" s="3">
        <v>44529.932800925926</v>
      </c>
      <c r="D13965" s="1" t="s">
        <v>27514</v>
      </c>
      <c r="E13965" s="1" t="str">
        <f ca="1">IFERROR(__xludf.DUMMYFUNCTION("GOOGLETRANSLATE(A10764 , ""tr"" , ""en"")"),"@drfahrettinkoca 2597 Say in Health Services and Auxiliary Health Care Ruler No. 190")</f>
        <v>@drfahrettinkoca 2597 Say in Health Services and Auxiliary Health Care Ruler No. 190</v>
      </c>
    </row>
    <row r="13966" spans="1:5" ht="15" customHeight="1" x14ac:dyDescent="0.2">
      <c r="A13966" s="1" t="s">
        <v>27515</v>
      </c>
      <c r="B13966" s="1">
        <v>1</v>
      </c>
      <c r="C13966" s="3">
        <v>44529.932708333334</v>
      </c>
      <c r="D13966" s="1" t="s">
        <v>27516</v>
      </c>
      <c r="E13966" s="1" t="str">
        <f ca="1">IFERROR(__xludf.DUMMYFUNCTION("GOOGLETRANSLATE(A10765 , ""tr"" , ""en"")"),"@drfahrettinkoca you can't make this cruelty in my parcel ???? We are waiting for at least 5000 @drfahrettinkoca")</f>
        <v>@drfahrettinkoca you can't make this cruelty in my parcel ???? We are waiting for at least 5000 @drfahrettinkoca</v>
      </c>
    </row>
    <row r="13967" spans="1:5" ht="15" customHeight="1" x14ac:dyDescent="0.2">
      <c r="A13967" s="1" t="s">
        <v>27517</v>
      </c>
      <c r="B13967" s="1">
        <v>0</v>
      </c>
      <c r="C13967" s="3">
        <v>44529.932638888888</v>
      </c>
      <c r="D13967" s="1" t="s">
        <v>27518</v>
      </c>
      <c r="E13967" s="1" t="str">
        <f ca="1">IFERROR(__xludf.DUMMYFUNCTION("GOOGLETRANSLATE(A10766 , ""tr"" , ""en"")"),"@drfahrettinkoca 2597 Say in Health Services and Auxiliary Health Care Ruler No. 190")</f>
        <v>@drfahrettinkoca 2597 Say in Health Services and Auxiliary Health Care Ruler No. 190</v>
      </c>
    </row>
    <row r="13968" spans="1:5" ht="15" customHeight="1" x14ac:dyDescent="0.2">
      <c r="A13968" s="1" t="s">
        <v>27519</v>
      </c>
      <c r="B13968" s="1">
        <v>0</v>
      </c>
      <c r="C13968" s="3">
        <v>44529.932557870372</v>
      </c>
      <c r="D13968" s="1" t="s">
        <v>27520</v>
      </c>
      <c r="E13968" s="1" t="str">
        <f ca="1">IFERROR(__xludf.DUMMYFUNCTION("GOOGLETRANSLATE(A10767 , ""tr"" , ""en"")"),"@drfahrettinkoca 2597 Say in Health Services and Auxiliary Health Care Ruler No. 190")</f>
        <v>@drfahrettinkoca 2597 Say in Health Services and Auxiliary Health Care Ruler No. 190</v>
      </c>
    </row>
    <row r="13969" spans="1:5" ht="15" customHeight="1" x14ac:dyDescent="0.2">
      <c r="A13969" s="1" t="s">
        <v>27521</v>
      </c>
      <c r="B13969" s="1">
        <v>0</v>
      </c>
      <c r="C13969" s="3">
        <v>44529.93246527778</v>
      </c>
      <c r="D13969" s="1" t="s">
        <v>27522</v>
      </c>
      <c r="E13969" s="1" t="str">
        <f ca="1">IFERROR(__xludf.DUMMYFUNCTION("GOOGLETRANSLATE(A10768 , ""tr"" , ""en"")"),"@drfahrettinkoca No. 2597 Say in Health Services and Auxiliary Health Services Class Ruler Numbered in 190 ... https://t.co/mecazeyryh")</f>
        <v>@drfahrettinkoca No. 2597 Say in Health Services and Auxiliary Health Services Class Ruler Numbered in 190 ... https://t.co/mecazeyryh</v>
      </c>
    </row>
    <row r="13970" spans="1:5" ht="15" customHeight="1" x14ac:dyDescent="0.2">
      <c r="A13970" s="1" t="s">
        <v>27523</v>
      </c>
      <c r="B13970" s="1">
        <v>0</v>
      </c>
      <c r="C13970" s="3">
        <v>44529.932326388887</v>
      </c>
      <c r="D13970" s="1" t="s">
        <v>27524</v>
      </c>
      <c r="E13970" s="1" t="str">
        <f ca="1">IFERROR(__xludf.DUMMYFUNCTION("GOOGLETRANSLATE(A10769 , ""tr"" , ""en"")"),"@drfahrettinkoca 190 No. 2597 Say in Health Services and Assistant Health Services Class Ruler of 190")</f>
        <v>@drfahrettinkoca 190 No. 2597 Say in Health Services and Assistant Health Services Class Ruler of 190</v>
      </c>
    </row>
    <row r="13971" spans="1:5" ht="15" customHeight="1" x14ac:dyDescent="0.2">
      <c r="A13971" s="1" t="s">
        <v>27525</v>
      </c>
      <c r="B13971" s="1">
        <v>0</v>
      </c>
      <c r="C13971" s="3">
        <v>44529.932187500002</v>
      </c>
      <c r="D13971" s="1" t="s">
        <v>27526</v>
      </c>
      <c r="E13971" s="1" t="str">
        <f ca="1">IFERROR(__xludf.DUMMYFUNCTION("GOOGLETRANSLATE(A10770 , ""tr"" , ""en"")"),"@drfahrettinkoca Paramedic Those who are infamous of the paramedics You really don't Halal We have heard of our voice We didn't hear our sound plus ... https://t.co/upepwl8v7c")</f>
        <v>@drfahrettinkoca Paramedic Those who are infamous of the paramedics You really don't Halal We have heard of our voice We didn't hear our sound plus ... https://t.co/upepwl8v7c</v>
      </c>
    </row>
    <row r="13972" spans="1:5" ht="15" customHeight="1" x14ac:dyDescent="0.2">
      <c r="A13972" s="1" t="s">
        <v>27527</v>
      </c>
      <c r="B13972" s="1">
        <v>0</v>
      </c>
      <c r="C13972" s="3">
        <v>44529.932002314818</v>
      </c>
      <c r="D13972" s="1" t="s">
        <v>27528</v>
      </c>
      <c r="E13972" s="1" t="str">
        <f ca="1">IFERROR(__xludf.DUMMYFUNCTION("GOOGLETRANSLATE(A10771 , ""tr"" , ""en"")"),"@drfahrettinkoca 190 No. 2597 Say in Health Services and Auxiliary Health Services Class Ruler in 190 ... HTTPS://T.CO/9U6NK4UAXS")</f>
        <v>@drfahrettinkoca 190 No. 2597 Say in Health Services and Auxiliary Health Services Class Ruler in 190 ... HTTPS://T.CO/9U6NK4UAXS</v>
      </c>
    </row>
    <row r="13973" spans="1:5" ht="15" customHeight="1" x14ac:dyDescent="0.2">
      <c r="A13973" s="1" t="s">
        <v>27529</v>
      </c>
      <c r="B13973" s="1">
        <v>0</v>
      </c>
      <c r="C13973" s="3">
        <v>44529.931909722225</v>
      </c>
      <c r="D13973" s="1" t="s">
        <v>27530</v>
      </c>
      <c r="E13973" s="1" t="str">
        <f ca="1">IFERROR(__xludf.DUMMYFUNCTION("GOOGLETRANSLATE(A10772 , ""tr"" , ""en"")"),"@drfahrettinkoca 190 No. 2597 Say in Health Services and Auxiliary Health Services Class Ruler, Https://t.co/x6mgxqf5ld")</f>
        <v>@drfahrettinkoca 190 No. 2597 Say in Health Services and Auxiliary Health Services Class Ruler, Https://t.co/x6mgxqf5ld</v>
      </c>
    </row>
    <row r="13974" spans="1:5" ht="15" customHeight="1" x14ac:dyDescent="0.2">
      <c r="A13974" s="1" t="s">
        <v>27531</v>
      </c>
      <c r="B13974" s="1">
        <v>0</v>
      </c>
      <c r="C13974" s="3">
        <v>44529.931828703702</v>
      </c>
      <c r="D13974" s="1" t="s">
        <v>27532</v>
      </c>
      <c r="E13974" s="1" t="str">
        <f ca="1">IFERROR(__xludf.DUMMYFUNCTION("GOOGLETRANSLATE(A10773 , ""tr"" , ""en"")"),"@drfahrettinkoca 2597 Say in Health Services and Assistant Health Care Ruler No. 190")</f>
        <v>@drfahrettinkoca 2597 Say in Health Services and Assistant Health Care Ruler No. 190</v>
      </c>
    </row>
    <row r="13975" spans="1:5" ht="15" customHeight="1" x14ac:dyDescent="0.2">
      <c r="A13975" s="1" t="s">
        <v>27533</v>
      </c>
      <c r="B13975" s="1">
        <v>0</v>
      </c>
      <c r="C13975" s="3">
        <v>44529.931770833333</v>
      </c>
      <c r="D13975" s="1" t="s">
        <v>27534</v>
      </c>
      <c r="E13975" s="1" t="str">
        <f ca="1">IFERROR(__xludf.DUMMYFUNCTION("GOOGLETRANSLATE(A10774 , ""tr"" , ""en"")"),"@drfahrettinkoca 2597 Say in Health Services and Auxiliary Health Services Class Ruler No. 190")</f>
        <v>@drfahrettinkoca 2597 Say in Health Services and Auxiliary Health Services Class Ruler No. 190</v>
      </c>
    </row>
    <row r="13976" spans="1:5" ht="15" customHeight="1" x14ac:dyDescent="0.2">
      <c r="A13976" s="1" t="s">
        <v>27535</v>
      </c>
      <c r="B13976" s="1">
        <v>0</v>
      </c>
      <c r="C13976" s="3">
        <v>44529.931643518517</v>
      </c>
      <c r="D13976" s="1" t="s">
        <v>27536</v>
      </c>
      <c r="E13976" s="1" t="str">
        <f ca="1">IFERROR(__xludf.DUMMYFUNCTION("GOOGLETRANSLATE(A10775 , ""tr"" , ""en"")"),"@drfahrettinkoca 190 No. 2597 Say in Health Services and Assistant Health Services Class Ruler in 190 ... Https://t.co/jdgkj5pdlc")</f>
        <v>@drfahrettinkoca 190 No. 2597 Say in Health Services and Assistant Health Services Class Ruler in 190 ... Https://t.co/jdgkj5pdlc</v>
      </c>
    </row>
    <row r="13977" spans="1:5" ht="15" customHeight="1" x14ac:dyDescent="0.2">
      <c r="A13977" s="1" t="s">
        <v>27537</v>
      </c>
      <c r="B13977" s="1">
        <v>0</v>
      </c>
      <c r="C13977" s="3">
        <v>44529.931562500002</v>
      </c>
      <c r="D13977" s="1" t="s">
        <v>27538</v>
      </c>
      <c r="E13977" s="1" t="str">
        <f ca="1">IFERROR(__xludf.DUMMYFUNCTION("GOOGLETRANSLATE(A10776 , ""tr"" , ""en"")"),"@drfahrettinkoca 2597 Say in Health Services and Auxiliary Health Services Class Ruler No. 190")</f>
        <v>@drfahrettinkoca 2597 Say in Health Services and Auxiliary Health Services Class Ruler No. 190</v>
      </c>
    </row>
    <row r="13978" spans="1:5" ht="15" customHeight="1" x14ac:dyDescent="0.2">
      <c r="A13978" s="1" t="s">
        <v>27539</v>
      </c>
      <c r="B13978" s="1">
        <v>0</v>
      </c>
      <c r="C13978" s="3">
        <v>44529.931481481479</v>
      </c>
      <c r="D13978" s="1" t="s">
        <v>27540</v>
      </c>
      <c r="E13978" s="1" t="str">
        <f ca="1">IFERROR(__xludf.DUMMYFUNCTION("GOOGLETRANSLATE(A10777 , ""tr"" , ""en"")"),"@drfahrettinkoca 190 No. 2597 Say in Health Services and Auxiliary Health Services Class Ruler ... https://t.co/tiqkcle4ts")</f>
        <v>@drfahrettinkoca 190 No. 2597 Say in Health Services and Auxiliary Health Services Class Ruler ... https://t.co/tiqkcle4ts</v>
      </c>
    </row>
    <row r="13979" spans="1:5" ht="15" customHeight="1" x14ac:dyDescent="0.2">
      <c r="A13979" s="1" t="s">
        <v>27541</v>
      </c>
      <c r="B13979" s="1">
        <v>0</v>
      </c>
      <c r="C13979" s="3">
        <v>44529.931377314817</v>
      </c>
      <c r="D13979" s="1" t="s">
        <v>27542</v>
      </c>
      <c r="E13979" s="1" t="str">
        <f ca="1">IFERROR(__xludf.DUMMYFUNCTION("GOOGLETRANSLATE(A10778 , ""tr"" , ""en"")"),"@drfahrettinkoca 190 No. 2597 Say in Health Services and Assistant Health Services Class Ruler in 190 ... https://t.co/vrnvtibuwk")</f>
        <v>@drfahrettinkoca 190 No. 2597 Say in Health Services and Assistant Health Services Class Ruler in 190 ... https://t.co/vrnvtibuwk</v>
      </c>
    </row>
    <row r="13980" spans="1:5" ht="15" customHeight="1" x14ac:dyDescent="0.2">
      <c r="A13980" s="1" t="s">
        <v>27543</v>
      </c>
      <c r="B13980" s="1">
        <v>0</v>
      </c>
      <c r="C13980" s="3">
        <v>44529.931238425925</v>
      </c>
      <c r="D13980" s="1" t="s">
        <v>27544</v>
      </c>
      <c r="E13980" s="1" t="str">
        <f ca="1">IFERROR(__xludf.DUMMYFUNCTION("GOOGLETRANSLATE(A10779 , ""tr"" , ""en"")"),"@drfahrettinkoca No. 2597 Say in Health Services and Auxiliary Health Services Class Ruler, numbered 190 ... Https://t.co/qamwo3ef2i")</f>
        <v>@drfahrettinkoca No. 2597 Say in Health Services and Auxiliary Health Services Class Ruler, numbered 190 ... Https://t.co/qamwo3ef2i</v>
      </c>
    </row>
    <row r="13981" spans="1:5" ht="15" customHeight="1" x14ac:dyDescent="0.2">
      <c r="A13981" s="1" t="s">
        <v>27545</v>
      </c>
      <c r="B13981" s="1">
        <v>0</v>
      </c>
      <c r="C13981" s="3">
        <v>44529.931145833332</v>
      </c>
      <c r="D13981" s="1" t="s">
        <v>27546</v>
      </c>
      <c r="E13981" s="1" t="str">
        <f ca="1">IFERROR(__xludf.DUMMYFUNCTION("GOOGLETRANSLATE(A10780 , ""tr"" , ""en"")"),"@drfahrettinkoca No. 2597 Say in Health Services and Assistant Health Services Class Ruler No. 190")</f>
        <v>@drfahrettinkoca No. 2597 Say in Health Services and Assistant Health Services Class Ruler No. 190</v>
      </c>
    </row>
    <row r="13982" spans="1:5" ht="15" customHeight="1" x14ac:dyDescent="0.2">
      <c r="A13982" s="1" t="s">
        <v>27547</v>
      </c>
      <c r="B13982" s="1">
        <v>0</v>
      </c>
      <c r="C13982" s="3">
        <v>44529.931076388886</v>
      </c>
      <c r="D13982" s="1" t="s">
        <v>27548</v>
      </c>
      <c r="E13982" s="1" t="str">
        <f ca="1">IFERROR(__xludf.DUMMYFUNCTION("GOOGLETRANSLATE(A10781 , ""tr"" , ""en"")"),"@drfahrettinkoca 2597 Say in Health Services and Auxiliary Health Services Class Ruler No. 190")</f>
        <v>@drfahrettinkoca 2597 Say in Health Services and Auxiliary Health Services Class Ruler No. 190</v>
      </c>
    </row>
    <row r="13983" spans="1:5" ht="15" customHeight="1" x14ac:dyDescent="0.2">
      <c r="A13983" s="1" t="s">
        <v>27549</v>
      </c>
      <c r="B13983" s="1">
        <v>0</v>
      </c>
      <c r="C13983" s="3">
        <v>44529.931030092594</v>
      </c>
      <c r="D13983" s="1" t="s">
        <v>27550</v>
      </c>
      <c r="E13983" s="1" t="str">
        <f ca="1">IFERROR(__xludf.DUMMYFUNCTION("GOOGLETRANSLATE(A10782 , ""tr"" , ""en"")"),"@drfahrettinka Mr. Minister. Medical Secretaries claim to be passed into general budget with increase in 3600 + constant.")</f>
        <v>@drfahrettinka Mr. Minister. Medical Secretaries claim to be passed into general budget with increase in 3600 + constant.</v>
      </c>
    </row>
    <row r="13984" spans="1:5" ht="15" customHeight="1" x14ac:dyDescent="0.2">
      <c r="A13984" s="1" t="s">
        <v>27551</v>
      </c>
      <c r="B13984" s="1">
        <v>0</v>
      </c>
      <c r="C13984" s="3">
        <v>44529.931006944447</v>
      </c>
      <c r="D13984" s="1" t="s">
        <v>27552</v>
      </c>
      <c r="E13984" s="1" t="str">
        <f ca="1">IFERROR(__xludf.DUMMYFUNCTION("GOOGLETRANSLATE(A10783 , ""tr"" , ""en"")"),"@drfahrettinkoca No. 190 Numbers of KHK ""Health Services and Assistant Health Services Class Ruler in 4597 Say ... HTTPS://T.CO/Y6SPSTIMTF")</f>
        <v>@drfahrettinkoca No. 190 Numbers of KHK "Health Services and Assistant Health Services Class Ruler in 4597 Say ... HTTPS://T.CO/Y6SPSTIMTF</v>
      </c>
    </row>
    <row r="13985" spans="1:5" ht="15" customHeight="1" x14ac:dyDescent="0.2">
      <c r="A13985" s="1" t="s">
        <v>27553</v>
      </c>
      <c r="B13985" s="1">
        <v>0</v>
      </c>
      <c r="C13985" s="3">
        <v>44529.930937500001</v>
      </c>
      <c r="D13985" s="1" t="s">
        <v>27554</v>
      </c>
      <c r="E13985" s="1" t="str">
        <f ca="1">IFERROR(__xludf.DUMMYFUNCTION("GOOGLETRANSLATE(A10784 , ""tr"" , ""en"")"),"@drfahrettinkoca 2597 Say in Health Services and Auxiliary Health Care Ruler No. 190")</f>
        <v>@drfahrettinkoca 2597 Say in Health Services and Auxiliary Health Care Ruler No. 190</v>
      </c>
    </row>
    <row r="13986" spans="1:5" ht="15" customHeight="1" x14ac:dyDescent="0.2">
      <c r="A13986" s="1" t="s">
        <v>27555</v>
      </c>
      <c r="B13986" s="1">
        <v>0</v>
      </c>
      <c r="C13986" s="3">
        <v>44529.930787037039</v>
      </c>
      <c r="D13986" s="1" t="s">
        <v>27556</v>
      </c>
      <c r="E13986" s="1" t="str">
        <f ca="1">IFERROR(__xludf.DUMMYFUNCTION("GOOGLETRANSLATE(A10785 , ""tr"" , ""en"")"),"@drfahrettinkoca 190 No. 2597 Say in Health Services and Assistant Health Services Class Ruler in 190 ... Https://t.co/luegrfhagh")</f>
        <v>@drfahrettinkoca 190 No. 2597 Say in Health Services and Assistant Health Services Class Ruler in 190 ... Https://t.co/luegrfhagh</v>
      </c>
    </row>
    <row r="13987" spans="1:5" ht="15" customHeight="1" x14ac:dyDescent="0.2">
      <c r="A13987" s="1" t="s">
        <v>27557</v>
      </c>
      <c r="B13987" s="1">
        <v>0</v>
      </c>
      <c r="C13987" s="3">
        <v>44529.930578703701</v>
      </c>
      <c r="D13987" s="1" t="s">
        <v>27558</v>
      </c>
      <c r="E13987" s="1" t="str">
        <f ca="1">IFERROR(__xludf.DUMMYFUNCTION("GOOGLETRANSLATE(A10786 , ""tr"" , ""en"")"),"@drfahrettinkoca 190 No. 2597 Say in Health Services and Auxiliary Health Services Class Ruler in 190 ... https://t.co/hq6m3ptm2t")</f>
        <v>@drfahrettinkoca 190 No. 2597 Say in Health Services and Auxiliary Health Services Class Ruler in 190 ... https://t.co/hq6m3ptm2t</v>
      </c>
    </row>
    <row r="13988" spans="1:5" ht="15" customHeight="1" x14ac:dyDescent="0.2">
      <c r="A13988" s="1" t="s">
        <v>27559</v>
      </c>
      <c r="B13988" s="1">
        <v>1</v>
      </c>
      <c r="C13988" s="3">
        <v>44529.930462962962</v>
      </c>
      <c r="D13988" s="1" t="s">
        <v>27560</v>
      </c>
      <c r="E13988" s="1" t="str">
        <f ca="1">IFERROR(__xludf.DUMMYFUNCTION("GOOGLETRANSLATE(A10787 , ""tr"" , ""en"")"),"@drfahrettinkoca 190 No. 2597 Say in Health Services and Auxiliary Health Services Class Ruler in 190 ... https://t.co/genge2iy4q")</f>
        <v>@drfahrettinkoca 190 No. 2597 Say in Health Services and Auxiliary Health Services Class Ruler in 190 ... https://t.co/genge2iy4q</v>
      </c>
    </row>
    <row r="13989" spans="1:5" ht="15" customHeight="1" x14ac:dyDescent="0.2">
      <c r="A13989" s="1" t="s">
        <v>27561</v>
      </c>
      <c r="B13989" s="1">
        <v>0</v>
      </c>
      <c r="C13989" s="3">
        <v>44529.930127314816</v>
      </c>
      <c r="D13989" s="1" t="s">
        <v>27562</v>
      </c>
      <c r="E13989" s="1" t="str">
        <f ca="1">IFERROR(__xludf.DUMMYFUNCTION("GOOGLETRANSLATE(A10788 , ""tr"" , ""en"")"),"@drfahrettinkoca 2597 Say in Health Services and Auxiliary Health Care Ruler No. 190")</f>
        <v>@drfahrettinkoca 2597 Say in Health Services and Auxiliary Health Care Ruler No. 190</v>
      </c>
    </row>
    <row r="13990" spans="1:5" ht="15" customHeight="1" x14ac:dyDescent="0.2">
      <c r="A13990" s="1" t="s">
        <v>27563</v>
      </c>
      <c r="B13990" s="1">
        <v>0</v>
      </c>
      <c r="C13990" s="3">
        <v>44529.930046296293</v>
      </c>
      <c r="D13990" s="1" t="s">
        <v>27564</v>
      </c>
      <c r="E13990" s="1" t="str">
        <f ca="1">IFERROR(__xludf.DUMMYFUNCTION("GOOGLETRANSLATE(A10789 , ""tr"" , ""en"")"),"@drfahrettinkoca No. 2597 Say in Health Services and Auxiliary Health Care Ruler Numbers in 190 ... https://t.co/ku6fj8udze")</f>
        <v>@drfahrettinkoca No. 2597 Say in Health Services and Auxiliary Health Care Ruler Numbers in 190 ... https://t.co/ku6fj8udze</v>
      </c>
    </row>
    <row r="13991" spans="1:5" ht="15" customHeight="1" x14ac:dyDescent="0.2">
      <c r="A13991" s="1" t="s">
        <v>27565</v>
      </c>
      <c r="B13991" s="1">
        <v>0</v>
      </c>
      <c r="C13991" s="3">
        <v>44529.929976851854</v>
      </c>
      <c r="D13991" s="1" t="s">
        <v>27566</v>
      </c>
      <c r="E13991" s="1" t="str">
        <f ca="1">IFERROR(__xludf.DUMMYFUNCTION("GOOGLETRANSLATE(A10790 , ""tr"" , ""en"")"),"@drfahrettinkoca No. 2597 Say in Health Services and Assistant Health Services Class Ruler Numbers in 190 ... https://t.co/fwzdghxxov")</f>
        <v>@drfahrettinkoca No. 2597 Say in Health Services and Assistant Health Services Class Ruler Numbers in 190 ... https://t.co/fwzdghxxov</v>
      </c>
    </row>
    <row r="13992" spans="1:5" ht="15" customHeight="1" x14ac:dyDescent="0.2">
      <c r="A13992" s="1" t="s">
        <v>27567</v>
      </c>
      <c r="B13992" s="1">
        <v>0</v>
      </c>
      <c r="C13992" s="3">
        <v>44529.929907407408</v>
      </c>
      <c r="D13992" s="1" t="s">
        <v>27568</v>
      </c>
      <c r="E13992" s="1" t="str">
        <f ca="1">IFERROR(__xludf.DUMMYFUNCTION("GOOGLETRANSLATE(A10791 , ""tr"" , ""en"")"),"@drfahrettinkoca 190 No. 2597 Say in Health Services and Auxiliary Health Services Class Ruler in 190 ... https://t.co/7t7nscfqvp")</f>
        <v>@drfahrettinkoca 190 No. 2597 Say in Health Services and Auxiliary Health Services Class Ruler in 190 ... https://t.co/7t7nscfqvp</v>
      </c>
    </row>
    <row r="13993" spans="1:5" ht="15" customHeight="1" x14ac:dyDescent="0.2">
      <c r="A13993" s="1" t="s">
        <v>27569</v>
      </c>
      <c r="B13993" s="1">
        <v>0</v>
      </c>
      <c r="C13993" s="3">
        <v>44529.929849537039</v>
      </c>
      <c r="D13993" s="1" t="s">
        <v>27570</v>
      </c>
      <c r="E13993" s="1" t="str">
        <f ca="1">IFERROR(__xludf.DUMMYFUNCTION("GOOGLETRANSLATE(A10792 , ""tr"" , ""en"")"),"@drfahrettinkoca 2597 Say in Health Services and Auxiliary Health Care Ruler No. 190")</f>
        <v>@drfahrettinkoca 2597 Say in Health Services and Auxiliary Health Care Ruler No. 190</v>
      </c>
    </row>
    <row r="13994" spans="1:5" ht="15" customHeight="1" x14ac:dyDescent="0.2">
      <c r="A13994" s="1" t="s">
        <v>27571</v>
      </c>
      <c r="B13994" s="1">
        <v>0</v>
      </c>
      <c r="C13994" s="3">
        <v>44529.929768518516</v>
      </c>
      <c r="D13994" s="1" t="s">
        <v>27572</v>
      </c>
      <c r="E13994" s="1" t="str">
        <f ca="1">IFERROR(__xludf.DUMMYFUNCTION("GOOGLETRANSLATE(A10793 , ""tr"" , ""en"")"),"@drfahrettinkoca No. 2597 Say in Health Services and Assistant Health Services Class Ruler Numbers. Https://t.co/2z6tnqr2et")</f>
        <v>@drfahrettinkoca No. 2597 Say in Health Services and Assistant Health Services Class Ruler Numbers. Https://t.co/2z6tnqr2et</v>
      </c>
    </row>
    <row r="13995" spans="1:5" ht="15" customHeight="1" x14ac:dyDescent="0.2">
      <c r="A13995" s="1" t="s">
        <v>27573</v>
      </c>
      <c r="B13995" s="1">
        <v>0</v>
      </c>
      <c r="C13995" s="3">
        <v>44529.929629629631</v>
      </c>
      <c r="D13995" s="1" t="s">
        <v>27574</v>
      </c>
      <c r="E13995" s="1" t="str">
        <f ca="1">IFERROR(__xludf.DUMMYFUNCTION("GOOGLETRANSLATE(A10794 , ""tr"" , ""en"")"),"@drfahrettinkoca 190 No. 4597 Say in Health Services and Assistant Health Services Class Ruler of 190 ... https://t.co/xxisivnctk")</f>
        <v>@drfahrettinkoca 190 No. 4597 Say in Health Services and Assistant Health Services Class Ruler of 190 ... https://t.co/xxisivnctk</v>
      </c>
    </row>
    <row r="13996" spans="1:5" ht="15" customHeight="1" x14ac:dyDescent="0.2">
      <c r="A13996" s="1" t="s">
        <v>27575</v>
      </c>
      <c r="B13996" s="1">
        <v>0</v>
      </c>
      <c r="C13996" s="3">
        <v>44529.929548611108</v>
      </c>
      <c r="D13996" s="1" t="s">
        <v>27576</v>
      </c>
      <c r="E13996" s="1" t="str">
        <f ca="1">IFERROR(__xludf.DUMMYFUNCTION("GOOGLETRANSLATE(A10795 , ""tr"" , ""en"")"),"@drfahrettinkoca No. 2597 Say in Health Services and Auxiliary Health Services Class Ruler Numbered in 190 ... https://t.co/9evzbjwqwi")</f>
        <v>@drfahrettinkoca No. 2597 Say in Health Services and Auxiliary Health Services Class Ruler Numbered in 190 ... https://t.co/9evzbjwqwi</v>
      </c>
    </row>
    <row r="13997" spans="1:5" ht="15" customHeight="1" x14ac:dyDescent="0.2">
      <c r="A13997" s="1" t="s">
        <v>27577</v>
      </c>
      <c r="B13997" s="1">
        <v>0</v>
      </c>
      <c r="C13997" s="3">
        <v>44529.929467592592</v>
      </c>
      <c r="D13997" s="1" t="s">
        <v>27578</v>
      </c>
      <c r="E13997" s="1" t="str">
        <f ca="1">IFERROR(__xludf.DUMMYFUNCTION("GOOGLETRANSLATE(A10796 , ""tr"" , ""en"")"),"@drfahrettinkoca 190 No. 2597 Say in Health Services and Auxiliary Health Services Class Ruler of 190 ... https://t.co/dndrjnkf9b")</f>
        <v>@drfahrettinkoca 190 No. 2597 Say in Health Services and Auxiliary Health Services Class Ruler of 190 ... https://t.co/dndrjnkf9b</v>
      </c>
    </row>
    <row r="13998" spans="1:5" ht="15" customHeight="1" x14ac:dyDescent="0.2">
      <c r="A13998" s="1" t="s">
        <v>27579</v>
      </c>
      <c r="B13998" s="1">
        <v>0</v>
      </c>
      <c r="C13998" s="3">
        <v>44529.929340277777</v>
      </c>
      <c r="D13998" s="1" t="s">
        <v>27580</v>
      </c>
      <c r="E13998" s="1" t="str">
        <f ca="1">IFERROR(__xludf.DUMMYFUNCTION("GOOGLETRANSLATE(A10797 , ""tr"" , ""en"")"),"@drfahrettinkoca 190 No. 2597 Say in Health Services and Auxiliary Health Services Class Ruler of 190 ... https://t.co/wwx60mkuts")</f>
        <v>@drfahrettinkoca 190 No. 2597 Say in Health Services and Auxiliary Health Services Class Ruler of 190 ... https://t.co/wwx60mkuts</v>
      </c>
    </row>
    <row r="13999" spans="1:5" ht="15" customHeight="1" x14ac:dyDescent="0.2">
      <c r="A13999" s="1" t="s">
        <v>27581</v>
      </c>
      <c r="B13999" s="1">
        <v>0</v>
      </c>
      <c r="C13999" s="3">
        <v>44529.929270833331</v>
      </c>
      <c r="D13999" s="1" t="s">
        <v>27582</v>
      </c>
      <c r="E13999" s="1" t="str">
        <f ca="1">IFERROR(__xludf.DUMMYFUNCTION("GOOGLETRANSLATE(A10798 , ""tr"" , ""en"")"),"@drfahrettinkoca No. 2597 Say in Health Services and Assistant Health Services Class Ruler Numbers in 190 ... Https://t.co/zr4ue0x98h")</f>
        <v>@drfahrettinkoca No. 2597 Say in Health Services and Assistant Health Services Class Ruler Numbers in 190 ... Https://t.co/zr4ue0x98h</v>
      </c>
    </row>
    <row r="14000" spans="1:5" ht="15" customHeight="1" x14ac:dyDescent="0.2">
      <c r="A14000" s="1" t="s">
        <v>27583</v>
      </c>
      <c r="B14000" s="1">
        <v>0</v>
      </c>
      <c r="C14000" s="3">
        <v>44529.929178240738</v>
      </c>
      <c r="D14000" s="1" t="s">
        <v>27584</v>
      </c>
      <c r="E14000" s="1" t="str">
        <f ca="1">IFERROR(__xludf.DUMMYFUNCTION("GOOGLETRANSLATE(A10799 , ""tr"" , ""en"")"),"@drfahrettinkoca 190 No. 2597 Say in Health Services and Auxiliary Health Services Class Ruler in 190 ... Https://t.co/5pvl4xyvof")</f>
        <v>@drfahrettinkoca 190 No. 2597 Say in Health Services and Auxiliary Health Services Class Ruler in 190 ... Https://t.co/5pvl4xyvof</v>
      </c>
    </row>
    <row r="14001" spans="1:5" ht="15" customHeight="1" x14ac:dyDescent="0.2">
      <c r="A14001" s="1" t="s">
        <v>27585</v>
      </c>
      <c r="B14001" s="1">
        <v>0</v>
      </c>
      <c r="C14001" s="3">
        <v>44529.929108796299</v>
      </c>
      <c r="D14001" s="1" t="s">
        <v>27586</v>
      </c>
      <c r="E14001" s="1" t="str">
        <f ca="1">IFERROR(__xludf.DUMMYFUNCTION("GOOGLETRANSLATE(A10800 , ""tr"" , ""en"")"),"@drfahrettinkoca 190 No. 2597 Say in Health Services and Auxiliary Health Services Class Ruler in 190 ... https://t.co/3tatuthiyr")</f>
        <v>@drfahrettinkoca 190 No. 2597 Say in Health Services and Auxiliary Health Services Class Ruler in 190 ... https://t.co/3tatuthiyr</v>
      </c>
    </row>
    <row r="14002" spans="1:5" ht="15" customHeight="1" x14ac:dyDescent="0.2">
      <c r="A14002" s="1" t="s">
        <v>27587</v>
      </c>
      <c r="B14002" s="1">
        <v>0</v>
      </c>
      <c r="C14002" s="3">
        <v>44529.928912037038</v>
      </c>
      <c r="D14002" s="1" t="s">
        <v>27588</v>
      </c>
      <c r="E14002" s="1" t="str">
        <f ca="1">IFERROR(__xludf.DUMMYFUNCTION("GOOGLETRANSLATE(A10801 , ""tr"" , ""en"")"),"@drfahrettinkoca No. 4597 Say in Health Services and Auxiliary Health Services Class Ruler Numbers in 190 ... https://t.co/qcmuyopdmo")</f>
        <v>@drfahrettinkoca No. 4597 Say in Health Services and Auxiliary Health Services Class Ruler Numbers in 190 ... https://t.co/qcmuyopdmo</v>
      </c>
    </row>
    <row r="14003" spans="1:5" ht="15" customHeight="1" x14ac:dyDescent="0.2">
      <c r="A14003" s="1" t="s">
        <v>27589</v>
      </c>
      <c r="B14003" s="1">
        <v>0</v>
      </c>
      <c r="C14003" s="3">
        <v>44529.92863425926</v>
      </c>
      <c r="D14003" s="1" t="s">
        <v>27590</v>
      </c>
      <c r="E14003" s="1" t="str">
        <f ca="1">IFERROR(__xludf.DUMMYFUNCTION("GOOGLETRANSLATE(A10802 , ""tr"" , ""en"")"),"@drfahrettinkoca 2597 Say in Health Services and Auxiliary Health Services Class Ruler No. 190")</f>
        <v>@drfahrettinkoca 2597 Say in Health Services and Auxiliary Health Services Class Ruler No. 190</v>
      </c>
    </row>
    <row r="14004" spans="1:5" ht="15" customHeight="1" x14ac:dyDescent="0.2">
      <c r="A14004" s="1" t="s">
        <v>27591</v>
      </c>
      <c r="B14004" s="1">
        <v>0</v>
      </c>
      <c r="C14004" s="3">
        <v>44529.928576388891</v>
      </c>
      <c r="D14004" s="1" t="s">
        <v>27592</v>
      </c>
      <c r="E14004" s="1" t="str">
        <f ca="1">IFERROR(__xludf.DUMMYFUNCTION("GOOGLETRANSLATE(A10803 , ""tr"" , ""en"")"),"@drfahrettinkoca Minister of VACCINES, Note Health Minister")</f>
        <v>@drfahrettinkoca Minister of VACCINES, Note Health Minister</v>
      </c>
    </row>
    <row r="14005" spans="1:5" ht="15" customHeight="1" x14ac:dyDescent="0.2">
      <c r="A14005" s="1" t="s">
        <v>27593</v>
      </c>
      <c r="B14005" s="1">
        <v>0</v>
      </c>
      <c r="C14005" s="3">
        <v>44529.928576388891</v>
      </c>
      <c r="D14005" s="1" t="s">
        <v>27594</v>
      </c>
      <c r="E14005" s="1" t="str">
        <f ca="1">IFERROR(__xludf.DUMMYFUNCTION("GOOGLETRANSLATE(A10804 , ""tr"" , ""en"")"),"@drfahrettinkoca 2597 Say in Health Services and Auxiliary Health Care Ruler No. 190")</f>
        <v>@drfahrettinkoca 2597 Say in Health Services and Auxiliary Health Care Ruler No. 190</v>
      </c>
    </row>
    <row r="14006" spans="1:5" ht="15" customHeight="1" x14ac:dyDescent="0.2">
      <c r="A14006" s="1" t="s">
        <v>27595</v>
      </c>
      <c r="B14006" s="1">
        <v>0</v>
      </c>
      <c r="C14006" s="3">
        <v>44529.928148148145</v>
      </c>
      <c r="D14006" s="1" t="s">
        <v>27596</v>
      </c>
      <c r="E14006" s="1" t="str">
        <f ca="1">IFERROR(__xludf.DUMMYFUNCTION("GOOGLETRANSLATE(A10805 , ""tr"" , ""en"")"),"@drfahrettinkoca No. 190 Hhk of 190 ""Health Services and Assistant Health Services Class Ruler in 4597 Say ... https://t.co/7kqy5v7ri5")</f>
        <v>@drfahrettinkoca No. 190 Hhk of 190 "Health Services and Assistant Health Services Class Ruler in 4597 Say ... https://t.co/7kqy5v7ri5</v>
      </c>
    </row>
    <row r="14007" spans="1:5" ht="15" customHeight="1" x14ac:dyDescent="0.2">
      <c r="A14007" s="1" t="s">
        <v>27597</v>
      </c>
      <c r="B14007" s="1">
        <v>0</v>
      </c>
      <c r="C14007" s="3">
        <v>44529.927129629628</v>
      </c>
      <c r="D14007" s="1" t="s">
        <v>27598</v>
      </c>
      <c r="E14007" s="1" t="str">
        <f ca="1">IFERROR(__xludf.DUMMYFUNCTION("GOOGLETRANSLATE(A10806 , ""tr"" , ""en"")"),"@drfahrettinkoca 2597 Say in Health Services and Auxiliary Health Care Ruler No. 190")</f>
        <v>@drfahrettinkoca 2597 Say in Health Services and Auxiliary Health Care Ruler No. 190</v>
      </c>
    </row>
    <row r="14008" spans="1:5" ht="15" customHeight="1" x14ac:dyDescent="0.2">
      <c r="A14008" s="1" t="s">
        <v>27599</v>
      </c>
      <c r="B14008" s="1">
        <v>0</v>
      </c>
      <c r="C14008" s="3">
        <v>44529.927048611113</v>
      </c>
      <c r="D14008" s="1" t="s">
        <v>27600</v>
      </c>
      <c r="E14008" s="1" t="str">
        <f ca="1">IFERROR(__xludf.DUMMYFUNCTION("GOOGLETRANSLATE(A10807 , ""tr"" , ""en"")"),"@drfahrettinkoca No. 2597 Say in Health Services and Assistant Health Services Class Ruler No. 190")</f>
        <v>@drfahrettinkoca No. 2597 Say in Health Services and Assistant Health Services Class Ruler No. 190</v>
      </c>
    </row>
    <row r="14009" spans="1:5" ht="15" customHeight="1" x14ac:dyDescent="0.2">
      <c r="A14009" s="1" t="s">
        <v>27601</v>
      </c>
      <c r="B14009" s="1">
        <v>0</v>
      </c>
      <c r="C14009" s="3">
        <v>44529.92696759259</v>
      </c>
      <c r="D14009" s="1" t="s">
        <v>27602</v>
      </c>
      <c r="E14009" s="1" t="str">
        <f ca="1">IFERROR(__xludf.DUMMYFUNCTION("GOOGLETRANSLATE(A10808 , ""tr"" , ""en"")"),"@drfahrettinkoca No. 2597 Say in Health Services and Auxiliary Health Services Class Ruler Numbers. Https://t.co/wg4ukt7cjı")</f>
        <v>@drfahrettinkoca No. 2597 Say in Health Services and Auxiliary Health Services Class Ruler Numbers. Https://t.co/wg4ukt7cjı</v>
      </c>
    </row>
    <row r="14010" spans="1:5" ht="15" customHeight="1" x14ac:dyDescent="0.2">
      <c r="A14010" s="1" t="s">
        <v>27603</v>
      </c>
      <c r="B14010" s="1">
        <v>0</v>
      </c>
      <c r="C14010" s="3">
        <v>44529.926886574074</v>
      </c>
      <c r="D14010" s="1" t="s">
        <v>27604</v>
      </c>
      <c r="E14010" s="1" t="str">
        <f ca="1">IFERROR(__xludf.DUMMYFUNCTION("GOOGLETRANSLATE(A10809 , ""tr"" , ""en"")"),"@drfahrettinkoca 2597 Say in Health Services and Assistant Health Services Class Ruler No. 190")</f>
        <v>@drfahrettinkoca 2597 Say in Health Services and Assistant Health Services Class Ruler No. 190</v>
      </c>
    </row>
    <row r="14011" spans="1:5" ht="15" customHeight="1" x14ac:dyDescent="0.2">
      <c r="A14011" s="1" t="s">
        <v>27605</v>
      </c>
      <c r="B14011" s="1">
        <v>0</v>
      </c>
      <c r="C14011" s="3">
        <v>44529.926805555559</v>
      </c>
      <c r="D14011" s="1" t="s">
        <v>27606</v>
      </c>
      <c r="E14011" s="1" t="str">
        <f ca="1">IFERROR(__xludf.DUMMYFUNCTION("GOOGLETRANSLATE(A10810 , ""tr"" , ""en"")"),"@drfahrettinkoca 2597 Say in Health Services and Assistant Health Care Ruler No. 190")</f>
        <v>@drfahrettinkoca 2597 Say in Health Services and Assistant Health Care Ruler No. 190</v>
      </c>
    </row>
    <row r="14012" spans="1:5" ht="15" customHeight="1" x14ac:dyDescent="0.2">
      <c r="A14012" s="1" t="s">
        <v>27607</v>
      </c>
      <c r="B14012" s="1">
        <v>0</v>
      </c>
      <c r="C14012" s="3">
        <v>44529.926736111112</v>
      </c>
      <c r="D14012" s="1" t="s">
        <v>27608</v>
      </c>
      <c r="E14012" s="1" t="str">
        <f ca="1">IFERROR(__xludf.DUMMYFUNCTION("GOOGLETRANSLATE(A10811 , ""tr"" , ""en"")"),"@drfahrettinkoca No. 2597 Say in Health Services and Assistant Health Care Ruler No. 190")</f>
        <v>@drfahrettinkoca No. 2597 Say in Health Services and Assistant Health Care Ruler No. 190</v>
      </c>
    </row>
    <row r="14013" spans="1:5" ht="15" customHeight="1" x14ac:dyDescent="0.2">
      <c r="A14013" s="1" t="s">
        <v>27609</v>
      </c>
      <c r="B14013" s="1">
        <v>0</v>
      </c>
      <c r="C14013" s="3">
        <v>44529.926678240743</v>
      </c>
      <c r="D14013" s="1" t="s">
        <v>27610</v>
      </c>
      <c r="E14013" s="1" t="str">
        <f ca="1">IFERROR(__xludf.DUMMYFUNCTION("GOOGLETRANSLATE(A10812 , ""tr"" , ""en"")"),"@drfahrettinkoca 2597 Say in Health Services and Assistant Health Services class ruler No. 190")</f>
        <v>@drfahrettinkoca 2597 Say in Health Services and Assistant Health Services class ruler No. 190</v>
      </c>
    </row>
    <row r="14014" spans="1:5" ht="15" customHeight="1" x14ac:dyDescent="0.2">
      <c r="A14014" s="1" t="s">
        <v>27611</v>
      </c>
      <c r="B14014" s="1">
        <v>0</v>
      </c>
      <c r="C14014" s="3">
        <v>44529.926562499997</v>
      </c>
      <c r="D14014" s="1" t="s">
        <v>27612</v>
      </c>
      <c r="E14014" s="1" t="str">
        <f ca="1">IFERROR(__xludf.DUMMYFUNCTION("GOOGLETRANSLATE(A10813 , ""tr"" , ""en"")"),"@drfahrettinkoca 2597 Say in Health Services and Auxiliary Health Services Class Ruler No. 190")</f>
        <v>@drfahrettinkoca 2597 Say in Health Services and Auxiliary Health Services Class Ruler No. 190</v>
      </c>
    </row>
    <row r="14015" spans="1:5" ht="15" customHeight="1" x14ac:dyDescent="0.2">
      <c r="A14015" s="1" t="s">
        <v>27613</v>
      </c>
      <c r="B14015" s="1">
        <v>0</v>
      </c>
      <c r="C14015" s="3">
        <v>44529.926481481481</v>
      </c>
      <c r="D14015" s="1" t="s">
        <v>27614</v>
      </c>
      <c r="E14015" s="1" t="str">
        <f ca="1">IFERROR(__xludf.DUMMYFUNCTION("GOOGLETRANSLATE(A10814 , ""tr"" , ""en"")"),"@drfahrettinkoca 190 No. 2597 Say in Health Services and Assistant Health Services Class Ruler in 190 ... Https://t.co/fd1gpl22qp")</f>
        <v>@drfahrettinkoca 190 No. 2597 Say in Health Services and Assistant Health Services Class Ruler in 190 ... Https://t.co/fd1gpl22qp</v>
      </c>
    </row>
    <row r="14016" spans="1:5" ht="15" customHeight="1" x14ac:dyDescent="0.2">
      <c r="A14016" s="1" t="s">
        <v>27615</v>
      </c>
      <c r="B14016" s="1">
        <v>0</v>
      </c>
      <c r="C14016" s="3">
        <v>44529.926307870373</v>
      </c>
      <c r="D14016" s="1" t="s">
        <v>27616</v>
      </c>
      <c r="E14016" s="1" t="str">
        <f ca="1">IFERROR(__xludf.DUMMYFUNCTION("GOOGLETRANSLATE(A10815 , ""tr"" , ""en"")"),"@drfahrettinkoca 2597 Say in Health Services and Assistant Health Services Class Ruler No. 190")</f>
        <v>@drfahrettinkoca 2597 Say in Health Services and Assistant Health Services Class Ruler No. 190</v>
      </c>
    </row>
    <row r="14017" spans="1:5" ht="15" customHeight="1" x14ac:dyDescent="0.2">
      <c r="A14017" s="1" t="s">
        <v>27617</v>
      </c>
      <c r="B14017" s="1">
        <v>0</v>
      </c>
      <c r="C14017" s="3">
        <v>44529.926249999997</v>
      </c>
      <c r="D14017" s="1" t="s">
        <v>27618</v>
      </c>
      <c r="E14017" s="1" t="str">
        <f ca="1">IFERROR(__xludf.DUMMYFUNCTION("GOOGLETRANSLATE(A10816 , ""tr"" , ""en"")"),"@drfahrettinkoca No. 2597 Say in Health Services and Assistant Health Services Class Ruler Numbered in 190 ... https://t.co/PSTIXQKode")</f>
        <v>@drfahrettinkoca No. 2597 Say in Health Services and Assistant Health Services Class Ruler Numbered in 190 ... https://t.co/PSTIXQKode</v>
      </c>
    </row>
    <row r="14018" spans="1:5" ht="15" customHeight="1" x14ac:dyDescent="0.2">
      <c r="A14018" s="1" t="s">
        <v>27619</v>
      </c>
      <c r="B14018" s="1">
        <v>0</v>
      </c>
      <c r="C14018" s="3">
        <v>44529.926180555558</v>
      </c>
      <c r="D14018" s="1" t="s">
        <v>27620</v>
      </c>
      <c r="E14018" s="1" t="str">
        <f ca="1">IFERROR(__xludf.DUMMYFUNCTION("GOOGLETRANSLATE(A10817 , ""tr"" , ""en"")"),"@drfahrettinkoca 2597 Say in Health Services and Assistant Health Care Ruler No. 190")</f>
        <v>@drfahrettinkoca 2597 Say in Health Services and Assistant Health Care Ruler No. 190</v>
      </c>
    </row>
    <row r="14019" spans="1:5" ht="15" customHeight="1" x14ac:dyDescent="0.2">
      <c r="A14019" s="1" t="s">
        <v>27621</v>
      </c>
      <c r="B14019" s="1">
        <v>0</v>
      </c>
      <c r="C14019" s="3">
        <v>44529.926111111112</v>
      </c>
      <c r="D14019" s="1" t="s">
        <v>27622</v>
      </c>
      <c r="E14019" s="1" t="str">
        <f ca="1">IFERROR(__xludf.DUMMYFUNCTION("GOOGLETRANSLATE(A10818 , ""tr"" , ""en"")"),"@drfahrettinkoca No. 190 Numbers of KHK ""Health Services and Assistant Health Services Class Ruler in 4597 Say ... https://t.co/xwf7ec26dn")</f>
        <v>@drfahrettinkoca No. 190 Numbers of KHK "Health Services and Assistant Health Services Class Ruler in 4597 Say ... https://t.co/xwf7ec26dn</v>
      </c>
    </row>
    <row r="14020" spans="1:5" ht="15" customHeight="1" x14ac:dyDescent="0.2">
      <c r="A14020" s="1" t="s">
        <v>27623</v>
      </c>
      <c r="B14020" s="1">
        <v>0</v>
      </c>
      <c r="C14020" s="3">
        <v>44529.92597222222</v>
      </c>
      <c r="D14020" s="1" t="s">
        <v>27624</v>
      </c>
      <c r="E14020" s="1" t="str">
        <f ca="1">IFERROR(__xludf.DUMMYFUNCTION("GOOGLETRANSLATE(A10819 , ""tr"" , ""en"")"),"@drfahrettinkoca No. 2597 Say in Health Services and Assistant Health Services Class Ruler No. 190")</f>
        <v>@drfahrettinkoca No. 2597 Say in Health Services and Assistant Health Services Class Ruler No. 190</v>
      </c>
    </row>
    <row r="14021" spans="1:5" ht="15" customHeight="1" x14ac:dyDescent="0.2">
      <c r="A14021" s="1" t="s">
        <v>27625</v>
      </c>
      <c r="B14021" s="1">
        <v>0</v>
      </c>
      <c r="C14021" s="3">
        <v>44529.92591435185</v>
      </c>
      <c r="D14021" s="1" t="s">
        <v>27626</v>
      </c>
      <c r="E14021" s="1" t="str">
        <f ca="1">IFERROR(__xludf.DUMMYFUNCTION("GOOGLETRANSLATE(A10820 , ""tr"" , ""en"")"),"@drfahrettinkoca No. 190 is a 10597 Say in Health Services and Assistant Health Care Ruler")</f>
        <v>@drfahrettinkoca No. 190 is a 10597 Say in Health Services and Assistant Health Care Ruler</v>
      </c>
    </row>
    <row r="14022" spans="1:5" ht="15" customHeight="1" x14ac:dyDescent="0.2">
      <c r="A14022" s="1" t="s">
        <v>27627</v>
      </c>
      <c r="B14022" s="1">
        <v>0</v>
      </c>
      <c r="C14022" s="3">
        <v>44529.925578703704</v>
      </c>
      <c r="D14022" s="1" t="s">
        <v>27628</v>
      </c>
      <c r="E14022" s="1" t="str">
        <f ca="1">IFERROR(__xludf.DUMMYFUNCTION("GOOGLETRANSLATE(A10821 , ""tr"" , ""en"")"),"@drfahrettinkoca 190 No. 2597 Say in Health Services and Auxiliary Health Services Class Ruler in 190 ... https://t.co/bpfx1ncess")</f>
        <v>@drfahrettinkoca 190 No. 2597 Say in Health Services and Auxiliary Health Services Class Ruler in 190 ... https://t.co/bpfx1ncess</v>
      </c>
    </row>
    <row r="14023" spans="1:5" ht="15" customHeight="1" x14ac:dyDescent="0.2">
      <c r="A14023" s="1" t="s">
        <v>27629</v>
      </c>
      <c r="B14023" s="1">
        <v>0</v>
      </c>
      <c r="C14023" s="3">
        <v>44529.925509259258</v>
      </c>
      <c r="D14023" s="1" t="s">
        <v>27630</v>
      </c>
      <c r="E14023" s="1" t="str">
        <f ca="1">IFERROR(__xludf.DUMMYFUNCTION("GOOGLETRANSLATE(A10822 , ""tr"" , ""en"")"),"@drfahrettinkoca 190 No. 2597 Say in Health Services and Auxiliary Health Services Class Ruler in 190 ... https://t.co/dwohvxiib1")</f>
        <v>@drfahrettinkoca 190 No. 2597 Say in Health Services and Auxiliary Health Services Class Ruler in 190 ... https://t.co/dwohvxiib1</v>
      </c>
    </row>
    <row r="14024" spans="1:5" ht="15" customHeight="1" x14ac:dyDescent="0.2">
      <c r="A14024" s="1" t="s">
        <v>27631</v>
      </c>
      <c r="B14024" s="1">
        <v>0</v>
      </c>
      <c r="C14024" s="3">
        <v>44529.925358796296</v>
      </c>
      <c r="D14024" s="1" t="s">
        <v>27632</v>
      </c>
      <c r="E14024" s="1" t="str">
        <f ca="1">IFERROR(__xludf.DUMMYFUNCTION("GOOGLETRANSLATE(A10823 , ""tr"" , ""en"")"),"@drfahrettinkoca No. 4597 Say in Health Services and Auxiliary Health Services Class Ruler Numbers. Https://t.co/8dtjzlejuj")</f>
        <v>@drfahrettinkoca No. 4597 Say in Health Services and Auxiliary Health Services Class Ruler Numbers. Https://t.co/8dtjzlejuj</v>
      </c>
    </row>
    <row r="14025" spans="1:5" ht="15" customHeight="1" x14ac:dyDescent="0.2">
      <c r="A14025" s="1" t="s">
        <v>27633</v>
      </c>
      <c r="B14025" s="1">
        <v>0</v>
      </c>
      <c r="C14025" s="3">
        <v>44529.925219907411</v>
      </c>
      <c r="D14025" s="1" t="s">
        <v>27634</v>
      </c>
      <c r="E14025" s="1" t="str">
        <f ca="1">IFERROR(__xludf.DUMMYFUNCTION("GOOGLETRANSLATE(A10824 , ""tr"" , ""en"")"),"@drfahrettinkoca 2597 Say in Health Services and Assistant Health Services Class Ruler No. 190")</f>
        <v>@drfahrettinkoca 2597 Say in Health Services and Assistant Health Services Class Ruler No. 190</v>
      </c>
    </row>
    <row r="14026" spans="1:5" ht="15" customHeight="1" x14ac:dyDescent="0.2">
      <c r="A14026" s="1" t="s">
        <v>27635</v>
      </c>
      <c r="B14026" s="1">
        <v>0</v>
      </c>
      <c r="C14026" s="3">
        <v>44529.925081018519</v>
      </c>
      <c r="D14026" s="1" t="s">
        <v>27636</v>
      </c>
      <c r="E14026" s="1" t="str">
        <f ca="1">IFERROR(__xludf.DUMMYFUNCTION("GOOGLETRANSLATE(A10825 , ""tr"" , ""en"")"),"@drfahrettinkoca No. 190 Numbers of KHK ""Health Services and Auxiliary Health Services Class Ruler in 4597 Say ... https://t.co/o7mvwjkv9f")</f>
        <v>@drfahrettinkoca No. 190 Numbers of KHK "Health Services and Auxiliary Health Services Class Ruler in 4597 Say ... https://t.co/o7mvwjkv9f</v>
      </c>
    </row>
    <row r="14027" spans="1:5" ht="15" customHeight="1" x14ac:dyDescent="0.2">
      <c r="A14027" s="1" t="s">
        <v>27637</v>
      </c>
      <c r="B14027" s="1">
        <v>0</v>
      </c>
      <c r="C14027" s="3">
        <v>44529.925011574072</v>
      </c>
      <c r="D14027" s="1" t="s">
        <v>27638</v>
      </c>
      <c r="E14027" s="1" t="str">
        <f ca="1">IFERROR(__xludf.DUMMYFUNCTION("GOOGLETRANSLATE(A10826 , ""tr"" , ""en"")"),"@drfahrettinkoca 190 No. 2597 Say in Health Services and Assistant Health Services Class Ruler in 190 ... https://t.co/xeeelfiurz")</f>
        <v>@drfahrettinkoca 190 No. 2597 Say in Health Services and Assistant Health Services Class Ruler in 190 ... https://t.co/xeeelfiurz</v>
      </c>
    </row>
    <row r="14028" spans="1:5" ht="15" customHeight="1" x14ac:dyDescent="0.2">
      <c r="A14028" s="1" t="s">
        <v>27639</v>
      </c>
      <c r="B14028" s="1">
        <v>0</v>
      </c>
      <c r="C14028" s="3">
        <v>44529.924930555557</v>
      </c>
      <c r="D14028" s="1" t="s">
        <v>27640</v>
      </c>
      <c r="E14028" s="1" t="str">
        <f ca="1">IFERROR(__xludf.DUMMYFUNCTION("GOOGLETRANSLATE(A10827 , ""tr"" , ""en"")"),"@drfahrettinkoca 190 No. 2597 Say in Health Services and Auxiliary Health Services Class Ruler of 190 ... https://t.co/m4zzjnogpo")</f>
        <v>@drfahrettinkoca 190 No. 2597 Say in Health Services and Auxiliary Health Services Class Ruler of 190 ... https://t.co/m4zzjnogpo</v>
      </c>
    </row>
    <row r="14029" spans="1:5" ht="15" customHeight="1" x14ac:dyDescent="0.2">
      <c r="A14029" s="1" t="s">
        <v>27641</v>
      </c>
      <c r="B14029" s="1">
        <v>0</v>
      </c>
      <c r="C14029" s="3">
        <v>44529.924849537034</v>
      </c>
      <c r="D14029" s="1" t="s">
        <v>27642</v>
      </c>
      <c r="E14029" s="1" t="str">
        <f ca="1">IFERROR(__xludf.DUMMYFUNCTION("GOOGLETRANSLATE(A10828 , ""tr"" , ""en"")"),"@drfahrettinkoca 2597 Say in Health Services and Auxiliary Health Care Ruler No. 190")</f>
        <v>@drfahrettinkoca 2597 Say in Health Services and Auxiliary Health Care Ruler No. 190</v>
      </c>
    </row>
    <row r="14030" spans="1:5" ht="15" customHeight="1" x14ac:dyDescent="0.2">
      <c r="A14030" s="1" t="s">
        <v>27643</v>
      </c>
      <c r="B14030" s="1">
        <v>0</v>
      </c>
      <c r="C14030" s="3">
        <v>44529.924039351848</v>
      </c>
      <c r="D14030" s="1" t="s">
        <v>27644</v>
      </c>
      <c r="E14030" s="1" t="str">
        <f ca="1">IFERROR(__xludf.DUMMYFUNCTION("GOOGLETRANSLATE(A10829 , ""tr"" , ""en"")"),"@drfahrettinkoca No. 2597 Say in Health Services and Assistant Health Services Class Ruler Numbers in 190 ... https://t.co/3pza8pwyjh")</f>
        <v>@drfahrettinkoca No. 2597 Say in Health Services and Assistant Health Services Class Ruler Numbers in 190 ... https://t.co/3pza8pwyjh</v>
      </c>
    </row>
    <row r="14031" spans="1:5" ht="15" customHeight="1" x14ac:dyDescent="0.2">
      <c r="A14031" s="1" t="s">
        <v>27645</v>
      </c>
      <c r="B14031" s="1">
        <v>0</v>
      </c>
      <c r="C14031" s="3">
        <v>44529.923981481479</v>
      </c>
      <c r="D14031" s="1" t="s">
        <v>27646</v>
      </c>
      <c r="E14031" s="1" t="str">
        <f ca="1">IFERROR(__xludf.DUMMYFUNCTION("GOOGLETRANSLATE(A10830 , ""tr"" , ""en"")"),"@drfahrettinkoca 2597 Say in Health Services and Auxiliary Health Services Class Ruler No. 190")</f>
        <v>@drfahrettinkoca 2597 Say in Health Services and Auxiliary Health Services Class Ruler No. 190</v>
      </c>
    </row>
    <row r="14032" spans="1:5" ht="15" customHeight="1" x14ac:dyDescent="0.2">
      <c r="A14032" s="1" t="s">
        <v>27647</v>
      </c>
      <c r="B14032" s="1">
        <v>0</v>
      </c>
      <c r="C14032" s="3">
        <v>44529.92392361111</v>
      </c>
      <c r="D14032" s="1" t="s">
        <v>27648</v>
      </c>
      <c r="E14032" s="1" t="str">
        <f ca="1">IFERROR(__xludf.DUMMYFUNCTION("GOOGLETRANSLATE(A10831 , ""tr"" , ""en"")"),"@drfahrettinkoca No. 4597 Say in Health Services and Assistant Health Services Class Ruler Numbers.")</f>
        <v>@drfahrettinkoca No. 4597 Say in Health Services and Assistant Health Services Class Ruler Numbers.</v>
      </c>
    </row>
    <row r="14033" spans="1:5" ht="15" customHeight="1" x14ac:dyDescent="0.2">
      <c r="A14033" s="1" t="s">
        <v>27649</v>
      </c>
      <c r="B14033" s="1">
        <v>0</v>
      </c>
      <c r="C14033" s="3">
        <v>44529.92386574074</v>
      </c>
      <c r="D14033" s="1" t="s">
        <v>27650</v>
      </c>
      <c r="E14033" s="1" t="str">
        <f ca="1">IFERROR(__xludf.DUMMYFUNCTION("GOOGLETRANSLATE(A10832 , ""tr"" , ""en"")"),"@drfahrettinkoca 190 No. 2597 Say in Health Services and Assistant Health Services Class Ruler")</f>
        <v>@drfahrettinkoca 190 No. 2597 Say in Health Services and Assistant Health Services Class Ruler</v>
      </c>
    </row>
    <row r="14034" spans="1:5" ht="15" customHeight="1" x14ac:dyDescent="0.2">
      <c r="A14034" s="1" t="s">
        <v>27651</v>
      </c>
      <c r="B14034" s="1">
        <v>0</v>
      </c>
      <c r="C14034" s="3">
        <v>44529.923807870371</v>
      </c>
      <c r="D14034" s="1" t="s">
        <v>27652</v>
      </c>
      <c r="E14034" s="1" t="str">
        <f ca="1">IFERROR(__xludf.DUMMYFUNCTION("GOOGLETRANSLATE(A10833 , ""tr"" , ""en"")"),"@drfahrettinkoca No. 2597 Say in Health Services and Assistant Health Services Class Ruler No. 190")</f>
        <v>@drfahrettinkoca No. 2597 Say in Health Services and Assistant Health Services Class Ruler No. 190</v>
      </c>
    </row>
    <row r="14035" spans="1:5" ht="15" customHeight="1" x14ac:dyDescent="0.2">
      <c r="A14035" s="1" t="s">
        <v>27653</v>
      </c>
      <c r="B14035" s="1">
        <v>3</v>
      </c>
      <c r="C14035" s="3">
        <v>44529.923750000002</v>
      </c>
      <c r="D14035" s="1" t="s">
        <v>27654</v>
      </c>
      <c r="E14035" s="1" t="str">
        <f ca="1">IFERROR(__xludf.DUMMYFUNCTION("GOOGLETRANSLATE(A10834 , ""tr"" , ""en"")"),"@drfahrettinkoca 2597 Say in Health Services and Auxiliary Health Care Ruler No. 190")</f>
        <v>@drfahrettinkoca 2597 Say in Health Services and Auxiliary Health Care Ruler No. 190</v>
      </c>
    </row>
    <row r="14036" spans="1:5" ht="15" customHeight="1" x14ac:dyDescent="0.2">
      <c r="A14036" s="1" t="s">
        <v>27655</v>
      </c>
      <c r="B14036" s="1">
        <v>0</v>
      </c>
      <c r="C14036" s="3">
        <v>44529.923692129632</v>
      </c>
      <c r="D14036" s="1" t="s">
        <v>27656</v>
      </c>
      <c r="E14036" s="1" t="str">
        <f ca="1">IFERROR(__xludf.DUMMYFUNCTION("GOOGLETRANSLATE(A10835 , ""tr"" , ""en"")"),"@drfahrettinkoca No. 2597 Say in Health Services and Assistant Health Care Ruler No. 190")</f>
        <v>@drfahrettinkoca No. 2597 Say in Health Services and Assistant Health Care Ruler No. 190</v>
      </c>
    </row>
    <row r="14037" spans="1:5" ht="15" customHeight="1" x14ac:dyDescent="0.2">
      <c r="A14037" s="1" t="s">
        <v>27657</v>
      </c>
      <c r="B14037" s="1">
        <v>0</v>
      </c>
      <c r="C14037" s="3">
        <v>44529.923634259256</v>
      </c>
      <c r="D14037" s="1" t="s">
        <v>27658</v>
      </c>
      <c r="E14037" s="1" t="str">
        <f ca="1">IFERROR(__xludf.DUMMYFUNCTION("GOOGLETRANSLATE(A10836 , ""tr"" , ""en"")"),"@drfahrettinkoca 2597 Say of Health Services and Auxiliary Health Services Class Ruler No. 190")</f>
        <v>@drfahrettinkoca 2597 Say of Health Services and Auxiliary Health Services Class Ruler No. 190</v>
      </c>
    </row>
    <row r="14038" spans="1:5" ht="15" customHeight="1" x14ac:dyDescent="0.2">
      <c r="A14038" s="1" t="s">
        <v>27659</v>
      </c>
      <c r="B14038" s="1">
        <v>0</v>
      </c>
      <c r="C14038" s="3">
        <v>44529.923576388886</v>
      </c>
      <c r="D14038" s="1" t="s">
        <v>27660</v>
      </c>
      <c r="E14038" s="1" t="str">
        <f ca="1">IFERROR(__xludf.DUMMYFUNCTION("GOOGLETRANSLATE(A10837 , ""tr"" , ""en"")"),"@drfahrettinkoca 190 No. 2597 Say in Health Services and Auxiliary Health Services Class Ruler in 190 ... https://t.co/gjqyjpfysz")</f>
        <v>@drfahrettinkoca 190 No. 2597 Say in Health Services and Auxiliary Health Services Class Ruler in 190 ... https://t.co/gjqyjpfysz</v>
      </c>
    </row>
    <row r="14039" spans="1:5" ht="15" customHeight="1" x14ac:dyDescent="0.2">
      <c r="A14039" s="1" t="s">
        <v>27661</v>
      </c>
      <c r="B14039" s="1">
        <v>0</v>
      </c>
      <c r="C14039" s="3">
        <v>44529.923518518517</v>
      </c>
      <c r="D14039" s="1" t="s">
        <v>27662</v>
      </c>
      <c r="E14039" s="1" t="str">
        <f ca="1">IFERROR(__xludf.DUMMYFUNCTION("GOOGLETRANSLATE(A10838 , ""tr"" , ""en"")"),"@drfahrettinkoca No. 2597 Say in Health Services and Auxiliary Health Services Class Ruler Numbers in 190 ... Https://t.co/dchagd7swp")</f>
        <v>@drfahrettinkoca No. 2597 Say in Health Services and Auxiliary Health Services Class Ruler Numbers in 190 ... Https://t.co/dchagd7swp</v>
      </c>
    </row>
    <row r="14040" spans="1:5" ht="15" customHeight="1" x14ac:dyDescent="0.2">
      <c r="A14040" s="1" t="s">
        <v>27663</v>
      </c>
      <c r="B14040" s="1">
        <v>0</v>
      </c>
      <c r="C14040" s="3">
        <v>44529.923460648148</v>
      </c>
      <c r="D14040" s="1" t="s">
        <v>27664</v>
      </c>
      <c r="E14040" s="1" t="str">
        <f ca="1">IFERROR(__xludf.DUMMYFUNCTION("GOOGLETRANSLATE(A10839 , ""tr"" , ""en"")"),"@drfahrettinkoca 2597 Say in Health Services and Assistant Health Services Class Ruler Numbers in 190 ... https://t.co/81qtpighzc")</f>
        <v>@drfahrettinkoca 2597 Say in Health Services and Assistant Health Services Class Ruler Numbers in 190 ... https://t.co/81qtpighzc</v>
      </c>
    </row>
    <row r="14041" spans="1:5" ht="15" customHeight="1" x14ac:dyDescent="0.2">
      <c r="A14041" s="1" t="s">
        <v>27665</v>
      </c>
      <c r="B14041" s="1">
        <v>0</v>
      </c>
      <c r="C14041" s="3">
        <v>44529.923402777778</v>
      </c>
      <c r="D14041" s="1" t="s">
        <v>27666</v>
      </c>
      <c r="E14041" s="1" t="str">
        <f ca="1">IFERROR(__xludf.DUMMYFUNCTION("GOOGLETRANSLATE(A10840 , ""tr"" , ""en"")"),"@drfahrettinkoca 190 No. 2597 Say in Health Services and Auxiliary Health Services Class Ruler in 190 ... HTTPS://T.CO/CVV7JIPKFH")</f>
        <v>@drfahrettinkoca 190 No. 2597 Say in Health Services and Auxiliary Health Services Class Ruler in 190 ... HTTPS://T.CO/CVV7JIPKFH</v>
      </c>
    </row>
    <row r="14042" spans="1:5" ht="15" customHeight="1" x14ac:dyDescent="0.2">
      <c r="A14042" s="1" t="s">
        <v>27667</v>
      </c>
      <c r="B14042" s="1">
        <v>0</v>
      </c>
      <c r="C14042" s="3">
        <v>44529.92328703704</v>
      </c>
      <c r="D14042" s="1" t="s">
        <v>27668</v>
      </c>
      <c r="E14042" s="1" t="str">
        <f ca="1">IFERROR(__xludf.DUMMYFUNCTION("GOOGLETRANSLATE(A10841 , ""tr"" , ""en"")"),"@drfahrettinkoca 190 No. 2597 Say in Health Services and Auxiliary Health Services Class Ruler in 190 ... https://t.co/yx9ip16zh2")</f>
        <v>@drfahrettinkoca 190 No. 2597 Say in Health Services and Auxiliary Health Services Class Ruler in 190 ... https://t.co/yx9ip16zh2</v>
      </c>
    </row>
    <row r="14043" spans="1:5" ht="15" customHeight="1" x14ac:dyDescent="0.2">
      <c r="A14043" s="1" t="s">
        <v>27669</v>
      </c>
      <c r="B14043" s="1">
        <v>0</v>
      </c>
      <c r="C14043" s="3">
        <v>44529.923217592594</v>
      </c>
      <c r="D14043" s="1" t="s">
        <v>27670</v>
      </c>
      <c r="E14043" s="1" t="str">
        <f ca="1">IFERROR(__xludf.DUMMYFUNCTION("GOOGLETRANSLATE(A10842 , ""tr"" , ""en"")"),"@drfahrettinkoca 190 No. 2597 Say in Health Services and Assistant Health Services Class Ruler of 190 ... HTTPS://T.CO/RTQIIKNC3I")</f>
        <v>@drfahrettinkoca 190 No. 2597 Say in Health Services and Assistant Health Services Class Ruler of 190 ... HTTPS://T.CO/RTQIIKNC3I</v>
      </c>
    </row>
    <row r="14044" spans="1:5" ht="15" customHeight="1" x14ac:dyDescent="0.2">
      <c r="A14044" s="1" t="s">
        <v>27671</v>
      </c>
      <c r="B14044" s="1">
        <v>0</v>
      </c>
      <c r="C14044" s="3">
        <v>44529.922766203701</v>
      </c>
      <c r="D14044" s="1" t="s">
        <v>27672</v>
      </c>
      <c r="E14044" s="1" t="str">
        <f ca="1">IFERROR(__xludf.DUMMYFUNCTION("GOOGLETRANSLATE(A10843 , ""tr"" , ""en"")"),"@drfahrettinkoca 2597 Say in Health Services and Assistant Health Care Ruler No. 190")</f>
        <v>@drfahrettinkoca 2597 Say in Health Services and Assistant Health Care Ruler No. 190</v>
      </c>
    </row>
    <row r="14045" spans="1:5" ht="15" customHeight="1" x14ac:dyDescent="0.2">
      <c r="A14045" s="1" t="s">
        <v>27673</v>
      </c>
      <c r="B14045" s="1">
        <v>0</v>
      </c>
      <c r="C14045" s="3">
        <v>44529.922673611109</v>
      </c>
      <c r="D14045" s="1" t="s">
        <v>27674</v>
      </c>
      <c r="E14045" s="1" t="str">
        <f ca="1">IFERROR(__xludf.DUMMYFUNCTION("GOOGLETRANSLATE(A10844 , ""tr"" , ""en"")"),"@drfahrettinkoca No. 2597 Say in Health Services and Auxiliary Health Services Class Ruler Numbered in 190 ... HTTPS://T.CO/YAWW3GIK8P")</f>
        <v>@drfahrettinkoca No. 2597 Say in Health Services and Auxiliary Health Services Class Ruler Numbered in 190 ... HTTPS://T.CO/YAWW3GIK8P</v>
      </c>
    </row>
    <row r="14046" spans="1:5" ht="15" customHeight="1" x14ac:dyDescent="0.2">
      <c r="A14046" s="1" t="s">
        <v>27675</v>
      </c>
      <c r="B14046" s="1">
        <v>0</v>
      </c>
      <c r="C14046" s="3">
        <v>44529.922615740739</v>
      </c>
      <c r="D14046" s="1" t="s">
        <v>27676</v>
      </c>
      <c r="E14046" s="1" t="str">
        <f ca="1">IFERROR(__xludf.DUMMYFUNCTION("GOOGLETRANSLATE(A10845 , ""tr"" , ""en"")"),"@drfahrettinkoca No. 190 Numbered KHK ""Health Services and Assistant Health Services Class Ruler in 4597 Say ... https://t.co/s81lmbjgjs")</f>
        <v>@drfahrettinkoca No. 190 Numbered KHK "Health Services and Assistant Health Services Class Ruler in 4597 Say ... https://t.co/s81lmbjgjs</v>
      </c>
    </row>
    <row r="14047" spans="1:5" ht="15" customHeight="1" x14ac:dyDescent="0.2">
      <c r="A14047" s="1" t="s">
        <v>27677</v>
      </c>
      <c r="B14047" s="1">
        <v>0</v>
      </c>
      <c r="C14047" s="3">
        <v>44529.92255787037</v>
      </c>
      <c r="D14047" s="1" t="s">
        <v>27678</v>
      </c>
      <c r="E14047" s="1" t="str">
        <f ca="1">IFERROR(__xludf.DUMMYFUNCTION("GOOGLETRANSLATE(A10846 , ""tr"" , ""en"")"),"@drfahrettinkoca 190 No. 2597 Say in Health Services and Auxiliary Health Services Class Ruler in 190 ... https://t.co/zqvyew6q6k")</f>
        <v>@drfahrettinkoca 190 No. 2597 Say in Health Services and Auxiliary Health Services Class Ruler in 190 ... https://t.co/zqvyew6q6k</v>
      </c>
    </row>
    <row r="14048" spans="1:5" ht="15" customHeight="1" x14ac:dyDescent="0.2">
      <c r="A14048" s="1" t="s">
        <v>27679</v>
      </c>
      <c r="B14048" s="1">
        <v>0</v>
      </c>
      <c r="C14048" s="3">
        <v>44529.922500000001</v>
      </c>
      <c r="D14048" s="1" t="s">
        <v>27680</v>
      </c>
      <c r="E14048" s="1" t="str">
        <f ca="1">IFERROR(__xludf.DUMMYFUNCTION("GOOGLETRANSLATE(A10847 , ""tr"" , ""en"")"),"@drfahrettinkoca No. 2597 Say in Health Services and Assistant Health Services Class Ruler No. 190")</f>
        <v>@drfahrettinkoca No. 2597 Say in Health Services and Assistant Health Services Class Ruler No. 190</v>
      </c>
    </row>
    <row r="14049" spans="1:5" ht="15" customHeight="1" x14ac:dyDescent="0.2">
      <c r="A14049" s="1" t="s">
        <v>27681</v>
      </c>
      <c r="B14049" s="1">
        <v>0</v>
      </c>
      <c r="C14049" s="3">
        <v>44529.922442129631</v>
      </c>
      <c r="D14049" s="1" t="s">
        <v>27682</v>
      </c>
      <c r="E14049" s="1" t="str">
        <f ca="1">IFERROR(__xludf.DUMMYFUNCTION("GOOGLETRANSLATE(A10848 , ""tr"" , ""en"")"),"@drfahrettinkoca No. 2597 Say in Health Services and Auxiliary Health Care Ruler No. 190")</f>
        <v>@drfahrettinkoca No. 2597 Say in Health Services and Auxiliary Health Care Ruler No. 190</v>
      </c>
    </row>
    <row r="14050" spans="1:5" ht="15" customHeight="1" x14ac:dyDescent="0.2">
      <c r="A14050" s="1" t="s">
        <v>27683</v>
      </c>
      <c r="B14050" s="1">
        <v>0</v>
      </c>
      <c r="C14050" s="3">
        <v>44529.922384259262</v>
      </c>
      <c r="D14050" s="1" t="s">
        <v>27684</v>
      </c>
      <c r="E14050" s="1" t="str">
        <f ca="1">IFERROR(__xludf.DUMMYFUNCTION("GOOGLETRANSLATE(A10849 , ""tr"" , ""en"")"),"@drfahrettinkoca 190 No. 2597 Say in Health Services and Auxiliary Health Services Class Ruler of 190 ... Https://t.co/jsksc3yllw")</f>
        <v>@drfahrettinkoca 190 No. 2597 Say in Health Services and Auxiliary Health Services Class Ruler of 190 ... Https://t.co/jsksc3yllw</v>
      </c>
    </row>
    <row r="14051" spans="1:5" ht="15" customHeight="1" x14ac:dyDescent="0.2">
      <c r="A14051" s="1" t="s">
        <v>27685</v>
      </c>
      <c r="B14051" s="1">
        <v>0</v>
      </c>
      <c r="C14051" s="3">
        <v>44529.922326388885</v>
      </c>
      <c r="D14051" s="1" t="s">
        <v>27686</v>
      </c>
      <c r="E14051" s="1" t="str">
        <f ca="1">IFERROR(__xludf.DUMMYFUNCTION("GOOGLETRANSLATE(A10850 , ""tr"" , ""en"")"),"@drfahrettinkoca No. 2597 Say in Health Services and Assistant Health Services Class Ruler Numbers in 190 ... https://t.co/scqz4tdxze")</f>
        <v>@drfahrettinkoca No. 2597 Say in Health Services and Assistant Health Services Class Ruler Numbers in 190 ... https://t.co/scqz4tdxze</v>
      </c>
    </row>
    <row r="14052" spans="1:5" ht="15" customHeight="1" x14ac:dyDescent="0.2">
      <c r="A14052" s="1" t="s">
        <v>27687</v>
      </c>
      <c r="B14052" s="1">
        <v>0</v>
      </c>
      <c r="C14052" s="3">
        <v>44529.92224537037</v>
      </c>
      <c r="D14052" s="1" t="s">
        <v>27688</v>
      </c>
      <c r="E14052" s="1" t="str">
        <f ca="1">IFERROR(__xludf.DUMMYFUNCTION("GOOGLETRANSLATE(A10851 , ""tr"" , ""en"")"),"@drfahrettinkoca 2597 Say in Health Services and Assistant Health Services Class Ruler No. 190")</f>
        <v>@drfahrettinkoca 2597 Say in Health Services and Assistant Health Services Class Ruler No. 190</v>
      </c>
    </row>
    <row r="14053" spans="1:5" ht="15" customHeight="1" x14ac:dyDescent="0.2">
      <c r="A14053" s="1" t="s">
        <v>27689</v>
      </c>
      <c r="B14053" s="1">
        <v>0</v>
      </c>
      <c r="C14053" s="3">
        <v>44529.922152777777</v>
      </c>
      <c r="D14053" s="1" t="s">
        <v>27690</v>
      </c>
      <c r="E14053" s="1" t="str">
        <f ca="1">IFERROR(__xludf.DUMMYFUNCTION("GOOGLETRANSLATE(A10852 , ""tr"" , ""en"")"),"@drfahrettinkoca 2597 Say in Health Services and Auxiliary Health Care Ruler No. 190")</f>
        <v>@drfahrettinkoca 2597 Say in Health Services and Auxiliary Health Care Ruler No. 190</v>
      </c>
    </row>
    <row r="14054" spans="1:5" ht="15" customHeight="1" x14ac:dyDescent="0.2">
      <c r="A14054" s="1" t="s">
        <v>27691</v>
      </c>
      <c r="B14054" s="1">
        <v>0</v>
      </c>
      <c r="C14054" s="3">
        <v>44529.922025462962</v>
      </c>
      <c r="D14054" s="1" t="s">
        <v>27692</v>
      </c>
      <c r="E14054" s="1" t="str">
        <f ca="1">IFERROR(__xludf.DUMMYFUNCTION("GOOGLETRANSLATE(A10853 , ""tr"" , ""en"")"),"@drfahrettinkoca 190 No. 2597 Say in Health Services and Assistant Health Services Class Ruler in 190 ... https://t.co/ehfpzeb4vg")</f>
        <v>@drfahrettinkoca 190 No. 2597 Say in Health Services and Assistant Health Services Class Ruler in 190 ... https://t.co/ehfpzeb4vg</v>
      </c>
    </row>
    <row r="14055" spans="1:5" ht="15" customHeight="1" x14ac:dyDescent="0.2">
      <c r="A14055" s="1" t="s">
        <v>27693</v>
      </c>
      <c r="B14055" s="1">
        <v>0</v>
      </c>
      <c r="C14055" s="3">
        <v>44529.921967592592</v>
      </c>
      <c r="D14055" s="1" t="s">
        <v>27694</v>
      </c>
      <c r="E14055" s="1" t="str">
        <f ca="1">IFERROR(__xludf.DUMMYFUNCTION("GOOGLETRANSLATE(A10854 , ""tr"" , ""en"")"),"@drfahrettinkoca No. 2597 Say in Health Services and Auxiliary Health Services Class Ruler of Health Services and Auxiliary Health Services")</f>
        <v>@drfahrettinkoca No. 2597 Say in Health Services and Auxiliary Health Services Class Ruler of Health Services and Auxiliary Health Services</v>
      </c>
    </row>
    <row r="14056" spans="1:5" ht="15" customHeight="1" x14ac:dyDescent="0.2">
      <c r="A14056" s="1" t="s">
        <v>27695</v>
      </c>
      <c r="B14056" s="1">
        <v>0</v>
      </c>
      <c r="C14056" s="3">
        <v>44529.9219212963</v>
      </c>
      <c r="D14056" s="1" t="s">
        <v>27696</v>
      </c>
      <c r="E14056" s="1" t="str">
        <f ca="1">IFERROR(__xludf.DUMMYFUNCTION("GOOGLETRANSLATE(A10855 , ""tr"" , ""en"")"),"@drfahrettinkoca No. 2597 Say in Health Services and Auxiliary Health Services Class Ruler Numbered in 190 ... HTTPS://T.CO/NCXUINLM7Q")</f>
        <v>@drfahrettinkoca No. 2597 Say in Health Services and Auxiliary Health Services Class Ruler Numbered in 190 ... HTTPS://T.CO/NCXUINLM7Q</v>
      </c>
    </row>
    <row r="14057" spans="1:5" ht="15" customHeight="1" x14ac:dyDescent="0.2">
      <c r="A14057" s="1" t="s">
        <v>27697</v>
      </c>
      <c r="B14057" s="1">
        <v>0</v>
      </c>
      <c r="C14057" s="3">
        <v>44529.921805555554</v>
      </c>
      <c r="D14057" s="1" t="s">
        <v>27698</v>
      </c>
      <c r="E14057" s="1" t="str">
        <f ca="1">IFERROR(__xludf.DUMMYFUNCTION("GOOGLETRANSLATE(A10856 , ""tr"" , ""en"")"),"@drfahrettinkoca 2597 Say in Health Services and Assistant Health Care Ruler No. 190")</f>
        <v>@drfahrettinkoca 2597 Say in Health Services and Assistant Health Care Ruler No. 190</v>
      </c>
    </row>
    <row r="14058" spans="1:5" ht="15" customHeight="1" x14ac:dyDescent="0.2">
      <c r="A14058" s="1" t="s">
        <v>27699</v>
      </c>
      <c r="B14058" s="1">
        <v>0</v>
      </c>
      <c r="C14058" s="3">
        <v>44529.921747685185</v>
      </c>
      <c r="D14058" s="1" t="s">
        <v>27700</v>
      </c>
      <c r="E14058" s="1" t="str">
        <f ca="1">IFERROR(__xludf.DUMMYFUNCTION("GOOGLETRANSLATE(A10857 , ""tr"" , ""en"")"),"@drfahrettinkoca No. 2597 Say in Health Services and Assistant Health Services Class Ruler No. 190")</f>
        <v>@drfahrettinkoca No. 2597 Say in Health Services and Assistant Health Services Class Ruler No. 190</v>
      </c>
    </row>
    <row r="14059" spans="1:5" ht="15" customHeight="1" x14ac:dyDescent="0.2">
      <c r="A14059" s="1" t="s">
        <v>27701</v>
      </c>
      <c r="B14059" s="1">
        <v>0</v>
      </c>
      <c r="C14059" s="3">
        <v>44529.921689814815</v>
      </c>
      <c r="D14059" s="1" t="s">
        <v>27702</v>
      </c>
      <c r="E14059" s="1" t="str">
        <f ca="1">IFERROR(__xludf.DUMMYFUNCTION("GOOGLETRANSLATE(A10858 , ""tr"" , ""en"")"),"@drfahrettinkoca No. 2597 Say in Health Services and Auxiliary Health Services Class Ruler of Health Services and Auxiliary Health Services")</f>
        <v>@drfahrettinkoca No. 2597 Say in Health Services and Auxiliary Health Services Class Ruler of Health Services and Auxiliary Health Services</v>
      </c>
    </row>
    <row r="14060" spans="1:5" ht="15" customHeight="1" x14ac:dyDescent="0.2">
      <c r="A14060" s="1" t="s">
        <v>27703</v>
      </c>
      <c r="B14060" s="1">
        <v>0</v>
      </c>
      <c r="C14060" s="3">
        <v>44529.921620370369</v>
      </c>
      <c r="D14060" s="1" t="s">
        <v>27704</v>
      </c>
      <c r="E14060" s="1" t="str">
        <f ca="1">IFERROR(__xludf.DUMMYFUNCTION("GOOGLETRANSLATE(A10859 , ""tr"" , ""en"")"),"@drfahrettinkoca 190 No. 2597 Say in Health Services and Auxiliary Health Services Class Ruler in 190 ... https://t.co/m8qlqnzxgb")</f>
        <v>@drfahrettinkoca 190 No. 2597 Say in Health Services and Auxiliary Health Services Class Ruler in 190 ... https://t.co/m8qlqnzxgb</v>
      </c>
    </row>
    <row r="14061" spans="1:5" ht="15" customHeight="1" x14ac:dyDescent="0.2">
      <c r="A14061" s="1" t="s">
        <v>27705</v>
      </c>
      <c r="B14061" s="1">
        <v>0</v>
      </c>
      <c r="C14061" s="3">
        <v>44529.9215625</v>
      </c>
      <c r="D14061" s="1" t="s">
        <v>27706</v>
      </c>
      <c r="E14061" s="1" t="str">
        <f ca="1">IFERROR(__xludf.DUMMYFUNCTION("GOOGLETRANSLATE(A10860 , ""tr"" , ""en"")"),"@drfahrettinkoca 190 No. 2597 Say in Health Services and Auxiliary Health Services Class Ruler in 190 ... Https://t.co/yvrxtptv1r")</f>
        <v>@drfahrettinkoca 190 No. 2597 Say in Health Services and Auxiliary Health Services Class Ruler in 190 ... Https://t.co/yvrxtptv1r</v>
      </c>
    </row>
    <row r="14062" spans="1:5" ht="15" customHeight="1" x14ac:dyDescent="0.2">
      <c r="A14062" s="1" t="s">
        <v>27707</v>
      </c>
      <c r="B14062" s="1">
        <v>0</v>
      </c>
      <c r="C14062" s="3">
        <v>44529.921458333331</v>
      </c>
      <c r="D14062" s="1" t="s">
        <v>27708</v>
      </c>
      <c r="E14062" s="1" t="str">
        <f ca="1">IFERROR(__xludf.DUMMYFUNCTION("GOOGLETRANSLATE(A10861 , ""tr"" , ""en"")"),"@drfahrettinkoca No. 2597 Say in Health Services and Assistant Health Services Class Ruler of Health Services and Auxiliary Health Services")</f>
        <v>@drfahrettinkoca No. 2597 Say in Health Services and Assistant Health Services Class Ruler of Health Services and Auxiliary Health Services</v>
      </c>
    </row>
    <row r="14063" spans="1:5" ht="15" customHeight="1" x14ac:dyDescent="0.2">
      <c r="A14063" s="1" t="s">
        <v>27709</v>
      </c>
      <c r="B14063" s="1">
        <v>0</v>
      </c>
      <c r="C14063" s="3">
        <v>44529.921400462961</v>
      </c>
      <c r="D14063" s="1" t="s">
        <v>27710</v>
      </c>
      <c r="E14063" s="1" t="str">
        <f ca="1">IFERROR(__xludf.DUMMYFUNCTION("GOOGLETRANSLATE(A10862 , ""tr"" , ""en"")"),"@drfahrettinkoca 190 No. 2597 Say in Health Services and Assistant Health Services Class Ruler in 190 ... https://t.co/qpthhsc84d")</f>
        <v>@drfahrettinkoca 190 No. 2597 Say in Health Services and Assistant Health Services Class Ruler in 190 ... https://t.co/qpthhsc84d</v>
      </c>
    </row>
    <row r="14064" spans="1:5" ht="15" customHeight="1" x14ac:dyDescent="0.2">
      <c r="A14064" s="1" t="s">
        <v>27711</v>
      </c>
      <c r="B14064" s="1">
        <v>1</v>
      </c>
      <c r="C14064" s="3">
        <v>44529.921331018515</v>
      </c>
      <c r="D14064" s="1" t="s">
        <v>27712</v>
      </c>
      <c r="E14064" s="1" t="str">
        <f ca="1">IFERROR(__xludf.DUMMYFUNCTION("GOOGLETRANSLATE(A10863 , ""tr"" , ""en"")"),"@drfahrettinkoca 2597 Say in Health Services and Auxiliary Health Services class ruler No. 190")</f>
        <v>@drfahrettinkoca 2597 Say in Health Services and Auxiliary Health Services class ruler No. 190</v>
      </c>
    </row>
    <row r="14065" spans="1:5" ht="15" customHeight="1" x14ac:dyDescent="0.2">
      <c r="A14065" s="1" t="s">
        <v>27713</v>
      </c>
      <c r="B14065" s="1">
        <v>0</v>
      </c>
      <c r="C14065" s="3">
        <v>44529.921261574076</v>
      </c>
      <c r="D14065" s="1" t="s">
        <v>27714</v>
      </c>
      <c r="E14065" s="1" t="str">
        <f ca="1">IFERROR(__xludf.DUMMYFUNCTION("GOOGLETRANSLATE(A10864 , ""tr"" , ""en"")"),"@drfahrettinkoca No. 2597 Say in Health Services and Assistant Health Services Class Ruler Numbers in 190 ... https://t.co/jurckl76b8")</f>
        <v>@drfahrettinkoca No. 2597 Say in Health Services and Assistant Health Services Class Ruler Numbers in 190 ... https://t.co/jurckl76b8</v>
      </c>
    </row>
    <row r="14066" spans="1:5" ht="15" customHeight="1" x14ac:dyDescent="0.2">
      <c r="A14066" s="1" t="s">
        <v>27715</v>
      </c>
      <c r="B14066" s="1">
        <v>0</v>
      </c>
      <c r="C14066" s="3">
        <v>44529.921203703707</v>
      </c>
      <c r="D14066" s="1" t="s">
        <v>27716</v>
      </c>
      <c r="E14066" s="1" t="str">
        <f ca="1">IFERROR(__xludf.DUMMYFUNCTION("GOOGLETRANSLATE(A10865 , ""tr"" , ""en"")"),"@drfahrettinkoca No. 2597 Say in Health Services and Assistant Health Services Class Ruler Numbered in 190 ... Https://t.co/y6qp1ipgte")</f>
        <v>@drfahrettinkoca No. 2597 Say in Health Services and Assistant Health Services Class Ruler Numbered in 190 ... Https://t.co/y6qp1ipgte</v>
      </c>
    </row>
    <row r="14067" spans="1:5" ht="15" customHeight="1" x14ac:dyDescent="0.2">
      <c r="A14067" s="1" t="s">
        <v>27717</v>
      </c>
      <c r="B14067" s="1">
        <v>0</v>
      </c>
      <c r="C14067" s="3">
        <v>44529.92114583333</v>
      </c>
      <c r="D14067" s="1" t="s">
        <v>27718</v>
      </c>
      <c r="E14067" s="1" t="str">
        <f ca="1">IFERROR(__xludf.DUMMYFUNCTION("GOOGLETRANSLATE(A10866 , ""tr"" , ""en"")"),"@drfahrettinkoca No. 2597 Say in Health Services and Auxiliary Health Services Class Ruler No. 190")</f>
        <v>@drfahrettinkoca No. 2597 Say in Health Services and Auxiliary Health Services Class Ruler No. 190</v>
      </c>
    </row>
    <row r="14068" spans="1:5" ht="15" customHeight="1" x14ac:dyDescent="0.2">
      <c r="A14068" s="1" t="s">
        <v>27719</v>
      </c>
      <c r="B14068" s="1">
        <v>0</v>
      </c>
      <c r="C14068" s="3">
        <v>44529.921087962961</v>
      </c>
      <c r="D14068" s="1" t="s">
        <v>27720</v>
      </c>
      <c r="E14068" s="1" t="str">
        <f ca="1">IFERROR(__xludf.DUMMYFUNCTION("GOOGLETRANSLATE(A10867 , ""tr"" , ""en"")"),"@drfahrettinkoca 2597 Say in Health Services and Assistant Health Care Ruler No. 190")</f>
        <v>@drfahrettinkoca 2597 Say in Health Services and Assistant Health Care Ruler No. 190</v>
      </c>
    </row>
    <row r="14069" spans="1:5" ht="15" customHeight="1" x14ac:dyDescent="0.2">
      <c r="A14069" s="1" t="s">
        <v>27721</v>
      </c>
      <c r="B14069" s="1">
        <v>0</v>
      </c>
      <c r="C14069" s="3">
        <v>44529.921030092592</v>
      </c>
      <c r="D14069" s="1" t="s">
        <v>27722</v>
      </c>
      <c r="E14069" s="1" t="str">
        <f ca="1">IFERROR(__xludf.DUMMYFUNCTION("GOOGLETRANSLATE(A10868 , ""tr"" , ""en"")"),"@drfahrettinkoca No. 2597 Say in Health Services and Assistant Health Services Class Ruler No. 190")</f>
        <v>@drfahrettinkoca No. 2597 Say in Health Services and Assistant Health Services Class Ruler No. 190</v>
      </c>
    </row>
    <row r="14070" spans="1:5" ht="15" customHeight="1" x14ac:dyDescent="0.2">
      <c r="A14070" s="1" t="s">
        <v>27723</v>
      </c>
      <c r="B14070" s="1">
        <v>0</v>
      </c>
      <c r="C14070" s="3">
        <v>44529.920914351853</v>
      </c>
      <c r="D14070" s="1" t="s">
        <v>27724</v>
      </c>
      <c r="E14070" s="1" t="str">
        <f ca="1">IFERROR(__xludf.DUMMYFUNCTION("GOOGLETRANSLATE(A10869 , ""tr"" , ""en"")"),"@drfahrettinkoca No. 2597 Say in Health Services and Assistant Health Services Class Ruler Numbers. Https://t.co/bl7ewb2yb5")</f>
        <v>@drfahrettinkoca No. 2597 Say in Health Services and Assistant Health Services Class Ruler Numbers. Https://t.co/bl7ewb2yb5</v>
      </c>
    </row>
    <row r="14071" spans="1:5" ht="15" customHeight="1" x14ac:dyDescent="0.2">
      <c r="A14071" s="1" t="s">
        <v>27725</v>
      </c>
      <c r="B14071" s="1">
        <v>0</v>
      </c>
      <c r="C14071" s="3">
        <v>44529.920868055553</v>
      </c>
      <c r="D14071" s="1" t="s">
        <v>27726</v>
      </c>
      <c r="E14071" s="1" t="str">
        <f ca="1">IFERROR(__xludf.DUMMYFUNCTION("GOOGLETRANSLATE(A10870 , ""tr"" , ""en"")"),"@drfahrettinkoca No. 190 is a 10597 Say in Health Services and Auxiliary Health Services Class Ruler ... HTTPS://T.CO/MAISUWA8YL")</f>
        <v>@drfahrettinkoca No. 190 is a 10597 Say in Health Services and Auxiliary Health Services Class Ruler ... HTTPS://T.CO/MAISUWA8YL</v>
      </c>
    </row>
    <row r="14072" spans="1:5" ht="15" customHeight="1" x14ac:dyDescent="0.2">
      <c r="A14072" s="1" t="s">
        <v>27727</v>
      </c>
      <c r="B14072" s="1">
        <v>0</v>
      </c>
      <c r="C14072" s="3">
        <v>44529.920810185184</v>
      </c>
      <c r="D14072" s="1" t="s">
        <v>27728</v>
      </c>
      <c r="E14072" s="1" t="str">
        <f ca="1">IFERROR(__xludf.DUMMYFUNCTION("GOOGLETRANSLATE(A10871 , ""tr"" , ""en"")"),"@drfahrettinkoca 2597 Say in Health Services and Auxiliary Health Services Class Ruler No. 190")</f>
        <v>@drfahrettinkoca 2597 Say in Health Services and Auxiliary Health Services Class Ruler No. 190</v>
      </c>
    </row>
    <row r="14073" spans="1:5" ht="15" customHeight="1" x14ac:dyDescent="0.2">
      <c r="A14073" s="1" t="s">
        <v>27729</v>
      </c>
      <c r="B14073" s="1">
        <v>0</v>
      </c>
      <c r="C14073" s="3">
        <v>44529.920740740738</v>
      </c>
      <c r="D14073" s="1" t="s">
        <v>27730</v>
      </c>
      <c r="E14073" s="1" t="str">
        <f ca="1">IFERROR(__xludf.DUMMYFUNCTION("GOOGLETRANSLATE(A10872 , ""tr"" , ""en"")"),"@drfahrettinkoca 190 No. 2597 Say in Health Services and Auxiliary Health Services Class Ruler of 190 ... https://t.co/ljdgafvalr")</f>
        <v>@drfahrettinkoca 190 No. 2597 Say in Health Services and Auxiliary Health Services Class Ruler of 190 ... https://t.co/ljdgafvalr</v>
      </c>
    </row>
    <row r="14074" spans="1:5" ht="15" customHeight="1" x14ac:dyDescent="0.2">
      <c r="A14074" s="1" t="s">
        <v>27731</v>
      </c>
      <c r="B14074" s="1">
        <v>0</v>
      </c>
      <c r="C14074" s="3">
        <v>44529.920682870368</v>
      </c>
      <c r="D14074" s="1" t="s">
        <v>27732</v>
      </c>
      <c r="E14074" s="1" t="str">
        <f ca="1">IFERROR(__xludf.DUMMYFUNCTION("GOOGLETRANSLATE(A10873 , ""tr"" , ""en"")"),"@drfahrettinkoca No. 190 is numbered in KHK ""Health care and auxiliary health care class ruler in 4597 Say ... https://t.co/bvdba9ymxg")</f>
        <v>@drfahrettinkoca No. 190 is numbered in KHK "Health care and auxiliary health care class ruler in 4597 Say ... https://t.co/bvdba9ymxg</v>
      </c>
    </row>
    <row r="14075" spans="1:5" ht="15" customHeight="1" x14ac:dyDescent="0.2">
      <c r="A14075" s="1" t="s">
        <v>27733</v>
      </c>
      <c r="B14075" s="1">
        <v>0</v>
      </c>
      <c r="C14075" s="3">
        <v>44529.920613425929</v>
      </c>
      <c r="D14075" s="1" t="s">
        <v>27734</v>
      </c>
      <c r="E14075" s="1" t="str">
        <f ca="1">IFERROR(__xludf.DUMMYFUNCTION("GOOGLETRANSLATE(A10874 , ""tr"" , ""en"")"),"@drfahrettinkoca 2597 Say in Health Services and Auxiliary Health Care Ruler No. 190")</f>
        <v>@drfahrettinkoca 2597 Say in Health Services and Auxiliary Health Care Ruler No. 190</v>
      </c>
    </row>
    <row r="14076" spans="1:5" ht="15" customHeight="1" x14ac:dyDescent="0.2">
      <c r="A14076" s="1" t="s">
        <v>27735</v>
      </c>
      <c r="B14076" s="1">
        <v>0</v>
      </c>
      <c r="C14076" s="3">
        <v>44529.92046296296</v>
      </c>
      <c r="D14076" s="1" t="s">
        <v>27736</v>
      </c>
      <c r="E14076" s="1" t="str">
        <f ca="1">IFERROR(__xludf.DUMMYFUNCTION("GOOGLETRANSLATE(A10875 , ""tr"" , ""en"")"),"@drfahrettinkoca 2597 Say in Health Services and Auxiliary Health Care Ruler No. 190")</f>
        <v>@drfahrettinkoca 2597 Say in Health Services and Auxiliary Health Care Ruler No. 190</v>
      </c>
    </row>
    <row r="14077" spans="1:5" ht="15" customHeight="1" x14ac:dyDescent="0.2">
      <c r="A14077" s="1" t="s">
        <v>27737</v>
      </c>
      <c r="B14077" s="1">
        <v>0</v>
      </c>
      <c r="C14077" s="3">
        <v>44529.920405092591</v>
      </c>
      <c r="D14077" s="1" t="s">
        <v>27738</v>
      </c>
      <c r="E14077" s="1" t="str">
        <f ca="1">IFERROR(__xludf.DUMMYFUNCTION("GOOGLETRANSLATE(A10876 , ""tr"" , ""en"")"),"@drfahrettinkoca 2597 Say in Health Services and Auxiliary Health Care Ruler No. 190")</f>
        <v>@drfahrettinkoca 2597 Say in Health Services and Auxiliary Health Care Ruler No. 190</v>
      </c>
    </row>
    <row r="14078" spans="1:5" ht="15" customHeight="1" x14ac:dyDescent="0.2">
      <c r="A14078" s="1" t="s">
        <v>27739</v>
      </c>
      <c r="B14078" s="1">
        <v>0</v>
      </c>
      <c r="C14078" s="3">
        <v>44529.920347222222</v>
      </c>
      <c r="D14078" s="1" t="s">
        <v>27740</v>
      </c>
      <c r="E14078" s="1" t="str">
        <f ca="1">IFERROR(__xludf.DUMMYFUNCTION("GOOGLETRANSLATE(A10877 , ""tr"" , ""en"")"),"@drfahrettinkoca 2597 Say in Health Services and Auxiliary Health Care Ruler No. 190")</f>
        <v>@drfahrettinkoca 2597 Say in Health Services and Auxiliary Health Care Ruler No. 190</v>
      </c>
    </row>
    <row r="14079" spans="1:5" ht="15" customHeight="1" x14ac:dyDescent="0.2">
      <c r="A14079" s="1" t="s">
        <v>27741</v>
      </c>
      <c r="B14079" s="1">
        <v>0</v>
      </c>
      <c r="C14079" s="3">
        <v>44529.920289351852</v>
      </c>
      <c r="D14079" s="1" t="s">
        <v>27742</v>
      </c>
      <c r="E14079" s="1" t="str">
        <f ca="1">IFERROR(__xludf.DUMMYFUNCTION("GOOGLETRANSLATE(A10878 , ""tr"" , ""en"")"),"@drfahrettinkoca No. 2597 Say in Health Services and Assistant Health Services Class Ruler No. 190")</f>
        <v>@drfahrettinkoca No. 2597 Say in Health Services and Assistant Health Services Class Ruler No. 190</v>
      </c>
    </row>
    <row r="14080" spans="1:5" ht="15" customHeight="1" x14ac:dyDescent="0.2">
      <c r="A14080" s="1" t="s">
        <v>27743</v>
      </c>
      <c r="B14080" s="1">
        <v>0</v>
      </c>
      <c r="C14080" s="3">
        <v>44529.920208333337</v>
      </c>
      <c r="D14080" s="1" t="s">
        <v>27744</v>
      </c>
      <c r="E14080" s="1" t="str">
        <f ca="1">IFERROR(__xludf.DUMMYFUNCTION("GOOGLETRANSLATE(A10879 , ""tr"" , ""en"")"),"@drfahrettinkoca 2597 Say in Health Services and Assistant Health Services Class Ruler No. 190")</f>
        <v>@drfahrettinkoca 2597 Say in Health Services and Assistant Health Services Class Ruler No. 190</v>
      </c>
    </row>
    <row r="14081" spans="1:5" ht="15" customHeight="1" x14ac:dyDescent="0.2">
      <c r="A14081" s="1" t="s">
        <v>27745</v>
      </c>
      <c r="B14081" s="1">
        <v>0</v>
      </c>
      <c r="C14081" s="3">
        <v>44529.920081018521</v>
      </c>
      <c r="D14081" s="1" t="s">
        <v>27746</v>
      </c>
      <c r="E14081" s="1" t="str">
        <f ca="1">IFERROR(__xludf.DUMMYFUNCTION("GOOGLETRANSLATE(A10880 , ""tr"" , ""en"")"),"@drfahrettinkoca No. 4597 Say in Health Services and Assistant Health Services Class Ruler Numbers in 190 ... https://t.co/3aodl8sg9f")</f>
        <v>@drfahrettinkoca No. 4597 Say in Health Services and Assistant Health Services Class Ruler Numbers in 190 ... https://t.co/3aodl8sg9f</v>
      </c>
    </row>
    <row r="14082" spans="1:5" ht="15" customHeight="1" x14ac:dyDescent="0.2">
      <c r="A14082" s="1" t="s">
        <v>27747</v>
      </c>
      <c r="B14082" s="1">
        <v>0</v>
      </c>
      <c r="C14082" s="3">
        <v>44529.920011574075</v>
      </c>
      <c r="D14082" s="1" t="s">
        <v>27748</v>
      </c>
      <c r="E14082" s="1" t="str">
        <f ca="1">IFERROR(__xludf.DUMMYFUNCTION("GOOGLETRANSLATE(A10881 , ""tr"" , ""en"")"),"@drfahrettinkoca No. 190 is the 2597 Say in Health Services and Auxiliary Health Services Class Ruler ... https://t.co/6czrnr9lbm")</f>
        <v>@drfahrettinkoca No. 190 is the 2597 Say in Health Services and Auxiliary Health Services Class Ruler ... https://t.co/6czrnr9lbm</v>
      </c>
    </row>
    <row r="14083" spans="1:5" ht="15" customHeight="1" x14ac:dyDescent="0.2">
      <c r="A14083" s="1" t="s">
        <v>27749</v>
      </c>
      <c r="B14083" s="1">
        <v>0</v>
      </c>
      <c r="C14083" s="3">
        <v>44529.919872685183</v>
      </c>
      <c r="D14083" s="1" t="s">
        <v>27750</v>
      </c>
      <c r="E14083" s="1" t="str">
        <f ca="1">IFERROR(__xludf.DUMMYFUNCTION("GOOGLETRANSLATE(A10882 , ""tr"" , ""en"")"),"@drfahrettinkoca No. 2597 Say in Health Services and Auxiliary Health Services Class Ruler Numbers. Https://t.co/yls1qdrm4n")</f>
        <v>@drfahrettinkoca No. 2597 Say in Health Services and Auxiliary Health Services Class Ruler Numbers. Https://t.co/yls1qdrm4n</v>
      </c>
    </row>
    <row r="14084" spans="1:5" ht="15" customHeight="1" x14ac:dyDescent="0.2">
      <c r="A14084" s="1" t="s">
        <v>27751</v>
      </c>
      <c r="B14084" s="1">
        <v>0</v>
      </c>
      <c r="C14084" s="3">
        <v>44529.919803240744</v>
      </c>
      <c r="D14084" s="1" t="s">
        <v>27752</v>
      </c>
      <c r="E14084" s="1" t="str">
        <f ca="1">IFERROR(__xludf.DUMMYFUNCTION("GOOGLETRANSLATE(A10883 , ""tr"" , ""en"")"),"@drfahrettinkoca No. 2597 Say in Health Services and Assistant Health Services Class Ruler Numbered in 190 ... https://t.co/vfjv3umaic")</f>
        <v>@drfahrettinkoca No. 2597 Say in Health Services and Assistant Health Services Class Ruler Numbered in 190 ... https://t.co/vfjv3umaic</v>
      </c>
    </row>
    <row r="14085" spans="1:5" ht="15" customHeight="1" x14ac:dyDescent="0.2">
      <c r="A14085" s="1" t="s">
        <v>27753</v>
      </c>
      <c r="B14085" s="1">
        <v>0</v>
      </c>
      <c r="C14085" s="3">
        <v>44529.919745370367</v>
      </c>
      <c r="D14085" s="1" t="s">
        <v>27754</v>
      </c>
      <c r="E14085" s="1" t="str">
        <f ca="1">IFERROR(__xludf.DUMMYFUNCTION("GOOGLETRANSLATE(A10884 , ""tr"" , ""en"")"),"@drfahrettinkoca 2597 Say in Health Services and Assistant Health Services Class Ruler No. 190")</f>
        <v>@drfahrettinkoca 2597 Say in Health Services and Assistant Health Services Class Ruler No. 190</v>
      </c>
    </row>
    <row r="14086" spans="1:5" ht="15" customHeight="1" x14ac:dyDescent="0.2">
      <c r="A14086" s="1" t="s">
        <v>27755</v>
      </c>
      <c r="B14086" s="1">
        <v>0</v>
      </c>
      <c r="C14086" s="3">
        <v>44529.919664351852</v>
      </c>
      <c r="D14086" s="1" t="s">
        <v>27756</v>
      </c>
      <c r="E14086" s="1" t="str">
        <f ca="1">IFERROR(__xludf.DUMMYFUNCTION("GOOGLETRANSLATE(A10885 , ""tr"" , ""en"")"),"@drfahrettinkoca No. 190 is the 2597 Say in Health Services and Auxiliary Health Services Class Ruler, Https://t.co/wqfbq7gupw")</f>
        <v>@drfahrettinkoca No. 190 is the 2597 Say in Health Services and Auxiliary Health Services Class Ruler, Https://t.co/wqfbq7gupw</v>
      </c>
    </row>
    <row r="14087" spans="1:5" ht="15" customHeight="1" x14ac:dyDescent="0.2">
      <c r="A14087" s="1" t="s">
        <v>27757</v>
      </c>
      <c r="B14087" s="1">
        <v>0</v>
      </c>
      <c r="C14087" s="3">
        <v>44529.919594907406</v>
      </c>
      <c r="D14087" s="1" t="s">
        <v>27758</v>
      </c>
      <c r="E14087" s="1" t="str">
        <f ca="1">IFERROR(__xludf.DUMMYFUNCTION("GOOGLETRANSLATE(A10886 , ""tr"" , ""en"")"),"@drfahrettinkoca 2597 Say in Health Services and Auxiliary Health Care Ruler No. 190")</f>
        <v>@drfahrettinkoca 2597 Say in Health Services and Auxiliary Health Care Ruler No. 190</v>
      </c>
    </row>
    <row r="14088" spans="1:5" ht="15" customHeight="1" x14ac:dyDescent="0.2">
      <c r="A14088" s="1" t="s">
        <v>27759</v>
      </c>
      <c r="B14088" s="1">
        <v>0</v>
      </c>
      <c r="C14088" s="3">
        <v>44529.919537037036</v>
      </c>
      <c r="D14088" s="1" t="s">
        <v>27760</v>
      </c>
      <c r="E14088" s="1" t="str">
        <f ca="1">IFERROR(__xludf.DUMMYFUNCTION("GOOGLETRANSLATE(A10887 , ""tr"" , ""en"")"),"@drfahrettinkoca 190 No. 2597 Say in Health Services and Assistant Health Services Class Ruler of 190 ... Https://t.co/bcd2cxhatr")</f>
        <v>@drfahrettinkoca 190 No. 2597 Say in Health Services and Assistant Health Services Class Ruler of 190 ... Https://t.co/bcd2cxhatr</v>
      </c>
    </row>
    <row r="14089" spans="1:5" ht="15" customHeight="1" x14ac:dyDescent="0.2">
      <c r="A14089" s="1" t="s">
        <v>27761</v>
      </c>
      <c r="B14089" s="1">
        <v>0</v>
      </c>
      <c r="C14089" s="3">
        <v>44529.919456018521</v>
      </c>
      <c r="D14089" s="1" t="s">
        <v>27762</v>
      </c>
      <c r="E14089" s="1" t="str">
        <f ca="1">IFERROR(__xludf.DUMMYFUNCTION("GOOGLETRANSLATE(A10888 , ""tr"" , ""en"")"),"@drfahrettinkoca No. 2597 Say in Health Services and Assistant Health Services Class Ruler Numbers in 190 ... Https://t.co/qeo4npro4h")</f>
        <v>@drfahrettinkoca No. 2597 Say in Health Services and Assistant Health Services Class Ruler Numbers in 190 ... Https://t.co/qeo4npro4h</v>
      </c>
    </row>
    <row r="14090" spans="1:5" ht="15" customHeight="1" x14ac:dyDescent="0.2">
      <c r="A14090" s="1" t="s">
        <v>27763</v>
      </c>
      <c r="B14090" s="1">
        <v>0</v>
      </c>
      <c r="C14090" s="3">
        <v>44529.919386574074</v>
      </c>
      <c r="D14090" s="1" t="s">
        <v>27764</v>
      </c>
      <c r="E14090" s="1" t="str">
        <f ca="1">IFERROR(__xludf.DUMMYFUNCTION("GOOGLETRANSLATE(A10889 , ""tr"" , ""en"")"),"@drfahrettinkoca 2597 Say in Health Services and Auxiliary Health Care Ruler No. 190")</f>
        <v>@drfahrettinkoca 2597 Say in Health Services and Auxiliary Health Care Ruler No. 190</v>
      </c>
    </row>
    <row r="14091" spans="1:5" ht="15" customHeight="1" x14ac:dyDescent="0.2">
      <c r="A14091" s="1" t="s">
        <v>27765</v>
      </c>
      <c r="B14091" s="1">
        <v>0</v>
      </c>
      <c r="C14091" s="3">
        <v>44529.919270833336</v>
      </c>
      <c r="D14091" s="1" t="s">
        <v>27766</v>
      </c>
      <c r="E14091" s="1" t="str">
        <f ca="1">IFERROR(__xludf.DUMMYFUNCTION("GOOGLETRANSLATE(A10890 , ""tr"" , ""en"")"),"@drfahrettinkoca No. 2597 Say in Health Services and Auxiliary Health Services Class Ruler Numbers in 190 ... Https://t.co/unzbc4wbnb")</f>
        <v>@drfahrettinkoca No. 2597 Say in Health Services and Auxiliary Health Services Class Ruler Numbers in 190 ... Https://t.co/unzbc4wbnb</v>
      </c>
    </row>
    <row r="14092" spans="1:5" ht="15" customHeight="1" x14ac:dyDescent="0.2">
      <c r="A14092" s="1" t="s">
        <v>27767</v>
      </c>
      <c r="B14092" s="1">
        <v>0</v>
      </c>
      <c r="C14092" s="3">
        <v>44529.919212962966</v>
      </c>
      <c r="D14092" s="1" t="s">
        <v>27768</v>
      </c>
      <c r="E14092" s="1" t="str">
        <f ca="1">IFERROR(__xludf.DUMMYFUNCTION("GOOGLETRANSLATE(A10891 , ""tr"" , ""en"")"),"@drfahrettinkoca 2597 Say in Health Services and Auxiliary Health Care Ruler No. 190")</f>
        <v>@drfahrettinkoca 2597 Say in Health Services and Auxiliary Health Care Ruler No. 190</v>
      </c>
    </row>
    <row r="14093" spans="1:5" ht="15" customHeight="1" x14ac:dyDescent="0.2">
      <c r="A14093" s="1" t="s">
        <v>27769</v>
      </c>
      <c r="B14093" s="1">
        <v>0</v>
      </c>
      <c r="C14093" s="3">
        <v>44529.91914351852</v>
      </c>
      <c r="D14093" s="1" t="s">
        <v>27770</v>
      </c>
      <c r="E14093" s="1" t="str">
        <f ca="1">IFERROR(__xludf.DUMMYFUNCTION("GOOGLETRANSLATE(A10892 , ""tr"" , ""en"")"),"@drfahrettinkoca 2597 Say in Health Services and Auxiliary Health Care Ruler No. 190")</f>
        <v>@drfahrettinkoca 2597 Say in Health Services and Auxiliary Health Care Ruler No. 190</v>
      </c>
    </row>
    <row r="14094" spans="1:5" ht="15" customHeight="1" x14ac:dyDescent="0.2">
      <c r="A14094" s="1" t="s">
        <v>27771</v>
      </c>
      <c r="B14094" s="1">
        <v>0</v>
      </c>
      <c r="C14094" s="3">
        <v>44529.919062499997</v>
      </c>
      <c r="D14094" s="1" t="s">
        <v>27772</v>
      </c>
      <c r="E14094" s="1" t="str">
        <f ca="1">IFERROR(__xludf.DUMMYFUNCTION("GOOGLETRANSLATE(A10893 , ""tr"" , ""en"")"),"@drfahrettinkoca No. 2597 Say in Health Services and Assistant Health Services Class Ruler Numbers in 190 ... HTTPS://T.CO/Y06MI0isgy")</f>
        <v>@drfahrettinkoca No. 2597 Say in Health Services and Assistant Health Services Class Ruler Numbers in 190 ... HTTPS://T.CO/Y06MI0isgy</v>
      </c>
    </row>
    <row r="14095" spans="1:5" ht="15" customHeight="1" x14ac:dyDescent="0.2">
      <c r="A14095" s="1" t="s">
        <v>27773</v>
      </c>
      <c r="B14095" s="1">
        <v>0</v>
      </c>
      <c r="C14095" s="3">
        <v>44529.918773148151</v>
      </c>
      <c r="D14095" s="1" t="s">
        <v>27774</v>
      </c>
      <c r="E14095" s="1" t="str">
        <f ca="1">IFERROR(__xludf.DUMMYFUNCTION("GOOGLETRANSLATE(A10894 , ""tr"" , ""en"")"),"@drfahrettinkoca No. 190 No. 4597 Say in Health Services and Auxiliary Health Services Class Ruler ... https://t.co/gjhamfjvmk")</f>
        <v>@drfahrettinkoca No. 190 No. 4597 Say in Health Services and Auxiliary Health Services Class Ruler ... https://t.co/gjhamfjvmk</v>
      </c>
    </row>
    <row r="14096" spans="1:5" ht="15" customHeight="1" x14ac:dyDescent="0.2">
      <c r="A14096" s="1" t="s">
        <v>27775</v>
      </c>
      <c r="B14096" s="1">
        <v>0</v>
      </c>
      <c r="C14096" s="3">
        <v>44529.918749999997</v>
      </c>
      <c r="D14096" s="1" t="s">
        <v>27776</v>
      </c>
      <c r="E14096" s="1" t="str">
        <f ca="1">IFERROR(__xludf.DUMMYFUNCTION("GOOGLETRANSLATE(A10895 , ""tr"" , ""en"")"),"@drfahrettinkoca 2597 Say in Health Services and Assistant Health Services Class Ruler No. 190")</f>
        <v>@drfahrettinkoca 2597 Say in Health Services and Assistant Health Services Class Ruler No. 190</v>
      </c>
    </row>
    <row r="14097" spans="1:5" ht="15" customHeight="1" x14ac:dyDescent="0.2">
      <c r="A14097" s="1" t="s">
        <v>27777</v>
      </c>
      <c r="B14097" s="1">
        <v>0</v>
      </c>
      <c r="C14097" s="3">
        <v>44529.918611111112</v>
      </c>
      <c r="D14097" s="1" t="s">
        <v>27778</v>
      </c>
      <c r="E14097" s="1" t="str">
        <f ca="1">IFERROR(__xludf.DUMMYFUNCTION("GOOGLETRANSLATE(A10896 , ""tr"" , ""en"")"),"@drfahrettinkoca No. 2597 Say in Health Services and Auxiliary Health Services Class Ruler Numbers. Https://t.co/jf5rdlqqmg")</f>
        <v>@drfahrettinkoca No. 2597 Say in Health Services and Auxiliary Health Services Class Ruler Numbers. Https://t.co/jf5rdlqqmg</v>
      </c>
    </row>
    <row r="14098" spans="1:5" ht="15" customHeight="1" x14ac:dyDescent="0.2">
      <c r="A14098" s="1" t="s">
        <v>27779</v>
      </c>
      <c r="B14098" s="1">
        <v>0</v>
      </c>
      <c r="C14098" s="3">
        <v>44529.918506944443</v>
      </c>
      <c r="D14098" s="1" t="s">
        <v>27780</v>
      </c>
      <c r="E14098" s="1" t="str">
        <f ca="1">IFERROR(__xludf.DUMMYFUNCTION("GOOGLETRANSLATE(A10897 , ""tr"" , ""en"")"),"@drfahrettinkoca 190 No. 2597 Say in Health Services and Auxiliary Health Services Class Ruler of 190 ... https://t.co/kuwckaczeo")</f>
        <v>@drfahrettinkoca 190 No. 2597 Say in Health Services and Auxiliary Health Services Class Ruler of 190 ... https://t.co/kuwckaczeo</v>
      </c>
    </row>
    <row r="14099" spans="1:5" ht="15" customHeight="1" x14ac:dyDescent="0.2">
      <c r="A14099" s="1" t="s">
        <v>27781</v>
      </c>
      <c r="B14099" s="1">
        <v>0</v>
      </c>
      <c r="C14099" s="3">
        <v>44529.918425925927</v>
      </c>
      <c r="D14099" s="1" t="s">
        <v>27782</v>
      </c>
      <c r="E14099" s="1" t="str">
        <f ca="1">IFERROR(__xludf.DUMMYFUNCTION("GOOGLETRANSLATE(A10898 , ""tr"" , ""en"")"),"@drfahrettinkoca 190 No. 2597 Say in Health Services and Auxiliary Health Services Class Ruler of 190 ... https://t.co/twqspqiqau")</f>
        <v>@drfahrettinkoca 190 No. 2597 Say in Health Services and Auxiliary Health Services Class Ruler of 190 ... https://t.co/twqspqiqau</v>
      </c>
    </row>
    <row r="14100" spans="1:5" ht="15" customHeight="1" x14ac:dyDescent="0.2">
      <c r="A14100" s="1" t="s">
        <v>27783</v>
      </c>
      <c r="B14100" s="1">
        <v>0</v>
      </c>
      <c r="C14100" s="3">
        <v>44530.891805555555</v>
      </c>
      <c r="D14100" s="1" t="s">
        <v>27784</v>
      </c>
      <c r="E14100" s="1" t="str">
        <f ca="1">IFERROR(__xludf.DUMMYFUNCTION("GOOGLETRANSLATE(A10899 , ""tr"" , ""en"")"),"@drfahrettinkoca you will not be able to vote from a health unless you give the private sector to the private sector. ... https://t.co/5bgxs6ozl9")</f>
        <v>@drfahrettinkoca you will not be able to vote from a health unless you give the private sector to the private sector. ... https://t.co/5bgxs6ozl9</v>
      </c>
    </row>
    <row r="14101" spans="1:5" ht="15" customHeight="1" x14ac:dyDescent="0.2">
      <c r="A14101" s="1" t="s">
        <v>27785</v>
      </c>
      <c r="B14101" s="1">
        <v>1</v>
      </c>
      <c r="C14101" s="3">
        <v>44529.995185185187</v>
      </c>
      <c r="D14101" s="1" t="s">
        <v>27786</v>
      </c>
      <c r="E14101" s="1" t="str">
        <f ca="1">IFERROR(__xludf.DUMMYFUNCTION("GOOGLETRANSLATE(A10900 , ""tr"" , ""en"")"),"@drfahrettinkoca This vaccine is returning bi windmill in this vaccine business What is DSO in this vaccine is DSUDUD")</f>
        <v>@drfahrettinkoca This vaccine is returning bi windmill in this vaccine business What is DSO in this vaccine is DSUDUD</v>
      </c>
    </row>
    <row r="14102" spans="1:5" ht="15" customHeight="1" x14ac:dyDescent="0.2">
      <c r="A14102" s="1" t="s">
        <v>27787</v>
      </c>
      <c r="B14102" s="1">
        <v>1</v>
      </c>
      <c r="C14102" s="3">
        <v>44529.991956018515</v>
      </c>
      <c r="D14102" s="1" t="s">
        <v>27788</v>
      </c>
      <c r="E14102" s="1" t="str">
        <f ca="1">IFERROR(__xludf.DUMMYFUNCTION("GOOGLETRANSLATE(A10901 , ""tr"" , ""en"")"),"@drfahrettinkoca variant's owner of the African I think it is calm down")</f>
        <v>@drfahrettinkoca variant's owner of the African I think it is calm down</v>
      </c>
    </row>
    <row r="14103" spans="1:5" ht="15" customHeight="1" x14ac:dyDescent="0.2">
      <c r="A14103" s="1" t="s">
        <v>27789</v>
      </c>
      <c r="B14103" s="1">
        <v>1</v>
      </c>
      <c r="C14103" s="3">
        <v>44529.991956018515</v>
      </c>
      <c r="D14103" s="1" t="s">
        <v>27790</v>
      </c>
      <c r="E14103" s="1" t="str">
        <f ca="1">IFERROR(__xludf.DUMMYFUNCTION("GOOGLETRANSLATE(A10902 , ""tr"" , ""en"")"),"@drfahrettinkoca What measures do you get? People in indoor places are not masked.")</f>
        <v>@drfahrettinkoca What measures do you get? People in indoor places are not masked.</v>
      </c>
    </row>
    <row r="14104" spans="1:5" ht="15" customHeight="1" x14ac:dyDescent="0.2">
      <c r="A14104" s="1" t="s">
        <v>27791</v>
      </c>
      <c r="B14104" s="1">
        <v>1</v>
      </c>
      <c r="C14104" s="3">
        <v>44529.980451388888</v>
      </c>
      <c r="D14104" s="1" t="s">
        <v>27792</v>
      </c>
      <c r="E14104" s="1" t="str">
        <f ca="1">IFERROR(__xludf.DUMMYFUNCTION("GOOGLETRANSLATE(A10903 , ""tr"" , ""en"")"),"@drfahrettinkoca Corona does not kill, drugs and vaccines kill.")</f>
        <v>@drfahrettinkoca Corona does not kill, drugs and vaccines kill.</v>
      </c>
    </row>
    <row r="14105" spans="1:5" ht="15" customHeight="1" x14ac:dyDescent="0.2">
      <c r="A14105" s="1" t="s">
        <v>27793</v>
      </c>
      <c r="B14105" s="1">
        <v>0</v>
      </c>
      <c r="C14105" s="3">
        <v>44529.979548611111</v>
      </c>
      <c r="D14105" s="1" t="s">
        <v>27794</v>
      </c>
      <c r="E14105" s="1" t="str">
        <f ca="1">IFERROR(__xludf.DUMMYFUNCTION("GOOGLETRANSLATE(A10904 , ""tr"" , ""en"")"),"A person who believes in @drfahrettinkoca dSO is the world's purest person in the world")</f>
        <v>A person who believes in @drfahrettinkoca dSO is the world's purest person in the world</v>
      </c>
    </row>
    <row r="14106" spans="1:5" ht="15" customHeight="1" x14ac:dyDescent="0.2">
      <c r="A14106" s="1" t="s">
        <v>27795</v>
      </c>
      <c r="B14106" s="1">
        <v>0</v>
      </c>
      <c r="C14106" s="3">
        <v>44529.978865740741</v>
      </c>
      <c r="D14106" s="1" t="s">
        <v>27796</v>
      </c>
      <c r="E14106" s="1" t="str">
        <f ca="1">IFERROR(__xludf.DUMMYFUNCTION("GOOGLETRANSLATE(A10905 , ""tr"" , ""en"")"),"@drfahrettinka you are our enemy of our friend is not clear")</f>
        <v>@drfahrettinka you are our enemy of our friend is not clear</v>
      </c>
    </row>
    <row r="14107" spans="1:5" ht="15" customHeight="1" x14ac:dyDescent="0.2">
      <c r="A14107" s="1" t="s">
        <v>27797</v>
      </c>
      <c r="B14107" s="1">
        <v>0</v>
      </c>
      <c r="C14107" s="3">
        <v>44529.967650462961</v>
      </c>
      <c r="D14107" s="1" t="s">
        <v>27798</v>
      </c>
      <c r="E14107" s="1" t="str">
        <f ca="1">IFERROR(__xludf.DUMMYFUNCTION("GOOGLETRANSLATE(A10906 , ""tr"" , ""en"")"),"@drfahrettinkoca hay your variant .... we don't believe inzz https://t.co/rcnk5y9ktc")</f>
        <v>@drfahrettinkoca hay your variant .... we don't believe inzz https://t.co/rcnk5y9ktc</v>
      </c>
    </row>
    <row r="14108" spans="1:5" ht="15" customHeight="1" x14ac:dyDescent="0.2">
      <c r="A14108" s="1" t="s">
        <v>27799</v>
      </c>
      <c r="B14108" s="1">
        <v>0</v>
      </c>
      <c r="C14108" s="3">
        <v>44529.955081018517</v>
      </c>
      <c r="D14108" s="1" t="s">
        <v>27800</v>
      </c>
      <c r="E14108" s="1" t="str">
        <f ca="1">IFERROR(__xludf.DUMMYFUNCTION("GOOGLETRANSLATE(A10907 , ""tr"" , ""en"")"),"@drfahrettinkoca is still the pandemy of the pandemy of your pandem?")</f>
        <v>@drfahrettinkoca is still the pandemy of the pandemy of your pandem?</v>
      </c>
    </row>
    <row r="14109" spans="1:5" ht="15" customHeight="1" x14ac:dyDescent="0.2">
      <c r="A14109" s="1" t="s">
        <v>27801</v>
      </c>
      <c r="B14109" s="1">
        <v>0</v>
      </c>
      <c r="C14109" s="3">
        <v>44529.940335648149</v>
      </c>
      <c r="D14109" s="1" t="s">
        <v>27802</v>
      </c>
      <c r="E14109" s="1" t="str">
        <f ca="1">IFERROR(__xludf.DUMMYFUNCTION("GOOGLETRANSLATE(A10908 , ""tr"" , ""en"")"),"@drfahrettinka vaccine Germany Found in Germany Germans are going to the other side from the disease to the other side of the case numbers pale. New v ... https://t.co/gwoa8l5gwc")</f>
        <v>@drfahrettinka vaccine Germany Found in Germany Germans are going to the other side from the disease to the other side of the case numbers pale. New v ... https://t.co/gwoa8l5gwc</v>
      </c>
    </row>
    <row r="14110" spans="1:5" ht="15" customHeight="1" x14ac:dyDescent="0.2">
      <c r="A14110" s="1" t="s">
        <v>27803</v>
      </c>
      <c r="B14110" s="1">
        <v>0</v>
      </c>
      <c r="C14110" s="3">
        <v>44529.940324074072</v>
      </c>
      <c r="D14110" s="1" t="s">
        <v>27804</v>
      </c>
      <c r="E14110" s="1" t="str">
        <f ca="1">IFERROR(__xludf.DUMMYFUNCTION("GOOGLETRANSLATE(A10909 , ""tr"" , ""en"")"),"@drfahrettinkoca my father died from the poison you call the vaccine, as her parents, but I will say that; God too ... HTTPS://T.CO/UKLBXJBWGA")</f>
        <v>@drfahrettinkoca my father died from the poison you call the vaccine, as her parents, but I will say that; God too ... HTTPS://T.CO/UKLBXJBWGA</v>
      </c>
    </row>
    <row r="14111" spans="1:5" ht="15" customHeight="1" x14ac:dyDescent="0.2">
      <c r="A14111" s="1" t="s">
        <v>27805</v>
      </c>
      <c r="B14111" s="1">
        <v>0</v>
      </c>
      <c r="C14111" s="3">
        <v>44529.939652777779</v>
      </c>
      <c r="D14111" s="1" t="s">
        <v>27806</v>
      </c>
      <c r="E14111" s="1" t="str">
        <f ca="1">IFERROR(__xludf.DUMMYFUNCTION("GOOGLETRANSLATE(A10910 , ""tr"" , ""en"")"),"@drfahrettinkoca This demon plays you all on your finger! And you think this asshole serves herself to science ... https://t.co/awa3yw4vlp")</f>
        <v>@drfahrettinkoca This demon plays you all on your finger! And you think this asshole serves herself to science ... https://t.co/awa3yw4vlp</v>
      </c>
    </row>
    <row r="14112" spans="1:5" ht="15" customHeight="1" x14ac:dyDescent="0.2">
      <c r="A14112" s="1" t="s">
        <v>27807</v>
      </c>
      <c r="B14112" s="1">
        <v>1</v>
      </c>
      <c r="C14112" s="3">
        <v>44529.938460648147</v>
      </c>
      <c r="D14112" s="1" t="s">
        <v>27808</v>
      </c>
      <c r="E14112" s="1" t="str">
        <f ca="1">IFERROR(__xludf.DUMMYFUNCTION("GOOGLETRANSLATE(A10911 , ""tr"" , ""en"")"),"@drfahrettinkoca WHO will give you more than you think of Mr. Overlooking maybe Variant :))")</f>
        <v>@drfahrettinkoca WHO will give you more than you think of Mr. Overlooking maybe Variant :))</v>
      </c>
    </row>
    <row r="14113" spans="1:5" ht="15" customHeight="1" x14ac:dyDescent="0.2">
      <c r="A14113" s="1" t="s">
        <v>27809</v>
      </c>
      <c r="B14113" s="1">
        <v>0</v>
      </c>
      <c r="C14113" s="3">
        <v>44529.928449074076</v>
      </c>
      <c r="D14113" s="1" t="s">
        <v>27810</v>
      </c>
      <c r="E14113" s="1" t="str">
        <f ca="1">IFERROR(__xludf.DUMMYFUNCTION("GOOGLETRANSLATE(A10912 , ""tr"" , ""en"")"),"@drfahrettinkoca In the future generation these variants are risking us all this spread to online education ... https://t.co/vxzh10wjo4")</f>
        <v>@drfahrettinkoca In the future generation these variants are risking us all this spread to online education ... https://t.co/vxzh10wjo4</v>
      </c>
    </row>
    <row r="14114" spans="1:5" ht="15" customHeight="1" x14ac:dyDescent="0.2">
      <c r="A14114" s="1" t="s">
        <v>27811</v>
      </c>
      <c r="B14114" s="1">
        <v>1</v>
      </c>
      <c r="C14114" s="3">
        <v>44529.926388888889</v>
      </c>
      <c r="D14114" s="1" t="s">
        <v>27812</v>
      </c>
      <c r="E14114" s="1" t="str">
        <f ca="1">IFERROR(__xludf.DUMMYFUNCTION("GOOGLETRANSLATE(A10913 , ""tr"" , ""en"")"),"@drfahrettinkoca Don't hide the number of cases bro")</f>
        <v>@drfahrettinkoca Don't hide the number of cases bro</v>
      </c>
    </row>
    <row r="14115" spans="1:5" ht="15" customHeight="1" x14ac:dyDescent="0.2">
      <c r="A14115" s="1" t="s">
        <v>27813</v>
      </c>
      <c r="B14115" s="1">
        <v>0</v>
      </c>
      <c r="C14115" s="3">
        <v>44529.925497685188</v>
      </c>
      <c r="D14115" s="1" t="s">
        <v>27814</v>
      </c>
      <c r="E14115" s="1" t="str">
        <f ca="1">IFERROR(__xludf.DUMMYFUNCTION("GOOGLETRANSLATE(A10914 , ""tr"" , ""en"")"),"@drfahrettinkoca Mr. Ministry of Biontec We wish you were very cook If the native vaccine was more than before")</f>
        <v>@drfahrettinkoca Mr. Ministry of Biontec We wish you were very cook If the native vaccine was more than before</v>
      </c>
    </row>
    <row r="14116" spans="1:5" ht="15" customHeight="1" x14ac:dyDescent="0.2">
      <c r="A14116" s="1" t="s">
        <v>27815</v>
      </c>
      <c r="B14116" s="1">
        <v>0</v>
      </c>
      <c r="C14116" s="3">
        <v>44529.922638888886</v>
      </c>
      <c r="D14116" s="1" t="s">
        <v>27816</v>
      </c>
      <c r="E14116" s="1" t="str">
        <f ca="1">IFERROR(__xludf.DUMMYFUNCTION("GOOGLETRANSLATE(A10915 , ""tr"" , ""en"")"),"@drfahrettinkoca quit ETTTTTTT!")</f>
        <v>@drfahrettinkoca quit ETTTTTTT!</v>
      </c>
    </row>
    <row r="14117" spans="1:5" ht="15" customHeight="1" x14ac:dyDescent="0.2">
      <c r="A14117" s="1" t="s">
        <v>27817</v>
      </c>
      <c r="B14117" s="1">
        <v>0</v>
      </c>
      <c r="C14117" s="3">
        <v>44530.940833333334</v>
      </c>
      <c r="D14117" s="1" t="s">
        <v>27818</v>
      </c>
      <c r="E14117" s="1" t="str">
        <f ca="1">IFERROR(__xludf.DUMMYFUNCTION("GOOGLETRANSLATE(A10916 , ""tr"" , ""en"")"),"@drfahrettinka Which intermediate you have investigated how to make the precaution, which is the next variant? What overcome a ... https://t.co/adeklv2eph")</f>
        <v>@drfahrettinka Which intermediate you have investigated how to make the precaution, which is the next variant? What overcome a ... https://t.co/adeklv2eph</v>
      </c>
    </row>
    <row r="14118" spans="1:5" ht="15" customHeight="1" x14ac:dyDescent="0.2">
      <c r="A14118" s="1" t="s">
        <v>27819</v>
      </c>
      <c r="B14118" s="1">
        <v>0</v>
      </c>
      <c r="C14118" s="3">
        <v>44530.927233796298</v>
      </c>
      <c r="D14118" s="1" t="s">
        <v>27820</v>
      </c>
      <c r="E14118" s="1" t="str">
        <f ca="1">IFERROR(__xludf.DUMMYFUNCTION("GOOGLETRANSLATE(A10917 , ""tr"" , ""en"")"),"@drfahrettinkoca Covidte Observed Variants ie I think it is mutated I think it is a sign. These signs Covidin ... https://t.co/elb31tuz2n")</f>
        <v>@drfahrettinkoca Covidte Observed Variants ie I think it is mutated I think it is a sign. These signs Covidin ... https://t.co/elb31tuz2n</v>
      </c>
    </row>
    <row r="14119" spans="1:5" ht="15" customHeight="1" x14ac:dyDescent="0.2">
      <c r="A14119" s="1" t="s">
        <v>27821</v>
      </c>
      <c r="B14119" s="1">
        <v>0</v>
      </c>
      <c r="C14119" s="3">
        <v>44530.897824074076</v>
      </c>
      <c r="D14119" s="1" t="s">
        <v>27822</v>
      </c>
      <c r="E14119" s="1" t="str">
        <f ca="1">IFERROR(__xludf.DUMMYFUNCTION("GOOGLETRANSLATE(A10918 , ""tr"" , ""en"")"),"@drfahrettinkoca people are going to go with school when you are going home and comes home after it comes home then choose the most sensible ... https://t.co/1yilzep9i2")</f>
        <v>@drfahrettinkoca people are going to go with school when you are going home and comes home after it comes home then choose the most sensible ... https://t.co/1yilzep9i2</v>
      </c>
    </row>
    <row r="14120" spans="1:5" ht="15" customHeight="1" x14ac:dyDescent="0.2">
      <c r="A14120" s="1" t="s">
        <v>27823</v>
      </c>
      <c r="B14120" s="1">
        <v>0</v>
      </c>
      <c r="C14120" s="3">
        <v>44530.891863425924</v>
      </c>
      <c r="D14120" s="1" t="s">
        <v>27824</v>
      </c>
      <c r="E14120" s="1" t="str">
        <f ca="1">IFERROR(__xludf.DUMMYFUNCTION("GOOGLETRANSLATE(A10919 , ""tr"" , ""en"")"),"@drfahrettinkoca You will not be able to vote from a health unless you will determine the private sector to the private sector. ... https://t.co/kak8I6ld3r")</f>
        <v>@drfahrettinkoca You will not be able to vote from a health unless you will determine the private sector to the private sector. ... https://t.co/kak8I6ld3r</v>
      </c>
    </row>
    <row r="14121" spans="1:5" ht="15" customHeight="1" x14ac:dyDescent="0.2">
      <c r="A14121" s="1" t="s">
        <v>27825</v>
      </c>
      <c r="B14121" s="1">
        <v>0</v>
      </c>
      <c r="C14121" s="3">
        <v>44530.89199074074</v>
      </c>
      <c r="D14121" s="1" t="s">
        <v>27826</v>
      </c>
      <c r="E14121" s="1" t="str">
        <f ca="1">IFERROR(__xludf.DUMMYFUNCTION("GOOGLETRANSLATE(A10920 , ""tr"" , ""en"")"),"@drfahrettinkoca You will not be able to vote from a health to the private sector to the private sector. ... https://t.co/jlgf4pvjxb")</f>
        <v>@drfahrettinkoca You will not be able to vote from a health to the private sector to the private sector. ... https://t.co/jlgf4pvjxb</v>
      </c>
    </row>
    <row r="14122" spans="1:5" ht="15" customHeight="1" x14ac:dyDescent="0.2">
      <c r="A14122" s="1" t="s">
        <v>27827</v>
      </c>
      <c r="B14122" s="1">
        <v>0</v>
      </c>
      <c r="C14122" s="3">
        <v>44530.890057870369</v>
      </c>
      <c r="D14122" s="1" t="s">
        <v>27828</v>
      </c>
      <c r="E14122" s="1" t="str">
        <f ca="1">IFERROR(__xludf.DUMMYFUNCTION("GOOGLETRANSLATE(A10921 , ""tr"" , ""en"")"),"@drfahrettinkoca 40 premises we want a fair assignment in which the Health Management section is in the vibration. my minister")</f>
        <v>@drfahrettinkoca 40 premises we want a fair assignment in which the Health Management section is in the vibration. my minister</v>
      </c>
    </row>
    <row r="14123" spans="1:5" ht="15" customHeight="1" x14ac:dyDescent="0.2">
      <c r="A14123" s="1" t="s">
        <v>27829</v>
      </c>
      <c r="B14123" s="1">
        <v>0</v>
      </c>
      <c r="C14123" s="3">
        <v>44530.889907407407</v>
      </c>
      <c r="D14123" s="1" t="s">
        <v>27830</v>
      </c>
      <c r="E14123" s="1" t="str">
        <f ca="1">IFERROR(__xludf.DUMMYFUNCTION("GOOGLETRANSLATE(A10922 , ""tr"" , ""en"")"),"@drfahrettinkoca 40 premises of the Health Management section in the vibration of 40 buildings is also within the Ministry of Ministry")</f>
        <v>@drfahrettinkoca 40 premises of the Health Management section in the vibration of 40 buildings is also within the Ministry of Ministry</v>
      </c>
    </row>
    <row r="14124" spans="1:5" ht="15" customHeight="1" x14ac:dyDescent="0.2">
      <c r="A14124" s="1" t="s">
        <v>27070</v>
      </c>
      <c r="B14124" s="1">
        <v>0</v>
      </c>
      <c r="C14124" s="3">
        <v>44530.889803240738</v>
      </c>
      <c r="D14124" s="1" t="s">
        <v>27831</v>
      </c>
      <c r="E14124" s="1" t="str">
        <f ca="1">IFERROR(__xludf.DUMMYFUNCTION("GOOGLETRANSLATE(A10923 , ""tr"" , ""en"")"),"@drfahrettinkoca 40 Bin of the Health Management section in the vibration, we want a fair assignment in which it is also within the Minister.")</f>
        <v>@drfahrettinkoca 40 Bin of the Health Management section in the vibration, we want a fair assignment in which it is also within the Minister.</v>
      </c>
    </row>
    <row r="14125" spans="1:5" ht="15" customHeight="1" x14ac:dyDescent="0.2">
      <c r="A14125" s="1" t="s">
        <v>27072</v>
      </c>
      <c r="B14125" s="1">
        <v>0</v>
      </c>
      <c r="C14125" s="3">
        <v>44530.889699074076</v>
      </c>
      <c r="D14125" s="1" t="s">
        <v>27832</v>
      </c>
      <c r="E14125" s="1" t="str">
        <f ca="1">IFERROR(__xludf.DUMMYFUNCTION("GOOGLETRANSLATE(A10924 , ""tr"" , ""en"")"),"@drfahrettinkoca 40 The Health Administration section of the 5 billitums will also require a fair assignment in which it is within")</f>
        <v>@drfahrettinkoca 40 The Health Administration section of the 5 billitums will also require a fair assignment in which it is within</v>
      </c>
    </row>
    <row r="14126" spans="1:5" ht="15" customHeight="1" x14ac:dyDescent="0.2">
      <c r="A14126" s="1" t="s">
        <v>27833</v>
      </c>
      <c r="B14126" s="1">
        <v>0</v>
      </c>
      <c r="C14126" s="3">
        <v>44529.939988425926</v>
      </c>
      <c r="D14126" s="1" t="s">
        <v>27834</v>
      </c>
      <c r="E14126" s="1" t="str">
        <f ca="1">IFERROR(__xludf.DUMMYFUNCTION("GOOGLETRANSLATE(A10925 , ""tr"" , ""en"")"),"@drfahrettinka you, patient's and doctors please. Bursa Checkrig in State Hospital Included ... https://t.co/gtkkbkaypd")</f>
        <v>@drfahrettinka you, patient's and doctors please. Bursa Checkrig in State Hospital Included ... https://t.co/gtkkbkaypd</v>
      </c>
    </row>
    <row r="14127" spans="1:5" ht="15" customHeight="1" x14ac:dyDescent="0.2">
      <c r="A14127" s="1" t="s">
        <v>27835</v>
      </c>
      <c r="B14127" s="1">
        <v>3</v>
      </c>
      <c r="C14127" s="3">
        <v>44529.922233796293</v>
      </c>
      <c r="D14127" s="1" t="s">
        <v>27836</v>
      </c>
      <c r="E14127" s="1" t="str">
        <f ca="1">IFERROR(__xludf.DUMMYFUNCTION("GOOGLETRANSLATE(A10926 , ""tr"" , ""en"")"),"@drfahrettinkoca you have grown in that subject, the vaccination didn't get astonished")</f>
        <v>@drfahrettinkoca you have grown in that subject, the vaccination didn't get astonished</v>
      </c>
    </row>
    <row r="14128" spans="1:5" ht="15" customHeight="1" x14ac:dyDescent="0.2">
      <c r="A14128" s="1" t="s">
        <v>27837</v>
      </c>
      <c r="B14128" s="1">
        <v>0</v>
      </c>
      <c r="C14128" s="3">
        <v>44530.891921296294</v>
      </c>
      <c r="D14128" s="1" t="s">
        <v>27838</v>
      </c>
      <c r="E14128" s="1" t="str">
        <f ca="1">IFERROR(__xludf.DUMMYFUNCTION("GOOGLETRANSLATE(A10927 , ""tr"" , ""en"")"),"@drfahrettinkoca You will not be able to vote from a health to the private sector to the private sector. ... https://t.co/mmtctsiw4n")</f>
        <v>@drfahrettinkoca You will not be able to vote from a health to the private sector to the private sector. ... https://t.co/mmtctsiw4n</v>
      </c>
    </row>
    <row r="14129" spans="1:5" ht="15" customHeight="1" x14ac:dyDescent="0.2">
      <c r="A14129" s="1" t="s">
        <v>27839</v>
      </c>
      <c r="B14129" s="1">
        <v>0</v>
      </c>
      <c r="C14129" s="3">
        <v>44528.990891203706</v>
      </c>
      <c r="D14129" s="1" t="s">
        <v>27840</v>
      </c>
      <c r="E14129" s="1" t="str">
        <f ca="1">IFERROR(__xludf.DUMMYFUNCTION("GOOGLETRANSLATE(A10928 , ""tr"" , ""en"")"),"@drfahrettinka https://t.co/7VAXGM4BIE")</f>
        <v>@drfahrettinka https://t.co/7VAXGM4BIE</v>
      </c>
    </row>
    <row r="14130" spans="1:5" ht="15" customHeight="1" x14ac:dyDescent="0.2">
      <c r="A14130" s="1" t="s">
        <v>27841</v>
      </c>
      <c r="B14130" s="1">
        <v>0</v>
      </c>
      <c r="C14130" s="3">
        <v>44528.91847222222</v>
      </c>
      <c r="D14130" s="1" t="s">
        <v>27842</v>
      </c>
      <c r="E14130" s="1" t="str">
        <f ca="1">IFERROR(__xludf.DUMMYFUNCTION("GOOGLETRANSLATE(A10929 , ""tr"" , ""en"")"),"@drfahrettinkoca 🤭🤭🤭What has left what happened")</f>
        <v>@drfahrettinkoca 🤭🤭🤭What has left what happened</v>
      </c>
    </row>
    <row r="14131" spans="1:5" ht="15" customHeight="1" x14ac:dyDescent="0.2">
      <c r="A14131" s="1" t="s">
        <v>27843</v>
      </c>
      <c r="B14131" s="1">
        <v>6</v>
      </c>
      <c r="C14131" s="3">
        <v>44528.906597222223</v>
      </c>
      <c r="D14131" s="1" t="s">
        <v>27844</v>
      </c>
      <c r="E14131" s="1" t="str">
        <f ca="1">IFERROR(__xludf.DUMMYFUNCTION("GOOGLETRANSLATE(A10930 , ""tr"" , ""en"")"),"Forget to leave @drfahrettinkoca just put your hand on your conscience and think about your own children. 40 people ... https://t.co/eazvnvustl")</f>
        <v>Forget to leave @drfahrettinkoca just put your hand on your conscience and think about your own children. 40 people ... https://t.co/eazvnvustl</v>
      </c>
    </row>
    <row r="14132" spans="1:5" ht="15" customHeight="1" x14ac:dyDescent="0.2">
      <c r="A14132" s="1" t="s">
        <v>27845</v>
      </c>
      <c r="B14132" s="1">
        <v>0</v>
      </c>
      <c r="C14132" s="3">
        <v>44528.893761574072</v>
      </c>
      <c r="D14132" s="1" t="s">
        <v>27846</v>
      </c>
      <c r="E14132" s="1" t="str">
        <f ca="1">IFERROR(__xludf.DUMMYFUNCTION("GOOGLETRANSLATE(A10931 , ""tr"" , ""en"")"),"@drfahrettinkoca friends are what you say is the man on a traffic accident hospitalized the hospital they are removed testing full e ... https://t.co/pjulxlccnb")</f>
        <v>@drfahrettinkoca friends are what you say is the man on a traffic accident hospitalized the hospital they are removed testing full e ... https://t.co/pjulxlccnb</v>
      </c>
    </row>
    <row r="14133" spans="1:5" ht="15" customHeight="1" x14ac:dyDescent="0.2">
      <c r="A14133" s="1" t="s">
        <v>27847</v>
      </c>
      <c r="B14133" s="1">
        <v>0</v>
      </c>
      <c r="C14133" s="3">
        <v>44528.885763888888</v>
      </c>
      <c r="D14133" s="1" t="s">
        <v>27848</v>
      </c>
      <c r="E14133" s="1" t="str">
        <f ca="1">IFERROR(__xludf.DUMMYFUNCTION("GOOGLETRANSLATE(A10932 , ""tr"" , ""en"")"),"@drfahrettinka Buy Afghan Syrian in case of European trouble. Get Europe's Covid patients. Where to count the husband")</f>
        <v>@drfahrettinka Buy Afghan Syrian in case of European trouble. Get Europe's Covid patients. Where to count the husband</v>
      </c>
    </row>
    <row r="14134" spans="1:5" ht="15" customHeight="1" x14ac:dyDescent="0.2">
      <c r="A14134" s="1" t="s">
        <v>27849</v>
      </c>
      <c r="B14134" s="1">
        <v>17</v>
      </c>
      <c r="C14134" s="3">
        <v>44528.872696759259</v>
      </c>
      <c r="D14134" s="1" t="s">
        <v>27850</v>
      </c>
      <c r="E14134" s="1" t="str">
        <f ca="1">IFERROR(__xludf.DUMMYFUNCTION("GOOGLETRANSLATE(A10933 , ""tr"" , ""en"")"),"@drfahrettinkoca why do you wish the privened teachers who duplicate the two dose are grafted #mebyökkurtuşuşturuzakit")</f>
        <v>@drfahrettinkoca why do you wish the privened teachers who duplicate the two dose are grafted #mebyökkurtuşuşturuzakit</v>
      </c>
    </row>
    <row r="14135" spans="1:5" ht="15" customHeight="1" x14ac:dyDescent="0.2">
      <c r="A14135" s="1" t="s">
        <v>27851</v>
      </c>
      <c r="B14135" s="1">
        <v>13</v>
      </c>
      <c r="C14135" s="3">
        <v>44528.868935185186</v>
      </c>
      <c r="D14135" s="1" t="s">
        <v>27852</v>
      </c>
      <c r="E14135" s="1" t="str">
        <f ca="1">IFERROR(__xludf.DUMMYFUNCTION("GOOGLETRANSLATE(A10934 , ""tr"" , ""en"")"),"@drfahrettinkoca Why do you wish the head health to the passing teachers who passed two dose grafted #mebyökkurtuluşonlinlılılılılılı")</f>
        <v>@drfahrettinkoca Why do you wish the head health to the passing teachers who passed two dose grafted #mebyökkurtuluşonlinlılılılılılı</v>
      </c>
    </row>
    <row r="14136" spans="1:5" ht="15" customHeight="1" x14ac:dyDescent="0.2">
      <c r="A14136" s="1" t="s">
        <v>27853</v>
      </c>
      <c r="B14136" s="1">
        <v>0</v>
      </c>
      <c r="C14136" s="3">
        <v>44528.868333333332</v>
      </c>
      <c r="D14136" s="1" t="s">
        <v>27854</v>
      </c>
      <c r="E14136" s="1" t="str">
        <f ca="1">IFERROR(__xludf.DUMMYFUNCTION("GOOGLETRANSLATE(A10935 , ""tr"" , ""en"")"),"@drfahrettinkoca Overlooking Bey, which variant is the Omicron? Nu? Why would you be back in a row ... https://t.co/yuwo24IDPZ")</f>
        <v>@drfahrettinkoca Overlooking Bey, which variant is the Omicron? Nu? Why would you be back in a row ... https://t.co/yuwo24IDPZ</v>
      </c>
    </row>
    <row r="14137" spans="1:5" ht="15" customHeight="1" x14ac:dyDescent="0.2">
      <c r="A14137" s="1" t="s">
        <v>27855</v>
      </c>
      <c r="B14137" s="1">
        <v>0</v>
      </c>
      <c r="C14137" s="3">
        <v>44528.858506944445</v>
      </c>
      <c r="D14137" s="1" t="s">
        <v>27856</v>
      </c>
      <c r="E14137" s="1" t="str">
        <f ca="1">IFERROR(__xludf.DUMMYFUNCTION("GOOGLETRANSLATE(A10936 , ""tr"" , ""en"")"),"@drfahrettinka has even had the new virus movie BBEEHHHH ... BBEEHHH .... Hemi 1963 making. . 😁 https://t.co/xtubpyxhfy")</f>
        <v>@drfahrettinka has even had the new virus movie BBEEHHHH ... BBEEHHH .... Hemi 1963 making. . 😁 https://t.co/xtubpyxhfy</v>
      </c>
    </row>
    <row r="14138" spans="1:5" ht="15" customHeight="1" x14ac:dyDescent="0.2">
      <c r="A14138" s="1" t="s">
        <v>27857</v>
      </c>
      <c r="B14138" s="1">
        <v>0</v>
      </c>
      <c r="C14138" s="3">
        <v>44528.84103009259</v>
      </c>
      <c r="D14138" s="1" t="s">
        <v>27858</v>
      </c>
      <c r="E14138" s="1" t="str">
        <f ca="1">IFERROR(__xludf.DUMMYFUNCTION("GOOGLETRANSLATE(A10937 , ""tr"" , ""en"")"),"@drfahrettinkoca milde ... 😁")</f>
        <v>@drfahrettinkoca milde ... 😁</v>
      </c>
    </row>
    <row r="14139" spans="1:5" ht="15" customHeight="1" x14ac:dyDescent="0.2">
      <c r="A14139" s="1" t="s">
        <v>27859</v>
      </c>
      <c r="B14139" s="1">
        <v>0</v>
      </c>
      <c r="C14139" s="3">
        <v>44528.839675925927</v>
      </c>
      <c r="D14139" s="1" t="s">
        <v>27860</v>
      </c>
      <c r="E14139" s="1" t="str">
        <f ca="1">IFERROR(__xludf.DUMMYFUNCTION("GOOGLETRANSLATE(A10938 , ""tr"" , ""en"")"),"@drfahrettinkoca Mr. Hocam and Minister, to add a School Success score to TUS Because the Faculty creates a great injustice ... https://t.co/afxh6rragg")</f>
        <v>@drfahrettinkoca Mr. Hocam and Minister, to add a School Success score to TUS Because the Faculty creates a great injustice ... https://t.co/afxh6rragg</v>
      </c>
    </row>
    <row r="14140" spans="1:5" ht="15" customHeight="1" x14ac:dyDescent="0.2">
      <c r="A14140" s="1" t="s">
        <v>27861</v>
      </c>
      <c r="B14140" s="1">
        <v>0</v>
      </c>
      <c r="C14140" s="3">
        <v>44528.838460648149</v>
      </c>
      <c r="D14140" s="1" t="s">
        <v>27862</v>
      </c>
      <c r="E14140" s="1" t="str">
        <f ca="1">IFERROR(__xludf.DUMMYFUNCTION("GOOGLETRANSLATE(A10939 , ""tr"" , ""en"")"),"@drfahrettinkoca I wish the family of Allah mercy")</f>
        <v>@drfahrettinkoca I wish the family of Allah mercy</v>
      </c>
    </row>
    <row r="14141" spans="1:5" ht="15" customHeight="1" x14ac:dyDescent="0.2">
      <c r="A14141" s="1" t="s">
        <v>27863</v>
      </c>
      <c r="B14141" s="1">
        <v>0</v>
      </c>
      <c r="C14141" s="3">
        <v>44528.837013888886</v>
      </c>
      <c r="D14141" s="1" t="s">
        <v>27864</v>
      </c>
      <c r="E14141" s="1" t="str">
        <f ca="1">IFERROR(__xludf.DUMMYFUNCTION("GOOGLETRANSLATE(A10940 , ""tr"" , ""en"")"),"@drfahrettinka died from the vaccine")</f>
        <v>@drfahrettinka died from the vaccine</v>
      </c>
    </row>
    <row r="14142" spans="1:5" ht="15" customHeight="1" x14ac:dyDescent="0.2">
      <c r="A14142" s="1" t="s">
        <v>27865</v>
      </c>
      <c r="B14142" s="1">
        <v>2</v>
      </c>
      <c r="C14142" s="3">
        <v>44528.836377314816</v>
      </c>
      <c r="D14142" s="1" t="s">
        <v>27866</v>
      </c>
      <c r="E14142" s="1" t="str">
        <f ca="1">IFERROR(__xludf.DUMMYFUNCTION("GOOGLETRANSLATE(A10941 , ""tr"" , ""en"")"),"@drfahrettinka Mr. Ministry of Mr. Ministry of workplaces in the worksites.")</f>
        <v>@drfahrettinka Mr. Ministry of Mr. Ministry of workplaces in the worksites.</v>
      </c>
    </row>
    <row r="14143" spans="1:5" ht="15" customHeight="1" x14ac:dyDescent="0.2">
      <c r="A14143" s="1" t="s">
        <v>17883</v>
      </c>
      <c r="B14143" s="1">
        <v>0</v>
      </c>
      <c r="C14143" s="3">
        <v>44528.825127314813</v>
      </c>
      <c r="D14143" s="1" t="s">
        <v>27867</v>
      </c>
      <c r="E14143" s="1" t="str">
        <f ca="1">IFERROR(__xludf.DUMMYFUNCTION("GOOGLETRANSLATE(A10942 , ""tr"" , ""en"")"),"@drfahrettinkoca Allah Mayor May Be Heaven May Heaven")</f>
        <v>@drfahrettinkoca Allah Mayor May Be Heaven May Heaven</v>
      </c>
    </row>
    <row r="14144" spans="1:5" ht="15" customHeight="1" x14ac:dyDescent="0.2">
      <c r="A14144" s="1" t="s">
        <v>27868</v>
      </c>
      <c r="B14144" s="1">
        <v>0</v>
      </c>
      <c r="C14144" s="3">
        <v>44530.892094907409</v>
      </c>
      <c r="D14144" s="1" t="s">
        <v>27869</v>
      </c>
      <c r="E14144" s="1" t="str">
        <f ca="1">IFERROR(__xludf.DUMMYFUNCTION("GOOGLETRANSLATE(A10943 , ""tr"" , ""en"")"),"@drfahrettinkoca You will not be able to vote from a healthy sector as long as you do notify the private sector to the private sector. ... https://t.co/xpcbt2bxmq")</f>
        <v>@drfahrettinkoca You will not be able to vote from a healthy sector as long as you do notify the private sector to the private sector. ... https://t.co/xpcbt2bxmq</v>
      </c>
    </row>
    <row r="14145" spans="1:5" ht="15" customHeight="1" x14ac:dyDescent="0.2">
      <c r="A14145" s="1" t="s">
        <v>27870</v>
      </c>
      <c r="B14145" s="1">
        <v>0</v>
      </c>
      <c r="C14145" s="3">
        <v>44528.995023148149</v>
      </c>
      <c r="D14145" s="1" t="s">
        <v>27871</v>
      </c>
      <c r="E14145" s="1" t="str">
        <f ca="1">IFERROR(__xludf.DUMMYFUNCTION("GOOGLETRANSLATE(A10944 , ""tr"" , ""en"")"),"Can the @drfahrettinkoca table be because it is FAKE? We have an increase in all over the world we constant continue ... to me at first ... https://t.co/nIq2fcc53x")</f>
        <v>Can the @drfahrettinkoca table be because it is FAKE? We have an increase in all over the world we constant continue ... to me at first ... https://t.co/nIq2fcc53x</v>
      </c>
    </row>
    <row r="14146" spans="1:5" ht="15" customHeight="1" x14ac:dyDescent="0.2">
      <c r="A14146" s="1" t="s">
        <v>27872</v>
      </c>
      <c r="B14146" s="1">
        <v>0</v>
      </c>
      <c r="C14146" s="3">
        <v>44528.994849537034</v>
      </c>
      <c r="D14146" s="1" t="s">
        <v>27873</v>
      </c>
      <c r="E14146" s="1" t="str">
        <f ca="1">IFERROR(__xludf.DUMMYFUNCTION("GOOGLETRANSLATE(A10945 , ""tr"" , ""en"")"),"@drfahrettinkoca hes app i look at the first case number i am uploaded and fucking the day i wear the mask i finish it ... https://t.co/4kak4qicnh")</f>
        <v>@drfahrettinkoca hes app i look at the first case number i am uploaded and fucking the day i wear the mask i finish it ... https://t.co/4kak4qicnh</v>
      </c>
    </row>
    <row r="14147" spans="1:5" ht="15" customHeight="1" x14ac:dyDescent="0.2">
      <c r="A14147" s="1" t="s">
        <v>27874</v>
      </c>
      <c r="B14147" s="1">
        <v>0</v>
      </c>
      <c r="C14147" s="3">
        <v>44528.994733796295</v>
      </c>
      <c r="D14147" s="1" t="s">
        <v>27875</v>
      </c>
      <c r="E14147" s="1" t="str">
        <f ca="1">IFERROR(__xludf.DUMMYFUNCTION("GOOGLETRANSLATE(A10946 , ""tr"" , ""en"")"),"@drfahrettinka Mr. Hocam, the vaccine is not very effective for the exit from the epidemic environment. Stayed, CA A ... https://t.co/ehvmbycigs")</f>
        <v>@drfahrettinka Mr. Hocam, the vaccine is not very effective for the exit from the epidemic environment. Stayed, CA A ... https://t.co/ehvmbycigs</v>
      </c>
    </row>
    <row r="14148" spans="1:5" ht="15" customHeight="1" x14ac:dyDescent="0.2">
      <c r="A14148" s="1" t="s">
        <v>27876</v>
      </c>
      <c r="B14148" s="1">
        <v>0</v>
      </c>
      <c r="C14148" s="3">
        <v>44528.985023148147</v>
      </c>
      <c r="D14148" s="1" t="s">
        <v>27877</v>
      </c>
      <c r="E14148" s="1" t="str">
        <f ca="1">IFERROR(__xludf.DUMMYFUNCTION("GOOGLETRANSLATE(A10947 , ""tr"" , ""en"")"),"@drfahrettinkoca sanane, you hit the suspension guard. I'm using my legal right to the law and should not accept the experimental fluid.")</f>
        <v>@drfahrettinkoca sanane, you hit the suspension guard. I'm using my legal right to the law and should not accept the experimental fluid.</v>
      </c>
    </row>
    <row r="14149" spans="1:5" ht="15" customHeight="1" x14ac:dyDescent="0.2">
      <c r="A14149" s="1" t="s">
        <v>27878</v>
      </c>
      <c r="B14149" s="1">
        <v>0</v>
      </c>
      <c r="C14149" s="3">
        <v>44528.976747685185</v>
      </c>
      <c r="D14149" s="1" t="s">
        <v>27879</v>
      </c>
      <c r="E14149" s="1" t="str">
        <f ca="1">IFERROR(__xludf.DUMMYFUNCTION("GOOGLETRANSLATE(A10948 , ""tr"" , ""en"")"),"@drfahrettinkoca is demanding a purchase where there are no high scores where anyone of fair dispersed is victimized and ... https://t.co/uy0mlffax1")</f>
        <v>@drfahrettinkoca is demanding a purchase where there are no high scores where anyone of fair dispersed is victimized and ... https://t.co/uy0mlffax1</v>
      </c>
    </row>
    <row r="14150" spans="1:5" ht="15" customHeight="1" x14ac:dyDescent="0.2">
      <c r="A14150" s="1" t="s">
        <v>27880</v>
      </c>
      <c r="B14150" s="1">
        <v>0</v>
      </c>
      <c r="C14150" s="3">
        <v>44528.97152777778</v>
      </c>
      <c r="D14150" s="1" t="s">
        <v>27881</v>
      </c>
      <c r="E14150" s="1" t="str">
        <f ca="1">IFERROR(__xludf.DUMMYFUNCTION("GOOGLETRANSLATE(A10949 , ""tr"" , ""en"")"),"@drfahrettinkoca cases falling down 30 thousands of schools from the fact that schools are closed from a mate ... https://t.co/u9peepypdv")</f>
        <v>@drfahrettinkoca cases falling down 30 thousands of schools from the fact that schools are closed from a mate ... https://t.co/u9peepypdv</v>
      </c>
    </row>
    <row r="14151" spans="1:5" ht="15" customHeight="1" x14ac:dyDescent="0.2">
      <c r="A14151" s="1" t="s">
        <v>27882</v>
      </c>
      <c r="B14151" s="1">
        <v>2</v>
      </c>
      <c r="C14151" s="3">
        <v>44528.969976851855</v>
      </c>
      <c r="D14151" s="1" t="s">
        <v>27883</v>
      </c>
      <c r="E14151" s="1" t="str">
        <f ca="1">IFERROR(__xludf.DUMMYFUNCTION("GOOGLETRANSLATE(A10950 , ""tr"" , ""en"")"),"@drfahrettinkoca WHO Pass my wave with the world First Variant worrisome Expression Public Partner Panicky Publishing ... https://t.co/76hdfzflmo")</f>
        <v>@drfahrettinkoca WHO Pass my wave with the world First Variant worrisome Expression Public Partner Panicky Publishing ... https://t.co/76hdfzflmo</v>
      </c>
    </row>
    <row r="14152" spans="1:5" ht="15" customHeight="1" x14ac:dyDescent="0.2">
      <c r="A14152" s="1" t="s">
        <v>27884</v>
      </c>
      <c r="B14152" s="1">
        <v>0</v>
      </c>
      <c r="C14152" s="3">
        <v>44528.961562500001</v>
      </c>
      <c r="D14152" s="1" t="s">
        <v>27885</v>
      </c>
      <c r="E14152" s="1" t="str">
        <f ca="1">IFERROR(__xludf.DUMMYFUNCTION("GOOGLETRANSLATE(A10951 , ""tr"" , ""en"")"),"@drfahrettinkoca schools when you pass to distance education? When the Omricon variant is about to come ...")</f>
        <v>@drfahrettinkoca schools when you pass to distance education? When the Omricon variant is about to come ...</v>
      </c>
    </row>
    <row r="14153" spans="1:5" ht="15" customHeight="1" x14ac:dyDescent="0.2">
      <c r="A14153" s="1" t="s">
        <v>27886</v>
      </c>
      <c r="B14153" s="1">
        <v>0</v>
      </c>
      <c r="C14153" s="3">
        <v>44528.952835648146</v>
      </c>
      <c r="D14153" s="1" t="s">
        <v>27887</v>
      </c>
      <c r="E14153" s="1" t="str">
        <f ca="1">IFERROR(__xludf.DUMMYFUNCTION("GOOGLETRANSLATE(A10952 , ""tr"" , ""en"")"),"@drfahrettinkoca vaccine when there were no cases when there was no case, what about the work vaccine epidemic")</f>
        <v>@drfahrettinkoca vaccine when there were no cases when there was no case, what about the work vaccine epidemic</v>
      </c>
    </row>
    <row r="14154" spans="1:5" ht="15" customHeight="1" x14ac:dyDescent="0.2">
      <c r="A14154" s="1" t="s">
        <v>27888</v>
      </c>
      <c r="B14154" s="1">
        <v>0</v>
      </c>
      <c r="C14154" s="3">
        <v>44528.950879629629</v>
      </c>
      <c r="D14154" s="1" t="s">
        <v>27889</v>
      </c>
      <c r="E14154" s="1" t="str">
        <f ca="1">IFERROR(__xludf.DUMMYFUNCTION("GOOGLETRANSLATE(A10953 , ""tr"" , ""en"")"),"@drfahrettinkoca wasted shovels you shakes honor evcon")</f>
        <v>@drfahrettinkoca wasted shovels you shakes honor evcon</v>
      </c>
    </row>
    <row r="14155" spans="1:5" ht="15" customHeight="1" x14ac:dyDescent="0.2">
      <c r="A14155" s="1" t="s">
        <v>27890</v>
      </c>
      <c r="B14155" s="1">
        <v>0</v>
      </c>
      <c r="C14155" s="3">
        <v>44528.94427083333</v>
      </c>
      <c r="D14155" s="1" t="s">
        <v>27891</v>
      </c>
      <c r="E14155" s="1" t="str">
        <f ca="1">IFERROR(__xludf.DUMMYFUNCTION("GOOGLETRANSLATE(A10954 , ""tr"" , ""en"")"),"@drfahrettinkoca I don't believe these figures pity pity work after work is passing on what I do after I Measure Which Https://t.co/zvf93onbwh")</f>
        <v>@drfahrettinkoca I don't believe these figures pity pity work after work is passing on what I do after I Measure Which Https://t.co/zvf93onbwh</v>
      </c>
    </row>
    <row r="14156" spans="1:5" ht="15" customHeight="1" x14ac:dyDescent="0.2">
      <c r="A14156" s="1" t="s">
        <v>27892</v>
      </c>
      <c r="B14156" s="1">
        <v>0</v>
      </c>
      <c r="C14156" s="3">
        <v>44528.943391203706</v>
      </c>
      <c r="D14156" s="1" t="s">
        <v>27893</v>
      </c>
      <c r="E14156" s="1" t="str">
        <f ca="1">IFERROR(__xludf.DUMMYFUNCTION("GOOGLETRANSLATE(A10955 , ""tr"" , ""en"")"),"@drfahrettinkoca single BI Variant goes out immediately when the variant goes out immediately DIO BI immediately mandates this ... https://t.co/ct7mrcatcl")</f>
        <v>@drfahrettinkoca single BI Variant goes out immediately when the variant goes out immediately DIO BI immediately mandates this ... https://t.co/ct7mrcatcl</v>
      </c>
    </row>
    <row r="14157" spans="1:5" ht="15" customHeight="1" x14ac:dyDescent="0.2">
      <c r="A14157" s="1" t="s">
        <v>27894</v>
      </c>
      <c r="B14157" s="1">
        <v>0</v>
      </c>
      <c r="C14157" s="3">
        <v>44528.940196759257</v>
      </c>
      <c r="D14157" s="1" t="s">
        <v>27895</v>
      </c>
      <c r="E14157" s="1" t="str">
        <f ca="1">IFERROR(__xludf.DUMMYFUNCTION("GOOGLETRANSLATE(A10956 , ""tr"" , ""en"")"),"@drfahrettinkoca staring husband this mehmet ceyhan called the disaster tellali again appeared to be the only bild ... https://t.co/5uocnl01cd")</f>
        <v>@drfahrettinkoca staring husband this mehmet ceyhan called the disaster tellali again appeared to be the only bild ... https://t.co/5uocnl01cd</v>
      </c>
    </row>
    <row r="14158" spans="1:5" ht="15" customHeight="1" x14ac:dyDescent="0.2">
      <c r="A14158" s="1" t="s">
        <v>27896</v>
      </c>
      <c r="B14158" s="1">
        <v>0</v>
      </c>
      <c r="C14158" s="3">
        <v>44528.936585648145</v>
      </c>
      <c r="D14158" s="1" t="s">
        <v>27897</v>
      </c>
      <c r="E14158" s="1" t="str">
        <f ca="1">IFERROR(__xludf.DUMMYFUNCTION("GOOGLETRANSLATE(A10957 , ""tr"" , ""en"")"),"@drfahrettinkoca Mr. Look at the World Health Organization Variants to explained the past future, but what is the hikmet ... https://t.co/hw2ojgszpr")</f>
        <v>@drfahrettinkoca Mr. Look at the World Health Organization Variants to explained the past future, but what is the hikmet ... https://t.co/hw2ojgszpr</v>
      </c>
    </row>
    <row r="14159" spans="1:5" ht="15" customHeight="1" x14ac:dyDescent="0.2">
      <c r="A14159" s="1" t="s">
        <v>27898</v>
      </c>
      <c r="B14159" s="1">
        <v>0</v>
      </c>
      <c r="C14159" s="3">
        <v>44528.935416666667</v>
      </c>
      <c r="D14159" s="1" t="s">
        <v>27899</v>
      </c>
      <c r="E14159" s="1" t="str">
        <f ca="1">IFERROR(__xludf.DUMMYFUNCTION("GOOGLETRANSLATE(A10958 , ""tr"" , ""en"")"),"@drfahrettinkoca how can we know that data is real. Was very played earlier. Statistical science in this country ... https://t.co/gcpesycq0g")</f>
        <v>@drfahrettinkoca how can we know that data is real. Was very played earlier. Statistical science in this country ... https://t.co/gcpesycq0g</v>
      </c>
    </row>
    <row r="14160" spans="1:5" ht="15" customHeight="1" x14ac:dyDescent="0.2">
      <c r="A14160" s="1" t="s">
        <v>27900</v>
      </c>
      <c r="B14160" s="1">
        <v>0</v>
      </c>
      <c r="C14160" s="3">
        <v>44528.932395833333</v>
      </c>
      <c r="D14160" s="1" t="s">
        <v>27901</v>
      </c>
      <c r="E14160" s="1" t="str">
        <f ca="1">IFERROR(__xludf.DUMMYFUNCTION("GOOGLETRANSLATE(A10959 , ""tr"" , ""en"")"),"@drfahrettinkoca Hospitals have no appointments. Another at least 15 20 days is coming out of the ones. You revolutionized health ... https://t.co/fc3amzy5el")</f>
        <v>@drfahrettinkoca Hospitals have no appointments. Another at least 15 20 days is coming out of the ones. You revolutionized health ... https://t.co/fc3amzy5el</v>
      </c>
    </row>
    <row r="14161" spans="1:5" ht="15" customHeight="1" x14ac:dyDescent="0.2">
      <c r="A14161" s="1" t="s">
        <v>27902</v>
      </c>
      <c r="B14161" s="1">
        <v>2</v>
      </c>
      <c r="C14161" s="3">
        <v>44528.931157407409</v>
      </c>
      <c r="D14161" s="1" t="s">
        <v>27903</v>
      </c>
      <c r="E14161" s="1" t="str">
        <f ca="1">IFERROR(__xludf.DUMMYFUNCTION("GOOGLETRANSLATE(A10960 , ""tr"" , ""en"")"),"@drfahrettinkoca Deaths There were closing in 70 80s Mr. Minister, now it is so close to the daily daily deaths ... https://t.co/hahisg23kuv")</f>
        <v>@drfahrettinkoca Deaths There were closing in 70 80s Mr. Minister, now it is so close to the daily daily deaths ... https://t.co/hahisg23kuv</v>
      </c>
    </row>
    <row r="14162" spans="1:5" ht="15" customHeight="1" x14ac:dyDescent="0.2">
      <c r="A14162" s="1" t="s">
        <v>27904</v>
      </c>
      <c r="B14162" s="1">
        <v>0</v>
      </c>
      <c r="C14162" s="3">
        <v>44528.927858796298</v>
      </c>
      <c r="D14162" s="1" t="s">
        <v>27905</v>
      </c>
      <c r="E14162" s="1" t="str">
        <f ca="1">IFERROR(__xludf.DUMMYFUNCTION("GOOGLETRANSLATE(A10961 , ""tr"" , ""en"")"),"@drfahrettinkoca (O))) Al honor")</f>
        <v>@drfahrettinkoca (O))) Al honor</v>
      </c>
    </row>
    <row r="14163" spans="1:5" ht="15" customHeight="1" x14ac:dyDescent="0.2">
      <c r="A14163" s="1" t="s">
        <v>27906</v>
      </c>
      <c r="B14163" s="1">
        <v>5</v>
      </c>
      <c r="C14163" s="3">
        <v>44528.926932870374</v>
      </c>
      <c r="D14163" s="1" t="s">
        <v>27907</v>
      </c>
      <c r="E14163" s="1" t="str">
        <f ca="1">IFERROR(__xludf.DUMMYFUNCTION("GOOGLETRANSLATE(A10962 , ""tr"" , ""en"")"),"@drfahrettinkoca Fahrettin Bey What happens in Turkey, from the fact that there is no less than the fact, after the fact that after the fact, hospitalization and more ... https://t.co/khhsh8lw")</f>
        <v>@drfahrettinkoca Fahrettin Bey What happens in Turkey, from the fact that there is no less than the fact, after the fact that after the fact, hospitalization and more ... https://t.co/khhsh8lw</v>
      </c>
    </row>
    <row r="14164" spans="1:5" ht="15" customHeight="1" x14ac:dyDescent="0.2">
      <c r="A14164" s="1" t="s">
        <v>27908</v>
      </c>
      <c r="B14164" s="1">
        <v>0</v>
      </c>
      <c r="C14164" s="3">
        <v>44528.925520833334</v>
      </c>
      <c r="D14164" s="1" t="s">
        <v>27909</v>
      </c>
      <c r="E14164" s="1" t="str">
        <f ca="1">IFERROR(__xludf.DUMMYFUNCTION("GOOGLETRANSLATE(A10963 , ""tr"" , ""en"")"),"@drfahrettinkoca pre-cancer dying broadcasts now kovite and heart crash")</f>
        <v>@drfahrettinkoca pre-cancer dying broadcasts now kovite and heart crash</v>
      </c>
    </row>
    <row r="14165" spans="1:5" ht="15" customHeight="1" x14ac:dyDescent="0.2">
      <c r="A14165" s="1" t="s">
        <v>27910</v>
      </c>
      <c r="B14165" s="1">
        <v>3</v>
      </c>
      <c r="C14165" s="3">
        <v>44528.924247685187</v>
      </c>
      <c r="D14165" s="1" t="s">
        <v>27911</v>
      </c>
      <c r="E14165" s="1" t="str">
        <f ca="1">IFERROR(__xludf.DUMMYFUNCTION("GOOGLETRANSLATE(A10964 , ""tr"" , ""en"")"),"@drfahrettinkoca kovit i didn't drink drugs 1 year ago 1 month ago 1 month ago daddy kovite 15 days I looked at the hospital no mask ... https://t.co/wpn3ntnzro")</f>
        <v>@drfahrettinkoca kovit i didn't drink drugs 1 year ago 1 month ago 1 month ago daddy kovite 15 days I looked at the hospital no mask ... https://t.co/wpn3ntnzro</v>
      </c>
    </row>
    <row r="14166" spans="1:5" ht="15" customHeight="1" x14ac:dyDescent="0.2">
      <c r="A14166" s="1" t="s">
        <v>27912</v>
      </c>
      <c r="B14166" s="1">
        <v>1</v>
      </c>
      <c r="C14166" s="3">
        <v>44528.911435185182</v>
      </c>
      <c r="D14166" s="1" t="s">
        <v>27913</v>
      </c>
      <c r="E14166" s="1" t="str">
        <f ca="1">IFERROR(__xludf.DUMMYFUNCTION("GOOGLETRANSLATE(A10965 , ""tr"" , ""en"")"),"@drfahrettinka https://t.co/nmn50Iay6h")</f>
        <v>@drfahrettinka https://t.co/nmn50Iay6h</v>
      </c>
    </row>
    <row r="14167" spans="1:5" ht="15" customHeight="1" x14ac:dyDescent="0.2">
      <c r="A14167" s="1" t="s">
        <v>27914</v>
      </c>
      <c r="B14167" s="1">
        <v>1</v>
      </c>
      <c r="C14167" s="3">
        <v>44528.91134259259</v>
      </c>
      <c r="D14167" s="1" t="s">
        <v>27915</v>
      </c>
      <c r="E14167" s="1" t="str">
        <f ca="1">IFERROR(__xludf.DUMMYFUNCTION("GOOGLETRANSLATE(A10966 , ""tr"" , ""en"")"),"@drfahrettinka https://t.co/0jdglngaim")</f>
        <v>@drfahrettinka https://t.co/0jdglngaim</v>
      </c>
    </row>
    <row r="14168" spans="1:5" ht="15" customHeight="1" x14ac:dyDescent="0.2">
      <c r="A14168" s="1" t="s">
        <v>27916</v>
      </c>
      <c r="B14168" s="1">
        <v>1</v>
      </c>
      <c r="C14168" s="3">
        <v>44528.91128472222</v>
      </c>
      <c r="D14168" s="1" t="s">
        <v>27917</v>
      </c>
      <c r="E14168" s="1" t="str">
        <f ca="1">IFERROR(__xludf.DUMMYFUNCTION("GOOGLETRANSLATE(A10967 , ""tr"" , ""en"")"),"@drfahrettinka https://t.co/mjdiooull8")</f>
        <v>@drfahrettinka https://t.co/mjdiooull8</v>
      </c>
    </row>
    <row r="14169" spans="1:5" ht="15" customHeight="1" x14ac:dyDescent="0.2">
      <c r="A14169" s="1" t="s">
        <v>27918</v>
      </c>
      <c r="B14169" s="1">
        <v>1</v>
      </c>
      <c r="C14169" s="3">
        <v>44528.911192129628</v>
      </c>
      <c r="D14169" s="1" t="s">
        <v>27919</v>
      </c>
      <c r="E14169" s="1" t="str">
        <f ca="1">IFERROR(__xludf.DUMMYFUNCTION("GOOGLETRANSLATE(A10968 , ""tr"" , ""en"")"),"@drfahrettinka https://t.co/yst35lhmhb")</f>
        <v>@drfahrettinka https://t.co/yst35lhmhb</v>
      </c>
    </row>
    <row r="14170" spans="1:5" ht="15" customHeight="1" x14ac:dyDescent="0.2">
      <c r="A14170" s="1" t="s">
        <v>27920</v>
      </c>
      <c r="B14170" s="1">
        <v>1</v>
      </c>
      <c r="C14170" s="3">
        <v>44528.911168981482</v>
      </c>
      <c r="D14170" s="1" t="s">
        <v>27921</v>
      </c>
      <c r="E14170" s="1" t="str">
        <f ca="1">IFERROR(__xludf.DUMMYFUNCTION("GOOGLETRANSLATE(A10969 , ""tr"" , ""en"")"),"@drfahrettinka https://t.co/I7copw0ucz")</f>
        <v>@drfahrettinka https://t.co/I7copw0ucz</v>
      </c>
    </row>
    <row r="14171" spans="1:5" ht="15" customHeight="1" x14ac:dyDescent="0.2">
      <c r="A14171" s="1" t="s">
        <v>27922</v>
      </c>
      <c r="B14171" s="1">
        <v>0</v>
      </c>
      <c r="C14171" s="3">
        <v>44528.908391203702</v>
      </c>
      <c r="D14171" s="1" t="s">
        <v>27923</v>
      </c>
      <c r="E14171" s="1" t="str">
        <f ca="1">IFERROR(__xludf.DUMMYFUNCTION("GOOGLETRANSLATE(A10970 , ""tr"" , ""en"")"),"@drfahrettinkoca injecting virus in the human body injecting virus to the human body reproduces the disease")</f>
        <v>@drfahrettinkoca injecting virus in the human body injecting virus to the human body reproduces the disease</v>
      </c>
    </row>
    <row r="14172" spans="1:5" ht="15" customHeight="1" x14ac:dyDescent="0.2">
      <c r="A14172" s="1" t="s">
        <v>27924</v>
      </c>
      <c r="B14172" s="1">
        <v>0</v>
      </c>
      <c r="C14172" s="3">
        <v>44528.908067129632</v>
      </c>
      <c r="D14172" s="1" t="s">
        <v>27925</v>
      </c>
      <c r="E14172" s="1" t="str">
        <f ca="1">IFERROR(__xludf.DUMMYFUNCTION("GOOGLETRANSLATE(A10971 , ""tr"" , ""en"")"),"@drfahrettinka https://t.co/qyv3fe2ndc")</f>
        <v>@drfahrettinka https://t.co/qyv3fe2ndc</v>
      </c>
    </row>
    <row r="14173" spans="1:5" ht="15" customHeight="1" x14ac:dyDescent="0.2">
      <c r="A14173" s="1" t="s">
        <v>27926</v>
      </c>
      <c r="B14173" s="1">
        <v>0</v>
      </c>
      <c r="C14173" s="3">
        <v>44528.906840277778</v>
      </c>
      <c r="D14173" s="1" t="s">
        <v>27927</v>
      </c>
      <c r="E14173" s="1" t="str">
        <f ca="1">IFERROR(__xludf.DUMMYFUNCTION("GOOGLETRANSLATE(A10972 , ""tr"" , ""en"")"),"@drfahrettinka https://t.co/14h5ywgkxm")</f>
        <v>@drfahrettinka https://t.co/14h5ywgkxm</v>
      </c>
    </row>
    <row r="14174" spans="1:5" ht="15" customHeight="1" x14ac:dyDescent="0.2">
      <c r="A14174" s="1" t="s">
        <v>27928</v>
      </c>
      <c r="B14174" s="1">
        <v>2</v>
      </c>
      <c r="C14174" s="3">
        <v>44528.906076388892</v>
      </c>
      <c r="D14174" s="1" t="s">
        <v>27929</v>
      </c>
      <c r="E14174" s="1" t="str">
        <f ca="1">IFERROR(__xludf.DUMMYFUNCTION("GOOGLETRANSLATE(A10973 , ""tr"" , ""en"")"),"@drfahrettinka https://t.co/wwm5faxu7j")</f>
        <v>@drfahrettinka https://t.co/wwm5faxu7j</v>
      </c>
    </row>
    <row r="14175" spans="1:5" ht="15" customHeight="1" x14ac:dyDescent="0.2">
      <c r="A14175" s="1" t="s">
        <v>27930</v>
      </c>
      <c r="B14175" s="1">
        <v>4</v>
      </c>
      <c r="C14175" s="3">
        <v>44528.906053240738</v>
      </c>
      <c r="D14175" s="1" t="s">
        <v>27931</v>
      </c>
      <c r="E14175" s="1" t="str">
        <f ca="1">IFERROR(__xludf.DUMMYFUNCTION("GOOGLETRANSLATE(A10974 , ""tr"" , ""en"")"),"@drfahrettinka https://t.co/q0cbczhb2b")</f>
        <v>@drfahrettinka https://t.co/q0cbczhb2b</v>
      </c>
    </row>
    <row r="14176" spans="1:5" ht="15" customHeight="1" x14ac:dyDescent="0.2">
      <c r="A14176" s="1" t="s">
        <v>18171</v>
      </c>
      <c r="B14176" s="1">
        <v>0</v>
      </c>
      <c r="C14176" s="3">
        <v>44528.905358796299</v>
      </c>
      <c r="D14176" s="1" t="s">
        <v>27932</v>
      </c>
      <c r="E14176" s="1" t="str">
        <f ca="1">IFERROR(__xludf.DUMMYFUNCTION("GOOGLETRANSLATE(A10975 , ""tr"" , ""en"")"),"@drfahrettinkoca Guide")</f>
        <v>@drfahrettinkoca Guide</v>
      </c>
    </row>
    <row r="14177" spans="1:5" ht="15" customHeight="1" x14ac:dyDescent="0.2">
      <c r="A14177" s="1" t="s">
        <v>27933</v>
      </c>
      <c r="B14177" s="1">
        <v>0</v>
      </c>
      <c r="C14177" s="3">
        <v>44528.905173611114</v>
      </c>
      <c r="D14177" s="1" t="s">
        <v>27934</v>
      </c>
      <c r="E14177" s="1" t="str">
        <f ca="1">IFERROR(__xludf.DUMMYFUNCTION("GOOGLETRANSLATE(A10976 , ""tr"" , ""en"")"),"@drfahrettinkoca guide looking forward to the minister didn't we expect it too much")</f>
        <v>@drfahrettinkoca guide looking forward to the minister didn't we expect it too much</v>
      </c>
    </row>
    <row r="14178" spans="1:5" ht="15" customHeight="1" x14ac:dyDescent="0.2">
      <c r="A14178" s="1" t="s">
        <v>27935</v>
      </c>
      <c r="B14178" s="1">
        <v>2</v>
      </c>
      <c r="C14178" s="3">
        <v>44528.904965277776</v>
      </c>
      <c r="D14178" s="1" t="s">
        <v>27936</v>
      </c>
      <c r="E14178" s="1" t="str">
        <f ca="1">IFERROR(__xludf.DUMMYFUNCTION("GOOGLETRANSLATE(A10977 , ""tr"" , ""en"")"),"@drfahrettinka https://t.co/nnge2q3i6t")</f>
        <v>@drfahrettinka https://t.co/nnge2q3i6t</v>
      </c>
    </row>
    <row r="14179" spans="1:5" ht="15" customHeight="1" x14ac:dyDescent="0.2">
      <c r="A14179" s="1" t="s">
        <v>27937</v>
      </c>
      <c r="B14179" s="1">
        <v>2</v>
      </c>
      <c r="C14179" s="3">
        <v>44528.904907407406</v>
      </c>
      <c r="D14179" s="1" t="s">
        <v>27938</v>
      </c>
      <c r="E14179" s="1" t="str">
        <f ca="1">IFERROR(__xludf.DUMMYFUNCTION("GOOGLETRANSLATE(A10978 , ""tr"" , ""en"")"),"@drfahrettinka https://t.co/39qsjrgdc0")</f>
        <v>@drfahrettinka https://t.co/39qsjrgdc0</v>
      </c>
    </row>
    <row r="14180" spans="1:5" ht="15" customHeight="1" x14ac:dyDescent="0.2">
      <c r="A14180" s="1" t="s">
        <v>27939</v>
      </c>
      <c r="B14180" s="1">
        <v>1</v>
      </c>
      <c r="C14180" s="3">
        <v>44528.904872685183</v>
      </c>
      <c r="D14180" s="1" t="s">
        <v>27940</v>
      </c>
      <c r="E14180" s="1" t="str">
        <f ca="1">IFERROR(__xludf.DUMMYFUNCTION("GOOGLETRANSLATE(A10979 , ""tr"" , ""en"")"),"@drfahrettinka https://t.co/pwjfes0nae")</f>
        <v>@drfahrettinka https://t.co/pwjfes0nae</v>
      </c>
    </row>
    <row r="14181" spans="1:5" ht="15" customHeight="1" x14ac:dyDescent="0.2">
      <c r="A14181" s="1" t="s">
        <v>27941</v>
      </c>
      <c r="B14181" s="1">
        <v>0</v>
      </c>
      <c r="C14181" s="3">
        <v>44528.904768518521</v>
      </c>
      <c r="D14181" s="1" t="s">
        <v>27942</v>
      </c>
      <c r="E14181" s="1" t="str">
        <f ca="1">IFERROR(__xludf.DUMMYFUNCTION("GOOGLETRANSLATE(A10980 , ""tr"" , ""en"")"),"@drfahrettinkoca Mr. Minister Vaccines As they are made, the variants are progressing in parallel. How much grafting is ... https://t.co/lcg2cmc9ju")</f>
        <v>@drfahrettinkoca Mr. Minister Vaccines As they are made, the variants are progressing in parallel. How much grafting is ... https://t.co/lcg2cmc9ju</v>
      </c>
    </row>
    <row r="14182" spans="1:5" ht="15" customHeight="1" x14ac:dyDescent="0.2">
      <c r="A14182" s="1" t="s">
        <v>27943</v>
      </c>
      <c r="B14182" s="1">
        <v>4</v>
      </c>
      <c r="C14182" s="3">
        <v>44528.904074074075</v>
      </c>
      <c r="D14182" s="1" t="s">
        <v>27944</v>
      </c>
      <c r="E14182" s="1" t="str">
        <f ca="1">IFERROR(__xludf.DUMMYFUNCTION("GOOGLETRANSLATE(A10981 , ""tr"" , ""en"")"),"Give your @drfahrettinkoca guide overlooking the Bey, the rake of not freaking left. @drfahrettinkoca")</f>
        <v>Give your @drfahrettinkoca guide overlooking the Bey, the rake of not freaking left. @drfahrettinkoca</v>
      </c>
    </row>
    <row r="14183" spans="1:5" ht="15" customHeight="1" x14ac:dyDescent="0.2">
      <c r="A14183" s="1" t="s">
        <v>27945</v>
      </c>
      <c r="B14183" s="1">
        <v>1</v>
      </c>
      <c r="C14183" s="3">
        <v>44528.902604166666</v>
      </c>
      <c r="D14183" s="1" t="s">
        <v>27946</v>
      </c>
      <c r="E14183" s="1" t="str">
        <f ca="1">IFERROR(__xludf.DUMMYFUNCTION("GOOGLETRANSLATE(A10982 , ""tr"" , ""en"")"),"@drfahrettinkoca liars Düsleşinmi abtademyi This pilandemi game Huge Hefendi you are in mind the lying ... HTTPS://T.CO/ODYFVIFGVY")</f>
        <v>@drfahrettinkoca liars Düsleşinmi abtademyi This pilandemi game Huge Hefendi you are in mind the lying ... HTTPS://T.CO/ODYFVIFGVY</v>
      </c>
    </row>
    <row r="14184" spans="1:5" ht="15" customHeight="1" x14ac:dyDescent="0.2">
      <c r="A14184" s="1" t="s">
        <v>27947</v>
      </c>
      <c r="B14184" s="1">
        <v>0</v>
      </c>
      <c r="C14184" s="3">
        <v>44528.897488425922</v>
      </c>
      <c r="D14184" s="1" t="s">
        <v>27948</v>
      </c>
      <c r="E14184" s="1" t="str">
        <f ca="1">IFERROR(__xludf.DUMMYFUNCTION("GOOGLETRANSLATE(A10983 , ""tr"" , ""en"")"),"@drfahrettinkoca Dear Vaccines overlooking the Nu (Omicron) Variant protects against the variant? Uğur Sahin This variant is da ... https://t.co/p7lw7ctg7y")</f>
        <v>@drfahrettinkoca Dear Vaccines overlooking the Nu (Omicron) Variant protects against the variant? Uğur Sahin This variant is da ... https://t.co/p7lw7ctg7y</v>
      </c>
    </row>
    <row r="14185" spans="1:5" ht="15" customHeight="1" x14ac:dyDescent="0.2">
      <c r="A14185" s="1" t="s">
        <v>27949</v>
      </c>
      <c r="B14185" s="1">
        <v>2</v>
      </c>
      <c r="C14185" s="3">
        <v>44528.895474537036</v>
      </c>
      <c r="D14185" s="1" t="s">
        <v>27950</v>
      </c>
      <c r="E14185" s="1" t="str">
        <f ca="1">IFERROR(__xludf.DUMMYFUNCTION("GOOGLETRANSLATE(A10984 , ""tr"" , ""en"")"),"@drfahrettinkoca should change these tweets!")</f>
        <v>@drfahrettinkoca should change these tweets!</v>
      </c>
    </row>
    <row r="14186" spans="1:5" ht="15" customHeight="1" x14ac:dyDescent="0.2">
      <c r="A14186" s="1" t="s">
        <v>27951</v>
      </c>
      <c r="B14186" s="1">
        <v>0</v>
      </c>
      <c r="C14186" s="3">
        <v>44528.895115740743</v>
      </c>
      <c r="D14186" s="1" t="s">
        <v>27952</v>
      </c>
      <c r="E14186" s="1" t="str">
        <f ca="1">IFERROR(__xludf.DUMMYFUNCTION("GOOGLETRANSLATE(A10985 , ""tr"" , ""en"")"),"@drfahrettinkoca Mr. The Covid from the agenda of the Minister Citizen.")</f>
        <v>@drfahrettinkoca Mr. The Covid from the agenda of the Minister Citizen.</v>
      </c>
    </row>
    <row r="14187" spans="1:5" ht="15" customHeight="1" x14ac:dyDescent="0.2">
      <c r="A14187" s="1" t="s">
        <v>27953</v>
      </c>
      <c r="B14187" s="1">
        <v>2</v>
      </c>
      <c r="C14187" s="3">
        <v>44528.885671296295</v>
      </c>
      <c r="D14187" s="1" t="s">
        <v>27954</v>
      </c>
      <c r="E14187" s="1" t="str">
        <f ca="1">IFERROR(__xludf.DUMMYFUNCTION("GOOGLETRANSLATE(A10986 , ""tr"" , ""en"")"),"@drfahrettinkoca Mr. Minister, you are not responding to any residual questions as old as you used to be the deadly imitation ... https://t.co/du8iebpghv")</f>
        <v>@drfahrettinkoca Mr. Minister, you are not responding to any residual questions as old as you used to be the deadly imitation ... https://t.co/du8iebpghv</v>
      </c>
    </row>
    <row r="14188" spans="1:5" ht="15" customHeight="1" x14ac:dyDescent="0.2">
      <c r="A14188" s="1" t="s">
        <v>27955</v>
      </c>
      <c r="B14188" s="1">
        <v>0</v>
      </c>
      <c r="C14188" s="3">
        <v>44528.884282407409</v>
      </c>
      <c r="D14188" s="1" t="s">
        <v>27956</v>
      </c>
      <c r="E14188" s="1" t="str">
        <f ca="1">IFERROR(__xludf.DUMMYFUNCTION("GOOGLETRANSLATE(A10987 , ""tr"" , ""en"")"),"@drfahrettinkoca quarantine You have said to thank Reportation Dediment YesVallah Vaccine Thank you in all the citizen ... https://t.co/lfkqc87qqo")</f>
        <v>@drfahrettinkoca quarantine You have said to thank Reportation Dediment YesVallah Vaccine Thank you in all the citizen ... https://t.co/lfkqc87qqo</v>
      </c>
    </row>
    <row r="14189" spans="1:5" ht="15" customHeight="1" x14ac:dyDescent="0.2">
      <c r="A14189" s="1" t="s">
        <v>27957</v>
      </c>
      <c r="B14189" s="1">
        <v>1</v>
      </c>
      <c r="C14189" s="3">
        <v>44528.883587962962</v>
      </c>
      <c r="D14189" s="1" t="s">
        <v>27958</v>
      </c>
      <c r="E14189" s="1" t="str">
        <f ca="1">IFERROR(__xludf.DUMMYFUNCTION("GOOGLETRANSLATE(A10988 , ""tr"" , ""en"")"),"@drfahrettinkoca #meByokonlineEducation")</f>
        <v>@drfahrettinkoca #meByokonlineEducation</v>
      </c>
    </row>
    <row r="14190" spans="1:5" ht="15" customHeight="1" x14ac:dyDescent="0.2">
      <c r="A14190" s="1" t="s">
        <v>27959</v>
      </c>
      <c r="B14190" s="1">
        <v>0</v>
      </c>
      <c r="C14190" s="3">
        <v>44528.880706018521</v>
      </c>
      <c r="D14190" s="1" t="s">
        <v>27960</v>
      </c>
      <c r="E14190" s="1" t="str">
        <f ca="1">IFERROR(__xludf.DUMMYFUNCTION("GOOGLETRANSLATE(A10989 , ""tr"" , ""en"")"),"@drfahrettinka https://t.co/y9egqrjubj")</f>
        <v>@drfahrettinka https://t.co/y9egqrjubj</v>
      </c>
    </row>
    <row r="14191" spans="1:5" ht="15" customHeight="1" x14ac:dyDescent="0.2">
      <c r="A14191" s="1" t="s">
        <v>27961</v>
      </c>
      <c r="B14191" s="1">
        <v>1</v>
      </c>
      <c r="C14191" s="3">
        <v>44528.880624999998</v>
      </c>
      <c r="D14191" s="1" t="s">
        <v>27962</v>
      </c>
      <c r="E14191" s="1" t="str">
        <f ca="1">IFERROR(__xludf.DUMMYFUNCTION("GOOGLETRANSLATE(A10990 , ""tr"" , ""en"")"),"@drfahrettinka https://t.co/pouzjrxg4g")</f>
        <v>@drfahrettinka https://t.co/pouzjrxg4g</v>
      </c>
    </row>
    <row r="14192" spans="1:5" ht="15" customHeight="1" x14ac:dyDescent="0.2">
      <c r="A14192" s="1" t="s">
        <v>27963</v>
      </c>
      <c r="B14192" s="1">
        <v>0</v>
      </c>
      <c r="C14192" s="3">
        <v>44528.880567129629</v>
      </c>
      <c r="D14192" s="1" t="s">
        <v>27964</v>
      </c>
      <c r="E14192" s="1" t="str">
        <f ca="1">IFERROR(__xludf.DUMMYFUNCTION("GOOGLETRANSLATE(A10991 , ""tr"" , ""en"")"),"@drfahrettinkoca Dear Minister The snow would come from the Balkans in the winter. Now you offer to bring disease Han ... https://t.co/nap6pa7pto")</f>
        <v>@drfahrettinkoca Dear Minister The snow would come from the Balkans in the winter. Now you offer to bring disease Han ... https://t.co/nap6pa7pto</v>
      </c>
    </row>
    <row r="14193" spans="1:5" ht="15" customHeight="1" x14ac:dyDescent="0.2">
      <c r="A14193" s="1" t="s">
        <v>27965</v>
      </c>
      <c r="B14193" s="1">
        <v>21</v>
      </c>
      <c r="C14193" s="3">
        <v>44528.880532407406</v>
      </c>
      <c r="D14193" s="1" t="s">
        <v>27966</v>
      </c>
      <c r="E14193" s="1" t="str">
        <f ca="1">IFERROR(__xludf.DUMMYFUNCTION("GOOGLETRANSLATE(A10992 , ""tr"" , ""en"")"),"@drfahrettinka https://t.co/lcjfeat2eu")</f>
        <v>@drfahrettinka https://t.co/lcjfeat2eu</v>
      </c>
    </row>
    <row r="14194" spans="1:5" ht="15" customHeight="1" x14ac:dyDescent="0.2">
      <c r="A14194" s="1" t="s">
        <v>27967</v>
      </c>
      <c r="B14194" s="1">
        <v>16</v>
      </c>
      <c r="C14194" s="3">
        <v>44528.880416666667</v>
      </c>
      <c r="D14194" s="1" t="s">
        <v>27968</v>
      </c>
      <c r="E14194" s="1" t="str">
        <f ca="1">IFERROR(__xludf.DUMMYFUNCTION("GOOGLETRANSLATE(A10993 , ""tr"" , ""en"")"),"@drfahrettinka https://t.co/sem0fzfq8t")</f>
        <v>@drfahrettinka https://t.co/sem0fzfq8t</v>
      </c>
    </row>
    <row r="14195" spans="1:5" ht="15" customHeight="1" x14ac:dyDescent="0.2">
      <c r="A14195" s="1" t="s">
        <v>27969</v>
      </c>
      <c r="B14195" s="1">
        <v>7</v>
      </c>
      <c r="C14195" s="3">
        <v>44528.880347222221</v>
      </c>
      <c r="D14195" s="1" t="s">
        <v>27970</v>
      </c>
      <c r="E14195" s="1" t="str">
        <f ca="1">IFERROR(__xludf.DUMMYFUNCTION("GOOGLETRANSLATE(A10994 , ""tr"" , ""en"")"),"@drfahrettinka https://t.co/vfndbnbtnk")</f>
        <v>@drfahrettinka https://t.co/vfndbnbtnk</v>
      </c>
    </row>
    <row r="14196" spans="1:5" ht="15" customHeight="1" x14ac:dyDescent="0.2">
      <c r="A14196" s="1" t="s">
        <v>27971</v>
      </c>
      <c r="B14196" s="1">
        <v>20</v>
      </c>
      <c r="C14196" s="3">
        <v>44528.880277777775</v>
      </c>
      <c r="D14196" s="1" t="s">
        <v>27972</v>
      </c>
      <c r="E14196" s="1" t="str">
        <f ca="1">IFERROR(__xludf.DUMMYFUNCTION("GOOGLETRANSLATE(A10995 , ""tr"" , ""en"")"),"@drfahrettinka https://t.co/qiyju9xe1o")</f>
        <v>@drfahrettinka https://t.co/qiyju9xe1o</v>
      </c>
    </row>
    <row r="14197" spans="1:5" ht="15" customHeight="1" x14ac:dyDescent="0.2">
      <c r="A14197" s="1" t="s">
        <v>27973</v>
      </c>
      <c r="B14197" s="1">
        <v>6</v>
      </c>
      <c r="C14197" s="3">
        <v>44528.880231481482</v>
      </c>
      <c r="D14197" s="1" t="s">
        <v>27974</v>
      </c>
      <c r="E14197" s="1" t="str">
        <f ca="1">IFERROR(__xludf.DUMMYFUNCTION("GOOGLETRANSLATE(A10996 , ""tr"" , ""en"")"),"@drfahrettinka https://t.co/jly2l4gweg")</f>
        <v>@drfahrettinka https://t.co/jly2l4gweg</v>
      </c>
    </row>
    <row r="14198" spans="1:5" ht="15" customHeight="1" x14ac:dyDescent="0.2">
      <c r="A14198" s="1" t="s">
        <v>27975</v>
      </c>
      <c r="B14198" s="1">
        <v>0</v>
      </c>
      <c r="C14198" s="3">
        <v>44528.877118055556</v>
      </c>
      <c r="D14198" s="1" t="s">
        <v>27976</v>
      </c>
      <c r="E14198" s="1" t="str">
        <f ca="1">IFERROR(__xludf.DUMMYFUNCTION("GOOGLETRANSLATE(A10997 , ""tr"" , ""en"")"),"@drfahrettinkoca I don't have the vaccination of the patients who died and died as a citizen of the 3 vaccine ... HTTPS://T.CO/OLIQQICK70")</f>
        <v>@drfahrettinkoca I don't have the vaccination of the patients who died and died as a citizen of the 3 vaccine ... HTTPS://T.CO/OLIQQICK70</v>
      </c>
    </row>
    <row r="14199" spans="1:5" ht="15" customHeight="1" x14ac:dyDescent="0.2">
      <c r="A14199" s="1" t="s">
        <v>27977</v>
      </c>
      <c r="B14199" s="1">
        <v>0</v>
      </c>
      <c r="C14199" s="3">
        <v>44528.876863425925</v>
      </c>
      <c r="D14199" s="1" t="s">
        <v>27978</v>
      </c>
      <c r="E14199" s="1" t="str">
        <f ca="1">IFERROR(__xludf.DUMMYFUNCTION("GOOGLETRANSLATE(A10998 , ""tr"" , ""en"")"),"@drfahrettinkoca We don't trust you !!!")</f>
        <v>@drfahrettinkoca We don't trust you !!!</v>
      </c>
    </row>
    <row r="14200" spans="1:5" ht="15" customHeight="1" x14ac:dyDescent="0.2">
      <c r="A14200" s="1" t="s">
        <v>27979</v>
      </c>
      <c r="B14200" s="1">
        <v>0</v>
      </c>
      <c r="C14200" s="3">
        <v>44528.875057870369</v>
      </c>
      <c r="D14200" s="1" t="s">
        <v>27980</v>
      </c>
      <c r="E14200" s="1" t="str">
        <f ca="1">IFERROR(__xludf.DUMMYFUNCTION("GOOGLETRANSLATE(A10999 , ""tr"" , ""en"")"),"@drfahrettinkoca water unversers and schools capsin")</f>
        <v>@drfahrettinkoca water unversers and schools capsin</v>
      </c>
    </row>
    <row r="14201" spans="1:5" ht="15" customHeight="1" x14ac:dyDescent="0.2">
      <c r="A14201" s="1" t="s">
        <v>27981</v>
      </c>
      <c r="B14201" s="1">
        <v>0</v>
      </c>
      <c r="C14201" s="3">
        <v>44528.867592592593</v>
      </c>
      <c r="D14201" s="1" t="s">
        <v>27982</v>
      </c>
      <c r="E14201" s="1" t="str">
        <f ca="1">IFERROR(__xludf.DUMMYFUNCTION("GOOGLETRANSLATE(A11000 , ""tr"" , ""en"")"),"@drfahrettinka New Varyanta Against Biontech 3rd Vaccination Appointment is no longer waiting for the late period of 6 months ... https://t.co/6pg9ae75qt")</f>
        <v>@drfahrettinka New Varyanta Against Biontech 3rd Vaccination Appointment is no longer waiting for the late period of 6 months ... https://t.co/6pg9ae75qt</v>
      </c>
    </row>
    <row r="14202" spans="1:5" ht="15" customHeight="1" x14ac:dyDescent="0.2">
      <c r="A14202" s="1" t="s">
        <v>27983</v>
      </c>
      <c r="B14202" s="1">
        <v>1</v>
      </c>
      <c r="C14202" s="3">
        <v>44528.867511574077</v>
      </c>
      <c r="D14202" s="1" t="s">
        <v>27984</v>
      </c>
      <c r="E14202" s="1" t="str">
        <f ca="1">IFERROR(__xludf.DUMMYFUNCTION("GOOGLETRANSLATE(A11001 , ""tr"" , ""en"")"),"@drfahrettinkoca is the first two weeks important, citizen, citizen no longer trust you")</f>
        <v>@drfahrettinkoca is the first two weeks important, citizen, citizen no longer trust you</v>
      </c>
    </row>
    <row r="14203" spans="1:5" ht="15" customHeight="1" x14ac:dyDescent="0.2">
      <c r="A14203" s="1" t="s">
        <v>27985</v>
      </c>
      <c r="B14203" s="1">
        <v>0</v>
      </c>
      <c r="C14203" s="3">
        <v>44528.864768518521</v>
      </c>
      <c r="D14203" s="1" t="s">
        <v>27986</v>
      </c>
      <c r="E14203" s="1" t="str">
        <f ca="1">IFERROR(__xludf.DUMMYFUNCTION("GOOGLETRANSLATE(A11002 , ""tr"" , ""en"")"),"@drfahrettinkoca head is a Dunya, Dunya Alarmdaaaa")</f>
        <v>@drfahrettinkoca head is a Dunya, Dunya Alarmdaaaa</v>
      </c>
    </row>
    <row r="14204" spans="1:5" ht="15" customHeight="1" x14ac:dyDescent="0.2">
      <c r="A14204" s="1" t="s">
        <v>27987</v>
      </c>
      <c r="B14204" s="1">
        <v>0</v>
      </c>
      <c r="C14204" s="3">
        <v>44528.864398148151</v>
      </c>
      <c r="D14204" s="1" t="s">
        <v>27988</v>
      </c>
      <c r="E14204" s="1" t="str">
        <f ca="1">IFERROR(__xludf.DUMMYFUNCTION("GOOGLETRANSLATE(A11003 , ""tr"" , ""en"")"),"@drfahrettinkoca I think Urfa is 100% vaccinated! The number of cases is minimized.")</f>
        <v>@drfahrettinkoca I think Urfa is 100% vaccinated! The number of cases is minimized.</v>
      </c>
    </row>
    <row r="14205" spans="1:5" ht="15" customHeight="1" x14ac:dyDescent="0.2">
      <c r="A14205" s="1" t="s">
        <v>27989</v>
      </c>
      <c r="B14205" s="1">
        <v>0</v>
      </c>
      <c r="C14205" s="3">
        <v>44528.862025462964</v>
      </c>
      <c r="D14205" s="1" t="s">
        <v>27990</v>
      </c>
      <c r="E14205" s="1" t="str">
        <f ca="1">IFERROR(__xludf.DUMMYFUNCTION("GOOGLETRANSLATE(A11004 , ""tr"" , ""en"")"),"@drfahrettinka no sanction for vaccination No precautions No measures Every day is a plane full of airfalls dying ... https://t.co/h2rsneop7i")</f>
        <v>@drfahrettinka no sanction for vaccination No precautions No measures Every day is a plane full of airfalls dying ... https://t.co/h2rsneop7i</v>
      </c>
    </row>
    <row r="14206" spans="1:5" ht="15" customHeight="1" x14ac:dyDescent="0.2">
      <c r="A14206" s="1" t="s">
        <v>27991</v>
      </c>
      <c r="B14206" s="1">
        <v>1</v>
      </c>
      <c r="C14206" s="3">
        <v>44528.850798611114</v>
      </c>
      <c r="D14206" s="1" t="s">
        <v>27992</v>
      </c>
      <c r="E14206" s="1" t="str">
        <f ca="1">IFERROR(__xludf.DUMMYFUNCTION("GOOGLETRANSLATE(A11005 , ""tr"" , ""en"")"),"@drfahrettinkoca SN Minister #Malatya Sehit Mehmet Kilinc Dental Hast. 2 Yild is only diski fee, other way ... https://t.co/hx1cfcmrs2")</f>
        <v>@drfahrettinkoca SN Minister #Malatya Sehit Mehmet Kilinc Dental Hast. 2 Yild is only diski fee, other way ... https://t.co/hx1cfcmrs2</v>
      </c>
    </row>
    <row r="14207" spans="1:5" ht="15" customHeight="1" x14ac:dyDescent="0.2">
      <c r="A14207" s="1" t="s">
        <v>27993</v>
      </c>
      <c r="B14207" s="1">
        <v>1</v>
      </c>
      <c r="C14207" s="3">
        <v>44528.849768518521</v>
      </c>
      <c r="D14207" s="1" t="s">
        <v>27994</v>
      </c>
      <c r="E14207" s="1" t="str">
        <f ca="1">IFERROR(__xludf.DUMMYFUNCTION("GOOGLETRANSLATE(A11006 , ""tr"" , ""en"")"),"@drfahrettinkoca HDP NIN Peace Slogans, ChP's Freedom Dailability, Saadetin National Opinion How Health is Health ... Https://t.co/rf7pztw89")</f>
        <v>@drfahrettinkoca HDP NIN Peace Slogans, ChP's Freedom Dailability, Saadetin National Opinion How Health is Health ... Https://t.co/rf7pztw89</v>
      </c>
    </row>
    <row r="14208" spans="1:5" ht="15" customHeight="1" x14ac:dyDescent="0.2">
      <c r="A14208" s="1" t="s">
        <v>27995</v>
      </c>
      <c r="B14208" s="1">
        <v>3</v>
      </c>
      <c r="C14208" s="3">
        <v>44528.849618055552</v>
      </c>
      <c r="D14208" s="1" t="s">
        <v>27996</v>
      </c>
      <c r="E14208" s="1" t="str">
        <f ca="1">IFERROR(__xludf.DUMMYFUNCTION("GOOGLETRANSLATE(A11007 , ""tr"" , ""en"")"),"@drfahrettinkoca ALLA ALLA GOD EASY DEATHEY DEATHINESS UNLAILLY TWO DOSE CAMPEDIZED UMMY myocarditis.6 Yasind ... https://t.co/0sısuomgqe")</f>
        <v>@drfahrettinkoca ALLA ALLA GOD EASY DEATHEY DEATHINESS UNLAILLY TWO DOSE CAMPEDIZED UMMY myocarditis.6 Yasind ... https://t.co/0sısuomgqe</v>
      </c>
    </row>
    <row r="14209" spans="1:5" ht="15" customHeight="1" x14ac:dyDescent="0.2">
      <c r="A14209" s="1" t="s">
        <v>27997</v>
      </c>
      <c r="B14209" s="1">
        <v>0</v>
      </c>
      <c r="C14209" s="3">
        <v>44528.848078703704</v>
      </c>
      <c r="D14209" s="1" t="s">
        <v>27998</v>
      </c>
      <c r="E14209" s="1" t="str">
        <f ca="1">IFERROR(__xludf.DUMMYFUNCTION("GOOGLETRANSLATE(A11008 , ""tr"" , ""en"")"),"@drfahrettinkoca is very mandar to force people for the definite vaccine that it doesn't work. Medication Representations Getting Out of Ministry Geniiba")</f>
        <v>@drfahrettinkoca is very mandar to force people for the definite vaccine that it doesn't work. Medication Representations Getting Out of Ministry Geniiba</v>
      </c>
    </row>
    <row r="14210" spans="1:5" ht="15" customHeight="1" x14ac:dyDescent="0.2">
      <c r="A14210" s="1" t="s">
        <v>27999</v>
      </c>
      <c r="B14210" s="1">
        <v>27</v>
      </c>
      <c r="C14210" s="3">
        <v>44528.847280092596</v>
      </c>
      <c r="D14210" s="1" t="s">
        <v>28000</v>
      </c>
      <c r="E14210" s="1" t="str">
        <f ca="1">IFERROR(__xludf.DUMMYFUNCTION("GOOGLETRANSLATE(A11009 , ""tr"" , ""en"")"),"@drfahrettinkoca you will not find if you don't find it! Europe has passed alarm.")</f>
        <v>@drfahrettinkoca you will not find if you don't find it! Europe has passed alarm.</v>
      </c>
    </row>
    <row r="14211" spans="1:5" ht="15" customHeight="1" x14ac:dyDescent="0.2">
      <c r="A14211" s="1" t="s">
        <v>28001</v>
      </c>
      <c r="B14211" s="1">
        <v>0</v>
      </c>
      <c r="C14211" s="3">
        <v>44528.844872685186</v>
      </c>
      <c r="D14211" s="1" t="s">
        <v>28002</v>
      </c>
      <c r="E14211" s="1" t="str">
        <f ca="1">IFERROR(__xludf.DUMMYFUNCTION("GOOGLETRANSLATE(A11010 , ""tr"" , ""en"")"),"@drfahrettinka I'm preparing a table yesterday I looked at the looked I looked at the serious change, then you can see what the data ... https://t.co/po3x6uwggvj")</f>
        <v>@drfahrettinka I'm preparing a table yesterday I looked at the looked I looked at the serious change, then you can see what the data ... https://t.co/po3x6uwggvj</v>
      </c>
    </row>
    <row r="14212" spans="1:5" ht="15" customHeight="1" x14ac:dyDescent="0.2">
      <c r="A14212" s="1" t="s">
        <v>28003</v>
      </c>
      <c r="B14212" s="1">
        <v>0</v>
      </c>
      <c r="C14212" s="3">
        <v>44528.842395833337</v>
      </c>
      <c r="D14212" s="1" t="s">
        <v>28004</v>
      </c>
      <c r="E14212" s="1" t="str">
        <f ca="1">IFERROR(__xludf.DUMMYFUNCTION("GOOGLETRANSLATE(A11011 , ""tr"" , ""en"")"),"@drfahrettinkoca serious change of verification does not get the religion control underneath the fact that the cases are always the yummy state of the")</f>
        <v>@drfahrettinkoca serious change of verification does not get the religion control underneath the fact that the cases are always the yummy state of the</v>
      </c>
    </row>
    <row r="14213" spans="1:5" ht="15" customHeight="1" x14ac:dyDescent="0.2">
      <c r="A14213" s="1" t="s">
        <v>28005</v>
      </c>
      <c r="B14213" s="1">
        <v>0</v>
      </c>
      <c r="C14213" s="3">
        <v>44528.84</v>
      </c>
      <c r="D14213" s="1" t="s">
        <v>28006</v>
      </c>
      <c r="E14213" s="1" t="str">
        <f ca="1">IFERROR(__xludf.DUMMYFUNCTION("GOOGLETRANSLATE(A11012 , ""tr"" , ""en"")"),"@drfahrettinkoca I wish you quit ...")</f>
        <v>@drfahrettinkoca I wish you quit ...</v>
      </c>
    </row>
    <row r="14214" spans="1:5" ht="15" customHeight="1" x14ac:dyDescent="0.2">
      <c r="A14214" s="1" t="s">
        <v>28007</v>
      </c>
      <c r="B14214" s="1">
        <v>0</v>
      </c>
      <c r="C14214" s="3">
        <v>44528.834189814814</v>
      </c>
      <c r="D14214" s="1" t="s">
        <v>28008</v>
      </c>
      <c r="E14214" s="1" t="str">
        <f ca="1">IFERROR(__xludf.DUMMYFUNCTION("GOOGLETRANSLATE(A11013 , ""tr"" , ""en"")"),"@drfahrettinka pupils 10 hours plug in mask binding into public transport")</f>
        <v>@drfahrettinka pupils 10 hours plug in mask binding into public transport</v>
      </c>
    </row>
    <row r="14215" spans="1:5" ht="15" customHeight="1" x14ac:dyDescent="0.2">
      <c r="A14215" s="1" t="s">
        <v>28009</v>
      </c>
      <c r="B14215" s="1">
        <v>1</v>
      </c>
      <c r="C14215" s="3">
        <v>44528.83326388889</v>
      </c>
      <c r="D14215" s="1" t="s">
        <v>28010</v>
      </c>
      <c r="E14215" s="1" t="str">
        <f ca="1">IFERROR(__xludf.DUMMYFUNCTION("GOOGLETRANSLATE(A11014 , ""tr"" , ""en"")"),"@drfahrettinkca in your ace you give allah trouble in your nation You have trouble this liar per nation @kparti ... https://t.co/ecmcvdttxht")</f>
        <v>@drfahrettinkca in your ace you give allah trouble in your nation You have trouble this liar per nation @kparti ... https://t.co/ecmcvdttxht</v>
      </c>
    </row>
    <row r="14216" spans="1:5" ht="15" customHeight="1" x14ac:dyDescent="0.2">
      <c r="A14216" s="1" t="s">
        <v>28011</v>
      </c>
      <c r="B14216" s="1">
        <v>2</v>
      </c>
      <c r="C14216" s="3">
        <v>44528.832719907405</v>
      </c>
      <c r="D14216" s="1" t="s">
        <v>28012</v>
      </c>
      <c r="E14216" s="1" t="str">
        <f ca="1">IFERROR(__xludf.DUMMYFUNCTION("GOOGLETRANSLATE(A11015 , ""tr"" , ""en"")"),"@drfahrettinkoca What you expect from fear in Turkey What Economy What Health Nesi Training Stayed in Turkey Whereas ... https://t.co/9vvwie3su3")</f>
        <v>@drfahrettinkoca What you expect from fear in Turkey What Economy What Health Nesi Training Stayed in Turkey Whereas ... https://t.co/9vvwie3su3</v>
      </c>
    </row>
    <row r="14217" spans="1:5" ht="15" customHeight="1" x14ac:dyDescent="0.2">
      <c r="A14217" s="1" t="s">
        <v>28013</v>
      </c>
      <c r="B14217" s="1">
        <v>0</v>
      </c>
      <c r="C14217" s="3">
        <v>44528.831921296296</v>
      </c>
      <c r="D14217" s="1" t="s">
        <v>28014</v>
      </c>
      <c r="E14217" s="1" t="str">
        <f ca="1">IFERROR(__xludf.DUMMYFUNCTION("GOOGLETRANSLATE(A11016 , ""tr"" , ""en"")"),"@drfahrettinkoca https://T.CO/IH7MG2EUSR This state's health of the health department and the Ministry of Agriculture, justice ... https://t.co/vkup7kjdlg")</f>
        <v>@drfahrettinkoca https://T.CO/IH7MG2EUSR This state's health of the health department and the Ministry of Agriculture, justice ... https://t.co/vkup7kjdlg</v>
      </c>
    </row>
    <row r="14218" spans="1:5" ht="15" customHeight="1" x14ac:dyDescent="0.2">
      <c r="A14218" s="1" t="s">
        <v>28015</v>
      </c>
      <c r="B14218" s="1">
        <v>0</v>
      </c>
      <c r="C14218" s="3">
        <v>44528.830474537041</v>
      </c>
      <c r="D14218" s="1" t="s">
        <v>28016</v>
      </c>
      <c r="E14218" s="1" t="str">
        <f ca="1">IFERROR(__xludf.DUMMYFUNCTION("GOOGLETRANSLATE(A11017 , ""tr"" , ""en"")"),"@drfahrettinka Mr. Mr. Omicron variant they have given late notice. https://t.co/mq2t8licdo")</f>
        <v>@drfahrettinka Mr. Mr. Omicron variant they have given late notice. https://t.co/mq2t8licdo</v>
      </c>
    </row>
    <row r="14219" spans="1:5" ht="15" customHeight="1" x14ac:dyDescent="0.2">
      <c r="A14219" s="1" t="s">
        <v>28017</v>
      </c>
      <c r="B14219" s="1">
        <v>0</v>
      </c>
      <c r="C14219" s="3">
        <v>44530.8909375</v>
      </c>
      <c r="D14219" s="1" t="s">
        <v>28018</v>
      </c>
      <c r="E14219" s="1" t="str">
        <f ca="1">IFERROR(__xludf.DUMMYFUNCTION("GOOGLETRANSLATE(A11018 , ""tr"" , ""en"")"),"@drfahrettinkoca installed but the bush didn't come cause")</f>
        <v>@drfahrettinkoca installed but the bush didn't come cause</v>
      </c>
    </row>
    <row r="14220" spans="1:5" ht="15" customHeight="1" x14ac:dyDescent="0.2">
      <c r="A14220" s="1" t="s">
        <v>28019</v>
      </c>
      <c r="B14220" s="1">
        <v>0</v>
      </c>
      <c r="C14220" s="3">
        <v>44529.94458333333</v>
      </c>
      <c r="D14220" s="1" t="s">
        <v>28020</v>
      </c>
      <c r="E14220" s="1" t="str">
        <f ca="1">IFERROR(__xludf.DUMMYFUNCTION("GOOGLETRANSLATE(A11019 , ""tr"" , ""en"")"),"@drfahrettinka https://t.co/3vlg9yqqwd")</f>
        <v>@drfahrettinka https://t.co/3vlg9yqqwd</v>
      </c>
    </row>
    <row r="14221" spans="1:5" ht="15" customHeight="1" x14ac:dyDescent="0.2">
      <c r="A14221" s="1" t="s">
        <v>28021</v>
      </c>
      <c r="B14221" s="1">
        <v>0</v>
      </c>
      <c r="C14221" s="3">
        <v>44528.989745370367</v>
      </c>
      <c r="D14221" s="1" t="s">
        <v>28022</v>
      </c>
      <c r="E14221" s="1" t="str">
        <f ca="1">IFERROR(__xludf.DUMMYFUNCTION("GOOGLETRANSLATE(A11020 , ""tr"" , ""en"")"),"@drfahrettinkoca Corona Whatever the ones weigh it, don't get heavy but don't go to the hospital. Stay at your home ... https://t.co/xzgnanbazy")</f>
        <v>@drfahrettinkoca Corona Whatever the ones weigh it, don't get heavy but don't go to the hospital. Stay at your home ... https://t.co/xzgnanbazy</v>
      </c>
    </row>
    <row r="14222" spans="1:5" ht="15" customHeight="1" x14ac:dyDescent="0.2">
      <c r="A14222" s="1" t="s">
        <v>28023</v>
      </c>
      <c r="B14222" s="1">
        <v>0</v>
      </c>
      <c r="C14222" s="3">
        <v>44528.988136574073</v>
      </c>
      <c r="D14222" s="1" t="s">
        <v>28024</v>
      </c>
      <c r="E14222" s="1" t="str">
        <f ca="1">IFERROR(__xludf.DUMMYFUNCTION("GOOGLETRANSLATE(A11021 , ""tr"" , ""en"")"),"@drfahrettinka We want a health minister who says I don't trust the World Health Organization.")</f>
        <v>@drfahrettinka We want a health minister who says I don't trust the World Health Organization.</v>
      </c>
    </row>
    <row r="14223" spans="1:5" ht="15" customHeight="1" x14ac:dyDescent="0.2">
      <c r="A14223" s="1" t="s">
        <v>28025</v>
      </c>
      <c r="B14223" s="1">
        <v>0</v>
      </c>
      <c r="C14223" s="3">
        <v>44528.986793981479</v>
      </c>
      <c r="D14223" s="1" t="s">
        <v>28026</v>
      </c>
      <c r="E14223" s="1" t="str">
        <f ca="1">IFERROR(__xludf.DUMMYFUNCTION("GOOGLETRANSLATE(A11022 , ""tr"" , ""en"")"),"@drfahrettinkoca this time it sees perhaps comment on capital letter! Question: Those who have the vaccine will make the corona slightly ... https://t.co/B9PIQLP4LH")</f>
        <v>@drfahrettinkoca this time it sees perhaps comment on capital letter! Question: Those who have the vaccine will make the corona slightly ... https://t.co/B9PIQLP4LH</v>
      </c>
    </row>
    <row r="14224" spans="1:5" ht="15" customHeight="1" x14ac:dyDescent="0.2">
      <c r="A14224" s="1" t="s">
        <v>28027</v>
      </c>
      <c r="B14224" s="1">
        <v>0</v>
      </c>
      <c r="C14224" s="3">
        <v>44528.985046296293</v>
      </c>
      <c r="D14224" s="1" t="s">
        <v>28028</v>
      </c>
      <c r="E14224" s="1" t="str">
        <f ca="1">IFERROR(__xludf.DUMMYFUNCTION("GOOGLETRANSLATE(A11023 , ""tr"" , ""en"")"),"@drfahrettinkoca corona The immune systems were collapsed with high-dosed drugs to those who were detected and death ... https://t.co/uynlnzlylv")</f>
        <v>@drfahrettinkoca corona The immune systems were collapsed with high-dosed drugs to those who were detected and death ... https://t.co/uynlnzlylv</v>
      </c>
    </row>
    <row r="14225" spans="1:5" ht="15" customHeight="1" x14ac:dyDescent="0.2">
      <c r="A14225" s="1" t="s">
        <v>28029</v>
      </c>
      <c r="B14225" s="1">
        <v>0</v>
      </c>
      <c r="C14225" s="3">
        <v>44528.984351851854</v>
      </c>
      <c r="D14225" s="1" t="s">
        <v>28030</v>
      </c>
      <c r="E14225" s="1" t="str">
        <f ca="1">IFERROR(__xludf.DUMMYFUNCTION("GOOGLETRANSLATE(A11024 , ""tr"" , ""en"")"),"@drfahrettinka https://t.co/fvotgvvagv")</f>
        <v>@drfahrettinka https://t.co/fvotgvvagv</v>
      </c>
    </row>
    <row r="14226" spans="1:5" ht="15" customHeight="1" x14ac:dyDescent="0.2">
      <c r="A14226" s="1" t="s">
        <v>28031</v>
      </c>
      <c r="B14226" s="1">
        <v>0</v>
      </c>
      <c r="C14226" s="3">
        <v>44528.97828703704</v>
      </c>
      <c r="D14226" s="1" t="s">
        <v>28032</v>
      </c>
      <c r="E14226" s="1" t="str">
        <f ca="1">IFERROR(__xludf.DUMMYFUNCTION("GOOGLETRANSLATE(A11025 , ""tr"" , ""en"")"),"@drfahrettinka https://t.co/cpfyoureg0")</f>
        <v>@drfahrettinka https://t.co/cpfyoureg0</v>
      </c>
    </row>
    <row r="14227" spans="1:5" ht="15" customHeight="1" x14ac:dyDescent="0.2">
      <c r="A14227" s="1" t="s">
        <v>28033</v>
      </c>
      <c r="B14227" s="1">
        <v>4</v>
      </c>
      <c r="C14227" s="3">
        <v>44528.97619212963</v>
      </c>
      <c r="D14227" s="1" t="s">
        <v>28034</v>
      </c>
      <c r="E14227" s="1" t="str">
        <f ca="1">IFERROR(__xludf.DUMMYFUNCTION("GOOGLETRANSLATE(A11026 , ""tr"" , ""en"")"),"@drfahrettinkoca yeah our state all the time we always have our medicine on us but the problem of SMA patient Bitmyr Unfortunately Kr ... https://t.co/k2nnzaok8t")</f>
        <v>@drfahrettinkoca yeah our state all the time we always have our medicine on us but the problem of SMA patient Bitmyr Unfortunately Kr ... https://t.co/k2nnzaok8t</v>
      </c>
    </row>
    <row r="14228" spans="1:5" ht="15" customHeight="1" x14ac:dyDescent="0.2">
      <c r="A14228" s="1" t="s">
        <v>28035</v>
      </c>
      <c r="B14228" s="1">
        <v>1</v>
      </c>
      <c r="C14228" s="3">
        <v>44528.956064814818</v>
      </c>
      <c r="D14228" s="1" t="s">
        <v>28036</v>
      </c>
      <c r="E14228" s="1" t="str">
        <f ca="1">IFERROR(__xludf.DUMMYFUNCTION("GOOGLETRANSLATE(A11027 , ""tr"" , ""en"")"),"@drfahrettinkoca Covit i habitats in the 3yil, which Kanita Gore will die from the side of the side in the 3It you are ... https://t.co/gltiqgmyım")</f>
        <v>@drfahrettinkoca Covit i habitats in the 3yil, which Kanita Gore will die from the side of the side in the 3It you are ... https://t.co/gltiqgmyım</v>
      </c>
    </row>
    <row r="14229" spans="1:5" ht="15" customHeight="1" x14ac:dyDescent="0.2">
      <c r="A14229" s="1" t="s">
        <v>28037</v>
      </c>
      <c r="B14229" s="1">
        <v>0</v>
      </c>
      <c r="C14229" s="3">
        <v>44528.933020833334</v>
      </c>
      <c r="D14229" s="1" t="s">
        <v>28038</v>
      </c>
      <c r="E14229" s="1" t="str">
        <f ca="1">IFERROR(__xludf.DUMMYFUNCTION("GOOGLETRANSLATE(A11028 , ""tr"" , ""en"")"),"@drfahrettinka https://t.co/8hib3vewo6")</f>
        <v>@drfahrettinka https://t.co/8hib3vewo6</v>
      </c>
    </row>
    <row r="14230" spans="1:5" ht="15" customHeight="1" x14ac:dyDescent="0.2">
      <c r="A14230" s="1" t="s">
        <v>28039</v>
      </c>
      <c r="B14230" s="1">
        <v>0</v>
      </c>
      <c r="C14230" s="3">
        <v>44528.92701388889</v>
      </c>
      <c r="D14230" s="1" t="s">
        <v>28040</v>
      </c>
      <c r="E14230" s="1" t="str">
        <f ca="1">IFERROR(__xludf.DUMMYFUNCTION("GOOGLETRANSLATE(A11029 , ""tr"" , ""en"")"),"@drfahrettinkoca if it's out of a pie")</f>
        <v>@drfahrettinkoca if it's out of a pie</v>
      </c>
    </row>
    <row r="14231" spans="1:5" ht="15" customHeight="1" x14ac:dyDescent="0.2">
      <c r="A14231" s="1" t="s">
        <v>28041</v>
      </c>
      <c r="B14231" s="1">
        <v>0</v>
      </c>
      <c r="C14231" s="3">
        <v>44528.923750000002</v>
      </c>
      <c r="D14231" s="1" t="s">
        <v>28042</v>
      </c>
      <c r="E14231" s="1" t="str">
        <f ca="1">IFERROR(__xludf.DUMMYFUNCTION("GOOGLETRANSLATE(A11030 , ""tr"" , ""en"")"),"@drfahrettinkoca Wow Vayyy has developments. The fact that the facts are sooner than sooner. The Beddaires you get ... https://t.co/f9IJ4aeusz")</f>
        <v>@drfahrettinkoca Wow Vayyy has developments. The fact that the facts are sooner than sooner. The Beddaires you get ... https://t.co/f9IJ4aeusz</v>
      </c>
    </row>
    <row r="14232" spans="1:5" ht="15" customHeight="1" x14ac:dyDescent="0.2">
      <c r="A14232" s="1" t="s">
        <v>28043</v>
      </c>
      <c r="B14232" s="1">
        <v>4</v>
      </c>
      <c r="C14232" s="3">
        <v>44528.923379629632</v>
      </c>
      <c r="D14232" s="1" t="s">
        <v>28044</v>
      </c>
      <c r="E14232" s="1" t="str">
        <f ca="1">IFERROR(__xludf.DUMMYFUNCTION("GOOGLETRANSLATE(A11031 , ""tr"" , ""en"")"),"@drfahrettinkoca Your last sentence does not eat vaccines ...")</f>
        <v>@drfahrettinkoca Your last sentence does not eat vaccines ...</v>
      </c>
    </row>
    <row r="14233" spans="1:5" ht="15" customHeight="1" x14ac:dyDescent="0.2">
      <c r="A14233" s="1" t="s">
        <v>28045</v>
      </c>
      <c r="B14233" s="1">
        <v>6</v>
      </c>
      <c r="C14233" s="3">
        <v>44528.913344907407</v>
      </c>
      <c r="D14233" s="1" t="s">
        <v>28046</v>
      </c>
      <c r="E14233" s="1" t="str">
        <f ca="1">IFERROR(__xludf.DUMMYFUNCTION("GOOGLETRANSLATE(A11032 , ""tr"" , ""en"")"),"@drfahrettinkoca is my anladigim water; You are called a positive saying to each of them, are called to coron and we are generally ... https://t.co/uo3vnm1q8g")</f>
        <v>@drfahrettinkoca is my anladigim water; You are called a positive saying to each of them, are called to coron and we are generally ... https://t.co/uo3vnm1q8g</v>
      </c>
    </row>
    <row r="14234" spans="1:5" ht="15" customHeight="1" x14ac:dyDescent="0.2">
      <c r="A14234" s="1" t="s">
        <v>28047</v>
      </c>
      <c r="B14234" s="1">
        <v>1</v>
      </c>
      <c r="C14234" s="3">
        <v>44528.911643518521</v>
      </c>
      <c r="D14234" s="1" t="s">
        <v>28048</v>
      </c>
      <c r="E14234" s="1" t="str">
        <f ca="1">IFERROR(__xludf.DUMMYFUNCTION("GOOGLETRANSLATE(A11033 , ""tr"" , ""en"")"),"@drfahrettinka https://t.co/blmziupnnz")</f>
        <v>@drfahrettinka https://t.co/blmziupnnz</v>
      </c>
    </row>
    <row r="14235" spans="1:5" ht="15" customHeight="1" x14ac:dyDescent="0.2">
      <c r="A14235" s="1" t="s">
        <v>28049</v>
      </c>
      <c r="B14235" s="1">
        <v>4</v>
      </c>
      <c r="C14235" s="3">
        <v>44528.911597222221</v>
      </c>
      <c r="D14235" s="1" t="s">
        <v>28050</v>
      </c>
      <c r="E14235" s="1" t="str">
        <f ca="1">IFERROR(__xludf.DUMMYFUNCTION("GOOGLETRANSLATE(A11034 , ""tr"" , ""en"")"),"@drfahrettinka https://t.co/wbagggmudl")</f>
        <v>@drfahrettinka https://t.co/wbagggmudl</v>
      </c>
    </row>
    <row r="14236" spans="1:5" ht="15" customHeight="1" x14ac:dyDescent="0.2">
      <c r="A14236" s="1" t="s">
        <v>28051</v>
      </c>
      <c r="B14236" s="1">
        <v>3</v>
      </c>
      <c r="C14236" s="3">
        <v>44528.911527777775</v>
      </c>
      <c r="D14236" s="1" t="s">
        <v>28052</v>
      </c>
      <c r="E14236" s="1" t="str">
        <f ca="1">IFERROR(__xludf.DUMMYFUNCTION("GOOGLETRANSLATE(A11035 , ""tr"" , ""en"")"),"@drfahrettinka https://t.co/wfumtfredb")</f>
        <v>@drfahrettinka https://t.co/wfumtfredb</v>
      </c>
    </row>
    <row r="14237" spans="1:5" ht="15" customHeight="1" x14ac:dyDescent="0.2">
      <c r="A14237" s="1" t="s">
        <v>28053</v>
      </c>
      <c r="B14237" s="1">
        <v>1</v>
      </c>
      <c r="C14237" s="3">
        <v>44528.911504629628</v>
      </c>
      <c r="D14237" s="1" t="s">
        <v>28054</v>
      </c>
      <c r="E14237" s="1" t="str">
        <f ca="1">IFERROR(__xludf.DUMMYFUNCTION("GOOGLETRANSLATE(A11036 , ""tr"" , ""en"")"),"@drfahrettinka https://t.co/g543mxgzcd")</f>
        <v>@drfahrettinka https://t.co/g543mxgzcd</v>
      </c>
    </row>
    <row r="14238" spans="1:5" ht="15" customHeight="1" x14ac:dyDescent="0.2">
      <c r="A14238" s="1" t="s">
        <v>28055</v>
      </c>
      <c r="B14238" s="1">
        <v>3</v>
      </c>
      <c r="C14238" s="3">
        <v>44528.906898148147</v>
      </c>
      <c r="D14238" s="1" t="s">
        <v>28056</v>
      </c>
      <c r="E14238" s="1" t="str">
        <f ca="1">IFERROR(__xludf.DUMMYFUNCTION("GOOGLETRANSLATE(A11037 , ""tr"" , ""en"")"),"@drfahrettinka https://t.co/kdn7tok92n")</f>
        <v>@drfahrettinka https://t.co/kdn7tok92n</v>
      </c>
    </row>
    <row r="14239" spans="1:5" ht="15" customHeight="1" x14ac:dyDescent="0.2">
      <c r="A14239" s="1" t="s">
        <v>28057</v>
      </c>
      <c r="B14239" s="1">
        <v>2</v>
      </c>
      <c r="C14239" s="3">
        <v>44528.906157407408</v>
      </c>
      <c r="D14239" s="1" t="s">
        <v>28058</v>
      </c>
      <c r="E14239" s="1" t="str">
        <f ca="1">IFERROR(__xludf.DUMMYFUNCTION("GOOGLETRANSLATE(A11038 , ""tr"" , ""en"")"),"@drfahrettinka https://t.co/wpfyofvywe")</f>
        <v>@drfahrettinka https://t.co/wpfyofvywe</v>
      </c>
    </row>
    <row r="14240" spans="1:5" ht="15" customHeight="1" x14ac:dyDescent="0.2">
      <c r="A14240" s="1" t="s">
        <v>28059</v>
      </c>
      <c r="B14240" s="1">
        <v>4</v>
      </c>
      <c r="C14240" s="3">
        <v>44528.906134259261</v>
      </c>
      <c r="D14240" s="1" t="s">
        <v>28060</v>
      </c>
      <c r="E14240" s="1" t="str">
        <f ca="1">IFERROR(__xludf.DUMMYFUNCTION("GOOGLETRANSLATE(A11039 , ""tr"" , ""en"")"),"@drfahrettinka https://t.co/ou6nvxftm8")</f>
        <v>@drfahrettinka https://t.co/ou6nvxftm8</v>
      </c>
    </row>
    <row r="14241" spans="1:5" ht="15" customHeight="1" x14ac:dyDescent="0.2">
      <c r="A14241" s="1" t="s">
        <v>28061</v>
      </c>
      <c r="B14241" s="1">
        <v>7</v>
      </c>
      <c r="C14241" s="3">
        <v>44528.905127314814</v>
      </c>
      <c r="D14241" s="1" t="s">
        <v>28062</v>
      </c>
      <c r="E14241" s="1" t="str">
        <f ca="1">IFERROR(__xludf.DUMMYFUNCTION("GOOGLETRANSLATE(A11040 , ""tr"" , ""en"")"),"@drfahrettinka https://t.co/rdbeIVCPKV")</f>
        <v>@drfahrettinka https://t.co/rdbeIVCPKV</v>
      </c>
    </row>
    <row r="14242" spans="1:5" ht="15" customHeight="1" x14ac:dyDescent="0.2">
      <c r="A14242" s="1" t="s">
        <v>28063</v>
      </c>
      <c r="B14242" s="1">
        <v>4</v>
      </c>
      <c r="C14242" s="3">
        <v>44528.905081018522</v>
      </c>
      <c r="D14242" s="1" t="s">
        <v>28064</v>
      </c>
      <c r="E14242" s="1" t="str">
        <f ca="1">IFERROR(__xludf.DUMMYFUNCTION("GOOGLETRANSLATE(A11041 , ""tr"" , ""en"")"),"@drfahrettinka https://t.co/kkcgwpbyno")</f>
        <v>@drfahrettinka https://t.co/kkcgwpbyno</v>
      </c>
    </row>
    <row r="14243" spans="1:5" ht="15" customHeight="1" x14ac:dyDescent="0.2">
      <c r="A14243" s="1" t="s">
        <v>28065</v>
      </c>
      <c r="B14243" s="1">
        <v>4</v>
      </c>
      <c r="C14243" s="3">
        <v>44528.905046296299</v>
      </c>
      <c r="D14243" s="1" t="s">
        <v>28066</v>
      </c>
      <c r="E14243" s="1" t="str">
        <f ca="1">IFERROR(__xludf.DUMMYFUNCTION("GOOGLETRANSLATE(A11042 , ""tr"" , ""en"")"),"@drfahrettinka https://t.co/mrhz94zldv")</f>
        <v>@drfahrettinka https://t.co/mrhz94zldv</v>
      </c>
    </row>
    <row r="14244" spans="1:5" ht="15" customHeight="1" x14ac:dyDescent="0.2">
      <c r="A14244" s="1" t="s">
        <v>28067</v>
      </c>
      <c r="B14244" s="1">
        <v>0</v>
      </c>
      <c r="C14244" s="3">
        <v>44528.895983796298</v>
      </c>
      <c r="D14244" s="1" t="s">
        <v>28068</v>
      </c>
      <c r="E14244" s="1" t="str">
        <f ca="1">IFERROR(__xludf.DUMMYFUNCTION("GOOGLETRANSLATE(A11043 , ""tr"" , ""en"")"),"@drfahrettinkoca corona the eye of the blindfold Bey Why is it going to be a confusion. May the Miletti shabby allah you are miserable")</f>
        <v>@drfahrettinkoca corona the eye of the blindfold Bey Why is it going to be a confusion. May the Miletti shabby allah you are miserable</v>
      </c>
    </row>
    <row r="14245" spans="1:5" ht="15" customHeight="1" x14ac:dyDescent="0.2">
      <c r="A14245" s="1" t="s">
        <v>28069</v>
      </c>
      <c r="B14245" s="1">
        <v>0</v>
      </c>
      <c r="C14245" s="3">
        <v>44528.893101851849</v>
      </c>
      <c r="D14245" s="1" t="s">
        <v>28070</v>
      </c>
      <c r="E14245" s="1" t="str">
        <f ca="1">IFERROR(__xludf.DUMMYFUNCTION("GOOGLETRANSLATE(A11044 , ""tr"" , ""en"")"),"@drfahrettinkoca say the trouble of experimental fluids will lead to the future will lead to the future")</f>
        <v>@drfahrettinkoca say the trouble of experimental fluids will lead to the future will lead to the future</v>
      </c>
    </row>
    <row r="14246" spans="1:5" ht="15" customHeight="1" x14ac:dyDescent="0.2">
      <c r="A14246" s="1" t="s">
        <v>28071</v>
      </c>
      <c r="B14246" s="1">
        <v>1</v>
      </c>
      <c r="C14246" s="3">
        <v>44528.890138888892</v>
      </c>
      <c r="D14246" s="1" t="s">
        <v>28072</v>
      </c>
      <c r="E14246" s="1" t="str">
        <f ca="1">IFERROR(__xludf.DUMMYFUNCTION("GOOGLETRANSLATE(A11045 , ""tr"" , ""en"")"),"@drfahrettinkoca PCR = coin tours")</f>
        <v>@drfahrettinkoca PCR = coin tours</v>
      </c>
    </row>
    <row r="14247" spans="1:5" ht="15" customHeight="1" x14ac:dyDescent="0.2">
      <c r="A14247" s="1" t="s">
        <v>28073</v>
      </c>
      <c r="B14247" s="1">
        <v>0</v>
      </c>
      <c r="C14247" s="3">
        <v>44528.889120370368</v>
      </c>
      <c r="D14247" s="1" t="s">
        <v>28074</v>
      </c>
      <c r="E14247" s="1" t="str">
        <f ca="1">IFERROR(__xludf.DUMMYFUNCTION("GOOGLETRANSLATE(A11046 , ""tr"" , ""en"")"),"@drfahrettinkoca What you know on your breathing you know that you are using this word Bari is taped in your last dice ...")</f>
        <v>@drfahrettinkoca What you know on your breathing you know that you are using this word Bari is taped in your last dice ...</v>
      </c>
    </row>
    <row r="14248" spans="1:5" ht="15" customHeight="1" x14ac:dyDescent="0.2">
      <c r="A14248" s="1" t="s">
        <v>28075</v>
      </c>
      <c r="B14248" s="1">
        <v>0</v>
      </c>
      <c r="C14248" s="3">
        <v>44528.886400462965</v>
      </c>
      <c r="D14248" s="1" t="s">
        <v>28076</v>
      </c>
      <c r="E14248" s="1" t="str">
        <f ca="1">IFERROR(__xludf.DUMMYFUNCTION("GOOGLETRANSLATE(A11047 , ""tr"" , ""en"")"),"@drfahrettinkoca eeee! Ministerial")</f>
        <v>@drfahrettinkoca eeee! Ministerial</v>
      </c>
    </row>
    <row r="14249" spans="1:5" ht="15" customHeight="1" x14ac:dyDescent="0.2">
      <c r="A14249" s="1" t="s">
        <v>28077</v>
      </c>
      <c r="B14249" s="1">
        <v>3</v>
      </c>
      <c r="C14249" s="3">
        <v>44528.883703703701</v>
      </c>
      <c r="D14249" s="1" t="s">
        <v>28078</v>
      </c>
      <c r="E14249" s="1" t="str">
        <f ca="1">IFERROR(__xludf.DUMMYFUNCTION("GOOGLETRANSLATE(A11048 , ""tr"" , ""en"")"),"@drfahrettinkoca said the person who treats all the people of the laboratory mouse. We don't do it in the opposite. In your so ... https://t.co/qut3pegv75")</f>
        <v>@drfahrettinkoca said the person who treats all the people of the laboratory mouse. We don't do it in the opposite. In your so ... https://t.co/qut3pegv75</v>
      </c>
    </row>
    <row r="14250" spans="1:5" ht="15" customHeight="1" x14ac:dyDescent="0.2">
      <c r="A14250" s="1" t="s">
        <v>28079</v>
      </c>
      <c r="B14250" s="1">
        <v>0</v>
      </c>
      <c r="C14250" s="3">
        <v>44528.882337962961</v>
      </c>
      <c r="D14250" s="1" t="s">
        <v>28080</v>
      </c>
      <c r="E14250" s="1" t="str">
        <f ca="1">IFERROR(__xludf.DUMMYFUNCTION("GOOGLETRANSLATE(A11049 , ""tr"" , ""en"")"),"@drfahrettinkoca Covidine destructive effect; 8-9 A after vaccine death numbers. Very Explanatory Everything According to Plan ... https://t.co/OvllFlo7H5")</f>
        <v>@drfahrettinkoca Covidine destructive effect; 8-9 A after vaccine death numbers. Very Explanatory Everything According to Plan ... https://t.co/OvllFlo7H5</v>
      </c>
    </row>
    <row r="14251" spans="1:5" ht="15" customHeight="1" x14ac:dyDescent="0.2">
      <c r="A14251" s="1" t="s">
        <v>28081</v>
      </c>
      <c r="B14251" s="1">
        <v>0</v>
      </c>
      <c r="C14251" s="3">
        <v>44528.882233796299</v>
      </c>
      <c r="D14251" s="1" t="s">
        <v>28082</v>
      </c>
      <c r="E14251" s="1" t="str">
        <f ca="1">IFERROR(__xludf.DUMMYFUNCTION("GOOGLETRANSLATE(A11050 , ""tr"" , ""en"")"),"@drfahrettinka vaccine is the effect of side effects? Minister?")</f>
        <v>@drfahrettinka vaccine is the effect of side effects? Minister?</v>
      </c>
    </row>
    <row r="14252" spans="1:5" ht="15" customHeight="1" x14ac:dyDescent="0.2">
      <c r="A14252" s="1" t="s">
        <v>28083</v>
      </c>
      <c r="B14252" s="1">
        <v>1</v>
      </c>
      <c r="C14252" s="3">
        <v>44528.881284722222</v>
      </c>
      <c r="D14252" s="1" t="s">
        <v>28084</v>
      </c>
      <c r="E14252" s="1" t="str">
        <f ca="1">IFERROR(__xludf.DUMMYFUNCTION("GOOGLETRANSLATE(A11051 , ""tr"" , ""en"")"),"@drfahrettinka https://t.co/e5sneb17my")</f>
        <v>@drfahrettinka https://t.co/e5sneb17my</v>
      </c>
    </row>
    <row r="14253" spans="1:5" ht="15" customHeight="1" x14ac:dyDescent="0.2">
      <c r="A14253" s="1" t="s">
        <v>28085</v>
      </c>
      <c r="B14253" s="1">
        <v>1</v>
      </c>
      <c r="C14253" s="3">
        <v>44528.881215277775</v>
      </c>
      <c r="D14253" s="1" t="s">
        <v>28086</v>
      </c>
      <c r="E14253" s="1" t="str">
        <f ca="1">IFERROR(__xludf.DUMMYFUNCTION("GOOGLETRANSLATE(A11052 , ""tr"" , ""en"")"),"@drfahrettinka https://t.co/8ydTI6ie5k")</f>
        <v>@drfahrettinka https://t.co/8ydTI6ie5k</v>
      </c>
    </row>
    <row r="14254" spans="1:5" ht="15" customHeight="1" x14ac:dyDescent="0.2">
      <c r="A14254" s="1" t="s">
        <v>28087</v>
      </c>
      <c r="B14254" s="1">
        <v>13</v>
      </c>
      <c r="C14254" s="3">
        <v>44528.881111111114</v>
      </c>
      <c r="D14254" s="1" t="s">
        <v>28088</v>
      </c>
      <c r="E14254" s="1" t="str">
        <f ca="1">IFERROR(__xludf.DUMMYFUNCTION("GOOGLETRANSLATE(A11053 , ""tr"" , ""en"")"),"@drfahrettinka https://t.co/rzcwzu64zy")</f>
        <v>@drfahrettinka https://t.co/rzcwzu64zy</v>
      </c>
    </row>
    <row r="14255" spans="1:5" ht="15" customHeight="1" x14ac:dyDescent="0.2">
      <c r="A14255" s="1" t="s">
        <v>28089</v>
      </c>
      <c r="B14255" s="1">
        <v>7</v>
      </c>
      <c r="C14255" s="3">
        <v>44528.881053240744</v>
      </c>
      <c r="D14255" s="1" t="s">
        <v>28090</v>
      </c>
      <c r="E14255" s="1" t="str">
        <f ca="1">IFERROR(__xludf.DUMMYFUNCTION("GOOGLETRANSLATE(A11054 , ""tr"" , ""en"")"),"@drfahrettinka https://t.co/nrwwhe4tpn")</f>
        <v>@drfahrettinka https://t.co/nrwwhe4tpn</v>
      </c>
    </row>
    <row r="14256" spans="1:5" ht="15" customHeight="1" x14ac:dyDescent="0.2">
      <c r="A14256" s="1" t="s">
        <v>28091</v>
      </c>
      <c r="B14256" s="1">
        <v>4</v>
      </c>
      <c r="C14256" s="3">
        <v>44528.880995370368</v>
      </c>
      <c r="D14256" s="1" t="s">
        <v>28092</v>
      </c>
      <c r="E14256" s="1" t="str">
        <f ca="1">IFERROR(__xludf.DUMMYFUNCTION("GOOGLETRANSLATE(A11055 , ""tr"" , ""en"")"),"@drfahrettinka https://t.co/kown86bcqj")</f>
        <v>@drfahrettinka https://t.co/kown86bcqj</v>
      </c>
    </row>
    <row r="14257" spans="1:5" ht="15" customHeight="1" x14ac:dyDescent="0.2">
      <c r="A14257" s="1" t="s">
        <v>28093</v>
      </c>
      <c r="B14257" s="1">
        <v>10</v>
      </c>
      <c r="C14257" s="3">
        <v>44528.880949074075</v>
      </c>
      <c r="D14257" s="1" t="s">
        <v>28094</v>
      </c>
      <c r="E14257" s="1" t="str">
        <f ca="1">IFERROR(__xludf.DUMMYFUNCTION("GOOGLETRANSLATE(A11056 , ""tr"" , ""en"")"),"@drfahrettinka https://t.co/ossfof8atb")</f>
        <v>@drfahrettinka https://t.co/ossfof8atb</v>
      </c>
    </row>
    <row r="14258" spans="1:5" ht="15" customHeight="1" x14ac:dyDescent="0.2">
      <c r="A14258" s="1" t="s">
        <v>28095</v>
      </c>
      <c r="B14258" s="1">
        <v>14</v>
      </c>
      <c r="C14258" s="3">
        <v>44528.880914351852</v>
      </c>
      <c r="D14258" s="1" t="s">
        <v>28096</v>
      </c>
      <c r="E14258" s="1" t="str">
        <f ca="1">IFERROR(__xludf.DUMMYFUNCTION("GOOGLETRANSLATE(A11057 , ""tr"" , ""en"")"),"@drfahrettinka https://t.co/zlsqbuhjte")</f>
        <v>@drfahrettinka https://t.co/zlsqbuhjte</v>
      </c>
    </row>
    <row r="14259" spans="1:5" ht="15" customHeight="1" x14ac:dyDescent="0.2">
      <c r="A14259" s="1" t="s">
        <v>28097</v>
      </c>
      <c r="B14259" s="1">
        <v>1</v>
      </c>
      <c r="C14259" s="3">
        <v>44528.880891203706</v>
      </c>
      <c r="D14259" s="1" t="s">
        <v>28098</v>
      </c>
      <c r="E14259" s="1" t="str">
        <f ca="1">IFERROR(__xludf.DUMMYFUNCTION("GOOGLETRANSLATE(A11058 , ""tr"" , ""en"")"),"@drfahrettinka https://t.co/bchr3efdsd")</f>
        <v>@drfahrettinka https://t.co/bchr3efdsd</v>
      </c>
    </row>
    <row r="14260" spans="1:5" ht="15" customHeight="1" x14ac:dyDescent="0.2">
      <c r="A14260" s="1" t="s">
        <v>28099</v>
      </c>
      <c r="B14260" s="1">
        <v>2</v>
      </c>
      <c r="C14260" s="3">
        <v>44528.88077546296</v>
      </c>
      <c r="D14260" s="1" t="s">
        <v>28100</v>
      </c>
      <c r="E14260" s="1" t="str">
        <f ca="1">IFERROR(__xludf.DUMMYFUNCTION("GOOGLETRANSLATE(A11059 , ""tr"" , ""en"")"),"@drfahrettinka https://t.co/otxch7xzxs")</f>
        <v>@drfahrettinka https://t.co/otxch7xzxs</v>
      </c>
    </row>
    <row r="14261" spans="1:5" ht="15" customHeight="1" x14ac:dyDescent="0.2">
      <c r="A14261" s="1" t="s">
        <v>28101</v>
      </c>
      <c r="B14261" s="1">
        <v>9</v>
      </c>
      <c r="C14261" s="3">
        <v>44528.879490740743</v>
      </c>
      <c r="D14261" s="1" t="s">
        <v>28102</v>
      </c>
      <c r="E14261" s="1" t="str">
        <f ca="1">IFERROR(__xludf.DUMMYFUNCTION("GOOGLETRANSLATE(A11060 , ""tr"" , ""en"")"),"@drfahrettinkoca everyone else is a difference, the science board is aquatic to the Sucu to you, you are probably the Sucu DSO either, DSO also to the Sucu ... https://t.co/gtg7q3qaxl")</f>
        <v>@drfahrettinkoca everyone else is a difference, the science board is aquatic to the Sucu to you, you are probably the Sucu DSO either, DSO also to the Sucu ... https://t.co/gtg7q3qaxl</v>
      </c>
    </row>
    <row r="14262" spans="1:5" ht="15" customHeight="1" x14ac:dyDescent="0.2">
      <c r="A14262" s="1" t="s">
        <v>28103</v>
      </c>
      <c r="B14262" s="1">
        <v>1</v>
      </c>
      <c r="C14262" s="3">
        <v>44528.879479166666</v>
      </c>
      <c r="D14262" s="1" t="s">
        <v>28104</v>
      </c>
      <c r="E14262" s="1" t="str">
        <f ca="1">IFERROR(__xludf.DUMMYFUNCTION("GOOGLETRANSLATE(A11061 , ""tr"" , ""en"")"),"@drfahrettinkoca Mr. Minister No citizen does not trust you no patient to the treatment protocol you have given you ... https://t.co/eeopbigyfb")</f>
        <v>@drfahrettinkoca Mr. Minister No citizen does not trust you no patient to the treatment protocol you have given you ... https://t.co/eeopbigyfb</v>
      </c>
    </row>
    <row r="14263" spans="1:5" ht="15" customHeight="1" x14ac:dyDescent="0.2">
      <c r="A14263" s="1" t="s">
        <v>28105</v>
      </c>
      <c r="B14263" s="1">
        <v>0</v>
      </c>
      <c r="C14263" s="3">
        <v>44528.879282407404</v>
      </c>
      <c r="D14263" s="1" t="s">
        <v>28106</v>
      </c>
      <c r="E14263" s="1" t="str">
        <f ca="1">IFERROR(__xludf.DUMMYFUNCTION("GOOGLETRANSLATE(A11062 , ""tr"" , ""en"")"),"@drfahrettinkoca what happened when the compressions started when I said that I said that they said. What happened istekl ... https://t.co/3y1RFUIAR1")</f>
        <v>@drfahrettinkoca what happened when the compressions started when I said that I said that they said. What happened istekl ... https://t.co/3y1RFUIAR1</v>
      </c>
    </row>
    <row r="14264" spans="1:5" ht="15" customHeight="1" x14ac:dyDescent="0.2">
      <c r="A14264" s="1" t="s">
        <v>28107</v>
      </c>
      <c r="B14264" s="1">
        <v>0</v>
      </c>
      <c r="C14264" s="3">
        <v>44528.878379629627</v>
      </c>
      <c r="D14264" s="1" t="s">
        <v>28108</v>
      </c>
      <c r="E14264" s="1" t="str">
        <f ca="1">IFERROR(__xludf.DUMMYFUNCTION("GOOGLETRANSLATE(A11063 , ""tr"" , ""en"")"),"@drfahrettinkoca What will be other diseases, the risk of dying of Covitten is the risk of tile from the roof on the roof when the risk of tile ... https://t.co/nbv7uttq49")</f>
        <v>@drfahrettinkoca What will be other diseases, the risk of dying of Covitten is the risk of tile from the roof on the roof when the risk of tile ... https://t.co/nbv7uttq49</v>
      </c>
    </row>
    <row r="14265" spans="1:5" ht="15" customHeight="1" x14ac:dyDescent="0.2">
      <c r="A14265" s="1" t="s">
        <v>28109</v>
      </c>
      <c r="B14265" s="1">
        <v>5</v>
      </c>
      <c r="C14265" s="3">
        <v>44528.877141203702</v>
      </c>
      <c r="D14265" s="1" t="s">
        <v>28110</v>
      </c>
      <c r="E14265" s="1" t="str">
        <f ca="1">IFERROR(__xludf.DUMMYFUNCTION("GOOGLETRANSLATE(A11064 , ""tr"" , ""en"")"),"@drfahrettinka Mr. Minister, see that the test called PCR is no longer the correct results.")</f>
        <v>@drfahrettinka Mr. Minister, see that the test called PCR is no longer the correct results.</v>
      </c>
    </row>
    <row r="14266" spans="1:5" ht="15" customHeight="1" x14ac:dyDescent="0.2">
      <c r="A14266" s="1" t="s">
        <v>28111</v>
      </c>
      <c r="B14266" s="1">
        <v>3</v>
      </c>
      <c r="C14266" s="3">
        <v>44528.876388888886</v>
      </c>
      <c r="D14266" s="1" t="s">
        <v>28112</v>
      </c>
      <c r="E14266" s="1" t="str">
        <f ca="1">IFERROR(__xludf.DUMMYFUNCTION("GOOGLETRANSLATE(A11065 , ""tr"" , ""en"")"),"@drfahrettinkoca do you have what you say? Daily deaths and causes are evident in the country. Man Heart in House Heart ... https://t.co/e4olvtxhee")</f>
        <v>@drfahrettinkoca do you have what you say? Daily deaths and causes are evident in the country. Man Heart in House Heart ... https://t.co/e4olvtxhee</v>
      </c>
    </row>
    <row r="14267" spans="1:5" ht="15" customHeight="1" x14ac:dyDescent="0.2">
      <c r="A14267" s="1" t="s">
        <v>28113</v>
      </c>
      <c r="B14267" s="1">
        <v>0</v>
      </c>
      <c r="C14267" s="3">
        <v>44528.875706018516</v>
      </c>
      <c r="D14267" s="1" t="s">
        <v>28114</v>
      </c>
      <c r="E14267" s="1" t="str">
        <f ca="1">IFERROR(__xludf.DUMMYFUNCTION("GOOGLETRANSLATE(A11066 , ""tr"" , ""en"")"),"@drfahrettinkoca corona has been relaxed for 2 years there is no disease side effect detection")</f>
        <v>@drfahrettinkoca corona has been relaxed for 2 years there is no disease side effect detection</v>
      </c>
    </row>
    <row r="14268" spans="1:5" ht="15" customHeight="1" x14ac:dyDescent="0.2">
      <c r="A14268" s="1" t="s">
        <v>28115</v>
      </c>
      <c r="B14268" s="1">
        <v>1</v>
      </c>
      <c r="C14268" s="3">
        <v>44528.87427083333</v>
      </c>
      <c r="D14268" s="1" t="s">
        <v>28116</v>
      </c>
      <c r="E14268" s="1" t="str">
        <f ca="1">IFERROR(__xludf.DUMMYFUNCTION("GOOGLETRANSLATE(A11067 , ""tr"" , ""en"")"),"@drfahrettinkoca pity. Koskoca Turkey CIMHurecast State DSO has been delivered to the Haydut. What is PCR Mr. Minister? ... https://t.co/6aalymtprn")</f>
        <v>@drfahrettinkoca pity. Koskoca Turkey CIMHurecast State DSO has been delivered to the Haydut. What is PCR Mr. Minister? ... https://t.co/6aalymtprn</v>
      </c>
    </row>
    <row r="14269" spans="1:5" ht="15" customHeight="1" x14ac:dyDescent="0.2">
      <c r="A14269" s="1" t="s">
        <v>28117</v>
      </c>
      <c r="B14269" s="1">
        <v>2</v>
      </c>
      <c r="C14269" s="3">
        <v>44528.873749999999</v>
      </c>
      <c r="D14269" s="1" t="s">
        <v>28118</v>
      </c>
      <c r="E14269" s="1" t="str">
        <f ca="1">IFERROR(__xludf.DUMMYFUNCTION("GOOGLETRANSLATE(A11068 , ""tr"" , ""en"")"),"@drfahrettinkoca with their ece dying your life with your idiom of your statement Almost because Covidden died ... https://t.co/fcqfnad0wt")</f>
        <v>@drfahrettinkoca with their ece dying your life with your idiom of your statement Almost because Covidden died ... https://t.co/fcqfnad0wt</v>
      </c>
    </row>
    <row r="14270" spans="1:5" ht="15" customHeight="1" x14ac:dyDescent="0.2">
      <c r="A14270" s="1" t="s">
        <v>28119</v>
      </c>
      <c r="B14270" s="1">
        <v>1</v>
      </c>
      <c r="C14270" s="3">
        <v>44528.86210648148</v>
      </c>
      <c r="D14270" s="1" t="s">
        <v>28120</v>
      </c>
      <c r="E14270" s="1" t="str">
        <f ca="1">IFERROR(__xludf.DUMMYFUNCTION("GOOGLETRANSLATE(A11069 , ""tr"" , ""en"")"),"@drfahrettinkoca admit such as explanation (to say that people will die after the drugs given and the negative side effect ... https://t.co/prvhxmzqfp")</f>
        <v>@drfahrettinkoca admit such as explanation (to say that people will die after the drugs given and the negative side effect ... https://t.co/prvhxmzqfp</v>
      </c>
    </row>
    <row r="14271" spans="1:5" ht="15" customHeight="1" x14ac:dyDescent="0.2">
      <c r="A14271" s="1" t="s">
        <v>28121</v>
      </c>
      <c r="B14271" s="1">
        <v>1</v>
      </c>
      <c r="C14271" s="3">
        <v>44528.861886574072</v>
      </c>
      <c r="D14271" s="1" t="s">
        <v>28122</v>
      </c>
      <c r="E14271" s="1" t="str">
        <f ca="1">IFERROR(__xludf.DUMMYFUNCTION("GOOGLETRANSLATE(A11070 , ""tr"" , ""en"")"),"@drfahrettinkoca Hoca You are currently undertaken to obedience, you are your wife, children, close relatives in this experimental SI ... https://t.co/7ohf2utrxv")</f>
        <v>@drfahrettinkoca Hoca You are currently undertaken to obedience, you are your wife, children, close relatives in this experimental SI ... https://t.co/7ohf2utrxv</v>
      </c>
    </row>
    <row r="14272" spans="1:5" ht="15" customHeight="1" x14ac:dyDescent="0.2">
      <c r="A14272" s="1" t="s">
        <v>28123</v>
      </c>
      <c r="B14272" s="1">
        <v>0</v>
      </c>
      <c r="C14272" s="3">
        <v>44528.860949074071</v>
      </c>
      <c r="D14272" s="1" t="s">
        <v>28124</v>
      </c>
      <c r="E14272" s="1" t="str">
        <f ca="1">IFERROR(__xludf.DUMMYFUNCTION("GOOGLETRANSLATE(A11071 , ""tr"" , ""en"")"),"@drfahrettinka https://t.co/7vr5huxvbq")</f>
        <v>@drfahrettinka https://t.co/7vr5huxvbq</v>
      </c>
    </row>
    <row r="14273" spans="1:5" ht="15" customHeight="1" x14ac:dyDescent="0.2">
      <c r="A14273" s="1" t="s">
        <v>28125</v>
      </c>
      <c r="B14273" s="1">
        <v>0</v>
      </c>
      <c r="C14273" s="3">
        <v>44528.860115740739</v>
      </c>
      <c r="D14273" s="1" t="s">
        <v>28126</v>
      </c>
      <c r="E14273" s="1" t="str">
        <f ca="1">IFERROR(__xludf.DUMMYFUNCTION("GOOGLETRANSLATE(A11072 , ""tr"" , ""en"")"),"@drfahrettinkoca mounted masks dusty media mask. But the pleasure is that he is inhibiting the viruses that are so marifetious. Https://t.co/87m3opwdrx")</f>
        <v>@drfahrettinkoca mounted masks dusty media mask. But the pleasure is that he is inhibiting the viruses that are so marifetious. Https://t.co/87m3opwdrx</v>
      </c>
    </row>
    <row r="14274" spans="1:5" ht="15" customHeight="1" x14ac:dyDescent="0.2">
      <c r="A14274" s="1" t="s">
        <v>28127</v>
      </c>
      <c r="B14274" s="1">
        <v>12</v>
      </c>
      <c r="C14274" s="3">
        <v>44528.859918981485</v>
      </c>
      <c r="D14274" s="1" t="s">
        <v>28128</v>
      </c>
      <c r="E14274" s="1" t="str">
        <f ca="1">IFERROR(__xludf.DUMMYFUNCTION("GOOGLETRANSLATE(A11073 , ""tr"" , ""en"")"),"@drfahrettinkoca South African Prime Minister; '' Lies Lies, we are fine here in South Africa, Burdah Varyan ... https://t.co/a2dyiswise")</f>
        <v>@drfahrettinkoca South African Prime Minister; '' Lies Lies, we are fine here in South Africa, Burdah Varyan ... https://t.co/a2dyiswise</v>
      </c>
    </row>
    <row r="14275" spans="1:5" ht="15" customHeight="1" x14ac:dyDescent="0.2">
      <c r="A14275" s="1" t="s">
        <v>28129</v>
      </c>
      <c r="B14275" s="1">
        <v>0</v>
      </c>
      <c r="C14275" s="3">
        <v>44528.8593287037</v>
      </c>
      <c r="D14275" s="1" t="s">
        <v>28130</v>
      </c>
      <c r="E14275" s="1" t="str">
        <f ca="1">IFERROR(__xludf.DUMMYFUNCTION("GOOGLETRANSLATE(A11074 , ""tr"" , ""en"")"),"@drfahrettinkoca When you learn that the drugs you are giving does not work, Covid's disease will leave ahead ... https://t.co/o8i6wg8n5c")</f>
        <v>@drfahrettinkoca When you learn that the drugs you are giving does not work, Covid's disease will leave ahead ... https://t.co/o8i6wg8n5c</v>
      </c>
    </row>
    <row r="14276" spans="1:5" ht="15" customHeight="1" x14ac:dyDescent="0.2">
      <c r="A14276" s="1" t="s">
        <v>28131</v>
      </c>
      <c r="B14276" s="1">
        <v>0</v>
      </c>
      <c r="C14276" s="3">
        <v>44528.852731481478</v>
      </c>
      <c r="D14276" s="1" t="s">
        <v>28132</v>
      </c>
      <c r="E14276" s="1" t="str">
        <f ca="1">IFERROR(__xludf.DUMMYFUNCTION("GOOGLETRANSLATE(A11075 , ""tr"" , ""en"")"),"@drfahrettinkoca why are we based on PCR. Case of relying on a test that has not measured 1000 times in the case ... https://t.co/hwwg8mwsjp")</f>
        <v>@drfahrettinkoca why are we based on PCR. Case of relying on a test that has not measured 1000 times in the case ... https://t.co/hwwg8mwsjp</v>
      </c>
    </row>
    <row r="14277" spans="1:5" ht="15" customHeight="1" x14ac:dyDescent="0.2">
      <c r="A14277" s="1" t="s">
        <v>28133</v>
      </c>
      <c r="B14277" s="1">
        <v>1</v>
      </c>
      <c r="C14277" s="3">
        <v>44528.848078703704</v>
      </c>
      <c r="D14277" s="1" t="s">
        <v>28134</v>
      </c>
      <c r="E14277" s="1" t="str">
        <f ca="1">IFERROR(__xludf.DUMMYFUNCTION("GOOGLETRANSLATE(A11076 , ""tr"" , ""en"")"),"@drfahrettinkoca Ulan Be most Heaviest Curses Hope! In vaccines, 8 + 8 Favirapirs in your heads in your heads ... https://t.co/t7gvdpjb6f")</f>
        <v>@drfahrettinkoca Ulan Be most Heaviest Curses Hope! In vaccines, 8 + 8 Favirapirs in your heads in your heads ... https://t.co/t7gvdpjb6f</v>
      </c>
    </row>
    <row r="14278" spans="1:5" ht="15" customHeight="1" x14ac:dyDescent="0.2">
      <c r="A14278" s="1" t="s">
        <v>28135</v>
      </c>
      <c r="B14278" s="1">
        <v>1</v>
      </c>
      <c r="C14278" s="3">
        <v>44528.843368055554</v>
      </c>
      <c r="D14278" s="1" t="s">
        <v>28136</v>
      </c>
      <c r="E14278" s="1" t="str">
        <f ca="1">IFERROR(__xludf.DUMMYFUNCTION("GOOGLETRANSLATE(A11077 , ""tr"" , ""en"")"),"@drfahrettinkoca is used with 8 people who are not virusists with biological weapons and forced 8 pieces of force to patients ... https://t.co/gkhybkwglm")</f>
        <v>@drfahrettinkoca is used with 8 people who are not virusists with biological weapons and forced 8 pieces of force to patients ... https://t.co/gkhybkwglm</v>
      </c>
    </row>
    <row r="14279" spans="1:5" ht="15" customHeight="1" x14ac:dyDescent="0.2">
      <c r="A14279" s="1" t="s">
        <v>28137</v>
      </c>
      <c r="B14279" s="1">
        <v>3</v>
      </c>
      <c r="C14279" s="3">
        <v>44528.838495370372</v>
      </c>
      <c r="D14279" s="1" t="s">
        <v>28138</v>
      </c>
      <c r="E14279" s="1" t="str">
        <f ca="1">IFERROR(__xludf.DUMMYFUNCTION("GOOGLETRANSLATE(A11078 , ""tr"" , ""en"")"),"If @drfahrettinkoca wish you explain the side effects of those liquids that you call the so-called vaccine.")</f>
        <v>If @drfahrettinkoca wish you explain the side effects of those liquids that you call the so-called vaccine.</v>
      </c>
    </row>
    <row r="14280" spans="1:5" ht="15" customHeight="1" x14ac:dyDescent="0.2">
      <c r="A14280" s="1" t="s">
        <v>28139</v>
      </c>
      <c r="B14280" s="1">
        <v>0</v>
      </c>
      <c r="C14280" s="3">
        <v>44528.837592592594</v>
      </c>
      <c r="D14280" s="1" t="s">
        <v>28140</v>
      </c>
      <c r="E14280" s="1" t="str">
        <f ca="1">IFERROR(__xludf.DUMMYFUNCTION("GOOGLETRANSLATE(A11079 , ""tr"" , ""en"")"),"@drfahrettinka https://t.co/uanpkxxs2v")</f>
        <v>@drfahrettinka https://t.co/uanpkxxs2v</v>
      </c>
    </row>
    <row r="14281" spans="1:5" ht="15" customHeight="1" x14ac:dyDescent="0.2">
      <c r="A14281" s="1" t="s">
        <v>28141</v>
      </c>
      <c r="B14281" s="1">
        <v>0</v>
      </c>
      <c r="C14281" s="3">
        <v>44528.833969907406</v>
      </c>
      <c r="D14281" s="1" t="s">
        <v>28142</v>
      </c>
      <c r="E14281" s="1" t="str">
        <f ca="1">IFERROR(__xludf.DUMMYFUNCTION("GOOGLETRANSLATE(A11080 , ""tr"" , ""en"")"),"@drfahrettinkoca Vallahide Billahide I didn't get sick so far, but 1.doz made for the mandatory oblige ... https://t.co/dbfactlvr5")</f>
        <v>@drfahrettinkoca Vallahide Billahide I didn't get sick so far, but 1.doz made for the mandatory oblige ... https://t.co/dbfactlvr5</v>
      </c>
    </row>
    <row r="14282" spans="1:5" ht="15" customHeight="1" x14ac:dyDescent="0.2">
      <c r="A14282" s="1" t="s">
        <v>28143</v>
      </c>
      <c r="B14282" s="1">
        <v>0</v>
      </c>
      <c r="C14282" s="3">
        <v>44528.831828703704</v>
      </c>
      <c r="D14282" s="1" t="s">
        <v>28144</v>
      </c>
      <c r="E14282" s="1" t="str">
        <f ca="1">IFERROR(__xludf.DUMMYFUNCTION("GOOGLETRANSLATE(A11081 , ""tr"" , ""en"")"),"@drfahrettinkoca yes the rust started to one")</f>
        <v>@drfahrettinkoca yes the rust started to one</v>
      </c>
    </row>
    <row r="14283" spans="1:5" ht="15" customHeight="1" x14ac:dyDescent="0.2">
      <c r="A14283" s="1" t="s">
        <v>28145</v>
      </c>
      <c r="B14283" s="1">
        <v>37</v>
      </c>
      <c r="C14283" s="3">
        <v>44528.831689814811</v>
      </c>
      <c r="D14283" s="1" t="s">
        <v>28146</v>
      </c>
      <c r="E14283" s="1" t="str">
        <f ca="1">IFERROR(__xludf.DUMMYFUNCTION("GOOGLETRANSLATE(A11082 , ""tr"" , ""en"")"),"@drfahrettinkoca sample received PCR test The first positive second negative test given within the same time the same time. https://t.co/bgqduca6j8")</f>
        <v>@drfahrettinkoca sample received PCR test The first positive second negative test given within the same time the same time. https://t.co/bgqduca6j8</v>
      </c>
    </row>
    <row r="14284" spans="1:5" ht="15" customHeight="1" x14ac:dyDescent="0.2">
      <c r="A14284" s="1" t="s">
        <v>28147</v>
      </c>
      <c r="B14284" s="1">
        <v>1</v>
      </c>
      <c r="C14284" s="3">
        <v>44528.83116898148</v>
      </c>
      <c r="D14284" s="1" t="s">
        <v>28148</v>
      </c>
      <c r="E14284" s="1" t="str">
        <f ca="1">IFERROR(__xludf.DUMMYFUNCTION("GOOGLETRANSLATE(A11083 , ""tr"" , ""en"")"),"@drfahrettinkoca yuhhhh be yuhhh to you. How do you distort the side effects of liquids.")</f>
        <v>@drfahrettinkoca yuhhhh be yuhhh to you. How do you distort the side effects of liquids.</v>
      </c>
    </row>
    <row r="14285" spans="1:5" ht="15" customHeight="1" x14ac:dyDescent="0.2">
      <c r="A14285" s="1" t="s">
        <v>28149</v>
      </c>
      <c r="B14285" s="1">
        <v>1</v>
      </c>
      <c r="C14285" s="3">
        <v>44528.830358796295</v>
      </c>
      <c r="D14285" s="1" t="s">
        <v>28150</v>
      </c>
      <c r="E14285" s="1" t="str">
        <f ca="1">IFERROR(__xludf.DUMMYFUNCTION("GOOGLETRANSLATE(A11084 , ""tr"" , ""en"")"),"@drfahrettinkoca corona is the lack of early diagnosis of the corona or half of the treatments that cause dying of the yousel")</f>
        <v>@drfahrettinkoca corona is the lack of early diagnosis of the corona or half of the treatments that cause dying of the yousel</v>
      </c>
    </row>
    <row r="14286" spans="1:5" ht="15" customHeight="1" x14ac:dyDescent="0.2">
      <c r="A14286" s="1" t="s">
        <v>28151</v>
      </c>
      <c r="B14286" s="1">
        <v>0</v>
      </c>
      <c r="C14286" s="3">
        <v>44528.829872685186</v>
      </c>
      <c r="D14286" s="1" t="s">
        <v>28152</v>
      </c>
      <c r="E14286" s="1" t="str">
        <f ca="1">IFERROR(__xludf.DUMMYFUNCTION("GOOGLETRANSLATE(A11085 , ""tr"" , ""en"")"),"@drfahrettinka has been asked from the start but there is a question that you don't respond! We count the countries in the world's other end ... https://t.co/tyhyy7qjgm")</f>
        <v>@drfahrettinka has been asked from the start but there is a question that you don't respond! We count the countries in the world's other end ... https://t.co/tyhyy7qjgm</v>
      </c>
    </row>
    <row r="14287" spans="1:5" ht="15" customHeight="1" x14ac:dyDescent="0.2">
      <c r="A14287" s="1" t="s">
        <v>28153</v>
      </c>
      <c r="B14287" s="1">
        <v>2</v>
      </c>
      <c r="C14287" s="3">
        <v>44528.827013888891</v>
      </c>
      <c r="D14287" s="1" t="s">
        <v>28154</v>
      </c>
      <c r="E14287" s="1" t="str">
        <f ca="1">IFERROR(__xludf.DUMMYFUNCTION("GOOGLETRANSLATE(A11086 , ""tr"" , ""en"")"),"@drfahrettinkoca Following the vaccination in three years, the inconveniences are not those who pass the Covidi !!")</f>
        <v>@drfahrettinkoca Following the vaccination in three years, the inconveniences are not those who pass the Covidi !!</v>
      </c>
    </row>
    <row r="14288" spans="1:5" ht="15" customHeight="1" x14ac:dyDescent="0.2">
      <c r="A14288" s="1" t="s">
        <v>28155</v>
      </c>
      <c r="B14288" s="1">
        <v>0</v>
      </c>
      <c r="C14288" s="3">
        <v>44528.826018518521</v>
      </c>
      <c r="D14288" s="1" t="s">
        <v>28156</v>
      </c>
      <c r="E14288" s="1" t="str">
        <f ca="1">IFERROR(__xludf.DUMMYFUNCTION("GOOGLETRANSLATE(A11087 , ""tr"" , ""en"")"),"@drfahrettinka mention the side effects to which vaccines will reveal")</f>
        <v>@drfahrettinka mention the side effects to which vaccines will reveal</v>
      </c>
    </row>
    <row r="14289" spans="1:5" ht="15" customHeight="1" x14ac:dyDescent="0.2">
      <c r="A14289" s="1" t="s">
        <v>28157</v>
      </c>
      <c r="B14289" s="1">
        <v>0</v>
      </c>
      <c r="C14289" s="3">
        <v>44532.915856481479</v>
      </c>
      <c r="D14289" s="1" t="s">
        <v>28158</v>
      </c>
      <c r="E14289" s="1" t="str">
        <f ca="1">IFERROR(__xludf.DUMMYFUNCTION("GOOGLETRANSLATE(A11088 , ""tr"" , ""en"")"),"@drfahrettinkoca Mr. Ministry I first send my homes and respects. Mr. Meral Hanım is critical about you ... https://t.co/kqmlsy4icg")</f>
        <v>@drfahrettinkoca Mr. Ministry I first send my homes and respects. Mr. Meral Hanım is critical about you ... https://t.co/kqmlsy4icg</v>
      </c>
    </row>
    <row r="14290" spans="1:5" ht="15" customHeight="1" x14ac:dyDescent="0.2">
      <c r="A14290" s="1" t="s">
        <v>28159</v>
      </c>
      <c r="B14290" s="1">
        <v>0</v>
      </c>
      <c r="C14290" s="3">
        <v>44530.892152777778</v>
      </c>
      <c r="D14290" s="1" t="s">
        <v>28160</v>
      </c>
      <c r="E14290" s="1" t="str">
        <f ca="1">IFERROR(__xludf.DUMMYFUNCTION("GOOGLETRANSLATE(A11089 , ""tr"" , ""en"")"),"@drfahrettinkoca You will not be able to vote from a health unless you determine the private sector to the private sector. ... https://t.co/dobpoagy7t")</f>
        <v>@drfahrettinkoca You will not be able to vote from a health unless you determine the private sector to the private sector. ... https://t.co/dobpoagy7t</v>
      </c>
    </row>
    <row r="14291" spans="1:5" ht="15" customHeight="1" x14ac:dyDescent="0.2">
      <c r="A14291" s="1" t="s">
        <v>28161</v>
      </c>
      <c r="B14291" s="1">
        <v>0</v>
      </c>
      <c r="C14291" s="3">
        <v>44528.993275462963</v>
      </c>
      <c r="D14291" s="1" t="s">
        <v>28162</v>
      </c>
      <c r="E14291" s="1" t="str">
        <f ca="1">IFERROR(__xludf.DUMMYFUNCTION("GOOGLETRANSLATE(A11090 , ""tr"" , ""en"")"),"@drfahrettinkoca that's good news 👏👏🏻👏🏻")</f>
        <v>@drfahrettinkoca that's good news 👏👏🏻👏🏻</v>
      </c>
    </row>
    <row r="14292" spans="1:5" ht="15" customHeight="1" x14ac:dyDescent="0.2">
      <c r="A14292" s="1" t="s">
        <v>28163</v>
      </c>
      <c r="B14292" s="1">
        <v>1</v>
      </c>
      <c r="C14292" s="3">
        <v>44528.978692129633</v>
      </c>
      <c r="D14292" s="1" t="s">
        <v>28164</v>
      </c>
      <c r="E14292" s="1" t="str">
        <f ca="1">IFERROR(__xludf.DUMMYFUNCTION("GOOGLETRANSLATE(A11091 , ""tr"" , ""en"")"),"@drfahrettinkoca ha, like the epidemic Plantemi Mask HES Cavitasi Leave the absurdity of the mask, make the man like man. Let's see B ... https://t.co/szucvsowwg")</f>
        <v>@drfahrettinkoca ha, like the epidemic Plantemi Mask HES Cavitasi Leave the absurdity of the mask, make the man like man. Let's see B ... https://t.co/szucvsowwg</v>
      </c>
    </row>
    <row r="14293" spans="1:5" ht="15" customHeight="1" x14ac:dyDescent="0.2">
      <c r="A14293" s="1" t="s">
        <v>28165</v>
      </c>
      <c r="B14293" s="1">
        <v>0</v>
      </c>
      <c r="C14293" s="3">
        <v>44528.965127314812</v>
      </c>
      <c r="D14293" s="1" t="s">
        <v>28166</v>
      </c>
      <c r="E14293" s="1" t="str">
        <f ca="1">IFERROR(__xludf.DUMMYFUNCTION("GOOGLETRANSLATE(A11092 , ""tr"" , ""en"")"),"@drfahrettinkoca staring standing sleepo vaccines does not work a non-work stop the experimental fluid injecting people")</f>
        <v>@drfahrettinkoca staring standing sleepo vaccines does not work a non-work stop the experimental fluid injecting people</v>
      </c>
    </row>
    <row r="14294" spans="1:5" ht="15" customHeight="1" x14ac:dyDescent="0.2">
      <c r="A14294" s="1" t="s">
        <v>28167</v>
      </c>
      <c r="B14294" s="1">
        <v>0</v>
      </c>
      <c r="C14294" s="3">
        <v>44528.930335648147</v>
      </c>
      <c r="D14294" s="1" t="s">
        <v>28168</v>
      </c>
      <c r="E14294" s="1" t="str">
        <f ca="1">IFERROR(__xludf.DUMMYFUNCTION("GOOGLETRANSLATE(A11093 , ""tr"" , ""en"")"),"@drfahrettinkoca Good morning")</f>
        <v>@drfahrettinkoca Good morning</v>
      </c>
    </row>
    <row r="14295" spans="1:5" ht="15" customHeight="1" x14ac:dyDescent="0.2">
      <c r="A14295" s="1" t="s">
        <v>28169</v>
      </c>
      <c r="B14295" s="1">
        <v>5</v>
      </c>
      <c r="C14295" s="3">
        <v>44528.9299537037</v>
      </c>
      <c r="D14295" s="1" t="s">
        <v>28170</v>
      </c>
      <c r="E14295" s="1" t="str">
        <f ca="1">IFERROR(__xludf.DUMMYFUNCTION("GOOGLETRANSLATE(A11094 , ""tr"" , ""en"")"),"@drfahrettinkoca Mr. Minister @drfahrettinkoca Not only SMA all genetic transitive diseases need to be scanned before marriage 🙏🏻")</f>
        <v>@drfahrettinkoca Mr. Minister @drfahrettinkoca Not only SMA all genetic transitive diseases need to be scanned before marriage 🙏🏻</v>
      </c>
    </row>
    <row r="14296" spans="1:5" ht="15" customHeight="1" x14ac:dyDescent="0.2">
      <c r="A14296" s="1" t="s">
        <v>28171</v>
      </c>
      <c r="B14296" s="1">
        <v>0</v>
      </c>
      <c r="C14296" s="3">
        <v>44528.927916666667</v>
      </c>
      <c r="D14296" s="1" t="s">
        <v>28172</v>
      </c>
      <c r="E14296" s="1" t="str">
        <f ca="1">IFERROR(__xludf.DUMMYFUNCTION("GOOGLETRANSLATE(A11095 , ""tr"" , ""en"")"),"@drfahrettinkoca @ black_beyaz1983 SMA license works against our children.")</f>
        <v>@drfahrettinkoca @ black_beyaz1983 SMA license works against our children.</v>
      </c>
    </row>
    <row r="14297" spans="1:5" ht="15" customHeight="1" x14ac:dyDescent="0.2">
      <c r="A14297" s="1" t="s">
        <v>28173</v>
      </c>
      <c r="B14297" s="1">
        <v>1</v>
      </c>
      <c r="C14297" s="3">
        <v>44528.927152777775</v>
      </c>
      <c r="D14297" s="1" t="s">
        <v>28174</v>
      </c>
      <c r="E14297" s="1" t="str">
        <f ca="1">IFERROR(__xludf.DUMMYFUNCTION("GOOGLETRANSLATE(A11096 , ""tr"" , ""en"")"),"@drfahrettinkoca Run Husband gets to the tiny bodies of patients with husband SMA patients, please.")</f>
        <v>@drfahrettinkoca Run Husband gets to the tiny bodies of patients with husband SMA patients, please.</v>
      </c>
    </row>
    <row r="14298" spans="1:5" ht="15" customHeight="1" x14ac:dyDescent="0.2">
      <c r="A14298" s="1" t="s">
        <v>28175</v>
      </c>
      <c r="B14298" s="1">
        <v>0</v>
      </c>
      <c r="C14298" s="3">
        <v>44528.92696759259</v>
      </c>
      <c r="D14298" s="1" t="s">
        <v>28176</v>
      </c>
      <c r="E14298" s="1" t="str">
        <f ca="1">IFERROR(__xludf.DUMMYFUNCTION("GOOGLETRANSLATE(A11097 , ""tr"" , ""en"")"),"@drfahrettinkoca @ mansuryavas06 President took and implement before you. 😂")</f>
        <v>@drfahrettinkoca @ mansuryavas06 President took and implement before you. 😂</v>
      </c>
    </row>
    <row r="14299" spans="1:5" ht="15" customHeight="1" x14ac:dyDescent="0.2">
      <c r="A14299" s="1" t="s">
        <v>28177</v>
      </c>
      <c r="B14299" s="1">
        <v>0</v>
      </c>
      <c r="C14299" s="3">
        <v>44528.91847222222</v>
      </c>
      <c r="D14299" s="1" t="s">
        <v>28178</v>
      </c>
      <c r="E14299" s="1" t="str">
        <f ca="1">IFERROR(__xludf.DUMMYFUNCTION("GOOGLETRANSLATE(A11098 , ""tr"" , ""en"")"),"@drfahrettinkoca criteria also get up Mr. Minister. Let's not allow them to stand out even. Zolgensma is now ... https://t.co/akz9w2e0mc")</f>
        <v>@drfahrettinkoca criteria also get up Mr. Minister. Let's not allow them to stand out even. Zolgensma is now ... https://t.co/akz9w2e0mc</v>
      </c>
    </row>
    <row r="14300" spans="1:5" ht="15" customHeight="1" x14ac:dyDescent="0.2">
      <c r="A14300" s="1" t="s">
        <v>28179</v>
      </c>
      <c r="B14300" s="1">
        <v>0</v>
      </c>
      <c r="C14300" s="3">
        <v>44528.911793981482</v>
      </c>
      <c r="D14300" s="1" t="s">
        <v>28180</v>
      </c>
      <c r="E14300" s="1" t="str">
        <f ca="1">IFERROR(__xludf.DUMMYFUNCTION("GOOGLETRANSLATE(A11099 , ""tr"" , ""en"")"),"@drfahrettinkoca what is available in the current guys.")</f>
        <v>@drfahrettinkoca what is available in the current guys.</v>
      </c>
    </row>
    <row r="14301" spans="1:5" ht="15" customHeight="1" x14ac:dyDescent="0.2">
      <c r="A14301" s="1" t="s">
        <v>28181</v>
      </c>
      <c r="B14301" s="1">
        <v>1</v>
      </c>
      <c r="C14301" s="3">
        <v>44528.90185185185</v>
      </c>
      <c r="D14301" s="1" t="s">
        <v>28182</v>
      </c>
      <c r="E14301" s="1" t="str">
        <f ca="1">IFERROR(__xludf.DUMMYFUNCTION("GOOGLETRANSLATE(A11100 , ""tr"" , ""en"")"),"Give your @drfahrettinkoca Bey, please give the guide now")</f>
        <v>Give your @drfahrettinkoca Bey, please give the guide now</v>
      </c>
    </row>
    <row r="14302" spans="1:5" ht="15" customHeight="1" x14ac:dyDescent="0.2">
      <c r="A14302" s="1" t="s">
        <v>28183</v>
      </c>
      <c r="B14302" s="1">
        <v>0</v>
      </c>
      <c r="C14302" s="3">
        <v>44528.89571759259</v>
      </c>
      <c r="D14302" s="1" t="s">
        <v>28184</v>
      </c>
      <c r="E14302" s="1" t="str">
        <f ca="1">IFERROR(__xludf.DUMMYFUNCTION("GOOGLETRANSLATE(A11101 , ""tr"" , ""en"")"),"@drfahrettinkoca Mr. Minister is a certain way, but we need to stop this issue on the extra. These cubs are ... https://t.co/pnjd1gtanv")</f>
        <v>@drfahrettinkoca Mr. Minister is a certain way, but we need to stop this issue on the extra. These cubs are ... https://t.co/pnjd1gtanv</v>
      </c>
    </row>
    <row r="14303" spans="1:5" ht="15" customHeight="1" x14ac:dyDescent="0.2">
      <c r="A14303" s="1" t="s">
        <v>28185</v>
      </c>
      <c r="B14303" s="1">
        <v>3</v>
      </c>
      <c r="C14303" s="3">
        <v>44528.874722222223</v>
      </c>
      <c r="D14303" s="1" t="s">
        <v>28186</v>
      </c>
      <c r="E14303" s="1" t="str">
        <f ca="1">IFERROR(__xludf.DUMMYFUNCTION("GOOGLETRANSLATE(A11102 , ""tr"" , ""en"")"),"@drfahrettinka These are our future, our children. This is how a slack.")</f>
        <v>@drfahrettinka These are our future, our children. This is how a slack.</v>
      </c>
    </row>
    <row r="14304" spans="1:5" ht="15" customHeight="1" x14ac:dyDescent="0.2">
      <c r="A14304" s="1" t="s">
        <v>28187</v>
      </c>
      <c r="B14304" s="1">
        <v>0</v>
      </c>
      <c r="C14304" s="3">
        <v>44528.872118055559</v>
      </c>
      <c r="D14304" s="1" t="s">
        <v>28188</v>
      </c>
      <c r="E14304" s="1" t="str">
        <f ca="1">IFERROR(__xludf.DUMMYFUNCTION("GOOGLETRANSLATE(A11103 , ""tr"" , ""en"")"),"@drfahrettinkoca 3 We look forward to all SMA patients for the treatment of treatment in a criterial form")</f>
        <v>@drfahrettinkoca 3 We look forward to all SMA patients for the treatment of treatment in a criterial form</v>
      </c>
    </row>
    <row r="14305" spans="1:5" ht="15" customHeight="1" x14ac:dyDescent="0.2">
      <c r="A14305" s="1" t="s">
        <v>28189</v>
      </c>
      <c r="B14305" s="1">
        <v>0</v>
      </c>
      <c r="C14305" s="3">
        <v>44528.870046296295</v>
      </c>
      <c r="D14305" s="1" t="s">
        <v>28190</v>
      </c>
      <c r="E14305" s="1" t="str">
        <f ca="1">IFERROR(__xludf.DUMMYFUNCTION("GOOGLETRANSLATE(A11104 , ""tr"" , ""en"")"),"@drfahrettinkoca is the premature premature pongallah")</f>
        <v>@drfahrettinkoca is the premature premature pongallah</v>
      </c>
    </row>
    <row r="14306" spans="1:5" ht="15" customHeight="1" x14ac:dyDescent="0.2">
      <c r="A14306" s="1" t="s">
        <v>28191</v>
      </c>
      <c r="B14306" s="1">
        <v>3</v>
      </c>
      <c r="C14306" s="3">
        <v>44528.865682870368</v>
      </c>
      <c r="D14306" s="1" t="s">
        <v>28192</v>
      </c>
      <c r="E14306" s="1" t="str">
        <f ca="1">IFERROR(__xludf.DUMMYFUNCTION("GOOGLETRANSLATE(A11105 , ""tr"" , ""en"")"),"@drfahrettinkoca is the sentences that I longed to hear. Nusinersen criteria in the treatment of the criteria, very beneficial ... https://t.co/4n5plbp1rq")</f>
        <v>@drfahrettinkoca is the sentences that I longed to hear. Nusinersen criteria in the treatment of the criteria, very beneficial ... https://t.co/4n5plbp1rq</v>
      </c>
    </row>
    <row r="14307" spans="1:5" ht="15" customHeight="1" x14ac:dyDescent="0.2">
      <c r="A14307" s="1" t="s">
        <v>28193</v>
      </c>
      <c r="B14307" s="1">
        <v>13</v>
      </c>
      <c r="C14307" s="3">
        <v>44528.865486111114</v>
      </c>
      <c r="D14307" s="1" t="s">
        <v>28194</v>
      </c>
      <c r="E14307" s="1" t="str">
        <f ca="1">IFERROR(__xludf.DUMMYFUNCTION("GOOGLETRANSLATE(A11106 , ""tr"" , ""en"")"),"Thank you @drfahrettinka thanks Mr. Minister I hope the end of the struggle with SMA last. SMA LI was very glad on behalf of all patients ... https://t.co/q5gcbz8ehp")</f>
        <v>Thank you @drfahrettinka thanks Mr. Minister I hope the end of the struggle with SMA last. SMA LI was very glad on behalf of all patients ... https://t.co/q5gcbz8ehp</v>
      </c>
    </row>
    <row r="14308" spans="1:5" ht="15" customHeight="1" x14ac:dyDescent="0.2">
      <c r="A14308" s="1" t="s">
        <v>28195</v>
      </c>
      <c r="B14308" s="1">
        <v>0</v>
      </c>
      <c r="C14308" s="3">
        <v>44528.861932870372</v>
      </c>
      <c r="D14308" s="1" t="s">
        <v>28196</v>
      </c>
      <c r="E14308" s="1" t="str">
        <f ca="1">IFERROR(__xludf.DUMMYFUNCTION("GOOGLETRANSLATE(A11107 , ""tr"" , ""en"")"),"@drfahrettinkoca finally bother and start doing something that helpless parents of dying offspring ... https://t.co/artf6lq1be")</f>
        <v>@drfahrettinkoca finally bother and start doing something that helpless parents of dying offspring ... https://t.co/artf6lq1be</v>
      </c>
    </row>
    <row r="14309" spans="1:5" ht="15" customHeight="1" x14ac:dyDescent="0.2">
      <c r="A14309" s="1" t="s">
        <v>28197</v>
      </c>
      <c r="B14309" s="1">
        <v>0</v>
      </c>
      <c r="C14309" s="3">
        <v>44528.858993055554</v>
      </c>
      <c r="D14309" s="1" t="s">
        <v>28198</v>
      </c>
      <c r="E14309" s="1" t="str">
        <f ca="1">IFERROR(__xludf.DUMMYFUNCTION("GOOGLETRANSLATE(A11108 , ""tr"" , ""en"")"),"@drfahrettinkoca CHP Li Municipalities are already doing")</f>
        <v>@drfahrettinkoca CHP Li Municipalities are already doing</v>
      </c>
    </row>
    <row r="14310" spans="1:5" ht="15" customHeight="1" x14ac:dyDescent="0.2">
      <c r="A14310" s="1" t="s">
        <v>28199</v>
      </c>
      <c r="B14310" s="1">
        <v>0</v>
      </c>
      <c r="C14310" s="3">
        <v>44528.85833333333</v>
      </c>
      <c r="D14310" s="1" t="s">
        <v>28200</v>
      </c>
      <c r="E14310" s="1" t="str">
        <f ca="1">IFERROR(__xludf.DUMMYFUNCTION("GOOGLETRANSLATE(A11109 , ""tr"" , ""en"")"),"@drfahrettinkoca COVID 19 You give the medicine unrequited. But if you do not have any unique medications of use A ... https://t.co/w0mug2y5IV")</f>
        <v>@drfahrettinkoca COVID 19 You give the medicine unrequited. But if you do not have any unique medications of use A ... https://t.co/w0mug2y5IV</v>
      </c>
    </row>
    <row r="14311" spans="1:5" ht="15" customHeight="1" x14ac:dyDescent="0.2">
      <c r="A14311" s="1" t="s">
        <v>28201</v>
      </c>
      <c r="B14311" s="1">
        <v>0</v>
      </c>
      <c r="C14311" s="3">
        <v>44528.855092592596</v>
      </c>
      <c r="D14311" s="1" t="s">
        <v>28202</v>
      </c>
      <c r="E14311" s="1" t="str">
        <f ca="1">IFERROR(__xludf.DUMMYFUNCTION("GOOGLETRANSLATE(A11110 , ""tr"" , ""en"")"),"@drfahrettinkoca Here is that ... Treatment, it starts to avoid ... Haaa, you can't marry your genes broken, children can't be married ... https://t.co/ofbdtoj9ts")</f>
        <v>@drfahrettinkoca Here is that ... Treatment, it starts to avoid ... Haaa, you can't marry your genes broken, children can't be married ... https://t.co/ofbdtoj9ts</v>
      </c>
    </row>
    <row r="14312" spans="1:5" ht="15" customHeight="1" x14ac:dyDescent="0.2">
      <c r="A14312" s="1" t="s">
        <v>28203</v>
      </c>
      <c r="B14312" s="1">
        <v>0</v>
      </c>
      <c r="C14312" s="3">
        <v>44528.843958333331</v>
      </c>
      <c r="D14312" s="1" t="s">
        <v>28204</v>
      </c>
      <c r="E14312" s="1" t="str">
        <f ca="1">IFERROR(__xludf.DUMMYFUNCTION("GOOGLETRANSLATE(A11111 , ""tr"" , ""en"")"),"@drfahrettinkoca @ 1923nb when. Don't say oh 2023. 😁😂🤣😃")</f>
        <v>@drfahrettinkoca @ 1923nb when. Don't say oh 2023. 😁😂🤣😃</v>
      </c>
    </row>
    <row r="14313" spans="1:5" ht="15" customHeight="1" x14ac:dyDescent="0.2">
      <c r="A14313" s="1" t="s">
        <v>28205</v>
      </c>
      <c r="B14313" s="1">
        <v>1</v>
      </c>
      <c r="C14313" s="3">
        <v>44528.830995370372</v>
      </c>
      <c r="D14313" s="1" t="s">
        <v>28206</v>
      </c>
      <c r="E14313" s="1" t="str">
        <f ca="1">IFERROR(__xludf.DUMMYFUNCTION("GOOGLETRANSLATE(A11112 , ""tr"" , ""en"")"),"@drfahrettinkoca How many SMA patients have children. Allah do not waste time in love with bureaucracy.Devlet SMA in Turkey ... https://t.co/457kmjzetc")</f>
        <v>@drfahrettinkoca How many SMA patients have children. Allah do not waste time in love with bureaucracy.Devlet SMA in Turkey ... https://t.co/457kmjzetc</v>
      </c>
    </row>
    <row r="14314" spans="1:5" ht="15" customHeight="1" x14ac:dyDescent="0.2">
      <c r="A14314" s="1" t="s">
        <v>28207</v>
      </c>
      <c r="B14314" s="1">
        <v>0</v>
      </c>
      <c r="C14314" s="3">
        <v>44528.828321759262</v>
      </c>
      <c r="D14314" s="1" t="s">
        <v>28208</v>
      </c>
      <c r="E14314" s="1" t="str">
        <f ca="1">IFERROR(__xludf.DUMMYFUNCTION("GOOGLETRANSLATE(A11113 , ""tr"" , ""en"")"),"@drfahrettinkoca you are detected with the meeting you have been researched over many of the drug in which patients ... https://t.co/ohkn1wldju")</f>
        <v>@drfahrettinkoca you are detected with the meeting you have been researched over many of the drug in which patients ... https://t.co/ohkn1wldju</v>
      </c>
    </row>
    <row r="14315" spans="1:5" ht="15" customHeight="1" x14ac:dyDescent="0.2">
      <c r="A14315" s="1" t="s">
        <v>28209</v>
      </c>
      <c r="B14315" s="1">
        <v>0</v>
      </c>
      <c r="C14315" s="3">
        <v>44528.827789351853</v>
      </c>
      <c r="D14315" s="1" t="s">
        <v>28210</v>
      </c>
      <c r="E14315" s="1" t="str">
        <f ca="1">IFERROR(__xludf.DUMMYFUNCTION("GOOGLETRANSLATE(A11114 , ""tr"" , ""en"")"),"@drfahrettinkoca saddle corona BIMIM board GIBI WHO WE is CAKIS if you do not avoid this board COK damage v ... https://t.co/hrrdg4cft4")</f>
        <v>@drfahrettinkoca saddle corona BIMIM board GIBI WHO WE is CAKIS if you do not avoid this board COK damage v ... https://t.co/hrrdg4cft4</v>
      </c>
    </row>
    <row r="14316" spans="1:5" ht="15" customHeight="1" x14ac:dyDescent="0.2">
      <c r="A14316" s="1" t="s">
        <v>28211</v>
      </c>
      <c r="B14316" s="1">
        <v>4</v>
      </c>
      <c r="C14316" s="3">
        <v>44528.827453703707</v>
      </c>
      <c r="D14316" s="1" t="s">
        <v>28212</v>
      </c>
      <c r="E14316" s="1" t="str">
        <f ca="1">IFERROR(__xludf.DUMMYFUNCTION("GOOGLETRANSLATE(A11115 , ""tr"" , ""en"")"),"@drfahrettinkoca @ black_beyaz1983 Gene treatment with 30 dolls that can be fully healed. Hepi Ball 30 Baby T ... https://t.co/0xt6id3juo")</f>
        <v>@drfahrettinkoca @ black_beyaz1983 Gene treatment with 30 dolls that can be fully healed. Hepi Ball 30 Baby T ... https://t.co/0xt6id3juo</v>
      </c>
    </row>
    <row r="14317" spans="1:5" ht="15" customHeight="1" x14ac:dyDescent="0.2">
      <c r="A14317" s="1" t="s">
        <v>28213</v>
      </c>
      <c r="B14317" s="1">
        <v>1</v>
      </c>
      <c r="C14317" s="3">
        <v>44528.82739583333</v>
      </c>
      <c r="D14317" s="1" t="s">
        <v>28214</v>
      </c>
      <c r="E14317" s="1" t="str">
        <f ca="1">IFERROR(__xludf.DUMMYFUNCTION("GOOGLETRANSLATE(A11116 , ""tr"" , ""en"")"),"@drfahrettinkoca we want the criterated drug.")</f>
        <v>@drfahrettinkoca we want the criterated drug.</v>
      </c>
    </row>
    <row r="14318" spans="1:5" ht="15" customHeight="1" x14ac:dyDescent="0.2">
      <c r="A14318" s="1" t="s">
        <v>28215</v>
      </c>
      <c r="B14318" s="1">
        <v>3</v>
      </c>
      <c r="C14318" s="3">
        <v>44528.826689814814</v>
      </c>
      <c r="D14318" s="1" t="s">
        <v>28216</v>
      </c>
      <c r="E14318" s="1" t="str">
        <f ca="1">IFERROR(__xludf.DUMMYFUNCTION("GOOGLETRANSLATE(A11117 , ""tr"" , ""en"")"),"@drfahrettinkoca Do not grind our children.")</f>
        <v>@drfahrettinkoca Do not grind our children.</v>
      </c>
    </row>
    <row r="14319" spans="1:5" ht="15" customHeight="1" x14ac:dyDescent="0.2">
      <c r="A14319" s="1" t="s">
        <v>28217</v>
      </c>
      <c r="B14319" s="1">
        <v>0</v>
      </c>
      <c r="C14319" s="3">
        <v>44528.826157407406</v>
      </c>
      <c r="D14319" s="1" t="s">
        <v>28218</v>
      </c>
      <c r="E14319" s="1" t="str">
        <f ca="1">IFERROR(__xludf.DUMMYFUNCTION("GOOGLETRANSLATE(A11118 , ""tr"" , ""en"")"),"@drfahrettinkoca Delay my delayed you are continuously delayed work Be")</f>
        <v>@drfahrettinkoca Delay my delayed you are continuously delayed work Be</v>
      </c>
    </row>
    <row r="14320" spans="1:5" ht="15" customHeight="1" x14ac:dyDescent="0.2">
      <c r="A14320" s="1" t="s">
        <v>28219</v>
      </c>
      <c r="B14320" s="1">
        <v>1</v>
      </c>
      <c r="C14320" s="3">
        <v>44528.825740740744</v>
      </c>
      <c r="D14320" s="1" t="s">
        <v>28220</v>
      </c>
      <c r="E14320" s="1" t="str">
        <f ca="1">IFERROR(__xludf.DUMMYFUNCTION("GOOGLETRANSLATE(A11119 , ""tr"" , ""en"")"),"@drfahrettinka is already difficult in the process of pandemi, our life has become more difficult. To take the hospital to the hospital ...")</f>
        <v>@drfahrettinka is already difficult in the process of pandemi, our life has become more difficult. To take the hospital to the hospital ...</v>
      </c>
    </row>
    <row r="14321" spans="1:5" ht="15" customHeight="1" x14ac:dyDescent="0.2">
      <c r="A14321" s="1" t="s">
        <v>28221</v>
      </c>
      <c r="B14321" s="1">
        <v>0</v>
      </c>
      <c r="C14321" s="3">
        <v>44533.738506944443</v>
      </c>
      <c r="D14321" s="1" t="s">
        <v>28222</v>
      </c>
      <c r="E14321" s="1" t="str">
        <f ca="1">IFERROR(__xludf.DUMMYFUNCTION("GOOGLETRANSLATE(A11120 , ""tr"" , ""en"")"),"@drfahrettinkoca what I'm saying to you I will go through this world with God's permission No lie Riya No Riya Oket will find a corresponds")</f>
        <v>@drfahrettinkoca what I'm saying to you I will go through this world with God's permission No lie Riya No Riya Oket will find a corresponds</v>
      </c>
    </row>
    <row r="14322" spans="1:5" ht="15" customHeight="1" x14ac:dyDescent="0.2">
      <c r="A14322" s="1" t="s">
        <v>28223</v>
      </c>
      <c r="B14322" s="1">
        <v>1</v>
      </c>
      <c r="C14322" s="3">
        <v>44532.820752314816</v>
      </c>
      <c r="D14322" s="1" t="s">
        <v>28224</v>
      </c>
      <c r="E14322" s="1" t="str">
        <f ca="1">IFERROR(__xludf.DUMMYFUNCTION("GOOGLETRANSLATE(A11121 , ""tr"" , ""en"")"),"@drfahrettinka https://t.co/ts9zrw6y2h")</f>
        <v>@drfahrettinka https://t.co/ts9zrw6y2h</v>
      </c>
    </row>
    <row r="14323" spans="1:5" ht="15" customHeight="1" x14ac:dyDescent="0.2">
      <c r="A14323" s="1" t="s">
        <v>28225</v>
      </c>
      <c r="B14323" s="1">
        <v>3</v>
      </c>
      <c r="C14323" s="3">
        <v>44530.969652777778</v>
      </c>
      <c r="D14323" s="1" t="s">
        <v>28226</v>
      </c>
      <c r="E14323" s="1" t="str">
        <f ca="1">IFERROR(__xludf.DUMMYFUNCTION("GOOGLETRANSLATE(A11122 , ""tr"" , ""en"")"),"@drfahrettinkoca aren for the last 65 days please give the decision quickly https://t.co/ftpnx3uctj")</f>
        <v>@drfahrettinkoca aren for the last 65 days please give the decision quickly https://t.co/ftpnx3uctj</v>
      </c>
    </row>
    <row r="14324" spans="1:5" ht="15" customHeight="1" x14ac:dyDescent="0.2">
      <c r="A14324" s="1" t="s">
        <v>28227</v>
      </c>
      <c r="B14324" s="1">
        <v>3</v>
      </c>
      <c r="C14324" s="3">
        <v>44530.914409722223</v>
      </c>
      <c r="D14324" s="1" t="s">
        <v>28228</v>
      </c>
      <c r="E14324" s="1" t="str">
        <f ca="1">IFERROR(__xludf.DUMMYFUNCTION("GOOGLETRANSLATE(A11123 , ""tr"" , ""en"")"),"@drfahrettinkoca will be useful to get the decision for children in patients with a patient at the moment you will be able to accelerate the process ... https://t.co/efut4b1z1y")</f>
        <v>@drfahrettinkoca will be useful to get the decision for children in patients with a patient at the moment you will be able to accelerate the process ... https://t.co/efut4b1z1y</v>
      </c>
    </row>
    <row r="14325" spans="1:5" ht="15" customHeight="1" x14ac:dyDescent="0.2">
      <c r="A14325" s="1" t="s">
        <v>28229</v>
      </c>
      <c r="B14325" s="1">
        <v>1</v>
      </c>
      <c r="C14325" s="3">
        <v>44530.907893518517</v>
      </c>
      <c r="D14325" s="1" t="s">
        <v>28230</v>
      </c>
      <c r="E14325" s="1" t="str">
        <f ca="1">IFERROR(__xludf.DUMMYFUNCTION("GOOGLETRANSLATE(A11124 , ""tr"" , ""en"")"),"@drfahrettinkoca aren is about to press the age of 2. The duration is very limited. We need to reach urgent to the drug last 65 days. Please keep your hand quickly !!!")</f>
        <v>@drfahrettinkoca aren is about to press the age of 2. The duration is very limited. We need to reach urgent to the drug last 65 days. Please keep your hand quickly !!!</v>
      </c>
    </row>
    <row r="14326" spans="1:5" ht="15" customHeight="1" x14ac:dyDescent="0.2">
      <c r="A14326" s="1" t="s">
        <v>28231</v>
      </c>
      <c r="B14326" s="1">
        <v>2</v>
      </c>
      <c r="C14326" s="3">
        <v>44530.902372685188</v>
      </c>
      <c r="D14326" s="1" t="s">
        <v>28232</v>
      </c>
      <c r="E14326" s="1" t="str">
        <f ca="1">IFERROR(__xludf.DUMMYFUNCTION("GOOGLETRANSLATE(A11125 , ""tr"" , ""en"")"),"@drfahrettinkoca aren in last 65 days. Please give your mind speed")</f>
        <v>@drfahrettinkoca aren in last 65 days. Please give your mind speed</v>
      </c>
    </row>
    <row r="14327" spans="1:5" ht="15" customHeight="1" x14ac:dyDescent="0.2">
      <c r="A14327" s="1" t="s">
        <v>28233</v>
      </c>
      <c r="B14327" s="1">
        <v>1</v>
      </c>
      <c r="C14327" s="3">
        <v>44530.892268518517</v>
      </c>
      <c r="D14327" s="1" t="s">
        <v>28234</v>
      </c>
      <c r="E14327" s="1" t="str">
        <f ca="1">IFERROR(__xludf.DUMMYFUNCTION("GOOGLETRANSLATE(A11126 , ""tr"" , ""en"")"),"@drfahrettinkoca You will not be able to vote from a health to the private sector to the private sector. ... https://t.co/yw7ox8ruj6")</f>
        <v>@drfahrettinkoca You will not be able to vote from a health to the private sector to the private sector. ... https://t.co/yw7ox8ruj6</v>
      </c>
    </row>
    <row r="14328" spans="1:5" ht="15" customHeight="1" x14ac:dyDescent="0.2">
      <c r="A14328" s="1" t="s">
        <v>28235</v>
      </c>
      <c r="B14328" s="1">
        <v>1</v>
      </c>
      <c r="C14328" s="3">
        <v>44528.965624999997</v>
      </c>
      <c r="D14328" s="1" t="s">
        <v>28236</v>
      </c>
      <c r="E14328" s="1" t="str">
        <f ca="1">IFERROR(__xludf.DUMMYFUNCTION("GOOGLETRANSLATE(A11127 , ""tr"" , ""en"")"),"@drfahrettinkoca This drug trial does not have a healing effect on the disease where this drug trial has failed ... https://t.co/ghgzlmr2ok")</f>
        <v>@drfahrettinkoca This drug trial does not have a healing effect on the disease where this drug trial has failed ... https://t.co/ghgzlmr2ok</v>
      </c>
    </row>
    <row r="14329" spans="1:5" ht="15" customHeight="1" x14ac:dyDescent="0.2">
      <c r="A14329" s="1" t="s">
        <v>28237</v>
      </c>
      <c r="B14329" s="1">
        <v>0</v>
      </c>
      <c r="C14329" s="3">
        <v>44528.955578703702</v>
      </c>
      <c r="D14329" s="1" t="s">
        <v>28238</v>
      </c>
      <c r="E14329" s="1" t="str">
        <f ca="1">IFERROR(__xludf.DUMMYFUNCTION("GOOGLETRANSLATE(A11128 , ""tr"" , ""en"")"),"@drfahrettinkoca Did you try this medicine Did I have no other 8 + 8 when you give my night 8 + 8 after you don't work at all ... https://t.co/2raxyvogng")</f>
        <v>@drfahrettinkoca Did you try this medicine Did I have no other 8 + 8 when you give my night 8 + 8 after you don't work at all ... https://t.co/2raxyvogng</v>
      </c>
    </row>
    <row r="14330" spans="1:5" ht="15" customHeight="1" x14ac:dyDescent="0.2">
      <c r="A14330" s="1" t="s">
        <v>28239</v>
      </c>
      <c r="B14330" s="1">
        <v>0</v>
      </c>
      <c r="C14330" s="3">
        <v>44528.866319444445</v>
      </c>
      <c r="D14330" s="1" t="s">
        <v>28240</v>
      </c>
      <c r="E14330" s="1" t="str">
        <f ca="1">IFERROR(__xludf.DUMMYFUNCTION("GOOGLETRANSLATE(A11129 , ""tr"" , ""en"")"),"@drfahrettinkoca What was the previous medicine? LAN is not to drink too, don't drink, don't be any longer! 😡😡")</f>
        <v>@drfahrettinkoca What was the previous medicine? LAN is not to drink too, don't drink, don't be any longer! 😡😡</v>
      </c>
    </row>
    <row r="14331" spans="1:5" ht="15" customHeight="1" x14ac:dyDescent="0.2">
      <c r="A14331" s="1" t="s">
        <v>28241</v>
      </c>
      <c r="B14331" s="1">
        <v>0</v>
      </c>
      <c r="C14331" s="3">
        <v>44528.847060185188</v>
      </c>
      <c r="D14331" s="1" t="s">
        <v>28242</v>
      </c>
      <c r="E14331" s="1" t="str">
        <f ca="1">IFERROR(__xludf.DUMMYFUNCTION("GOOGLETRANSLATE(A11130 , ""tr"" , ""en"")"),"@drfahrettinkoca gtten licenses do not make up how money is the devil minister to be cut from this zipm and money")</f>
        <v>@drfahrettinkoca gtten licenses do not make up how money is the devil minister to be cut from this zipm and money</v>
      </c>
    </row>
    <row r="14332" spans="1:5" ht="15" customHeight="1" x14ac:dyDescent="0.2">
      <c r="A14332" s="1" t="s">
        <v>28243</v>
      </c>
      <c r="B14332" s="1">
        <v>0</v>
      </c>
      <c r="C14332" s="3">
        <v>44528.845451388886</v>
      </c>
      <c r="D14332" s="1" t="s">
        <v>28244</v>
      </c>
      <c r="E14332" s="1" t="str">
        <f ca="1">IFERROR(__xludf.DUMMYFUNCTION("GOOGLETRANSLATE(A11131 , ""tr"" , ""en"")"),"@drfahrettinkoca This country has Erdogan and his team if our back does not come to the ground")</f>
        <v>@drfahrettinkoca This country has Erdogan and his team if our back does not come to the ground</v>
      </c>
    </row>
    <row r="14333" spans="1:5" ht="15" customHeight="1" x14ac:dyDescent="0.2">
      <c r="A14333" s="1" t="s">
        <v>28245</v>
      </c>
      <c r="B14333" s="1">
        <v>0</v>
      </c>
      <c r="C14333" s="3">
        <v>44528.841180555559</v>
      </c>
      <c r="D14333" s="1" t="s">
        <v>28246</v>
      </c>
      <c r="E14333" s="1" t="str">
        <f ca="1">IFERROR(__xludf.DUMMYFUNCTION("GOOGLETRANSLATE(A11132 , ""tr"" , ""en"")"),"@drfahrettinkoca looked not enough death the vaccines Favipavir FLns FLns are not as death as they want ... https://t.co/gqazssfsfr")</f>
        <v>@drfahrettinkoca looked not enough death the vaccines Favipavir FLns FLns are not as death as they want ... https://t.co/gqazssfsfr</v>
      </c>
    </row>
    <row r="14334" spans="1:5" ht="15" customHeight="1" x14ac:dyDescent="0.2">
      <c r="A14334" s="1" t="s">
        <v>28247</v>
      </c>
      <c r="B14334" s="1">
        <v>1</v>
      </c>
      <c r="C14334" s="3">
        <v>44527.994201388887</v>
      </c>
      <c r="D14334" s="1" t="s">
        <v>28248</v>
      </c>
      <c r="E14334" s="1" t="str">
        <f ca="1">IFERROR(__xludf.DUMMYFUNCTION("GOOGLETRANSLATE(A11133 , ""tr"" , ""en"")"),"@drfahrettinka these are your last flawing.")</f>
        <v>@drfahrettinka these are your last flawing.</v>
      </c>
    </row>
    <row r="14335" spans="1:5" ht="15" customHeight="1" x14ac:dyDescent="0.2">
      <c r="A14335" s="1" t="s">
        <v>28249</v>
      </c>
      <c r="B14335" s="1">
        <v>3</v>
      </c>
      <c r="C14335" s="3">
        <v>44527.99322916667</v>
      </c>
      <c r="D14335" s="1" t="s">
        <v>28250</v>
      </c>
      <c r="E14335" s="1" t="str">
        <f ca="1">IFERROR(__xludf.DUMMYFUNCTION("GOOGLETRANSLATE(A11134 , ""tr"" , ""en"")"),"@drfahrettinkoca The actual virus is those who are constantly lying to us .... 😡😡😡😡 🔴 🔴 🔴Sahte COVID video..Big cure ... https://t.co/emmiqam9eu")</f>
        <v>@drfahrettinkoca The actual virus is those who are constantly lying to us .... 😡😡😡😡 🔴 🔴 🔴Sahte COVID video..Big cure ... https://t.co/emmiqam9eu</v>
      </c>
    </row>
    <row r="14336" spans="1:5" ht="15" customHeight="1" x14ac:dyDescent="0.2">
      <c r="A14336" s="1" t="s">
        <v>28251</v>
      </c>
      <c r="B14336" s="1">
        <v>0</v>
      </c>
      <c r="C14336" s="3">
        <v>44527.984375</v>
      </c>
      <c r="D14336" s="1" t="s">
        <v>28252</v>
      </c>
      <c r="E14336" s="1" t="str">
        <f ca="1">IFERROR(__xludf.DUMMYFUNCTION("GOOGLETRANSLATE(A11135 , ""tr"" , ""en"")"),"@drfahrettinkoca what happened to Turcovak? Is it OK")</f>
        <v>@drfahrettinkoca what happened to Turcovak? Is it OK</v>
      </c>
    </row>
    <row r="14337" spans="1:5" ht="15" customHeight="1" x14ac:dyDescent="0.2">
      <c r="A14337" s="1" t="s">
        <v>28253</v>
      </c>
      <c r="B14337" s="1">
        <v>0</v>
      </c>
      <c r="C14337" s="3">
        <v>44527.980995370373</v>
      </c>
      <c r="D14337" s="1" t="s">
        <v>28254</v>
      </c>
      <c r="E14337" s="1" t="str">
        <f ca="1">IFERROR(__xludf.DUMMYFUNCTION("GOOGLETRANSLATE(A11136 , ""tr"" , ""en"")"),"@drfahrettinkoca I'm blocked by Bengi Başer. Why the Covid vaccine is applied to children the age of age Tweetin ... https://t.co/vjb6k4sghn")</f>
        <v>@drfahrettinkoca I'm blocked by Bengi Başer. Why the Covid vaccine is applied to children the age of age Tweetin ... https://t.co/vjb6k4sghn</v>
      </c>
    </row>
    <row r="14338" spans="1:5" ht="15" customHeight="1" x14ac:dyDescent="0.2">
      <c r="A14338" s="1" t="s">
        <v>28255</v>
      </c>
      <c r="B14338" s="1">
        <v>1</v>
      </c>
      <c r="C14338" s="3">
        <v>44527.975729166668</v>
      </c>
      <c r="D14338" s="1" t="s">
        <v>28256</v>
      </c>
      <c r="E14338" s="1" t="str">
        <f ca="1">IFERROR(__xludf.DUMMYFUNCTION("GOOGLETRANSLATE(A11137 , ""tr"" , ""en"")"),"@drfahrettinkoca lets you have experienced the new vaccine gospel of the Biontech Pfizer of the Ministry of Ministry. 100 million us shooting ... https://t.co/noxnaq2s8r")</f>
        <v>@drfahrettinkoca lets you have experienced the new vaccine gospel of the Biontech Pfizer of the Ministry of Ministry. 100 million us shooting ... https://t.co/noxnaq2s8r</v>
      </c>
    </row>
    <row r="14339" spans="1:5" ht="15" customHeight="1" x14ac:dyDescent="0.2">
      <c r="A14339" s="1" t="s">
        <v>28257</v>
      </c>
      <c r="B14339" s="1">
        <v>0</v>
      </c>
      <c r="C14339" s="3">
        <v>44527.974409722221</v>
      </c>
      <c r="D14339" s="1" t="s">
        <v>28258</v>
      </c>
      <c r="E14339" s="1" t="str">
        <f ca="1">IFERROR(__xludf.DUMMYFUNCTION("GOOGLETRANSLATE(A11138 , ""tr"" , ""en"")"),"@drfahrettinkoca More Today is the fact that the event was low")</f>
        <v>@drfahrettinkoca More Today is the fact that the event was low</v>
      </c>
    </row>
    <row r="14340" spans="1:5" ht="15" customHeight="1" x14ac:dyDescent="0.2">
      <c r="A14340" s="1" t="s">
        <v>28259</v>
      </c>
      <c r="B14340" s="1">
        <v>4</v>
      </c>
      <c r="C14340" s="3">
        <v>44527.973310185182</v>
      </c>
      <c r="D14340" s="1" t="s">
        <v>28260</v>
      </c>
      <c r="E14340" s="1" t="str">
        <f ca="1">IFERROR(__xludf.DUMMYFUNCTION("GOOGLETRANSLATE(A11139 , ""tr"" , ""en"")"),"@drfahrettinkoca #daborationalineviruesoffline")</f>
        <v>@drfahrettinkoca #daborationalineviruesoffline</v>
      </c>
    </row>
    <row r="14341" spans="1:5" ht="15" customHeight="1" x14ac:dyDescent="0.2">
      <c r="A14341" s="1" t="s">
        <v>28261</v>
      </c>
      <c r="B14341" s="1">
        <v>0</v>
      </c>
      <c r="C14341" s="3">
        <v>44527.970671296294</v>
      </c>
      <c r="D14341" s="1" t="s">
        <v>28262</v>
      </c>
      <c r="E14341" s="1" t="str">
        <f ca="1">IFERROR(__xludf.DUMMYFUNCTION("GOOGLETRANSLATE(A11140 , ""tr"" , ""en"")"),"@drfahrettinkoca declaring the staff")</f>
        <v>@drfahrettinkoca declaring the staff</v>
      </c>
    </row>
    <row r="14342" spans="1:5" ht="15" customHeight="1" x14ac:dyDescent="0.2">
      <c r="A14342" s="1" t="s">
        <v>17352</v>
      </c>
      <c r="B14342" s="1">
        <v>0</v>
      </c>
      <c r="C14342" s="3">
        <v>44527.970567129632</v>
      </c>
      <c r="D14342" s="1" t="s">
        <v>28263</v>
      </c>
      <c r="E14342" s="1" t="str">
        <f ca="1">IFERROR(__xludf.DUMMYFUNCTION("GOOGLETRANSLATE(A11141 , ""tr"" , ""en"")"),"@drfahrettinka Ministry of Guide")</f>
        <v>@drfahrettinka Ministry of Guide</v>
      </c>
    </row>
    <row r="14343" spans="1:5" ht="15" customHeight="1" x14ac:dyDescent="0.2">
      <c r="A14343" s="1" t="s">
        <v>28264</v>
      </c>
      <c r="B14343" s="1">
        <v>0</v>
      </c>
      <c r="C14343" s="3">
        <v>44527.953055555554</v>
      </c>
      <c r="D14343" s="1" t="s">
        <v>28265</v>
      </c>
      <c r="E14343" s="1" t="str">
        <f ca="1">IFERROR(__xludf.DUMMYFUNCTION("GOOGLETRANSLATE(A11142 , ""tr"" , ""en"")"),"@drfahrettinkoca Mr. Minister When you need to be open, you can make it aside the Minister ID Such self ... https://t.co/unviq3gwrh")</f>
        <v>@drfahrettinkoca Mr. Minister When you need to be open, you can make it aside the Minister ID Such self ... https://t.co/unviq3gwrh</v>
      </c>
    </row>
    <row r="14344" spans="1:5" ht="15" customHeight="1" x14ac:dyDescent="0.2">
      <c r="A14344" s="1" t="s">
        <v>28266</v>
      </c>
      <c r="B14344" s="1">
        <v>0</v>
      </c>
      <c r="C14344" s="3">
        <v>44527.952453703707</v>
      </c>
      <c r="D14344" s="1" t="s">
        <v>28267</v>
      </c>
      <c r="E14344" s="1" t="str">
        <f ca="1">IFERROR(__xludf.DUMMYFUNCTION("GOOGLETRANSLATE(A11143 , ""tr"" , ""en"")"),"@drfahrettinka you guys and your dads to the network of you are a day you are the judge of your mockery HTTPS://T.CO/BE0QIXEMQ7")</f>
        <v>@drfahrettinka you guys and your dads to the network of you are a day you are the judge of your mockery HTTPS://T.CO/BE0QIXEMQ7</v>
      </c>
    </row>
    <row r="14345" spans="1:5" ht="15" customHeight="1" x14ac:dyDescent="0.2">
      <c r="A14345" s="1" t="s">
        <v>28268</v>
      </c>
      <c r="B14345" s="1">
        <v>23</v>
      </c>
      <c r="C14345" s="3">
        <v>44527.949907407405</v>
      </c>
      <c r="D14345" s="1" t="s">
        <v>28269</v>
      </c>
      <c r="E14345" s="1" t="str">
        <f ca="1">IFERROR(__xludf.DUMMYFUNCTION("GOOGLETRANSLATE(A11144 , ""tr"" , ""en"")"),"@drfahrettinkoca @saglikbakanligi Covid vaccine made of people! Please let everyone watch! Grafen Your Body ... https://t.co/5oulkegl7y")</f>
        <v>@drfahrettinkoca @saglikbakanligi Covid vaccine made of people! Please let everyone watch! Grafen Your Body ... https://t.co/5oulkegl7y</v>
      </c>
    </row>
    <row r="14346" spans="1:5" ht="15" customHeight="1" x14ac:dyDescent="0.2">
      <c r="A14346" s="1" t="s">
        <v>28270</v>
      </c>
      <c r="B14346" s="1">
        <v>8</v>
      </c>
      <c r="C14346" s="3">
        <v>44527.946273148147</v>
      </c>
      <c r="D14346" s="1" t="s">
        <v>28271</v>
      </c>
      <c r="E14346" s="1" t="str">
        <f ca="1">IFERROR(__xludf.DUMMYFUNCTION("GOOGLETRANSLATE(A11145 , ""tr"" , ""en"")"),"@drfahrettinkoca officially to people you focus on these favipiravirs !!! Isn't enough second curtains are starting? This is so ... https://t.co/ld8dkeqahw")</f>
        <v>@drfahrettinkoca officially to people you focus on these favipiravirs !!! Isn't enough second curtains are starting? This is so ... https://t.co/ld8dkeqahw</v>
      </c>
    </row>
    <row r="14347" spans="1:5" ht="15" customHeight="1" x14ac:dyDescent="0.2">
      <c r="A14347" s="1" t="s">
        <v>28272</v>
      </c>
      <c r="B14347" s="1">
        <v>2</v>
      </c>
      <c r="C14347" s="3">
        <v>44527.942916666667</v>
      </c>
      <c r="D14347" s="1" t="s">
        <v>28273</v>
      </c>
      <c r="E14347" s="1" t="str">
        <f ca="1">IFERROR(__xludf.DUMMYFUNCTION("GOOGLETRANSLATE(A11146 , ""tr"" , ""en"")"),"@drfahrettinkoca er or late you will be judged in the world though you are definitely judged at the honor.")</f>
        <v>@drfahrettinkoca er or late you will be judged in the world though you are definitely judged at the honor.</v>
      </c>
    </row>
    <row r="14348" spans="1:5" ht="15" customHeight="1" x14ac:dyDescent="0.2">
      <c r="A14348" s="1" t="s">
        <v>28274</v>
      </c>
      <c r="B14348" s="1">
        <v>0</v>
      </c>
      <c r="C14348" s="3">
        <v>44527.942604166667</v>
      </c>
      <c r="D14348" s="1" t="s">
        <v>28275</v>
      </c>
      <c r="E14348" s="1" t="str">
        <f ca="1">IFERROR(__xludf.DUMMYFUNCTION("GOOGLETRANSLATE(A11147 , ""tr"" , ""en"")"),"Find @drfahrettinkoca Locate your Devil all of you demons of the buttons.")</f>
        <v>Find @drfahrettinkoca Locate your Devil all of you demons of the buttons.</v>
      </c>
    </row>
    <row r="14349" spans="1:5" ht="15" customHeight="1" x14ac:dyDescent="0.2">
      <c r="A14349" s="1" t="s">
        <v>28276</v>
      </c>
      <c r="B14349" s="1">
        <v>0</v>
      </c>
      <c r="C14349" s="3">
        <v>44527.942395833335</v>
      </c>
      <c r="D14349" s="1" t="s">
        <v>28277</v>
      </c>
      <c r="E14349" s="1" t="str">
        <f ca="1">IFERROR(__xludf.DUMMYFUNCTION("GOOGLETRANSLATE(A11148 , ""tr"" , ""en"")"),"@drfahrettinkoca Now you will hit here the money I guess AKP and their companions :))")</f>
        <v>@drfahrettinkoca Now you will hit here the money I guess AKP and their companions :))</v>
      </c>
    </row>
    <row r="14350" spans="1:5" ht="15" customHeight="1" x14ac:dyDescent="0.2">
      <c r="A14350" s="1" t="s">
        <v>28278</v>
      </c>
      <c r="B14350" s="1">
        <v>0</v>
      </c>
      <c r="C14350" s="3">
        <v>44527.941666666666</v>
      </c>
      <c r="D14350" s="1" t="s">
        <v>28279</v>
      </c>
      <c r="E14350" s="1" t="str">
        <f ca="1">IFERROR(__xludf.DUMMYFUNCTION("GOOGLETRANSLATE(A11149 , ""tr"" , ""en"")"),"@drfahrettinkoca Do not believe in this Deccals Anti-vaccination is opposite in doctors in the doctors ... Https://t.co/cvavm8")</f>
        <v>@drfahrettinkoca Do not believe in this Deccals Anti-vaccination is opposite in doctors in the doctors ... Https://t.co/cvavm8</v>
      </c>
    </row>
    <row r="14351" spans="1:5" ht="15" customHeight="1" x14ac:dyDescent="0.2">
      <c r="A14351" s="1" t="s">
        <v>28280</v>
      </c>
      <c r="B14351" s="1">
        <v>0</v>
      </c>
      <c r="C14351" s="3">
        <v>44527.941122685188</v>
      </c>
      <c r="D14351" s="1" t="s">
        <v>28281</v>
      </c>
      <c r="E14351" s="1" t="str">
        <f ca="1">IFERROR(__xludf.DUMMYFUNCTION("GOOGLETRANSLATE(A11150 , ""tr"" , ""en"")"),"@drfahrettinkoca We are experiencing")</f>
        <v>@drfahrettinkoca We are experiencing</v>
      </c>
    </row>
    <row r="14352" spans="1:5" ht="15" customHeight="1" x14ac:dyDescent="0.2">
      <c r="A14352" s="1" t="s">
        <v>15384</v>
      </c>
      <c r="B14352" s="1">
        <v>1</v>
      </c>
      <c r="C14352" s="3">
        <v>44527.936400462961</v>
      </c>
      <c r="D14352" s="1" t="s">
        <v>28282</v>
      </c>
      <c r="E14352" s="1" t="str">
        <f ca="1">IFERROR(__xludf.DUMMYFUNCTION("GOOGLETRANSLATE(A11151 , ""tr"" , ""en"")"),"@drfahrettinkoca dietitians are looking forward to assigning a large number of counts")</f>
        <v>@drfahrettinkoca dietitians are looking forward to assigning a large number of counts</v>
      </c>
    </row>
    <row r="14353" spans="1:5" ht="15" customHeight="1" x14ac:dyDescent="0.2">
      <c r="A14353" s="1" t="s">
        <v>27060</v>
      </c>
      <c r="B14353" s="1">
        <v>1</v>
      </c>
      <c r="C14353" s="3">
        <v>44527.93613425926</v>
      </c>
      <c r="D14353" s="1" t="s">
        <v>28283</v>
      </c>
      <c r="E14353" s="1" t="str">
        <f ca="1">IFERROR(__xludf.DUMMYFUNCTION("GOOGLETRANSLATE(A11152 , ""tr"" , ""en"")"),"@drfahrettinkoca dietitians are looking forward to assigning a large number of assignments with the minister 91 score of cumbershaes still acika")</f>
        <v>@drfahrettinkoca dietitians are looking forward to assigning a large number of assignments with the minister 91 score of cumbershaes still acika</v>
      </c>
    </row>
    <row r="14354" spans="1:5" ht="15" customHeight="1" x14ac:dyDescent="0.2">
      <c r="A14354" s="1" t="s">
        <v>28284</v>
      </c>
      <c r="B14354" s="1">
        <v>1</v>
      </c>
      <c r="C14354" s="3">
        <v>44527.935844907406</v>
      </c>
      <c r="D14354" s="1" t="s">
        <v>28285</v>
      </c>
      <c r="E14354" s="1" t="str">
        <f ca="1">IFERROR(__xludf.DUMMYFUNCTION("GOOGLETRANSLATE(A11153 , ""tr"" , ""en"")"),"@drfahrettinkoca EBE and nurses to be appointed as a dietitian Unacceptable Mr. Minister of KPSS without entering 98 kpss ... https://t.co/xqrbx8sycz")</f>
        <v>@drfahrettinkoca EBE and nurses to be appointed as a dietitian Unacceptable Mr. Minister of KPSS without entering 98 kpss ... https://t.co/xqrbx8sycz</v>
      </c>
    </row>
    <row r="14355" spans="1:5" ht="15" customHeight="1" x14ac:dyDescent="0.2">
      <c r="A14355" s="1" t="s">
        <v>28286</v>
      </c>
      <c r="B14355" s="1">
        <v>1</v>
      </c>
      <c r="C14355" s="3">
        <v>44527.935127314813</v>
      </c>
      <c r="D14355" s="1" t="s">
        <v>28287</v>
      </c>
      <c r="E14355" s="1" t="str">
        <f ca="1">IFERROR(__xludf.DUMMYFUNCTION("GOOGLETRANSLATE(A11154 , ""tr"" , ""en"")"),"@drfahrettinkoca non-relevant drugs Money Money Making Money DIYA EVEN INSANA Forced forcible")</f>
        <v>@drfahrettinkoca non-relevant drugs Money Money Making Money DIYA EVEN INSANA Forced forcible</v>
      </c>
    </row>
    <row r="14356" spans="1:5" ht="15" customHeight="1" x14ac:dyDescent="0.2">
      <c r="A14356" s="1" t="s">
        <v>28288</v>
      </c>
      <c r="B14356" s="1">
        <v>8</v>
      </c>
      <c r="C14356" s="3">
        <v>44527.934236111112</v>
      </c>
      <c r="D14356" s="1" t="s">
        <v>28289</v>
      </c>
      <c r="E14356" s="1" t="str">
        <f ca="1">IFERROR(__xludf.DUMMYFUNCTION("GOOGLETRANSLATE(A11155 , ""tr"" , ""en"")"),"@drfahrettinka Would you kill us? Are you freaked dear? History history drugs what your way is yay ... https://t.co/lxafkqib9s")</f>
        <v>@drfahrettinka Would you kill us? Are you freaked dear? History history drugs what your way is yay ... https://t.co/lxafkqib9s</v>
      </c>
    </row>
    <row r="14357" spans="1:5" ht="15" customHeight="1" x14ac:dyDescent="0.2">
      <c r="A14357" s="1" t="s">
        <v>28290</v>
      </c>
      <c r="B14357" s="1">
        <v>0</v>
      </c>
      <c r="C14357" s="3">
        <v>44527.932546296295</v>
      </c>
      <c r="D14357" s="1" t="s">
        <v>28291</v>
      </c>
      <c r="E14357" s="1" t="str">
        <f ca="1">IFERROR(__xludf.DUMMYFUNCTION("GOOGLETRANSLATE(A11156 , ""tr"" , ""en"")"),"@drfahrettinka https://t.co/dasucxatae")</f>
        <v>@drfahrettinka https://t.co/dasucxatae</v>
      </c>
    </row>
    <row r="14358" spans="1:5" ht="15" customHeight="1" x14ac:dyDescent="0.2">
      <c r="A14358" s="1" t="s">
        <v>28292</v>
      </c>
      <c r="B14358" s="1">
        <v>0</v>
      </c>
      <c r="C14358" s="3">
        <v>44527.930995370371</v>
      </c>
      <c r="D14358" s="1" t="s">
        <v>28293</v>
      </c>
      <c r="E14358" s="1" t="str">
        <f ca="1">IFERROR(__xludf.DUMMYFUNCTION("GOOGLETRANSLATE(A11157 , ""tr"" , ""en"")"),"@drfahrettinkoca when the vaccine will be on your agenda when")</f>
        <v>@drfahrettinkoca when the vaccine will be on your agenda when</v>
      </c>
    </row>
    <row r="14359" spans="1:5" ht="15" customHeight="1" x14ac:dyDescent="0.2">
      <c r="A14359" s="1" t="s">
        <v>28294</v>
      </c>
      <c r="B14359" s="1">
        <v>0</v>
      </c>
      <c r="C14359" s="3">
        <v>44527.927349537036</v>
      </c>
      <c r="D14359" s="1" t="s">
        <v>28295</v>
      </c>
      <c r="E14359" s="1" t="str">
        <f ca="1">IFERROR(__xludf.DUMMYFUNCTION("GOOGLETRANSLATE(A11158 , ""tr"" , ""en"")"),"@drfahrettinkoca Hope FYADA becomes the dollar euro high yeah impressed Yes Don't confuse that friends ultimately ... https://t.co/z77h4bphgz")</f>
        <v>@drfahrettinkoca Hope FYADA becomes the dollar euro high yeah impressed Yes Don't confuse that friends ultimately ... https://t.co/z77h4bphgz</v>
      </c>
    </row>
    <row r="14360" spans="1:5" ht="15" customHeight="1" x14ac:dyDescent="0.2">
      <c r="A14360" s="1" t="s">
        <v>28296</v>
      </c>
      <c r="B14360" s="1">
        <v>0</v>
      </c>
      <c r="C14360" s="3">
        <v>44527.920659722222</v>
      </c>
      <c r="D14360" s="1" t="s">
        <v>28297</v>
      </c>
      <c r="E14360" s="1" t="str">
        <f ca="1">IFERROR(__xludf.DUMMYFUNCTION("GOOGLETRANSLATE(A11159 , ""tr"" , ""en"")"),"@drfahrettinkoca licensing isinidemia asking her Aliosun")</f>
        <v>@drfahrettinkoca licensing isinidemia asking her Aliosun</v>
      </c>
    </row>
    <row r="14361" spans="1:5" ht="15" customHeight="1" x14ac:dyDescent="0.2">
      <c r="A14361" s="1" t="s">
        <v>28298</v>
      </c>
      <c r="B14361" s="1">
        <v>0</v>
      </c>
      <c r="C14361" s="3">
        <v>44527.919606481482</v>
      </c>
      <c r="D14361" s="1" t="s">
        <v>28299</v>
      </c>
      <c r="E14361" s="1" t="str">
        <f ca="1">IFERROR(__xludf.DUMMYFUNCTION("GOOGLETRANSLATE(A11160 , ""tr"" , ""en"")"),"@drfahrettinkoca 3.5 million citizens why they don't live in the Republic of Turkey! We had our citizen ... https://t.co/puvypgnq6k")</f>
        <v>@drfahrettinkoca 3.5 million citizens why they don't live in the Republic of Turkey! We had our citizen ... https://t.co/puvypgnq6k</v>
      </c>
    </row>
    <row r="14362" spans="1:5" ht="15" customHeight="1" x14ac:dyDescent="0.2">
      <c r="A14362" s="1" t="s">
        <v>28300</v>
      </c>
      <c r="B14362" s="1">
        <v>0</v>
      </c>
      <c r="C14362" s="3">
        <v>44527.918715277781</v>
      </c>
      <c r="D14362" s="1" t="s">
        <v>28301</v>
      </c>
      <c r="E14362" s="1" t="str">
        <f ca="1">IFERROR(__xludf.DUMMYFUNCTION("GOOGLETRANSLATE(A11161 , ""tr"" , ""en"")"),"@drfahrettinka continued in Turkey 🤜🇹🇷🌹🔵🔴")</f>
        <v>@drfahrettinka continued in Turkey 🤜🇹🇷🌹🔵🔴</v>
      </c>
    </row>
    <row r="14363" spans="1:5" ht="15" customHeight="1" x14ac:dyDescent="0.2">
      <c r="A14363" s="1" t="s">
        <v>28302</v>
      </c>
      <c r="B14363" s="1">
        <v>5</v>
      </c>
      <c r="C14363" s="3">
        <v>44527.918506944443</v>
      </c>
      <c r="D14363" s="1" t="s">
        <v>28303</v>
      </c>
      <c r="E14363" s="1" t="str">
        <f ca="1">IFERROR(__xludf.DUMMYFUNCTION("GOOGLETRANSLATE(A11162 , ""tr"" , ""en"")"),"@drfahrettinkoca pandemi nonsense of what you produce under the name of what you produce before you are in a public manner ... https://t.co/wbotcxr816")</f>
        <v>@drfahrettinkoca pandemi nonsense of what you produce under the name of what you produce before you are in a public manner ... https://t.co/wbotcxr816</v>
      </c>
    </row>
    <row r="14364" spans="1:5" ht="15" customHeight="1" x14ac:dyDescent="0.2">
      <c r="A14364" s="1" t="s">
        <v>28304</v>
      </c>
      <c r="B14364" s="1">
        <v>0</v>
      </c>
      <c r="C14364" s="3">
        <v>44527.91678240741</v>
      </c>
      <c r="D14364" s="1" t="s">
        <v>28305</v>
      </c>
      <c r="E14364" s="1" t="str">
        <f ca="1">IFERROR(__xludf.DUMMYFUNCTION("GOOGLETRANSLATE(A11163 , ""tr"" , ""en"")"),"@drfahrettinkoca is a while aaa after aaa is also waiting for a description of her also utility ...")</f>
        <v>@drfahrettinkoca is a while aaa after aaa is also waiting for a description of her also utility ...</v>
      </c>
    </row>
    <row r="14365" spans="1:5" ht="15" customHeight="1" x14ac:dyDescent="0.2">
      <c r="A14365" s="1" t="s">
        <v>28306</v>
      </c>
      <c r="B14365" s="1">
        <v>1</v>
      </c>
      <c r="C14365" s="3">
        <v>44527.91511574074</v>
      </c>
      <c r="D14365" s="1" t="s">
        <v>28307</v>
      </c>
      <c r="E14365" s="1" t="str">
        <f ca="1">IFERROR(__xludf.DUMMYFUNCTION("GOOGLETRANSLATE(A11164 , ""tr"" , ""en"")"),"@drfahrettinkoca Mr. Minister; Our President of Hani Economist Ti? At the same time you have a consciousness of scene ... https://t.co/nvlj1vw3j4")</f>
        <v>@drfahrettinkoca Mr. Minister; Our President of Hani Economist Ti? At the same time you have a consciousness of scene ... https://t.co/nvlj1vw3j4</v>
      </c>
    </row>
    <row r="14366" spans="1:5" ht="15" customHeight="1" x14ac:dyDescent="0.2">
      <c r="A14366" s="1" t="s">
        <v>28308</v>
      </c>
      <c r="B14366" s="1">
        <v>0</v>
      </c>
      <c r="C14366" s="3">
        <v>44527.914988425924</v>
      </c>
      <c r="D14366" s="1" t="s">
        <v>28309</v>
      </c>
      <c r="E14366" s="1" t="str">
        <f ca="1">IFERROR(__xludf.DUMMYFUNCTION("GOOGLETRANSLATE(A11165 , ""tr"" , ""en"")"),"@drfahrettinka turned out to be ineffective ineffective you have removed the drugs you have already given before silent seden ... https://t.co/ek2cc2wai3")</f>
        <v>@drfahrettinka turned out to be ineffective ineffective you have removed the drugs you have already given before silent seden ... https://t.co/ek2cc2wai3</v>
      </c>
    </row>
    <row r="14367" spans="1:5" ht="15" customHeight="1" x14ac:dyDescent="0.2">
      <c r="A14367" s="1" t="s">
        <v>28310</v>
      </c>
      <c r="B14367" s="1">
        <v>0</v>
      </c>
      <c r="C14367" s="3">
        <v>44527.911203703705</v>
      </c>
      <c r="D14367" s="1" t="s">
        <v>28311</v>
      </c>
      <c r="E14367" s="1" t="str">
        <f ca="1">IFERROR(__xludf.DUMMYFUNCTION("GOOGLETRANSLATE(A11166 , ""tr"" , ""en"")"),"@drfahrettinkoca I'm watching in sadness.")</f>
        <v>@drfahrettinkoca I'm watching in sadness.</v>
      </c>
    </row>
    <row r="14368" spans="1:5" ht="15" customHeight="1" x14ac:dyDescent="0.2">
      <c r="A14368" s="1" t="s">
        <v>28312</v>
      </c>
      <c r="B14368" s="1">
        <v>0</v>
      </c>
      <c r="C14368" s="3">
        <v>44527.910717592589</v>
      </c>
      <c r="D14368" s="1" t="s">
        <v>28313</v>
      </c>
      <c r="E14368" s="1" t="str">
        <f ca="1">IFERROR(__xludf.DUMMYFUNCTION("GOOGLETRANSLATE(A11167 , ""tr"" , ""en"")"),"@drfahrettinkoca 🤬🤬🤬🤬🤬🤬🤬")</f>
        <v>@drfahrettinkoca 🤬🤬🤬🤬🤬🤬🤬</v>
      </c>
    </row>
    <row r="14369" spans="1:5" ht="15" customHeight="1" x14ac:dyDescent="0.2">
      <c r="A14369" s="1" t="s">
        <v>28314</v>
      </c>
      <c r="B14369" s="1">
        <v>3</v>
      </c>
      <c r="C14369" s="3">
        <v>44527.994189814817</v>
      </c>
      <c r="D14369" s="1" t="s">
        <v>28315</v>
      </c>
      <c r="E14369" s="1" t="str">
        <f ca="1">IFERROR(__xludf.DUMMYFUNCTION("GOOGLETRANSLATE(A11168 , ""tr"" , ""en"")"),"@drfahrettinkoca To White Reform 240 hours CALISIP Home Road forgets but at home flexible work Officer accident ... https://t.co/gkb4n2yjqv")</f>
        <v>@drfahrettinkoca To White Reform 240 hours CALISIP Home Road forgets but at home flexible work Officer accident ... https://t.co/gkb4n2yjqv</v>
      </c>
    </row>
    <row r="14370" spans="1:5" ht="15" customHeight="1" x14ac:dyDescent="0.2">
      <c r="A14370" s="1" t="s">
        <v>28316</v>
      </c>
      <c r="B14370" s="1">
        <v>1</v>
      </c>
      <c r="C14370" s="3">
        <v>44527.993784722225</v>
      </c>
      <c r="D14370" s="1" t="s">
        <v>28317</v>
      </c>
      <c r="E14370" s="1" t="str">
        <f ca="1">IFERROR(__xludf.DUMMYFUNCTION("GOOGLETRANSLATE(A11169 , ""tr"" , ""en"")"),"@drfahrettinkoca The main virus is those who are constantly lying to us .... 😡😡😡😡 🔴 🔴 SAFTA COVID video..Big cure ... https://t.co/cmpfmmmufkv")</f>
        <v>@drfahrettinkoca The main virus is those who are constantly lying to us .... 😡😡😡😡 🔴 🔴 SAFTA COVID video..Big cure ... https://t.co/cmpfmmmufkv</v>
      </c>
    </row>
    <row r="14371" spans="1:5" ht="15" customHeight="1" x14ac:dyDescent="0.2">
      <c r="A14371" s="1" t="s">
        <v>28318</v>
      </c>
      <c r="B14371" s="1">
        <v>0</v>
      </c>
      <c r="C14371" s="3">
        <v>44527.989884259259</v>
      </c>
      <c r="D14371" s="1" t="s">
        <v>28319</v>
      </c>
      <c r="E14371" s="1" t="str">
        <f ca="1">IFERROR(__xludf.DUMMYFUNCTION("GOOGLETRANSLATE(A11170 , ""tr"" , ""en"")"),"@drfahrettinkoca but some health workers artist is the coolest of them in them")</f>
        <v>@drfahrettinkoca but some health workers artist is the coolest of them in them</v>
      </c>
    </row>
    <row r="14372" spans="1:5" ht="15" customHeight="1" x14ac:dyDescent="0.2">
      <c r="A14372" s="1" t="s">
        <v>28320</v>
      </c>
      <c r="B14372" s="1">
        <v>0</v>
      </c>
      <c r="C14372" s="3">
        <v>44527.972777777781</v>
      </c>
      <c r="D14372" s="1" t="s">
        <v>28321</v>
      </c>
      <c r="E14372" s="1" t="str">
        <f ca="1">IFERROR(__xludf.DUMMYFUNCTION("GOOGLETRANSLATE(A11171 , ""tr"" , ""en"")"),"@drfahrettinkoca pandemide The white code I gave even the penalty is given to the penalty, we also have already been editing")</f>
        <v>@drfahrettinkoca pandemide The white code I gave even the penalty is given to the penalty, we also have already been editing</v>
      </c>
    </row>
    <row r="14373" spans="1:5" ht="15" customHeight="1" x14ac:dyDescent="0.2">
      <c r="A14373" s="1" t="s">
        <v>28322</v>
      </c>
      <c r="B14373" s="1">
        <v>0</v>
      </c>
      <c r="C14373" s="3">
        <v>44527.965138888889</v>
      </c>
      <c r="D14373" s="1" t="s">
        <v>28323</v>
      </c>
      <c r="E14373" s="1" t="str">
        <f ca="1">IFERROR(__xludf.DUMMYFUNCTION("GOOGLETRANSLATE(A11172 , ""tr"" , ""en"")"),"@drfahrettinkoca Your mind is penalizing, penalizing this society at a time.")</f>
        <v>@drfahrettinkoca Your mind is penalizing, penalizing this society at a time.</v>
      </c>
    </row>
    <row r="14374" spans="1:5" ht="15" customHeight="1" x14ac:dyDescent="0.2">
      <c r="A14374" s="1" t="s">
        <v>28324</v>
      </c>
      <c r="B14374" s="1">
        <v>0</v>
      </c>
      <c r="C14374" s="3">
        <v>44527.914039351854</v>
      </c>
      <c r="D14374" s="1" t="s">
        <v>28325</v>
      </c>
      <c r="E14374" s="1" t="str">
        <f ca="1">IFERROR(__xludf.DUMMYFUNCTION("GOOGLETRANSLATE(A11173 , ""tr"" , ""en"")"),"@drfahrettinkoca executed")</f>
        <v>@drfahrettinkoca executed</v>
      </c>
    </row>
    <row r="14375" spans="1:5" ht="15" customHeight="1" x14ac:dyDescent="0.2">
      <c r="A14375" s="1" t="s">
        <v>28326</v>
      </c>
      <c r="B14375" s="1">
        <v>1</v>
      </c>
      <c r="C14375" s="3">
        <v>44527.913854166669</v>
      </c>
      <c r="D14375" s="1" t="s">
        <v>28327</v>
      </c>
      <c r="E14375" s="1" t="str">
        <f ca="1">IFERROR(__xludf.DUMMYFUNCTION("GOOGLETRANSLATE(A11174 , ""tr"" , ""en"")"),"@DrFahrettinka @GaziantEPISM is the opposition to the opposition but can be so much, the Minister of Mr. Minister, I hope that it is inherent to the power ... https://t.co/kgy4vu5k2q")</f>
        <v>@DrFahrettinka @GaziantEPISM is the opposition to the opposition but can be so much, the Minister of Mr. Minister, I hope that it is inherent to the power ... https://t.co/kgy4vu5k2q</v>
      </c>
    </row>
    <row r="14376" spans="1:5" ht="15" customHeight="1" x14ac:dyDescent="0.2">
      <c r="A14376" s="1" t="s">
        <v>28328</v>
      </c>
      <c r="B14376" s="1">
        <v>1</v>
      </c>
      <c r="C14376" s="3">
        <v>44528.967442129629</v>
      </c>
      <c r="D14376" s="1" t="s">
        <v>28329</v>
      </c>
      <c r="E14376" s="1" t="str">
        <f ca="1">IFERROR(__xludf.DUMMYFUNCTION("GOOGLETRANSLATE(A11175 , ""tr"" , ""en"")"),"@drfahrettinkoca continue to resign like physicians and do not care for our customs in our private calisamadig. Less than H ... https://t.co/jx8k8rmy18")</f>
        <v>@drfahrettinkoca continue to resign like physicians and do not care for our customs in our private calisamadig. Less than H ... https://t.co/jx8k8rmy18</v>
      </c>
    </row>
    <row r="14377" spans="1:5" ht="15" customHeight="1" x14ac:dyDescent="0.2">
      <c r="A14377" s="1" t="s">
        <v>28330</v>
      </c>
      <c r="B14377" s="1">
        <v>1</v>
      </c>
      <c r="C14377" s="3">
        <v>44528.924618055556</v>
      </c>
      <c r="D14377" s="1" t="s">
        <v>28331</v>
      </c>
      <c r="E14377" s="1" t="str">
        <f ca="1">IFERROR(__xludf.DUMMYFUNCTION("GOOGLETRANSLATE(A11176 , ""tr"" , ""en"")"),"@drfahrettinkoca @hmbakanligi @sgkemekiness https://t.co/oekwjb1rps")</f>
        <v>@drfahrettinkoca @hmbakanligi @sgkemekiness https://t.co/oekwjb1rps</v>
      </c>
    </row>
    <row r="14378" spans="1:5" ht="15" customHeight="1" x14ac:dyDescent="0.2">
      <c r="A14378" s="1" t="s">
        <v>28332</v>
      </c>
      <c r="B14378" s="1">
        <v>0</v>
      </c>
      <c r="C14378" s="3">
        <v>44528.916400462964</v>
      </c>
      <c r="D14378" s="1" t="s">
        <v>28333</v>
      </c>
      <c r="E14378" s="1" t="str">
        <f ca="1">IFERROR(__xludf.DUMMYFUNCTION("GOOGLETRANSLATE(A11177 , ""tr"" , ""en"")"),"@drfahrettinka https://t.co/m4wwlada2w")</f>
        <v>@drfahrettinka https://t.co/m4wwlada2w</v>
      </c>
    </row>
    <row r="14379" spans="1:5" ht="15" customHeight="1" x14ac:dyDescent="0.2">
      <c r="A14379" s="1" t="s">
        <v>28334</v>
      </c>
      <c r="B14379" s="1">
        <v>12</v>
      </c>
      <c r="C14379" s="3">
        <v>44527.993993055556</v>
      </c>
      <c r="D14379" s="1" t="s">
        <v>28335</v>
      </c>
      <c r="E14379" s="1" t="str">
        <f ca="1">IFERROR(__xludf.DUMMYFUNCTION("GOOGLETRANSLATE(A11178 , ""tr"" , ""en"")"),"@drfahrettinkoca To White Reform 240 hours CALISIP House Road forgetting but at home Flexible Officer as money accident ... https://t.co/tmra4xb5s0")</f>
        <v>@drfahrettinkoca To White Reform 240 hours CALISIP House Road forgetting but at home Flexible Officer as money accident ... https://t.co/tmra4xb5s0</v>
      </c>
    </row>
    <row r="14380" spans="1:5" ht="15" customHeight="1" x14ac:dyDescent="0.2">
      <c r="A14380" s="1" t="s">
        <v>28336</v>
      </c>
      <c r="B14380" s="1">
        <v>0</v>
      </c>
      <c r="C14380" s="3">
        <v>44527.957951388889</v>
      </c>
      <c r="D14380" s="1" t="s">
        <v>28337</v>
      </c>
      <c r="E14380" s="1" t="str">
        <f ca="1">IFERROR(__xludf.DUMMYFUNCTION("GOOGLETRANSLATE(A11179 , ""tr"" , ""en"")"),"@drfahrettinka Mr. Ministry of Health Crew Business Do not separate us. Our wages are the importance of us in places and Dest ... https://t.co/daux2nvwih")</f>
        <v>@drfahrettinka Mr. Ministry of Health Crew Business Do not separate us. Our wages are the importance of us in places and Dest ... https://t.co/daux2nvwih</v>
      </c>
    </row>
    <row r="14381" spans="1:5" ht="15" customHeight="1" x14ac:dyDescent="0.2">
      <c r="A14381" s="1" t="s">
        <v>28338</v>
      </c>
      <c r="B14381" s="1">
        <v>1</v>
      </c>
      <c r="C14381" s="3">
        <v>44527.956331018519</v>
      </c>
      <c r="D14381" s="1" t="s">
        <v>28339</v>
      </c>
      <c r="E14381" s="1" t="str">
        <f ca="1">IFERROR(__xludf.DUMMYFUNCTION("GOOGLETRANSLATE(A11180 , ""tr"" , ""en"")"),"@drfahrettinka especially by saying physicians, you have shown that you are the Ministry of Doctor. As the nurses have been up to us.")</f>
        <v>@drfahrettinka especially by saying physicians, you have shown that you are the Ministry of Doctor. As the nurses have been up to us.</v>
      </c>
    </row>
    <row r="14382" spans="1:5" ht="15" customHeight="1" x14ac:dyDescent="0.2">
      <c r="A14382" s="1" t="s">
        <v>28340</v>
      </c>
      <c r="B14382" s="1">
        <v>2</v>
      </c>
      <c r="C14382" s="3">
        <v>44527.94363425926</v>
      </c>
      <c r="D14382" s="1" t="s">
        <v>28341</v>
      </c>
      <c r="E14382" s="1" t="str">
        <f ca="1">IFERROR(__xludf.DUMMYFUNCTION("GOOGLETRANSLATE(A11181 , ""tr"" , ""en"")"),"@drfahrettinka Physician Ministry!")</f>
        <v>@drfahrettinka Physician Ministry!</v>
      </c>
    </row>
    <row r="14383" spans="1:5" ht="15" customHeight="1" x14ac:dyDescent="0.2">
      <c r="A14383" s="1" t="s">
        <v>28342</v>
      </c>
      <c r="B14383" s="1">
        <v>1</v>
      </c>
      <c r="C14383" s="3">
        <v>44527.938171296293</v>
      </c>
      <c r="D14383" s="1" t="s">
        <v>28343</v>
      </c>
      <c r="E14383" s="1" t="str">
        <f ca="1">IFERROR(__xludf.DUMMYFUNCTION("GOOGLETRANSLATE(A11182 , ""tr"" , ""en"")"),"@drfahrettinkoca dieticians are looking forward to assigning a large number of assignments")</f>
        <v>@drfahrettinkoca dieticians are looking forward to assigning a large number of assignments</v>
      </c>
    </row>
    <row r="14384" spans="1:5" ht="15" customHeight="1" x14ac:dyDescent="0.2">
      <c r="A14384" s="1" t="s">
        <v>28344</v>
      </c>
      <c r="B14384" s="1">
        <v>2</v>
      </c>
      <c r="C14384" s="3">
        <v>44527.937951388885</v>
      </c>
      <c r="D14384" s="1" t="s">
        <v>28345</v>
      </c>
      <c r="E14384" s="1" t="str">
        <f ca="1">IFERROR(__xludf.DUMMYFUNCTION("GOOGLETRANSLATE(A11183 , ""tr"" , ""en"")"),"@drfahrettinkoca EBE and nurses are not acceptable as a dietitian is unacceptable to the Minister of KPSS without entering the KPSS 98 ... https://t.co/1bdohdrycj")</f>
        <v>@drfahrettinkoca EBE and nurses are not acceptable as a dietitian is unacceptable to the Minister of KPSS without entering the KPSS 98 ... https://t.co/1bdohdrycj</v>
      </c>
    </row>
    <row r="14385" spans="1:5" ht="15" customHeight="1" x14ac:dyDescent="0.2">
      <c r="A14385" s="1" t="s">
        <v>28346</v>
      </c>
      <c r="B14385" s="1">
        <v>62</v>
      </c>
      <c r="C14385" s="3">
        <v>44527.910752314812</v>
      </c>
      <c r="D14385" s="1" t="s">
        <v>28347</v>
      </c>
      <c r="E14385" s="1" t="str">
        <f ca="1">IFERROR(__xludf.DUMMYFUNCTION("GOOGLETRANSLATE(A11184 , ""tr"" , ""en"")"),"@drfahrettinkoca Why should we need to improve the Rights of Salary and Statness in our physicians? Nurses and other right ... https://t.co/ekbynenvdd")</f>
        <v>@drfahrettinkoca Why should we need to improve the Rights of Salary and Statness in our physicians? Nurses and other right ... https://t.co/ekbynenvdd</v>
      </c>
    </row>
    <row r="14386" spans="1:5" ht="15" customHeight="1" x14ac:dyDescent="0.2">
      <c r="A14386" s="1" t="s">
        <v>28348</v>
      </c>
      <c r="B14386" s="1">
        <v>0</v>
      </c>
      <c r="C14386" s="3">
        <v>44534.710648148146</v>
      </c>
      <c r="D14386" s="1" t="s">
        <v>28349</v>
      </c>
      <c r="E14386" s="1" t="str">
        <f ca="1">IFERROR(__xludf.DUMMYFUNCTION("GOOGLETRANSLATE(A11185 , ""tr"" , ""en"")"),"@drfahrettinkoca 5 min One patient examination, secretary patient examination, less wage ending rotating capital, busy work ... https://t.co/conmwc7dbr")</f>
        <v>@drfahrettinkoca 5 min One patient examination, secretary patient examination, less wage ending rotating capital, busy work ... https://t.co/conmwc7dbr</v>
      </c>
    </row>
    <row r="14387" spans="1:5" ht="15" customHeight="1" x14ac:dyDescent="0.2">
      <c r="A14387" s="1" t="s">
        <v>28350</v>
      </c>
      <c r="B14387" s="1">
        <v>0</v>
      </c>
      <c r="C14387" s="3">
        <v>44533.833182870374</v>
      </c>
      <c r="D14387" s="1" t="s">
        <v>28351</v>
      </c>
      <c r="E14387" s="1" t="str">
        <f ca="1">IFERROR(__xludf.DUMMYFUNCTION("GOOGLETRANSLATE(A11186 , ""tr"" , ""en"")"),"@drfahrettinka Mr. Minister is very nice of you to try to give the right to physicians. But other health worker n ... https://t.co/dp83uzpfkq")</f>
        <v>@drfahrettinka Mr. Minister is very nice of you to try to give the right to physicians. But other health worker n ... https://t.co/dp83uzpfkq</v>
      </c>
    </row>
    <row r="14388" spans="1:5" ht="15" customHeight="1" x14ac:dyDescent="0.2">
      <c r="A14388" s="1" t="s">
        <v>28352</v>
      </c>
      <c r="B14388" s="1">
        <v>1</v>
      </c>
      <c r="C14388" s="3">
        <v>44527.966666666667</v>
      </c>
      <c r="D14388" s="1" t="s">
        <v>28353</v>
      </c>
      <c r="E14388" s="1" t="str">
        <f ca="1">IFERROR(__xludf.DUMMYFUNCTION("GOOGLETRANSLATE(A11187 , ""tr"" , ""en"")"),"@drfahrettinkoca nurses hold 14 24 hours of seizure in one month? Moreover, they work together ... https://t.co/yvmg9s3t8m")</f>
        <v>@drfahrettinkoca nurses hold 14 24 hours of seizure in one month? Moreover, they work together ... https://t.co/yvmg9s3t8m</v>
      </c>
    </row>
    <row r="14389" spans="1:5" ht="15" customHeight="1" x14ac:dyDescent="0.2">
      <c r="A14389" s="1" t="s">
        <v>27060</v>
      </c>
      <c r="B14389" s="1">
        <v>1</v>
      </c>
      <c r="C14389" s="3">
        <v>44527.937835648147</v>
      </c>
      <c r="D14389" s="1" t="s">
        <v>28354</v>
      </c>
      <c r="E14389" s="1" t="str">
        <f ca="1">IFERROR(__xludf.DUMMYFUNCTION("GOOGLETRANSLATE(A11188 , ""tr"" , ""en"")"),"@drfahrettinkoca dietitians are looking forward to assigning a large number of assignments with the minister 91 score of cumbershaes still acika")</f>
        <v>@drfahrettinkoca dietitians are looking forward to assigning a large number of assignments with the minister 91 score of cumbershaes still acika</v>
      </c>
    </row>
    <row r="14390" spans="1:5" ht="15" customHeight="1" x14ac:dyDescent="0.2">
      <c r="A14390" s="1" t="s">
        <v>28355</v>
      </c>
      <c r="B14390" s="1">
        <v>1</v>
      </c>
      <c r="C14390" s="3">
        <v>44527.937627314815</v>
      </c>
      <c r="D14390" s="1" t="s">
        <v>28356</v>
      </c>
      <c r="E14390" s="1" t="str">
        <f ca="1">IFERROR(__xludf.DUMMYFUNCTION("GOOGLETRANSLATE(A11189 , ""tr"" , ""en"")"),"@drfahrettinkoca EBE and nurses are not acceptable as a dietitian is unacceptable to the Minister of KPSS without entering the KPSS 98 ... https://t.co/hmsc7pgm2n")</f>
        <v>@drfahrettinkoca EBE and nurses are not acceptable as a dietitian is unacceptable to the Minister of KPSS without entering the KPSS 98 ... https://t.co/hmsc7pgm2n</v>
      </c>
    </row>
    <row r="14391" spans="1:5" ht="15" customHeight="1" x14ac:dyDescent="0.2">
      <c r="A14391" s="1" t="s">
        <v>28357</v>
      </c>
      <c r="B14391" s="1">
        <v>0</v>
      </c>
      <c r="C14391" s="3">
        <v>44527.933506944442</v>
      </c>
      <c r="D14391" s="1" t="s">
        <v>28358</v>
      </c>
      <c r="E14391" s="1" t="str">
        <f ca="1">IFERROR(__xludf.DUMMYFUNCTION("GOOGLETRANSLATE(A11190 , ""tr"" , ""en"")"),"@drfahrettinkoca Earth everywhere watches are the same. If you make changes to your system.")</f>
        <v>@drfahrettinkoca Earth everywhere watches are the same. If you make changes to your system.</v>
      </c>
    </row>
    <row r="14392" spans="1:5" ht="15" customHeight="1" x14ac:dyDescent="0.2">
      <c r="A14392" s="1" t="s">
        <v>28359</v>
      </c>
      <c r="B14392" s="1">
        <v>0</v>
      </c>
      <c r="C14392" s="3">
        <v>44527.92627314815</v>
      </c>
      <c r="D14392" s="1" t="s">
        <v>28360</v>
      </c>
      <c r="E14392" s="1" t="str">
        <f ca="1">IFERROR(__xludf.DUMMYFUNCTION("GOOGLETRANSLATE(A11191 , ""tr"" , ""en"")"),"@drfahrettinkoca a person married 36 hours Nasil sleepless stop can still")</f>
        <v>@drfahrettinkoca a person married 36 hours Nasil sleepless stop can still</v>
      </c>
    </row>
    <row r="14393" spans="1:5" ht="15" customHeight="1" x14ac:dyDescent="0.2">
      <c r="A14393" s="1" t="s">
        <v>28361</v>
      </c>
      <c r="B14393" s="1">
        <v>0</v>
      </c>
      <c r="C14393" s="3">
        <v>44527.91196759259</v>
      </c>
      <c r="D14393" s="1" t="s">
        <v>28362</v>
      </c>
      <c r="E14393" s="1" t="str">
        <f ca="1">IFERROR(__xludf.DUMMYFUNCTION("GOOGLETRANSLATE(A11192 , ""tr"" , ""en"")"),"@drfahrettinkoca Ya I don't understand that I have a problem. Seizure The next permission job is Hallold I'm not noticeable I mean!?")</f>
        <v>@drfahrettinkoca Ya I don't understand that I have a problem. Seizure The next permission job is Hallold I'm not noticeable I mean!?</v>
      </c>
    </row>
    <row r="14394" spans="1:5" ht="15" customHeight="1" x14ac:dyDescent="0.2">
      <c r="A14394" s="1" t="s">
        <v>28363</v>
      </c>
      <c r="B14394" s="1">
        <v>0</v>
      </c>
      <c r="C14394" s="3">
        <v>44529.947268518517</v>
      </c>
      <c r="D14394" s="1" t="s">
        <v>28364</v>
      </c>
      <c r="E14394" s="1" t="str">
        <f ca="1">IFERROR(__xludf.DUMMYFUNCTION("GOOGLETRANSLATE(A11193 , ""tr"" , ""en"")"),"@drfahrettinkoca Are you kidding me friends? The Koskoca Ministry staff becomes so detached by the workers' proble ... https://t.co/d0oyanqvsu")</f>
        <v>@drfahrettinkoca Are you kidding me friends? The Koskoca Ministry staff becomes so detached by the workers' proble ... https://t.co/d0oyanqvsu</v>
      </c>
    </row>
    <row r="14395" spans="1:5" ht="15" customHeight="1" x14ac:dyDescent="0.2">
      <c r="A14395" s="1" t="s">
        <v>28365</v>
      </c>
      <c r="B14395" s="1">
        <v>1</v>
      </c>
      <c r="C14395" s="3">
        <v>44528.941423611112</v>
      </c>
      <c r="D14395" s="1" t="s">
        <v>28366</v>
      </c>
      <c r="E14395" s="1" t="str">
        <f ca="1">IFERROR(__xludf.DUMMYFUNCTION("GOOGLETRANSLATE(A11194 , ""tr"" , ""en"")"),"@drfahrettinkoca due to the current expertise system, no one is going to abroad Mr. Minister. Low fare, long bush ... https://t.co/wprqwmdksm")</f>
        <v>@drfahrettinkoca due to the current expertise system, no one is going to abroad Mr. Minister. Low fare, long bush ... https://t.co/wprqwmdksm</v>
      </c>
    </row>
    <row r="14396" spans="1:5" ht="15" customHeight="1" x14ac:dyDescent="0.2">
      <c r="A14396" s="1" t="s">
        <v>28367</v>
      </c>
      <c r="B14396" s="1">
        <v>1</v>
      </c>
      <c r="C14396" s="3">
        <v>44528.898981481485</v>
      </c>
      <c r="D14396" s="1" t="s">
        <v>28368</v>
      </c>
      <c r="E14396" s="1" t="str">
        <f ca="1">IFERROR(__xludf.DUMMYFUNCTION("GOOGLETRANSLATE(A11195 , ""tr"" , ""en"")"),"@drfahrettinkoca I wonder a cream. Tus Sayavin has to do with the extraditions from Qatar to the future of Qatar ... https://t.co/dotyrqhbev")</f>
        <v>@drfahrettinkoca I wonder a cream. Tus Sayavin has to do with the extraditions from Qatar to the future of Qatar ... https://t.co/dotyrqhbev</v>
      </c>
    </row>
    <row r="14397" spans="1:5" ht="15" customHeight="1" x14ac:dyDescent="0.2">
      <c r="A14397" s="1" t="s">
        <v>28369</v>
      </c>
      <c r="B14397" s="1">
        <v>2</v>
      </c>
      <c r="C14397" s="3">
        <v>44528.896180555559</v>
      </c>
      <c r="D14397" s="1" t="s">
        <v>28370</v>
      </c>
      <c r="E14397" s="1" t="str">
        <f ca="1">IFERROR(__xludf.DUMMYFUNCTION("GOOGLETRANSLATE(A11196 , ""tr"" , ""en"")"),"@drfahrettinkoca requested branches; Derma, FTT, Radiology, Eye, KBB, Rad Onk, Nuclear Medicine, Biochemistry, Mikrbylj, Unsolicent ... https://t.co/ervqfuizzu")</f>
        <v>@drfahrettinkoca requested branches; Derma, FTT, Radiology, Eye, KBB, Rad Onk, Nuclear Medicine, Biochemistry, Mikrbylj, Unsolicent ... https://t.co/ervqfuizzu</v>
      </c>
    </row>
    <row r="14398" spans="1:5" ht="15" customHeight="1" x14ac:dyDescent="0.2">
      <c r="A14398" s="1" t="s">
        <v>28371</v>
      </c>
      <c r="B14398" s="1">
        <v>0</v>
      </c>
      <c r="C14398" s="3">
        <v>44528.890231481484</v>
      </c>
      <c r="D14398" s="1" t="s">
        <v>28372</v>
      </c>
      <c r="E14398" s="1" t="str">
        <f ca="1">IFERROR(__xludf.DUMMYFUNCTION("GOOGLETRANSLATE(A11197 , ""tr"" , ""en"")"),"@drfahrettinkoca You will make no problem TUS U trouble, held with bureaucrats without taking the idea of ​​the field ... https://t.co/uybnzjokof")</f>
        <v>@drfahrettinkoca You will make no problem TUS U trouble, held with bureaucrats without taking the idea of ​​the field ... https://t.co/uybnzjokof</v>
      </c>
    </row>
    <row r="14399" spans="1:5" ht="15" customHeight="1" x14ac:dyDescent="0.2">
      <c r="A14399" s="1" t="s">
        <v>28373</v>
      </c>
      <c r="B14399" s="1">
        <v>0</v>
      </c>
      <c r="C14399" s="3">
        <v>44528.882303240738</v>
      </c>
      <c r="D14399" s="1" t="s">
        <v>28374</v>
      </c>
      <c r="E14399" s="1" t="str">
        <f ca="1">IFERROR(__xludf.DUMMYFUNCTION("GOOGLETRANSLATE(A11198 , ""tr"" , ""en"")"),"@drfahrettinkoca tus TA asked the questions asked, CAGA get fit but. To add a school score service score, be suicide ... https://t.co/3tt3a3dyer")</f>
        <v>@drfahrettinkoca tus TA asked the questions asked, CAGA get fit but. To add a school score service score, be suicide ... https://t.co/3tt3a3dyer</v>
      </c>
    </row>
    <row r="14400" spans="1:5" ht="15" customHeight="1" x14ac:dyDescent="0.2">
      <c r="A14400" s="1" t="s">
        <v>28375</v>
      </c>
      <c r="B14400" s="1">
        <v>0</v>
      </c>
      <c r="C14400" s="3">
        <v>44528.866932870369</v>
      </c>
      <c r="D14400" s="1" t="s">
        <v>28376</v>
      </c>
      <c r="E14400" s="1" t="str">
        <f ca="1">IFERROR(__xludf.DUMMYFUNCTION("GOOGLETRANSLATE(A11199 , ""tr"" , ""en"")"),"@drfahrettinka physicians mobbing, insufficient money, continuous operation, unnecessary patient complaints, violence, bad retirement ... https://t.co/rjeqoelqwy")</f>
        <v>@drfahrettinka physicians mobbing, insufficient money, continuous operation, unnecessary patient complaints, violence, bad retirement ... https://t.co/rjeqoelqwy</v>
      </c>
    </row>
    <row r="14401" spans="1:5" ht="15" customHeight="1" x14ac:dyDescent="0.2">
      <c r="A14401" s="1" t="s">
        <v>28377</v>
      </c>
      <c r="B14401" s="1">
        <v>0</v>
      </c>
      <c r="C14401" s="3">
        <v>44528.86215277778</v>
      </c>
      <c r="D14401" s="1" t="s">
        <v>28378</v>
      </c>
      <c r="E14401" s="1" t="str">
        <f ca="1">IFERROR(__xludf.DUMMYFUNCTION("GOOGLETRANSLATE(A11200 , ""tr"" , ""en"")"),"@drfahrettinkoca hee you make reform. Abroad running 10 Doctors Sell your hospital with his 1-year salary ... https://t.co/dtvrtf5qgd")</f>
        <v>@drfahrettinkoca hee you make reform. Abroad running 10 Doctors Sell your hospital with his 1-year salary ... https://t.co/dtvrtf5qgd</v>
      </c>
    </row>
    <row r="14402" spans="1:5" ht="15" customHeight="1" x14ac:dyDescent="0.2">
      <c r="A14402" s="1" t="s">
        <v>28379</v>
      </c>
      <c r="B14402" s="1">
        <v>0</v>
      </c>
      <c r="C14402" s="3">
        <v>44528.858749999999</v>
      </c>
      <c r="D14402" s="1" t="s">
        <v>28380</v>
      </c>
      <c r="E14402" s="1" t="str">
        <f ca="1">IFERROR(__xludf.DUMMYFUNCTION("GOOGLETRANSLATE(A11201 , ""tr"" , ""en"")"),"@drfahrettinkoca Thank you the only fair quiz in our country We did not close to the country so fair ... https://t.co/bdhqohhyu8")</f>
        <v>@drfahrettinkoca Thank you the only fair quiz in our country We did not close to the country so fair ... https://t.co/bdhqohhyu8</v>
      </c>
    </row>
    <row r="14403" spans="1:5" ht="15" customHeight="1" x14ac:dyDescent="0.2">
      <c r="A14403" s="1" t="s">
        <v>28381</v>
      </c>
      <c r="B14403" s="1">
        <v>0</v>
      </c>
      <c r="C14403" s="3">
        <v>44528.846516203703</v>
      </c>
      <c r="D14403" s="1" t="s">
        <v>28382</v>
      </c>
      <c r="E14403" s="1" t="str">
        <f ca="1">IFERROR(__xludf.DUMMYFUNCTION("GOOGLETRANSLATE(A11202 , ""tr"" , ""en"")"),"@drfahrettinkoca you intend to sink orayida to orayida without going to have a medicine sinking in every area")</f>
        <v>@drfahrettinkoca you intend to sink orayida to orayida without going to have a medicine sinking in every area</v>
      </c>
    </row>
    <row r="14404" spans="1:5" ht="15" customHeight="1" x14ac:dyDescent="0.2">
      <c r="A14404" s="1" t="s">
        <v>28383</v>
      </c>
      <c r="B14404" s="1">
        <v>4</v>
      </c>
      <c r="C14404" s="3">
        <v>44528.844236111108</v>
      </c>
      <c r="D14404" s="1" t="s">
        <v>28384</v>
      </c>
      <c r="E14404" s="1" t="str">
        <f ca="1">IFERROR(__xludf.DUMMYFUNCTION("GOOGLETRANSLATE(A11203 , ""tr"" , ""en"")"),"@drfahrettinkoca as always decisions that are taken without asking the address of the subject. As physicians we ME from TUS ... https://t.co/a1ridodntd")</f>
        <v>@drfahrettinkoca as always decisions that are taken without asking the address of the subject. As physicians we ME from TUS ... https://t.co/a1ridodntd</v>
      </c>
    </row>
    <row r="14405" spans="1:5" ht="15" customHeight="1" x14ac:dyDescent="0.2">
      <c r="A14405" s="1" t="s">
        <v>28385</v>
      </c>
      <c r="B14405" s="1">
        <v>0</v>
      </c>
      <c r="C14405" s="3">
        <v>44528.834247685183</v>
      </c>
      <c r="D14405" s="1" t="s">
        <v>28386</v>
      </c>
      <c r="E14405" s="1" t="str">
        <f ca="1">IFERROR(__xludf.DUMMYFUNCTION("GOOGLETRANSLATE(A11204 , ""tr"" , ""en"")"),"@drfahrettinka Mr. Ministry, 400 Kount of 10 Thousand workers who will receive the Ministry of Health with the Court, 400 Count ... HTTPS://T.CO/0AKIC1KSMB")</f>
        <v>@drfahrettinka Mr. Ministry, 400 Kount of 10 Thousand workers who will receive the Ministry of Health with the Court, 400 Count ... HTTPS://T.CO/0AKIC1KSMB</v>
      </c>
    </row>
    <row r="14406" spans="1:5" ht="15" customHeight="1" x14ac:dyDescent="0.2">
      <c r="A14406" s="1" t="s">
        <v>28387</v>
      </c>
      <c r="B14406" s="1">
        <v>0</v>
      </c>
      <c r="C14406" s="3">
        <v>44527.995821759258</v>
      </c>
      <c r="D14406" s="1" t="s">
        <v>28388</v>
      </c>
      <c r="E14406" s="1" t="str">
        <f ca="1">IFERROR(__xludf.DUMMYFUNCTION("GOOGLETRANSLATE(A11205 , ""tr"" , ""en"")"),"@drfahrettinkoca So the Doctors' Doctors to overseas have been correct")</f>
        <v>@drfahrettinkoca So the Doctors' Doctors to overseas have been correct</v>
      </c>
    </row>
    <row r="14407" spans="1:5" ht="15" customHeight="1" x14ac:dyDescent="0.2">
      <c r="A14407" s="1" t="s">
        <v>28389</v>
      </c>
      <c r="B14407" s="1">
        <v>2</v>
      </c>
      <c r="C14407" s="3">
        <v>44527.993287037039</v>
      </c>
      <c r="D14407" s="1" t="s">
        <v>28390</v>
      </c>
      <c r="E14407" s="1" t="str">
        <f ca="1">IFERROR(__xludf.DUMMYFUNCTION("GOOGLETRANSLATE(A11206 , ""tr"" , ""en"")"),"@drfahrettinkoca To White Reform 240 hours CALISIP House Road forgetting but at home as flexible atmosphere accident ... https://t.co/rovgcoi4gr")</f>
        <v>@drfahrettinkoca To White Reform 240 hours CALISIP House Road forgetting but at home as flexible atmosphere accident ... https://t.co/rovgcoi4gr</v>
      </c>
    </row>
    <row r="14408" spans="1:5" ht="15" customHeight="1" x14ac:dyDescent="0.2">
      <c r="A14408" s="1" t="s">
        <v>28391</v>
      </c>
      <c r="B14408" s="1">
        <v>0</v>
      </c>
      <c r="C14408" s="3">
        <v>44527.98847222222</v>
      </c>
      <c r="D14408" s="1" t="s">
        <v>28392</v>
      </c>
      <c r="E14408" s="1" t="str">
        <f ca="1">IFERROR(__xludf.DUMMYFUNCTION("GOOGLETRANSLATE(A11207 , ""tr"" , ""en"")"),"@drfahrettinkoca is to get rid of the murders they committed is to know the top of the betrayal.")</f>
        <v>@drfahrettinkoca is to get rid of the murders they committed is to know the top of the betrayal.</v>
      </c>
    </row>
    <row r="14409" spans="1:5" ht="15" customHeight="1" x14ac:dyDescent="0.2">
      <c r="A14409" s="1" t="s">
        <v>28393</v>
      </c>
      <c r="B14409" s="1">
        <v>0</v>
      </c>
      <c r="C14409" s="3">
        <v>44527.984814814816</v>
      </c>
      <c r="D14409" s="1" t="s">
        <v>28394</v>
      </c>
      <c r="E14409" s="1" t="str">
        <f ca="1">IFERROR(__xludf.DUMMYFUNCTION("GOOGLETRANSLATE(A11208 , ""tr"" , ""en"")"),"@drfahrettinkoca heee")</f>
        <v>@drfahrettinkoca heee</v>
      </c>
    </row>
    <row r="14410" spans="1:5" ht="15" customHeight="1" x14ac:dyDescent="0.2">
      <c r="A14410" s="1" t="s">
        <v>28395</v>
      </c>
      <c r="B14410" s="1">
        <v>2</v>
      </c>
      <c r="C14410" s="3">
        <v>44527.984756944446</v>
      </c>
      <c r="D14410" s="1" t="s">
        <v>28396</v>
      </c>
      <c r="E14410" s="1" t="str">
        <f ca="1">IFERROR(__xludf.DUMMYFUNCTION("GOOGLETRANSLATE(A11209 , ""tr"" , ""en"")"),"I'm @drfahrettinkoca eye specialist, my reasons to go abroad my reasons violence in the health (almost hergun be ... https://t.co/jd7hkxfxh3")</f>
        <v>I'm @drfahrettinkoca eye specialist, my reasons to go abroad my reasons violence in the health (almost hergun be ... https://t.co/jd7hkxfxh3</v>
      </c>
    </row>
    <row r="14411" spans="1:5" ht="15" customHeight="1" x14ac:dyDescent="0.2">
      <c r="A14411" s="1" t="s">
        <v>28397</v>
      </c>
      <c r="B14411" s="1">
        <v>0</v>
      </c>
      <c r="C14411" s="3">
        <v>44527.975706018522</v>
      </c>
      <c r="D14411" s="1" t="s">
        <v>28398</v>
      </c>
      <c r="E14411" s="1" t="str">
        <f ca="1">IFERROR(__xludf.DUMMYFUNCTION("GOOGLETRANSLATE(A11210 , ""tr"" , ""en"")"),"Subject to @drfahrettinkoca If those kids experience, if the poisons you give ..")</f>
        <v>Subject to @drfahrettinkoca If those kids experience, if the poisons you give ..</v>
      </c>
    </row>
    <row r="14412" spans="1:5" ht="15" customHeight="1" x14ac:dyDescent="0.2">
      <c r="A14412" s="1" t="s">
        <v>28399</v>
      </c>
      <c r="B14412" s="1">
        <v>0</v>
      </c>
      <c r="C14412" s="3">
        <v>44527.942129629628</v>
      </c>
      <c r="D14412" s="1" t="s">
        <v>28400</v>
      </c>
      <c r="E14412" s="1" t="str">
        <f ca="1">IFERROR(__xludf.DUMMYFUNCTION("GOOGLETRANSLATE(A11211 , ""tr"" , ""en"")"),"@drfahrettinkoca inshallah put a verbal exam on exam as he is told in social media and scorcelin man scrolling ... https://t.co/awfkvjqfje")</f>
        <v>@drfahrettinkoca inshallah put a verbal exam on exam as he is told in social media and scorcelin man scrolling ... https://t.co/awfkvjqfje</v>
      </c>
    </row>
    <row r="14413" spans="1:5" ht="15" customHeight="1" x14ac:dyDescent="0.2">
      <c r="A14413" s="1" t="s">
        <v>28401</v>
      </c>
      <c r="B14413" s="1">
        <v>0</v>
      </c>
      <c r="C14413" s="3">
        <v>44527.941018518519</v>
      </c>
      <c r="D14413" s="1" t="s">
        <v>28402</v>
      </c>
      <c r="E14413" s="1" t="str">
        <f ca="1">IFERROR(__xludf.DUMMYFUNCTION("GOOGLETRANSLATE(A11212 , ""tr"" , ""en"")"),"@drfahrettinkoca The most important thing is to keep the standards in medicine education. More than low quality faculties ... https://t.co/ero5h84sjd")</f>
        <v>@drfahrettinkoca The most important thing is to keep the standards in medicine education. More than low quality faculties ... https://t.co/ero5h84sjd</v>
      </c>
    </row>
    <row r="14414" spans="1:5" ht="15" customHeight="1" x14ac:dyDescent="0.2">
      <c r="A14414" s="1" t="s">
        <v>28403</v>
      </c>
      <c r="B14414" s="1">
        <v>1</v>
      </c>
      <c r="C14414" s="3">
        <v>44527.939016203702</v>
      </c>
      <c r="D14414" s="1" t="s">
        <v>28404</v>
      </c>
      <c r="E14414" s="1" t="str">
        <f ca="1">IFERROR(__xludf.DUMMYFUNCTION("GOOGLETRANSLATE(A11213 , ""tr"" , ""en"")"),"@drfahrettinkoca ..")</f>
        <v>@drfahrettinkoca ..</v>
      </c>
    </row>
    <row r="14415" spans="1:5" ht="15" customHeight="1" x14ac:dyDescent="0.2">
      <c r="A14415" s="1" t="s">
        <v>28405</v>
      </c>
      <c r="B14415" s="1">
        <v>0</v>
      </c>
      <c r="C14415" s="3">
        <v>44527.937523148146</v>
      </c>
      <c r="D14415" s="1" t="s">
        <v>28406</v>
      </c>
      <c r="E14415" s="1" t="str">
        <f ca="1">IFERROR(__xludf.DUMMYFUNCTION("GOOGLETRANSLATE(A11214 , ""tr"" , ""en"")"),"@drfahrettinkoca dietitians are looking forward to assigning a large number of assignments to the minister 91 points are still agencies")</f>
        <v>@drfahrettinkoca dietitians are looking forward to assigning a large number of assignments to the minister 91 points are still agencies</v>
      </c>
    </row>
    <row r="14416" spans="1:5" ht="15" customHeight="1" x14ac:dyDescent="0.2">
      <c r="A14416" s="1" t="s">
        <v>28407</v>
      </c>
      <c r="B14416" s="1">
        <v>0</v>
      </c>
      <c r="C14416" s="3">
        <v>44527.937337962961</v>
      </c>
      <c r="D14416" s="1" t="s">
        <v>28408</v>
      </c>
      <c r="E14416" s="1" t="str">
        <f ca="1">IFERROR(__xludf.DUMMYFUNCTION("GOOGLETRANSLATE(A11215 , ""tr"" , ""en"")"),"@drfahrettinkoca dieticians 90 ustu rating agencies")</f>
        <v>@drfahrettinkoca dieticians 90 ustu rating agencies</v>
      </c>
    </row>
    <row r="14417" spans="1:5" ht="15" customHeight="1" x14ac:dyDescent="0.2">
      <c r="A14417" s="1" t="s">
        <v>28409</v>
      </c>
      <c r="B14417" s="1">
        <v>0</v>
      </c>
      <c r="C14417" s="3">
        <v>44527.937199074076</v>
      </c>
      <c r="D14417" s="1" t="s">
        <v>28410</v>
      </c>
      <c r="E14417" s="1" t="str">
        <f ca="1">IFERROR(__xludf.DUMMYFUNCTION("GOOGLETRANSLATE(A11216 , ""tr"" , ""en"")"),"@drfahrettinka assign a large number of dietitians")</f>
        <v>@drfahrettinka assign a large number of dietitians</v>
      </c>
    </row>
    <row r="14418" spans="1:5" ht="15" customHeight="1" x14ac:dyDescent="0.2">
      <c r="A14418" s="1" t="s">
        <v>28411</v>
      </c>
      <c r="B14418" s="1">
        <v>0</v>
      </c>
      <c r="C14418" s="3">
        <v>44527.937048611115</v>
      </c>
      <c r="D14418" s="1" t="s">
        <v>28412</v>
      </c>
      <c r="E14418" s="1" t="str">
        <f ca="1">IFERROR(__xludf.DUMMYFUNCTION("GOOGLETRANSLATE(A11217 , ""tr"" , ""en"")"),"@drfahrettinkoca EBE and nurses assigned as a dietitian is unacceptable to the Minister of Minister of KPSS without getting to KPSS 98 ... https://t.co/aejggs85na")</f>
        <v>@drfahrettinkoca EBE and nurses assigned as a dietitian is unacceptable to the Minister of Minister of KPSS without getting to KPSS 98 ... https://t.co/aejggs85na</v>
      </c>
    </row>
    <row r="14419" spans="1:5" ht="15" customHeight="1" x14ac:dyDescent="0.2">
      <c r="A14419" s="1" t="s">
        <v>28413</v>
      </c>
      <c r="B14419" s="1">
        <v>1</v>
      </c>
      <c r="C14419" s="3">
        <v>44527.925150462965</v>
      </c>
      <c r="D14419" s="1" t="s">
        <v>28414</v>
      </c>
      <c r="E14419" s="1" t="str">
        <f ca="1">IFERROR(__xludf.DUMMYFUNCTION("GOOGLETRANSLATE(A11218 , ""tr"" , ""en"")"),"@drfahrettinkoca again dot diagnosed, this head continues in the head")</f>
        <v>@drfahrettinkoca again dot diagnosed, this head continues in the head</v>
      </c>
    </row>
    <row r="14420" spans="1:5" ht="15" customHeight="1" x14ac:dyDescent="0.2">
      <c r="A14420" s="1" t="s">
        <v>28415</v>
      </c>
      <c r="B14420" s="1">
        <v>0</v>
      </c>
      <c r="C14420" s="3">
        <v>44527.919583333336</v>
      </c>
      <c r="D14420" s="1" t="s">
        <v>28416</v>
      </c>
      <c r="E14420" s="1" t="str">
        <f ca="1">IFERROR(__xludf.DUMMYFUNCTION("GOOGLETRANSLATE(A11219 , ""tr"" , ""en"")"),"@drfahrettinkoca is still amazed how it's sitting on that seat")</f>
        <v>@drfahrettinkoca is still amazed how it's sitting on that seat</v>
      </c>
    </row>
    <row r="14421" spans="1:5" ht="15" customHeight="1" x14ac:dyDescent="0.2">
      <c r="A14421" s="1" t="s">
        <v>28417</v>
      </c>
      <c r="B14421" s="1">
        <v>0</v>
      </c>
      <c r="C14421" s="3">
        <v>44527.918842592589</v>
      </c>
      <c r="D14421" s="1" t="s">
        <v>28418</v>
      </c>
      <c r="E14421" s="1" t="str">
        <f ca="1">IFERROR(__xludf.DUMMYFUNCTION("GOOGLETRANSLATE(A11220 , ""tr"" , ""en"")"),"@drfahrettinka https://t.co/cypftvheb8")</f>
        <v>@drfahrettinka https://t.co/cypftvheb8</v>
      </c>
    </row>
    <row r="14422" spans="1:5" ht="15" customHeight="1" x14ac:dyDescent="0.2">
      <c r="A14422" s="1" t="s">
        <v>28419</v>
      </c>
      <c r="B14422" s="1">
        <v>0</v>
      </c>
      <c r="C14422" s="3">
        <v>44527.916724537034</v>
      </c>
      <c r="D14422" s="1" t="s">
        <v>28420</v>
      </c>
      <c r="E14422" s="1" t="str">
        <f ca="1">IFERROR(__xludf.DUMMYFUNCTION("GOOGLETRANSLATE(A11221 , ""tr"" , ""en"")"),"@drfahrettinkoca @saglikbakanligi Meanwhile, some physician will not be bad if you give the humanity lesson to friends. Ask for ... https://t.co/ceszs0lffm")</f>
        <v>@drfahrettinkoca @saglikbakanligi Meanwhile, some physician will not be bad if you give the humanity lesson to friends. Ask for ... https://t.co/ceszs0lffm</v>
      </c>
    </row>
    <row r="14423" spans="1:5" ht="15" customHeight="1" x14ac:dyDescent="0.2">
      <c r="A14423" s="1" t="s">
        <v>28421</v>
      </c>
      <c r="B14423" s="1">
        <v>7</v>
      </c>
      <c r="C14423" s="3">
        <v>44527.916041666664</v>
      </c>
      <c r="D14423" s="1" t="s">
        <v>28422</v>
      </c>
      <c r="E14423" s="1" t="str">
        <f ca="1">IFERROR(__xludf.DUMMYFUNCTION("GOOGLETRANSLATE(A11222 , ""tr"" , ""en"")"),"@drfahrettinkoca they are looking at the upper curtain so they don't even differ even what the problem is. Crying the moment ... https://t.co/xlbf6e71ts")</f>
        <v>@drfahrettinkoca they are looking at the upper curtain so they don't even differ even what the problem is. Crying the moment ... https://t.co/xlbf6e71ts</v>
      </c>
    </row>
    <row r="14424" spans="1:5" ht="15" customHeight="1" x14ac:dyDescent="0.2">
      <c r="A14424" s="1" t="s">
        <v>28423</v>
      </c>
      <c r="B14424" s="1">
        <v>0</v>
      </c>
      <c r="C14424" s="3">
        <v>44527.913287037038</v>
      </c>
      <c r="D14424" s="1" t="s">
        <v>28424</v>
      </c>
      <c r="E14424" s="1" t="str">
        <f ca="1">IFERROR(__xludf.DUMMYFUNCTION("GOOGLETRANSLATE(A11223 , ""tr"" , ""en"")"),"@drfahrettinkoca you are unable to detect the problem, but you are gospel that you have brought solution to the problem. Https://t.co/dls4js0pxo")</f>
        <v>@drfahrettinkoca you are unable to detect the problem, but you are gospel that you have brought solution to the problem. Https://t.co/dls4js0pxo</v>
      </c>
    </row>
    <row r="14425" spans="1:5" ht="15" customHeight="1" x14ac:dyDescent="0.2">
      <c r="A14425" s="1" t="s">
        <v>28425</v>
      </c>
      <c r="B14425" s="1">
        <v>1</v>
      </c>
      <c r="C14425" s="3">
        <v>44527.913263888891</v>
      </c>
      <c r="D14425" s="1" t="s">
        <v>28426</v>
      </c>
      <c r="E14425" s="1" t="str">
        <f ca="1">IFERROR(__xludf.DUMMYFUNCTION("GOOGLETRANSLATE(A11224 , ""tr"" , ""en"")"),"@drfahrettinka Mr. Ministry of Ministry We demand fundamental changes in assigning high scores ... https://t.co/3rqpqjevwe")</f>
        <v>@drfahrettinka Mr. Ministry of Ministry We demand fundamental changes in assigning high scores ... https://t.co/3rqpqjevwe</v>
      </c>
    </row>
    <row r="14426" spans="1:5" ht="15" customHeight="1" x14ac:dyDescent="0.2">
      <c r="A14426" s="1" t="s">
        <v>28427</v>
      </c>
      <c r="B14426" s="1">
        <v>0</v>
      </c>
      <c r="C14426" s="3">
        <v>44533.829039351855</v>
      </c>
      <c r="D14426" s="1" t="s">
        <v>28428</v>
      </c>
      <c r="E14426" s="1" t="str">
        <f ca="1">IFERROR(__xludf.DUMMYFUNCTION("GOOGLETRANSLATE(A11225 , ""tr"" , ""en"")"),"@drfahrettinka Mr. Ministry Where are the nurses in these improvements.")</f>
        <v>@drfahrettinka Mr. Ministry Where are the nurses in these improvements.</v>
      </c>
    </row>
    <row r="14427" spans="1:5" ht="15" customHeight="1" x14ac:dyDescent="0.2">
      <c r="A14427" s="1" t="s">
        <v>28429</v>
      </c>
      <c r="B14427" s="1">
        <v>0</v>
      </c>
      <c r="C14427" s="3">
        <v>44532.932905092595</v>
      </c>
      <c r="D14427" s="1" t="s">
        <v>28430</v>
      </c>
      <c r="E14427" s="1" t="str">
        <f ca="1">IFERROR(__xludf.DUMMYFUNCTION("GOOGLETRANSLATE(A11226 , ""tr"" , ""en"")"),"@drfahrettinkoca is truly improvements have been made or are we only for years, fix the absorption of the absurdity ... https://t.co/c4yvisiqo5")</f>
        <v>@drfahrettinkoca is truly improvements have been made or are we only for years, fix the absorption of the absurdity ... https://t.co/c4yvisiqo5</v>
      </c>
    </row>
    <row r="14428" spans="1:5" ht="15" customHeight="1" x14ac:dyDescent="0.2">
      <c r="A14428" s="1" t="s">
        <v>28431</v>
      </c>
      <c r="B14428" s="1">
        <v>0</v>
      </c>
      <c r="C14428" s="3">
        <v>44528.937523148146</v>
      </c>
      <c r="D14428" s="1" t="s">
        <v>28432</v>
      </c>
      <c r="E14428" s="1" t="str">
        <f ca="1">IFERROR(__xludf.DUMMYFUNCTION("GOOGLETRANSLATE(A11227 , ""tr"" , ""en"")"),"@drfahrettinkoca Your believed that you will never persuade me to the SN husbandry was torrowed to tore the Spain of the truth ... https://t.co/w8eobilhk2")</f>
        <v>@drfahrettinkoca Your believed that you will never persuade me to the SN husbandry was torrowed to tore the Spain of the truth ... https://t.co/w8eobilhk2</v>
      </c>
    </row>
    <row r="14429" spans="1:5" ht="15" customHeight="1" x14ac:dyDescent="0.2">
      <c r="A14429" s="1" t="s">
        <v>28433</v>
      </c>
      <c r="B14429" s="1">
        <v>1</v>
      </c>
      <c r="C14429" s="3">
        <v>44527.929606481484</v>
      </c>
      <c r="D14429" s="1" t="s">
        <v>28434</v>
      </c>
      <c r="E14429" s="1" t="str">
        <f ca="1">IFERROR(__xludf.DUMMYFUNCTION("GOOGLETRANSLATE(A11228 , ""tr"" , ""en"")"),"@drfahrettinka learned that there is no drug in which our country can produce.")</f>
        <v>@drfahrettinka learned that there is no drug in which our country can produce.</v>
      </c>
    </row>
    <row r="14430" spans="1:5" ht="15" customHeight="1" x14ac:dyDescent="0.2">
      <c r="A14430" s="1" t="s">
        <v>28435</v>
      </c>
      <c r="B14430" s="1">
        <v>3</v>
      </c>
      <c r="C14430" s="3">
        <v>44528.889016203706</v>
      </c>
      <c r="D14430" s="1" t="s">
        <v>28436</v>
      </c>
      <c r="E14430" s="1" t="str">
        <f ca="1">IFERROR(__xludf.DUMMYFUNCTION("GOOGLETRANSLATE(A11229 , ""tr"" , ""en"")"),"@drfahrettinkoca pandem fighting shape https://t.co/t1rvv4lxj6")</f>
        <v>@drfahrettinkoca pandem fighting shape https://t.co/t1rvv4lxj6</v>
      </c>
    </row>
    <row r="14431" spans="1:5" ht="15" customHeight="1" x14ac:dyDescent="0.2">
      <c r="A14431" s="1" t="s">
        <v>28437</v>
      </c>
      <c r="B14431" s="1">
        <v>0</v>
      </c>
      <c r="C14431" s="3">
        <v>44528.876921296294</v>
      </c>
      <c r="D14431" s="1" t="s">
        <v>28438</v>
      </c>
      <c r="E14431" s="1" t="str">
        <f ca="1">IFERROR(__xludf.DUMMYFUNCTION("GOOGLETRANSLATE(A11230 , ""tr"" , ""en"")"),"@drfahrettinkoca I hope we can't come across. 🤲")</f>
        <v>@drfahrettinkoca I hope we can't come across. 🤲</v>
      </c>
    </row>
    <row r="14432" spans="1:5" ht="15" customHeight="1" x14ac:dyDescent="0.2">
      <c r="A14432" s="1" t="s">
        <v>28439</v>
      </c>
      <c r="B14432" s="1">
        <v>1</v>
      </c>
      <c r="C14432" s="3">
        <v>44528.860381944447</v>
      </c>
      <c r="D14432" s="1" t="s">
        <v>28440</v>
      </c>
      <c r="E14432" s="1" t="str">
        <f ca="1">IFERROR(__xludf.DUMMYFUNCTION("GOOGLETRANSLATE(A11231 , ""tr"" , ""en"")"),"@drfahrettinkoca South African Prime Minister; '' Lies Lies, we are fine here in South Africa, Burdah Varyan ... https://t.co/lvzb5habct")</f>
        <v>@drfahrettinkoca South African Prime Minister; '' Lies Lies, we are fine here in South Africa, Burdah Varyan ... https://t.co/lvzb5habct</v>
      </c>
    </row>
    <row r="14433" spans="1:5" ht="15" customHeight="1" x14ac:dyDescent="0.2">
      <c r="A14433" s="1" t="s">
        <v>28441</v>
      </c>
      <c r="B14433" s="1">
        <v>0</v>
      </c>
      <c r="C14433" s="3">
        <v>44527.996412037035</v>
      </c>
      <c r="D14433" s="1" t="s">
        <v>28442</v>
      </c>
      <c r="E14433" s="1" t="str">
        <f ca="1">IFERROR(__xludf.DUMMYFUNCTION("GOOGLETRANSLATE(A11232 , ""tr"" , ""en"")"),"@drfahrettinkoca How you took a Onleme You can know here in us since the beginning we have received a tenleme you didn't have a hic")</f>
        <v>@drfahrettinkoca How you took a Onleme You can know here in us since the beginning we have received a tenleme you didn't have a hic</v>
      </c>
    </row>
    <row r="14434" spans="1:5" ht="15" customHeight="1" x14ac:dyDescent="0.2">
      <c r="A14434" s="1" t="s">
        <v>28443</v>
      </c>
      <c r="B14434" s="1">
        <v>0</v>
      </c>
      <c r="C14434" s="3">
        <v>44527.974965277775</v>
      </c>
      <c r="D14434" s="1" t="s">
        <v>28444</v>
      </c>
      <c r="E14434" s="1" t="str">
        <f ca="1">IFERROR(__xludf.DUMMYFUNCTION("GOOGLETRANSLATE(A11233 , ""tr"" , ""en"")"),"@drfahrettinkoca after omicron, then we're gone to the Omega Variant get off before we get off before")</f>
        <v>@drfahrettinkoca after omicron, then we're gone to the Omega Variant get off before we get off before</v>
      </c>
    </row>
    <row r="14435" spans="1:5" ht="15" customHeight="1" x14ac:dyDescent="0.2">
      <c r="A14435" s="1" t="s">
        <v>28445</v>
      </c>
      <c r="B14435" s="1">
        <v>2</v>
      </c>
      <c r="C14435" s="3">
        <v>44527.972268518519</v>
      </c>
      <c r="D14435" s="1" t="s">
        <v>28446</v>
      </c>
      <c r="E14435" s="1" t="str">
        <f ca="1">IFERROR(__xludf.DUMMYFUNCTION("GOOGLETRANSLATE(A11234 , ""tr"" , ""en"")"),"@drfahrettinkoca ❗️ https://t.co/yu3adnmalc")</f>
        <v>@drfahrettinkoca ❗️ https://t.co/yu3adnmalc</v>
      </c>
    </row>
    <row r="14436" spans="1:5" ht="15" customHeight="1" x14ac:dyDescent="0.2">
      <c r="A14436" s="1" t="s">
        <v>28447</v>
      </c>
      <c r="B14436" s="1">
        <v>0</v>
      </c>
      <c r="C14436" s="3">
        <v>44527.965613425928</v>
      </c>
      <c r="D14436" s="1" t="s">
        <v>28448</v>
      </c>
      <c r="E14436" s="1" t="str">
        <f ca="1">IFERROR(__xludf.DUMMYFUNCTION("GOOGLETRANSLATE(A11235 , ""tr"" , ""en"")"),"@drfahrettinkoca there is also a precaution in the country")</f>
        <v>@drfahrettinkoca there is also a precaution in the country</v>
      </c>
    </row>
    <row r="14437" spans="1:5" ht="15" customHeight="1" x14ac:dyDescent="0.2">
      <c r="A14437" s="1" t="s">
        <v>28449</v>
      </c>
      <c r="B14437" s="1">
        <v>2</v>
      </c>
      <c r="C14437" s="3">
        <v>44527.934340277781</v>
      </c>
      <c r="D14437" s="1" t="s">
        <v>28450</v>
      </c>
      <c r="E14437" s="1" t="str">
        <f ca="1">IFERROR(__xludf.DUMMYFUNCTION("GOOGLETRANSLATE(A11236 , ""tr"" , ""en"")"),"@drfahrettinkoca is no more than hunger variant's percentage of a variant. The standard that you are ... https://t.co/ryjmvkaslx")</f>
        <v>@drfahrettinkoca is no more than hunger variant's percentage of a variant. The standard that you are ... https://t.co/ryjmvkaslx</v>
      </c>
    </row>
    <row r="14438" spans="1:5" ht="15" customHeight="1" x14ac:dyDescent="0.2">
      <c r="A14438" s="1" t="s">
        <v>28451</v>
      </c>
      <c r="B14438" s="1">
        <v>0</v>
      </c>
      <c r="C14438" s="3">
        <v>44527.922719907408</v>
      </c>
      <c r="D14438" s="1" t="s">
        <v>28452</v>
      </c>
      <c r="E14438" s="1" t="str">
        <f ca="1">IFERROR(__xludf.DUMMYFUNCTION("GOOGLETRANSLATE(A11237 , ""tr"" , ""en"")"),"@drfahrettinkoca is also spreading like the beginning as it is in each variastation, then spread everywhere, either ... https://t.co/0rsluvzfs5")</f>
        <v>@drfahrettinkoca is also spreading like the beginning as it is in each variastation, then spread everywhere, either ... https://t.co/0rsluvzfs5</v>
      </c>
    </row>
    <row r="14439" spans="1:5" ht="15" customHeight="1" x14ac:dyDescent="0.2">
      <c r="A14439" s="1" t="s">
        <v>28453</v>
      </c>
      <c r="B14439" s="1">
        <v>0</v>
      </c>
      <c r="C14439" s="3">
        <v>44527.921805555554</v>
      </c>
      <c r="D14439" s="1" t="s">
        <v>28454</v>
      </c>
      <c r="E14439" s="1" t="str">
        <f ca="1">IFERROR(__xludf.DUMMYFUNCTION("GOOGLETRANSLATE(A11238 , ""tr"" , ""en"")"),"@drfahrettinkoca is increasing in cases as grows increases no charity but not visible man")</f>
        <v>@drfahrettinkoca is increasing in cases as grows increases no charity but not visible man</v>
      </c>
    </row>
    <row r="14440" spans="1:5" ht="15" customHeight="1" x14ac:dyDescent="0.2">
      <c r="A14440" s="1" t="s">
        <v>28455</v>
      </c>
      <c r="B14440" s="1">
        <v>0</v>
      </c>
      <c r="C14440" s="3">
        <v>44527.920439814814</v>
      </c>
      <c r="D14440" s="1" t="s">
        <v>28456</v>
      </c>
      <c r="E14440" s="1" t="str">
        <f ca="1">IFERROR(__xludf.DUMMYFUNCTION("GOOGLETRANSLATE(A11239 , ""tr"" , ""en"")"),"@drfahrettinkoca VALLA Mr. Minister, my dear Minister We do not know what we don't know what is the right decisions more than HI ... https://t.co/ergoxk4zxa")</f>
        <v>@drfahrettinkoca VALLA Mr. Minister, my dear Minister We do not know what we don't know what is the right decisions more than HI ... https://t.co/ergoxk4zxa</v>
      </c>
    </row>
    <row r="14441" spans="1:5" ht="15" customHeight="1" x14ac:dyDescent="0.2">
      <c r="A14441" s="1" t="s">
        <v>28457</v>
      </c>
      <c r="B14441" s="1">
        <v>1</v>
      </c>
      <c r="C14441" s="3">
        <v>44527.988356481481</v>
      </c>
      <c r="D14441" s="1" t="s">
        <v>28458</v>
      </c>
      <c r="E14441" s="1" t="str">
        <f ca="1">IFERROR(__xludf.DUMMYFUNCTION("GOOGLETRANSLATE(A11240 , ""tr"" , ""en"")"),"@drfahrettinkoca @belgindhyana I tried to figure it out for the real or fame of fainting. Hepten broke the head ... https://t.co/4cgfxoIkcz")</f>
        <v>@drfahrettinkoca @belgindhyana I tried to figure it out for the real or fame of fainting. Hepten broke the head ... https://t.co/4cgfxoIkcz</v>
      </c>
    </row>
    <row r="14442" spans="1:5" ht="15" customHeight="1" x14ac:dyDescent="0.2">
      <c r="A14442" s="1" t="s">
        <v>28459</v>
      </c>
      <c r="B14442" s="1">
        <v>0</v>
      </c>
      <c r="C14442" s="3">
        <v>44527.950868055559</v>
      </c>
      <c r="D14442" s="1" t="s">
        <v>28460</v>
      </c>
      <c r="E14442" s="1" t="str">
        <f ca="1">IFERROR(__xludf.DUMMYFUNCTION("GOOGLETRANSLATE(A11241 , ""tr"" , ""en"")"),"Look @drfahrettinka Look now also doing the German rhinestone")</f>
        <v>Look @drfahrettinka Look now also doing the German rhinestone</v>
      </c>
    </row>
    <row r="14443" spans="1:5" ht="15" customHeight="1" x14ac:dyDescent="0.2">
      <c r="A14443" s="1" t="s">
        <v>28461</v>
      </c>
      <c r="B14443" s="1">
        <v>2</v>
      </c>
      <c r="C14443" s="3">
        <v>44527.940601851849</v>
      </c>
      <c r="D14443" s="1" t="s">
        <v>28462</v>
      </c>
      <c r="E14443" s="1" t="str">
        <f ca="1">IFERROR(__xludf.DUMMYFUNCTION("GOOGLETRANSLATE(A11242 , ""tr"" , ""en"")"),"@drfahrettinkoca Ministry of Doctors Learn German Is the explanations will publish in German.")</f>
        <v>@drfahrettinkoca Ministry of Doctors Learn German Is the explanations will publish in German.</v>
      </c>
    </row>
    <row r="14444" spans="1:5" ht="15" customHeight="1" x14ac:dyDescent="0.2">
      <c r="A14444" s="1" t="s">
        <v>28463</v>
      </c>
      <c r="B14444" s="1">
        <v>1</v>
      </c>
      <c r="C14444" s="3">
        <v>44527.935694444444</v>
      </c>
      <c r="D14444" s="1" t="s">
        <v>28464</v>
      </c>
      <c r="E14444" s="1" t="str">
        <f ca="1">IFERROR(__xludf.DUMMYFUNCTION("GOOGLETRANSLATE(A11243 , ""tr"" , ""en"")"),"@drfahrettinkoca distributes charity from our overlooking glass waiting at the payee ....")</f>
        <v>@drfahrettinkoca distributes charity from our overlooking glass waiting at the payee ....</v>
      </c>
    </row>
    <row r="14445" spans="1:5" ht="15" customHeight="1" x14ac:dyDescent="0.2">
      <c r="A14445" s="1" t="s">
        <v>28465</v>
      </c>
      <c r="B14445" s="1">
        <v>5</v>
      </c>
      <c r="C14445" s="3">
        <v>44527.934479166666</v>
      </c>
      <c r="D14445" s="1" t="s">
        <v>28466</v>
      </c>
      <c r="E14445" s="1" t="str">
        <f ca="1">IFERROR(__xludf.DUMMYFUNCTION("GOOGLETRANSLATE(A11244 , ""tr"" , ""en"")"),"@drfahrettinkoca uh mohte fuf dumplings? #typical")</f>
        <v>@drfahrettinkoca uh mohte fuf dumplings? #typical</v>
      </c>
    </row>
    <row r="14446" spans="1:5" ht="15" customHeight="1" x14ac:dyDescent="0.2">
      <c r="A14446" s="1" t="s">
        <v>28467</v>
      </c>
      <c r="B14446" s="1">
        <v>0</v>
      </c>
      <c r="C14446" s="3">
        <v>44527.923900462964</v>
      </c>
      <c r="D14446" s="1" t="s">
        <v>28468</v>
      </c>
      <c r="E14446" s="1" t="str">
        <f ca="1">IFERROR(__xludf.DUMMYFUNCTION("GOOGLETRANSLATE(A11245 , ""tr"" , ""en"")"),"@drfahrettinkoca so bi fuck go says that the person is coming, can't say, why? Because judgment is memory members. Fuck ... https://t.co/jxcgvxfzl3")</f>
        <v>@drfahrettinkoca so bi fuck go says that the person is coming, can't say, why? Because judgment is memory members. Fuck ... https://t.co/jxcgvxfzl3</v>
      </c>
    </row>
    <row r="14447" spans="1:5" ht="15" customHeight="1" x14ac:dyDescent="0.2">
      <c r="A14447" s="1" t="s">
        <v>28469</v>
      </c>
      <c r="B14447" s="1">
        <v>0</v>
      </c>
      <c r="C14447" s="3">
        <v>44530.889305555553</v>
      </c>
      <c r="D14447" s="1" t="s">
        <v>28470</v>
      </c>
      <c r="E14447" s="1" t="str">
        <f ca="1">IFERROR(__xludf.DUMMYFUNCTION("GOOGLETRANSLATE(A11246 , ""tr"" , ""en"")"),"@drfahrettinkoca ripped nun fave misunderstood")</f>
        <v>@drfahrettinkoca ripped nun fave misunderstood</v>
      </c>
    </row>
    <row r="14448" spans="1:5" ht="15" customHeight="1" x14ac:dyDescent="0.2">
      <c r="A14448" s="1" t="s">
        <v>28471</v>
      </c>
      <c r="B14448" s="1">
        <v>0</v>
      </c>
      <c r="C14448" s="3">
        <v>44529.934363425928</v>
      </c>
      <c r="D14448" s="1" t="s">
        <v>28472</v>
      </c>
      <c r="E14448" s="1" t="str">
        <f ca="1">IFERROR(__xludf.DUMMYFUNCTION("GOOGLETRANSLATE(A11247 , ""tr"" , ""en"")"),"@drfahrettinkoca a shut up for Allah's consent is now from the collar of this nationality. If people are vaccinated, the number of cases is loaded ... https://t.co/26ytv3djsn")</f>
        <v>@drfahrettinkoca a shut up for Allah's consent is now from the collar of this nationality. If people are vaccinated, the number of cases is loaded ... https://t.co/26ytv3djsn</v>
      </c>
    </row>
    <row r="14449" spans="1:5" ht="15" customHeight="1" x14ac:dyDescent="0.2">
      <c r="A14449" s="1" t="s">
        <v>28473</v>
      </c>
      <c r="B14449" s="1">
        <v>0</v>
      </c>
      <c r="C14449" s="3">
        <v>44528.928587962961</v>
      </c>
      <c r="D14449" s="1" t="s">
        <v>28474</v>
      </c>
      <c r="E14449" s="1" t="str">
        <f ca="1">IFERROR(__xludf.DUMMYFUNCTION("GOOGLETRANSLATE(A11248 , ""tr"" , ""en"")"),"@drfahrettinkoca covit 19 Vaccines that produces vaccines Covit 19 U finishes Germany producing vaccination am ... https://t.co/2h5yty3vg4")</f>
        <v>@drfahrettinkoca covit 19 Vaccines that produces vaccines Covit 19 U finishes Germany producing vaccination am ... https://t.co/2h5yty3vg4</v>
      </c>
    </row>
    <row r="14450" spans="1:5" ht="15" customHeight="1" x14ac:dyDescent="0.2">
      <c r="A14450" s="1" t="s">
        <v>28475</v>
      </c>
      <c r="B14450" s="1">
        <v>1</v>
      </c>
      <c r="C14450" s="3">
        <v>44528.897638888891</v>
      </c>
      <c r="D14450" s="1" t="s">
        <v>28476</v>
      </c>
      <c r="E14450" s="1" t="str">
        <f ca="1">IFERROR(__xludf.DUMMYFUNCTION("GOOGLETRANSLATE(A11249 , ""tr"" , ""en"")"),"@drfahrettinkoca @drfahrettinkoca @sadopan has been reached when the figures we can't reach when there is no more than 75% of people. ... https://t.co/jxiedxe0gd")</f>
        <v>@drfahrettinkoca @drfahrettinkoca @sadopan has been reached when the figures we can't reach when there is no more than 75% of people. ... https://t.co/jxiedxe0gd</v>
      </c>
    </row>
    <row r="14451" spans="1:5" ht="15" customHeight="1" x14ac:dyDescent="0.2">
      <c r="A14451" s="1" t="s">
        <v>28477</v>
      </c>
      <c r="B14451" s="1">
        <v>0</v>
      </c>
      <c r="C14451" s="3">
        <v>44528.879363425927</v>
      </c>
      <c r="D14451" s="1" t="s">
        <v>28478</v>
      </c>
      <c r="E14451" s="1" t="str">
        <f ca="1">IFERROR(__xludf.DUMMYFUNCTION("GOOGLETRANSLATE(A11250 , ""tr"" , ""en"")"),"@drfahrettinkoca Don't be afraid I find the immortality's remedy You have the minister vaccine give allah.")</f>
        <v>@drfahrettinkoca Don't be afraid I find the immortality's remedy You have the minister vaccine give allah.</v>
      </c>
    </row>
    <row r="14452" spans="1:5" ht="15" customHeight="1" x14ac:dyDescent="0.2">
      <c r="A14452" s="1" t="s">
        <v>28479</v>
      </c>
      <c r="B14452" s="1">
        <v>0</v>
      </c>
      <c r="C14452" s="3">
        <v>44528.855462962965</v>
      </c>
      <c r="D14452" s="1" t="s">
        <v>28480</v>
      </c>
      <c r="E14452" s="1" t="str">
        <f ca="1">IFERROR(__xludf.DUMMYFUNCTION("GOOGLETRANSLATE(A11251 , ""tr"" , ""en"")"),"@drfahrettinka vaccines accelerate death events. I don't understand that this is still not good to fasten the vaccine.")</f>
        <v>@drfahrettinka vaccines accelerate death events. I don't understand that this is still not good to fasten the vaccine.</v>
      </c>
    </row>
    <row r="14453" spans="1:5" ht="15" customHeight="1" x14ac:dyDescent="0.2">
      <c r="A14453" s="1" t="s">
        <v>28481</v>
      </c>
      <c r="B14453" s="1">
        <v>2</v>
      </c>
      <c r="C14453" s="3">
        <v>44528.825925925928</v>
      </c>
      <c r="D14453" s="1" t="s">
        <v>28482</v>
      </c>
      <c r="E14453" s="1" t="str">
        <f ca="1">IFERROR(__xludf.DUMMYFUNCTION("GOOGLETRANSLATE(A11252 , ""tr"" , ""en"")"),"@drfahrettinkoca you are thinking of an improvement for nurses receiving low salary from cleaning worker")</f>
        <v>@drfahrettinkoca you are thinking of an improvement for nurses receiving low salary from cleaning worker</v>
      </c>
    </row>
    <row r="14454" spans="1:5" ht="15" customHeight="1" x14ac:dyDescent="0.2">
      <c r="A14454" s="1" t="s">
        <v>28483</v>
      </c>
      <c r="B14454" s="1">
        <v>0</v>
      </c>
      <c r="C14454" s="3">
        <v>44527.995567129627</v>
      </c>
      <c r="D14454" s="1" t="s">
        <v>28484</v>
      </c>
      <c r="E14454" s="1" t="str">
        <f ca="1">IFERROR(__xludf.DUMMYFUNCTION("GOOGLETRANSLATE(A11253 , ""tr"" , ""en"")"),"@drfahrettinkoca how is it happening if you don't have a brain")</f>
        <v>@drfahrettinkoca how is it happening if you don't have a brain</v>
      </c>
    </row>
    <row r="14455" spans="1:5" ht="15" customHeight="1" x14ac:dyDescent="0.2">
      <c r="A14455" s="1" t="s">
        <v>28485</v>
      </c>
      <c r="B14455" s="1">
        <v>131</v>
      </c>
      <c r="C14455" s="3">
        <v>44527.995358796295</v>
      </c>
      <c r="D14455" s="1" t="s">
        <v>28486</v>
      </c>
      <c r="E14455" s="1" t="str">
        <f ca="1">IFERROR(__xludf.DUMMYFUNCTION("GOOGLETRANSLATE(A11254 , ""tr"" , ""en"")"),"@drfahrettinkoca SN You are right at the Minister. The state of Germany is grave. The number of cases in the case of the Case is the second of the vaccination rates ... https://t.co/zgpp2ztnf2")</f>
        <v>@drfahrettinkoca SN You are right at the Minister. The state of Germany is grave. The number of cases in the case of the Case is the second of the vaccination rates ... https://t.co/zgpp2ztnf2</v>
      </c>
    </row>
    <row r="14456" spans="1:5" ht="15" customHeight="1" x14ac:dyDescent="0.2">
      <c r="A14456" s="1" t="s">
        <v>28487</v>
      </c>
      <c r="B14456" s="1">
        <v>1</v>
      </c>
      <c r="C14456" s="3">
        <v>44527.994930555556</v>
      </c>
      <c r="D14456" s="1" t="s">
        <v>28488</v>
      </c>
      <c r="E14456" s="1" t="str">
        <f ca="1">IFERROR(__xludf.DUMMYFUNCTION("GOOGLETRANSLATE(A11255 , ""tr"" , ""en"")"),"@drfahrettinkoca Thank you as an expatriate, everyone is up to our homeland in Turkey")</f>
        <v>@drfahrettinkoca Thank you as an expatriate, everyone is up to our homeland in Turkey</v>
      </c>
    </row>
    <row r="14457" spans="1:5" ht="15" customHeight="1" x14ac:dyDescent="0.2">
      <c r="A14457" s="1" t="s">
        <v>28489</v>
      </c>
      <c r="B14457" s="1">
        <v>0</v>
      </c>
      <c r="C14457" s="3">
        <v>44527.994641203702</v>
      </c>
      <c r="D14457" s="1" t="s">
        <v>28490</v>
      </c>
      <c r="E14457" s="1" t="str">
        <f ca="1">IFERROR(__xludf.DUMMYFUNCTION("GOOGLETRANSLATE(A11256 , ""tr"" , ""en"")"),"Why did the @drfahrettinka cause the vaccines? Whereas the cases with the miracle fluids did the cases should be finished?")</f>
        <v>Why did the @drfahrettinka cause the vaccines? Whereas the cases with the miracle fluids did the cases should be finished?</v>
      </c>
    </row>
    <row r="14458" spans="1:5" ht="15" customHeight="1" x14ac:dyDescent="0.2">
      <c r="A14458" s="1" t="s">
        <v>28491</v>
      </c>
      <c r="B14458" s="1">
        <v>0</v>
      </c>
      <c r="C14458" s="3">
        <v>44527.994166666664</v>
      </c>
      <c r="D14458" s="1" t="s">
        <v>28492</v>
      </c>
      <c r="E14458" s="1" t="str">
        <f ca="1">IFERROR(__xludf.DUMMYFUNCTION("GOOGLETRANSLATE(A11257 , ""tr"" , ""en"")"),"@drfahrettinkoca vaccine don't work we trash our money")</f>
        <v>@drfahrettinkoca vaccine don't work we trash our money</v>
      </c>
    </row>
    <row r="14459" spans="1:5" ht="15" customHeight="1" x14ac:dyDescent="0.2">
      <c r="A14459" s="1" t="s">
        <v>28493</v>
      </c>
      <c r="B14459" s="1">
        <v>0</v>
      </c>
      <c r="C14459" s="3">
        <v>44527.993078703701</v>
      </c>
      <c r="D14459" s="1" t="s">
        <v>28494</v>
      </c>
      <c r="E14459" s="1" t="str">
        <f ca="1">IFERROR(__xludf.DUMMYFUNCTION("GOOGLETRANSLATE(A11258 , ""tr"" , ""en"")"),"@drfahrettinkoca Turkey is finished.")</f>
        <v>@drfahrettinkoca Turkey is finished.</v>
      </c>
    </row>
    <row r="14460" spans="1:5" ht="15" customHeight="1" x14ac:dyDescent="0.2">
      <c r="A14460" s="1" t="s">
        <v>28495</v>
      </c>
      <c r="B14460" s="1">
        <v>0</v>
      </c>
      <c r="C14460" s="3">
        <v>44527.992638888885</v>
      </c>
      <c r="D14460" s="1" t="s">
        <v>28496</v>
      </c>
      <c r="E14460" s="1" t="str">
        <f ca="1">IFERROR(__xludf.DUMMYFUNCTION("GOOGLETRANSLATE(A11259 , ""tr"" , ""en"")"),"@drfahrettinkoca is also this turned out! .. Is there a request of Germany?")</f>
        <v>@drfahrettinkoca is also this turned out! .. Is there a request of Germany?</v>
      </c>
    </row>
    <row r="14461" spans="1:5" ht="15" customHeight="1" x14ac:dyDescent="0.2">
      <c r="A14461" s="1" t="s">
        <v>28497</v>
      </c>
      <c r="B14461" s="1">
        <v>0</v>
      </c>
      <c r="C14461" s="3">
        <v>44527.992037037038</v>
      </c>
      <c r="D14461" s="1" t="s">
        <v>28498</v>
      </c>
      <c r="E14461" s="1" t="str">
        <f ca="1">IFERROR(__xludf.DUMMYFUNCTION("GOOGLETRANSLATE(A11260 , ""tr"" , ""en"")"),"@drfahrettinkoca Hocan Nacizane Derin is spreading from micron air conditioners. Bride if you want to give up every new interest ... https://t.co/xzmjm053oo")</f>
        <v>@drfahrettinkoca Hocan Nacizane Derin is spreading from micron air conditioners. Bride if you want to give up every new interest ... https://t.co/xzmjm053oo</v>
      </c>
    </row>
    <row r="14462" spans="1:5" ht="15" customHeight="1" x14ac:dyDescent="0.2">
      <c r="A14462" s="1" t="s">
        <v>28499</v>
      </c>
      <c r="B14462" s="1">
        <v>0</v>
      </c>
      <c r="C14462" s="3">
        <v>44527.991527777776</v>
      </c>
      <c r="D14462" s="1" t="s">
        <v>28500</v>
      </c>
      <c r="E14462" s="1" t="str">
        <f ca="1">IFERROR(__xludf.DUMMYFUNCTION("GOOGLETRANSLATE(A11261 , ""tr"" , ""en"")"),"@drfahrettinkoca You are your joke !!!!!")</f>
        <v>@drfahrettinkoca You are your joke !!!!!</v>
      </c>
    </row>
    <row r="14463" spans="1:5" ht="15" customHeight="1" x14ac:dyDescent="0.2">
      <c r="A14463" s="1" t="s">
        <v>28501</v>
      </c>
      <c r="B14463" s="1">
        <v>0</v>
      </c>
      <c r="C14463" s="3">
        <v>44527.985613425924</v>
      </c>
      <c r="D14463" s="1" t="s">
        <v>28502</v>
      </c>
      <c r="E14463" s="1" t="str">
        <f ca="1">IFERROR(__xludf.DUMMYFUNCTION("GOOGLETRANSLATE(A11262 , ""tr"" , ""en"")"),"@drfahrettinkoca What to me !! You are not entitled to forget your own country in each field")</f>
        <v>@drfahrettinkoca What to me !! You are not entitled to forget your own country in each field</v>
      </c>
    </row>
    <row r="14464" spans="1:5" ht="15" customHeight="1" x14ac:dyDescent="0.2">
      <c r="A14464" s="1" t="s">
        <v>28503</v>
      </c>
      <c r="B14464" s="1">
        <v>3</v>
      </c>
      <c r="C14464" s="3">
        <v>44527.982534722221</v>
      </c>
      <c r="D14464" s="1" t="s">
        <v>28504</v>
      </c>
      <c r="E14464" s="1" t="str">
        <f ca="1">IFERROR(__xludf.DUMMYFUNCTION("GOOGLETRANSLATE(A11263 , ""tr"" , ""en"")"),"@drfahrettinkoca Yahu See our own citizen first Mr. Minister Hergun 200 people expedious healthcare hectic ... https://t.co/hfijnkdvju")</f>
        <v>@drfahrettinkoca Yahu See our own citizen first Mr. Minister Hergun 200 people expedious healthcare hectic ... https://t.co/hfijnkdvju</v>
      </c>
    </row>
    <row r="14465" spans="1:5" ht="15" customHeight="1" x14ac:dyDescent="0.2">
      <c r="A14465" s="1" t="s">
        <v>28505</v>
      </c>
      <c r="B14465" s="1">
        <v>1</v>
      </c>
      <c r="C14465" s="3">
        <v>44527.977662037039</v>
      </c>
      <c r="D14465" s="1" t="s">
        <v>28506</v>
      </c>
      <c r="E14465" s="1" t="str">
        <f ca="1">IFERROR(__xludf.DUMMYFUNCTION("GOOGLETRANSLATE(A11264 , ""tr"" , ""en"")"),"@drfahrettinkoca say proud of you The minister get your helper in insallah")</f>
        <v>@drfahrettinkoca say proud of you The minister get your helper in insallah</v>
      </c>
    </row>
    <row r="14466" spans="1:5" ht="15" customHeight="1" x14ac:dyDescent="0.2">
      <c r="A14466" s="1" t="s">
        <v>28507</v>
      </c>
      <c r="B14466" s="1">
        <v>1</v>
      </c>
      <c r="C14466" s="3">
        <v>44527.97452546296</v>
      </c>
      <c r="D14466" s="1" t="s">
        <v>28508</v>
      </c>
      <c r="E14466" s="1" t="str">
        <f ca="1">IFERROR(__xludf.DUMMYFUNCTION("GOOGLETRANSLATE(A11265 , ""tr"" , ""en"")"),"@drfahrettinkoca high school and university selection examinations are still not admitted to the same event is still unreasonable ... https://t.co/au0l6mgdta")</f>
        <v>@drfahrettinkoca high school and university selection examinations are still not admitted to the same event is still unreasonable ... https://t.co/au0l6mgdta</v>
      </c>
    </row>
    <row r="14467" spans="1:5" ht="15" customHeight="1" x14ac:dyDescent="0.2">
      <c r="A14467" s="1" t="s">
        <v>28509</v>
      </c>
      <c r="B14467" s="1">
        <v>0</v>
      </c>
      <c r="C14467" s="3">
        <v>44527.971446759257</v>
      </c>
      <c r="D14467" s="1" t="s">
        <v>28510</v>
      </c>
      <c r="E14467" s="1" t="str">
        <f ca="1">IFERROR(__xludf.DUMMYFUNCTION("GOOGLETRANSLATE(A11266 , ""tr"" , ""en"")"),"@drfahrettinkoca SN Minister. Do you have room in hospitals?")</f>
        <v>@drfahrettinkoca SN Minister. Do you have room in hospitals?</v>
      </c>
    </row>
    <row r="14468" spans="1:5" ht="15" customHeight="1" x14ac:dyDescent="0.2">
      <c r="A14468" s="1" t="s">
        <v>28511</v>
      </c>
      <c r="B14468" s="1">
        <v>0</v>
      </c>
      <c r="C14468" s="3">
        <v>44527.965462962966</v>
      </c>
      <c r="D14468" s="1" t="s">
        <v>28512</v>
      </c>
      <c r="E14468" s="1" t="str">
        <f ca="1">IFERROR(__xludf.DUMMYFUNCTION("GOOGLETRANSLATE(A11267 , ""tr"" , ""en"")"),"@drfahrettinkoca Three Five Foreign Currencies Whatever Comes Head This is where I see if I see 👍")</f>
        <v>@drfahrettinkoca Three Five Foreign Currencies Whatever Comes Head This is where I see if I see 👍</v>
      </c>
    </row>
    <row r="14469" spans="1:5" ht="15" customHeight="1" x14ac:dyDescent="0.2">
      <c r="A14469" s="1" t="s">
        <v>28513</v>
      </c>
      <c r="B14469" s="1">
        <v>0</v>
      </c>
      <c r="C14469" s="3">
        <v>44527.96497685185</v>
      </c>
      <c r="D14469" s="1" t="s">
        <v>28514</v>
      </c>
      <c r="E14469" s="1" t="str">
        <f ca="1">IFERROR(__xludf.DUMMYFUNCTION("GOOGLETRANSLATE(A11268 , ""tr"" , ""en"")"),"@drfahrettinkoca families are positive children even under the name of the grip to the school attempt to kill this man ... https://t.co/kuhd98u1c3")</f>
        <v>@drfahrettinkoca families are positive children even under the name of the grip to the school attempt to kill this man ... https://t.co/kuhd98u1c3</v>
      </c>
    </row>
    <row r="14470" spans="1:5" ht="15" customHeight="1" x14ac:dyDescent="0.2">
      <c r="A14470" s="1" t="s">
        <v>28515</v>
      </c>
      <c r="B14470" s="1">
        <v>0</v>
      </c>
      <c r="C14470" s="3">
        <v>44527.961851851855</v>
      </c>
      <c r="D14470" s="1" t="s">
        <v>28516</v>
      </c>
      <c r="E14470" s="1" t="str">
        <f ca="1">IFERROR(__xludf.DUMMYFUNCTION("GOOGLETRANSLATE(A11269 , ""tr"" , ""en"")"),"@drfahrettinkoca are they not biontec?")</f>
        <v>@drfahrettinkoca are they not biontec?</v>
      </c>
    </row>
    <row r="14471" spans="1:5" ht="15" customHeight="1" x14ac:dyDescent="0.2">
      <c r="A14471" s="1" t="s">
        <v>28517</v>
      </c>
      <c r="B14471" s="1">
        <v>0</v>
      </c>
      <c r="C14471" s="3">
        <v>44527.960312499999</v>
      </c>
      <c r="D14471" s="1" t="s">
        <v>28518</v>
      </c>
      <c r="E14471" s="1" t="str">
        <f ca="1">IFERROR(__xludf.DUMMYFUNCTION("GOOGLETRANSLATE(A11270 , ""tr"" , ""en"")"),"@drfahrettinkoca President Germans vaccines All we have received from them could be from them.")</f>
        <v>@drfahrettinkoca President Germans vaccines All we have received from them could be from them.</v>
      </c>
    </row>
    <row r="14472" spans="1:5" ht="15" customHeight="1" x14ac:dyDescent="0.2">
      <c r="A14472" s="1" t="s">
        <v>28519</v>
      </c>
      <c r="B14472" s="1">
        <v>0</v>
      </c>
      <c r="C14472" s="3">
        <v>44527.959756944445</v>
      </c>
      <c r="D14472" s="1" t="s">
        <v>28520</v>
      </c>
      <c r="E14472" s="1" t="str">
        <f ca="1">IFERROR(__xludf.DUMMYFUNCTION("GOOGLETRANSLATE(A11271 , ""tr"" , ""en"")"),"@drfahrettinkoca Germany is jealous of us")</f>
        <v>@drfahrettinkoca Germany is jealous of us</v>
      </c>
    </row>
    <row r="14473" spans="1:5" ht="15" customHeight="1" x14ac:dyDescent="0.2">
      <c r="A14473" s="1" t="s">
        <v>28521</v>
      </c>
      <c r="B14473" s="1">
        <v>0</v>
      </c>
      <c r="C14473" s="3">
        <v>44527.95921296296</v>
      </c>
      <c r="D14473" s="1" t="s">
        <v>28522</v>
      </c>
      <c r="E14473" s="1" t="str">
        <f ca="1">IFERROR(__xludf.DUMMYFUNCTION("GOOGLETRANSLATE(A11272 , ""tr"" , ""en"")"),"@drfahrettinkoca is the social state. Thank you.")</f>
        <v>@drfahrettinkoca is the social state. Thank you.</v>
      </c>
    </row>
    <row r="14474" spans="1:5" ht="15" customHeight="1" x14ac:dyDescent="0.2">
      <c r="A14474" s="1" t="s">
        <v>28523</v>
      </c>
      <c r="B14474" s="1">
        <v>0</v>
      </c>
      <c r="C14474" s="3">
        <v>44527.958437499998</v>
      </c>
      <c r="D14474" s="1" t="s">
        <v>28524</v>
      </c>
      <c r="E14474" s="1" t="str">
        <f ca="1">IFERROR(__xludf.DUMMYFUNCTION("GOOGLETRANSLATE(A11273 , ""tr"" , ""en"")"),"@drfahrettinkoca Minister When you write this, don't live an enlightenment?")</f>
        <v>@drfahrettinkoca Minister When you write this, don't live an enlightenment?</v>
      </c>
    </row>
    <row r="14475" spans="1:5" ht="15" customHeight="1" x14ac:dyDescent="0.2">
      <c r="A14475" s="1" t="s">
        <v>28525</v>
      </c>
      <c r="B14475" s="1">
        <v>0</v>
      </c>
      <c r="C14475" s="3">
        <v>44527.957187499997</v>
      </c>
      <c r="D14475" s="1" t="s">
        <v>28526</v>
      </c>
      <c r="E14475" s="1" t="str">
        <f ca="1">IFERROR(__xludf.DUMMYFUNCTION("GOOGLETRANSLATE(A11274 , ""tr"" , ""en"")"),"@drfahrettinkoca both giving both in Germany and retiring from our military to our military finish in 6 months is a month ... https://t.co/ldobhqsjkm")</f>
        <v>@drfahrettinkoca both giving both in Germany and retiring from our military to our military finish in 6 months is a month ... https://t.co/ldobhqsjkm</v>
      </c>
    </row>
    <row r="14476" spans="1:5" ht="15" customHeight="1" x14ac:dyDescent="0.2">
      <c r="A14476" s="1" t="s">
        <v>28527</v>
      </c>
      <c r="B14476" s="1">
        <v>0</v>
      </c>
      <c r="C14476" s="3">
        <v>44527.956099537034</v>
      </c>
      <c r="D14476" s="1" t="s">
        <v>28528</v>
      </c>
      <c r="E14476" s="1" t="str">
        <f ca="1">IFERROR(__xludf.DUMMYFUNCTION("GOOGLETRANSLATE(A11275 , ""tr"" , ""en"")"),"@drfahrettinkoca Europe gives money, we even get his litter, refugee, Covidlis,")</f>
        <v>@drfahrettinkoca Europe gives money, we even get his litter, refugee, Covidlis,</v>
      </c>
    </row>
    <row r="14477" spans="1:5" ht="15" customHeight="1" x14ac:dyDescent="0.2">
      <c r="A14477" s="1" t="s">
        <v>28529</v>
      </c>
      <c r="B14477" s="1">
        <v>1</v>
      </c>
      <c r="C14477" s="3">
        <v>44527.955185185187</v>
      </c>
      <c r="D14477" s="1" t="s">
        <v>28530</v>
      </c>
      <c r="E14477" s="1" t="str">
        <f ca="1">IFERROR(__xludf.DUMMYFUNCTION("GOOGLETRANSLATE(A11276 , ""tr"" , ""en"")"),"@drfahrettinkoca Germany's great majority overlooking Vaccinated Master What has become your only weapon was suspended virus Yen ... https://t.co/ssqpwwm3up")</f>
        <v>@drfahrettinkoca Germany's great majority overlooking Vaccinated Master What has become your only weapon was suspended virus Yen ... https://t.co/ssqpwwm3up</v>
      </c>
    </row>
    <row r="14478" spans="1:5" ht="15" customHeight="1" x14ac:dyDescent="0.2">
      <c r="A14478" s="1" t="s">
        <v>28531</v>
      </c>
      <c r="B14478" s="1">
        <v>0</v>
      </c>
      <c r="C14478" s="3">
        <v>44527.953935185185</v>
      </c>
      <c r="D14478" s="1" t="s">
        <v>28532</v>
      </c>
      <c r="E14478" s="1" t="str">
        <f ca="1">IFERROR(__xludf.DUMMYFUNCTION("GOOGLETRANSLATE(A11277 , ""tr"" , ""en"")"),"@drfahrettinka Jealous Germans could not deal with Bi Corona.")</f>
        <v>@drfahrettinka Jealous Germans could not deal with Bi Corona.</v>
      </c>
    </row>
    <row r="14479" spans="1:5" ht="15" customHeight="1" x14ac:dyDescent="0.2">
      <c r="A14479" s="1" t="s">
        <v>28533</v>
      </c>
      <c r="B14479" s="1">
        <v>0</v>
      </c>
      <c r="C14479" s="3">
        <v>44527.953645833331</v>
      </c>
      <c r="D14479" s="1" t="s">
        <v>28534</v>
      </c>
      <c r="E14479" s="1" t="str">
        <f ca="1">IFERROR(__xludf.DUMMYFUNCTION("GOOGLETRANSLATE(A11278 , ""tr"" , ""en"")"),"@drfahrettinkoca we don't get an appointment for examination. Again to the right left to the left, leave your foot on your own ül ... https://t.co/ysizrwkcz6")</f>
        <v>@drfahrettinkoca we don't get an appointment for examination. Again to the right left to the left, leave your foot on your own ül ... https://t.co/ysizrwkcz6</v>
      </c>
    </row>
    <row r="14480" spans="1:5" ht="15" customHeight="1" x14ac:dyDescent="0.2">
      <c r="A14480" s="1" t="s">
        <v>28535</v>
      </c>
      <c r="B14480" s="1">
        <v>0</v>
      </c>
      <c r="C14480" s="3">
        <v>44527.951099537036</v>
      </c>
      <c r="D14480" s="1" t="s">
        <v>28536</v>
      </c>
      <c r="E14480" s="1" t="str">
        <f ca="1">IFERROR(__xludf.DUMMYFUNCTION("GOOGLETRANSLATE(A11279 , ""tr"" , ""en"")"),"@drfahrettinkoca Fahrettin I guess the Felan Health Minister of Sweden ...")</f>
        <v>@drfahrettinkoca Fahrettin I guess the Felan Health Minister of Sweden ...</v>
      </c>
    </row>
    <row r="14481" spans="1:5" ht="15" customHeight="1" x14ac:dyDescent="0.2">
      <c r="A14481" s="1" t="s">
        <v>28537</v>
      </c>
      <c r="B14481" s="1">
        <v>0</v>
      </c>
      <c r="C14481" s="3">
        <v>44527.950775462959</v>
      </c>
      <c r="D14481" s="1" t="s">
        <v>28538</v>
      </c>
      <c r="E14481" s="1" t="str">
        <f ca="1">IFERROR(__xludf.DUMMYFUNCTION("GOOGLETRANSLATE(A11280 , ""tr"" , ""en"")"),"@drfahrettinkoca has the forces to take care of all but they don't have bought situations in T.C's citizens")</f>
        <v>@drfahrettinkoca has the forces to take care of all but they don't have bought situations in T.C's citizens</v>
      </c>
    </row>
    <row r="14482" spans="1:5" ht="15" customHeight="1" x14ac:dyDescent="0.2">
      <c r="A14482" s="1" t="s">
        <v>28539</v>
      </c>
      <c r="B14482" s="1">
        <v>0</v>
      </c>
      <c r="C14482" s="3">
        <v>44527.949814814812</v>
      </c>
      <c r="D14482" s="1" t="s">
        <v>28540</v>
      </c>
      <c r="E14482" s="1" t="str">
        <f ca="1">IFERROR(__xludf.DUMMYFUNCTION("GOOGLETRANSLATE(A11281 , ""tr"" , ""en"")"),"@drfahrettinka Ditto you can treat medipol hospitals")</f>
        <v>@drfahrettinka Ditto you can treat medipol hospitals</v>
      </c>
    </row>
    <row r="14483" spans="1:5" ht="15" customHeight="1" x14ac:dyDescent="0.2">
      <c r="A14483" s="1" t="s">
        <v>28541</v>
      </c>
      <c r="B14483" s="1">
        <v>0</v>
      </c>
      <c r="C14483" s="3">
        <v>44527.948518518519</v>
      </c>
      <c r="D14483" s="1" t="s">
        <v>28542</v>
      </c>
      <c r="E14483" s="1" t="str">
        <f ca="1">IFERROR(__xludf.DUMMYFUNCTION("GOOGLETRANSLATE(A11282 , ""tr"" , ""en"")"),"@drfahrettinkoca Mr. Overlooking Your Consumce of Allah You have to take the patient in return what in return ... https://t.co/ohl1sgpg3n")</f>
        <v>@drfahrettinkoca Mr. Overlooking Your Consumce of Allah You have to take the patient in return what in return ... https://t.co/ohl1sgpg3n</v>
      </c>
    </row>
    <row r="14484" spans="1:5" ht="15" customHeight="1" x14ac:dyDescent="0.2">
      <c r="A14484" s="1" t="s">
        <v>28543</v>
      </c>
      <c r="B14484" s="1">
        <v>0</v>
      </c>
      <c r="C14484" s="3">
        <v>44527.945879629631</v>
      </c>
      <c r="D14484" s="1" t="s">
        <v>28544</v>
      </c>
      <c r="E14484" s="1" t="str">
        <f ca="1">IFERROR(__xludf.DUMMYFUNCTION("GOOGLETRANSLATE(A11283 , ""tr"" , ""en"")"),"@drfahrettinkoca Ministry of State Hospitals If you are hand on Bi, we will appreciate it")</f>
        <v>@drfahrettinkoca Ministry of State Hospitals If you are hand on Bi, we will appreciate it</v>
      </c>
    </row>
    <row r="14485" spans="1:5" ht="15" customHeight="1" x14ac:dyDescent="0.2">
      <c r="A14485" s="1" t="s">
        <v>28545</v>
      </c>
      <c r="B14485" s="1">
        <v>0</v>
      </c>
      <c r="C14485" s="3">
        <v>44527.945775462962</v>
      </c>
      <c r="D14485" s="1" t="s">
        <v>28546</v>
      </c>
      <c r="E14485" s="1" t="str">
        <f ca="1">IFERROR(__xludf.DUMMYFUNCTION("GOOGLETRANSLATE(A11284 , ""tr"" , ""en"")"),"@drfahrettinkoca I've been to the Hospital Covit as a Hospital Covit as a two daughter in the same time Covit is Covit ... https://t.co/4u4fjugswd")</f>
        <v>@drfahrettinkoca I've been to the Hospital Covit as a Hospital Covit as a two daughter in the same time Covit is Covit ... https://t.co/4u4fjugswd</v>
      </c>
    </row>
    <row r="14486" spans="1:5" ht="15" customHeight="1" x14ac:dyDescent="0.2">
      <c r="A14486" s="1" t="s">
        <v>28547</v>
      </c>
      <c r="B14486" s="1">
        <v>0</v>
      </c>
      <c r="C14486" s="3">
        <v>44527.942256944443</v>
      </c>
      <c r="D14486" s="1" t="s">
        <v>28548</v>
      </c>
      <c r="E14486" s="1" t="str">
        <f ca="1">IFERROR(__xludf.DUMMYFUNCTION("GOOGLETRANSLATE(A11285 , ""tr"" , ""en"")"),"@drfahrettinka you first get responsibility for healthcare workers under your own ministry!")</f>
        <v>@drfahrettinka you first get responsibility for healthcare workers under your own ministry!</v>
      </c>
    </row>
    <row r="14487" spans="1:5" ht="15" customHeight="1" x14ac:dyDescent="0.2">
      <c r="A14487" s="1" t="s">
        <v>28549</v>
      </c>
      <c r="B14487" s="1">
        <v>0</v>
      </c>
      <c r="C14487" s="3">
        <v>44527.937731481485</v>
      </c>
      <c r="D14487" s="1" t="s">
        <v>28550</v>
      </c>
      <c r="E14487" s="1" t="str">
        <f ca="1">IFERROR(__xludf.DUMMYFUNCTION("GOOGLETRANSLATE(A11286 , ""tr"" , ""en"")"),"@drfahrettinkoca so Afghan Okadar Syrian Turkmen Tajik Leak has not sufficeless BI bakicaz")</f>
        <v>@drfahrettinkoca so Afghan Okadar Syrian Turkmen Tajik Leak has not sufficeless BI bakicaz</v>
      </c>
    </row>
    <row r="14488" spans="1:5" ht="15" customHeight="1" x14ac:dyDescent="0.2">
      <c r="A14488" s="1" t="s">
        <v>28551</v>
      </c>
      <c r="B14488" s="1">
        <v>0</v>
      </c>
      <c r="C14488" s="3">
        <v>44527.937685185185</v>
      </c>
      <c r="D14488" s="1" t="s">
        <v>28552</v>
      </c>
      <c r="E14488" s="1" t="str">
        <f ca="1">IFERROR(__xludf.DUMMYFUNCTION("GOOGLETRANSLATE(A11287 , ""tr"" , ""en"")"),"@drfahrettinkoca Maşallah We also don't fall with the number of cases in us What is the difference with Germany? Schools opened opened Case ... https://t.co/tzalohkpno")</f>
        <v>@drfahrettinkoca Maşallah We also don't fall with the number of cases in us What is the difference with Germany? Schools opened opened Case ... https://t.co/tzalohkpno</v>
      </c>
    </row>
    <row r="14489" spans="1:5" ht="15" customHeight="1" x14ac:dyDescent="0.2">
      <c r="A14489" s="1" t="s">
        <v>28553</v>
      </c>
      <c r="B14489" s="1">
        <v>0</v>
      </c>
      <c r="C14489" s="3">
        <v>44527.937592592592</v>
      </c>
      <c r="D14489" s="1" t="s">
        <v>28554</v>
      </c>
      <c r="E14489" s="1" t="str">
        <f ca="1">IFERROR(__xludf.DUMMYFUNCTION("GOOGLETRANSLATE(A11288 , ""tr"" , ""en"")"),"@drfahrettinkoca guys are coming no 1000 euro breeding dont finish those who say they don't end now my minister get me ... https://t.co/mez6fkypxy")</f>
        <v>@drfahrettinkoca guys are coming no 1000 euro breeding dont finish those who say they don't end now my minister get me ... https://t.co/mez6fkypxy</v>
      </c>
    </row>
    <row r="14490" spans="1:5" ht="15" customHeight="1" x14ac:dyDescent="0.2">
      <c r="A14490" s="1" t="s">
        <v>28555</v>
      </c>
      <c r="B14490" s="1">
        <v>0</v>
      </c>
      <c r="C14490" s="3">
        <v>44527.936863425923</v>
      </c>
      <c r="D14490" s="1" t="s">
        <v>28556</v>
      </c>
      <c r="E14490" s="1" t="str">
        <f ca="1">IFERROR(__xludf.DUMMYFUNCTION("GOOGLETRANSLATE(A11289 , ""tr"" , ""en"")"),"@drfahrettinkoca are unable to show little of the Numbers of Vehicles You have a lot of things to learn from us Germany Come Training")</f>
        <v>@drfahrettinkoca are unable to show little of the Numbers of Vehicles You have a lot of things to learn from us Germany Come Training</v>
      </c>
    </row>
    <row r="14491" spans="1:5" ht="15" customHeight="1" x14ac:dyDescent="0.2">
      <c r="A14491" s="1" t="s">
        <v>28557</v>
      </c>
      <c r="B14491" s="1">
        <v>0</v>
      </c>
      <c r="C14491" s="3">
        <v>44527.936585648145</v>
      </c>
      <c r="D14491" s="1" t="s">
        <v>28558</v>
      </c>
      <c r="E14491" s="1" t="str">
        <f ca="1">IFERROR(__xludf.DUMMYFUNCTION("GOOGLETRANSLATE(A11290 , ""tr"" , ""en"")"),"@drfahrettinka you can send volunteer health personnel to them instead of carrying them here, for example, I'm volunteered.")</f>
        <v>@drfahrettinka you can send volunteer health personnel to them instead of carrying them here, for example, I'm volunteered.</v>
      </c>
    </row>
    <row r="14492" spans="1:5" ht="15" customHeight="1" x14ac:dyDescent="0.2">
      <c r="A14492" s="1" t="s">
        <v>28559</v>
      </c>
      <c r="B14492" s="1">
        <v>0</v>
      </c>
      <c r="C14492" s="3">
        <v>44527.935787037037</v>
      </c>
      <c r="D14492" s="1" t="s">
        <v>28560</v>
      </c>
      <c r="E14492" s="1" t="str">
        <f ca="1">IFERROR(__xludf.DUMMYFUNCTION("GOOGLETRANSLATE(A11291 , ""tr"" , ""en"")"),"@drfahrettinkoca vavalli Germany🥲 The vaccine has not yet reached ..? Hani was the only vault .. ??")</f>
        <v>@drfahrettinkoca vavalli Germany🥲 The vaccine has not yet reached ..? Hani was the only vault .. ??</v>
      </c>
    </row>
    <row r="14493" spans="1:5" ht="15" customHeight="1" x14ac:dyDescent="0.2">
      <c r="A14493" s="1" t="s">
        <v>28561</v>
      </c>
      <c r="B14493" s="1">
        <v>0</v>
      </c>
      <c r="C14493" s="3">
        <v>44527.935312499998</v>
      </c>
      <c r="D14493" s="1" t="s">
        <v>28562</v>
      </c>
      <c r="E14493" s="1" t="str">
        <f ca="1">IFERROR(__xludf.DUMMYFUNCTION("GOOGLETRANSLATE(A11292 , ""tr"" , ""en"")"),"@drfahrettinkoca annual Three Three Hunger Border can't look at the patients of German economy that gives the surplus of Euro Currency ... https://t.co/o0jdqfimd8")</f>
        <v>@drfahrettinkoca annual Three Three Hunger Border can't look at the patients of German economy that gives the surplus of Euro Currency ... https://t.co/o0jdqfimd8</v>
      </c>
    </row>
    <row r="14494" spans="1:5" ht="15" customHeight="1" x14ac:dyDescent="0.2">
      <c r="A14494" s="1" t="s">
        <v>28563</v>
      </c>
      <c r="B14494" s="1">
        <v>0</v>
      </c>
      <c r="C14494" s="3">
        <v>44527.934525462966</v>
      </c>
      <c r="D14494" s="1" t="s">
        <v>28564</v>
      </c>
      <c r="E14494" s="1" t="str">
        <f ca="1">IFERROR(__xludf.DUMMYFUNCTION("GOOGLETRANSLATE(A11293 , ""tr"" , ""en"")"),"@drfahrettinka had found the vaccine in Germany")</f>
        <v>@drfahrettinka had found the vaccine in Germany</v>
      </c>
    </row>
    <row r="14495" spans="1:5" ht="15" customHeight="1" x14ac:dyDescent="0.2">
      <c r="A14495" s="1" t="s">
        <v>28565</v>
      </c>
      <c r="B14495" s="1">
        <v>0</v>
      </c>
      <c r="C14495" s="3">
        <v>44527.934212962966</v>
      </c>
      <c r="D14495" s="1" t="s">
        <v>28566</v>
      </c>
      <c r="E14495" s="1" t="str">
        <f ca="1">IFERROR(__xludf.DUMMYFUNCTION("GOOGLETRANSLATE(A11294 , ""tr"" , ""en"")"),"@drfahrettinkoca came in time treated and they went to my taxes and their taxes are here ... HTTPS://T.CO/RIIO3VAPVR")</f>
        <v>@drfahrettinkoca came in time treated and they went to my taxes and their taxes are here ... HTTPS://T.CO/RIIO3VAPVR</v>
      </c>
    </row>
    <row r="14496" spans="1:5" ht="15" customHeight="1" x14ac:dyDescent="0.2">
      <c r="A14496" s="1" t="s">
        <v>28567</v>
      </c>
      <c r="B14496" s="1">
        <v>1</v>
      </c>
      <c r="C14496" s="3">
        <v>44527.933344907404</v>
      </c>
      <c r="D14496" s="1" t="s">
        <v>28568</v>
      </c>
      <c r="E14496" s="1" t="str">
        <f ca="1">IFERROR(__xludf.DUMMYFUNCTION("GOOGLETRANSLATE(A11295 , ""tr"" , ""en"")"),"@drfahrettinkoca Don't mock our mind. Your orment is now!")</f>
        <v>@drfahrettinkoca Don't mock our mind. Your orment is now!</v>
      </c>
    </row>
    <row r="14497" spans="1:5" ht="15" customHeight="1" x14ac:dyDescent="0.2">
      <c r="A14497" s="1" t="s">
        <v>28569</v>
      </c>
      <c r="B14497" s="1">
        <v>0</v>
      </c>
      <c r="C14497" s="3">
        <v>44527.932696759257</v>
      </c>
      <c r="D14497" s="1" t="s">
        <v>28570</v>
      </c>
      <c r="E14497" s="1" t="str">
        <f ca="1">IFERROR(__xludf.DUMMYFUNCTION("GOOGLETRANSLATE(A11296 , ""tr"" , ""en"")"),"@drfahrettinkoca citizens to eat onion to eat onions bread when it comes to a party to someone else when it comes to another stand ... https://t.co/jbg7j4xef0")</f>
        <v>@drfahrettinkoca citizens to eat onion to eat onions bread when it comes to a party to someone else when it comes to another stand ... https://t.co/jbg7j4xef0</v>
      </c>
    </row>
    <row r="14498" spans="1:5" ht="15" customHeight="1" x14ac:dyDescent="0.2">
      <c r="A14498" s="1" t="s">
        <v>28571</v>
      </c>
      <c r="B14498" s="1">
        <v>0</v>
      </c>
      <c r="C14498" s="3">
        <v>44527.931273148148</v>
      </c>
      <c r="D14498" s="1" t="s">
        <v>28572</v>
      </c>
      <c r="E14498" s="1" t="str">
        <f ca="1">IFERROR(__xludf.DUMMYFUNCTION("GOOGLETRANSLATE(A11297 , ""tr"" , ""en"")"),"@drfahrettinkoca sanane and us what we didn't know what is the neighbor at the smart pick up when the guy is smartly recovery")</f>
        <v>@drfahrettinkoca sanane and us what we didn't know what is the neighbor at the smart pick up when the guy is smartly recovery</v>
      </c>
    </row>
    <row r="14499" spans="1:5" ht="15" customHeight="1" x14ac:dyDescent="0.2">
      <c r="A14499" s="1" t="s">
        <v>28573</v>
      </c>
      <c r="B14499" s="1">
        <v>0</v>
      </c>
      <c r="C14499" s="3">
        <v>44527.931122685186</v>
      </c>
      <c r="D14499" s="1" t="s">
        <v>28574</v>
      </c>
      <c r="E14499" s="1" t="str">
        <f ca="1">IFERROR(__xludf.DUMMYFUNCTION("GOOGLETRANSLATE(A11298 , ""tr"" , ""en"")"),"@drfahrettinkoca months are hundreds of deaths with tens of thousands of new cases, while no precaution is as a precaution, like every ... https://t.co/f0ksndnhta")</f>
        <v>@drfahrettinkoca months are hundreds of deaths with tens of thousands of new cases, while no precaution is as a precaution, like every ... https://t.co/f0ksndnhta</v>
      </c>
    </row>
    <row r="14500" spans="1:5" ht="15" customHeight="1" x14ac:dyDescent="0.2">
      <c r="A14500" s="1" t="s">
        <v>28575</v>
      </c>
      <c r="B14500" s="1">
        <v>0</v>
      </c>
      <c r="C14500" s="3">
        <v>44527.930474537039</v>
      </c>
      <c r="D14500" s="1" t="s">
        <v>28576</v>
      </c>
      <c r="E14500" s="1" t="str">
        <f ca="1">IFERROR(__xludf.DUMMYFUNCTION("GOOGLETRANSLATE(A11299 , ""tr"" , ""en"")"),"@drfahrettinka friends are waiting for an appointment to be amalaiy for 24 months in Germany. Malesef Because of Covid Mürükkü ... https://t.co/0jkmqufcwy")</f>
        <v>@drfahrettinka friends are waiting for an appointment to be amalaiy for 24 months in Germany. Malesef Because of Covid Mürükkü ... https://t.co/0jkmqufcwy</v>
      </c>
    </row>
    <row r="14501" spans="1:5" ht="15" customHeight="1" x14ac:dyDescent="0.2">
      <c r="A14501" s="1" t="s">
        <v>28577</v>
      </c>
      <c r="B14501" s="1">
        <v>0</v>
      </c>
      <c r="C14501" s="3">
        <v>44527.930173611108</v>
      </c>
      <c r="D14501" s="1" t="s">
        <v>28578</v>
      </c>
      <c r="E14501" s="1" t="str">
        <f ca="1">IFERROR(__xludf.DUMMYFUNCTION("GOOGLETRANSLATE(A11300 , ""tr"" , ""en"")"),"@drfahrettinka Dear Ministry of Hospitals The polyclinics of hospitals are almost bomish but cannot be removed at an appointment. Doctors m ... https://t.co/pcnles3nmd")</f>
        <v>@drfahrettinka Dear Ministry of Hospitals The polyclinics of hospitals are almost bomish but cannot be removed at an appointment. Doctors m ... https://t.co/pcnles3nmd</v>
      </c>
    </row>
    <row r="14502" spans="1:5" ht="15" customHeight="1" x14ac:dyDescent="0.2">
      <c r="A14502" s="1" t="s">
        <v>28579</v>
      </c>
      <c r="B14502" s="1">
        <v>0</v>
      </c>
      <c r="C14502" s="3">
        <v>44527.926192129627</v>
      </c>
      <c r="D14502" s="1" t="s">
        <v>28580</v>
      </c>
      <c r="E14502" s="1" t="str">
        <f ca="1">IFERROR(__xludf.DUMMYFUNCTION("GOOGLETRANSLATE(A11301 , ""tr"" , ""en"")"),"@drfahrettinka you Vallahi de Billahi also look at it's really pes up !!! Vote Simsarlari you ... B ... https://t.co/lc79tfucav")</f>
        <v>@drfahrettinka you Vallahi de Billahi also look at it's really pes up !!! Vote Simsarlari you ... B ... https://t.co/lc79tfucav</v>
      </c>
    </row>
    <row r="14503" spans="1:5" ht="15" customHeight="1" x14ac:dyDescent="0.2">
      <c r="A14503" s="1" t="s">
        <v>28581</v>
      </c>
      <c r="B14503" s="1">
        <v>3</v>
      </c>
      <c r="C14503" s="3">
        <v>44527.925625000003</v>
      </c>
      <c r="D14503" s="1" t="s">
        <v>28582</v>
      </c>
      <c r="E14503" s="1" t="str">
        <f ca="1">IFERROR(__xludf.DUMMYFUNCTION("GOOGLETRANSLATE(A11302 , ""tr"" , ""en"")"),"@drfahrettinkoca I wish you are responsible for correcting the crappy conditions in our country. A ... https://t.co/qpblkajg15")</f>
        <v>@drfahrettinkoca I wish you are responsible for correcting the crappy conditions in our country. A ... https://t.co/qpblkajg15</v>
      </c>
    </row>
    <row r="14504" spans="1:5" ht="15" customHeight="1" x14ac:dyDescent="0.2">
      <c r="A14504" s="1" t="s">
        <v>28583</v>
      </c>
      <c r="B14504" s="1">
        <v>0</v>
      </c>
      <c r="C14504" s="3">
        <v>44527.924293981479</v>
      </c>
      <c r="D14504" s="1" t="s">
        <v>28584</v>
      </c>
      <c r="E14504" s="1" t="str">
        <f ca="1">IFERROR(__xludf.DUMMYFUNCTION("GOOGLETRANSLATE(A11303 , ""tr"" , ""en"")"),"@drfahrettinkoca You can help the country outside the country don't make your big and powerful country.")</f>
        <v>@drfahrettinkoca You can help the country outside the country don't make your big and powerful country.</v>
      </c>
    </row>
    <row r="14505" spans="1:5" ht="15" customHeight="1" x14ac:dyDescent="0.2">
      <c r="A14505" s="1" t="s">
        <v>28585</v>
      </c>
      <c r="B14505" s="1">
        <v>0</v>
      </c>
      <c r="C14505" s="3">
        <v>44527.924247685187</v>
      </c>
      <c r="D14505" s="1" t="s">
        <v>28586</v>
      </c>
      <c r="E14505" s="1" t="str">
        <f ca="1">IFERROR(__xludf.DUMMYFUNCTION("GOOGLETRANSLATE(A11304 , ""tr"" , ""en"")"),"@drfahrettinkoca I am demanding assignment to Germany. If I return again ..🥲")</f>
        <v>@drfahrettinkoca I am demanding assignment to Germany. If I return again ..🥲</v>
      </c>
    </row>
    <row r="14506" spans="1:5" ht="15" customHeight="1" x14ac:dyDescent="0.2">
      <c r="A14506" s="1" t="s">
        <v>28587</v>
      </c>
      <c r="B14506" s="1">
        <v>0</v>
      </c>
      <c r="C14506" s="3">
        <v>44527.924224537041</v>
      </c>
      <c r="D14506" s="1" t="s">
        <v>28588</v>
      </c>
      <c r="E14506" s="1" t="str">
        <f ca="1">IFERROR(__xludf.DUMMYFUNCTION("GOOGLETRANSLATE(A11305 , ""tr"" , ""en"")"),"If @drfahrettinka vaccines fossum did not exit")</f>
        <v>If @drfahrettinka vaccines fossum did not exit</v>
      </c>
    </row>
    <row r="14507" spans="1:5" ht="15" customHeight="1" x14ac:dyDescent="0.2">
      <c r="A14507" s="1" t="s">
        <v>28589</v>
      </c>
      <c r="B14507" s="1">
        <v>0</v>
      </c>
      <c r="C14507" s="3">
        <v>44527.920138888891</v>
      </c>
      <c r="D14507" s="1" t="s">
        <v>28590</v>
      </c>
      <c r="E14507" s="1" t="str">
        <f ca="1">IFERROR(__xludf.DUMMYFUNCTION("GOOGLETRANSLATE(A11306 , ""tr"" , ""en"")"),"@drfahrettinkoca have special health insurance I have never been to the public hospital today is a close to the eye doctor for the eye doctor ... https://t.co/nxfwgs98xs")</f>
        <v>@drfahrettinkoca have special health insurance I have never been to the public hospital today is a close to the eye doctor for the eye doctor ... https://t.co/nxfwgs98xs</v>
      </c>
    </row>
    <row r="14508" spans="1:5" ht="15" customHeight="1" x14ac:dyDescent="0.2">
      <c r="A14508" s="1" t="s">
        <v>28591</v>
      </c>
      <c r="B14508" s="1">
        <v>0</v>
      </c>
      <c r="C14508" s="3">
        <v>44527.918275462966</v>
      </c>
      <c r="D14508" s="1" t="s">
        <v>28592</v>
      </c>
      <c r="E14508" s="1" t="str">
        <f ca="1">IFERROR(__xludf.DUMMYFUNCTION("GOOGLETRANSLATE(A11307 , ""tr"" , ""en"")"),"@drfahrettinkoca e scholar, subject to the dollar on the dollar, the agenda to be rich in the fiscal rich ... https://t.co/ggtv9g4a0I")</f>
        <v>@drfahrettinkoca e scholar, subject to the dollar on the dollar, the agenda to be rich in the fiscal rich ... https://t.co/ggtv9g4a0I</v>
      </c>
    </row>
    <row r="14509" spans="1:5" ht="15" customHeight="1" x14ac:dyDescent="0.2">
      <c r="A14509" s="1" t="s">
        <v>28593</v>
      </c>
      <c r="B14509" s="1">
        <v>0</v>
      </c>
      <c r="C14509" s="3">
        <v>44527.918263888889</v>
      </c>
      <c r="D14509" s="1" t="s">
        <v>28594</v>
      </c>
      <c r="E14509" s="1" t="str">
        <f ca="1">IFERROR(__xludf.DUMMYFUNCTION("GOOGLETRANSLATE(A11308 , ""tr"" , ""en"")"),"@drfahrettinkoca We are unable to make an appointment from hospitals Guy Considerating Service Citizens in Germany oath E ... https://t.co/5kkvqoI8rr")</f>
        <v>@drfahrettinkoca We are unable to make an appointment from hospitals Guy Considerating Service Citizens in Germany oath E ... https://t.co/5kkvqoI8rr</v>
      </c>
    </row>
    <row r="14510" spans="1:5" ht="15" customHeight="1" x14ac:dyDescent="0.2">
      <c r="A14510" s="1" t="s">
        <v>28595</v>
      </c>
      <c r="B14510" s="1">
        <v>1</v>
      </c>
      <c r="C14510" s="3">
        <v>44527.91815972222</v>
      </c>
      <c r="D14510" s="1" t="s">
        <v>28596</v>
      </c>
      <c r="E14510" s="1" t="str">
        <f ca="1">IFERROR(__xludf.DUMMYFUNCTION("GOOGLETRANSLATE(A11309 , ""tr"" , ""en"")"),"@drfahrettinkoca I wish our brothers in Germany. They are awro yr. Economy tight ... https://t.co/BKTBTIOR1A")</f>
        <v>@drfahrettinkoca I wish our brothers in Germany. They are awro yr. Economy tight ... https://t.co/BKTBTIOR1A</v>
      </c>
    </row>
    <row r="14511" spans="1:5" ht="15" customHeight="1" x14ac:dyDescent="0.2">
      <c r="A14511" s="1" t="s">
        <v>28597</v>
      </c>
      <c r="B14511" s="1">
        <v>0</v>
      </c>
      <c r="C14511" s="3">
        <v>44527.917534722219</v>
      </c>
      <c r="D14511" s="1" t="s">
        <v>28598</v>
      </c>
      <c r="E14511" s="1" t="str">
        <f ca="1">IFERROR(__xludf.DUMMYFUNCTION("GOOGLETRANSLATE(A11310 , ""tr"" , ""en"")"),"@drfahrettinkoca ah Minister Oh you are not aware that you have declared that vaccines are ineffective with your own agzle")</f>
        <v>@drfahrettinkoca ah Minister Oh you are not aware that you have declared that vaccines are ineffective with your own agzle</v>
      </c>
    </row>
    <row r="14512" spans="1:5" ht="15" customHeight="1" x14ac:dyDescent="0.2">
      <c r="A14512" s="1" t="s">
        <v>28599</v>
      </c>
      <c r="B14512" s="1">
        <v>0</v>
      </c>
      <c r="C14512" s="3">
        <v>44527.915659722225</v>
      </c>
      <c r="D14512" s="1" t="s">
        <v>28600</v>
      </c>
      <c r="E14512" s="1" t="str">
        <f ca="1">IFERROR(__xludf.DUMMYFUNCTION("GOOGLETRANSLATE(A11311 , ""tr"" , ""en"")"),"@drfahrettinkoca wrote I wiped ruam ...")</f>
        <v>@drfahrettinkoca wrote I wiped ruam ...</v>
      </c>
    </row>
    <row r="14513" spans="1:5" ht="15" customHeight="1" x14ac:dyDescent="0.2">
      <c r="A14513" s="1" t="s">
        <v>28601</v>
      </c>
      <c r="B14513" s="1">
        <v>0</v>
      </c>
      <c r="C14513" s="3">
        <v>44527.912627314814</v>
      </c>
      <c r="D14513" s="1" t="s">
        <v>28602</v>
      </c>
      <c r="E14513" s="1" t="str">
        <f ca="1">IFERROR(__xludf.DUMMYFUNCTION("GOOGLETRANSLATE(A11312 , ""tr"" , ""en"")"),"@drfahrettinkoca mutations now mutation of grafts! Most of the population is grafted perpendicular to danger signals ... https://t.co/hdxacxk6sj")</f>
        <v>@drfahrettinkoca mutations now mutation of grafts! Most of the population is grafted perpendicular to danger signals ... https://t.co/hdxacxk6sj</v>
      </c>
    </row>
    <row r="14514" spans="1:5" ht="15" customHeight="1" x14ac:dyDescent="0.2">
      <c r="A14514" s="1" t="s">
        <v>28603</v>
      </c>
      <c r="B14514" s="1">
        <v>8</v>
      </c>
      <c r="C14514" s="3">
        <v>44527.910324074073</v>
      </c>
      <c r="D14514" s="1" t="s">
        <v>28604</v>
      </c>
      <c r="E14514" s="1" t="str">
        <f ca="1">IFERROR(__xludf.DUMMYFUNCTION("GOOGLETRANSLATE(A11313 , ""tr"" , ""en"")"),"@drfahrettinkoca 1 euro = 14,07 TL Lowest nurse salary in Germany is 2500 euros ... Highest nurse salary in Turkey 4200 TL ... 🤔🤔")</f>
        <v>@drfahrettinkoca 1 euro = 14,07 TL Lowest nurse salary in Germany is 2500 euros ... Highest nurse salary in Turkey 4200 TL ... 🤔🤔</v>
      </c>
    </row>
    <row r="14515" spans="1:5" ht="15" customHeight="1" x14ac:dyDescent="0.2">
      <c r="A14515" s="1" t="s">
        <v>28605</v>
      </c>
      <c r="B14515" s="1">
        <v>0</v>
      </c>
      <c r="C14515" s="3">
        <v>44540.553124999999</v>
      </c>
      <c r="D14515" s="1" t="s">
        <v>28606</v>
      </c>
      <c r="E14515" s="1" t="str">
        <f ca="1">IFERROR(__xludf.DUMMYFUNCTION("GOOGLETRANSLATE(A11314 , ""tr"" , ""en"")"),"@drfahrettinkoca @haleldemir Mr. @rterdogan You have gave 40,000 personnel employment for the Safegan Ministry but he ... https://t.co/tsrofh9p61")</f>
        <v>@drfahrettinkoca @haleldemir Mr. @rterdogan You have gave 40,000 personnel employment for the Safegan Ministry but he ... https://t.co/tsrofh9p61</v>
      </c>
    </row>
    <row r="14516" spans="1:5" ht="15" customHeight="1" x14ac:dyDescent="0.2">
      <c r="A14516" s="1" t="s">
        <v>28607</v>
      </c>
      <c r="B14516" s="1">
        <v>0</v>
      </c>
      <c r="C14516" s="3">
        <v>44528.9221412037</v>
      </c>
      <c r="D14516" s="1" t="s">
        <v>28608</v>
      </c>
      <c r="E14516" s="1" t="str">
        <f ca="1">IFERROR(__xludf.DUMMYFUNCTION("GOOGLETRANSLATE(A11315 , ""tr"" , ""en"")"),"@drfahrettinkoca @jsarieroglu We will send out the strangers here at that time to their country, be? As if we are ... https://t.co/nekdgkelwd")</f>
        <v>@drfahrettinkoca @jsarieroglu We will send out the strangers here at that time to their country, be? As if we are ... https://t.co/nekdgkelwd</v>
      </c>
    </row>
    <row r="14517" spans="1:5" ht="15" customHeight="1" x14ac:dyDescent="0.2">
      <c r="A14517" s="1" t="s">
        <v>28609</v>
      </c>
      <c r="B14517" s="1">
        <v>1</v>
      </c>
      <c r="C14517" s="3">
        <v>44528.910219907404</v>
      </c>
      <c r="D14517" s="1" t="s">
        <v>28610</v>
      </c>
      <c r="E14517" s="1" t="str">
        <f ca="1">IFERROR(__xludf.DUMMYFUNCTION("GOOGLETRANSLATE(A11316 , ""tr"" , ""en"")"),"@drfahrettinkoca you are not what you say you can offer services to ultractions Kalkimmis in Europe Kurkani ... https://t.co/aqlucst3xr")</f>
        <v>@drfahrettinkoca you are not what you say you can offer services to ultractions Kalkimmis in Europe Kurkani ... https://t.co/aqlucst3xr</v>
      </c>
    </row>
    <row r="14518" spans="1:5" ht="15" customHeight="1" x14ac:dyDescent="0.2">
      <c r="A14518" s="1" t="s">
        <v>28611</v>
      </c>
      <c r="B14518" s="1">
        <v>1</v>
      </c>
      <c r="C14518" s="3">
        <v>44528.88181712963</v>
      </c>
      <c r="D14518" s="1" t="s">
        <v>28612</v>
      </c>
      <c r="E14518" s="1" t="str">
        <f ca="1">IFERROR(__xludf.DUMMYFUNCTION("GOOGLETRANSLATE(A11317 , ""tr"" , ""en"")"),"@drfahrettinkoca Mr. Minister #Fahrettinkoca Maral Flow to the Bit cub. There are bits in ours ... https://t.co/y0edy68bay")</f>
        <v>@drfahrettinkoca Mr. Minister #Fahrettinkoca Maral Flow to the Bit cub. There are bits in ours ... https://t.co/y0edy68bay</v>
      </c>
    </row>
    <row r="14519" spans="1:5" ht="15" customHeight="1" x14ac:dyDescent="0.2">
      <c r="A14519" s="1" t="s">
        <v>28613</v>
      </c>
      <c r="B14519" s="1">
        <v>0</v>
      </c>
      <c r="C14519" s="3">
        <v>44528.871932870374</v>
      </c>
      <c r="D14519" s="1" t="s">
        <v>28614</v>
      </c>
      <c r="E14519" s="1" t="str">
        <f ca="1">IFERROR(__xludf.DUMMYFUNCTION("GOOGLETRANSLATE(A11318 , ""tr"" , ""en"")"),"@drfahrettinkoca @drfahrettinkoca We are testing us with the absence in our country with the absence of European countries ... https://t.co/JL4NJZFIUE")</f>
        <v>@drfahrettinkoca @drfahrettinkoca We are testing us with the absence in our country with the absence of European countries ... https://t.co/JL4NJZFIUE</v>
      </c>
    </row>
    <row r="14520" spans="1:5" ht="15" customHeight="1" x14ac:dyDescent="0.2">
      <c r="A14520" s="1" t="s">
        <v>28615</v>
      </c>
      <c r="B14520" s="1">
        <v>0</v>
      </c>
      <c r="C14520" s="3">
        <v>44528.871041666665</v>
      </c>
      <c r="D14520" s="1" t="s">
        <v>28616</v>
      </c>
      <c r="E14520" s="1" t="str">
        <f ca="1">IFERROR(__xludf.DUMMYFUNCTION("GOOGLETRANSLATE(A11319 , ""tr"" , ""en"")"),"@drfahrettinkoca @ refik_ozen16 is a stunness or state of mind? ...")</f>
        <v>@drfahrettinkoca @ refik_ozen16 is a stunness or state of mind? ...</v>
      </c>
    </row>
    <row r="14521" spans="1:5" ht="15" customHeight="1" x14ac:dyDescent="0.2">
      <c r="A14521" s="1" t="s">
        <v>28617</v>
      </c>
      <c r="B14521" s="1">
        <v>0</v>
      </c>
      <c r="C14521" s="3">
        <v>44528.86928240741</v>
      </c>
      <c r="D14521" s="1" t="s">
        <v>28618</v>
      </c>
      <c r="E14521" s="1" t="str">
        <f ca="1">IFERROR(__xludf.DUMMYFUNCTION("GOOGLETRANSLATE(A11320 , ""tr"" , ""en"")"),"@drfahrettinkoca what is wrong with that")</f>
        <v>@drfahrettinkoca what is wrong with that</v>
      </c>
    </row>
    <row r="14522" spans="1:5" ht="15" customHeight="1" x14ac:dyDescent="0.2">
      <c r="A14522" s="1" t="s">
        <v>28619</v>
      </c>
      <c r="B14522" s="1">
        <v>0</v>
      </c>
      <c r="C14522" s="3">
        <v>44528.865439814814</v>
      </c>
      <c r="D14522" s="1" t="s">
        <v>28620</v>
      </c>
      <c r="E14522" s="1" t="str">
        <f ca="1">IFERROR(__xludf.DUMMYFUNCTION("GOOGLETRANSLATE(A11321 , ""tr"" , ""en"")"),"@drfahrettinkoca What are you doing when your intensive care units are full, Master? The late grandmother is 19 hours a ... https://t.co/e1uoa4rhdb")</f>
        <v>@drfahrettinkoca What are you doing when your intensive care units are full, Master? The late grandmother is 19 hours a ... https://t.co/e1uoa4rhdb</v>
      </c>
    </row>
    <row r="14523" spans="1:5" ht="15" customHeight="1" x14ac:dyDescent="0.2">
      <c r="A14523" s="1" t="s">
        <v>28621</v>
      </c>
      <c r="B14523" s="1">
        <v>0</v>
      </c>
      <c r="C14523" s="3">
        <v>44528.846365740741</v>
      </c>
      <c r="D14523" s="1" t="s">
        <v>28622</v>
      </c>
      <c r="E14523" s="1" t="str">
        <f ca="1">IFERROR(__xludf.DUMMYFUNCTION("GOOGLETRANSLATE(A11322 , ""tr"" , ""en"")"),"@drfahrettinkoca success while saying Saffatin told, 5 million German social security living in Europe ... https://t.co/8bbbvng6vk")</f>
        <v>@drfahrettinkoca success while saying Saffatin told, 5 million German social security living in Europe ... https://t.co/8bbbvng6vk</v>
      </c>
    </row>
    <row r="14524" spans="1:5" ht="15" customHeight="1" x14ac:dyDescent="0.2">
      <c r="A14524" s="1" t="s">
        <v>28623</v>
      </c>
      <c r="B14524" s="1">
        <v>0</v>
      </c>
      <c r="C14524" s="3">
        <v>44528.843634259261</v>
      </c>
      <c r="D14524" s="1" t="s">
        <v>28624</v>
      </c>
      <c r="E14524" s="1" t="str">
        <f ca="1">IFERROR(__xludf.DUMMYFUNCTION("GOOGLETRANSLATE(A11323 , ""tr"" , ""en"")"),"If @drfahrettinka city hospitals have been empty if you are empty, you can say that your dictional is done, fill in the patient. S ... https://t.co/evf31zr87p")</f>
        <v>If @drfahrettinka city hospitals have been empty if you are empty, you can say that your dictional is done, fill in the patient. S ... https://t.co/evf31zr87p</v>
      </c>
    </row>
    <row r="14525" spans="1:5" ht="15" customHeight="1" x14ac:dyDescent="0.2">
      <c r="A14525" s="1" t="s">
        <v>28625</v>
      </c>
      <c r="B14525" s="1">
        <v>0</v>
      </c>
      <c r="C14525" s="3">
        <v>44528.834768518522</v>
      </c>
      <c r="D14525" s="1" t="s">
        <v>28626</v>
      </c>
      <c r="E14525" s="1" t="str">
        <f ca="1">IFERROR(__xludf.DUMMYFUNCTION("GOOGLETRANSLATE(A11324 , ""tr"" , ""en"")"),"@drfahrettinkoca feton of the feton.")</f>
        <v>@drfahrettinkoca feton of the feton.</v>
      </c>
    </row>
    <row r="14526" spans="1:5" ht="15" customHeight="1" x14ac:dyDescent="0.2">
      <c r="A14526" s="1" t="s">
        <v>28627</v>
      </c>
      <c r="B14526" s="1">
        <v>0</v>
      </c>
      <c r="C14526" s="3">
        <v>44527.998622685183</v>
      </c>
      <c r="D14526" s="1" t="s">
        <v>28628</v>
      </c>
      <c r="E14526" s="1" t="str">
        <f ca="1">IFERROR(__xludf.DUMMYFUNCTION("GOOGLETRANSLATE(A11325 , ""tr"" , ""en"")"),"@drfahrettinkoca Ordah eat and drink. If you have no benefit to this country and our sick people are not politically ministered to the country.")</f>
        <v>@drfahrettinkoca Ordah eat and drink. If you have no benefit to this country and our sick people are not politically ministered to the country.</v>
      </c>
    </row>
    <row r="14527" spans="1:5" ht="15" customHeight="1" x14ac:dyDescent="0.2">
      <c r="A14527" s="1" t="s">
        <v>28629</v>
      </c>
      <c r="B14527" s="1">
        <v>2</v>
      </c>
      <c r="C14527" s="3">
        <v>44527.994791666664</v>
      </c>
      <c r="D14527" s="1" t="s">
        <v>28630</v>
      </c>
      <c r="E14527" s="1" t="str">
        <f ca="1">IFERROR(__xludf.DUMMYFUNCTION("GOOGLETRANSLATE(A11326 , ""tr"" , ""en"")"),"@drfahrettinkoca @mustafasenbd These make Syrian treats at expats")</f>
        <v>@drfahrettinkoca @mustafasenbd These make Syrian treats at expats</v>
      </c>
    </row>
    <row r="14528" spans="1:5" ht="15" customHeight="1" x14ac:dyDescent="0.2">
      <c r="A14528" s="1" t="s">
        <v>28631</v>
      </c>
      <c r="B14528" s="1">
        <v>0</v>
      </c>
      <c r="C14528" s="3">
        <v>44527.994212962964</v>
      </c>
      <c r="D14528" s="1" t="s">
        <v>28632</v>
      </c>
      <c r="E14528" s="1" t="str">
        <f ca="1">IFERROR(__xludf.DUMMYFUNCTION("GOOGLETRANSLATE(A11327 , ""tr"" , ""en"")"),"@drfahrettinka I Pay Premium as a SSI retirement, the SSI's health services, inspection, medicine and prescription attendance ... https://t.co/sfhs4tsxu5")</f>
        <v>@drfahrettinka I Pay Premium as a SSI retirement, the SSI's health services, inspection, medicine and prescription attendance ... https://t.co/sfhs4tsxu5</v>
      </c>
    </row>
    <row r="14529" spans="1:5" ht="15" customHeight="1" x14ac:dyDescent="0.2">
      <c r="A14529" s="1" t="s">
        <v>28633</v>
      </c>
      <c r="B14529" s="1">
        <v>0</v>
      </c>
      <c r="C14529" s="3">
        <v>44527.993217592593</v>
      </c>
      <c r="D14529" s="1" t="s">
        <v>28634</v>
      </c>
      <c r="E14529" s="1" t="str">
        <f ca="1">IFERROR(__xludf.DUMMYFUNCTION("GOOGLETRANSLATE(A11328 , ""tr"" , ""en"")"),"@drfahrettinkoca Mr. OK, so we don't eat the citizens' phone in the country as we don't have the phone densely ... https://t.co/wnavgxgrlk")</f>
        <v>@drfahrettinkoca Mr. OK, so we don't eat the citizens' phone in the country as we don't have the phone densely ... https://t.co/wnavgxgrlk</v>
      </c>
    </row>
    <row r="14530" spans="1:5" ht="15" customHeight="1" x14ac:dyDescent="0.2">
      <c r="A14530" s="1" t="s">
        <v>28635</v>
      </c>
      <c r="B14530" s="1">
        <v>1</v>
      </c>
      <c r="C14530" s="3">
        <v>44527.992372685185</v>
      </c>
      <c r="D14530" s="1" t="s">
        <v>28636</v>
      </c>
      <c r="E14530" s="1" t="str">
        <f ca="1">IFERROR(__xludf.DUMMYFUNCTION("GOOGLETRANSLATE(A11329 , ""tr"" , ""en"")"),"@drfahrettinkoca Mr. Minister, you are the essential politics. You are not the Minister of SMA patients? 21st Century ... https://t.co/mr0cclxgln")</f>
        <v>@drfahrettinkoca Mr. Minister, you are the essential politics. You are not the Minister of SMA patients? 21st Century ... https://t.co/mr0cclxgln</v>
      </c>
    </row>
    <row r="14531" spans="1:5" ht="15" customHeight="1" x14ac:dyDescent="0.2">
      <c r="A14531" s="1" t="s">
        <v>28637</v>
      </c>
      <c r="B14531" s="1">
        <v>0</v>
      </c>
      <c r="C14531" s="3">
        <v>44527.991655092592</v>
      </c>
      <c r="D14531" s="1" t="s">
        <v>28638</v>
      </c>
      <c r="E14531" s="1" t="str">
        <f ca="1">IFERROR(__xludf.DUMMYFUNCTION("GOOGLETRANSLATE(A11330 , ""tr"" , ""en"")"),"@drfahrettinkoca Gather well then remove the whole world Limits Limits Are there any of the countries such a logic nor ... https://t.co/wkwgqacdpc")</f>
        <v>@drfahrettinkoca Gather well then remove the whole world Limits Limits Are there any of the countries such a logic nor ... https://t.co/wkwgqacdpc</v>
      </c>
    </row>
    <row r="14532" spans="1:5" ht="15" customHeight="1" x14ac:dyDescent="0.2">
      <c r="A14532" s="1" t="s">
        <v>28639</v>
      </c>
      <c r="B14532" s="1">
        <v>0</v>
      </c>
      <c r="C14532" s="3">
        <v>44527.98878472222</v>
      </c>
      <c r="D14532" s="1" t="s">
        <v>28640</v>
      </c>
      <c r="E14532" s="1" t="str">
        <f ca="1">IFERROR(__xludf.DUMMYFUNCTION("GOOGLETRANSLATE(A11331 , ""tr"" , ""en"")"),"@drfahrettinkoca Are ours empty?")</f>
        <v>@drfahrettinkoca Are ours empty?</v>
      </c>
    </row>
    <row r="14533" spans="1:5" ht="15" customHeight="1" x14ac:dyDescent="0.2">
      <c r="A14533" s="1" t="s">
        <v>28641</v>
      </c>
      <c r="B14533" s="1">
        <v>0</v>
      </c>
      <c r="C14533" s="3">
        <v>44527.988541666666</v>
      </c>
      <c r="D14533" s="1" t="s">
        <v>28642</v>
      </c>
      <c r="E14533" s="1" t="str">
        <f ca="1">IFERROR(__xludf.DUMMYFUNCTION("GOOGLETRANSLATE(A11332 , ""tr"" , ""en"")"),"@drfahrettinkoca German Greek British Italian, do not mention them to me, I look at my own country, how best do we have in this illness")</f>
        <v>@drfahrettinkoca German Greek British Italian, do not mention them to me, I look at my own country, how best do we have in this illness</v>
      </c>
    </row>
    <row r="14534" spans="1:5" ht="15" customHeight="1" x14ac:dyDescent="0.2">
      <c r="A14534" s="1" t="s">
        <v>28643</v>
      </c>
      <c r="B14534" s="1">
        <v>0</v>
      </c>
      <c r="C14534" s="3">
        <v>44527.987430555557</v>
      </c>
      <c r="D14534" s="1" t="s">
        <v>28644</v>
      </c>
      <c r="E14534" s="1" t="str">
        <f ca="1">IFERROR(__xludf.DUMMYFUNCTION("GOOGLETRANSLATE(A11333 , ""tr"" , ""en"")"),"@drfahrettinka you guard your own laborers before .. Elin Covid Lisi is very important, completely emotional.")</f>
        <v>@drfahrettinka you guard your own laborers before .. Elin Covid Lisi is very important, completely emotional.</v>
      </c>
    </row>
    <row r="14535" spans="1:5" ht="15" customHeight="1" x14ac:dyDescent="0.2">
      <c r="A14535" s="1" t="s">
        <v>28645</v>
      </c>
      <c r="B14535" s="1">
        <v>0</v>
      </c>
      <c r="C14535" s="3">
        <v>44527.987199074072</v>
      </c>
      <c r="D14535" s="1" t="s">
        <v>28646</v>
      </c>
      <c r="E14535" s="1" t="str">
        <f ca="1">IFERROR(__xludf.DUMMYFUNCTION("GOOGLETRANSLATE(A11334 , ""tr"" , ""en"")"),"@drfahrettinkoca is both the subsidies and you are funny. There are 5 million turkish covit? You are the king of politics too")</f>
        <v>@drfahrettinkoca is both the subsidies and you are funny. There are 5 million turkish covit? You are the king of politics too</v>
      </c>
    </row>
    <row r="14536" spans="1:5" ht="15" customHeight="1" x14ac:dyDescent="0.2">
      <c r="A14536" s="1" t="s">
        <v>28647</v>
      </c>
      <c r="B14536" s="1">
        <v>0</v>
      </c>
      <c r="C14536" s="3">
        <v>44527.985821759263</v>
      </c>
      <c r="D14536" s="1" t="s">
        <v>28648</v>
      </c>
      <c r="E14536" s="1" t="str">
        <f ca="1">IFERROR(__xludf.DUMMYFUNCTION("GOOGLETRANSLATE(A11335 , ""tr"" , ""en"")"),"@drfahrettinkoca Mr. Ministry, I looked at reviews, no one is eating now this Hamacet's discourse !! Yahu's own V ... https://t.co/wwo9q8gfpr")</f>
        <v>@drfahrettinkoca Mr. Ministry, I looked at reviews, no one is eating now this Hamacet's discourse !! Yahu's own V ... https://t.co/wwo9q8gfpr</v>
      </c>
    </row>
    <row r="14537" spans="1:5" ht="15" customHeight="1" x14ac:dyDescent="0.2">
      <c r="A14537" s="1" t="s">
        <v>28649</v>
      </c>
      <c r="B14537" s="1">
        <v>0</v>
      </c>
      <c r="C14537" s="3">
        <v>44527.978622685187</v>
      </c>
      <c r="D14537" s="1" t="s">
        <v>28650</v>
      </c>
      <c r="E14537" s="1" t="str">
        <f ca="1">IFERROR(__xludf.DUMMYFUNCTION("GOOGLETRANSLATE(A11336 , ""tr"" , ""en"")"),"@drfahrettinkoca Mr. Minister, we have stuck our own assay, we are pulling up someone else's frost. We have case sa ... https://t.co/eqpnnzz0qd")</f>
        <v>@drfahrettinkoca Mr. Minister, we have stuck our own assay, we are pulling up someone else's frost. We have case sa ... https://t.co/eqpnnzz0qd</v>
      </c>
    </row>
    <row r="14538" spans="1:5" ht="15" customHeight="1" x14ac:dyDescent="0.2">
      <c r="A14538" s="1" t="s">
        <v>28651</v>
      </c>
      <c r="B14538" s="1">
        <v>0</v>
      </c>
      <c r="C14538" s="3">
        <v>44527.978298611109</v>
      </c>
      <c r="D14538" s="1" t="s">
        <v>28652</v>
      </c>
      <c r="E14538" s="1" t="str">
        <f ca="1">IFERROR(__xludf.DUMMYFUNCTION("GOOGLETRANSLATE(A11337 , ""tr"" , ""en"")"),"@drfahrettinkoca Europeans living in Europe are their lived in their lives in their living hospital Hospital Hospital ... https://t.co/mvldnsgey3")</f>
        <v>@drfahrettinkoca Europeans living in Europe are their lived in their lives in their living hospital Hospital Hospital ... https://t.co/mvldnsgey3</v>
      </c>
    </row>
    <row r="14539" spans="1:5" ht="15" customHeight="1" x14ac:dyDescent="0.2">
      <c r="A14539" s="1" t="s">
        <v>28653</v>
      </c>
      <c r="B14539" s="1">
        <v>0</v>
      </c>
      <c r="C14539" s="3">
        <v>44527.977071759262</v>
      </c>
      <c r="D14539" s="1" t="s">
        <v>28654</v>
      </c>
      <c r="E14539" s="1" t="str">
        <f ca="1">IFERROR(__xludf.DUMMYFUNCTION("GOOGLETRANSLATE(A11338 , ""tr"" , ""en"")"),"@drfahrettinkoca Health Insurance Premium will not look at Germany, standing with my mirunds, every m ... https://t.co/bqyg8a5zta")</f>
        <v>@drfahrettinkoca Health Insurance Premium will not look at Germany, standing with my mirunds, every m ... https://t.co/bqyg8a5zta</v>
      </c>
    </row>
    <row r="14540" spans="1:5" ht="15" customHeight="1" x14ac:dyDescent="0.2">
      <c r="A14540" s="1" t="s">
        <v>28655</v>
      </c>
      <c r="B14540" s="1">
        <v>0</v>
      </c>
      <c r="C14540" s="3">
        <v>44527.974780092591</v>
      </c>
      <c r="D14540" s="1" t="s">
        <v>28656</v>
      </c>
      <c r="E14540" s="1" t="str">
        <f ca="1">IFERROR(__xludf.DUMMYFUNCTION("GOOGLETRANSLATE(A11339 , ""tr"" , ""en"")"),"@drfahrettinkoca is returned to his old profession, liar staring.")</f>
        <v>@drfahrettinkoca is returned to his old profession, liar staring.</v>
      </c>
    </row>
    <row r="14541" spans="1:5" ht="15" customHeight="1" x14ac:dyDescent="0.2">
      <c r="A14541" s="1" t="s">
        <v>28657</v>
      </c>
      <c r="B14541" s="1">
        <v>2</v>
      </c>
      <c r="C14541" s="3">
        <v>44527.974594907406</v>
      </c>
      <c r="D14541" s="1" t="s">
        <v>28658</v>
      </c>
      <c r="E14541" s="1" t="str">
        <f ca="1">IFERROR(__xludf.DUMMYFUNCTION("GOOGLETRANSLATE(A11340 , ""tr"" , ""en"")"),"@drfahrettinkoca sec. Fahrettin husband increasing mobing in our country, taking salary below the poverty border of our health care ... https://t.co/nz1IRKW0MZ")</f>
        <v>@drfahrettinkoca sec. Fahrettin husband increasing mobing in our country, taking salary below the poverty border of our health care ... https://t.co/nz1IRKW0MZ</v>
      </c>
    </row>
    <row r="14542" spans="1:5" ht="15" customHeight="1" x14ac:dyDescent="0.2">
      <c r="A14542" s="1" t="s">
        <v>28659</v>
      </c>
      <c r="B14542" s="1">
        <v>0</v>
      </c>
      <c r="C14542" s="3">
        <v>44527.974143518521</v>
      </c>
      <c r="D14542" s="1" t="s">
        <v>28660</v>
      </c>
      <c r="E14542" s="1" t="str">
        <f ca="1">IFERROR(__xludf.DUMMYFUNCTION("GOOGLETRANSLATE(A11341 , ""tr"" , ""en"")"),"@drfahrettinkoca tourism is subject to end")</f>
        <v>@drfahrettinkoca tourism is subject to end</v>
      </c>
    </row>
    <row r="14543" spans="1:5" ht="15" customHeight="1" x14ac:dyDescent="0.2">
      <c r="A14543" s="1" t="s">
        <v>28661</v>
      </c>
      <c r="B14543" s="1">
        <v>0</v>
      </c>
      <c r="C14543" s="3">
        <v>44527.973761574074</v>
      </c>
      <c r="D14543" s="1" t="s">
        <v>28662</v>
      </c>
      <c r="E14543" s="1" t="str">
        <f ca="1">IFERROR(__xludf.DUMMYFUNCTION("GOOGLETRANSLATE(A11342 , ""tr"" , ""en"")"),"@drfahrettinkoca Please nowhere is enough to stop reducing ourselves from being the usin of the EU.")</f>
        <v>@drfahrettinkoca Please nowhere is enough to stop reducing ourselves from being the usin of the EU.</v>
      </c>
    </row>
    <row r="14544" spans="1:5" ht="15" customHeight="1" x14ac:dyDescent="0.2">
      <c r="A14544" s="1" t="s">
        <v>28663</v>
      </c>
      <c r="B14544" s="1">
        <v>0</v>
      </c>
      <c r="C14544" s="3">
        <v>44527.972986111112</v>
      </c>
      <c r="D14544" s="1" t="s">
        <v>28664</v>
      </c>
      <c r="E14544" s="1" t="str">
        <f ca="1">IFERROR(__xludf.DUMMYFUNCTION("GOOGLETRANSLATE(A11343 , ""tr"" , ""en"")"),"@drfahrettinkoca hospital is the one who has the school from the school is the factory #")</f>
        <v>@drfahrettinkoca hospital is the one who has the school from the school is the factory #</v>
      </c>
    </row>
    <row r="14545" spans="1:5" ht="15" customHeight="1" x14ac:dyDescent="0.2">
      <c r="A14545" s="1" t="s">
        <v>28665</v>
      </c>
      <c r="B14545" s="1">
        <v>1</v>
      </c>
      <c r="C14545" s="3">
        <v>44527.97247685185</v>
      </c>
      <c r="D14545" s="1" t="s">
        <v>28666</v>
      </c>
      <c r="E14545" s="1" t="str">
        <f ca="1">IFERROR(__xludf.DUMMYFUNCTION("GOOGLETRANSLATE(A11344 , ""tr"" , ""en"")"),"@drfahrettinka Mr. @drfahrettinkoca 5 million Covidli patients who bring the drugs of Wilson patients Dormitory ... https://t.co/j0p0lyiebl")</f>
        <v>@drfahrettinka Mr. @drfahrettinkoca 5 million Covidli patients who bring the drugs of Wilson patients Dormitory ... https://t.co/j0p0lyiebl</v>
      </c>
    </row>
    <row r="14546" spans="1:5" ht="15" customHeight="1" x14ac:dyDescent="0.2">
      <c r="A14546" s="1" t="s">
        <v>28667</v>
      </c>
      <c r="B14546" s="1">
        <v>0</v>
      </c>
      <c r="C14546" s="3">
        <v>44527.966851851852</v>
      </c>
      <c r="D14546" s="1" t="s">
        <v>28668</v>
      </c>
      <c r="E14546" s="1" t="str">
        <f ca="1">IFERROR(__xludf.DUMMYFUNCTION("GOOGLETRANSLATE(A11345 , ""tr"" , ""en"")"),"@drfahrettinkoca Gene You don't do it for the Para.")</f>
        <v>@drfahrettinkoca Gene You don't do it for the Para.</v>
      </c>
    </row>
    <row r="14547" spans="1:5" ht="15" customHeight="1" x14ac:dyDescent="0.2">
      <c r="A14547" s="1" t="s">
        <v>28669</v>
      </c>
      <c r="B14547" s="1">
        <v>4</v>
      </c>
      <c r="C14547" s="3">
        <v>44527.965451388889</v>
      </c>
      <c r="D14547" s="1" t="s">
        <v>28670</v>
      </c>
      <c r="E14547" s="1" t="str">
        <f ca="1">IFERROR(__xludf.DUMMYFUNCTION("GOOGLETRANSLATE(A11346 , ""tr"" , ""en"")"),"@drfahrettinkoca what is that? What are the Turks living in Europe? The Turks living in Europe have the health system of the health system ... https://t.co/nfusxspeyk")</f>
        <v>@drfahrettinkoca what is that? What are the Turks living in Europe? The Turks living in Europe have the health system of the health system ... https://t.co/nfusxspeyk</v>
      </c>
    </row>
    <row r="14548" spans="1:5" ht="15" customHeight="1" x14ac:dyDescent="0.2">
      <c r="A14548" s="1" t="s">
        <v>28671</v>
      </c>
      <c r="B14548" s="1">
        <v>2</v>
      </c>
      <c r="C14548" s="3">
        <v>44527.965231481481</v>
      </c>
      <c r="D14548" s="1" t="s">
        <v>28672</v>
      </c>
      <c r="E14548" s="1" t="str">
        <f ca="1">IFERROR(__xludf.DUMMYFUNCTION("GOOGLETRANSLATE(A11347 , ""tr"" , ""en"")"),"@drfahrettinkoca lost my father and my aunt from Covidden. Patients are abandoned in the fate of patients.")</f>
        <v>@drfahrettinkoca lost my father and my aunt from Covidden. Patients are abandoned in the fate of patients.</v>
      </c>
    </row>
    <row r="14549" spans="1:5" ht="15" customHeight="1" x14ac:dyDescent="0.2">
      <c r="A14549" s="1" t="s">
        <v>28673</v>
      </c>
      <c r="B14549" s="1">
        <v>0</v>
      </c>
      <c r="C14549" s="3">
        <v>44527.964548611111</v>
      </c>
      <c r="D14549" s="1" t="s">
        <v>28674</v>
      </c>
      <c r="E14549" s="1" t="str">
        <f ca="1">IFERROR(__xludf.DUMMYFUNCTION("GOOGLETRANSLATE(A11348 , ""tr"" , ""en"")"),"@drfahrettinkoca Mr. Minister Do not consume your vain breath, they do not understand your narrative because they do not understand your native ... https://t.co/vfl59qcf1u")</f>
        <v>@drfahrettinkoca Mr. Minister Do not consume your vain breath, they do not understand your narrative because they do not understand your native ... https://t.co/vfl59qcf1u</v>
      </c>
    </row>
    <row r="14550" spans="1:5" ht="15" customHeight="1" x14ac:dyDescent="0.2">
      <c r="A14550" s="1" t="s">
        <v>28675</v>
      </c>
      <c r="B14550" s="1">
        <v>0</v>
      </c>
      <c r="C14550" s="3">
        <v>44527.961689814816</v>
      </c>
      <c r="D14550" s="1" t="s">
        <v>28676</v>
      </c>
      <c r="E14550" s="1" t="str">
        <f ca="1">IFERROR(__xludf.DUMMYFUNCTION("GOOGLETRANSLATE(A11349 , ""tr"" , ""en"")"),"@drfahrettinkoca State Merit, Merit, Merit; Fahrettin Husband")</f>
        <v>@drfahrettinkoca State Merit, Merit, Merit; Fahrettin Husband</v>
      </c>
    </row>
    <row r="14551" spans="1:5" ht="15" customHeight="1" x14ac:dyDescent="0.2">
      <c r="A14551" s="1" t="s">
        <v>28677</v>
      </c>
      <c r="B14551" s="1">
        <v>0</v>
      </c>
      <c r="C14551" s="3">
        <v>44527.957939814813</v>
      </c>
      <c r="D14551" s="1" t="s">
        <v>28678</v>
      </c>
      <c r="E14551" s="1" t="str">
        <f ca="1">IFERROR(__xludf.DUMMYFUNCTION("GOOGLETRANSLATE(A11350 , ""tr"" , ""en"")"),"@drfahrettinkoca Ministry of Ministry of Tum Doctors and Saglikcilar Ask to decide. Nobetlerd from fatigue here ... https://t.co/w2gmeu39uc")</f>
        <v>@drfahrettinkoca Ministry of Ministry of Tum Doctors and Saglikcilar Ask to decide. Nobetlerd from fatigue here ... https://t.co/w2gmeu39uc</v>
      </c>
    </row>
    <row r="14552" spans="1:5" ht="15" customHeight="1" x14ac:dyDescent="0.2">
      <c r="A14552" s="1" t="s">
        <v>28679</v>
      </c>
      <c r="B14552" s="1">
        <v>0</v>
      </c>
      <c r="C14552" s="3">
        <v>44527.95653935185</v>
      </c>
      <c r="D14552" s="1" t="s">
        <v>28680</v>
      </c>
      <c r="E14552" s="1" t="str">
        <f ca="1">IFERROR(__xludf.DUMMYFUNCTION("GOOGLETRANSLATE(A11351 , ""tr"" , ""en"")"),"@drfahrettinkoca Yahu is a member of this party, or when he was at the Minister of this party, he would lie ... https://t.co/dlbrbm9qcx")</f>
        <v>@drfahrettinkoca Yahu is a member of this party, or when he was at the Minister of this party, he would lie ... https://t.co/dlbrbm9qcx</v>
      </c>
    </row>
    <row r="14553" spans="1:5" ht="15" customHeight="1" x14ac:dyDescent="0.2">
      <c r="A14553" s="1" t="s">
        <v>28681</v>
      </c>
      <c r="B14553" s="1">
        <v>0</v>
      </c>
      <c r="C14553" s="3">
        <v>44527.955925925926</v>
      </c>
      <c r="D14553" s="1" t="s">
        <v>28682</v>
      </c>
      <c r="E14553" s="1" t="str">
        <f ca="1">IFERROR(__xludf.DUMMYFUNCTION("GOOGLETRANSLATE(A11352 , ""tr"" , ""en"")"),"@drfahrettinkoca how much dollar to the new variant is to examine a review of the euro")</f>
        <v>@drfahrettinkoca how much dollar to the new variant is to examine a review of the euro</v>
      </c>
    </row>
    <row r="14554" spans="1:5" ht="15" customHeight="1" x14ac:dyDescent="0.2">
      <c r="A14554" s="1" t="s">
        <v>28683</v>
      </c>
      <c r="B14554" s="1">
        <v>0</v>
      </c>
      <c r="C14554" s="3">
        <v>44527.955914351849</v>
      </c>
      <c r="D14554" s="1" t="s">
        <v>28684</v>
      </c>
      <c r="E14554" s="1" t="str">
        <f ca="1">IFERROR(__xludf.DUMMYFUNCTION("GOOGLETRANSLATE(A11353 , ""tr"" , ""en"")"),"@drfahrettinkoca citizen is to quit the congratulations 👏👍🇹🇷")</f>
        <v>@drfahrettinkoca citizen is to quit the congratulations 👏👍🇹🇷</v>
      </c>
    </row>
    <row r="14555" spans="1:5" ht="15" customHeight="1" x14ac:dyDescent="0.2">
      <c r="A14555" s="1" t="s">
        <v>28685</v>
      </c>
      <c r="B14555" s="1">
        <v>0</v>
      </c>
      <c r="C14555" s="3">
        <v>44527.953761574077</v>
      </c>
      <c r="D14555" s="1" t="s">
        <v>28686</v>
      </c>
      <c r="E14555" s="1" t="str">
        <f ca="1">IFERROR(__xludf.DUMMYFUNCTION("GOOGLETRANSLATE(A11354 , ""tr"" , ""en"")"),"@drfahrettinka Mr. Ministry @drfahrettinkoca Don't I think you bring nationals here and victimize here! My wife is Yellow ... https://t.co/f3owljvcbk")</f>
        <v>@drfahrettinka Mr. Ministry @drfahrettinkoca Don't I think you bring nationals here and victimize here! My wife is Yellow ... https://t.co/f3owljvcbk</v>
      </c>
    </row>
    <row r="14556" spans="1:5" ht="15" customHeight="1" x14ac:dyDescent="0.2">
      <c r="A14556" s="1" t="s">
        <v>28687</v>
      </c>
      <c r="B14556" s="1">
        <v>0</v>
      </c>
      <c r="C14556" s="3">
        <v>44527.952245370368</v>
      </c>
      <c r="D14556" s="1" t="s">
        <v>28688</v>
      </c>
      <c r="E14556" s="1" t="str">
        <f ca="1">IFERROR(__xludf.DUMMYFUNCTION("GOOGLETRANSLATE(A11355 , ""tr"" , ""en"")"),"@drfahrettinkoca geyefendi can you return the shuttlelar of your school to use, please either ASI MIS ... https://t.co/sldijkydni")</f>
        <v>@drfahrettinkoca geyefendi can you return the shuttlelar of your school to use, please either ASI MIS ... https://t.co/sldijkydni</v>
      </c>
    </row>
    <row r="14557" spans="1:5" ht="15" customHeight="1" x14ac:dyDescent="0.2">
      <c r="A14557" s="1" t="s">
        <v>28689</v>
      </c>
      <c r="B14557" s="1">
        <v>0</v>
      </c>
      <c r="C14557" s="3">
        <v>44527.948680555557</v>
      </c>
      <c r="D14557" s="1" t="s">
        <v>28690</v>
      </c>
      <c r="E14557" s="1" t="str">
        <f ca="1">IFERROR(__xludf.DUMMYFUNCTION("GOOGLETRANSLATE(A11356 , ""tr"" , ""en"")"),"@drfahrettinkoca Are you going to give money per patient, have you become hospital beds? Or on behalf of the citizen ... https://t.co/ubg1udzcrq")</f>
        <v>@drfahrettinkoca Are you going to give money per patient, have you become hospital beds? Or on behalf of the citizen ... https://t.co/ubg1udzcrq</v>
      </c>
    </row>
    <row r="14558" spans="1:5" ht="15" customHeight="1" x14ac:dyDescent="0.2">
      <c r="A14558" s="1" t="s">
        <v>28691</v>
      </c>
      <c r="B14558" s="1">
        <v>0</v>
      </c>
      <c r="C14558" s="3">
        <v>44527.948344907411</v>
      </c>
      <c r="D14558" s="1" t="s">
        <v>28692</v>
      </c>
      <c r="E14558" s="1" t="str">
        <f ca="1">IFERROR(__xludf.DUMMYFUNCTION("GOOGLETRANSLATE(A11357 , ""tr"" , ""en"")"),"@drfahrettinkoca e If you couldn't have lied to this was the madem. The man has labeled you and. Proprietor saying correctly ... https://t.co/8nkx7cmxsm")</f>
        <v>@drfahrettinkoca e If you couldn't have lied to this was the madem. The man has labeled you and. Proprietor saying correctly ... https://t.co/8nkx7cmxsm</v>
      </c>
    </row>
    <row r="14559" spans="1:5" ht="15" customHeight="1" x14ac:dyDescent="0.2">
      <c r="A14559" s="1" t="s">
        <v>28693</v>
      </c>
      <c r="B14559" s="1">
        <v>0</v>
      </c>
      <c r="C14559" s="3">
        <v>44527.947835648149</v>
      </c>
      <c r="D14559" s="1" t="s">
        <v>28694</v>
      </c>
      <c r="E14559" s="1" t="str">
        <f ca="1">IFERROR(__xludf.DUMMYFUNCTION("GOOGLETRANSLATE(A11358 , ""tr"" , ""en"")"),"@drfahrettinkoca $$$$$$$ €€€€€€€ 😂")</f>
        <v>@drfahrettinkoca $$$$$$$ €€€€€€€ 😂</v>
      </c>
    </row>
    <row r="14560" spans="1:5" ht="15" customHeight="1" x14ac:dyDescent="0.2">
      <c r="A14560" s="1" t="s">
        <v>28695</v>
      </c>
      <c r="B14560" s="1">
        <v>0</v>
      </c>
      <c r="C14560" s="3">
        <v>44527.94635416667</v>
      </c>
      <c r="D14560" s="1" t="s">
        <v>28696</v>
      </c>
      <c r="E14560" s="1" t="str">
        <f ca="1">IFERROR(__xludf.DUMMYFUNCTION("GOOGLETRANSLATE(A11359 , ""tr"" , ""en"")"),"@drfahrettinkoca We have been to normal life for 1.5 years ago in Burda is still finished Corona I think our family is gonna think, yok ... https://t.co/lagezuj6wo")</f>
        <v>@drfahrettinkoca We have been to normal life for 1.5 years ago in Burda is still finished Corona I think our family is gonna think, yok ... https://t.co/lagezuj6wo</v>
      </c>
    </row>
    <row r="14561" spans="1:5" ht="15" customHeight="1" x14ac:dyDescent="0.2">
      <c r="A14561" s="1" t="s">
        <v>28697</v>
      </c>
      <c r="B14561" s="1">
        <v>0</v>
      </c>
      <c r="C14561" s="3">
        <v>44527.945868055554</v>
      </c>
      <c r="D14561" s="1" t="s">
        <v>28698</v>
      </c>
      <c r="E14561" s="1" t="str">
        <f ca="1">IFERROR(__xludf.DUMMYFUNCTION("GOOGLETRANSLATE(A11360 , ""tr"" , ""en"")"),"Think of @drfahrettinkoca is produced in the vaccine in Germany")</f>
        <v>Think of @drfahrettinkoca is produced in the vaccine in Germany</v>
      </c>
    </row>
    <row r="14562" spans="1:5" ht="15" customHeight="1" x14ac:dyDescent="0.2">
      <c r="A14562" s="1" t="s">
        <v>28699</v>
      </c>
      <c r="B14562" s="1">
        <v>0</v>
      </c>
      <c r="C14562" s="3">
        <v>44527.944386574076</v>
      </c>
      <c r="D14562" s="1" t="s">
        <v>28700</v>
      </c>
      <c r="E14562" s="1" t="str">
        <f ca="1">IFERROR(__xludf.DUMMYFUNCTION("GOOGLETRANSLATE(A11361 , ""tr"" , ""en"")"),"@drfahrettinka you give you money enough.")</f>
        <v>@drfahrettinka you give you money enough.</v>
      </c>
    </row>
    <row r="14563" spans="1:5" ht="15" customHeight="1" x14ac:dyDescent="0.2">
      <c r="A14563" s="1" t="s">
        <v>28701</v>
      </c>
      <c r="B14563" s="1">
        <v>0</v>
      </c>
      <c r="C14563" s="3">
        <v>44527.942395833335</v>
      </c>
      <c r="D14563" s="1" t="s">
        <v>28702</v>
      </c>
      <c r="E14563" s="1" t="str">
        <f ca="1">IFERROR(__xludf.DUMMYFUNCTION("GOOGLETRANSLATE(A11362 , ""tr"" , ""en"")"),"@drfahrettinkoca that people are not a German citizen I'm not paying tax. As a tourist and they have been Covid.")</f>
        <v>@drfahrettinkoca that people are not a German citizen I'm not paying tax. As a tourist and they have been Covid.</v>
      </c>
    </row>
    <row r="14564" spans="1:5" ht="15" customHeight="1" x14ac:dyDescent="0.2">
      <c r="A14564" s="1" t="s">
        <v>28703</v>
      </c>
      <c r="B14564" s="1">
        <v>0</v>
      </c>
      <c r="C14564" s="3">
        <v>44527.940960648149</v>
      </c>
      <c r="D14564" s="1" t="s">
        <v>28704</v>
      </c>
      <c r="E14564" s="1" t="str">
        <f ca="1">IFERROR(__xludf.DUMMYFUNCTION("GOOGLETRANSLATE(A11363 , ""tr"" , ""en"")"),"@drfahrettinkoca # VeLilerendiMelionLine")</f>
        <v>@drfahrettinkoca # VeLilerendiMelionLine</v>
      </c>
    </row>
    <row r="14565" spans="1:5" ht="15" customHeight="1" x14ac:dyDescent="0.2">
      <c r="A14565" s="1" t="s">
        <v>28705</v>
      </c>
      <c r="B14565" s="1">
        <v>0</v>
      </c>
      <c r="C14565" s="3">
        <v>44527.93953703704</v>
      </c>
      <c r="D14565" s="1" t="s">
        <v>28706</v>
      </c>
      <c r="E14565" s="1" t="str">
        <f ca="1">IFERROR(__xludf.DUMMYFUNCTION("GOOGLETRANSLATE(A11364 , ""tr"" , ""en"")"),"@drfahrettinkoca you're lying! Unregistered in Europe in Europe. Once the island ... https://t.co/gde9dkzodd")</f>
        <v>@drfahrettinkoca you're lying! Unregistered in Europe in Europe. Once the island ... https://t.co/gde9dkzodd</v>
      </c>
    </row>
    <row r="14566" spans="1:5" ht="15" customHeight="1" x14ac:dyDescent="0.2">
      <c r="A14566" s="1" t="s">
        <v>28707</v>
      </c>
      <c r="B14566" s="1">
        <v>0</v>
      </c>
      <c r="C14566" s="3">
        <v>44527.93953703704</v>
      </c>
      <c r="D14566" s="1" t="s">
        <v>28708</v>
      </c>
      <c r="E14566" s="1" t="str">
        <f ca="1">IFERROR(__xludf.DUMMYFUNCTION("GOOGLETRANSLATE(A11365 , ""tr"" , ""en"")"),"@drfahrettinkoca We are an appointment from hospital Mi Mr. Minister")</f>
        <v>@drfahrettinkoca We are an appointment from hospital Mi Mr. Minister</v>
      </c>
    </row>
    <row r="14567" spans="1:5" ht="15" customHeight="1" x14ac:dyDescent="0.2">
      <c r="A14567" s="1" t="s">
        <v>28709</v>
      </c>
      <c r="B14567" s="1">
        <v>0</v>
      </c>
      <c r="C14567" s="3">
        <v>44527.938125000001</v>
      </c>
      <c r="D14567" s="1" t="s">
        <v>28710</v>
      </c>
      <c r="E14567" s="1" t="str">
        <f ca="1">IFERROR(__xludf.DUMMYFUNCTION("GOOGLETRANSLATE(A11366 , ""tr"" , ""en"")"),"@drfahrettinkoca hocam give it blank. Hospitals are our palaces. They don't come to there. Rotating in their health industry ... https://t.co/hnnba1uax2")</f>
        <v>@drfahrettinkoca hocam give it blank. Hospitals are our palaces. They don't come to there. Rotating in their health industry ... https://t.co/hnnba1uax2</v>
      </c>
    </row>
    <row r="14568" spans="1:5" ht="15" customHeight="1" x14ac:dyDescent="0.2">
      <c r="A14568" s="1" t="s">
        <v>28711</v>
      </c>
      <c r="B14568" s="1">
        <v>0</v>
      </c>
      <c r="C14568" s="3">
        <v>44527.937337962961</v>
      </c>
      <c r="D14568" s="1" t="s">
        <v>28712</v>
      </c>
      <c r="E14568" s="1" t="str">
        <f ca="1">IFERROR(__xludf.DUMMYFUNCTION("GOOGLETRANSLATE(A11367 , ""tr"" , ""en"")"),"@drfahrettinkoca I think quit. Hundreds of Turkish people daily daily, you are doing literature to find the solution.")</f>
        <v>@drfahrettinkoca I think quit. Hundreds of Turkish people daily daily, you are doing literature to find the solution.</v>
      </c>
    </row>
    <row r="14569" spans="1:5" ht="15" customHeight="1" x14ac:dyDescent="0.2">
      <c r="A14569" s="1" t="s">
        <v>28713</v>
      </c>
      <c r="B14569" s="1">
        <v>0</v>
      </c>
      <c r="C14569" s="3">
        <v>44527.935810185183</v>
      </c>
      <c r="D14569" s="1" t="s">
        <v>28714</v>
      </c>
      <c r="E14569" s="1" t="str">
        <f ca="1">IFERROR(__xludf.DUMMYFUNCTION("GOOGLETRANSLATE(A11368 , ""tr"" , ""en"")"),"@drfahrettinkoca No one can eat the consent of anyone The Lord brings them here in my Lord, lets see me ... https://t.co/e4saopxwk2")</f>
        <v>@drfahrettinkoca No one can eat the consent of anyone The Lord brings them here in my Lord, lets see me ... https://t.co/e4saopxwk2</v>
      </c>
    </row>
    <row r="14570" spans="1:5" ht="15" customHeight="1" x14ac:dyDescent="0.2">
      <c r="A14570" s="1" t="s">
        <v>28715</v>
      </c>
      <c r="B14570" s="1">
        <v>0</v>
      </c>
      <c r="C14570" s="3">
        <v>44527.93414351852</v>
      </c>
      <c r="D14570" s="1" t="s">
        <v>28716</v>
      </c>
      <c r="E14570" s="1" t="str">
        <f ca="1">IFERROR(__xludf.DUMMYFUNCTION("GOOGLETRANSLATE(A11369 , ""tr"" , ""en"")"),"@drfahrettinkoca hocam we all have English and the WHO director wants to mean. Please Curl Move Now ... https://t.co/inrspdvzpk")</f>
        <v>@drfahrettinkoca hocam we all have English and the WHO director wants to mean. Please Curl Move Now ... https://t.co/inrspdvzpk</v>
      </c>
    </row>
    <row r="14571" spans="1:5" ht="15" customHeight="1" x14ac:dyDescent="0.2">
      <c r="A14571" s="1" t="s">
        <v>28717</v>
      </c>
      <c r="B14571" s="1">
        <v>0</v>
      </c>
      <c r="C14571" s="3">
        <v>44527.932106481479</v>
      </c>
      <c r="D14571" s="1" t="s">
        <v>28718</v>
      </c>
      <c r="E14571" s="1" t="str">
        <f ca="1">IFERROR(__xludf.DUMMYFUNCTION("GOOGLETRANSLATE(A11370 , ""tr"" , ""en"")"),"@drfahrettinka https://t.co/r50gyoyaj")</f>
        <v>@drfahrettinka https://t.co/r50gyoyaj</v>
      </c>
    </row>
    <row r="14572" spans="1:5" ht="15" customHeight="1" x14ac:dyDescent="0.2">
      <c r="A14572" s="1" t="s">
        <v>28719</v>
      </c>
      <c r="B14572" s="1">
        <v>0</v>
      </c>
      <c r="C14572" s="3">
        <v>44527.93204861111</v>
      </c>
      <c r="D14572" s="1" t="s">
        <v>28720</v>
      </c>
      <c r="E14572" s="1" t="str">
        <f ca="1">IFERROR(__xludf.DUMMYFUNCTION("GOOGLETRANSLATE(A11371 , ""tr"" , ""en"")"),"@drfahrettinka 9 months lying Covid showed the figure. Will we trust you?")</f>
        <v>@drfahrettinka 9 months lying Covid showed the figure. Will we trust you?</v>
      </c>
    </row>
    <row r="14573" spans="1:5" ht="15" customHeight="1" x14ac:dyDescent="0.2">
      <c r="A14573" s="1" t="s">
        <v>28721</v>
      </c>
      <c r="B14573" s="1">
        <v>0</v>
      </c>
      <c r="C14573" s="3">
        <v>44527.930509259262</v>
      </c>
      <c r="D14573" s="1" t="s">
        <v>28722</v>
      </c>
      <c r="E14573" s="1" t="str">
        <f ca="1">IFERROR(__xludf.DUMMYFUNCTION("GOOGLETRANSLATE(A11372 , ""tr"" , ""en"")"),"@drfahrettinkoca formerly, we used to be keen, America brings not to leave its citizen, now ... https://t.co/jp8atr9vxr")</f>
        <v>@drfahrettinkoca formerly, we used to be keen, America brings not to leave its citizen, now ... https://t.co/jp8atr9vxr</v>
      </c>
    </row>
    <row r="14574" spans="1:5" ht="15" customHeight="1" x14ac:dyDescent="0.2">
      <c r="A14574" s="1" t="s">
        <v>28723</v>
      </c>
      <c r="B14574" s="1">
        <v>0</v>
      </c>
      <c r="C14574" s="3">
        <v>44527.930381944447</v>
      </c>
      <c r="D14574" s="1" t="s">
        <v>28724</v>
      </c>
      <c r="E14574" s="1" t="str">
        <f ca="1">IFERROR(__xludf.DUMMYFUNCTION("GOOGLETRANSLATE(A11373 , ""tr"" , ""en"")"),"@drfahrettinkoca If you make a torpedo, if we can make an appointment from the skin this year.")</f>
        <v>@drfahrettinkoca If you make a torpedo, if we can make an appointment from the skin this year.</v>
      </c>
    </row>
    <row r="14575" spans="1:5" ht="15" customHeight="1" x14ac:dyDescent="0.2">
      <c r="A14575" s="1" t="s">
        <v>28725</v>
      </c>
      <c r="B14575" s="1">
        <v>0</v>
      </c>
      <c r="C14575" s="3">
        <v>44527.930254629631</v>
      </c>
      <c r="D14575" s="1" t="s">
        <v>28726</v>
      </c>
      <c r="E14575" s="1" t="str">
        <f ca="1">IFERROR(__xludf.DUMMYFUNCTION("GOOGLETRANSLATE(A11374 , ""tr"" , ""en"")"),"@drfahrettinkoca @meral_akrettinkoca When you understand DOGRU, you have been not found in you had a health have left on the confirmation of the t ... https://t.co/jh09d3jnpw")</f>
        <v>@drfahrettinkoca @meral_akrettinkoca When you understand DOGRU, you have been not found in you had a health have left on the confirmation of the t ... https://t.co/jh09d3jnpw</v>
      </c>
    </row>
    <row r="14576" spans="1:5" ht="15" customHeight="1" x14ac:dyDescent="0.2">
      <c r="A14576" s="1" t="s">
        <v>28727</v>
      </c>
      <c r="B14576" s="1">
        <v>0</v>
      </c>
      <c r="C14576" s="3">
        <v>44527.929791666669</v>
      </c>
      <c r="D14576" s="1" t="s">
        <v>28728</v>
      </c>
      <c r="E14576" s="1" t="str">
        <f ca="1">IFERROR(__xludf.DUMMYFUNCTION("GOOGLETRANSLATE(A11375 , ""tr"" , ""en"")"),"@drfahrettinkoca you are the faint of the liar. If a single person is sick or dissatisfies this infamous proposal, is yours.")</f>
        <v>@drfahrettinkoca you are the faint of the liar. If a single person is sick or dissatisfies this infamous proposal, is yours.</v>
      </c>
    </row>
    <row r="14577" spans="1:5" ht="15" customHeight="1" x14ac:dyDescent="0.2">
      <c r="A14577" s="1" t="s">
        <v>28729</v>
      </c>
      <c r="B14577" s="1">
        <v>0</v>
      </c>
      <c r="C14577" s="3">
        <v>44527.929699074077</v>
      </c>
      <c r="D14577" s="1" t="s">
        <v>28730</v>
      </c>
      <c r="E14577" s="1" t="str">
        <f ca="1">IFERROR(__xludf.DUMMYFUNCTION("GOOGLETRANSLATE(A11376 , ""tr"" , ""en"")"),"@drfahrettinkoca Vallahi is feared you will get our patients out of the hospital")</f>
        <v>@drfahrettinkoca Vallahi is feared you will get our patients out of the hospital</v>
      </c>
    </row>
    <row r="14578" spans="1:5" ht="15" customHeight="1" x14ac:dyDescent="0.2">
      <c r="A14578" s="1" t="s">
        <v>28731</v>
      </c>
      <c r="B14578" s="1">
        <v>0</v>
      </c>
      <c r="C14578" s="3">
        <v>44527.928923611114</v>
      </c>
      <c r="D14578" s="1" t="s">
        <v>28732</v>
      </c>
      <c r="E14578" s="1" t="str">
        <f ca="1">IFERROR(__xludf.DUMMYFUNCTION("GOOGLETRANSLATE(A11377 , ""tr"" , ""en"")"),"@drfahrettinkoca ambulance airplane shows out, Covid positive expatriate transfer.! 🤷🤦")</f>
        <v>@drfahrettinkoca ambulance airplane shows out, Covid positive expatriate transfer.! 🤷🤦</v>
      </c>
    </row>
    <row r="14579" spans="1:5" ht="15" customHeight="1" x14ac:dyDescent="0.2">
      <c r="A14579" s="1" t="s">
        <v>28733</v>
      </c>
      <c r="B14579" s="1">
        <v>0</v>
      </c>
      <c r="C14579" s="3">
        <v>44527.92759259259</v>
      </c>
      <c r="D14579" s="1" t="s">
        <v>28734</v>
      </c>
      <c r="E14579" s="1" t="str">
        <f ca="1">IFERROR(__xludf.DUMMYFUNCTION("GOOGLETRANSLATE(A11378 , ""tr"" , ""en"")"),"@drfahrettinka Mr. Minister. I congratulate you. Hike some of our health system is better than Europe ... https://t.co/AEIR8Y1JVN")</f>
        <v>@drfahrettinka Mr. Minister. I congratulate you. Hike some of our health system is better than Europe ... https://t.co/AEIR8Y1JVN</v>
      </c>
    </row>
    <row r="14580" spans="1:5" ht="15" customHeight="1" x14ac:dyDescent="0.2">
      <c r="A14580" s="1" t="s">
        <v>28735</v>
      </c>
      <c r="B14580" s="1">
        <v>0</v>
      </c>
      <c r="C14580" s="3">
        <v>44527.926990740743</v>
      </c>
      <c r="D14580" s="1" t="s">
        <v>28736</v>
      </c>
      <c r="E14580" s="1" t="str">
        <f ca="1">IFERROR(__xludf.DUMMYFUNCTION("GOOGLETRANSLATE(A11379 , ""tr"" , ""en"")"),"@drfahrettinka is ok to those who go to or temporarily residents as a student but there are permanently in living there ... https://t.co/humnupfkne")</f>
        <v>@drfahrettinka is ok to those who go to or temporarily residents as a student but there are permanently in living there ... https://t.co/humnupfkne</v>
      </c>
    </row>
    <row r="14581" spans="1:5" ht="15" customHeight="1" x14ac:dyDescent="0.2">
      <c r="A14581" s="1" t="s">
        <v>28737</v>
      </c>
      <c r="B14581" s="1">
        <v>5</v>
      </c>
      <c r="C14581" s="3">
        <v>44527.926423611112</v>
      </c>
      <c r="D14581" s="1" t="s">
        <v>28738</v>
      </c>
      <c r="E14581" s="1" t="str">
        <f ca="1">IFERROR(__xludf.DUMMYFUNCTION("GOOGLETRANSLATE(A11380 , ""tr"" , ""en"")"),"@drfahrettinkoca Do not hear your mothers Don't see our struggle for health Reply to politicians oyy oyy fahr ... https://t.co/smemavgvir")</f>
        <v>@drfahrettinkoca Do not hear your mothers Don't see our struggle for health Reply to politicians oyy oyy fahr ... https://t.co/smemavgvir</v>
      </c>
    </row>
    <row r="14582" spans="1:5" ht="15" customHeight="1" x14ac:dyDescent="0.2">
      <c r="A14582" s="1" t="s">
        <v>28739</v>
      </c>
      <c r="B14582" s="1">
        <v>0</v>
      </c>
      <c r="C14582" s="3">
        <v>44527.925324074073</v>
      </c>
      <c r="D14582" s="1" t="s">
        <v>28740</v>
      </c>
      <c r="E14582" s="1" t="str">
        <f ca="1">IFERROR(__xludf.DUMMYFUNCTION("GOOGLETRANSLATE(A11381 , ""tr"" , ""en"")"),"@drfahrettinkoca Health Workers' load was fine what he has worked on a little bit.")</f>
        <v>@drfahrettinkoca Health Workers' load was fine what he has worked on a little bit.</v>
      </c>
    </row>
    <row r="14583" spans="1:5" ht="15" customHeight="1" x14ac:dyDescent="0.2">
      <c r="A14583" s="1" t="s">
        <v>28741</v>
      </c>
      <c r="B14583" s="1">
        <v>0</v>
      </c>
      <c r="C14583" s="3">
        <v>44527.925023148149</v>
      </c>
      <c r="D14583" s="1" t="s">
        <v>28742</v>
      </c>
      <c r="E14583" s="1" t="str">
        <f ca="1">IFERROR(__xludf.DUMMYFUNCTION("GOOGLETRANSLATE(A11382 , ""tr"" , ""en"")"),"@drfahrettinkoca ships captain belly while ship sinking. Leave the show. In the city hospitals leased in the Suberona ... https://t.co/bzzfs0ewuh")</f>
        <v>@drfahrettinkoca ships captain belly while ship sinking. Leave the show. In the city hospitals leased in the Suberona ... https://t.co/bzzfs0ewuh</v>
      </c>
    </row>
    <row r="14584" spans="1:5" ht="15" customHeight="1" x14ac:dyDescent="0.2">
      <c r="A14584" s="1" t="s">
        <v>28743</v>
      </c>
      <c r="B14584" s="1">
        <v>0</v>
      </c>
      <c r="C14584" s="3">
        <v>44527.921909722223</v>
      </c>
      <c r="D14584" s="1" t="s">
        <v>28744</v>
      </c>
      <c r="E14584" s="1" t="str">
        <f ca="1">IFERROR(__xludf.DUMMYFUNCTION("GOOGLETRANSLATE(A11383 , ""tr"" , ""en"")"),"@drfahrettinkoca you will treat the person that gets well well with me with my tax! How is this work? Folks hospital doc ... https://t.co/ftn2ossshnz")</f>
        <v>@drfahrettinkoca you will treat the person that gets well well with me with my tax! How is this work? Folks hospital doc ... https://t.co/ftn2ossshnz</v>
      </c>
    </row>
    <row r="14585" spans="1:5" ht="15" customHeight="1" x14ac:dyDescent="0.2">
      <c r="A14585" s="1" t="s">
        <v>28745</v>
      </c>
      <c r="B14585" s="1">
        <v>1</v>
      </c>
      <c r="C14585" s="3">
        <v>44527.921631944446</v>
      </c>
      <c r="D14585" s="1" t="s">
        <v>28746</v>
      </c>
      <c r="E14585" s="1" t="str">
        <f ca="1">IFERROR(__xludf.DUMMYFUNCTION("GOOGLETRANSLATE(A11384 , ""tr"" , ""en"")"),"@drfahrettinkoca is seen that Twitten Hans Kluge misunderstood you; So Germany, which is TC citizenship ... https://t.co/wjrxh2ebqc")</f>
        <v>@drfahrettinkoca is seen that Twitten Hans Kluge misunderstood you; So Germany, which is TC citizenship ... https://t.co/wjrxh2ebqc</v>
      </c>
    </row>
    <row r="14586" spans="1:5" ht="15" customHeight="1" x14ac:dyDescent="0.2">
      <c r="A14586" s="1" t="s">
        <v>28747</v>
      </c>
      <c r="B14586" s="1">
        <v>0</v>
      </c>
      <c r="C14586" s="3">
        <v>44527.92114583333</v>
      </c>
      <c r="D14586" s="1" t="s">
        <v>28748</v>
      </c>
      <c r="E14586" s="1" t="str">
        <f ca="1">IFERROR(__xludf.DUMMYFUNCTION("GOOGLETRANSLATE(A11385 , ""tr"" , ""en"")"),"@drfahrettinkoca Dear Minister Claim the trowel as maybe they understand.")</f>
        <v>@drfahrettinkoca Dear Minister Claim the trowel as maybe they understand.</v>
      </c>
    </row>
    <row r="14587" spans="1:5" ht="15" customHeight="1" x14ac:dyDescent="0.2">
      <c r="A14587" s="1" t="s">
        <v>28749</v>
      </c>
      <c r="B14587" s="1">
        <v>0</v>
      </c>
      <c r="C14587" s="3">
        <v>44527.920254629629</v>
      </c>
      <c r="D14587" s="1" t="s">
        <v>28750</v>
      </c>
      <c r="E14587" s="1" t="str">
        <f ca="1">IFERROR(__xludf.DUMMYFUNCTION("GOOGLETRANSLATE(A11386 , ""tr"" , ""en"")"),"@drfahrettinkoca is a network of politics right over it. Is the mind job when you are spreading in new mutation?")</f>
        <v>@drfahrettinkoca is a network of politics right over it. Is the mind job when you are spreading in new mutation?</v>
      </c>
    </row>
    <row r="14588" spans="1:5" ht="15" customHeight="1" x14ac:dyDescent="0.2">
      <c r="A14588" s="1" t="s">
        <v>28751</v>
      </c>
      <c r="B14588" s="1">
        <v>0</v>
      </c>
      <c r="C14588" s="3">
        <v>44527.919768518521</v>
      </c>
      <c r="D14588" s="1" t="s">
        <v>28752</v>
      </c>
      <c r="E14588" s="1" t="str">
        <f ca="1">IFERROR(__xludf.DUMMYFUNCTION("GOOGLETRANSLATE(A11387 , ""tr"" , ""en"")"),"@drfahrettinkca Blowed the lie in the ear that has jumped right on top of the pity ...")</f>
        <v>@drfahrettinkca Blowed the lie in the ear that has jumped right on top of the pity ...</v>
      </c>
    </row>
    <row r="14589" spans="1:5" ht="15" customHeight="1" x14ac:dyDescent="0.2">
      <c r="A14589" s="1" t="s">
        <v>28753</v>
      </c>
      <c r="B14589" s="1">
        <v>0</v>
      </c>
      <c r="C14589" s="3">
        <v>44527.91920138889</v>
      </c>
      <c r="D14589" s="1" t="s">
        <v>28754</v>
      </c>
      <c r="E14589" s="1" t="str">
        <f ca="1">IFERROR(__xludf.DUMMYFUNCTION("GOOGLETRANSLATE(A11388 , ""tr"" , ""en"")"),"@drfahrettinka so that the yog's care departments are dollar if they have a nuisance for citizens that give all taxes for this ulkine")</f>
        <v>@drfahrettinka so that the yog's care departments are dollar if they have a nuisance for citizens that give all taxes for this ulkine</v>
      </c>
    </row>
    <row r="14590" spans="1:5" ht="15" customHeight="1" x14ac:dyDescent="0.2">
      <c r="A14590" s="1" t="s">
        <v>28755</v>
      </c>
      <c r="B14590" s="1">
        <v>0</v>
      </c>
      <c r="C14590" s="3">
        <v>44527.917743055557</v>
      </c>
      <c r="D14590" s="1" t="s">
        <v>28756</v>
      </c>
      <c r="E14590" s="1" t="str">
        <f ca="1">IFERROR(__xludf.DUMMYFUNCTION("GOOGLETRANSLATE(A11389 , ""tr"" , ""en"")"),"@drfahrettinkoca Sayin Husband German Responsible Tweet also expresses the patients in charge of Turk turk citizens statement gamm ... https://t.co/5lxferobk6")</f>
        <v>@drfahrettinkoca Sayin Husband German Responsible Tweet also expresses the patients in charge of Turk turk citizens statement gamm ... https://t.co/5lxferobk6</v>
      </c>
    </row>
    <row r="14591" spans="1:5" ht="15" customHeight="1" x14ac:dyDescent="0.2">
      <c r="A14591" s="1" t="s">
        <v>28757</v>
      </c>
      <c r="B14591" s="1">
        <v>0</v>
      </c>
      <c r="C14591" s="3">
        <v>44527.917719907404</v>
      </c>
      <c r="D14591" s="1" t="s">
        <v>28758</v>
      </c>
      <c r="E14591" s="1" t="str">
        <f ca="1">IFERROR(__xludf.DUMMYFUNCTION("GOOGLETRANSLATE(A11390 , ""tr"" , ""en"")"),"@drfahrettinkoca Germany is not able to treat their patient in Turkey in Turkey in Turkey in free ... https://t.co/18ts1x5qsd")</f>
        <v>@drfahrettinkoca Germany is not able to treat their patient in Turkey in Turkey in Turkey in free ... https://t.co/18ts1x5qsd</v>
      </c>
    </row>
    <row r="14592" spans="1:5" ht="15" customHeight="1" x14ac:dyDescent="0.2">
      <c r="A14592" s="1" t="s">
        <v>28759</v>
      </c>
      <c r="B14592" s="1">
        <v>0</v>
      </c>
      <c r="C14592" s="3">
        <v>44527.915891203702</v>
      </c>
      <c r="D14592" s="1" t="s">
        <v>28760</v>
      </c>
      <c r="E14592" s="1" t="str">
        <f ca="1">IFERROR(__xludf.DUMMYFUNCTION("GOOGLETRANSLATE(A11391 , ""tr"" , ""en"")"),"@drfahrettinka is not a disease to say the facts?")</f>
        <v>@drfahrettinka is not a disease to say the facts?</v>
      </c>
    </row>
    <row r="14593" spans="1:5" ht="15" customHeight="1" x14ac:dyDescent="0.2">
      <c r="A14593" s="1" t="s">
        <v>28761</v>
      </c>
      <c r="B14593" s="1">
        <v>0</v>
      </c>
      <c r="C14593" s="3">
        <v>44527.915752314817</v>
      </c>
      <c r="D14593" s="1" t="s">
        <v>28762</v>
      </c>
      <c r="E14593" s="1" t="str">
        <f ca="1">IFERROR(__xludf.DUMMYFUNCTION("GOOGLETRANSLATE(A11392 , ""tr"" , ""en"")"),"@drfahrettinkoca Turkey is the liquid opponents in Turkey in intensive care of Europe there is no place in intensive care of a Sweden -ambulance aircraft ... https://t.co/bhqjxp0dtm")</f>
        <v>@drfahrettinkoca Turkey is the liquid opponents in Turkey in intensive care of Europe there is no place in intensive care of a Sweden -ambulance aircraft ... https://t.co/bhqjxp0dtm</v>
      </c>
    </row>
    <row r="14594" spans="1:5" ht="15" customHeight="1" x14ac:dyDescent="0.2">
      <c r="A14594" s="1" t="s">
        <v>28763</v>
      </c>
      <c r="B14594" s="1">
        <v>0</v>
      </c>
      <c r="C14594" s="3">
        <v>44527.914768518516</v>
      </c>
      <c r="D14594" s="1" t="s">
        <v>28764</v>
      </c>
      <c r="E14594" s="1" t="str">
        <f ca="1">IFERROR(__xludf.DUMMYFUNCTION("GOOGLETRANSLATE(A11393 , ""tr"" , ""en"")"),"@drfahrettinkoca Germany do not look at them that you will bring you that you are saying.Hem are not those who find the vaccination ...")</f>
        <v>@drfahrettinkoca Germany do not look at them that you will bring you that you are saying.Hem are not those who find the vaccination ...</v>
      </c>
    </row>
    <row r="14595" spans="1:5" ht="15" customHeight="1" x14ac:dyDescent="0.2">
      <c r="A14595" s="1" t="s">
        <v>28765</v>
      </c>
      <c r="B14595" s="1">
        <v>0</v>
      </c>
      <c r="C14595" s="3">
        <v>44527.914421296293</v>
      </c>
      <c r="D14595" s="1" t="s">
        <v>28766</v>
      </c>
      <c r="E14595" s="1" t="str">
        <f ca="1">IFERROR(__xludf.DUMMYFUNCTION("GOOGLETRANSLATE(A11394 , ""tr"" , ""en"")"),"@drfahrettinkoca you give our state of God")</f>
        <v>@drfahrettinkoca you give our state of God</v>
      </c>
    </row>
    <row r="14596" spans="1:5" ht="15" customHeight="1" x14ac:dyDescent="0.2">
      <c r="A14596" s="1" t="s">
        <v>28767</v>
      </c>
      <c r="B14596" s="1">
        <v>2</v>
      </c>
      <c r="C14596" s="3">
        <v>44527.914386574077</v>
      </c>
      <c r="D14596" s="1" t="s">
        <v>28768</v>
      </c>
      <c r="E14596" s="1" t="str">
        <f ca="1">IFERROR(__xludf.DUMMYFUNCTION("GOOGLETRANSLATE(A11395 , ""tr"" , ""en"")"),"@drfahrettinkoca teacher You know you also know the original of the work.")</f>
        <v>@drfahrettinkoca teacher You know you also know the original of the work.</v>
      </c>
    </row>
    <row r="14597" spans="1:5" ht="15" customHeight="1" x14ac:dyDescent="0.2">
      <c r="A14597" s="1" t="s">
        <v>28769</v>
      </c>
      <c r="B14597" s="1">
        <v>0</v>
      </c>
      <c r="C14597" s="3">
        <v>44527.913229166668</v>
      </c>
      <c r="D14597" s="1" t="s">
        <v>28770</v>
      </c>
      <c r="E14597" s="1" t="str">
        <f ca="1">IFERROR(__xludf.DUMMYFUNCTION("GOOGLETRANSLATE(A11396 , ""tr"" , ""en"")"),"@drfahrettinkoca you are getting no tax on my maasim.")</f>
        <v>@drfahrettinkoca you are getting no tax on my maasim.</v>
      </c>
    </row>
    <row r="14598" spans="1:5" ht="15" customHeight="1" x14ac:dyDescent="0.2">
      <c r="A14598" s="1" t="s">
        <v>28771</v>
      </c>
      <c r="B14598" s="1">
        <v>0</v>
      </c>
      <c r="C14598" s="3">
        <v>44527.913206018522</v>
      </c>
      <c r="D14598" s="1" t="s">
        <v>28772</v>
      </c>
      <c r="E14598" s="1" t="str">
        <f ca="1">IFERROR(__xludf.DUMMYFUNCTION("GOOGLETRANSLATE(A11397 , ""tr"" , ""en"")"),"@drfahrettinkoca ie, the Turkish Health Employees who say that our Turkish health workers are buying the payment as foreign exchange ...")</f>
        <v>@drfahrettinkoca ie, the Turkish Health Employees who say that our Turkish health workers are buying the payment as foreign exchange ...</v>
      </c>
    </row>
    <row r="14599" spans="1:5" ht="15" customHeight="1" x14ac:dyDescent="0.2">
      <c r="A14599" s="1" t="s">
        <v>28773</v>
      </c>
      <c r="B14599" s="1">
        <v>2</v>
      </c>
      <c r="C14599" s="3">
        <v>44527.912673611114</v>
      </c>
      <c r="D14599" s="1" t="s">
        <v>28774</v>
      </c>
      <c r="E14599" s="1" t="str">
        <f ca="1">IFERROR(__xludf.DUMMYFUNCTION("GOOGLETRANSLATE(A11398 , ""tr"" , ""en"")"),"@drfahrettinkoca Don't be sad about you! Give all of your staff uses UB20O8 anionic oxygen ... https://t.co/e7aj0ncnym")</f>
        <v>@drfahrettinkoca Don't be sad about you! Give all of your staff uses UB20O8 anionic oxygen ... https://t.co/e7aj0ncnym</v>
      </c>
    </row>
    <row r="14600" spans="1:5" ht="15" customHeight="1" x14ac:dyDescent="0.2">
      <c r="A14600" s="1" t="s">
        <v>28775</v>
      </c>
      <c r="B14600" s="1">
        <v>0</v>
      </c>
      <c r="C14600" s="3">
        <v>44527.912442129629</v>
      </c>
      <c r="D14600" s="1" t="s">
        <v>28776</v>
      </c>
      <c r="E14600" s="1" t="str">
        <f ca="1">IFERROR(__xludf.DUMMYFUNCTION("GOOGLETRANSLATE(A11399 , ""tr"" , ""en"")"),"@drfahrettinkoca Mr. Meral Akşener in politics I couldn't see a word made of politics but 5 million in your 5 million statements ... https://t.co/hnj8g7a8x1")</f>
        <v>@drfahrettinkoca Mr. Meral Akşener in politics I couldn't see a word made of politics but 5 million in your 5 million statements ... https://t.co/hnj8g7a8x1</v>
      </c>
    </row>
    <row r="14601" spans="1:5" ht="15" customHeight="1" x14ac:dyDescent="0.2">
      <c r="A14601" s="1" t="s">
        <v>28777</v>
      </c>
      <c r="B14601" s="1">
        <v>0</v>
      </c>
      <c r="C14601" s="3">
        <v>44527.912268518521</v>
      </c>
      <c r="D14601" s="1" t="s">
        <v>28778</v>
      </c>
      <c r="E14601" s="1" t="str">
        <f ca="1">IFERROR(__xludf.DUMMYFUNCTION("GOOGLETRANSLATE(A11400 , ""tr"" , ""en"")"),"@drfahrettinkoca Dear husband quit my hubby because whenever he says they never keep each other at all")</f>
        <v>@drfahrettinkoca Dear husband quit my hubby because whenever he says they never keep each other at all</v>
      </c>
    </row>
    <row r="14602" spans="1:5" ht="15" customHeight="1" x14ac:dyDescent="0.2">
      <c r="A14602" s="1" t="s">
        <v>28779</v>
      </c>
      <c r="B14602" s="1">
        <v>1</v>
      </c>
      <c r="C14602" s="3">
        <v>44527.912245370368</v>
      </c>
      <c r="D14602" s="1" t="s">
        <v>28780</v>
      </c>
      <c r="E14602" s="1" t="str">
        <f ca="1">IFERROR(__xludf.DUMMYFUNCTION("GOOGLETRANSLATE(A11401 , ""tr"" , ""en"")"),"@drfahrettinkoca You first see the games played through these liquids.")</f>
        <v>@drfahrettinkoca You first see the games played through these liquids.</v>
      </c>
    </row>
    <row r="14603" spans="1:5" ht="15" customHeight="1" x14ac:dyDescent="0.2">
      <c r="A14603" s="1" t="s">
        <v>28781</v>
      </c>
      <c r="B14603" s="1">
        <v>0</v>
      </c>
      <c r="C14603" s="3">
        <v>44527.912141203706</v>
      </c>
      <c r="D14603" s="1" t="s">
        <v>28782</v>
      </c>
      <c r="E14603" s="1" t="str">
        <f ca="1">IFERROR(__xludf.DUMMYFUNCTION("GOOGLETRANSLATE(A11402 , ""tr"" , ""en"")"),"@drfahrettinkoca @meral_aksener Told the truth to the end. !! What will be the status of the citizen in our country .??... https://t.co/qoaqnsl9ap")</f>
        <v>@drfahrettinkoca @meral_aksener Told the truth to the end. !! What will be the status of the citizen in our country .??... https://t.co/qoaqnsl9ap</v>
      </c>
    </row>
    <row r="14604" spans="1:5" ht="15" customHeight="1" x14ac:dyDescent="0.2">
      <c r="A14604" s="1" t="s">
        <v>28783</v>
      </c>
      <c r="B14604" s="1">
        <v>0</v>
      </c>
      <c r="C14604" s="3">
        <v>44527.911909722221</v>
      </c>
      <c r="D14604" s="1" t="s">
        <v>28784</v>
      </c>
      <c r="E14604" s="1" t="str">
        <f ca="1">IFERROR(__xludf.DUMMYFUNCTION("GOOGLETRANSLATE(A11403 , ""tr"" , ""en"")"),"@drfahrettinkoca you discarded ...")</f>
        <v>@drfahrettinkoca you discarded ...</v>
      </c>
    </row>
    <row r="14605" spans="1:5" ht="15" customHeight="1" x14ac:dyDescent="0.2">
      <c r="A14605" s="1" t="s">
        <v>28785</v>
      </c>
      <c r="B14605" s="1">
        <v>0</v>
      </c>
      <c r="C14605" s="3">
        <v>44527.911145833335</v>
      </c>
      <c r="D14605" s="1" t="s">
        <v>28786</v>
      </c>
      <c r="E14605" s="1" t="str">
        <f ca="1">IFERROR(__xludf.DUMMYFUNCTION("GOOGLETRANSLATE(A11404 , ""tr"" , ""en"")"),"@drfahrettinkoca What an appropriation is made for this to be the garibony to Turkey")</f>
        <v>@drfahrettinkoca What an appropriation is made for this to be the garibony to Turkey</v>
      </c>
    </row>
    <row r="14606" spans="1:5" ht="15" customHeight="1" x14ac:dyDescent="0.2">
      <c r="A14606" s="1" t="s">
        <v>28787</v>
      </c>
      <c r="B14606" s="1">
        <v>0</v>
      </c>
      <c r="C14606" s="3">
        <v>44527.911076388889</v>
      </c>
      <c r="D14606" s="1" t="s">
        <v>28788</v>
      </c>
      <c r="E14606" s="1" t="str">
        <f ca="1">IFERROR(__xludf.DUMMYFUNCTION("GOOGLETRANSLATE(A11405 , ""tr"" , ""en"")"),"@drfahrettinkoca yansen 😂😂😂")</f>
        <v>@drfahrettinkoca yansen 😂😂😂</v>
      </c>
    </row>
    <row r="14607" spans="1:5" ht="15" customHeight="1" x14ac:dyDescent="0.2">
      <c r="A14607" s="1" t="s">
        <v>28789</v>
      </c>
      <c r="B14607" s="1">
        <v>0</v>
      </c>
      <c r="C14607" s="3">
        <v>44527.910995370374</v>
      </c>
      <c r="D14607" s="1" t="s">
        <v>28790</v>
      </c>
      <c r="E14607" s="1" t="str">
        <f ca="1">IFERROR(__xludf.DUMMYFUNCTION("GOOGLETRANSLATE(A11406 , ""tr"" , ""en"")"),"@drfahrettinkoca We don't want to Mr. Ministry Imported patients, do you earn very hard citizen ???")</f>
        <v>@drfahrettinkoca We don't want to Mr. Ministry Imported patients, do you earn very hard citizen ???</v>
      </c>
    </row>
    <row r="14608" spans="1:5" ht="15" customHeight="1" x14ac:dyDescent="0.2">
      <c r="A14608" s="1" t="s">
        <v>28791</v>
      </c>
      <c r="B14608" s="1">
        <v>0</v>
      </c>
      <c r="C14608" s="3">
        <v>44527.91034722222</v>
      </c>
      <c r="D14608" s="1" t="s">
        <v>28792</v>
      </c>
      <c r="E14608" s="1" t="str">
        <f ca="1">IFERROR(__xludf.DUMMYFUNCTION("GOOGLETRANSLATE(A11407 , ""tr"" , ""en"")"),"@drfahrettinkoca everyone budget boring in their dump")</f>
        <v>@drfahrettinkoca everyone budget boring in their dump</v>
      </c>
    </row>
    <row r="14609" spans="1:5" ht="15" customHeight="1" x14ac:dyDescent="0.2">
      <c r="A14609" s="1" t="s">
        <v>28793</v>
      </c>
      <c r="B14609" s="1">
        <v>0</v>
      </c>
      <c r="C14609" s="3">
        <v>44527.909849537034</v>
      </c>
      <c r="D14609" s="1" t="s">
        <v>28794</v>
      </c>
      <c r="E14609" s="1" t="str">
        <f ca="1">IFERROR(__xludf.DUMMYFUNCTION("GOOGLETRANSLATE(A11408 , ""tr"" , ""en"")"),"@drfahrettinkoca Mr. husband, before we are in question, we do not eat us in hospitals, Europe, European money ... https://t.co/831kke2DRC")</f>
        <v>@drfahrettinkoca Mr. husband, before we are in question, we do not eat us in hospitals, Europe, European money ... https://t.co/831kke2DRC</v>
      </c>
    </row>
    <row r="14610" spans="1:5" ht="15" customHeight="1" x14ac:dyDescent="0.2">
      <c r="A14610" s="1" t="s">
        <v>28795</v>
      </c>
      <c r="B14610" s="1">
        <v>0</v>
      </c>
      <c r="C14610" s="3">
        <v>44532.883715277778</v>
      </c>
      <c r="D14610" s="1" t="s">
        <v>28796</v>
      </c>
      <c r="E14610" s="1" t="str">
        <f ca="1">IFERROR(__xludf.DUMMYFUNCTION("GOOGLETRANSLATE(A11409 , ""tr"" , ""en"")"),"@drfahrettinkoca Basik You are going out with words. Services made do not end counting. If you are in this hometown chaos ... https://t.co/u4dcks0sr9")</f>
        <v>@drfahrettinkoca Basik You are going out with words. Services made do not end counting. If you are in this hometown chaos ... https://t.co/u4dcks0sr9</v>
      </c>
    </row>
    <row r="14611" spans="1:5" ht="15" customHeight="1" x14ac:dyDescent="0.2">
      <c r="A14611" s="1" t="s">
        <v>28797</v>
      </c>
      <c r="B14611" s="1">
        <v>0</v>
      </c>
      <c r="C14611" s="3">
        <v>44532.881076388891</v>
      </c>
      <c r="D14611" s="1" t="s">
        <v>28798</v>
      </c>
      <c r="E14611" s="1" t="str">
        <f ca="1">IFERROR(__xludf.DUMMYFUNCTION("GOOGLETRANSLATE(A11410 , ""tr"" , ""en"")"),"@drfahrettinkoca Mr. Ministry is not to be applied to politics. We are attaching you. Continue the service")</f>
        <v>@drfahrettinkoca Mr. Ministry is not to be applied to politics. We are attaching you. Continue the service</v>
      </c>
    </row>
    <row r="14612" spans="1:5" ht="15" customHeight="1" x14ac:dyDescent="0.2">
      <c r="A14612" s="1" t="s">
        <v>28799</v>
      </c>
      <c r="B14612" s="1">
        <v>0</v>
      </c>
      <c r="C14612" s="3">
        <v>44537.623217592591</v>
      </c>
      <c r="D14612" s="1" t="s">
        <v>28800</v>
      </c>
      <c r="E14612" s="1" t="str">
        <f ca="1">IFERROR(__xludf.DUMMYFUNCTION("GOOGLETRANSLATE(A11411 , ""tr"" , ""en"")"),"@drfahrettinkoca sn.bakanim This tweet This tweet is the Bungun More Planned Our Guney Africa Cancel our trip ... HTTPS://T.CO/IGBIESICVR")</f>
        <v>@drfahrettinkoca sn.bakanim This tweet This tweet is the Bungun More Planned Our Guney Africa Cancel our trip ... HTTPS://T.CO/IGBIESICVR</v>
      </c>
    </row>
    <row r="14613" spans="1:5" ht="15" customHeight="1" x14ac:dyDescent="0.2">
      <c r="A14613" s="1" t="s">
        <v>28801</v>
      </c>
      <c r="B14613" s="1">
        <v>0</v>
      </c>
      <c r="C14613" s="3">
        <v>44537.616215277776</v>
      </c>
      <c r="D14613" s="1" t="s">
        <v>28802</v>
      </c>
      <c r="E14613" s="1" t="str">
        <f ca="1">IFERROR(__xludf.DUMMYFUNCTION("GOOGLETRANSLATE(A11412 , ""tr"" , ""en"")"),"@drfahrettinkoca Mr. Minister; Thy our expeditions is interrupted by the ticket return by saying. Your Talima ... https://t.co/6p4526xnvn")</f>
        <v>@drfahrettinkoca Mr. Minister; Thy our expeditions is interrupted by the ticket return by saying. Your Talima ... https://t.co/6p4526xnvn</v>
      </c>
    </row>
    <row r="14614" spans="1:5" ht="15" customHeight="1" x14ac:dyDescent="0.2">
      <c r="A14614" s="1" t="s">
        <v>28803</v>
      </c>
      <c r="B14614" s="1">
        <v>0</v>
      </c>
      <c r="C14614" s="3">
        <v>44528.946226851855</v>
      </c>
      <c r="D14614" s="1" t="s">
        <v>28804</v>
      </c>
      <c r="E14614" s="1" t="str">
        <f ca="1">IFERROR(__xludf.DUMMYFUNCTION("GOOGLETRANSLATE(A11413 , ""tr"" , ""en"")"),"@drfahrettinkoca is captured in 2 families in our building. The folks still don't believe but believes as to him. Everyone ... https://t.co/4nwrhn6anc")</f>
        <v>@drfahrettinkoca is captured in 2 families in our building. The folks still don't believe but believes as to him. Everyone ... https://t.co/4nwrhn6anc</v>
      </c>
    </row>
    <row r="14615" spans="1:5" ht="15" customHeight="1" x14ac:dyDescent="0.2">
      <c r="A14615" s="1" t="s">
        <v>12545</v>
      </c>
      <c r="B14615" s="1">
        <v>0</v>
      </c>
      <c r="C14615" s="3">
        <v>44526.99796296296</v>
      </c>
      <c r="D14615" s="1" t="s">
        <v>28805</v>
      </c>
      <c r="E14615" s="1" t="str">
        <f ca="1">IFERROR(__xludf.DUMMYFUNCTION("GOOGLETRANSLATE(A11414 , ""tr"" , ""en"")"),"@drfahrettinkoca 😂😂😂")</f>
        <v>@drfahrettinkoca 😂😂😂</v>
      </c>
    </row>
    <row r="14616" spans="1:5" ht="15" customHeight="1" x14ac:dyDescent="0.2">
      <c r="A14616" s="1" t="s">
        <v>28806</v>
      </c>
      <c r="B14616" s="1">
        <v>0</v>
      </c>
      <c r="C14616" s="3">
        <v>44526.997939814813</v>
      </c>
      <c r="D14616" s="1" t="s">
        <v>28807</v>
      </c>
      <c r="E14616" s="1" t="str">
        <f ca="1">IFERROR(__xludf.DUMMYFUNCTION("GOOGLETRANSLATE(A11415 , ""tr"" , ""en"")"),"@drfahrettinka is the vaccine of the virus that changed a variant in 3 months? Do not find heads with the nation")</f>
        <v>@drfahrettinka is the vaccine of the virus that changed a variant in 3 months? Do not find heads with the nation</v>
      </c>
    </row>
    <row r="14617" spans="1:5" ht="15" customHeight="1" x14ac:dyDescent="0.2">
      <c r="A14617" s="1" t="s">
        <v>28808</v>
      </c>
      <c r="B14617" s="1">
        <v>0</v>
      </c>
      <c r="C14617" s="3">
        <v>44526.99591435185</v>
      </c>
      <c r="D14617" s="1" t="s">
        <v>28809</v>
      </c>
      <c r="E14617" s="1" t="str">
        <f ca="1">IFERROR(__xludf.DUMMYFUNCTION("GOOGLETRANSLATE(A11416 , ""tr"" , ""en"")"),"@drfahrettinka thoroughly returned to the kid's toy this work.")</f>
        <v>@drfahrettinka thoroughly returned to the kid's toy this work.</v>
      </c>
    </row>
    <row r="14618" spans="1:5" ht="15" customHeight="1" x14ac:dyDescent="0.2">
      <c r="A14618" s="1" t="s">
        <v>28810</v>
      </c>
      <c r="B14618" s="1">
        <v>6</v>
      </c>
      <c r="C14618" s="3">
        <v>44526.99422453704</v>
      </c>
      <c r="D14618" s="1" t="s">
        <v>28811</v>
      </c>
      <c r="E14618" s="1" t="str">
        <f ca="1">IFERROR(__xludf.DUMMYFUNCTION("GOOGLETRANSLATE(A11417 , ""tr"" , ""en"")"),"@drfahrettinkoca syn overlooking somewhat premises @ cause March 2022 Aslenda Nu Varyanti Nu Varyanti NU")</f>
        <v>@drfahrettinkoca syn overlooking somewhat premises @ cause March 2022 Aslenda Nu Varyanti Nu Varyanti NU</v>
      </c>
    </row>
    <row r="14619" spans="1:5" ht="15" customHeight="1" x14ac:dyDescent="0.2">
      <c r="A14619" s="1" t="s">
        <v>28812</v>
      </c>
      <c r="B14619" s="1">
        <v>0</v>
      </c>
      <c r="C14619" s="3">
        <v>44526.993576388886</v>
      </c>
      <c r="D14619" s="1" t="s">
        <v>28813</v>
      </c>
      <c r="E14619" s="1" t="str">
        <f ca="1">IFERROR(__xludf.DUMMYFUNCTION("GOOGLETRANSLATE(A11418 , ""tr"" , ""en"")"),"@drfahrettinkoca Papua is also too Mr. Minister, including Guinea ....?")</f>
        <v>@drfahrettinkoca Papua is also too Mr. Minister, including Guinea ....?</v>
      </c>
    </row>
    <row r="14620" spans="1:5" ht="15" customHeight="1" x14ac:dyDescent="0.2">
      <c r="A14620" s="1" t="s">
        <v>28814</v>
      </c>
      <c r="B14620" s="1">
        <v>0</v>
      </c>
      <c r="C14620" s="3">
        <v>44526.99113425926</v>
      </c>
      <c r="D14620" s="1" t="s">
        <v>28815</v>
      </c>
      <c r="E14620" s="1" t="str">
        <f ca="1">IFERROR(__xludf.DUMMYFUNCTION("GOOGLETRANSLATE(A11419 , ""tr"" , ""en"")"),"@drfahrettinkoca https://t.co/UIYAH4IGDQ")</f>
        <v>@drfahrettinkoca https://t.co/UIYAH4IGDQ</v>
      </c>
    </row>
    <row r="14621" spans="1:5" ht="15" customHeight="1" x14ac:dyDescent="0.2">
      <c r="A14621" s="1" t="s">
        <v>28816</v>
      </c>
      <c r="B14621" s="1">
        <v>0</v>
      </c>
      <c r="C14621" s="3">
        <v>44526.989479166667</v>
      </c>
      <c r="D14621" s="1" t="s">
        <v>28817</v>
      </c>
      <c r="E14621" s="1" t="str">
        <f ca="1">IFERROR(__xludf.DUMMYFUNCTION("GOOGLETRANSLATE(A11420 , ""tr"" , ""en"")"),"@drfahrettinkoca ya amk these guys raw raw human yodo outlaw old black knowledge what zinkdiyon fuckers plane on the plane ATIYO")</f>
        <v>@drfahrettinkoca ya amk these guys raw raw human yodo outlaw old black knowledge what zinkdiyon fuckers plane on the plane ATIYO</v>
      </c>
    </row>
    <row r="14622" spans="1:5" ht="15" customHeight="1" x14ac:dyDescent="0.2">
      <c r="A14622" s="1" t="s">
        <v>28818</v>
      </c>
      <c r="B14622" s="1">
        <v>2</v>
      </c>
      <c r="C14622" s="3">
        <v>44526.986261574071</v>
      </c>
      <c r="D14622" s="1" t="s">
        <v>28819</v>
      </c>
      <c r="E14622" s="1" t="str">
        <f ca="1">IFERROR(__xludf.DUMMYFUNCTION("GOOGLETRANSLATE(A11421 , ""tr"" , ""en"")"),"@drfahrettinkoca day when we are the grip in the day, this is the plug slingshot with outsider nicknames, with a place to ... https://t.co/1ixgie0j8v")</f>
        <v>@drfahrettinkoca day when we are the grip in the day, this is the plug slingshot with outsider nicknames, with a place to ... https://t.co/1ixgie0j8v</v>
      </c>
    </row>
    <row r="14623" spans="1:5" ht="15" customHeight="1" x14ac:dyDescent="0.2">
      <c r="A14623" s="1" t="s">
        <v>28820</v>
      </c>
      <c r="B14623" s="1">
        <v>0</v>
      </c>
      <c r="C14623" s="3">
        <v>44526.98574074074</v>
      </c>
      <c r="D14623" s="1" t="s">
        <v>28821</v>
      </c>
      <c r="E14623" s="1" t="str">
        <f ca="1">IFERROR(__xludf.DUMMYFUNCTION("GOOGLETRANSLATE(A11422 , ""tr"" , ""en"")"),"@drfahrettinkoca urgent 9-12 years of age, chronic diseases of children.")</f>
        <v>@drfahrettinkoca urgent 9-12 years of age, chronic diseases of children.</v>
      </c>
    </row>
    <row r="14624" spans="1:5" ht="15" customHeight="1" x14ac:dyDescent="0.2">
      <c r="A14624" s="1" t="s">
        <v>28822</v>
      </c>
      <c r="B14624" s="1">
        <v>8</v>
      </c>
      <c r="C14624" s="3">
        <v>44526.984837962962</v>
      </c>
      <c r="D14624" s="1" t="s">
        <v>28823</v>
      </c>
      <c r="E14624" s="1" t="str">
        <f ca="1">IFERROR(__xludf.DUMMYFUNCTION("GOOGLETRANSLATE(A11423 , ""tr"" , ""en"")"),"@drfahrettinkoca Distance Education We want to hear our voice please")</f>
        <v>@drfahrettinkoca Distance Education We want to hear our voice please</v>
      </c>
    </row>
    <row r="14625" spans="1:5" ht="15" customHeight="1" x14ac:dyDescent="0.2">
      <c r="A14625" s="1" t="s">
        <v>28824</v>
      </c>
      <c r="B14625" s="1">
        <v>0</v>
      </c>
      <c r="C14625" s="3">
        <v>44526.983148148145</v>
      </c>
      <c r="D14625" s="1" t="s">
        <v>28825</v>
      </c>
      <c r="E14625" s="1" t="str">
        <f ca="1">IFERROR(__xludf.DUMMYFUNCTION("GOOGLETRANSLATE(A11424 , ""tr"" , ""en"")"),"@drfahrettinkoca I think you don't turn it off if you entered our country foreign exchange from the countries you have counted in this country ...")</f>
        <v>@drfahrettinkoca I think you don't turn it off if you entered our country foreign exchange from the countries you have counted in this country ...</v>
      </c>
    </row>
    <row r="14626" spans="1:5" ht="15" customHeight="1" x14ac:dyDescent="0.2">
      <c r="A14626" s="1" t="s">
        <v>28826</v>
      </c>
      <c r="B14626" s="1">
        <v>9</v>
      </c>
      <c r="C14626" s="3">
        <v>44526.981712962966</v>
      </c>
      <c r="D14626" s="1" t="s">
        <v>28827</v>
      </c>
      <c r="E14626" s="1" t="str">
        <f ca="1">IFERROR(__xludf.DUMMYFUNCTION("GOOGLETRANSLATE(A11425 , ""tr"" , ""en"")"),"@drfahrettinkoca you think so many health is the Vallahi my eyes. Something no other than God ... https://t.co/dknrt3ykrf")</f>
        <v>@drfahrettinkoca you think so many health is the Vallahi my eyes. Something no other than God ... https://t.co/dknrt3ykrf</v>
      </c>
    </row>
    <row r="14627" spans="1:5" ht="15" customHeight="1" x14ac:dyDescent="0.2">
      <c r="A14627" s="1" t="s">
        <v>28828</v>
      </c>
      <c r="B14627" s="1">
        <v>0</v>
      </c>
      <c r="C14627" s="3">
        <v>44526.977106481485</v>
      </c>
      <c r="D14627" s="1" t="s">
        <v>28829</v>
      </c>
      <c r="E14627" s="1" t="str">
        <f ca="1">IFERROR(__xludf.DUMMYFUNCTION("GOOGLETRANSLATE(A11426 , ""tr"" , ""en"")"),"@drfahrettinkoca These Vacations Made Vaccines Don't Impact Mr. Minister Nolcak Now Dose Dose Shot Vaccines, H ... https://t.co/4gtwrvydug")</f>
        <v>@drfahrettinkoca These Vacations Made Vaccines Don't Impact Mr. Minister Nolcak Now Dose Dose Shot Vaccines, H ... https://t.co/4gtwrvydug</v>
      </c>
    </row>
    <row r="14628" spans="1:5" ht="15" customHeight="1" x14ac:dyDescent="0.2">
      <c r="A14628" s="1" t="s">
        <v>28830</v>
      </c>
      <c r="B14628" s="1">
        <v>0</v>
      </c>
      <c r="C14628" s="3">
        <v>44526.977094907408</v>
      </c>
      <c r="D14628" s="1" t="s">
        <v>28831</v>
      </c>
      <c r="E14628" s="1" t="str">
        <f ca="1">IFERROR(__xludf.DUMMYFUNCTION("GOOGLETRANSLATE(A11427 , ""tr"" , ""en"")"),"@drfahrettinka is urgently passed to the online education system.")</f>
        <v>@drfahrettinka is urgently passed to the online education system.</v>
      </c>
    </row>
    <row r="14629" spans="1:5" ht="15" customHeight="1" x14ac:dyDescent="0.2">
      <c r="A14629" s="1" t="s">
        <v>28832</v>
      </c>
      <c r="B14629" s="1">
        <v>0</v>
      </c>
      <c r="C14629" s="3">
        <v>44526.975844907407</v>
      </c>
      <c r="D14629" s="1" t="s">
        <v>28833</v>
      </c>
      <c r="E14629" s="1" t="str">
        <f ca="1">IFERROR(__xludf.DUMMYFUNCTION("GOOGLETRANSLATE(A11428 , ""tr"" , ""en"")"),"@drfahrettinkoca Here are such measures 👏👏")</f>
        <v>@drfahrettinkoca Here are such measures 👏👏</v>
      </c>
    </row>
    <row r="14630" spans="1:5" ht="15" customHeight="1" x14ac:dyDescent="0.2">
      <c r="A14630" s="1" t="s">
        <v>28834</v>
      </c>
      <c r="B14630" s="1">
        <v>0</v>
      </c>
      <c r="C14630" s="3">
        <v>44526.973993055559</v>
      </c>
      <c r="D14630" s="1" t="s">
        <v>28835</v>
      </c>
      <c r="E14630" s="1" t="str">
        <f ca="1">IFERROR(__xludf.DUMMYFUNCTION("GOOGLETRANSLATE(A11429 , ""tr"" , ""en"")"),"@drfahrettinkoca why you accepted Covid patient from foreign country, you will explain it.")</f>
        <v>@drfahrettinkoca why you accepted Covid patient from foreign country, you will explain it.</v>
      </c>
    </row>
    <row r="14631" spans="1:5" ht="15" customHeight="1" x14ac:dyDescent="0.2">
      <c r="A14631" s="1" t="s">
        <v>28836</v>
      </c>
      <c r="B14631" s="1">
        <v>0</v>
      </c>
      <c r="C14631" s="3">
        <v>44526.97184027778</v>
      </c>
      <c r="D14631" s="1" t="s">
        <v>28837</v>
      </c>
      <c r="E14631" s="1" t="str">
        <f ca="1">IFERROR(__xludf.DUMMYFUNCTION("GOOGLETRANSLATE(A11430 , ""tr"" , ""en"")"),"@drfahrettinkoca you are pouring down the language of hocam. Finished in the corona!")</f>
        <v>@drfahrettinkoca you are pouring down the language of hocam. Finished in the corona!</v>
      </c>
    </row>
    <row r="14632" spans="1:5" ht="15" customHeight="1" x14ac:dyDescent="0.2">
      <c r="A14632" s="1" t="s">
        <v>28838</v>
      </c>
      <c r="B14632" s="1">
        <v>0</v>
      </c>
      <c r="C14632" s="3">
        <v>44526.970405092594</v>
      </c>
      <c r="D14632" s="1" t="s">
        <v>28839</v>
      </c>
      <c r="E14632" s="1" t="str">
        <f ca="1">IFERROR(__xludf.DUMMYFUNCTION("GOOGLETRANSLATE(A11431 , ""tr"" , ""en"")"),"@drfahrettinkoca Your fear has been pumped for 2 years You didn't get enough of you a 2 more years we can't take you enough to leave people anymore !!!")</f>
        <v>@drfahrettinkoca Your fear has been pumped for 2 years You didn't get enough of you a 2 more years we can't take you enough to leave people anymore !!!</v>
      </c>
    </row>
    <row r="14633" spans="1:5" ht="15" customHeight="1" x14ac:dyDescent="0.2">
      <c r="A14633" s="1" t="s">
        <v>28840</v>
      </c>
      <c r="B14633" s="1">
        <v>0</v>
      </c>
      <c r="C14633" s="3">
        <v>44526.970300925925</v>
      </c>
      <c r="D14633" s="1" t="s">
        <v>28841</v>
      </c>
      <c r="E14633" s="1" t="str">
        <f ca="1">IFERROR(__xludf.DUMMYFUNCTION("GOOGLETRANSLATE(A11432 , ""tr"" , ""en"")"),"@drfahrettinka vaccine does not work a non-movie")</f>
        <v>@drfahrettinka vaccine does not work a non-movie</v>
      </c>
    </row>
    <row r="14634" spans="1:5" ht="15" customHeight="1" x14ac:dyDescent="0.2">
      <c r="A14634" s="1" t="s">
        <v>28842</v>
      </c>
      <c r="B14634" s="1">
        <v>2</v>
      </c>
      <c r="C14634" s="3">
        <v>44526.969305555554</v>
      </c>
      <c r="D14634" s="1" t="s">
        <v>28843</v>
      </c>
      <c r="E14634" s="1" t="str">
        <f ca="1">IFERROR(__xludf.DUMMYFUNCTION("GOOGLETRANSLATE(A11433 , ""tr"" , ""en"")"),"@drfahrettinkoca EU countries and Great Britain's rudder water is understood Fahrettin Bey. ""Https://t.co/s1xttqjfdp")</f>
        <v>@drfahrettinkoca EU countries and Great Britain's rudder water is understood Fahrettin Bey. "Https://t.co/s1xttqjfdp</v>
      </c>
    </row>
    <row r="14635" spans="1:5" ht="15" customHeight="1" x14ac:dyDescent="0.2">
      <c r="A14635" s="1" t="s">
        <v>28844</v>
      </c>
      <c r="B14635" s="1">
        <v>0</v>
      </c>
      <c r="C14635" s="3">
        <v>44526.968622685185</v>
      </c>
      <c r="D14635" s="1" t="s">
        <v>28845</v>
      </c>
      <c r="E14635" s="1" t="str">
        <f ca="1">IFERROR(__xludf.DUMMYFUNCTION("GOOGLETRANSLATE(A11434 , ""tr"" , ""en"")"),"@drfahrettinkoca tuh Yaa had got up on ready visas :))")</f>
        <v>@drfahrettinkoca tuh Yaa had got up on ready visas :))</v>
      </c>
    </row>
    <row r="14636" spans="1:5" ht="15" customHeight="1" x14ac:dyDescent="0.2">
      <c r="A14636" s="1" t="s">
        <v>28846</v>
      </c>
      <c r="B14636" s="1">
        <v>0</v>
      </c>
      <c r="C14636" s="3">
        <v>44526.968506944446</v>
      </c>
      <c r="D14636" s="1" t="s">
        <v>28847</v>
      </c>
      <c r="E14636" s="1" t="str">
        <f ca="1">IFERROR(__xludf.DUMMYFUNCTION("GOOGLETRANSLATE(A11435 , ""tr"" , ""en"")"),"@drfahrettinkoca I'm in Keahanette .. either this new pill will be effective in this varianti or vaccines 3. Dose less than 4. Dose ...")</f>
        <v>@drfahrettinkoca I'm in Keahanette .. either this new pill will be effective in this varianti or vaccines 3. Dose less than 4. Dose ...</v>
      </c>
    </row>
    <row r="14637" spans="1:5" ht="15" customHeight="1" x14ac:dyDescent="0.2">
      <c r="A14637" s="1" t="s">
        <v>28848</v>
      </c>
      <c r="B14637" s="1">
        <v>0</v>
      </c>
      <c r="C14637" s="3">
        <v>44526.966365740744</v>
      </c>
      <c r="D14637" s="1" t="s">
        <v>28849</v>
      </c>
      <c r="E14637" s="1" t="str">
        <f ca="1">IFERROR(__xludf.DUMMYFUNCTION("GOOGLETRANSLATE(A11436 , ""tr"" , ""en"")"),"@drfahrettinkoca has a service / product, customer and serving / seller. How a business is this, customer service in CHICA ... https://t.co/RIDEUR4DPU")</f>
        <v>@drfahrettinkoca has a service / product, customer and serving / seller. How a business is this, customer service in CHICA ... https://t.co/RIDEUR4DPU</v>
      </c>
    </row>
    <row r="14638" spans="1:5" ht="15" customHeight="1" x14ac:dyDescent="0.2">
      <c r="A14638" s="1" t="s">
        <v>28850</v>
      </c>
      <c r="B14638" s="1">
        <v>0</v>
      </c>
      <c r="C14638" s="3">
        <v>44526.965868055559</v>
      </c>
      <c r="D14638" s="1" t="s">
        <v>28851</v>
      </c>
      <c r="E14638" s="1" t="str">
        <f ca="1">IFERROR(__xludf.DUMMYFUNCTION("GOOGLETRANSLATE(A11437 , ""tr"" , ""en"")"),"@drfahrettinkoca What measure are you talking about new Europe Covid Li patients agrees to Turkey ... https://t.co/apy8wr4gyl")</f>
        <v>@drfahrettinkoca What measure are you talking about new Europe Covid Li patients agrees to Turkey ... https://t.co/apy8wr4gyl</v>
      </c>
    </row>
    <row r="14639" spans="1:5" ht="15" customHeight="1" x14ac:dyDescent="0.2">
      <c r="A14639" s="1" t="s">
        <v>28852</v>
      </c>
      <c r="B14639" s="1">
        <v>0</v>
      </c>
      <c r="C14639" s="3">
        <v>44526.965520833335</v>
      </c>
      <c r="D14639" s="1" t="s">
        <v>28853</v>
      </c>
      <c r="E14639" s="1" t="str">
        <f ca="1">IFERROR(__xludf.DUMMYFUNCTION("GOOGLETRANSLATE(A11438 , ""tr"" , ""en"")"),"@drfahrettinkoca I think should close all of the African countries")</f>
        <v>@drfahrettinkoca I think should close all of the African countries</v>
      </c>
    </row>
    <row r="14640" spans="1:5" ht="15" customHeight="1" x14ac:dyDescent="0.2">
      <c r="A14640" s="1" t="s">
        <v>28854</v>
      </c>
      <c r="B14640" s="1">
        <v>0</v>
      </c>
      <c r="C14640" s="3">
        <v>44526.964675925927</v>
      </c>
      <c r="D14640" s="1" t="s">
        <v>28855</v>
      </c>
      <c r="E14640" s="1" t="str">
        <f ca="1">IFERROR(__xludf.DUMMYFUNCTION("GOOGLETRANSLATE(A11439 , ""tr"" , ""en"")"),"@drfahrettinkoca closures Loading😔")</f>
        <v>@drfahrettinkoca closures Loading😔</v>
      </c>
    </row>
    <row r="14641" spans="1:5" ht="15" customHeight="1" x14ac:dyDescent="0.2">
      <c r="A14641" s="1" t="s">
        <v>28856</v>
      </c>
      <c r="B14641" s="1">
        <v>0</v>
      </c>
      <c r="C14641" s="3">
        <v>44526.963067129633</v>
      </c>
      <c r="D14641" s="1" t="s">
        <v>28857</v>
      </c>
      <c r="E14641" s="1" t="str">
        <f ca="1">IFERROR(__xludf.DUMMYFUNCTION("GOOGLETRANSLATE(A11440 , ""tr"" , ""en"")"),"@drfahrettinka Ministry of Ministry of Bosce Save them with Dolls with SMA patients overseas them abroad ... https://t.co/agqphsgppj")</f>
        <v>@drfahrettinka Ministry of Ministry of Bosce Save them with Dolls with SMA patients overseas them abroad ... https://t.co/agqphsgppj</v>
      </c>
    </row>
    <row r="14642" spans="1:5" ht="15" customHeight="1" x14ac:dyDescent="0.2">
      <c r="A14642" s="1" t="s">
        <v>28858</v>
      </c>
      <c r="B14642" s="1">
        <v>0</v>
      </c>
      <c r="C14642" s="3">
        <v>44526.963055555556</v>
      </c>
      <c r="D14642" s="1" t="s">
        <v>28859</v>
      </c>
      <c r="E14642" s="1" t="str">
        <f ca="1">IFERROR(__xludf.DUMMYFUNCTION("GOOGLETRANSLATE(A11441 , ""tr"" , ""en"")"),"@drfahrettinka Here's everything started!")</f>
        <v>@drfahrettinka Here's everything started!</v>
      </c>
    </row>
    <row r="14643" spans="1:5" ht="15" customHeight="1" x14ac:dyDescent="0.2">
      <c r="A14643" s="1" t="s">
        <v>28860</v>
      </c>
      <c r="B14643" s="1">
        <v>2</v>
      </c>
      <c r="C14643" s="3">
        <v>44526.962789351855</v>
      </c>
      <c r="D14643" s="1" t="s">
        <v>28861</v>
      </c>
      <c r="E14643" s="1" t="str">
        <f ca="1">IFERROR(__xludf.DUMMYFUNCTION("GOOGLETRANSLATE(A11442 , ""tr"" , ""en"")"),"@drfahrettinkoca hocam schools schools are dead and gidilez yaw")</f>
        <v>@drfahrettinkoca hocam schools schools are dead and gidilez yaw</v>
      </c>
    </row>
    <row r="14644" spans="1:5" ht="15" customHeight="1" x14ac:dyDescent="0.2">
      <c r="A14644" s="1" t="s">
        <v>28862</v>
      </c>
      <c r="B14644" s="1">
        <v>0</v>
      </c>
      <c r="C14644" s="3">
        <v>44526.96056712963</v>
      </c>
      <c r="D14644" s="1" t="s">
        <v>28863</v>
      </c>
      <c r="E14644" s="1" t="str">
        <f ca="1">IFERROR(__xludf.DUMMYFUNCTION("GOOGLETRANSLATE(A11443 , ""tr"" , ""en"")"),"@drfahrettinkoca Mr. Minister Minister at TTB, especially the Members of Science Board, first by the DR s ... https://t.co/tgsots2r1x")</f>
        <v>@drfahrettinkoca Mr. Minister Minister at TTB, especially the Members of Science Board, first by the DR s ... https://t.co/tgsots2r1x</v>
      </c>
    </row>
    <row r="14645" spans="1:5" ht="15" customHeight="1" x14ac:dyDescent="0.2">
      <c r="A14645" s="1" t="s">
        <v>28864</v>
      </c>
      <c r="B14645" s="1">
        <v>0</v>
      </c>
      <c r="C14645" s="3">
        <v>44526.958935185183</v>
      </c>
      <c r="D14645" s="1" t="s">
        <v>28865</v>
      </c>
      <c r="E14645" s="1" t="str">
        <f ca="1">IFERROR(__xludf.DUMMYFUNCTION("GOOGLETRANSLATE(A11444 , ""tr"" , ""en"")"),"@drfahrettinkoca List of these names Low more than Tum Saglikcilar Dunya Ulutes as you people N ... https://t.co/doxpgkkdjn")</f>
        <v>@drfahrettinkoca List of these names Low more than Tum Saglikcilar Dunya Ulutes as you people N ... https://t.co/doxpgkkdjn</v>
      </c>
    </row>
    <row r="14646" spans="1:5" ht="15" customHeight="1" x14ac:dyDescent="0.2">
      <c r="A14646" s="1" t="s">
        <v>28866</v>
      </c>
      <c r="B14646" s="1">
        <v>0</v>
      </c>
      <c r="C14646" s="3">
        <v>44526.956585648149</v>
      </c>
      <c r="D14646" s="1" t="s">
        <v>28867</v>
      </c>
      <c r="E14646" s="1" t="str">
        <f ca="1">IFERROR(__xludf.DUMMYFUNCTION("GOOGLETRANSLATE(A11445 , ""tr"" , ""en"")"),"@drfahrettinkoca hocam, kids no-old, look at the Netherlands on Sunday on Sunday, it took the decision of the Case on Turkey ... https://t.co/DXUI6YLCH6")</f>
        <v>@drfahrettinkoca hocam, kids no-old, look at the Netherlands on Sunday on Sunday, it took the decision of the Case on Turkey ... https://t.co/DXUI6YLCH6</v>
      </c>
    </row>
    <row r="14647" spans="1:5" ht="15" customHeight="1" x14ac:dyDescent="0.2">
      <c r="A14647" s="1" t="s">
        <v>28868</v>
      </c>
      <c r="B14647" s="1">
        <v>0</v>
      </c>
      <c r="C14647" s="3">
        <v>44526.956365740742</v>
      </c>
      <c r="D14647" s="1" t="s">
        <v>28869</v>
      </c>
      <c r="E14647" s="1" t="str">
        <f ca="1">IFERROR(__xludf.DUMMYFUNCTION("GOOGLETRANSLATE(A11446 , ""tr"" , ""en"")"),"@drfahrettinkoca mu variant is over? Lu variant after nu? :)")</f>
        <v>@drfahrettinkoca mu variant is over? Lu variant after nu? :)</v>
      </c>
    </row>
    <row r="14648" spans="1:5" ht="15" customHeight="1" x14ac:dyDescent="0.2">
      <c r="A14648" s="1" t="s">
        <v>28870</v>
      </c>
      <c r="B14648" s="1">
        <v>0</v>
      </c>
      <c r="C14648" s="3">
        <v>44526.95553240741</v>
      </c>
      <c r="D14648" s="1" t="s">
        <v>28871</v>
      </c>
      <c r="E14648" s="1" t="str">
        <f ca="1">IFERROR(__xludf.DUMMYFUNCTION("GOOGLETRANSLATE(A11447 , ""tr"" , ""en"")"),"@drfahrettinkoca No bone of the tongue Non Habera Salla Stop You don't have another in Twitter, out of the mouth d ... https://t.co/4by7h8vnod")</f>
        <v>@drfahrettinkoca No bone of the tongue Non Habera Salla Stop You don't have another in Twitter, out of the mouth d ... https://t.co/4by7h8vnod</v>
      </c>
    </row>
    <row r="14649" spans="1:5" ht="15" customHeight="1" x14ac:dyDescent="0.2">
      <c r="A14649" s="1" t="s">
        <v>28872</v>
      </c>
      <c r="B14649" s="1">
        <v>0</v>
      </c>
      <c r="C14649" s="3">
        <v>44526.954826388886</v>
      </c>
      <c r="D14649" s="1" t="s">
        <v>28873</v>
      </c>
      <c r="E14649" s="1" t="str">
        <f ca="1">IFERROR(__xludf.DUMMYFUNCTION("GOOGLETRANSLATE(A11448 , ""tr"" , ""en"")"),"@drfahrettinkoca is like this is the early measure of the minister")</f>
        <v>@drfahrettinkoca is like this is the early measure of the minister</v>
      </c>
    </row>
    <row r="14650" spans="1:5" ht="15" customHeight="1" x14ac:dyDescent="0.2">
      <c r="A14650" s="1" t="s">
        <v>28874</v>
      </c>
      <c r="B14650" s="1">
        <v>2</v>
      </c>
      <c r="C14650" s="3">
        <v>44526.954583333332</v>
      </c>
      <c r="D14650" s="1" t="s">
        <v>28875</v>
      </c>
      <c r="E14650" s="1" t="str">
        <f ca="1">IFERROR(__xludf.DUMMYFUNCTION("GOOGLETRANSLATE(A11449 , ""tr"" , ""en"")"),"@drfahrettinkoca you close to other ulutes you close to the places you don't have to go to the places you are honored you know your work!")</f>
        <v>@drfahrettinkoca you close to other ulutes you close to the places you don't have to go to the places you are honored you know your work!</v>
      </c>
    </row>
    <row r="14651" spans="1:5" ht="15" customHeight="1" x14ac:dyDescent="0.2">
      <c r="A14651" s="1" t="s">
        <v>28876</v>
      </c>
      <c r="B14651" s="1">
        <v>3</v>
      </c>
      <c r="C14651" s="3">
        <v>44526.954560185186</v>
      </c>
      <c r="D14651" s="1" t="s">
        <v>28877</v>
      </c>
      <c r="E14651" s="1" t="str">
        <f ca="1">IFERROR(__xludf.DUMMYFUNCTION("GOOGLETRANSLATE(A11450 , ""tr"" , ""en"")"),"@drfahrettinkoca sec Minister Go to God's sake no longer. Our Government of Government who sees the global game on the dollar ... https://t.co/uhqefmeoo7")</f>
        <v>@drfahrettinkoca sec Minister Go to God's sake no longer. Our Government of Government who sees the global game on the dollar ... https://t.co/uhqefmeoo7</v>
      </c>
    </row>
    <row r="14652" spans="1:5" ht="15" customHeight="1" x14ac:dyDescent="0.2">
      <c r="A14652" s="1" t="s">
        <v>28878</v>
      </c>
      <c r="B14652" s="1">
        <v>0</v>
      </c>
      <c r="C14652" s="3">
        <v>44526.954363425924</v>
      </c>
      <c r="D14652" s="1" t="s">
        <v>28879</v>
      </c>
      <c r="E14652" s="1" t="str">
        <f ca="1">IFERROR(__xludf.DUMMYFUNCTION("GOOGLETRANSLATE(A11451 , ""tr"" , ""en"")"),"@drfahrettinkoca Assembers Where to Atamalarrrr")</f>
        <v>@drfahrettinkoca Assembers Where to Atamalarrrr</v>
      </c>
    </row>
    <row r="14653" spans="1:5" ht="15" customHeight="1" x14ac:dyDescent="0.2">
      <c r="A14653" s="1" t="s">
        <v>28880</v>
      </c>
      <c r="B14653" s="1">
        <v>0</v>
      </c>
      <c r="C14653" s="3">
        <v>44526.953900462962</v>
      </c>
      <c r="D14653" s="1" t="s">
        <v>28881</v>
      </c>
      <c r="E14653" s="1" t="str">
        <f ca="1">IFERROR(__xludf.DUMMYFUNCTION("GOOGLETRANSLATE(A11452 , ""tr"" , ""en"")"),"@drfahrettinkoca Moved over Turkey in Europe ❗😥 https://t.co/hpffycijla")</f>
        <v>@drfahrettinkoca Moved over Turkey in Europe ❗😥 https://t.co/hpffycijla</v>
      </c>
    </row>
    <row r="14654" spans="1:5" ht="15" customHeight="1" x14ac:dyDescent="0.2">
      <c r="A14654" s="1" t="s">
        <v>28882</v>
      </c>
      <c r="B14654" s="1">
        <v>0</v>
      </c>
      <c r="C14654" s="3">
        <v>44526.953796296293</v>
      </c>
      <c r="D14654" s="1" t="s">
        <v>28883</v>
      </c>
      <c r="E14654" s="1" t="str">
        <f ca="1">IFERROR(__xludf.DUMMYFUNCTION("GOOGLETRANSLATE(A11453 , ""tr"" , ""en"")"),"You get to @drfahrettinkoca you have come that's already in no avail. The excuse to you is at work What is nice, come ... https://t.co/TNGOBIADQ3")</f>
        <v>You get to @drfahrettinkoca you have come that's already in no avail. The excuse to you is at work What is nice, come ... https://t.co/TNGOBIADQ3</v>
      </c>
    </row>
    <row r="14655" spans="1:5" ht="15" customHeight="1" x14ac:dyDescent="0.2">
      <c r="A14655" s="1" t="s">
        <v>28884</v>
      </c>
      <c r="B14655" s="1">
        <v>0</v>
      </c>
      <c r="C14655" s="3">
        <v>44526.952974537038</v>
      </c>
      <c r="D14655" s="1" t="s">
        <v>28885</v>
      </c>
      <c r="E14655" s="1" t="str">
        <f ca="1">IFERROR(__xludf.DUMMYFUNCTION("GOOGLETRANSLATE(A11454 , ""tr"" , ""en"")"),"@drfahrettinkoca @emrkongar E course these moneyless countries 😂😂😂")</f>
        <v>@drfahrettinkoca @emrkongar E course these moneyless countries 😂😂😂</v>
      </c>
    </row>
    <row r="14656" spans="1:5" ht="15" customHeight="1" x14ac:dyDescent="0.2">
      <c r="A14656" s="1" t="s">
        <v>28886</v>
      </c>
      <c r="B14656" s="1">
        <v>0</v>
      </c>
      <c r="C14656" s="3">
        <v>44526.950162037036</v>
      </c>
      <c r="D14656" s="1" t="s">
        <v>28887</v>
      </c>
      <c r="E14656" s="1" t="str">
        <f ca="1">IFERROR(__xludf.DUMMYFUNCTION("GOOGLETRANSLATE(A11455 , ""tr"" , ""en"")"),"@drfahrettinkoca is now out of my variant, where do you find these names !!")</f>
        <v>@drfahrettinkoca is now out of my variant, where do you find these names !!</v>
      </c>
    </row>
    <row r="14657" spans="1:5" ht="15" customHeight="1" x14ac:dyDescent="0.2">
      <c r="A14657" s="1" t="s">
        <v>28888</v>
      </c>
      <c r="B14657" s="1">
        <v>0</v>
      </c>
      <c r="C14657" s="3">
        <v>44526.949918981481</v>
      </c>
      <c r="D14657" s="1" t="s">
        <v>28889</v>
      </c>
      <c r="E14657" s="1" t="str">
        <f ca="1">IFERROR(__xludf.DUMMYFUNCTION("GOOGLETRANSLATE(A11456 , ""tr"" , ""en"")"),"@drfahrettinkoca New Variant 😀 Vaccines not protecting vaccines, NEW variant GIKTI grafts are also important to say more sensible")</f>
        <v>@drfahrettinkoca New Variant 😀 Vaccines not protecting vaccines, NEW variant GIKTI grafts are also important to say more sensible</v>
      </c>
    </row>
    <row r="14658" spans="1:5" ht="15" customHeight="1" x14ac:dyDescent="0.2">
      <c r="A14658" s="1" t="s">
        <v>28890</v>
      </c>
      <c r="B14658" s="1">
        <v>0</v>
      </c>
      <c r="C14658" s="3">
        <v>44526.949606481481</v>
      </c>
      <c r="D14658" s="1" t="s">
        <v>28891</v>
      </c>
      <c r="E14658" s="1" t="str">
        <f ca="1">IFERROR(__xludf.DUMMYFUNCTION("GOOGLETRANSLATE(A11457 , ""tr"" , ""en"")"),"@drfahrettinkoca @saglikbakanligi You are dealing with corona The following cancer treatment Goren patients imported BCG SSI, ŞI ... https://t.co/biwc6qskag")</f>
        <v>@drfahrettinkoca @saglikbakanligi You are dealing with corona The following cancer treatment Goren patients imported BCG SSI, ŞI ... https://t.co/biwc6qskag</v>
      </c>
    </row>
    <row r="14659" spans="1:5" ht="15" customHeight="1" x14ac:dyDescent="0.2">
      <c r="A14659" s="1" t="s">
        <v>28892</v>
      </c>
      <c r="B14659" s="1">
        <v>0</v>
      </c>
      <c r="C14659" s="3">
        <v>44526.948449074072</v>
      </c>
      <c r="D14659" s="1" t="s">
        <v>28893</v>
      </c>
      <c r="E14659" s="1" t="str">
        <f ca="1">IFERROR(__xludf.DUMMYFUNCTION("GOOGLETRANSLATE(A11458 , ""tr"" , ""en"")"),"@drfahrettinkoca @saglikbakanligi You are dealing with corona The following cancer treatment Goren patients import BCG SSI, ŞI ... https://t.co/6ckwpz2ecs")</f>
        <v>@drfahrettinkoca @saglikbakanligi You are dealing with corona The following cancer treatment Goren patients import BCG SSI, ŞI ... https://t.co/6ckwpz2ecs</v>
      </c>
    </row>
    <row r="14660" spans="1:5" ht="15" customHeight="1" x14ac:dyDescent="0.2">
      <c r="A14660" s="1" t="s">
        <v>28894</v>
      </c>
      <c r="B14660" s="1">
        <v>0</v>
      </c>
      <c r="C14660" s="3">
        <v>44526.948437500003</v>
      </c>
      <c r="D14660" s="1" t="s">
        <v>28895</v>
      </c>
      <c r="E14660" s="1" t="str">
        <f ca="1">IFERROR(__xludf.DUMMYFUNCTION("GOOGLETRANSLATE(A11459 , ""tr"" , ""en"")"),"@drfahrettinkoca Botswana and I'm sorry to cut Mamibia connections. Mega projects will be all suspended, tu ... https://t.co/mko3mwnlkv")</f>
        <v>@drfahrettinkoca Botswana and I'm sorry to cut Mamibia connections. Mega projects will be all suspended, tu ... https://t.co/mko3mwnlkv</v>
      </c>
    </row>
    <row r="14661" spans="1:5" ht="15" customHeight="1" x14ac:dyDescent="0.2">
      <c r="A14661" s="1" t="s">
        <v>28896</v>
      </c>
      <c r="B14661" s="1">
        <v>0</v>
      </c>
      <c r="C14661" s="3">
        <v>44526.944641203707</v>
      </c>
      <c r="D14661" s="1" t="s">
        <v>28897</v>
      </c>
      <c r="E14661" s="1" t="str">
        <f ca="1">IFERROR(__xludf.DUMMYFUNCTION("GOOGLETRANSLATE(A11460 , ""tr"" , ""en"")"),"@drfahrettinkoca no what you can't do for money https://t.co/c4knkgrhj8")</f>
        <v>@drfahrettinkoca no what you can't do for money https://t.co/c4knkgrhj8</v>
      </c>
    </row>
    <row r="14662" spans="1:5" ht="15" customHeight="1" x14ac:dyDescent="0.2">
      <c r="A14662" s="1" t="s">
        <v>28898</v>
      </c>
      <c r="B14662" s="1">
        <v>3</v>
      </c>
      <c r="C14662" s="3">
        <v>44526.944490740738</v>
      </c>
      <c r="D14662" s="1" t="s">
        <v>28899</v>
      </c>
      <c r="E14662" s="1" t="str">
        <f ca="1">IFERROR(__xludf.DUMMYFUNCTION("GOOGLETRANSLATE(A11461 , ""tr"" , ""en"")"),"@drfahrettinka Ministry of Ministry We are processing the slide Online We do not work online at the slide Don't all the right to all of us.")</f>
        <v>@drfahrettinka Ministry of Ministry We are processing the slide Online We do not work online at the slide Don't all the right to all of us.</v>
      </c>
    </row>
    <row r="14663" spans="1:5" ht="15" customHeight="1" x14ac:dyDescent="0.2">
      <c r="A14663" s="1" t="s">
        <v>28900</v>
      </c>
      <c r="B14663" s="1">
        <v>5</v>
      </c>
      <c r="C14663" s="3">
        <v>44526.942893518521</v>
      </c>
      <c r="D14663" s="1" t="s">
        <v>28901</v>
      </c>
      <c r="E14663" s="1" t="str">
        <f ca="1">IFERROR(__xludf.DUMMYFUNCTION("GOOGLETRANSLATE(A11462 , ""tr"" , ""en"")"),"@drfahrettinkoca What has been in what have you had in this experimental liquids in which variant were wide spectrum gene ... https://t.co/vmzdmbdnzb")</f>
        <v>@drfahrettinkoca What has been in what have you had in this experimental liquids in which variant were wide spectrum gene ... https://t.co/vmzdmbdnzb</v>
      </c>
    </row>
    <row r="14664" spans="1:5" ht="15" customHeight="1" x14ac:dyDescent="0.2">
      <c r="A14664" s="1" t="s">
        <v>28902</v>
      </c>
      <c r="B14664" s="1">
        <v>156</v>
      </c>
      <c r="C14664" s="3">
        <v>44526.942893518521</v>
      </c>
      <c r="D14664" s="1" t="s">
        <v>28903</v>
      </c>
      <c r="E14664" s="1" t="str">
        <f ca="1">IFERROR(__xludf.DUMMYFUNCTION("GOOGLETRANSLATE(A11463 , ""tr"" , ""en"")"),"@drfahrettinkoca Turkey cannot close the land limit with Namibia. If it does that, it will be a price of Ohly 🇳🇦")</f>
        <v>@drfahrettinkoca Turkey cannot close the land limit with Namibia. If it does that, it will be a price of Ohly 🇳🇦</v>
      </c>
    </row>
    <row r="14665" spans="1:5" ht="15" customHeight="1" x14ac:dyDescent="0.2">
      <c r="A14665" s="1" t="s">
        <v>28904</v>
      </c>
      <c r="B14665" s="1">
        <v>0</v>
      </c>
      <c r="C14665" s="3">
        <v>44526.941296296296</v>
      </c>
      <c r="D14665" s="1" t="s">
        <v>28905</v>
      </c>
      <c r="E14665" s="1" t="str">
        <f ca="1">IFERROR(__xludf.DUMMYFUNCTION("GOOGLETRANSLATE(A11464 , ""tr"" , ""en"")"),"@drfahrettinkoca 🤣🤣🤣🤣🤣🤣 You are funny, you are measuring the country who has passed the country road. We are very impressed by Mr. Minister.")</f>
        <v>@drfahrettinkoca 🤣🤣🤣🤣🤣🤣 You are funny, you are measuring the country who has passed the country road. We are very impressed by Mr. Minister.</v>
      </c>
    </row>
    <row r="14666" spans="1:5" ht="15" customHeight="1" x14ac:dyDescent="0.2">
      <c r="A14666" s="1" t="s">
        <v>28906</v>
      </c>
      <c r="B14666" s="1">
        <v>0</v>
      </c>
      <c r="C14666" s="3">
        <v>44526.940983796296</v>
      </c>
      <c r="D14666" s="1" t="s">
        <v>28907</v>
      </c>
      <c r="E14666" s="1" t="str">
        <f ca="1">IFERROR(__xludf.DUMMYFUNCTION("GOOGLETRANSLATE(A11465 , ""tr"" , ""en"")"),"@drfahrettinkoca Ya Great Bi Neylers Millions of Zimbabwe Li Billets in our country! Ask for testing from Europe first")</f>
        <v>@drfahrettinkoca Ya Great Bi Neylers Millions of Zimbabwe Li Billets in our country! Ask for testing from Europe first</v>
      </c>
    </row>
    <row r="14667" spans="1:5" ht="15" customHeight="1" x14ac:dyDescent="0.2">
      <c r="A14667" s="1" t="s">
        <v>28908</v>
      </c>
      <c r="B14667" s="1">
        <v>4</v>
      </c>
      <c r="C14667" s="3">
        <v>44526.938414351855</v>
      </c>
      <c r="D14667" s="1" t="s">
        <v>28909</v>
      </c>
      <c r="E14667" s="1" t="str">
        <f ca="1">IFERROR(__xludf.DUMMYFUNCTION("GOOGLETRANSLATE(A11466 , ""tr"" , ""en"")"),"@drfahrettinkoca world quickly when you close to protect their citizens? # Guardianlineline")</f>
        <v>@drfahrettinkoca world quickly when you close to protect their citizens? # Guardianlineline</v>
      </c>
    </row>
    <row r="14668" spans="1:5" ht="15" customHeight="1" x14ac:dyDescent="0.2">
      <c r="A14668" s="1" t="s">
        <v>28910</v>
      </c>
      <c r="B14668" s="1">
        <v>0</v>
      </c>
      <c r="C14668" s="3">
        <v>44526.938159722224</v>
      </c>
      <c r="D14668" s="1" t="s">
        <v>28911</v>
      </c>
      <c r="E14668" s="1" t="str">
        <f ca="1">IFERROR(__xludf.DUMMYFUNCTION("GOOGLETRANSLATE(A11467 , ""tr"" , ""en"")"),"@drfahrettinkoca alphabet in the alphabet letters left why no rushed tourists laughed in the face of my country's face laughed.")</f>
        <v>@drfahrettinkoca alphabet in the alphabet letters left why no rushed tourists laughed in the face of my country's face laughed.</v>
      </c>
    </row>
    <row r="14669" spans="1:5" ht="15" customHeight="1" x14ac:dyDescent="0.2">
      <c r="A14669" s="1" t="s">
        <v>28912</v>
      </c>
      <c r="B14669" s="1">
        <v>0</v>
      </c>
      <c r="C14669" s="3">
        <v>44526.937430555554</v>
      </c>
      <c r="D14669" s="1" t="s">
        <v>28913</v>
      </c>
      <c r="E14669" s="1" t="str">
        <f ca="1">IFERROR(__xludf.DUMMYFUNCTION("GOOGLETRANSLATE(A11468 , ""tr"" , ""en"")"),"@drfahrettinkoca @saglikbakanligi Don't Omicron if I don't have it more ..")</f>
        <v>@drfahrettinkoca @saglikbakanligi Don't Omicron if I don't have it more ..</v>
      </c>
    </row>
    <row r="14670" spans="1:5" ht="15" customHeight="1" x14ac:dyDescent="0.2">
      <c r="A14670" s="1" t="s">
        <v>28914</v>
      </c>
      <c r="B14670" s="1">
        <v>0</v>
      </c>
      <c r="C14670" s="3">
        <v>44526.937048611115</v>
      </c>
      <c r="D14670" s="1" t="s">
        <v>28915</v>
      </c>
      <c r="E14670" s="1" t="str">
        <f ca="1">IFERROR(__xludf.DUMMYFUNCTION("GOOGLETRANSLATE(A11469 , ""tr"" , ""en"")"),"@drfahrettinkoca 1ay In case of Tum Dunyaya spreads")</f>
        <v>@drfahrettinkoca 1ay In case of Tum Dunyaya spreads</v>
      </c>
    </row>
    <row r="14671" spans="1:5" ht="15" customHeight="1" x14ac:dyDescent="0.2">
      <c r="A14671" s="1" t="s">
        <v>28916</v>
      </c>
      <c r="B14671" s="1">
        <v>0</v>
      </c>
      <c r="C14671" s="3">
        <v>44526.936990740738</v>
      </c>
      <c r="D14671" s="1" t="s">
        <v>28917</v>
      </c>
      <c r="E14671" s="1" t="str">
        <f ca="1">IFERROR(__xludf.DUMMYFUNCTION("GOOGLETRANSLATE(A11470 , ""tr"" , ""en"")"),"@drfahrettinkoca Help for Allah Consideration Our House Hire Accumulated Rent and Invoice Debuts As a Mom to Https://t.co/VIRAQJZSB")</f>
        <v>@drfahrettinkoca Help for Allah Consideration Our House Hire Accumulated Rent and Invoice Debuts As a Mom to Https://t.co/VIRAQJZSB</v>
      </c>
    </row>
    <row r="14672" spans="1:5" ht="15" customHeight="1" x14ac:dyDescent="0.2">
      <c r="A14672" s="1" t="s">
        <v>28918</v>
      </c>
      <c r="B14672" s="1">
        <v>0</v>
      </c>
      <c r="C14672" s="3">
        <v>44526.936041666668</v>
      </c>
      <c r="D14672" s="1" t="s">
        <v>28919</v>
      </c>
      <c r="E14672" s="1" t="str">
        <f ca="1">IFERROR(__xludf.DUMMYFUNCTION("GOOGLETRANSLATE(A11471 , ""tr"" , ""en"")"),"@drfahrettinkoca #velilerendiselionlineline")</f>
        <v>@drfahrettinkoca #velilerendiselionlineline</v>
      </c>
    </row>
    <row r="14673" spans="1:5" ht="15" customHeight="1" x14ac:dyDescent="0.2">
      <c r="A14673" s="1" t="s">
        <v>28920</v>
      </c>
      <c r="B14673" s="1">
        <v>4</v>
      </c>
      <c r="C14673" s="3">
        <v>44526.935937499999</v>
      </c>
      <c r="D14673" s="1" t="s">
        <v>28921</v>
      </c>
      <c r="E14673" s="1" t="str">
        <f ca="1">IFERROR(__xludf.DUMMYFUNCTION("GOOGLETRANSLATE(A11472 , ""tr"" , ""en"")"),"@drfahrettinkoca #velilerdeonline")</f>
        <v>@drfahrettinkoca #velilerdeonline</v>
      </c>
    </row>
    <row r="14674" spans="1:5" ht="15" customHeight="1" x14ac:dyDescent="0.2">
      <c r="A14674" s="1" t="s">
        <v>28922</v>
      </c>
      <c r="B14674" s="1">
        <v>65</v>
      </c>
      <c r="C14674" s="3">
        <v>44526.935925925929</v>
      </c>
      <c r="D14674" s="1" t="s">
        <v>28923</v>
      </c>
      <c r="E14674" s="1" t="str">
        <f ca="1">IFERROR(__xludf.DUMMYFUNCTION("GOOGLETRANSLATE(A11473 , ""tr"" , ""en"")"),"@drfahrettinkoca what variant what variant ???? This reminded me of the thing: fire, water, soil, board ... the holy liquid ... https://t.co/smf4mnnz0w")</f>
        <v>@drfahrettinkoca what variant what variant ???? This reminded me of the thing: fire, water, soil, board ... the holy liquid ... https://t.co/smf4mnnz0w</v>
      </c>
    </row>
    <row r="14675" spans="1:5" ht="15" customHeight="1" x14ac:dyDescent="0.2">
      <c r="A14675" s="1" t="s">
        <v>28924</v>
      </c>
      <c r="B14675" s="1">
        <v>0</v>
      </c>
      <c r="C14675" s="3">
        <v>44526.935856481483</v>
      </c>
      <c r="D14675" s="1" t="s">
        <v>28925</v>
      </c>
      <c r="E14675" s="1" t="str">
        <f ca="1">IFERROR(__xludf.DUMMYFUNCTION("GOOGLETRANSLATE(A11474 , ""tr"" , ""en"")"),"@drfahrettinkoca #The OnlineIndustry")</f>
        <v>@drfahrettinkoca #The OnlineIndustry</v>
      </c>
    </row>
    <row r="14676" spans="1:5" ht="15" customHeight="1" x14ac:dyDescent="0.2">
      <c r="A14676" s="1" t="s">
        <v>28926</v>
      </c>
      <c r="B14676" s="1">
        <v>0</v>
      </c>
      <c r="C14676" s="3">
        <v>44526.935752314814</v>
      </c>
      <c r="D14676" s="1" t="s">
        <v>28927</v>
      </c>
      <c r="E14676" s="1" t="str">
        <f ca="1">IFERROR(__xludf.DUMMYFUNCTION("GOOGLETRANSLATE(A11475 , ""tr"" , ""en"")"),"@drfahrettinkoca if they have not entered in advance")</f>
        <v>@drfahrettinkoca if they have not entered in advance</v>
      </c>
    </row>
    <row r="14677" spans="1:5" ht="15" customHeight="1" x14ac:dyDescent="0.2">
      <c r="A14677" s="1" t="s">
        <v>28928</v>
      </c>
      <c r="B14677" s="1">
        <v>0</v>
      </c>
      <c r="C14677" s="3">
        <v>44526.935648148145</v>
      </c>
      <c r="D14677" s="1" t="s">
        <v>28929</v>
      </c>
      <c r="E14677" s="1" t="str">
        <f ca="1">IFERROR(__xludf.DUMMYFUNCTION("GOOGLETRANSLATE(A11476 , ""tr"" , ""en"")"),"@drfahrettinkoca Sacrifice Be African African")</f>
        <v>@drfahrettinkoca Sacrifice Be African African</v>
      </c>
    </row>
    <row r="14678" spans="1:5" ht="15" customHeight="1" x14ac:dyDescent="0.2">
      <c r="A14678" s="1" t="s">
        <v>28930</v>
      </c>
      <c r="B14678" s="1">
        <v>0</v>
      </c>
      <c r="C14678" s="3">
        <v>44526.935127314813</v>
      </c>
      <c r="D14678" s="1" t="s">
        <v>28931</v>
      </c>
      <c r="E14678" s="1" t="str">
        <f ca="1">IFERROR(__xludf.DUMMYFUNCTION("GOOGLETRANSLATE(A11477 , ""tr"" , ""en"")"),"@drfahrettinkoca We push the nirvana in stupidity. Enough but either. The water has escaped the water to the thing Bea.")</f>
        <v>@drfahrettinkoca We push the nirvana in stupidity. Enough but either. The water has escaped the water to the thing Bea.</v>
      </c>
    </row>
    <row r="14679" spans="1:5" ht="15" customHeight="1" x14ac:dyDescent="0.2">
      <c r="A14679" s="1" t="s">
        <v>28932</v>
      </c>
      <c r="B14679" s="1">
        <v>0</v>
      </c>
      <c r="C14679" s="3">
        <v>44526.934687499997</v>
      </c>
      <c r="D14679" s="1" t="s">
        <v>28933</v>
      </c>
      <c r="E14679" s="1" t="str">
        <f ca="1">IFERROR(__xludf.DUMMYFUNCTION("GOOGLETRANSLATE(A11478 , ""tr"" , ""en"")"),"@drfahrettinkoca varyant Belgium and is also seen in Israel ... Obviously we will experience soon ... Hope Biontech B ... Https://t.co/ljsk9tlbpm")</f>
        <v>@drfahrettinkoca varyant Belgium and is also seen in Israel ... Obviously we will experience soon ... Hope Biontech B ... Https://t.co/ljsk9tlbpm</v>
      </c>
    </row>
    <row r="14680" spans="1:5" ht="15" customHeight="1" x14ac:dyDescent="0.2">
      <c r="A14680" s="1" t="s">
        <v>28934</v>
      </c>
      <c r="B14680" s="1">
        <v>1</v>
      </c>
      <c r="C14680" s="3">
        <v>44526.934629629628</v>
      </c>
      <c r="D14680" s="1" t="s">
        <v>28935</v>
      </c>
      <c r="E14680" s="1" t="str">
        <f ca="1">IFERROR(__xludf.DUMMYFUNCTION("GOOGLETRANSLATE(A11479 , ""tr"" , ""en"")"),"@drfahrettinkoca NU Variant against the variant we also pass Bi Hû der. After all, the traps of the curses are very poor.")</f>
        <v>@drfahrettinkoca NU Variant against the variant we also pass Bi Hû der. After all, the traps of the curses are very poor.</v>
      </c>
    </row>
    <row r="14681" spans="1:5" ht="15" customHeight="1" x14ac:dyDescent="0.2">
      <c r="A14681" s="1" t="s">
        <v>28936</v>
      </c>
      <c r="B14681" s="1">
        <v>59</v>
      </c>
      <c r="C14681" s="3">
        <v>44526.934189814812</v>
      </c>
      <c r="D14681" s="1" t="s">
        <v>28937</v>
      </c>
      <c r="E14681" s="1" t="str">
        <f ca="1">IFERROR(__xludf.DUMMYFUNCTION("GOOGLETRANSLATE(A11480 , ""tr"" , ""en"")"),"@drfahrettinkoca ee that very tolde you don't finish, even we loved it so much that it's habitual and every month + a ... https://t.co/mnvrkqu5tl")</f>
        <v>@drfahrettinkoca ee that very tolde you don't finish, even we loved it so much that it's habitual and every month + a ... https://t.co/mnvrkqu5tl</v>
      </c>
    </row>
    <row r="14682" spans="1:5" ht="15" customHeight="1" x14ac:dyDescent="0.2">
      <c r="A14682" s="1" t="s">
        <v>28938</v>
      </c>
      <c r="B14682" s="1">
        <v>0</v>
      </c>
      <c r="C14682" s="3">
        <v>44526.93409722222</v>
      </c>
      <c r="D14682" s="1" t="s">
        <v>28939</v>
      </c>
      <c r="E14682" s="1" t="str">
        <f ca="1">IFERROR(__xludf.DUMMYFUNCTION("GOOGLETRANSLATE(A11481 , ""tr"" , ""en"")"),"@drfahrettinkoca #The OnlineIndustryStock is #onlineegitimalep")</f>
        <v>@drfahrettinkoca #The OnlineIndustryStock is #onlineegitimalep</v>
      </c>
    </row>
    <row r="14683" spans="1:5" ht="15" customHeight="1" x14ac:dyDescent="0.2">
      <c r="A14683" s="1" t="s">
        <v>28940</v>
      </c>
      <c r="B14683" s="1">
        <v>0</v>
      </c>
      <c r="C14683" s="3">
        <v>44526.933680555558</v>
      </c>
      <c r="D14683" s="1" t="s">
        <v>28941</v>
      </c>
      <c r="E14683" s="1" t="str">
        <f ca="1">IFERROR(__xludf.DUMMYFUNCTION("GOOGLETRANSLATE(A11482 , ""tr"" , ""en"")"),"@drfahrettinkoca We were tired of Yaaa The man came to my mind.")</f>
        <v>@drfahrettinkoca We were tired of Yaaa The man came to my mind.</v>
      </c>
    </row>
    <row r="14684" spans="1:5" ht="15" customHeight="1" x14ac:dyDescent="0.2">
      <c r="A14684" s="1" t="s">
        <v>28942</v>
      </c>
      <c r="B14684" s="1">
        <v>1</v>
      </c>
      <c r="C14684" s="3">
        <v>44526.933599537035</v>
      </c>
      <c r="D14684" s="1" t="s">
        <v>28943</v>
      </c>
      <c r="E14684" s="1" t="str">
        <f ca="1">IFERROR(__xludf.DUMMYFUNCTION("GOOGLETRANSLATE(A11483 , ""tr"" , ""en"")"),"@drfahrettinkoca mask doesn't get a work still don't you understand ?? We are unable to breathe !! Case high when there are prohibitions ... https://t.co/6xuhk7jnol")</f>
        <v>@drfahrettinkoca mask doesn't get a work still don't you understand ?? We are unable to breathe !! Case high when there are prohibitions ... https://t.co/6xuhk7jnol</v>
      </c>
    </row>
    <row r="14685" spans="1:5" ht="15" customHeight="1" x14ac:dyDescent="0.2">
      <c r="A14685" s="1" t="s">
        <v>28944</v>
      </c>
      <c r="B14685" s="1">
        <v>0</v>
      </c>
      <c r="C14685" s="3">
        <v>44526.930856481478</v>
      </c>
      <c r="D14685" s="1" t="s">
        <v>28945</v>
      </c>
      <c r="E14685" s="1" t="str">
        <f ca="1">IFERROR(__xludf.DUMMYFUNCTION("GOOGLETRANSLATE(A11484 , ""tr"" , ""en"")"),"@drfahrettinkoca thousands perhaps millions already in our country, open one of your eye in Istanbul, Fatih and Zeytinbu ... https://t.co/49fkyzuhvu")</f>
        <v>@drfahrettinkoca thousands perhaps millions already in our country, open one of your eye in Istanbul, Fatih and Zeytinbu ... https://t.co/49fkyzuhvu</v>
      </c>
    </row>
    <row r="14686" spans="1:5" ht="15" customHeight="1" x14ac:dyDescent="0.2">
      <c r="A14686" s="1" t="s">
        <v>28946</v>
      </c>
      <c r="B14686" s="1">
        <v>0</v>
      </c>
      <c r="C14686" s="3">
        <v>44526.929861111108</v>
      </c>
      <c r="D14686" s="1" t="s">
        <v>28947</v>
      </c>
      <c r="E14686" s="1" t="str">
        <f ca="1">IFERROR(__xludf.DUMMYFUNCTION("GOOGLETRANSLATE(A11485 , ""tr"" , ""en"")"),"@drfahrettinkoca bridal repentance Fahrettin Bey, you know in 2 years 5 million people died in 2 years ... https://t.co/4f2hp9EIU1")</f>
        <v>@drfahrettinkoca bridal repentance Fahrettin Bey, you know in 2 years 5 million people died in 2 years ... https://t.co/4f2hp9EIU1</v>
      </c>
    </row>
    <row r="14687" spans="1:5" ht="15" customHeight="1" x14ac:dyDescent="0.2">
      <c r="A14687" s="1" t="s">
        <v>28948</v>
      </c>
      <c r="B14687" s="1">
        <v>0</v>
      </c>
      <c r="C14687" s="3">
        <v>44526.929849537039</v>
      </c>
      <c r="D14687" s="1" t="s">
        <v>28949</v>
      </c>
      <c r="E14687" s="1" t="str">
        <f ca="1">IFERROR(__xludf.DUMMYFUNCTION("GOOGLETRANSLATE(A11486 , ""tr"" , ""en"")"),"@drfahrettinkoca What lovely Istanbul ....")</f>
        <v>@drfahrettinkoca What lovely Istanbul ....</v>
      </c>
    </row>
    <row r="14688" spans="1:5" ht="15" customHeight="1" x14ac:dyDescent="0.2">
      <c r="A14688" s="1" t="s">
        <v>28950</v>
      </c>
      <c r="B14688" s="1">
        <v>11</v>
      </c>
      <c r="C14688" s="3">
        <v>44526.929189814815</v>
      </c>
      <c r="D14688" s="1" t="s">
        <v>28951</v>
      </c>
      <c r="E14688" s="1" t="str">
        <f ca="1">IFERROR(__xludf.DUMMYFUNCTION("GOOGLETRANSLATE(A11487 , ""tr"" , ""en"")"),"@drfahrettinkoca Measure: #VeliTeonLineSlinist #VeliStonlinlineliKlıklin")</f>
        <v>@drfahrettinkoca Measure: #VeliTeonLineSlinist #VeliStonlinlineliKlıklin</v>
      </c>
    </row>
    <row r="14689" spans="1:5" ht="15" customHeight="1" x14ac:dyDescent="0.2">
      <c r="A14689" s="1" t="s">
        <v>28952</v>
      </c>
      <c r="B14689" s="1">
        <v>1</v>
      </c>
      <c r="C14689" s="3">
        <v>44526.928715277776</v>
      </c>
      <c r="D14689" s="1" t="s">
        <v>28953</v>
      </c>
      <c r="E14689" s="1" t="str">
        <f ca="1">IFERROR(__xludf.DUMMYFUNCTION("GOOGLETRANSLATE(A11488 , ""tr"" , ""en"")"),"@drfahrettinkoca tusu If you are glad if you are glad we wouldn't like to be such a demand for you, Mr. Minister")</f>
        <v>@drfahrettinkoca tusu If you are glad if you are glad we wouldn't like to be such a demand for you, Mr. Minister</v>
      </c>
    </row>
    <row r="14690" spans="1:5" ht="15" customHeight="1" x14ac:dyDescent="0.2">
      <c r="A14690" s="1" t="s">
        <v>28954</v>
      </c>
      <c r="B14690" s="1">
        <v>2</v>
      </c>
      <c r="C14690" s="3">
        <v>44526.927662037036</v>
      </c>
      <c r="D14690" s="1" t="s">
        <v>28955</v>
      </c>
      <c r="E14690" s="1" t="str">
        <f ca="1">IFERROR(__xludf.DUMMYFUNCTION("GOOGLETRANSLATE(A11489 , ""tr"" , ""en"")"),"Take care of @drfahrettinkoca lbsg..Hastanes .. Plague to the country ..")</f>
        <v>Take care of @drfahrettinkoca lbsg..Hastanes .. Plague to the country ..</v>
      </c>
    </row>
    <row r="14691" spans="1:5" ht="15" customHeight="1" x14ac:dyDescent="0.2">
      <c r="A14691" s="1" t="s">
        <v>28956</v>
      </c>
      <c r="B14691" s="1">
        <v>1</v>
      </c>
      <c r="C14691" s="3">
        <v>44526.926631944443</v>
      </c>
      <c r="D14691" s="1" t="s">
        <v>28957</v>
      </c>
      <c r="E14691" s="1" t="str">
        <f ca="1">IFERROR(__xludf.DUMMYFUNCTION("GOOGLETRANSLATE(A11490 , ""tr"" , ""en"")"),"@drfahrettinkoca Do not make such ridiculous jobs Turkey Banking Turkey African Either Serious Exporting Science Board ... https://t.co/6lbz2sfyxo")</f>
        <v>@drfahrettinkoca Do not make such ridiculous jobs Turkey Banking Turkey African Either Serious Exporting Science Board ... https://t.co/6lbz2sfyxo</v>
      </c>
    </row>
    <row r="14692" spans="1:5" ht="15" customHeight="1" x14ac:dyDescent="0.2">
      <c r="A14692" s="1" t="s">
        <v>28958</v>
      </c>
      <c r="B14692" s="1">
        <v>0</v>
      </c>
      <c r="C14692" s="3">
        <v>44526.92633101852</v>
      </c>
      <c r="D14692" s="1" t="s">
        <v>28959</v>
      </c>
      <c r="E14692" s="1" t="str">
        <f ca="1">IFERROR(__xludf.DUMMYFUNCTION("GOOGLETRANSLATE(A11491 , ""tr"" , ""en"")"),"@drfahrettinkoca Well done well. 😁 They were already coming to the flock. Why did you stop. Get PCR test so. ... https://t.co/skipt0ycpe")</f>
        <v>@drfahrettinkoca Well done well. 😁 They were already coming to the flock. Why did you stop. Get PCR test so. ... https://t.co/skipt0ycpe</v>
      </c>
    </row>
    <row r="14693" spans="1:5" ht="15" customHeight="1" x14ac:dyDescent="0.2">
      <c r="A14693" s="1" t="s">
        <v>28960</v>
      </c>
      <c r="B14693" s="1">
        <v>0</v>
      </c>
      <c r="C14693" s="3">
        <v>44526.924456018518</v>
      </c>
      <c r="D14693" s="1" t="s">
        <v>28961</v>
      </c>
      <c r="E14693" s="1" t="str">
        <f ca="1">IFERROR(__xludf.DUMMYFUNCTION("GOOGLETRANSLATE(A11492 , ""tr"" , ""en"")"),"@drfahrettinkoca Belgium has been seen in Belgium, be the past, according to all Europe, according to our ...")</f>
        <v>@drfahrettinkoca Belgium has been seen in Belgium, be the past, according to all Europe, according to our ...</v>
      </c>
    </row>
    <row r="14694" spans="1:5" ht="15" customHeight="1" x14ac:dyDescent="0.2">
      <c r="A14694" s="1" t="s">
        <v>28962</v>
      </c>
      <c r="B14694" s="1">
        <v>0</v>
      </c>
      <c r="C14694" s="3">
        <v>44526.923506944448</v>
      </c>
      <c r="D14694" s="1" t="s">
        <v>28963</v>
      </c>
      <c r="E14694" s="1" t="str">
        <f ca="1">IFERROR(__xludf.DUMMYFUNCTION("GOOGLETRANSLATE(A11493 , ""tr"" , ""en"")"),"@drfahrettinkoca sahi ?? It's gone how a virus isn't over.")</f>
        <v>@drfahrettinkoca sahi ?? It's gone how a virus isn't over.</v>
      </c>
    </row>
    <row r="14695" spans="1:5" ht="15" customHeight="1" x14ac:dyDescent="0.2">
      <c r="A14695" s="1" t="s">
        <v>28964</v>
      </c>
      <c r="B14695" s="1">
        <v>0</v>
      </c>
      <c r="C14695" s="3">
        <v>44526.922997685186</v>
      </c>
      <c r="D14695" s="1" t="s">
        <v>28965</v>
      </c>
      <c r="E14695" s="1" t="str">
        <f ca="1">IFERROR(__xludf.DUMMYFUNCTION("GOOGLETRANSLATE(A11494 , ""tr"" , ""en"")"),"@drfahrettinkoca or if they go to the rates from the country and arrived in Turkey? All kinds of countries to our country ... https://t.co/eqmanmhav0")</f>
        <v>@drfahrettinkoca or if they go to the rates from the country and arrived in Turkey? All kinds of countries to our country ... https://t.co/eqmanmhav0</v>
      </c>
    </row>
    <row r="14696" spans="1:5" ht="15" customHeight="1" x14ac:dyDescent="0.2">
      <c r="A14696" s="1" t="s">
        <v>28966</v>
      </c>
      <c r="B14696" s="1">
        <v>0</v>
      </c>
      <c r="C14696" s="3">
        <v>44526.922951388886</v>
      </c>
      <c r="D14696" s="1" t="s">
        <v>28967</v>
      </c>
      <c r="E14696" s="1" t="str">
        <f ca="1">IFERROR(__xludf.DUMMYFUNCTION("GOOGLETRANSLATE(A11495 , ""tr"" , ""en"")"),"@drfahrettinkoca is about 2 years all you do is the invalid protocols meaningless applications Safter with Safter Https://t.co/lu9bgkcxun")</f>
        <v>@drfahrettinkoca is about 2 years all you do is the invalid protocols meaningless applications Safter with Safter Https://t.co/lu9bgkcxun</v>
      </c>
    </row>
    <row r="14697" spans="1:5" ht="15" customHeight="1" x14ac:dyDescent="0.2">
      <c r="A14697" s="1" t="s">
        <v>28968</v>
      </c>
      <c r="B14697" s="1">
        <v>0</v>
      </c>
      <c r="C14697" s="3">
        <v>44526.921805555554</v>
      </c>
      <c r="D14697" s="1" t="s">
        <v>28969</v>
      </c>
      <c r="E14697" s="1" t="str">
        <f ca="1">IFERROR(__xludf.DUMMYFUNCTION("GOOGLETRANSLATE(A11496 , ""tr"" , ""en"")"),"@drfahrettinkoca LAN If you think so much of the country, bring online training")</f>
        <v>@drfahrettinkoca LAN If you think so much of the country, bring online training</v>
      </c>
    </row>
    <row r="14698" spans="1:5" ht="15" customHeight="1" x14ac:dyDescent="0.2">
      <c r="A14698" s="1" t="s">
        <v>28970</v>
      </c>
      <c r="B14698" s="1">
        <v>0</v>
      </c>
      <c r="C14698" s="3">
        <v>44526.919525462959</v>
      </c>
      <c r="D14698" s="1" t="s">
        <v>28971</v>
      </c>
      <c r="E14698" s="1" t="str">
        <f ca="1">IFERROR(__xludf.DUMMYFUNCTION("GOOGLETRANSLATE(A11497 , ""tr"" , ""en"")"),"@drfahrettinkoca 8 million follower 90% of the follow-up to you to tuck and criticize you .. the rest of the licking")</f>
        <v>@drfahrettinkoca 8 million follower 90% of the follow-up to you to tuck and criticize you .. the rest of the licking</v>
      </c>
    </row>
    <row r="14699" spans="1:5" ht="15" customHeight="1" x14ac:dyDescent="0.2">
      <c r="A14699" s="1" t="s">
        <v>28972</v>
      </c>
      <c r="B14699" s="1">
        <v>0</v>
      </c>
      <c r="C14699" s="3">
        <v>44526.919351851851</v>
      </c>
      <c r="D14699" s="1" t="s">
        <v>28973</v>
      </c>
      <c r="E14699" s="1" t="str">
        <f ca="1">IFERROR(__xludf.DUMMYFUNCTION("GOOGLETRANSLATE(A11498 , ""tr"" , ""en"")"),"@drfahrettinka https://t.co/6efgnmyvfz")</f>
        <v>@drfahrettinka https://t.co/6efgnmyvfz</v>
      </c>
    </row>
    <row r="14700" spans="1:5" ht="15" customHeight="1" x14ac:dyDescent="0.2">
      <c r="A14700" s="1" t="s">
        <v>28974</v>
      </c>
      <c r="B14700" s="1">
        <v>0</v>
      </c>
      <c r="C14700" s="3">
        <v>44526.918298611112</v>
      </c>
      <c r="D14700" s="1" t="s">
        <v>28975</v>
      </c>
      <c r="E14700" s="1" t="str">
        <f ca="1">IFERROR(__xludf.DUMMYFUNCTION("GOOGLETRANSLATE(A11499 , ""tr"" , ""en"")"),"@drfahrettinkoca Ulan Check Go to you now your embasils.")</f>
        <v>@drfahrettinkoca Ulan Check Go to you now your embasils.</v>
      </c>
    </row>
    <row r="14701" spans="1:5" ht="15" customHeight="1" x14ac:dyDescent="0.2">
      <c r="A14701" s="1" t="s">
        <v>28976</v>
      </c>
      <c r="B14701" s="1">
        <v>0</v>
      </c>
      <c r="C14701" s="3">
        <v>44526.917129629626</v>
      </c>
      <c r="D14701" s="1" t="s">
        <v>28977</v>
      </c>
      <c r="E14701" s="1" t="str">
        <f ca="1">IFERROR(__xludf.DUMMYFUNCTION("GOOGLETRANSLATE(A11500 , ""tr"" , ""en"")"),"@drfahrettinkoca very thank goodness for two years the first def congratulations a decision in the early and in place")</f>
        <v>@drfahrettinkoca very thank goodness for two years the first def congratulations a decision in the early and in place</v>
      </c>
    </row>
    <row r="14702" spans="1:5" ht="15" customHeight="1" x14ac:dyDescent="0.2">
      <c r="A14702" s="1" t="s">
        <v>28978</v>
      </c>
      <c r="B14702" s="1">
        <v>0</v>
      </c>
      <c r="C14702" s="3">
        <v>44526.916944444441</v>
      </c>
      <c r="D14702" s="1" t="s">
        <v>28979</v>
      </c>
      <c r="E14702" s="1" t="str">
        <f ca="1">IFERROR(__xludf.DUMMYFUNCTION("GOOGLETRANSLATE(A11501 , ""tr"" , ""en"")"),"@drfahrettinka what are you up to again yaa 😂")</f>
        <v>@drfahrettinka what are you up to again yaa 😂</v>
      </c>
    </row>
    <row r="14703" spans="1:5" ht="15" customHeight="1" x14ac:dyDescent="0.2">
      <c r="A14703" s="1" t="s">
        <v>28980</v>
      </c>
      <c r="B14703" s="1">
        <v>0</v>
      </c>
      <c r="C14703" s="3">
        <v>44526.91684027778</v>
      </c>
      <c r="D14703" s="1" t="s">
        <v>28981</v>
      </c>
      <c r="E14703" s="1" t="str">
        <f ca="1">IFERROR(__xludf.DUMMYFUNCTION("GOOGLETRANSLATE(A11502 , ""tr"" , ""en"")"),"@drfahrettinkoca #the medicine is waiting for payment")</f>
        <v>@drfahrettinkoca #the medicine is waiting for payment</v>
      </c>
    </row>
    <row r="14704" spans="1:5" ht="15" customHeight="1" x14ac:dyDescent="0.2">
      <c r="A14704" s="1" t="s">
        <v>28982</v>
      </c>
      <c r="B14704" s="1">
        <v>0</v>
      </c>
      <c r="C14704" s="3">
        <v>44526.916307870371</v>
      </c>
      <c r="D14704" s="1" t="s">
        <v>28983</v>
      </c>
      <c r="E14704" s="1" t="str">
        <f ca="1">IFERROR(__xludf.DUMMYFUNCTION("GOOGLETRANSLATE(A11503 , ""tr"" , ""en"")"),"@drfahrettinkoca once say hu Yahu .. Him is a ...")</f>
        <v>@drfahrettinkoca once say hu Yahu .. Him is a ...</v>
      </c>
    </row>
    <row r="14705" spans="1:5" ht="15" customHeight="1" x14ac:dyDescent="0.2">
      <c r="A14705" s="1" t="s">
        <v>28984</v>
      </c>
      <c r="B14705" s="1">
        <v>0</v>
      </c>
      <c r="C14705" s="3">
        <v>44526.915439814817</v>
      </c>
      <c r="D14705" s="1" t="s">
        <v>28985</v>
      </c>
      <c r="E14705" s="1" t="str">
        <f ca="1">IFERROR(__xludf.DUMMYFUNCTION("GOOGLETRANSLATE(A11504 , ""tr"" , ""en"")"),"@drfahrettinkoca fahrettin husband sit on a zero place and shut up")</f>
        <v>@drfahrettinkoca fahrettin husband sit on a zero place and shut up</v>
      </c>
    </row>
    <row r="14706" spans="1:5" ht="15" customHeight="1" x14ac:dyDescent="0.2">
      <c r="A14706" s="1" t="s">
        <v>28986</v>
      </c>
      <c r="B14706" s="1">
        <v>0</v>
      </c>
      <c r="C14706" s="3">
        <v>44526.915208333332</v>
      </c>
      <c r="D14706" s="1" t="s">
        <v>28987</v>
      </c>
      <c r="E14706" s="1" t="str">
        <f ca="1">IFERROR(__xludf.DUMMYFUNCTION("GOOGLETRANSLATE(A11505 , ""tr"" , ""en"")"),"@drfahrettinkoca you are in pursuit of a lie ruined the husband country.")</f>
        <v>@drfahrettinkoca you are in pursuit of a lie ruined the husband country.</v>
      </c>
    </row>
    <row r="14707" spans="1:5" ht="15" customHeight="1" x14ac:dyDescent="0.2">
      <c r="A14707" s="1" t="s">
        <v>28988</v>
      </c>
      <c r="B14707" s="1">
        <v>0</v>
      </c>
      <c r="C14707" s="3">
        <v>44526.914895833332</v>
      </c>
      <c r="D14707" s="1" t="s">
        <v>28989</v>
      </c>
      <c r="E14707" s="1" t="str">
        <f ca="1">IFERROR(__xludf.DUMMYFUNCTION("GOOGLETRANSLATE(A11506 , ""tr"" , ""en"")"),"@drfahrettinka same mistakes ditto continued tum dunyada")</f>
        <v>@drfahrettinka same mistakes ditto continued tum dunyada</v>
      </c>
    </row>
    <row r="14708" spans="1:5" ht="15" customHeight="1" x14ac:dyDescent="0.2">
      <c r="A14708" s="1" t="s">
        <v>28990</v>
      </c>
      <c r="B14708" s="1">
        <v>0</v>
      </c>
      <c r="C14708" s="3">
        <v>44526.914178240739</v>
      </c>
      <c r="D14708" s="1" t="s">
        <v>28991</v>
      </c>
      <c r="E14708" s="1" t="str">
        <f ca="1">IFERROR(__xludf.DUMMYFUNCTION("GOOGLETRANSLATE(A11507 , ""tr"" , ""en"")"),"@drfahrettinkoca The end of the palavra was not to come! You are the cork, the boy will sacrifice this nation!")</f>
        <v>@drfahrettinkoca The end of the palavra was not to come! You are the cork, the boy will sacrifice this nation!</v>
      </c>
    </row>
    <row r="14709" spans="1:5" ht="15" customHeight="1" x14ac:dyDescent="0.2">
      <c r="A14709" s="1" t="s">
        <v>28992</v>
      </c>
      <c r="B14709" s="1">
        <v>0</v>
      </c>
      <c r="C14709" s="3">
        <v>44526.914039351854</v>
      </c>
      <c r="D14709" s="1" t="s">
        <v>28993</v>
      </c>
      <c r="E14709" s="1" t="str">
        <f ca="1">IFERROR(__xludf.DUMMYFUNCTION("GOOGLETRANSLATE(A11508 , ""tr"" , ""en"")"),"@drfahrettinka Himm African kit as death and no cases so? How would you be our global lies to the moon ... https://t.co/herchoifzt")</f>
        <v>@drfahrettinka Himm African kit as death and no cases so? How would you be our global lies to the moon ... https://t.co/herchoifzt</v>
      </c>
    </row>
    <row r="14710" spans="1:5" ht="15" customHeight="1" x14ac:dyDescent="0.2">
      <c r="A14710" s="1" t="s">
        <v>28994</v>
      </c>
      <c r="B14710" s="1">
        <v>4</v>
      </c>
      <c r="C14710" s="3">
        <v>44526.914004629631</v>
      </c>
      <c r="D14710" s="1" t="s">
        <v>28995</v>
      </c>
      <c r="E14710" s="1" t="str">
        <f ca="1">IFERROR(__xludf.DUMMYFUNCTION("GOOGLETRANSLATE(A11509 , ""tr"" , ""en"")"),"@drfahrettinkoca We can even be late but ... https://t.co/skq3wswppp")</f>
        <v>@drfahrettinkoca We can even be late but ... https://t.co/skq3wswppp</v>
      </c>
    </row>
    <row r="14711" spans="1:5" ht="15" customHeight="1" x14ac:dyDescent="0.2">
      <c r="A14711" s="1" t="s">
        <v>28996</v>
      </c>
      <c r="B14711" s="1">
        <v>0</v>
      </c>
      <c r="C14711" s="3">
        <v>44526.913599537038</v>
      </c>
      <c r="D14711" s="1" t="s">
        <v>28997</v>
      </c>
      <c r="E14711" s="1" t="str">
        <f ca="1">IFERROR(__xludf.DUMMYFUNCTION("GOOGLETRANSLATE(A11510 , ""tr"" , ""en"")"),"@drfahrettinkoca hocam has an increase in all European countries")</f>
        <v>@drfahrettinkoca hocam has an increase in all European countries</v>
      </c>
    </row>
    <row r="14712" spans="1:5" ht="15" customHeight="1" x14ac:dyDescent="0.2">
      <c r="A14712" s="1" t="s">
        <v>28998</v>
      </c>
      <c r="B14712" s="1">
        <v>9</v>
      </c>
      <c r="C14712" s="3">
        <v>44526.913171296299</v>
      </c>
      <c r="D14712" s="1" t="s">
        <v>28999</v>
      </c>
      <c r="E14712" s="1" t="str">
        <f ca="1">IFERROR(__xludf.DUMMYFUNCTION("GOOGLETRANSLATE(A11511 , ""tr"" , ""en"")"),"@drfahrettinkoca Overlooking you also have the ""Non-Medicine"" Varion I think, the symptoms are beginning with the Urrache roads ... https://t.co/xfu4og1o8o")</f>
        <v>@drfahrettinkoca Overlooking you also have the "Non-Medicine" Varion I think, the symptoms are beginning with the Urrache roads ... https://t.co/xfu4og1o8o</v>
      </c>
    </row>
    <row r="14713" spans="1:5" ht="15" customHeight="1" x14ac:dyDescent="0.2">
      <c r="A14713" s="1" t="s">
        <v>29000</v>
      </c>
      <c r="B14713" s="1">
        <v>0</v>
      </c>
      <c r="C14713" s="3">
        <v>44526.913113425922</v>
      </c>
      <c r="D14713" s="1" t="s">
        <v>29001</v>
      </c>
      <c r="E14713" s="1" t="str">
        <f ca="1">IFERROR(__xludf.DUMMYFUNCTION("GOOGLETRANSLATE(A11512 , ""tr"" , ""en"")"),"@drfahrettinkoca nu Mara doing is still re-viruses you have wrapped you all over you, like cancer")</f>
        <v>@drfahrettinkoca nu Mara doing is still re-viruses you have wrapped you all over you, like cancer</v>
      </c>
    </row>
    <row r="14714" spans="1:5" ht="15" customHeight="1" x14ac:dyDescent="0.2">
      <c r="A14714" s="1" t="s">
        <v>29002</v>
      </c>
      <c r="B14714" s="1">
        <v>0</v>
      </c>
      <c r="C14714" s="3">
        <v>44526.912893518522</v>
      </c>
      <c r="D14714" s="1" t="s">
        <v>29003</v>
      </c>
      <c r="E14714" s="1" t="str">
        <f ca="1">IFERROR(__xludf.DUMMYFUNCTION("GOOGLETRANSLATE(A11513 , ""tr"" , ""en"")"),"@drfahrettinkoca NU Variant GOD GOD PROTECT YOUR BETARY OUT NUN NUS NU SUANGE YOU ARE NU VARIAN MA VARY ... HTTPS://T.CO/7JXMWF0IG4")</f>
        <v>@drfahrettinkoca NU Variant GOD GOD PROTECT YOUR BETARY OUT NUN NUS NU SUANGE YOU ARE NU VARIAN MA VARY ... HTTPS://T.CO/7JXMWF0IG4</v>
      </c>
    </row>
    <row r="14715" spans="1:5" ht="15" customHeight="1" x14ac:dyDescent="0.2">
      <c r="A14715" s="1" t="s">
        <v>29004</v>
      </c>
      <c r="B14715" s="1">
        <v>0</v>
      </c>
      <c r="C14715" s="3">
        <v>44526.91202546296</v>
      </c>
      <c r="D14715" s="1" t="s">
        <v>29005</v>
      </c>
      <c r="E14715" s="1" t="str">
        <f ca="1">IFERROR(__xludf.DUMMYFUNCTION("GOOGLETRANSLATE(A11514 , ""tr"" , ""en"")"),"@drfahrettinkoca has all kinds of variants that we have heard about all kinds of variant, we also recommend it to all of them ar ... https://t.co/vx4pacqoqh")</f>
        <v>@drfahrettinkoca has all kinds of variants that we have heard about all kinds of variant, we also recommend it to all of them ar ... https://t.co/vx4pacqoqh</v>
      </c>
    </row>
    <row r="14716" spans="1:5" ht="15" customHeight="1" x14ac:dyDescent="0.2">
      <c r="A14716" s="1" t="s">
        <v>29006</v>
      </c>
      <c r="B14716" s="1">
        <v>0</v>
      </c>
      <c r="C14716" s="3">
        <v>44526.911400462966</v>
      </c>
      <c r="D14716" s="1" t="s">
        <v>29007</v>
      </c>
      <c r="E14716" s="1" t="str">
        <f ca="1">IFERROR(__xludf.DUMMYFUNCTION("GOOGLETRANSLATE(A11515 , ""tr"" , ""en"")"),"@drfahrettinkoca is the most sensible measure taken from the beginning of the secret.")</f>
        <v>@drfahrettinkoca is the most sensible measure taken from the beginning of the secret.</v>
      </c>
    </row>
    <row r="14717" spans="1:5" ht="15" customHeight="1" x14ac:dyDescent="0.2">
      <c r="A14717" s="1" t="s">
        <v>29008</v>
      </c>
      <c r="B14717" s="1">
        <v>0</v>
      </c>
      <c r="C14717" s="3">
        <v>44526.911030092589</v>
      </c>
      <c r="D14717" s="1" t="s">
        <v>29009</v>
      </c>
      <c r="E14717" s="1" t="str">
        <f ca="1">IFERROR(__xludf.DUMMYFUNCTION("GOOGLETRANSLATE(A11516 , ""tr"" , ""en"")"),"@drfahrettinkoca lies 🤫")</f>
        <v>@drfahrettinkoca lies 🤫</v>
      </c>
    </row>
    <row r="14718" spans="1:5" ht="15" customHeight="1" x14ac:dyDescent="0.2">
      <c r="A14718" s="1" t="s">
        <v>29010</v>
      </c>
      <c r="B14718" s="1">
        <v>1</v>
      </c>
      <c r="C14718" s="3">
        <v>44526.910844907405</v>
      </c>
      <c r="D14718" s="1" t="s">
        <v>29011</v>
      </c>
      <c r="E14718" s="1" t="str">
        <f ca="1">IFERROR(__xludf.DUMMYFUNCTION("GOOGLETRANSLATE(A11517 , ""tr"" , ""en"")"),"@drfahrettinkoca NU Variant Won't be March 2022 in March 2022 We can't catch your Valla speed https://t.co/kql79nirtu")</f>
        <v>@drfahrettinkoca NU Variant Won't be March 2022 in March 2022 We can't catch your Valla speed https://t.co/kql79nirtu</v>
      </c>
    </row>
    <row r="14719" spans="1:5" ht="15" customHeight="1" x14ac:dyDescent="0.2">
      <c r="A14719" s="1" t="s">
        <v>29012</v>
      </c>
      <c r="B14719" s="1">
        <v>0</v>
      </c>
      <c r="C14719" s="3">
        <v>44526.909699074073</v>
      </c>
      <c r="D14719" s="1" t="s">
        <v>29013</v>
      </c>
      <c r="E14719" s="1" t="str">
        <f ca="1">IFERROR(__xludf.DUMMYFUNCTION("GOOGLETRANSLATE(A11518 , ""tr"" , ""en"")"),"@drfahrettinkoca Biktik Be")</f>
        <v>@drfahrettinkoca Biktik Be</v>
      </c>
    </row>
    <row r="14720" spans="1:5" ht="15" customHeight="1" x14ac:dyDescent="0.2">
      <c r="A14720" s="1" t="s">
        <v>29014</v>
      </c>
      <c r="B14720" s="1">
        <v>21</v>
      </c>
      <c r="C14720" s="3">
        <v>44526.909282407411</v>
      </c>
      <c r="D14720" s="1" t="s">
        <v>29015</v>
      </c>
      <c r="E14720" s="1" t="str">
        <f ca="1">IFERROR(__xludf.DUMMYFUNCTION("GOOGLETRANSLATE(A11519 , ""tr"" , ""en"")"),"@drfahrettinkca immediately, especially for children who are not vaccinated should be removed in schools to be removed! @tcmeb")</f>
        <v>@drfahrettinkca immediately, especially for children who are not vaccinated should be removed in schools to be removed! @tcmeb</v>
      </c>
    </row>
    <row r="14721" spans="1:5" ht="15" customHeight="1" x14ac:dyDescent="0.2">
      <c r="A14721" s="1" t="s">
        <v>29016</v>
      </c>
      <c r="B14721" s="1">
        <v>0</v>
      </c>
      <c r="C14721" s="3">
        <v>44526.908912037034</v>
      </c>
      <c r="D14721" s="1" t="s">
        <v>29017</v>
      </c>
      <c r="E14721" s="1" t="str">
        <f ca="1">IFERROR(__xludf.DUMMYFUNCTION("GOOGLETRANSLATE(A11520 , ""tr"" , ""en"")"),"@drfahrettinkoca or bi sector go")</f>
        <v>@drfahrettinkoca or bi sector go</v>
      </c>
    </row>
    <row r="14722" spans="1:5" ht="15" customHeight="1" x14ac:dyDescent="0.2">
      <c r="A14722" s="1" t="s">
        <v>29018</v>
      </c>
      <c r="B14722" s="1">
        <v>12</v>
      </c>
      <c r="C14722" s="3">
        <v>44526.908113425925</v>
      </c>
      <c r="D14722" s="1" t="s">
        <v>29019</v>
      </c>
      <c r="E14722" s="1" t="str">
        <f ca="1">IFERROR(__xludf.DUMMYFUNCTION("GOOGLETRANSLATE(A11521 , ""tr"" , ""en"")"),"@drfahrettinkoca dieticians We want to see 4 digit numbers not very much at the minister waiting to assign high scores.")</f>
        <v>@drfahrettinkoca dieticians We want to see 4 digit numbers not very much at the minister waiting to assign high scores.</v>
      </c>
    </row>
    <row r="14723" spans="1:5" ht="15" customHeight="1" x14ac:dyDescent="0.2">
      <c r="A14723" s="1" t="s">
        <v>29020</v>
      </c>
      <c r="B14723" s="1">
        <v>1</v>
      </c>
      <c r="C14723" s="3">
        <v>44526.906921296293</v>
      </c>
      <c r="D14723" s="1" t="s">
        <v>29021</v>
      </c>
      <c r="E14723" s="1" t="str">
        <f ca="1">IFERROR(__xludf.DUMMYFUNCTION("GOOGLETRANSLATE(A11522 , ""tr"" , ""en"")"),"@drfahrettinka https://t.co/hwtjp0heI1")</f>
        <v>@drfahrettinka https://t.co/hwtjp0heI1</v>
      </c>
    </row>
    <row r="14724" spans="1:5" ht="15" customHeight="1" x14ac:dyDescent="0.2">
      <c r="A14724" s="1" t="s">
        <v>29022</v>
      </c>
      <c r="B14724" s="1">
        <v>2</v>
      </c>
      <c r="C14724" s="3">
        <v>44526.906840277778</v>
      </c>
      <c r="D14724" s="1" t="s">
        <v>29023</v>
      </c>
      <c r="E14724" s="1" t="str">
        <f ca="1">IFERROR(__xludf.DUMMYFUNCTION("GOOGLETRANSLATE(A11523 , ""tr"" , ""en"")"),"From @drfahrettinkoca Mozambique Close schools to close schools 40 children and social distance in a classroom i ... https://t.co/pl1vdopefq")</f>
        <v>From @drfahrettinkoca Mozambique Close schools to close schools 40 children and social distance in a classroom i ... https://t.co/pl1vdopefq</v>
      </c>
    </row>
    <row r="14725" spans="1:5" ht="15" customHeight="1" x14ac:dyDescent="0.2">
      <c r="A14725" s="1" t="s">
        <v>29024</v>
      </c>
      <c r="B14725" s="1">
        <v>1</v>
      </c>
      <c r="C14725" s="3">
        <v>44526.906793981485</v>
      </c>
      <c r="D14725" s="1" t="s">
        <v>29025</v>
      </c>
      <c r="E14725" s="1" t="str">
        <f ca="1">IFERROR(__xludf.DUMMYFUNCTION("GOOGLETRANSLATE(A11524 , ""tr"" , ""en"")"),"@drfahrettinkoca case numbers will rise to YINE Deaths will increase YINE Full shutdown to increase the full shutdown. Https://t.co/2qkjdfbxop")</f>
        <v>@drfahrettinkoca case numbers will rise to YINE Deaths will increase YINE Full shutdown to increase the full shutdown. Https://t.co/2qkjdfbxop</v>
      </c>
    </row>
    <row r="14726" spans="1:5" ht="15" customHeight="1" x14ac:dyDescent="0.2">
      <c r="A14726" s="1" t="s">
        <v>29026</v>
      </c>
      <c r="B14726" s="1">
        <v>0</v>
      </c>
      <c r="C14726" s="3">
        <v>44526.906111111108</v>
      </c>
      <c r="D14726" s="1" t="s">
        <v>29027</v>
      </c>
      <c r="E14726" s="1" t="str">
        <f ca="1">IFERROR(__xludf.DUMMYFUNCTION("GOOGLETRANSLATE(A11525 , ""tr"" , ""en"")"),"@drfahrettinkoca doesn't come to this! @Nevaciftcioglu")</f>
        <v>@drfahrettinkoca doesn't come to this! @Nevaciftcioglu</v>
      </c>
    </row>
    <row r="14727" spans="1:5" ht="15" customHeight="1" x14ac:dyDescent="0.2">
      <c r="A14727" s="1" t="s">
        <v>29028</v>
      </c>
      <c r="B14727" s="1">
        <v>0</v>
      </c>
      <c r="C14727" s="3">
        <v>44526.905891203707</v>
      </c>
      <c r="D14727" s="1" t="s">
        <v>29029</v>
      </c>
      <c r="E14727" s="1" t="str">
        <f ca="1">IFERROR(__xludf.DUMMYFUNCTION("GOOGLETRANSLATE(A11526 , ""tr"" , ""en"")"),"@drfahrettinkoca h hamam onu ​​onu onu onu onu bize kaç bize kaç kaç kaç kaç kaç kaç kaç onu onu onu onu onu onu onu onu onu")</f>
        <v>@drfahrettinkoca h hamam onu ​​onu onu onu onu bize kaç bize kaç kaç kaç kaç kaç kaç kaç onu onu onu onu onu onu onu onu onu</v>
      </c>
    </row>
    <row r="14728" spans="1:5" ht="15" customHeight="1" x14ac:dyDescent="0.2">
      <c r="A14728" s="1" t="s">
        <v>29030</v>
      </c>
      <c r="B14728" s="1">
        <v>0</v>
      </c>
      <c r="C14728" s="3">
        <v>44526.905844907407</v>
      </c>
      <c r="D14728" s="1" t="s">
        <v>29031</v>
      </c>
      <c r="E14728" s="1" t="str">
        <f ca="1">IFERROR(__xludf.DUMMYFUNCTION("GOOGLETRANSLATE(A11527 , ""tr"" , ""en"")"),"@drfahrettinkoca How many of these countries have a railway connection since? Nation is not eating. The pardon is eating a portion.")</f>
        <v>@drfahrettinkoca How many of these countries have a railway connection since? Nation is not eating. The pardon is eating a portion.</v>
      </c>
    </row>
    <row r="14729" spans="1:5" ht="15" customHeight="1" x14ac:dyDescent="0.2">
      <c r="A14729" s="1" t="s">
        <v>29032</v>
      </c>
      <c r="B14729" s="1">
        <v>14</v>
      </c>
      <c r="C14729" s="3">
        <v>44526.90519675926</v>
      </c>
      <c r="D14729" s="1" t="s">
        <v>29033</v>
      </c>
      <c r="E14729" s="1" t="str">
        <f ca="1">IFERROR(__xludf.DUMMYFUNCTION("GOOGLETRANSLATE(A11528 , ""tr"" , ""en"")"),"@drfahrettinkoca not fear to people, it is not a morale ... We don't be afraid of ... We're not afraid of the streets in China robots in China ... https://t.co/g4xuux4afc")</f>
        <v>@drfahrettinkoca not fear to people, it is not a morale ... We don't be afraid of ... We're not afraid of the streets in China robots in China ... https://t.co/g4xuux4afc</v>
      </c>
    </row>
    <row r="14730" spans="1:5" ht="15" customHeight="1" x14ac:dyDescent="0.2">
      <c r="A14730" s="1" t="s">
        <v>29034</v>
      </c>
      <c r="B14730" s="1">
        <v>3</v>
      </c>
      <c r="C14730" s="3">
        <v>44526.905104166668</v>
      </c>
      <c r="D14730" s="1" t="s">
        <v>29035</v>
      </c>
      <c r="E14730" s="1" t="str">
        <f ca="1">IFERROR(__xludf.DUMMYFUNCTION("GOOGLETRANSLATE(A11529 , ""tr"" , ""en"")"),"@drfahrettinkoca Sayin PlanTemi Minister of this Plana Gore NU Varyanti More 4 months after the future, Why did I go to a Gore ... https://t.co/gulnafejl2")</f>
        <v>@drfahrettinkoca Sayin PlanTemi Minister of this Plana Gore NU Varyanti More 4 months after the future, Why did I go to a Gore ... https://t.co/gulnafejl2</v>
      </c>
    </row>
    <row r="14731" spans="1:5" ht="15" customHeight="1" x14ac:dyDescent="0.2">
      <c r="A14731" s="1" t="s">
        <v>29036</v>
      </c>
      <c r="B14731" s="1">
        <v>0</v>
      </c>
      <c r="C14731" s="3">
        <v>44526.904826388891</v>
      </c>
      <c r="D14731" s="1" t="s">
        <v>29037</v>
      </c>
      <c r="E14731" s="1" t="str">
        <f ca="1">IFERROR(__xludf.DUMMYFUNCTION("GOOGLETRANSLATE(A11530 , ""tr"" , ""en"")"),"@drfahrettinkoca @rterdogan Tut off this evening This friend is also the Board of Science, Dollars tomorrow morning $ 5!")</f>
        <v>@drfahrettinkoca @rterdogan Tut off this evening This friend is also the Board of Science, Dollars tomorrow morning $ 5!</v>
      </c>
    </row>
    <row r="14732" spans="1:5" ht="15" customHeight="1" x14ac:dyDescent="0.2">
      <c r="A14732" s="1" t="s">
        <v>29038</v>
      </c>
      <c r="B14732" s="1">
        <v>0</v>
      </c>
      <c r="C14732" s="3">
        <v>44526.904374999998</v>
      </c>
      <c r="D14732" s="1" t="s">
        <v>29039</v>
      </c>
      <c r="E14732" s="1" t="str">
        <f ca="1">IFERROR(__xludf.DUMMYFUNCTION("GOOGLETRANSLATE(A11531 , ""tr"" , ""en"")"),"@drfahrettinkoca hee HE we ate 😅 https://t.co/gtewf8wbye")</f>
        <v>@drfahrettinkoca hee HE we ate 😅 https://t.co/gtewf8wbye</v>
      </c>
    </row>
    <row r="14733" spans="1:5" ht="15" customHeight="1" x14ac:dyDescent="0.2">
      <c r="A14733" s="1" t="s">
        <v>29040</v>
      </c>
      <c r="B14733" s="1">
        <v>0</v>
      </c>
      <c r="C14733" s="3">
        <v>44526.904293981483</v>
      </c>
      <c r="D14733" s="1" t="s">
        <v>29041</v>
      </c>
      <c r="E14733" s="1" t="str">
        <f ca="1">IFERROR(__xludf.DUMMYFUNCTION("GOOGLETRANSLATE(A11532 , ""tr"" , ""en"")"),"@drfahrettinkoca all over the world who ruled the state in the world, they look at the states of people who ruled the state to the state of the state ... HTTPS://T.CO/VMV5CUC9PD")</f>
        <v>@drfahrettinkoca all over the world who ruled the state in the world, they look at the states of people who ruled the state to the state of the state ... HTTPS://T.CO/VMV5CUC9PD</v>
      </c>
    </row>
    <row r="14734" spans="1:5" ht="15" customHeight="1" x14ac:dyDescent="0.2">
      <c r="A14734" s="1" t="s">
        <v>29042</v>
      </c>
      <c r="B14734" s="1">
        <v>1</v>
      </c>
      <c r="C14734" s="3">
        <v>44526.903969907406</v>
      </c>
      <c r="D14734" s="1" t="s">
        <v>29043</v>
      </c>
      <c r="E14734" s="1" t="str">
        <f ca="1">IFERROR(__xludf.DUMMYFUNCTION("GOOGLETRANSLATE(A11533 , ""tr"" , ""en"")"),"@drfahrettinkocaR Minister Our Minister is your doctor! We have a question to you? Muslumey DENA with DENA SESTIVE ... HTTPS://T.CO/I0DC5PLP28")</f>
        <v>@drfahrettinkocaR Minister Our Minister is your doctor! We have a question to you? Muslumey DENA with DENA SESTIVE ... HTTPS://T.CO/I0DC5PLP28</v>
      </c>
    </row>
    <row r="14735" spans="1:5" ht="15" customHeight="1" x14ac:dyDescent="0.2">
      <c r="A14735" s="1" t="s">
        <v>29044</v>
      </c>
      <c r="B14735" s="1">
        <v>4</v>
      </c>
      <c r="C14735" s="3">
        <v>44526.903634259259</v>
      </c>
      <c r="D14735" s="1" t="s">
        <v>29045</v>
      </c>
      <c r="E14735" s="1" t="str">
        <f ca="1">IFERROR(__xludf.DUMMYFUNCTION("GOOGLETRANSLATE(A11534 , ""tr"" , ""en"")"),"@drfahrettinkoca Congratulations Unless you like a Such as Mecca submission in the first Covit outbreak of Covit ... https://t.co/7wut6hbo85")</f>
        <v>@drfahrettinkoca Congratulations Unless you like a Such as Mecca submission in the first Covit outbreak of Covit ... https://t.co/7wut6hbo85</v>
      </c>
    </row>
    <row r="14736" spans="1:5" ht="15" customHeight="1" x14ac:dyDescent="0.2">
      <c r="A14736" s="1" t="s">
        <v>29046</v>
      </c>
      <c r="B14736" s="1">
        <v>0</v>
      </c>
      <c r="C14736" s="3">
        <v>44526.903333333335</v>
      </c>
      <c r="D14736" s="1" t="s">
        <v>29047</v>
      </c>
      <c r="E14736" s="1" t="str">
        <f ca="1">IFERROR(__xludf.DUMMYFUNCTION("GOOGLETRANSLATE(A11535 , ""tr"" , ""en"")"),"@drfahrettinkoca is confused within 1 hour of the beholder.")</f>
        <v>@drfahrettinkoca is confused within 1 hour of the beholder.</v>
      </c>
    </row>
    <row r="14737" spans="1:5" ht="15" customHeight="1" x14ac:dyDescent="0.2">
      <c r="A14737" s="1" t="s">
        <v>29048</v>
      </c>
      <c r="B14737" s="1">
        <v>0</v>
      </c>
      <c r="C14737" s="3">
        <v>44526.903240740743</v>
      </c>
      <c r="D14737" s="1" t="s">
        <v>29049</v>
      </c>
      <c r="E14737" s="1" t="str">
        <f ca="1">IFERROR(__xludf.DUMMYFUNCTION("GOOGLETRANSLATE(A11536 , ""tr"" , ""en"")"),"@drfahrettinkoca Now that you need to come to the restrictions Mr. Minister cases are increasing Covit I'm afraid when I was careful")</f>
        <v>@drfahrettinkoca Now that you need to come to the restrictions Mr. Minister cases are increasing Covit I'm afraid when I was careful</v>
      </c>
    </row>
    <row r="14738" spans="1:5" ht="15" customHeight="1" x14ac:dyDescent="0.2">
      <c r="A14738" s="1" t="s">
        <v>29050</v>
      </c>
      <c r="B14738" s="1">
        <v>0</v>
      </c>
      <c r="C14738" s="3">
        <v>44526.903136574074</v>
      </c>
      <c r="D14738" s="1" t="s">
        <v>29051</v>
      </c>
      <c r="E14738" s="1" t="str">
        <f ca="1">IFERROR(__xludf.DUMMYFUNCTION("GOOGLETRANSLATE(A11537 , ""tr"" , ""en"")"),"@drfahrettinkoca guys plan to do the plan in 1920. https://t.co/xdxnx93mzu")</f>
        <v>@drfahrettinkoca guys plan to do the plan in 1920. https://t.co/xdxnx93mzu</v>
      </c>
    </row>
    <row r="14739" spans="1:5" ht="15" customHeight="1" x14ac:dyDescent="0.2">
      <c r="A14739" s="1" t="s">
        <v>29052</v>
      </c>
      <c r="B14739" s="1">
        <v>0</v>
      </c>
      <c r="C14739" s="3">
        <v>44526.903067129628</v>
      </c>
      <c r="D14739" s="1" t="s">
        <v>29053</v>
      </c>
      <c r="E14739" s="1" t="str">
        <f ca="1">IFERROR(__xludf.DUMMYFUNCTION("GOOGLETRANSLATE(A11538 , ""tr"" , ""en"")"),"@drfahrettinkoca with the world continues with new versions")</f>
        <v>@drfahrettinkoca with the world continues with new versions</v>
      </c>
    </row>
    <row r="14740" spans="1:5" ht="15" customHeight="1" x14ac:dyDescent="0.2">
      <c r="A14740" s="1" t="s">
        <v>29054</v>
      </c>
      <c r="B14740" s="1">
        <v>0</v>
      </c>
      <c r="C14740" s="3">
        <v>44526.902708333335</v>
      </c>
      <c r="D14740" s="1" t="s">
        <v>29055</v>
      </c>
      <c r="E14740" s="1" t="str">
        <f ca="1">IFERROR(__xludf.DUMMYFUNCTION("GOOGLETRANSLATE(A11539 , ""tr"" , ""en"")"),"@drfahrettinkoca Mr. Minister me What is the Variant you say this nu variant and why the full reality is caused ... https://t.co/sotifcjxah")</f>
        <v>@drfahrettinkoca Mr. Minister me What is the Variant you say this nu variant and why the full reality is caused ... https://t.co/sotifcjxah</v>
      </c>
    </row>
    <row r="14741" spans="1:5" ht="15" customHeight="1" x14ac:dyDescent="0.2">
      <c r="A14741" s="1" t="s">
        <v>29056</v>
      </c>
      <c r="B14741" s="1">
        <v>0</v>
      </c>
      <c r="C14741" s="3">
        <v>44526.902326388888</v>
      </c>
      <c r="D14741" s="1" t="s">
        <v>29057</v>
      </c>
      <c r="E14741" s="1" t="str">
        <f ca="1">IFERROR(__xludf.DUMMYFUNCTION("GOOGLETRANSLATE(A11540 , ""tr"" , ""en"")"),"@drfahrettinkoca you won't be able to replace this nation carp Mr. Husband")</f>
        <v>@drfahrettinkoca you won't be able to replace this nation carp Mr. Husband</v>
      </c>
    </row>
    <row r="14742" spans="1:5" ht="15" customHeight="1" x14ac:dyDescent="0.2">
      <c r="A14742" s="1" t="s">
        <v>29058</v>
      </c>
      <c r="B14742" s="1">
        <v>0</v>
      </c>
      <c r="C14742" s="3">
        <v>44526.902233796296</v>
      </c>
      <c r="D14742" s="1" t="s">
        <v>29059</v>
      </c>
      <c r="E14742" s="1" t="str">
        <f ca="1">IFERROR(__xludf.DUMMYFUNCTION("GOOGLETRANSLATE(A11541 , ""tr"" , ""en"")"),"@drfahrettinkoca Lutfen Mozambige Go Back to Come Back 🤲")</f>
        <v>@drfahrettinkoca Lutfen Mozambige Go Back to Come Back 🤲</v>
      </c>
    </row>
    <row r="14743" spans="1:5" ht="15" customHeight="1" x14ac:dyDescent="0.2">
      <c r="A14743" s="1" t="s">
        <v>29060</v>
      </c>
      <c r="B14743" s="1">
        <v>0</v>
      </c>
      <c r="C14743" s="3">
        <v>44526.901307870372</v>
      </c>
      <c r="D14743" s="1" t="s">
        <v>29061</v>
      </c>
      <c r="E14743" s="1" t="str">
        <f ca="1">IFERROR(__xludf.DUMMYFUNCTION("GOOGLETRANSLATE(A11542 , ""tr"" , ""en"")"),"@drfahrettinkoca ABi but the men are entering the land in the land of the land of the land in the land of the sea.")</f>
        <v>@drfahrettinkoca ABi but the men are entering the land in the land of the land of the land in the land of the sea.</v>
      </c>
    </row>
    <row r="14744" spans="1:5" ht="15" customHeight="1" x14ac:dyDescent="0.2">
      <c r="A14744" s="1" t="s">
        <v>29062</v>
      </c>
      <c r="B14744" s="1">
        <v>0</v>
      </c>
      <c r="C14744" s="3">
        <v>44526.90121527778</v>
      </c>
      <c r="D14744" s="1" t="s">
        <v>29063</v>
      </c>
      <c r="E14744" s="1" t="str">
        <f ca="1">IFERROR(__xludf.DUMMYFUNCTION("GOOGLETRANSLATE(A11543 , ""tr"" , ""en"")"),"@drfahrettinkoca Tourism Done Desen")</f>
        <v>@drfahrettinkoca Tourism Done Desen</v>
      </c>
    </row>
    <row r="14745" spans="1:5" ht="15" customHeight="1" x14ac:dyDescent="0.2">
      <c r="A14745" s="1" t="s">
        <v>29064</v>
      </c>
      <c r="B14745" s="1">
        <v>0</v>
      </c>
      <c r="C14745" s="3">
        <v>44526.900937500002</v>
      </c>
      <c r="D14745" s="1" t="s">
        <v>29065</v>
      </c>
      <c r="E14745" s="1" t="str">
        <f ca="1">IFERROR(__xludf.DUMMYFUNCTION("GOOGLETRANSLATE(A11544 , ""tr"" , ""en"")"),"@drfahrettinkoca Ministry 6 Floor Mask plus 5 How about do you vaccine protection?")</f>
        <v>@drfahrettinkoca Ministry 6 Floor Mask plus 5 How about do you vaccine protection?</v>
      </c>
    </row>
    <row r="14746" spans="1:5" ht="15" customHeight="1" x14ac:dyDescent="0.2">
      <c r="A14746" s="1" t="s">
        <v>29066</v>
      </c>
      <c r="B14746" s="1">
        <v>8</v>
      </c>
      <c r="C14746" s="3">
        <v>44526.900787037041</v>
      </c>
      <c r="D14746" s="1" t="s">
        <v>29067</v>
      </c>
      <c r="E14746" s="1" t="str">
        <f ca="1">IFERROR(__xludf.DUMMYFUNCTION("GOOGLETRANSLATE(A11545 , ""tr"" , ""en"")"),"@drfahrettinkoca Know overlooking Nu Private Board Did a mirliner written by the board, which is a very bad wave ... https://t.co/kwsbnmbvpg")</f>
        <v>@drfahrettinkoca Know overlooking Nu Private Board Did a mirliner written by the board, which is a very bad wave ... https://t.co/kwsbnmbvpg</v>
      </c>
    </row>
    <row r="14747" spans="1:5" ht="15" customHeight="1" x14ac:dyDescent="0.2">
      <c r="A14747" s="1" t="s">
        <v>29068</v>
      </c>
      <c r="B14747" s="1">
        <v>0</v>
      </c>
      <c r="C14747" s="3">
        <v>44526.898634259262</v>
      </c>
      <c r="D14747" s="1" t="s">
        <v>29069</v>
      </c>
      <c r="E14747" s="1" t="str">
        <f ca="1">IFERROR(__xludf.DUMMYFUNCTION("GOOGLETRANSLATE(A11546 , ""tr"" , ""en"")"),"@drfahrettinkoca you must be very hard to put the name of Varianantn 😅")</f>
        <v>@drfahrettinkoca you must be very hard to put the name of Varianantn 😅</v>
      </c>
    </row>
    <row r="14748" spans="1:5" ht="15" customHeight="1" x14ac:dyDescent="0.2">
      <c r="A14748" s="1" t="s">
        <v>29070</v>
      </c>
      <c r="B14748" s="1">
        <v>0</v>
      </c>
      <c r="C14748" s="3">
        <v>44526.8984375</v>
      </c>
      <c r="D14748" s="1" t="s">
        <v>29071</v>
      </c>
      <c r="E14748" s="1" t="str">
        <f ca="1">IFERROR(__xludf.DUMMYFUNCTION("GOOGLETRANSLATE(A11547 , ""tr"" , ""en"")"),"@drfahrettinkoca Afghan and Syrians What you will do, postalamis from Iranian border again Afghans to us")</f>
        <v>@drfahrettinkoca Afghan and Syrians What you will do, postalamis from Iranian border again Afghans to us</v>
      </c>
    </row>
    <row r="14749" spans="1:5" ht="15" customHeight="1" x14ac:dyDescent="0.2">
      <c r="A14749" s="1" t="s">
        <v>29072</v>
      </c>
      <c r="B14749" s="1">
        <v>0</v>
      </c>
      <c r="C14749" s="3">
        <v>44526.898252314815</v>
      </c>
      <c r="D14749" s="1" t="s">
        <v>29073</v>
      </c>
      <c r="E14749" s="1" t="str">
        <f ca="1">IFERROR(__xludf.DUMMYFUNCTION("GOOGLETRANSLATE(A11548 , ""tr"" , ""en"")"),"@drfahrettinkoca Heralde us forbidden. Comes normally coming 🧐")</f>
        <v>@drfahrettinkoca Heralde us forbidden. Comes normally coming 🧐</v>
      </c>
    </row>
    <row r="14750" spans="1:5" ht="15" customHeight="1" x14ac:dyDescent="0.2">
      <c r="A14750" s="1" t="s">
        <v>29074</v>
      </c>
      <c r="B14750" s="1">
        <v>0</v>
      </c>
      <c r="C14750" s="3">
        <v>44526.898240740738</v>
      </c>
      <c r="D14750" s="1" t="s">
        <v>29075</v>
      </c>
      <c r="E14750" s="1" t="str">
        <f ca="1">IFERROR(__xludf.DUMMYFUNCTION("GOOGLETRANSLATE(A11549 , ""tr"" , ""en"")"),"Will you consider the reactions of @drfahrettinkoca physicians to a change of tin? Is the problem exam? This is ... https://t.co/zuzpdwq3qq")</f>
        <v>Will you consider the reactions of @drfahrettinkoca physicians to a change of tin? Is the problem exam? This is ... https://t.co/zuzpdwq3qq</v>
      </c>
    </row>
    <row r="14751" spans="1:5" ht="15" customHeight="1" x14ac:dyDescent="0.2">
      <c r="A14751" s="1" t="s">
        <v>29076</v>
      </c>
      <c r="B14751" s="1">
        <v>0</v>
      </c>
      <c r="C14751" s="3">
        <v>44526.898159722223</v>
      </c>
      <c r="D14751" s="1" t="s">
        <v>29077</v>
      </c>
      <c r="E14751" s="1" t="str">
        <f ca="1">IFERROR(__xludf.DUMMYFUNCTION("GOOGLETRANSLATE(A11550 , ""tr"" , ""en"")"),"@drfahrettinkoca Mr. Minister Molnupiravir Paxlovid medicine is 89% effective in preventing hospitalization of hospitalization ... https://t.co/ee3jeatw12")</f>
        <v>@drfahrettinkoca Mr. Minister Molnupiravir Paxlovid medicine is 89% effective in preventing hospitalization of hospitalization ... https://t.co/ee3jeatw12</v>
      </c>
    </row>
    <row r="14752" spans="1:5" ht="15" customHeight="1" x14ac:dyDescent="0.2">
      <c r="A14752" s="1" t="s">
        <v>29078</v>
      </c>
      <c r="B14752" s="1">
        <v>2</v>
      </c>
      <c r="C14752" s="3">
        <v>44526.898136574076</v>
      </c>
      <c r="D14752" s="1" t="s">
        <v>29079</v>
      </c>
      <c r="E14752" s="1" t="str">
        <f ca="1">IFERROR(__xludf.DUMMYFUNCTION("GOOGLETRANSLATE(A11551 , ""tr"" , ""en"")"),"@drfahrettinkoca Online Training Training is now # guardiansline")</f>
        <v>@drfahrettinkoca Online Training Training is now # guardiansline</v>
      </c>
    </row>
    <row r="14753" spans="1:5" ht="15" customHeight="1" x14ac:dyDescent="0.2">
      <c r="A14753" s="1" t="s">
        <v>29080</v>
      </c>
      <c r="B14753" s="1">
        <v>11</v>
      </c>
      <c r="C14753" s="3">
        <v>44526.898032407407</v>
      </c>
      <c r="D14753" s="1" t="s">
        <v>29081</v>
      </c>
      <c r="E14753" s="1" t="str">
        <f ca="1">IFERROR(__xludf.DUMMYFUNCTION("GOOGLETRANSLATE(A11552 , ""tr"" , ""en"")"),"@drfahrettinka is essential for distance education in these conditions")</f>
        <v>@drfahrettinka is essential for distance education in these conditions</v>
      </c>
    </row>
    <row r="14754" spans="1:5" ht="15" customHeight="1" x14ac:dyDescent="0.2">
      <c r="A14754" s="1" t="s">
        <v>29082</v>
      </c>
      <c r="B14754" s="1">
        <v>0</v>
      </c>
      <c r="C14754" s="3">
        <v>44526.897893518515</v>
      </c>
      <c r="D14754" s="1" t="s">
        <v>29083</v>
      </c>
      <c r="E14754" s="1" t="str">
        <f ca="1">IFERROR(__xludf.DUMMYFUNCTION("GOOGLETRANSLATE(A11553 , ""tr"" , ""en"")"),"@drfahrettinkoca:) Are there still ranks that believe in this man")</f>
        <v>@drfahrettinkoca:) Are there still ranks that believe in this man</v>
      </c>
    </row>
    <row r="14755" spans="1:5" ht="15" customHeight="1" x14ac:dyDescent="0.2">
      <c r="A14755" s="1" t="s">
        <v>29084</v>
      </c>
      <c r="B14755" s="1">
        <v>0</v>
      </c>
      <c r="C14755" s="3">
        <v>44526.897870370369</v>
      </c>
      <c r="D14755" s="1" t="s">
        <v>29085</v>
      </c>
      <c r="E14755" s="1" t="str">
        <f ca="1">IFERROR(__xludf.DUMMYFUNCTION("GOOGLETRANSLATE(A11554 , ""tr"" , ""en"")"),"@drfahrettinka Really not bored anymore?")</f>
        <v>@drfahrettinka Really not bored anymore?</v>
      </c>
    </row>
    <row r="14756" spans="1:5" ht="15" customHeight="1" x14ac:dyDescent="0.2">
      <c r="A14756" s="1" t="s">
        <v>29086</v>
      </c>
      <c r="B14756" s="1">
        <v>0</v>
      </c>
      <c r="C14756" s="3">
        <v>44526.897557870368</v>
      </c>
      <c r="D14756" s="1" t="s">
        <v>29087</v>
      </c>
      <c r="E14756" s="1" t="str">
        <f ca="1">IFERROR(__xludf.DUMMYFUNCTION("GOOGLETRANSLATE(A11555 , ""tr"" , ""en"")"),"@drfahrettinka ilhassa you close the demiolus of the bilhasa.")</f>
        <v>@drfahrettinka ilhassa you close the demiolus of the bilhasa.</v>
      </c>
    </row>
    <row r="14757" spans="1:5" ht="15" customHeight="1" x14ac:dyDescent="0.2">
      <c r="A14757" s="1" t="s">
        <v>29088</v>
      </c>
      <c r="B14757" s="1">
        <v>0</v>
      </c>
      <c r="C14757" s="3">
        <v>44526.897048611114</v>
      </c>
      <c r="D14757" s="1" t="s">
        <v>29089</v>
      </c>
      <c r="E14757" s="1" t="str">
        <f ca="1">IFERROR(__xludf.DUMMYFUNCTION("GOOGLETRANSLATE(A11556 , ""tr"" , ""en"")"),"@drfahrettinkoca Mr. Minister, when is the end of these variants come? Or will the end come?")</f>
        <v>@drfahrettinkoca Mr. Minister, when is the end of these variants come? Or will the end come?</v>
      </c>
    </row>
    <row r="14758" spans="1:5" ht="15" customHeight="1" x14ac:dyDescent="0.2">
      <c r="A14758" s="1" t="s">
        <v>29090</v>
      </c>
      <c r="B14758" s="1">
        <v>22</v>
      </c>
      <c r="C14758" s="3">
        <v>44526.89675925926</v>
      </c>
      <c r="D14758" s="1" t="s">
        <v>29091</v>
      </c>
      <c r="E14758" s="1" t="str">
        <f ca="1">IFERROR(__xludf.DUMMYFUNCTION("GOOGLETRANSLATE(A11557 , ""tr"" , ""en"")"),"@drfahrettinka Online Training You should now see as an obligation. Last-minute measure is not measure. Dying ... https://t.co/b9rqvrxyao")</f>
        <v>@drfahrettinka Online Training You should now see as an obligation. Last-minute measure is not measure. Dying ... https://t.co/b9rqvrxyao</v>
      </c>
    </row>
    <row r="14759" spans="1:5" ht="15" customHeight="1" x14ac:dyDescent="0.2">
      <c r="A14759" s="1" t="s">
        <v>29092</v>
      </c>
      <c r="B14759" s="1">
        <v>0</v>
      </c>
      <c r="C14759" s="3">
        <v>44526.895636574074</v>
      </c>
      <c r="D14759" s="1" t="s">
        <v>29093</v>
      </c>
      <c r="E14759" s="1" t="str">
        <f ca="1">IFERROR(__xludf.DUMMYFUNCTION("GOOGLETRANSLATE(A11558 , ""tr"" , ""en"")"),"@drfahrettinkoca Nusuna as well to the Mas to the definition of the delta ....")</f>
        <v>@drfahrettinkoca Nusuna as well to the Mas to the definition of the delta ....</v>
      </c>
    </row>
    <row r="14760" spans="1:5" ht="15" customHeight="1" x14ac:dyDescent="0.2">
      <c r="A14760" s="1" t="s">
        <v>29094</v>
      </c>
      <c r="B14760" s="1">
        <v>2</v>
      </c>
      <c r="C14760" s="3">
        <v>44526.895150462966</v>
      </c>
      <c r="D14760" s="1" t="s">
        <v>29095</v>
      </c>
      <c r="E14760" s="1" t="str">
        <f ca="1">IFERROR(__xludf.DUMMYFUNCTION("GOOGLETRANSLATE(A11559 , ""tr"" , ""en"")"),"@drfahrettinkoca 15 days after 15 days in our country has been detected in 5 people, let's have the delayed liquids .. Bid ... https://t.co/3lc5wievca")</f>
        <v>@drfahrettinkoca 15 days after 15 days in our country has been detected in 5 people, let's have the delayed liquids .. Bid ... https://t.co/3lc5wievca</v>
      </c>
    </row>
    <row r="14761" spans="1:5" ht="15" customHeight="1" x14ac:dyDescent="0.2">
      <c r="A14761" s="1" t="s">
        <v>29096</v>
      </c>
      <c r="B14761" s="1">
        <v>0</v>
      </c>
      <c r="C14761" s="3">
        <v>44526.895057870373</v>
      </c>
      <c r="D14761" s="1" t="s">
        <v>29097</v>
      </c>
      <c r="E14761" s="1" t="str">
        <f ca="1">IFERROR(__xludf.DUMMYFUNCTION("GOOGLETRANSLATE(A11560 , ""tr"" , ""en"")"),"@drfahrettinkoca has already come to our country too come. So different precautions are required. Wait for the end wait ... https://t.co/lx4vm6zfal")</f>
        <v>@drfahrettinkoca has already come to our country too come. So different precautions are required. Wait for the end wait ... https://t.co/lx4vm6zfal</v>
      </c>
    </row>
    <row r="14762" spans="1:5" ht="15" customHeight="1" x14ac:dyDescent="0.2">
      <c r="A14762" s="1" t="s">
        <v>29098</v>
      </c>
      <c r="B14762" s="1">
        <v>0</v>
      </c>
      <c r="C14762" s="3">
        <v>44526.894652777781</v>
      </c>
      <c r="D14762" s="1" t="s">
        <v>29099</v>
      </c>
      <c r="E14762" s="1" t="str">
        <f ca="1">IFERROR(__xludf.DUMMYFUNCTION("GOOGLETRANSLATE(A11561 , ""tr"" , ""en"")"),"@drfahrettinkoca works opened pattern patron :)")</f>
        <v>@drfahrettinkoca works opened pattern patron :)</v>
      </c>
    </row>
    <row r="14763" spans="1:5" ht="15" customHeight="1" x14ac:dyDescent="0.2">
      <c r="A14763" s="1" t="s">
        <v>29100</v>
      </c>
      <c r="B14763" s="1">
        <v>0</v>
      </c>
      <c r="C14763" s="3">
        <v>44526.894085648149</v>
      </c>
      <c r="D14763" s="1" t="s">
        <v>29101</v>
      </c>
      <c r="E14763" s="1" t="str">
        <f ca="1">IFERROR(__xludf.DUMMYFUNCTION("GOOGLETRANSLATE(A11562 , ""tr"" , ""en"")"),"@drfahrettinkoca Europe What will happen from Flights?")</f>
        <v>@drfahrettinkoca Europe What will happen from Flights?</v>
      </c>
    </row>
    <row r="14764" spans="1:5" ht="15" customHeight="1" x14ac:dyDescent="0.2">
      <c r="A14764" s="1" t="s">
        <v>29102</v>
      </c>
      <c r="B14764" s="1">
        <v>0</v>
      </c>
      <c r="C14764" s="3">
        <v>44526.893275462964</v>
      </c>
      <c r="D14764" s="1" t="s">
        <v>29103</v>
      </c>
      <c r="E14764" s="1" t="str">
        <f ca="1">IFERROR(__xludf.DUMMYFUNCTION("GOOGLETRANSLATE(A11563 , ""tr"" , ""en"")"),"@drfahrettinka we were going to the countries you count in the morning in the morning as though I think it's now my neck")</f>
        <v>@drfahrettinka we were going to the countries you count in the morning in the morning as though I think it's now my neck</v>
      </c>
    </row>
    <row r="14765" spans="1:5" ht="15" customHeight="1" x14ac:dyDescent="0.2">
      <c r="A14765" s="1" t="s">
        <v>29104</v>
      </c>
      <c r="B14765" s="1">
        <v>11</v>
      </c>
      <c r="C14765" s="3">
        <v>44526.892812500002</v>
      </c>
      <c r="D14765" s="1" t="s">
        <v>29105</v>
      </c>
      <c r="E14765" s="1" t="str">
        <f ca="1">IFERROR(__xludf.DUMMYFUNCTION("GOOGLETRANSLATE(A11564 , ""tr"" , ""en"")"),"@drfahrettinkoca @rterdogan @drfahrettinaltun @suleymansoylu @drfahrettinkoca Mr. President; Test Mask hes ... https://t.co/DHTYSC33L4")</f>
        <v>@drfahrettinkoca @rterdogan @drfahrettinaltun @suleymansoylu @drfahrettinkoca Mr. President; Test Mask hes ... https://t.co/DHTYSC33L4</v>
      </c>
    </row>
    <row r="14766" spans="1:5" ht="15" customHeight="1" x14ac:dyDescent="0.2">
      <c r="A14766" s="1" t="s">
        <v>29106</v>
      </c>
      <c r="B14766" s="1">
        <v>0</v>
      </c>
      <c r="C14766" s="3">
        <v>44526.892129629632</v>
      </c>
      <c r="D14766" s="1" t="s">
        <v>29107</v>
      </c>
      <c r="E14766" s="1" t="str">
        <f ca="1">IFERROR(__xludf.DUMMYFUNCTION("GOOGLETRANSLATE(A11565 , ""tr"" , ""en"")"),"@drfahrettinkoca nu variant when we passed I couldn't catch up this detail")</f>
        <v>@drfahrettinkoca nu variant when we passed I couldn't catch up this detail</v>
      </c>
    </row>
    <row r="14767" spans="1:5" ht="15" customHeight="1" x14ac:dyDescent="0.2">
      <c r="A14767" s="1" t="s">
        <v>29108</v>
      </c>
      <c r="B14767" s="1">
        <v>0</v>
      </c>
      <c r="C14767" s="3">
        <v>44526.891377314816</v>
      </c>
      <c r="D14767" s="1" t="s">
        <v>29109</v>
      </c>
      <c r="E14767" s="1" t="str">
        <f ca="1">IFERROR(__xludf.DUMMYFUNCTION("GOOGLETRANSLATE(A11566 , ""tr"" , ""en"")"),"@drfahrettinkoca Please say that the Name of Variant of Variant has been changed to Omicron by the Name of Variant of Variant.")</f>
        <v>@drfahrettinkoca Please say that the Name of Variant of Variant has been changed to Omicron by the Name of Variant of Variant.</v>
      </c>
    </row>
    <row r="14768" spans="1:5" ht="15" customHeight="1" x14ac:dyDescent="0.2">
      <c r="A14768" s="1" t="s">
        <v>29110</v>
      </c>
      <c r="B14768" s="1">
        <v>14</v>
      </c>
      <c r="C14768" s="3">
        <v>44526.890983796293</v>
      </c>
      <c r="D14768" s="1" t="s">
        <v>29111</v>
      </c>
      <c r="E14768" s="1" t="str">
        <f ca="1">IFERROR(__xludf.DUMMYFUNCTION("GOOGLETRANSLATE(A11567 , ""tr"" , ""en"")"),"@drfahrettinkocaAfave Hee Hee ... 😄 No one believes your only word! The doors are open, with the European tourists ... https://t.co/o0r2nt4nd0")</f>
        <v>@drfahrettinkocaAfave Hee Hee ... 😄 No one believes your only word! The doors are open, with the European tourists ... https://t.co/o0r2nt4nd0</v>
      </c>
    </row>
    <row r="14769" spans="1:5" ht="15" customHeight="1" x14ac:dyDescent="0.2">
      <c r="A14769" s="1" t="s">
        <v>29112</v>
      </c>
      <c r="B14769" s="1">
        <v>0</v>
      </c>
      <c r="C14769" s="3">
        <v>44526.890648148146</v>
      </c>
      <c r="D14769" s="1" t="s">
        <v>29113</v>
      </c>
      <c r="E14769" s="1" t="str">
        <f ca="1">IFERROR(__xludf.DUMMYFUNCTION("GOOGLETRANSLATE(A11568 , ""tr"" , ""en"")"),"@drfahrettinkoca you turn on the summer,")</f>
        <v>@drfahrettinkoca you turn on the summer,</v>
      </c>
    </row>
    <row r="14770" spans="1:5" ht="15" customHeight="1" x14ac:dyDescent="0.2">
      <c r="A14770" s="1" t="s">
        <v>29114</v>
      </c>
      <c r="B14770" s="1">
        <v>0</v>
      </c>
      <c r="C14770" s="3">
        <v>44526.890613425923</v>
      </c>
      <c r="D14770" s="1" t="s">
        <v>29115</v>
      </c>
      <c r="E14770" s="1" t="str">
        <f ca="1">IFERROR(__xludf.DUMMYFUNCTION("GOOGLETRANSLATE(A11569 , ""tr"" , ""en"")"),"@drfahrettinkoca Mu we skipped the hocam. Please let's follow the order")</f>
        <v>@drfahrettinkoca Mu we skipped the hocam. Please let's follow the order</v>
      </c>
    </row>
    <row r="14771" spans="1:5" ht="15" customHeight="1" x14ac:dyDescent="0.2">
      <c r="A14771" s="1" t="s">
        <v>29116</v>
      </c>
      <c r="B14771" s="1">
        <v>0</v>
      </c>
      <c r="C14771" s="3">
        <v>44526.890393518515</v>
      </c>
      <c r="D14771" s="1" t="s">
        <v>29117</v>
      </c>
      <c r="E14771" s="1" t="str">
        <f ca="1">IFERROR(__xludf.DUMMYFUNCTION("GOOGLETRANSLATE(A11570 , ""tr"" , ""en"")"),"@drfahrettinkoca 2 weeks except commercial all the input outputs close ..")</f>
        <v>@drfahrettinkoca 2 weeks except commercial all the input outputs close ..</v>
      </c>
    </row>
    <row r="14772" spans="1:5" ht="15" customHeight="1" x14ac:dyDescent="0.2">
      <c r="A14772" s="1" t="s">
        <v>29118</v>
      </c>
      <c r="B14772" s="1">
        <v>1</v>
      </c>
      <c r="C14772" s="3">
        <v>44526.889884259261</v>
      </c>
      <c r="D14772" s="1" t="s">
        <v>29119</v>
      </c>
      <c r="E14772" s="1" t="str">
        <f ca="1">IFERROR(__xludf.DUMMYFUNCTION("GOOGLETRANSLATE(A11571 , ""tr"" , ""en"")"),"@drfahrettinkoca Well done! https://t.co/qlg9q7edje")</f>
        <v>@drfahrettinkoca Well done! https://t.co/qlg9q7edje</v>
      </c>
    </row>
    <row r="14773" spans="1:5" ht="15" customHeight="1" x14ac:dyDescent="0.2">
      <c r="A14773" s="1" t="s">
        <v>29120</v>
      </c>
      <c r="B14773" s="1">
        <v>3</v>
      </c>
      <c r="C14773" s="3">
        <v>44526.889733796299</v>
      </c>
      <c r="D14773" s="1" t="s">
        <v>29121</v>
      </c>
      <c r="E14773" s="1" t="str">
        <f ca="1">IFERROR(__xludf.DUMMYFUNCTION("GOOGLETRANSLATE(A11572 , ""tr"" , ""en"")"),"@drfahrettinkoca Early Gelimis We were waiting in March 2022 and after the world.")</f>
        <v>@drfahrettinkoca Early Gelimis We were waiting in March 2022 and after the world.</v>
      </c>
    </row>
    <row r="14774" spans="1:5" ht="15" customHeight="1" x14ac:dyDescent="0.2">
      <c r="A14774" s="1" t="s">
        <v>29122</v>
      </c>
      <c r="B14774" s="1">
        <v>0</v>
      </c>
      <c r="C14774" s="3">
        <v>44526.889270833337</v>
      </c>
      <c r="D14774" s="1" t="s">
        <v>29123</v>
      </c>
      <c r="E14774" s="1" t="str">
        <f ca="1">IFERROR(__xludf.DUMMYFUNCTION("GOOGLETRANSLATE(A11573 , ""tr"" , ""en"")"),"@drfahrettinka Mr. President I really insist that we don't understand us but not good these virus going ... https://t.co/67tt94nlmj")</f>
        <v>@drfahrettinka Mr. President I really insist that we don't understand us but not good these virus going ... https://t.co/67tt94nlmj</v>
      </c>
    </row>
    <row r="14775" spans="1:5" ht="15" customHeight="1" x14ac:dyDescent="0.2">
      <c r="A14775" s="1" t="s">
        <v>29124</v>
      </c>
      <c r="B14775" s="1">
        <v>0</v>
      </c>
      <c r="C14775" s="3">
        <v>44526.889201388891</v>
      </c>
      <c r="D14775" s="1" t="s">
        <v>29125</v>
      </c>
      <c r="E14775" s="1" t="str">
        <f ca="1">IFERROR(__xludf.DUMMYFUNCTION("GOOGLETRANSLATE(A11574 , ""tr"" , ""en"")"),"@drfahrettinkoca Greek alphabet as follows with row. You to use enough people.")</f>
        <v>@drfahrettinkoca Greek alphabet as follows with row. You to use enough people.</v>
      </c>
    </row>
    <row r="14776" spans="1:5" ht="15" customHeight="1" x14ac:dyDescent="0.2">
      <c r="A14776" s="1" t="s">
        <v>29126</v>
      </c>
      <c r="B14776" s="1">
        <v>2</v>
      </c>
      <c r="C14776" s="3">
        <v>44526.889108796298</v>
      </c>
      <c r="D14776" s="1" t="s">
        <v>29127</v>
      </c>
      <c r="E14776" s="1" t="str">
        <f ca="1">IFERROR(__xludf.DUMMYFUNCTION("GOOGLETRANSLATE(A11575 , ""tr"" , ""en"")"),"@drfahrettinka has an AÖF exam tomorrow. Thousands of people will be filled in halls. Come on In other schools, less than a moment ... https://t.co/jj9rdpcb79")</f>
        <v>@drfahrettinka has an AÖF exam tomorrow. Thousands of people will be filled in halls. Come on In other schools, less than a moment ... https://t.co/jj9rdpcb79</v>
      </c>
    </row>
    <row r="14777" spans="1:5" ht="15" customHeight="1" x14ac:dyDescent="0.2">
      <c r="A14777" s="1" t="s">
        <v>29128</v>
      </c>
      <c r="B14777" s="1">
        <v>1</v>
      </c>
      <c r="C14777" s="3">
        <v>44526.889108796298</v>
      </c>
      <c r="D14777" s="1" t="s">
        <v>29129</v>
      </c>
      <c r="E14777" s="1" t="str">
        <f ca="1">IFERROR(__xludf.DUMMYFUNCTION("GOOGLETRANSLATE(A11576 , ""tr"" , ""en"")"),"@drfahrettinkoca take the precaution")</f>
        <v>@drfahrettinkoca take the precaution</v>
      </c>
    </row>
    <row r="14778" spans="1:5" ht="15" customHeight="1" x14ac:dyDescent="0.2">
      <c r="A14778" s="1" t="s">
        <v>29130</v>
      </c>
      <c r="B14778" s="1">
        <v>1</v>
      </c>
      <c r="C14778" s="3">
        <v>44526.889050925929</v>
      </c>
      <c r="D14778" s="1" t="s">
        <v>29131</v>
      </c>
      <c r="E14778" s="1" t="str">
        <f ca="1">IFERROR(__xludf.DUMMYFUNCTION("GOOGLETRANSLATE(A11577 , ""tr"" , ""en"")"),"@drfahrettinkoca Close Schools also gathers no longer")</f>
        <v>@drfahrettinkoca Close Schools also gathers no longer</v>
      </c>
    </row>
    <row r="14779" spans="1:5" ht="15" customHeight="1" x14ac:dyDescent="0.2">
      <c r="A14779" s="1" t="s">
        <v>29132</v>
      </c>
      <c r="B14779" s="1">
        <v>0</v>
      </c>
      <c r="C14779" s="3">
        <v>44526.888703703706</v>
      </c>
      <c r="D14779" s="1" t="s">
        <v>29133</v>
      </c>
      <c r="E14779" s="1" t="str">
        <f ca="1">IFERROR(__xludf.DUMMYFUNCTION("GOOGLETRANSLATE(A11578 , ""tr"" , ""en"")"),"@drfahrettinkoca hocam nu varianti the bridal water mask without spreading the bride should be obliged to use the mask.")</f>
        <v>@drfahrettinkoca hocam nu varianti the bridal water mask without spreading the bride should be obliged to use the mask.</v>
      </c>
    </row>
    <row r="14780" spans="1:5" ht="15" customHeight="1" x14ac:dyDescent="0.2">
      <c r="A14780" s="1" t="s">
        <v>29134</v>
      </c>
      <c r="B14780" s="1">
        <v>0</v>
      </c>
      <c r="C14780" s="3">
        <v>44526.887916666667</v>
      </c>
      <c r="D14780" s="1" t="s">
        <v>29135</v>
      </c>
      <c r="E14780" s="1" t="str">
        <f ca="1">IFERROR(__xludf.DUMMYFUNCTION("GOOGLETRANSLATE(A11579 , ""tr"" , ""en"")"),"Has the @drfahrettinkoca remained entry from the country door to the country?")</f>
        <v>Has the @drfahrettinkoca remained entry from the country door to the country?</v>
      </c>
    </row>
    <row r="14781" spans="1:5" ht="15" customHeight="1" x14ac:dyDescent="0.2">
      <c r="A14781" s="1" t="s">
        <v>29136</v>
      </c>
      <c r="B14781" s="1">
        <v>0</v>
      </c>
      <c r="C14781" s="3">
        <v>44526.887245370373</v>
      </c>
      <c r="D14781" s="1" t="s">
        <v>29137</v>
      </c>
      <c r="E14781" s="1" t="str">
        <f ca="1">IFERROR(__xludf.DUMMYFUNCTION("GOOGLETRANSLATE(A11580 , ""tr"" , ""en"")"),"@drfahrettinka We haven't chosen this life in case you poison this life. Where are you early choice? Come also this life toe ... https://t.co/if003ydyu8")</f>
        <v>@drfahrettinka We haven't chosen this life in case you poison this life. Where are you early choice? Come also this life toe ... https://t.co/if003ydyu8</v>
      </c>
    </row>
    <row r="14782" spans="1:5" ht="15" customHeight="1" x14ac:dyDescent="0.2">
      <c r="A14782" s="1" t="s">
        <v>29138</v>
      </c>
      <c r="B14782" s="1">
        <v>3</v>
      </c>
      <c r="C14782" s="3">
        <v>44526.886921296296</v>
      </c>
      <c r="D14782" s="1" t="s">
        <v>29139</v>
      </c>
      <c r="E14782" s="1" t="str">
        <f ca="1">IFERROR(__xludf.DUMMYFUNCTION("GOOGLETRANSLATE(A11581 , ""tr"" , ""en"")"),"@drfahrettinkoca has 3000 pending paramedic 86 points.")</f>
        <v>@drfahrettinkoca has 3000 pending paramedic 86 points.</v>
      </c>
    </row>
    <row r="14783" spans="1:5" ht="15" customHeight="1" x14ac:dyDescent="0.2">
      <c r="A14783" s="1" t="s">
        <v>29140</v>
      </c>
      <c r="B14783" s="1">
        <v>0</v>
      </c>
      <c r="C14783" s="3">
        <v>44526.886874999997</v>
      </c>
      <c r="D14783" s="1" t="s">
        <v>29141</v>
      </c>
      <c r="E14783" s="1" t="str">
        <f ca="1">IFERROR(__xludf.DUMMYFUNCTION("GOOGLETRANSLATE(A11582 , ""tr"" , ""en"")"),"@drfahrettinka all the lies revealed i think don't keep it anymore")</f>
        <v>@drfahrettinka all the lies revealed i think don't keep it anymore</v>
      </c>
    </row>
    <row r="14784" spans="1:5" ht="15" customHeight="1" x14ac:dyDescent="0.2">
      <c r="A14784" s="1" t="s">
        <v>29142</v>
      </c>
      <c r="B14784" s="1">
        <v>1</v>
      </c>
      <c r="C14784" s="3">
        <v>44526.886782407404</v>
      </c>
      <c r="D14784" s="1" t="s">
        <v>29143</v>
      </c>
      <c r="E14784" s="1" t="str">
        <f ca="1">IFERROR(__xludf.DUMMYFUNCTION("GOOGLETRANSLATE(A11583 , ""tr"" , ""en"")"),"@drfahrettinkoca Tourism season is finished fahrettin husband. Come closures come closures Hospitals are making good money")</f>
        <v>@drfahrettinkoca Tourism season is finished fahrettin husband. Come closures come closures Hospitals are making good money</v>
      </c>
    </row>
    <row r="14785" spans="1:5" ht="15" customHeight="1" x14ac:dyDescent="0.2">
      <c r="A14785" s="1" t="s">
        <v>29144</v>
      </c>
      <c r="B14785" s="1">
        <v>0</v>
      </c>
      <c r="C14785" s="3">
        <v>44526.886643518519</v>
      </c>
      <c r="D14785" s="1" t="s">
        <v>29145</v>
      </c>
      <c r="E14785" s="1" t="str">
        <f ca="1">IFERROR(__xludf.DUMMYFUNCTION("GOOGLETRANSLATE(A11584 , ""tr"" , ""en"")"),"@drfahrettinkoca Fure Yaa..yemi button pressed")</f>
        <v>@drfahrettinkoca Fure Yaa..yemi button pressed</v>
      </c>
    </row>
    <row r="14786" spans="1:5" ht="15" customHeight="1" x14ac:dyDescent="0.2">
      <c r="A14786" s="1" t="s">
        <v>29146</v>
      </c>
      <c r="B14786" s="1">
        <v>0</v>
      </c>
      <c r="C14786" s="3">
        <v>44526.886412037034</v>
      </c>
      <c r="D14786" s="1" t="s">
        <v>29147</v>
      </c>
      <c r="E14786" s="1" t="str">
        <f ca="1">IFERROR(__xludf.DUMMYFUNCTION("GOOGLETRANSLATE(A11585 , ""tr"" , ""en"")"),"@drfahrettinkoca facing hubby you have a question. Is there a bond between the emblem of Medipol hospitals and the temple showye seal?")</f>
        <v>@drfahrettinkoca facing hubby you have a question. Is there a bond between the emblem of Medipol hospitals and the temple showye seal?</v>
      </c>
    </row>
    <row r="14787" spans="1:5" ht="15" customHeight="1" x14ac:dyDescent="0.2">
      <c r="A14787" s="1" t="s">
        <v>29148</v>
      </c>
      <c r="B14787" s="1">
        <v>0</v>
      </c>
      <c r="C14787" s="3">
        <v>44526.88622685185</v>
      </c>
      <c r="D14787" s="1" t="s">
        <v>29149</v>
      </c>
      <c r="E14787" s="1" t="str">
        <f ca="1">IFERROR(__xludf.DUMMYFUNCTION("GOOGLETRANSLATE(A11586 , ""tr"" , ""en"")"),"@drfahrettinkoca absolutely don't believe you. Your conviction has finished.")</f>
        <v>@drfahrettinkoca absolutely don't believe you. Your conviction has finished.</v>
      </c>
    </row>
    <row r="14788" spans="1:5" ht="15" customHeight="1" x14ac:dyDescent="0.2">
      <c r="A14788" s="1" t="s">
        <v>29150</v>
      </c>
      <c r="B14788" s="1">
        <v>0</v>
      </c>
      <c r="C14788" s="3">
        <v>44526.885729166665</v>
      </c>
      <c r="D14788" s="1" t="s">
        <v>29151</v>
      </c>
      <c r="E14788" s="1" t="str">
        <f ca="1">IFERROR(__xludf.DUMMYFUNCTION("GOOGLETRANSLATE(A11587 , ""tr"" , ""en"")"),"@drfahrettinkoca Outdoor Sunavina We are entering Gram Measure No teaching Gorevlicin Mask under the Cene ... HTTPS://T.CO/MVIALTLGD2")</f>
        <v>@drfahrettinkoca Outdoor Sunavina We are entering Gram Measure No teaching Gorevlicin Mask under the Cene ... HTTPS://T.CO/MVIALTLGD2</v>
      </c>
    </row>
    <row r="14789" spans="1:5" ht="15" customHeight="1" x14ac:dyDescent="0.2">
      <c r="A14789" s="1" t="s">
        <v>29152</v>
      </c>
      <c r="B14789" s="1">
        <v>2</v>
      </c>
      <c r="C14789" s="3">
        <v>44526.885451388887</v>
      </c>
      <c r="D14789" s="1" t="s">
        <v>29153</v>
      </c>
      <c r="E14789" s="1" t="str">
        <f ca="1">IFERROR(__xludf.DUMMYFUNCTION("GOOGLETRANSLATE(A11588 , ""tr"" , ""en"")"),"@drfahrettinkoca @ tr342459678897 hey do you do already no other from them")</f>
        <v>@drfahrettinkoca @ tr342459678897 hey do you do already no other from them</v>
      </c>
    </row>
    <row r="14790" spans="1:5" ht="15" customHeight="1" x14ac:dyDescent="0.2">
      <c r="A14790" s="1" t="s">
        <v>29154</v>
      </c>
      <c r="B14790" s="1">
        <v>0</v>
      </c>
      <c r="C14790" s="3">
        <v>44526.885324074072</v>
      </c>
      <c r="D14790" s="1" t="s">
        <v>29155</v>
      </c>
      <c r="E14790" s="1" t="str">
        <f ca="1">IFERROR(__xludf.DUMMYFUNCTION("GOOGLETRANSLATE(A11589 , ""tr"" , ""en"")"),"@drfahrettinka urgently full shutdown and let you get rid of this variants Tourists come to come comfortable Comfortable go to the economy ... https://t.co/zs3tcar6np")</f>
        <v>@drfahrettinka urgently full shutdown and let you get rid of this variants Tourists come to come comfortable Comfortable go to the economy ... https://t.co/zs3tcar6np</v>
      </c>
    </row>
    <row r="14791" spans="1:5" ht="15" customHeight="1" x14ac:dyDescent="0.2">
      <c r="A14791" s="1" t="s">
        <v>29156</v>
      </c>
      <c r="B14791" s="1">
        <v>0</v>
      </c>
      <c r="C14791" s="3">
        <v>44527.98</v>
      </c>
      <c r="D14791" s="1" t="s">
        <v>29157</v>
      </c>
      <c r="E14791" s="1" t="str">
        <f ca="1">IFERROR(__xludf.DUMMYFUNCTION("GOOGLETRANSLATE(A11590 , ""tr"" , ""en"")"),"@drfahrettinkoca do allah do as she knows ❗🤲")</f>
        <v>@drfahrettinkoca do allah do as she knows ❗🤲</v>
      </c>
    </row>
    <row r="14792" spans="1:5" ht="15" customHeight="1" x14ac:dyDescent="0.2">
      <c r="A14792" s="1" t="s">
        <v>29158</v>
      </c>
      <c r="B14792" s="1">
        <v>0</v>
      </c>
      <c r="C14792" s="3">
        <v>44527.94425925926</v>
      </c>
      <c r="D14792" s="1" t="s">
        <v>29159</v>
      </c>
      <c r="E14792" s="1" t="str">
        <f ca="1">IFERROR(__xludf.DUMMYFUNCTION("GOOGLETRANSLATE(A11591 , ""tr"" , ""en"")"),"@drfahrettinkoca take measures in the country. Put the prohibition to the stalled countries .. very convincing. 🤔")</f>
        <v>@drfahrettinkoca take measures in the country. Put the prohibition to the stalled countries .. very convincing. 🤔</v>
      </c>
    </row>
    <row r="14793" spans="1:5" ht="15" customHeight="1" x14ac:dyDescent="0.2">
      <c r="A14793" s="1" t="s">
        <v>29160</v>
      </c>
      <c r="B14793" s="1">
        <v>1</v>
      </c>
      <c r="C14793" s="3">
        <v>44527.9294212963</v>
      </c>
      <c r="D14793" s="1" t="s">
        <v>29161</v>
      </c>
      <c r="E14793" s="1" t="str">
        <f ca="1">IFERROR(__xludf.DUMMYFUNCTION("GOOGLETRANSLATE(A11592 , ""tr"" , ""en"")"),"@drfahrettinkoca Weekly Average Case Number South Africa: 3000 Mozambique: 5 Namibia: 20 Zimbabwe: 5 Apparencies O ... https://t.co/3bhjrsifn4")</f>
        <v>@drfahrettinkoca Weekly Average Case Number South Africa: 3000 Mozambique: 5 Namibia: 20 Zimbabwe: 5 Apparencies O ... https://t.co/3bhjrsifn4</v>
      </c>
    </row>
    <row r="14794" spans="1:5" ht="15" customHeight="1" x14ac:dyDescent="0.2">
      <c r="A14794" s="1" t="s">
        <v>29162</v>
      </c>
      <c r="B14794" s="1">
        <v>1</v>
      </c>
      <c r="C14794" s="3">
        <v>44528.95857638889</v>
      </c>
      <c r="D14794" s="1" t="s">
        <v>29163</v>
      </c>
      <c r="E14794" s="1" t="str">
        <f ca="1">IFERROR(__xludf.DUMMYFUNCTION("GOOGLETRANSLATE(A11593 , ""tr"" , ""en"")"),"@drfahrettinkoca If this school legs explain somewhere, then if you turn off schools, see you see Beards ... HTTPS://T.CO/SSEFIWMRHG")</f>
        <v>@drfahrettinkoca If this school legs explain somewhere, then if you turn off schools, see you see Beards ... HTTPS://T.CO/SSEFIWMRHG</v>
      </c>
    </row>
    <row r="14795" spans="1:5" ht="15" customHeight="1" x14ac:dyDescent="0.2">
      <c r="A14795" s="1" t="s">
        <v>29164</v>
      </c>
      <c r="B14795" s="1">
        <v>1</v>
      </c>
      <c r="C14795" s="3">
        <v>44528.957499999997</v>
      </c>
      <c r="D14795" s="1" t="s">
        <v>29165</v>
      </c>
      <c r="E14795" s="1" t="str">
        <f ca="1">IFERROR(__xludf.DUMMYFUNCTION("GOOGLETRANSLATE(A11594 , ""tr"" , ""en"")"),"@drfahrettinkoca Do not move on the promise of anyone to the promise of the promise Mr. Minister We love you, but you do ... https://t.co/6rhilccara")</f>
        <v>@drfahrettinkoca Do not move on the promise of anyone to the promise of the promise Mr. Minister We love you, but you do ... https://t.co/6rhilccara</v>
      </c>
    </row>
    <row r="14796" spans="1:5" ht="15" customHeight="1" x14ac:dyDescent="0.2">
      <c r="A14796" s="1" t="s">
        <v>29166</v>
      </c>
      <c r="B14796" s="1">
        <v>1</v>
      </c>
      <c r="C14796" s="3">
        <v>44528.956261574072</v>
      </c>
      <c r="D14796" s="1" t="s">
        <v>29167</v>
      </c>
      <c r="E14796" s="1" t="str">
        <f ca="1">IFERROR(__xludf.DUMMYFUNCTION("GOOGLETRANSLATE(A11595 , ""tr"" , ""en"")"),"@drfahrettinkoca Best Measure Didn't you say that you are lying If you are lying Intensive care 18 Y ... https://t.co/rlaalddar2")</f>
        <v>@drfahrettinkoca Best Measure Didn't you say that you are lying If you are lying Intensive care 18 Y ... https://t.co/rlaalddar2</v>
      </c>
    </row>
    <row r="14797" spans="1:5" ht="15" customHeight="1" x14ac:dyDescent="0.2">
      <c r="A14797" s="1" t="s">
        <v>29168</v>
      </c>
      <c r="B14797" s="1">
        <v>1</v>
      </c>
      <c r="C14797" s="3">
        <v>44528.954062500001</v>
      </c>
      <c r="D14797" s="1" t="s">
        <v>29169</v>
      </c>
      <c r="E14797" s="1" t="str">
        <f ca="1">IFERROR(__xludf.DUMMYFUNCTION("GOOGLETRANSLATE(A11596 , ""tr"" , ""en"")"),"@drfahrettinkoca Mr. Minister The laziness is not healthy saying that you want to start my words SINI ... https://t.co/x8vjz2f6os")</f>
        <v>@drfahrettinkoca Mr. Minister The laziness is not healthy saying that you want to start my words SINI ... https://t.co/x8vjz2f6os</v>
      </c>
    </row>
    <row r="14798" spans="1:5" ht="15" customHeight="1" x14ac:dyDescent="0.2">
      <c r="A14798" s="1" t="s">
        <v>29170</v>
      </c>
      <c r="B14798" s="1">
        <v>0</v>
      </c>
      <c r="C14798" s="3">
        <v>44539.703148148146</v>
      </c>
      <c r="D14798" s="1" t="s">
        <v>29171</v>
      </c>
      <c r="E14798" s="1" t="str">
        <f ca="1">IFERROR(__xludf.DUMMYFUNCTION("GOOGLETRANSLATE(A11597 , ""tr"" , ""en"")"),"@drfahrettinkoca why are the questions not answered !!!")</f>
        <v>@drfahrettinkoca why are the questions not answered !!!</v>
      </c>
    </row>
    <row r="14799" spans="1:5" ht="15" customHeight="1" x14ac:dyDescent="0.2">
      <c r="A14799" s="1" t="s">
        <v>29172</v>
      </c>
      <c r="B14799" s="1">
        <v>0</v>
      </c>
      <c r="C14799" s="3">
        <v>44526.997210648151</v>
      </c>
      <c r="D14799" s="1" t="s">
        <v>29173</v>
      </c>
      <c r="E14799" s="1" t="str">
        <f ca="1">IFERROR(__xludf.DUMMYFUNCTION("GOOGLETRANSLATE(A11598 , ""tr"" , ""en"")"),"@drfahrettinka agenda dollar / gold / poverty began ...")</f>
        <v>@drfahrettinka agenda dollar / gold / poverty began ...</v>
      </c>
    </row>
    <row r="14800" spans="1:5" ht="15" customHeight="1" x14ac:dyDescent="0.2">
      <c r="A14800" s="1" t="s">
        <v>29174</v>
      </c>
      <c r="B14800" s="1">
        <v>0</v>
      </c>
      <c r="C14800" s="3">
        <v>44526.984467592592</v>
      </c>
      <c r="D14800" s="1" t="s">
        <v>29175</v>
      </c>
      <c r="E14800" s="1" t="str">
        <f ca="1">IFERROR(__xludf.DUMMYFUNCTION("GOOGLETRANSLATE(A11599 , ""tr"" , ""en"")"),"@drfahrettinkoca We require distance education Please our health seriously endangered our voice")</f>
        <v>@drfahrettinkoca We require distance education Please our health seriously endangered our voice</v>
      </c>
    </row>
    <row r="14801" spans="1:5" ht="15" customHeight="1" x14ac:dyDescent="0.2">
      <c r="A14801" s="1" t="s">
        <v>29176</v>
      </c>
      <c r="B14801" s="1">
        <v>0</v>
      </c>
      <c r="C14801" s="3">
        <v>44526.976423611108</v>
      </c>
      <c r="D14801" s="1" t="s">
        <v>29177</v>
      </c>
      <c r="E14801" s="1" t="str">
        <f ca="1">IFERROR(__xludf.DUMMYFUNCTION("GOOGLETRANSLATE(A11600 , ""tr"" , ""en"")"),"@drfahrettinkoca South African Veryanati Output vaccines are also waiting for online training on top of the vaccines ... https://t.co/xpf3woacx")</f>
        <v>@drfahrettinkoca South African Veryanati Output vaccines are also waiting for online training on top of the vaccines ... https://t.co/xpf3woacx</v>
      </c>
    </row>
    <row r="14802" spans="1:5" ht="15" customHeight="1" x14ac:dyDescent="0.2">
      <c r="A14802" s="1" t="s">
        <v>29178</v>
      </c>
      <c r="B14802" s="1">
        <v>0</v>
      </c>
      <c r="C14802" s="3">
        <v>44526.97384259259</v>
      </c>
      <c r="D14802" s="1" t="s">
        <v>29179</v>
      </c>
      <c r="E14802" s="1" t="str">
        <f ca="1">IFERROR(__xludf.DUMMYFUNCTION("GOOGLETRANSLATE(A11601 , ""tr"" , ""en"")"),"@drfahrettinkoca we received all the measures ... https://t.co/widprmwrg6")</f>
        <v>@drfahrettinkoca we received all the measures ... https://t.co/widprmwrg6</v>
      </c>
    </row>
    <row r="14803" spans="1:5" ht="15" customHeight="1" x14ac:dyDescent="0.2">
      <c r="A14803" s="1" t="s">
        <v>29180</v>
      </c>
      <c r="B14803" s="1">
        <v>0</v>
      </c>
      <c r="C14803" s="3">
        <v>44526.971666666665</v>
      </c>
      <c r="D14803" s="1" t="s">
        <v>29181</v>
      </c>
      <c r="E14803" s="1" t="str">
        <f ca="1">IFERROR(__xludf.DUMMYFUNCTION("GOOGLETRANSLATE(A11602 , ""tr"" , ""en"")"),"@drfahrettinkoca why is the deaths before vaccinated and deaths after vaccinations are not written. 😴😴😴")</f>
        <v>@drfahrettinkoca why is the deaths before vaccinated and deaths after vaccinations are not written. 😴😴😴</v>
      </c>
    </row>
    <row r="14804" spans="1:5" ht="15" customHeight="1" x14ac:dyDescent="0.2">
      <c r="A14804" s="1" t="s">
        <v>29182</v>
      </c>
      <c r="B14804" s="1">
        <v>0</v>
      </c>
      <c r="C14804" s="3">
        <v>44526.966111111113</v>
      </c>
      <c r="D14804" s="1" t="s">
        <v>29183</v>
      </c>
      <c r="E14804" s="1" t="str">
        <f ca="1">IFERROR(__xludf.DUMMYFUNCTION("GOOGLETRANSLATE(A11603 , ""tr"" , ""en"")"),"@drfahrettinkoca has a service / product, customer and serving / seller. How a business is this, customer service from Karika ... https://t.co/ywc4ksljah")</f>
        <v>@drfahrettinkoca has a service / product, customer and serving / seller. How a business is this, customer service from Karika ... https://t.co/ywc4ksljah</v>
      </c>
    </row>
    <row r="14805" spans="1:5" ht="15" customHeight="1" x14ac:dyDescent="0.2">
      <c r="A14805" s="1" t="s">
        <v>29184</v>
      </c>
      <c r="B14805" s="1">
        <v>0</v>
      </c>
      <c r="C14805" s="3">
        <v>44526.951122685183</v>
      </c>
      <c r="D14805" s="1" t="s">
        <v>29185</v>
      </c>
      <c r="E14805" s="1" t="str">
        <f ca="1">IFERROR(__xludf.DUMMYFUNCTION("GOOGLETRANSLATE(A11604 , ""tr"" , ""en"")"),"@drfahrettinka science board wants to go on the street and steal the pots pan, but you know you already do ..")</f>
        <v>@drfahrettinka science board wants to go on the street and steal the pots pan, but you know you already do ..</v>
      </c>
    </row>
    <row r="14806" spans="1:5" ht="15" customHeight="1" x14ac:dyDescent="0.2">
      <c r="A14806" s="1" t="s">
        <v>29186</v>
      </c>
      <c r="B14806" s="1">
        <v>4</v>
      </c>
      <c r="C14806" s="3">
        <v>44526.948171296295</v>
      </c>
      <c r="D14806" s="1" t="s">
        <v>29187</v>
      </c>
      <c r="E14806" s="1" t="str">
        <f ca="1">IFERROR(__xludf.DUMMYFUNCTION("GOOGLETRANSLATE(A11605 , ""tr"" , ""en"")"),"@drfahrettinkoca is the same as they watched the drugs they hype along 2 years ?!")</f>
        <v>@drfahrettinkoca is the same as they watched the drugs they hype along 2 years ?!</v>
      </c>
    </row>
    <row r="14807" spans="1:5" ht="15" customHeight="1" x14ac:dyDescent="0.2">
      <c r="A14807" s="1" t="s">
        <v>29188</v>
      </c>
      <c r="B14807" s="1">
        <v>0</v>
      </c>
      <c r="C14807" s="3">
        <v>44526.94127314815</v>
      </c>
      <c r="D14807" s="1" t="s">
        <v>29189</v>
      </c>
      <c r="E14807" s="1" t="str">
        <f ca="1">IFERROR(__xludf.DUMMYFUNCTION("GOOGLETRANSLATE(A11606 , ""tr"" , ""en"")"),"@drfahrettinkoca Dear Minister, the disease is automatically dropping from the agenda. Caused by the agenda, caused by the agenda ... https://t.co/u23I1bbirh")</f>
        <v>@drfahrettinkoca Dear Minister, the disease is automatically dropping from the agenda. Caused by the agenda, caused by the agenda ... https://t.co/u23I1bbirh</v>
      </c>
    </row>
    <row r="14808" spans="1:5" ht="15" customHeight="1" x14ac:dyDescent="0.2">
      <c r="A14808" s="1" t="s">
        <v>29190</v>
      </c>
      <c r="B14808" s="1">
        <v>0</v>
      </c>
      <c r="C14808" s="3">
        <v>44526.938391203701</v>
      </c>
      <c r="D14808" s="1" t="s">
        <v>29191</v>
      </c>
      <c r="E14808" s="1" t="str">
        <f ca="1">IFERROR(__xludf.DUMMYFUNCTION("GOOGLETRANSLATE(A11607 , ""tr"" , ""en"")"),"@drfahrettinkoca tuncaygokmen")</f>
        <v>@drfahrettinkoca tuncaygokmen</v>
      </c>
    </row>
    <row r="14809" spans="1:5" ht="15" customHeight="1" x14ac:dyDescent="0.2">
      <c r="A14809" s="1" t="s">
        <v>29192</v>
      </c>
      <c r="B14809" s="1">
        <v>0</v>
      </c>
      <c r="C14809" s="3">
        <v>44526.93577546296</v>
      </c>
      <c r="D14809" s="1" t="s">
        <v>29193</v>
      </c>
      <c r="E14809" s="1" t="str">
        <f ca="1">IFERROR(__xludf.DUMMYFUNCTION("GOOGLETRANSLATE(A11608 , ""tr"" , ""en"")"),"@drfahrettinkoca, please don't watch ...")</f>
        <v>@drfahrettinkoca, please don't watch ...</v>
      </c>
    </row>
    <row r="14810" spans="1:5" ht="15" customHeight="1" x14ac:dyDescent="0.2">
      <c r="A14810" s="1" t="s">
        <v>29194</v>
      </c>
      <c r="B14810" s="1">
        <v>6</v>
      </c>
      <c r="C14810" s="3">
        <v>44526.935185185182</v>
      </c>
      <c r="D14810" s="1" t="s">
        <v>29195</v>
      </c>
      <c r="E14810" s="1" t="str">
        <f ca="1">IFERROR(__xludf.DUMMYFUNCTION("GOOGLETRANSLATE(A11609 , ""tr"" , ""en"")"),"@drfahrettinkoca We lost the outline from the disease today, but the same day, the same day, the Minister of Mr. Minister is ... https://t.co/v3zhzcrx91")</f>
        <v>@drfahrettinkoca We lost the outline from the disease today, but the same day, the same day, the Minister of Mr. Minister is ... https://t.co/v3zhzcrx91</v>
      </c>
    </row>
    <row r="14811" spans="1:5" ht="15" customHeight="1" x14ac:dyDescent="0.2">
      <c r="A14811" s="1" t="s">
        <v>29196</v>
      </c>
      <c r="B14811" s="1">
        <v>7</v>
      </c>
      <c r="C14811" s="3">
        <v>44526.929594907408</v>
      </c>
      <c r="D14811" s="1" t="s">
        <v>29197</v>
      </c>
      <c r="E14811" s="1" t="str">
        <f ca="1">IFERROR(__xludf.DUMMYFUNCTION("GOOGLETRANSLATE(A11610 , ""tr"" , ""en"")"),"@drfahrettinkoca What I read I now I read again again. Outbreak disease, variants and mutations ... https://t.co/HXIQGZMSWF")</f>
        <v>@drfahrettinkoca What I read I now I read again again. Outbreak disease, variants and mutations ... https://t.co/HXIQGZMSWF</v>
      </c>
    </row>
    <row r="14812" spans="1:5" ht="15" customHeight="1" x14ac:dyDescent="0.2">
      <c r="A14812" s="1" t="s">
        <v>29198</v>
      </c>
      <c r="B14812" s="1">
        <v>0</v>
      </c>
      <c r="C14812" s="3">
        <v>44526.922071759262</v>
      </c>
      <c r="D14812" s="1" t="s">
        <v>29199</v>
      </c>
      <c r="E14812" s="1" t="str">
        <f ca="1">IFERROR(__xludf.DUMMYFUNCTION("GOOGLETRANSLATE(A11611 , ""tr"" , ""en"")"),"@drfahrettinkoca 😳 https://t.co/anqshr40q3")</f>
        <v>@drfahrettinkoca 😳 https://t.co/anqshr40q3</v>
      </c>
    </row>
    <row r="14813" spans="1:5" ht="15" customHeight="1" x14ac:dyDescent="0.2">
      <c r="A14813" s="1" t="s">
        <v>29200</v>
      </c>
      <c r="B14813" s="1">
        <v>1</v>
      </c>
      <c r="C14813" s="3">
        <v>44526.917326388888</v>
      </c>
      <c r="D14813" s="1" t="s">
        <v>29201</v>
      </c>
      <c r="E14813" s="1" t="str">
        <f ca="1">IFERROR(__xludf.DUMMYFUNCTION("GOOGLETRANSLATE(A11612 , ""tr"" , ""en"")"),"@drfahrettinka pu ha ha haaaaaa. It is unnecessary to write another answer to that")</f>
        <v>@drfahrettinka pu ha ha haaaaaa. It is unnecessary to write another answer to that</v>
      </c>
    </row>
    <row r="14814" spans="1:5" ht="15" customHeight="1" x14ac:dyDescent="0.2">
      <c r="A14814" s="1" t="s">
        <v>29202</v>
      </c>
      <c r="B14814" s="1">
        <v>0</v>
      </c>
      <c r="C14814" s="3">
        <v>44526.913958333331</v>
      </c>
      <c r="D14814" s="1" t="s">
        <v>29203</v>
      </c>
      <c r="E14814" s="1" t="str">
        <f ca="1">IFERROR(__xludf.DUMMYFUNCTION("GOOGLETRANSLATE(A11613 , ""tr"" , ""en"")"),"@drfahrettinkoca The question I want to ask is that the death reports of people who die from Covid19 are different reasons to death reports ... https://t.co/ozhezhixxj")</f>
        <v>@drfahrettinkoca The question I want to ask is that the death reports of people who die from Covid19 are different reasons to death reports ... https://t.co/ozhezhixxj</v>
      </c>
    </row>
    <row r="14815" spans="1:5" ht="15" customHeight="1" x14ac:dyDescent="0.2">
      <c r="A14815" s="1" t="s">
        <v>29204</v>
      </c>
      <c r="B14815" s="1">
        <v>17</v>
      </c>
      <c r="C14815" s="3">
        <v>44526.905023148145</v>
      </c>
      <c r="D14815" s="1" t="s">
        <v>29205</v>
      </c>
      <c r="E14815" s="1" t="str">
        <f ca="1">IFERROR(__xludf.DUMMYFUNCTION("GOOGLETRANSLATE(A11614 , ""tr"" , ""en"")"),"@drfahrettinkoca schools are not monitored, we would be in online education now")</f>
        <v>@drfahrettinkoca schools are not monitored, we would be in online education now</v>
      </c>
    </row>
    <row r="14816" spans="1:5" ht="15" customHeight="1" x14ac:dyDescent="0.2">
      <c r="A14816" s="1" t="s">
        <v>29206</v>
      </c>
      <c r="B14816" s="1">
        <v>2</v>
      </c>
      <c r="C14816" s="3">
        <v>44526.904965277776</v>
      </c>
      <c r="D14816" s="1" t="s">
        <v>29207</v>
      </c>
      <c r="E14816" s="1" t="str">
        <f ca="1">IFERROR(__xludf.DUMMYFUNCTION("GOOGLETRANSLATE(A11615 , ""tr"" , ""en"")"),"@drfahrettinkoca Mr. Ministry of BILMIC COPE COK Fariculous Calisating The effect of the effect of a pill in 2 years Anc ... https://t.co/zdz2bclwm1")</f>
        <v>@drfahrettinkoca Mr. Ministry of BILMIC COPE COK Fariculous Calisating The effect of the effect of a pill in 2 years Anc ... https://t.co/zdz2bclwm1</v>
      </c>
    </row>
    <row r="14817" spans="1:5" ht="15" customHeight="1" x14ac:dyDescent="0.2">
      <c r="A14817" s="1" t="s">
        <v>29208</v>
      </c>
      <c r="B14817" s="1">
        <v>0</v>
      </c>
      <c r="C14817" s="3">
        <v>44526.903298611112</v>
      </c>
      <c r="D14817" s="1" t="s">
        <v>29209</v>
      </c>
      <c r="E14817" s="1" t="str">
        <f ca="1">IFERROR(__xludf.DUMMYFUNCTION("GOOGLETRANSLATE(A11616 , ""tr"" , ""en"")"),"@drfahrettinkoca now 1 hour after 1 hour then you throw the new variant Twete. Vaccine Minister immediately quit. Enough ... It's out of their lies. 🙃")</f>
        <v>@drfahrettinkoca now 1 hour after 1 hour then you throw the new variant Twete. Vaccine Minister immediately quit. Enough ... It's out of their lies. 🙃</v>
      </c>
    </row>
    <row r="14818" spans="1:5" ht="15" customHeight="1" x14ac:dyDescent="0.2">
      <c r="A14818" s="1" t="s">
        <v>29210</v>
      </c>
      <c r="B14818" s="1">
        <v>0</v>
      </c>
      <c r="C14818" s="3">
        <v>44526.901990740742</v>
      </c>
      <c r="D14818" s="1" t="s">
        <v>29211</v>
      </c>
      <c r="E14818" s="1" t="str">
        <f ca="1">IFERROR(__xludf.DUMMYFUNCTION("GOOGLETRANSLATE(A11617 , ""tr"" , ""en"")"),"@drfahrettinka @drfahrettinkoca is subject to the fact that the nation closes the doors we turn on to our departure We are accustomed to our ... https://t.co/5bxszu2xy4")</f>
        <v>@drfahrettinka @drfahrettinkoca is subject to the fact that the nation closes the doors we turn on to our departure We are accustomed to our ... https://t.co/5bxszu2xy4</v>
      </c>
    </row>
    <row r="14819" spans="1:5" ht="15" customHeight="1" x14ac:dyDescent="0.2">
      <c r="A14819" s="1" t="s">
        <v>29212</v>
      </c>
      <c r="B14819" s="1">
        <v>4</v>
      </c>
      <c r="C14819" s="3">
        <v>44526.901655092595</v>
      </c>
      <c r="D14819" s="1" t="s">
        <v>29213</v>
      </c>
      <c r="E14819" s="1" t="str">
        <f ca="1">IFERROR(__xludf.DUMMYFUNCTION("GOOGLETRANSLATE(A11618 , ""tr"" , ""en"")"),"@drfahrettinkoca You want us to take out the idea of ​​the epidemic and make a living in this way? Y ... https://t.co/riy2cxmbj8")</f>
        <v>@drfahrettinkoca You want us to take out the idea of ​​the epidemic and make a living in this way? Y ... https://t.co/riy2cxmbj8</v>
      </c>
    </row>
    <row r="14820" spans="1:5" ht="15" customHeight="1" x14ac:dyDescent="0.2">
      <c r="A14820" s="1" t="s">
        <v>29214</v>
      </c>
      <c r="B14820" s="1">
        <v>10</v>
      </c>
      <c r="C14820" s="3">
        <v>44526.900868055556</v>
      </c>
      <c r="D14820" s="1" t="s">
        <v>29215</v>
      </c>
      <c r="E14820" s="1" t="str">
        <f ca="1">IFERROR(__xludf.DUMMYFUNCTION("GOOGLETRANSLATE(A11619 , ""tr"" , ""en"")"),"@drfahrettinkoca If you arrest all members of that board and finish the story of the epidemic, this is ... https://t.co/cxrlzytgnn")</f>
        <v>@drfahrettinkoca If you arrest all members of that board and finish the story of the epidemic, this is ... https://t.co/cxrlzytgnn</v>
      </c>
    </row>
    <row r="14821" spans="1:5" ht="15" customHeight="1" x14ac:dyDescent="0.2">
      <c r="A14821" s="1" t="s">
        <v>29216</v>
      </c>
      <c r="B14821" s="1">
        <v>4</v>
      </c>
      <c r="C14821" s="3">
        <v>44526.898726851854</v>
      </c>
      <c r="D14821" s="1" t="s">
        <v>29217</v>
      </c>
      <c r="E14821" s="1" t="str">
        <f ca="1">IFERROR(__xludf.DUMMYFUNCTION("GOOGLETRANSLATE(A11620 , ""tr"" , ""en"")"),"@drfahrettinkoca Science Board NO NO SHE IN SA NO YOU ALL YOU ALL YOU ALL YOU HAVE TO BREAK FOR HUMANYLINE IT ... https://t.co/bhew7e6g9m")</f>
        <v>@drfahrettinkoca Science Board NO NO SHE IN SA NO YOU ALL YOU ALL YOU ALL YOU HAVE TO BREAK FOR HUMANYLINE IT ... https://t.co/bhew7e6g9m</v>
      </c>
    </row>
    <row r="14822" spans="1:5" ht="15" customHeight="1" x14ac:dyDescent="0.2">
      <c r="A14822" s="1" t="s">
        <v>29218</v>
      </c>
      <c r="B14822" s="1">
        <v>0</v>
      </c>
      <c r="C14822" s="3">
        <v>44526.898217592592</v>
      </c>
      <c r="D14822" s="1" t="s">
        <v>29219</v>
      </c>
      <c r="E14822" s="1" t="str">
        <f ca="1">IFERROR(__xludf.DUMMYFUNCTION("GOOGLETRANSLATE(A11621 , ""tr"" , ""en"")"),"@drfahrettinkoca used to be closing the reputations were closed everyone else was in their city so it wasn't so crowded ... https://t.co/4osaekzuxs")</f>
        <v>@drfahrettinkoca used to be closing the reputations were closed everyone else was in their city so it wasn't so crowded ... https://t.co/4osaekzuxs</v>
      </c>
    </row>
    <row r="14823" spans="1:5" ht="15" customHeight="1" x14ac:dyDescent="0.2">
      <c r="A14823" s="1" t="s">
        <v>29220</v>
      </c>
      <c r="B14823" s="1">
        <v>3</v>
      </c>
      <c r="C14823" s="3">
        <v>44526.887858796297</v>
      </c>
      <c r="D14823" s="1" t="s">
        <v>29221</v>
      </c>
      <c r="E14823" s="1" t="str">
        <f ca="1">IFERROR(__xludf.DUMMYFUNCTION("GOOGLETRANSLATE(A11622 , ""tr"" , ""en"")"),"@drfahrettinkoca #velilileronlinistinistinistor #VeliSlineliStransThouses #OxollarVirueshaneUldu # RemoteWall ... https://t.co/Imfioaz2ce")</f>
        <v>@drfahrettinkoca #velilileronlinistinistinistor #VeliSlineliStransThouses #OxollarVirueshaneUldu # RemoteWall ... https://t.co/Imfioaz2ce</v>
      </c>
    </row>
    <row r="14824" spans="1:5" ht="15" customHeight="1" x14ac:dyDescent="0.2">
      <c r="A14824" s="1" t="s">
        <v>29222</v>
      </c>
      <c r="B14824" s="1">
        <v>1</v>
      </c>
      <c r="C14824" s="3">
        <v>44526.887013888889</v>
      </c>
      <c r="D14824" s="1" t="s">
        <v>29223</v>
      </c>
      <c r="E14824" s="1" t="str">
        <f ca="1">IFERROR(__xludf.DUMMYFUNCTION("GOOGLETRANSLATE(A11623 , ""tr"" , ""en"")"),"@drfahrettinkoca no longer seriously bored these lies so are real cases so they can't be real cases in Istanbul ... https://t.co/2z3yt6uxay")</f>
        <v>@drfahrettinkoca no longer seriously bored these lies so are real cases so they can't be real cases in Istanbul ... https://t.co/2z3yt6uxay</v>
      </c>
    </row>
    <row r="14825" spans="1:5" ht="15" customHeight="1" x14ac:dyDescent="0.2">
      <c r="A14825" s="1" t="s">
        <v>29224</v>
      </c>
      <c r="B14825" s="1">
        <v>7</v>
      </c>
      <c r="C14825" s="3">
        <v>44526.88653935185</v>
      </c>
      <c r="D14825" s="1" t="s">
        <v>29225</v>
      </c>
      <c r="E14825" s="1" t="str">
        <f ca="1">IFERROR(__xludf.DUMMYFUNCTION("GOOGLETRANSLATE(A11624 , ""tr"" , ""en"")"),"@drfahrettinkoca Staying at school dormitory no precautions Disinfectant boxes are sometimes full of students very nad ... https://t.co/ycxdaigs5j")</f>
        <v>@drfahrettinkoca Staying at school dormitory no precautions Disinfectant boxes are sometimes full of students very nad ... https://t.co/ycxdaigs5j</v>
      </c>
    </row>
    <row r="14826" spans="1:5" ht="15" customHeight="1" x14ac:dyDescent="0.2">
      <c r="A14826" s="1" t="s">
        <v>29226</v>
      </c>
      <c r="B14826" s="1">
        <v>8</v>
      </c>
      <c r="C14826" s="3">
        <v>44526.885381944441</v>
      </c>
      <c r="D14826" s="1" t="s">
        <v>29227</v>
      </c>
      <c r="E14826" s="1" t="str">
        <f ca="1">IFERROR(__xludf.DUMMYFUNCTION("GOOGLETRANSLATE(A11625 , ""tr"" , ""en"")"),"@drfahrettinkoca Full Closure Reduce the following cases Seriously if I don't have the minister if I have the fact that my vaccinations are full ... https://t.co/kkxxhvmb0b")</f>
        <v>@drfahrettinkoca Full Closure Reduce the following cases Seriously if I don't have the minister if I have the fact that my vaccinations are full ... https://t.co/kkxxhvmb0b</v>
      </c>
    </row>
    <row r="14827" spans="1:5" ht="15" customHeight="1" x14ac:dyDescent="0.2">
      <c r="A14827" s="1" t="s">
        <v>29228</v>
      </c>
      <c r="B14827" s="1">
        <v>4</v>
      </c>
      <c r="C14827" s="3">
        <v>44526.885381944441</v>
      </c>
      <c r="D14827" s="1" t="s">
        <v>29229</v>
      </c>
      <c r="E14827" s="1" t="str">
        <f ca="1">IFERROR(__xludf.DUMMYFUNCTION("GOOGLETRANSLATE(A11626 , ""tr"" , ""en"")"),"@drfahrettinkoca Countries say National Problem You trust the fact that they are not evident that they don't have a great deal ... HTTPS://T.CO/MLCRQBSPJI")</f>
        <v>@drfahrettinkoca Countries say National Problem You trust the fact that they are not evident that they don't have a great deal ... HTTPS://T.CO/MLCRQBSPJI</v>
      </c>
    </row>
    <row r="14828" spans="1:5" ht="15" customHeight="1" x14ac:dyDescent="0.2">
      <c r="A14828" s="1" t="s">
        <v>29230</v>
      </c>
      <c r="B14828" s="1">
        <v>1</v>
      </c>
      <c r="C14828" s="3">
        <v>44526.88517361111</v>
      </c>
      <c r="D14828" s="1" t="s">
        <v>29231</v>
      </c>
      <c r="E14828" s="1" t="str">
        <f ca="1">IFERROR(__xludf.DUMMYFUNCTION("GOOGLETRANSLATE(A11627 , ""tr"" , ""en"")"),"@drfahrettinkoca has no epidemic on our agenda. Life has expensive. Distribute D votamine to people where you will be moody talk.")</f>
        <v>@drfahrettinkoca has no epidemic on our agenda. Life has expensive. Distribute D votamine to people where you will be moody talk.</v>
      </c>
    </row>
    <row r="14829" spans="1:5" ht="15" customHeight="1" x14ac:dyDescent="0.2">
      <c r="A14829" s="1" t="s">
        <v>29232</v>
      </c>
      <c r="B14829" s="1">
        <v>0</v>
      </c>
      <c r="C14829" s="3">
        <v>44528.843182870369</v>
      </c>
      <c r="D14829" s="1" t="s">
        <v>29233</v>
      </c>
      <c r="E14829" s="1" t="str">
        <f ca="1">IFERROR(__xludf.DUMMYFUNCTION("GOOGLETRANSLATE(A11628 , ""tr"" , ""en"")"),"@drfahrettinkoca @rterdogan fahrettin teacher, if you add the expertise exam to the system, if you add the tusa service score to the system ... https://t.co/qcyhxqmh7s")</f>
        <v>@drfahrettinkoca @rterdogan fahrettin teacher, if you add the expertise exam to the system, if you add the tusa service score to the system ... https://t.co/qcyhxqmh7s</v>
      </c>
    </row>
    <row r="14830" spans="1:5" ht="15" customHeight="1" x14ac:dyDescent="0.2">
      <c r="A14830" s="1" t="s">
        <v>29234</v>
      </c>
      <c r="B14830" s="1">
        <v>1</v>
      </c>
      <c r="C14830" s="3">
        <v>44525.991238425922</v>
      </c>
      <c r="D14830" s="1" t="s">
        <v>29235</v>
      </c>
      <c r="E14830" s="1" t="str">
        <f ca="1">IFERROR(__xludf.DUMMYFUNCTION("GOOGLETRANSLATE(A11629 , ""tr"" , ""en"")"),"@drfahrettinkoca @ Milli_1980 Mr. Health Minister has a psychiatric disorder of this citizen attacking the doctor ... https://t.co/uybfuuafzm")</f>
        <v>@drfahrettinkoca @ Milli_1980 Mr. Health Minister has a psychiatric disorder of this citizen attacking the doctor ... https://t.co/uybfuuafzm</v>
      </c>
    </row>
    <row r="14831" spans="1:5" ht="15" customHeight="1" x14ac:dyDescent="0.2">
      <c r="A14831" s="1" t="s">
        <v>29236</v>
      </c>
      <c r="B14831" s="1">
        <v>0</v>
      </c>
      <c r="C14831" s="3">
        <v>44525.985648148147</v>
      </c>
      <c r="D14831" s="1" t="s">
        <v>29237</v>
      </c>
      <c r="E14831" s="1" t="str">
        <f ca="1">IFERROR(__xludf.DUMMYFUNCTION("GOOGLETRANSLATE(A11630 , ""tr"" , ""en"")"),"@drfahrettinkoca can attack any one with psychiatric disorder. This is not the subject of violence in health. M ... https://t.co/jr2ixq6pa6")</f>
        <v>@drfahrettinkoca can attack any one with psychiatric disorder. This is not the subject of violence in health. M ... https://t.co/jr2ixq6pa6</v>
      </c>
    </row>
    <row r="14832" spans="1:5" ht="15" customHeight="1" x14ac:dyDescent="0.2">
      <c r="A14832" s="1" t="s">
        <v>29238</v>
      </c>
      <c r="B14832" s="1">
        <v>5</v>
      </c>
      <c r="C14832" s="3">
        <v>44525.968634259261</v>
      </c>
      <c r="D14832" s="1" t="s">
        <v>29239</v>
      </c>
      <c r="E14832" s="1" t="str">
        <f ca="1">IFERROR(__xludf.DUMMYFUNCTION("GOOGLETRANSLATE(A11631 , ""tr"" , ""en"")"),"@drfahrettinkoca Minister of Guide")</f>
        <v>@drfahrettinkoca Minister of Guide</v>
      </c>
    </row>
    <row r="14833" spans="1:5" ht="15" customHeight="1" x14ac:dyDescent="0.2">
      <c r="A14833" s="1" t="s">
        <v>29240</v>
      </c>
      <c r="B14833" s="1">
        <v>0</v>
      </c>
      <c r="C14833" s="3">
        <v>44525.965879629628</v>
      </c>
      <c r="D14833" s="1" t="s">
        <v>29241</v>
      </c>
      <c r="E14833" s="1" t="str">
        <f ca="1">IFERROR(__xludf.DUMMYFUNCTION("GOOGLETRANSLATE(A11632 , ""tr"" , ""en"")"),"Sick of @drfahrettinka folks is guy that you are a baked from you")</f>
        <v>Sick of @drfahrettinka folks is guy that you are a baked from you</v>
      </c>
    </row>
    <row r="14834" spans="1:5" ht="15" customHeight="1" x14ac:dyDescent="0.2">
      <c r="A14834" s="1" t="s">
        <v>29242</v>
      </c>
      <c r="B14834" s="1">
        <v>4</v>
      </c>
      <c r="C14834" s="3">
        <v>44525.965543981481</v>
      </c>
      <c r="D14834" s="1" t="s">
        <v>29243</v>
      </c>
      <c r="E14834" s="1" t="str">
        <f ca="1">IFERROR(__xludf.DUMMYFUNCTION("GOOGLETRANSLATE(A11633 , ""tr"" , ""en"")"),"@drfahrettinkoca get more explanatory ... as if the doctor and health workers are sinless errorless, the Prophet is also the homeland ... https://t.co/7eavlpevsp")</f>
        <v>@drfahrettinkoca get more explanatory ... as if the doctor and health workers are sinless errorless, the Prophet is also the homeland ... https://t.co/7eavlpevsp</v>
      </c>
    </row>
    <row r="14835" spans="1:5" ht="15" customHeight="1" x14ac:dyDescent="0.2">
      <c r="A14835" s="1" t="s">
        <v>29244</v>
      </c>
      <c r="B14835" s="1">
        <v>0</v>
      </c>
      <c r="C14835" s="3">
        <v>44525.965115740742</v>
      </c>
      <c r="D14835" s="1" t="s">
        <v>29245</v>
      </c>
      <c r="E14835" s="1" t="str">
        <f ca="1">IFERROR(__xludf.DUMMYFUNCTION("GOOGLETRANSLATE(A11634 , ""tr"" , ""en"")"),"@drfahrettinkoca Mr. Ministry of Minister You are also a little bit we think of the people OK Saglik Employees Head Tracea ... https://t.co/EHIEVYBWHD")</f>
        <v>@drfahrettinkoca Mr. Ministry of Minister You are also a little bit we think of the people OK Saglik Employees Head Tracea ... https://t.co/EHIEVYBWHD</v>
      </c>
    </row>
    <row r="14836" spans="1:5" ht="15" customHeight="1" x14ac:dyDescent="0.2">
      <c r="A14836" s="1" t="s">
        <v>29246</v>
      </c>
      <c r="B14836" s="1">
        <v>0</v>
      </c>
      <c r="C14836" s="3">
        <v>44525.962395833332</v>
      </c>
      <c r="D14836" s="1" t="s">
        <v>29247</v>
      </c>
      <c r="E14836" s="1" t="str">
        <f ca="1">IFERROR(__xludf.DUMMYFUNCTION("GOOGLETRANSLATE(A11635 , ""tr"" , ""en"")"),"@drfahrettinkoca The forced vaccines mask is the bullying of you and the team in the people who are dismissed in the mask ... https://t.co/x3lzzeekuu")</f>
        <v>@drfahrettinkoca The forced vaccines mask is the bullying of you and the team in the people who are dismissed in the mask ... https://t.co/x3lzzeekuu</v>
      </c>
    </row>
    <row r="14837" spans="1:5" ht="15" customHeight="1" x14ac:dyDescent="0.2">
      <c r="A14837" s="1" t="s">
        <v>29248</v>
      </c>
      <c r="B14837" s="1">
        <v>13</v>
      </c>
      <c r="C14837" s="3">
        <v>44525.959918981483</v>
      </c>
      <c r="D14837" s="1" t="s">
        <v>29249</v>
      </c>
      <c r="E14837" s="1" t="str">
        <f ca="1">IFERROR(__xludf.DUMMYFUNCTION("GOOGLETRANSLATE(A11636 , ""tr"" , ""en"")"),"@drfahrettinkoca Diyarbakırlı As 82 percent report with heavy asthma chronic bronsectasi, be bad ... https://t.co/BIDMOETY06")</f>
        <v>@drfahrettinkoca Diyarbakırlı As 82 percent report with heavy asthma chronic bronsectasi, be bad ... https://t.co/BIDMOETY06</v>
      </c>
    </row>
    <row r="14838" spans="1:5" ht="15" customHeight="1" x14ac:dyDescent="0.2">
      <c r="A14838" s="1" t="s">
        <v>29250</v>
      </c>
      <c r="B14838" s="1">
        <v>0</v>
      </c>
      <c r="C14838" s="3">
        <v>44525.959074074075</v>
      </c>
      <c r="D14838" s="1" t="s">
        <v>29251</v>
      </c>
      <c r="E14838" s="1" t="str">
        <f ca="1">IFERROR(__xludf.DUMMYFUNCTION("GOOGLETRANSLATE(A11637 , ""tr"" , ""en"")"),"@drfahrettinkoca Lawyers take action All doctors participating in biodegradation should be judged")</f>
        <v>@drfahrettinkoca Lawyers take action All doctors participating in biodegradation should be judged</v>
      </c>
    </row>
    <row r="14839" spans="1:5" ht="15" customHeight="1" x14ac:dyDescent="0.2">
      <c r="A14839" s="1" t="s">
        <v>29252</v>
      </c>
      <c r="B14839" s="1">
        <v>0</v>
      </c>
      <c r="C14839" s="3">
        <v>44525.956550925926</v>
      </c>
      <c r="D14839" s="1" t="s">
        <v>29253</v>
      </c>
      <c r="E14839" s="1" t="str">
        <f ca="1">IFERROR(__xludf.DUMMYFUNCTION("GOOGLETRANSLATE(A11638 , ""tr"" , ""en"")"),"@drfahrettinkoca you would do this before they discredit doctors")</f>
        <v>@drfahrettinkoca you would do this before they discredit doctors</v>
      </c>
    </row>
    <row r="14840" spans="1:5" ht="15" customHeight="1" x14ac:dyDescent="0.2">
      <c r="A14840" s="1" t="s">
        <v>29254</v>
      </c>
      <c r="B14840" s="1">
        <v>0</v>
      </c>
      <c r="C14840" s="3">
        <v>44525.953946759262</v>
      </c>
      <c r="D14840" s="1" t="s">
        <v>29255</v>
      </c>
      <c r="E14840" s="1" t="str">
        <f ca="1">IFERROR(__xludf.DUMMYFUNCTION("GOOGLETRANSLATE(A11639 , ""tr"" , ""en"")"),"@drfahrettinka https://t.co/oixq4uprut https://t.co/lxahwqqug6")</f>
        <v>@drfahrettinka https://t.co/oixq4uprut https://t.co/lxahwqqug6</v>
      </c>
    </row>
    <row r="14841" spans="1:5" ht="15" customHeight="1" x14ac:dyDescent="0.2">
      <c r="A14841" s="1" t="s">
        <v>29256</v>
      </c>
      <c r="B14841" s="1">
        <v>0</v>
      </c>
      <c r="C14841" s="3">
        <v>44525.947025462963</v>
      </c>
      <c r="D14841" s="1" t="s">
        <v>29257</v>
      </c>
      <c r="E14841" s="1" t="str">
        <f ca="1">IFERROR(__xludf.DUMMYFUNCTION("GOOGLETRANSLATE(A11640 , ""tr"" , ""en"")"),"@drfahrettinkoca This goes in Ulke will not remain a doctor")</f>
        <v>@drfahrettinkoca This goes in Ulke will not remain a doctor</v>
      </c>
    </row>
    <row r="14842" spans="1:5" ht="15" customHeight="1" x14ac:dyDescent="0.2">
      <c r="A14842" s="1" t="s">
        <v>29258</v>
      </c>
      <c r="B14842" s="1">
        <v>0</v>
      </c>
      <c r="C14842" s="3">
        <v>44525.945486111108</v>
      </c>
      <c r="D14842" s="1" t="s">
        <v>29259</v>
      </c>
      <c r="E14842" s="1" t="str">
        <f ca="1">IFERROR(__xludf.DUMMYFUNCTION("GOOGLETRANSLATE(A11641 , ""tr"" , ""en"")"),"@drfahrettinkoca private hospitals Owner Fahrettin Bey .. https://t.co/qdqqılgugl")</f>
        <v>@drfahrettinkoca private hospitals Owner Fahrettin Bey .. https://t.co/qdqqılgugl</v>
      </c>
    </row>
    <row r="14843" spans="1:5" ht="15" customHeight="1" x14ac:dyDescent="0.2">
      <c r="A14843" s="1" t="s">
        <v>29260</v>
      </c>
      <c r="B14843" s="1">
        <v>2</v>
      </c>
      <c r="C14843" s="3">
        <v>44525.942129629628</v>
      </c>
      <c r="D14843" s="1" t="s">
        <v>29261</v>
      </c>
      <c r="E14843" s="1" t="str">
        <f ca="1">IFERROR(__xludf.DUMMYFUNCTION("GOOGLETRANSLATE(A11642 , ""tr"" , ""en"")"),"@drfahrettinkoca If this Law is to go on when you are going to act for you too")</f>
        <v>@drfahrettinkoca If this Law is to go on when you are going to act for you too</v>
      </c>
    </row>
    <row r="14844" spans="1:5" ht="15" customHeight="1" x14ac:dyDescent="0.2">
      <c r="A14844" s="1" t="s">
        <v>29262</v>
      </c>
      <c r="B14844" s="1">
        <v>11</v>
      </c>
      <c r="C14844" s="3">
        <v>44525.942013888889</v>
      </c>
      <c r="D14844" s="1" t="s">
        <v>29263</v>
      </c>
      <c r="E14844" s="1" t="str">
        <f ca="1">IFERROR(__xludf.DUMMYFUNCTION("GOOGLETRANSLATE(A11643 , ""tr"" , ""en"")"),"@drfahrettinkoca Reviews, Like your gesture, the folks are not interested in your tweet, people are waiting for assignment. ... https://t.co/63q9ibnwpd")</f>
        <v>@drfahrettinkoca Reviews, Like your gesture, the folks are not interested in your tweet, people are waiting for assignment. ... https://t.co/63q9ibnwpd</v>
      </c>
    </row>
    <row r="14845" spans="1:5" ht="15" customHeight="1" x14ac:dyDescent="0.2">
      <c r="A14845" s="1" t="s">
        <v>29264</v>
      </c>
      <c r="B14845" s="1">
        <v>0</v>
      </c>
      <c r="C14845" s="3">
        <v>44525.93886574074</v>
      </c>
      <c r="D14845" s="1" t="s">
        <v>29265</v>
      </c>
      <c r="E14845" s="1" t="str">
        <f ca="1">IFERROR(__xludf.DUMMYFUNCTION("GOOGLETRANSLATE(A11644 , ""tr"" , ""en"")"),"@drfahrettinkoca so ever something did not do anything, everything is on the Lafta # Health")</f>
        <v>@drfahrettinkoca so ever something did not do anything, everything is on the Lafta # Health</v>
      </c>
    </row>
    <row r="14846" spans="1:5" ht="15" customHeight="1" x14ac:dyDescent="0.2">
      <c r="A14846" s="1" t="s">
        <v>29266</v>
      </c>
      <c r="B14846" s="1">
        <v>0</v>
      </c>
      <c r="C14846" s="3">
        <v>44525.936412037037</v>
      </c>
      <c r="D14846" s="1" t="s">
        <v>29267</v>
      </c>
      <c r="E14846" s="1" t="str">
        <f ca="1">IFERROR(__xludf.DUMMYFUNCTION("GOOGLETRANSLATE(A11645 , ""tr"" , ""en"")"),"@drfahrettinkoca What is the details of the case COK Ozel")</f>
        <v>@drfahrettinkoca What is the details of the case COK Ozel</v>
      </c>
    </row>
    <row r="14847" spans="1:5" ht="15" customHeight="1" x14ac:dyDescent="0.2">
      <c r="A14847" s="1" t="s">
        <v>29268</v>
      </c>
      <c r="B14847" s="1">
        <v>2</v>
      </c>
      <c r="C14847" s="3">
        <v>44525.935266203705</v>
      </c>
      <c r="D14847" s="1" t="s">
        <v>29269</v>
      </c>
      <c r="E14847" s="1" t="str">
        <f ca="1">IFERROR(__xludf.DUMMYFUNCTION("GOOGLETRANSLATE(A11646 , ""tr"" , ""en"")"),"@drfahrettinkoca you are groundbreaking in health or in charge of you")</f>
        <v>@drfahrettinkoca you are groundbreaking in health or in charge of you</v>
      </c>
    </row>
    <row r="14848" spans="1:5" ht="15" customHeight="1" x14ac:dyDescent="0.2">
      <c r="A14848" s="1" t="s">
        <v>29270</v>
      </c>
      <c r="B14848" s="1">
        <v>1</v>
      </c>
      <c r="C14848" s="3">
        <v>44525.934282407405</v>
      </c>
      <c r="D14848" s="1" t="s">
        <v>29271</v>
      </c>
      <c r="E14848" s="1" t="str">
        <f ca="1">IFERROR(__xludf.DUMMYFUNCTION("GOOGLETRANSLATE(A11647 , ""tr"" , ""en"")"),"@drfahrettinkoca if you want to put it off smutty if you want to cease the water pandemine sacema")</f>
        <v>@drfahrettinkoca if you want to put it off smutty if you want to cease the water pandemine sacema</v>
      </c>
    </row>
    <row r="14849" spans="1:5" ht="15" customHeight="1" x14ac:dyDescent="0.2">
      <c r="A14849" s="1" t="s">
        <v>29272</v>
      </c>
      <c r="B14849" s="1">
        <v>0</v>
      </c>
      <c r="C14849" s="3">
        <v>44525.931261574071</v>
      </c>
      <c r="D14849" s="1" t="s">
        <v>29273</v>
      </c>
      <c r="E14849" s="1" t="str">
        <f ca="1">IFERROR(__xludf.DUMMYFUNCTION("GOOGLETRANSLATE(A11648 , ""tr"" , ""en"")"),"@drfahrettinkoca Introduction to God in the hospital in the hospital, as well as the Introduction to Male and Male Cops or X-Ray to AVMs ... https://t.co/abthw0mt3I")</f>
        <v>@drfahrettinkoca Introduction to God in the hospital in the hospital, as well as the Introduction to Male and Male Cops or X-Ray to AVMs ... https://t.co/abthw0mt3I</v>
      </c>
    </row>
    <row r="14850" spans="1:5" ht="15" customHeight="1" x14ac:dyDescent="0.2">
      <c r="A14850" s="1" t="s">
        <v>29274</v>
      </c>
      <c r="B14850" s="1">
        <v>0</v>
      </c>
      <c r="C14850" s="3">
        <v>44525.930590277778</v>
      </c>
      <c r="D14850" s="1" t="s">
        <v>29275</v>
      </c>
      <c r="E14850" s="1" t="str">
        <f ca="1">IFERROR(__xludf.DUMMYFUNCTION("GOOGLETRANSLATE(A11649 , ""tr"" , ""en"")"),"@drfahrettinkoca May the law be out for violent crime against each institution's own staff. Even institutions own ... https://t.co/O80CGNTQLI")</f>
        <v>@drfahrettinkoca May the law be out for violent crime against each institution's own staff. Even institutions own ... https://t.co/O80CGNTQLI</v>
      </c>
    </row>
    <row r="14851" spans="1:5" ht="15" customHeight="1" x14ac:dyDescent="0.2">
      <c r="A14851" s="1" t="s">
        <v>29276</v>
      </c>
      <c r="B14851" s="1">
        <v>0</v>
      </c>
      <c r="C14851" s="3">
        <v>44525.929988425924</v>
      </c>
      <c r="D14851" s="1" t="s">
        <v>29277</v>
      </c>
      <c r="E14851" s="1" t="str">
        <f ca="1">IFERROR(__xludf.DUMMYFUNCTION("GOOGLETRANSLATE(A11650 , ""tr"" , ""en"")"),"@drfahrettinkoca With the death medicine he removed from his own company After the death medicine is in the number of violence to my healthcareists ... https://t.co/ixywgcbvbn")</f>
        <v>@drfahrettinkoca With the death medicine he removed from his own company After the death medicine is in the number of violence to my healthcareists ... https://t.co/ixywgcbvbn</v>
      </c>
    </row>
    <row r="14852" spans="1:5" ht="15" customHeight="1" x14ac:dyDescent="0.2">
      <c r="A14852" s="1" t="s">
        <v>29278</v>
      </c>
      <c r="B14852" s="1">
        <v>0</v>
      </c>
      <c r="C14852" s="3">
        <v>44525.929826388892</v>
      </c>
      <c r="D14852" s="1" t="s">
        <v>29279</v>
      </c>
      <c r="E14852" s="1" t="str">
        <f ca="1">IFERROR(__xludf.DUMMYFUNCTION("GOOGLETRANSLATE(A11651 , ""tr"" , ""en"")"),"@drfahrettinkoca you didn't say the HOCAM ASI you need to scatter immediately you don't leave Diaarface ASI ASI")</f>
        <v>@drfahrettinkoca you didn't say the HOCAM ASI you need to scatter immediately you don't leave Diaarface ASI ASI</v>
      </c>
    </row>
    <row r="14853" spans="1:5" ht="15" customHeight="1" x14ac:dyDescent="0.2">
      <c r="A14853" s="1" t="s">
        <v>29280</v>
      </c>
      <c r="B14853" s="1">
        <v>0</v>
      </c>
      <c r="C14853" s="3">
        <v>44525.92765046296</v>
      </c>
      <c r="D14853" s="1" t="s">
        <v>29281</v>
      </c>
      <c r="E14853" s="1" t="str">
        <f ca="1">IFERROR(__xludf.DUMMYFUNCTION("GOOGLETRANSLATE(A11652 , ""tr"" , ""en"")"),"@drfahrettinkoca give us history our stomach is our duntles We are saturated to you we are the confidence that you are 2_3 months outdoor ... https://t.co/ggeoeldbw9")</f>
        <v>@drfahrettinkoca give us history our stomach is our duntles We are saturated to you we are the confidence that you are 2_3 months outdoor ... https://t.co/ggeoeldbw9</v>
      </c>
    </row>
    <row r="14854" spans="1:5" ht="15" customHeight="1" x14ac:dyDescent="0.2">
      <c r="A14854" s="1" t="s">
        <v>29282</v>
      </c>
      <c r="B14854" s="1">
        <v>0</v>
      </c>
      <c r="C14854" s="3">
        <v>44525.927118055559</v>
      </c>
      <c r="D14854" s="1" t="s">
        <v>29283</v>
      </c>
      <c r="E14854" s="1" t="str">
        <f ca="1">IFERROR(__xludf.DUMMYFUNCTION("GOOGLETRANSLATE(A11653 , ""tr"" , ""en"")"),"@drfahrettinkoca We are afraid of every patient who entered the door is it so hard to understand that? Taking precautions ... https://t.co/ju0pyIfjqt")</f>
        <v>@drfahrettinkoca We are afraid of every patient who entered the door is it so hard to understand that? Taking precautions ... https://t.co/ju0pyIfjqt</v>
      </c>
    </row>
    <row r="14855" spans="1:5" ht="15" customHeight="1" x14ac:dyDescent="0.2">
      <c r="A14855" s="1" t="s">
        <v>29284</v>
      </c>
      <c r="B14855" s="1">
        <v>1</v>
      </c>
      <c r="C14855" s="3">
        <v>44525.925381944442</v>
      </c>
      <c r="D14855" s="1" t="s">
        <v>29285</v>
      </c>
      <c r="E14855" s="1" t="str">
        <f ca="1">IFERROR(__xludf.DUMMYFUNCTION("GOOGLETRANSLATE(A11654 , ""tr"" , ""en"")"),"@drfahrettinkoca eeee how much you will stall more than 1 year was 1 year no god i have no fear this kad ... https://t.co/f6mgquv0kf")</f>
        <v>@drfahrettinkoca eeee how much you will stall more than 1 year was 1 year no god i have no fear this kad ... https://t.co/f6mgquv0kf</v>
      </c>
    </row>
    <row r="14856" spans="1:5" ht="15" customHeight="1" x14ac:dyDescent="0.2">
      <c r="A14856" s="1" t="s">
        <v>29286</v>
      </c>
      <c r="B14856" s="1">
        <v>1</v>
      </c>
      <c r="C14856" s="3">
        <v>44525.924444444441</v>
      </c>
      <c r="D14856" s="1" t="s">
        <v>29287</v>
      </c>
      <c r="E14856" s="1" t="str">
        <f ca="1">IFERROR(__xludf.DUMMYFUNCTION("GOOGLETRANSLATE(A11655 , ""tr"" , ""en"")"),"@drfahrettinkoca 666 Fahrrettin Deminated Death Drugs from Atabay Pharmaceutical Company")</f>
        <v>@drfahrettinkoca 666 Fahrrettin Deminated Death Drugs from Atabay Pharmaceutical Company</v>
      </c>
    </row>
    <row r="14857" spans="1:5" ht="15" customHeight="1" x14ac:dyDescent="0.2">
      <c r="A14857" s="1" t="s">
        <v>29288</v>
      </c>
      <c r="B14857" s="1">
        <v>0</v>
      </c>
      <c r="C14857" s="3">
        <v>44525.924062500002</v>
      </c>
      <c r="D14857" s="1" t="s">
        <v>29289</v>
      </c>
      <c r="E14857" s="1" t="str">
        <f ca="1">IFERROR(__xludf.DUMMYFUNCTION("GOOGLETRANSLATE(A11656 , ""tr"" , ""en"")"),"@drfahrettinkoca Pre-weather The weather was sometimes yitladigi. Slightly Join the Arsina Sn ... https://t.co/00k1sqxfbd")</f>
        <v>@drfahrettinkoca Pre-weather The weather was sometimes yitladigi. Slightly Join the Arsina Sn ... https://t.co/00k1sqxfbd</v>
      </c>
    </row>
    <row r="14858" spans="1:5" ht="15" customHeight="1" x14ac:dyDescent="0.2">
      <c r="A14858" s="1" t="s">
        <v>29290</v>
      </c>
      <c r="B14858" s="1">
        <v>33</v>
      </c>
      <c r="C14858" s="3">
        <v>44525.923564814817</v>
      </c>
      <c r="D14858" s="1" t="s">
        <v>29291</v>
      </c>
      <c r="E14858" s="1" t="str">
        <f ca="1">IFERROR(__xludf.DUMMYFUNCTION("GOOGLETRANSLATE(A11657 , ""tr"" , ""en"")"),"@drfahrettinka is not a health violence that is forced on the mask at school is not a health violence.")</f>
        <v>@drfahrettinka is not a health violence that is forced on the mask at school is not a health violence.</v>
      </c>
    </row>
    <row r="14859" spans="1:5" ht="15" customHeight="1" x14ac:dyDescent="0.2">
      <c r="A14859" s="1" t="s">
        <v>29292</v>
      </c>
      <c r="B14859" s="1">
        <v>0</v>
      </c>
      <c r="C14859" s="3">
        <v>44525.922430555554</v>
      </c>
      <c r="D14859" s="1" t="s">
        <v>29293</v>
      </c>
      <c r="E14859" s="1" t="str">
        <f ca="1">IFERROR(__xludf.DUMMYFUNCTION("GOOGLETRANSLATE(A11658 , ""tr"" , ""en"")"),"@drfahrettinkoca will start from 50 years now")</f>
        <v>@drfahrettinkoca will start from 50 years now</v>
      </c>
    </row>
    <row r="14860" spans="1:5" ht="15" customHeight="1" x14ac:dyDescent="0.2">
      <c r="A14860" s="1" t="s">
        <v>29294</v>
      </c>
      <c r="B14860" s="1">
        <v>78</v>
      </c>
      <c r="C14860" s="3">
        <v>44525.920324074075</v>
      </c>
      <c r="D14860" s="1" t="s">
        <v>29295</v>
      </c>
      <c r="E14860" s="1" t="str">
        <f ca="1">IFERROR(__xludf.DUMMYFUNCTION("GOOGLETRANSLATE(A11659 , ""tr"" , ""en"")"),"@drfahrettinkoca Title by the title to show sensitivity to the healthpieces, but what about the nation? Every 3 ... https://t.co/0nxwk5yhdn")</f>
        <v>@drfahrettinkoca Title by the title to show sensitivity to the healthpieces, but what about the nation? Every 3 ... https://t.co/0nxwk5yhdn</v>
      </c>
    </row>
    <row r="14861" spans="1:5" ht="15" customHeight="1" x14ac:dyDescent="0.2">
      <c r="A14861" s="1" t="s">
        <v>29296</v>
      </c>
      <c r="B14861" s="1">
        <v>0</v>
      </c>
      <c r="C14861" s="3">
        <v>44525.918310185189</v>
      </c>
      <c r="D14861" s="1" t="s">
        <v>29297</v>
      </c>
      <c r="E14861" s="1" t="str">
        <f ca="1">IFERROR(__xludf.DUMMYFUNCTION("GOOGLETRANSLATE(A11660 , ""tr"" , ""en"")"),"@drfahrettinkoca Health Worker deserved, the balance of mind even understood ...")</f>
        <v>@drfahrettinkoca Health Worker deserved, the balance of mind even understood ...</v>
      </c>
    </row>
    <row r="14862" spans="1:5" ht="15" customHeight="1" x14ac:dyDescent="0.2">
      <c r="A14862" s="1" t="s">
        <v>29298</v>
      </c>
      <c r="B14862" s="1">
        <v>0</v>
      </c>
      <c r="C14862" s="3">
        <v>44525.917118055557</v>
      </c>
      <c r="D14862" s="1" t="s">
        <v>29299</v>
      </c>
      <c r="E14862" s="1" t="str">
        <f ca="1">IFERROR(__xludf.DUMMYFUNCTION("GOOGLETRANSLATE(A11661 , ""tr"" , ""en"")"),"If @drfahrettinkoca 🇹economics and training improves violence decreases, politicians should also comply with the laws. https://t.co/fzck0yabmr")</f>
        <v>If @drfahrettinkoca 🇹economics and training improves violence decreases, politicians should also comply with the laws. https://t.co/fzck0yabmr</v>
      </c>
    </row>
    <row r="14863" spans="1:5" ht="15" customHeight="1" x14ac:dyDescent="0.2">
      <c r="A14863" s="1" t="s">
        <v>29300</v>
      </c>
      <c r="B14863" s="1">
        <v>0</v>
      </c>
      <c r="C14863" s="3">
        <v>44525.916944444441</v>
      </c>
      <c r="D14863" s="1" t="s">
        <v>29301</v>
      </c>
      <c r="E14863" s="1" t="str">
        <f ca="1">IFERROR(__xludf.DUMMYFUNCTION("GOOGLETRANSLATE(A11662 , ""tr"" , ""en"")"),"@drfahrettinkoca is the aggressive double vaccine? Aggression is perhaps")</f>
        <v>@drfahrettinkoca is the aggressive double vaccine? Aggression is perhaps</v>
      </c>
    </row>
    <row r="14864" spans="1:5" ht="15" customHeight="1" x14ac:dyDescent="0.2">
      <c r="A14864" s="1" t="s">
        <v>29302</v>
      </c>
      <c r="B14864" s="1">
        <v>3</v>
      </c>
      <c r="C14864" s="3">
        <v>44525.916134259256</v>
      </c>
      <c r="D14864" s="1" t="s">
        <v>29303</v>
      </c>
      <c r="E14864" s="1" t="str">
        <f ca="1">IFERROR(__xludf.DUMMYFUNCTION("GOOGLETRANSLATE(A11663 , ""tr"" , ""en"")"),"@drfahrettinkoca #VeliDeonLineSline We want online education")</f>
        <v>@drfahrettinkoca #VeliDeonLineSline We want online education</v>
      </c>
    </row>
    <row r="14865" spans="1:5" ht="15" customHeight="1" x14ac:dyDescent="0.2">
      <c r="A14865" s="1" t="s">
        <v>29304</v>
      </c>
      <c r="B14865" s="1">
        <v>0</v>
      </c>
      <c r="C14865" s="3">
        <v>44525.915393518517</v>
      </c>
      <c r="D14865" s="1" t="s">
        <v>29305</v>
      </c>
      <c r="E14865" s="1" t="str">
        <f ca="1">IFERROR(__xludf.DUMMYFUNCTION("GOOGLETRANSLATE(A11664 , ""tr"" , ""en"")"),"@drfahrettinkoca schools were not an event that would be no event")</f>
        <v>@drfahrettinkoca schools were not an event that would be no event</v>
      </c>
    </row>
    <row r="14866" spans="1:5" ht="15" customHeight="1" x14ac:dyDescent="0.2">
      <c r="A14866" s="1" t="s">
        <v>29306</v>
      </c>
      <c r="B14866" s="1">
        <v>1</v>
      </c>
      <c r="C14866" s="3">
        <v>44525.915381944447</v>
      </c>
      <c r="D14866" s="1" t="s">
        <v>29307</v>
      </c>
      <c r="E14866" s="1" t="str">
        <f ca="1">IFERROR(__xludf.DUMMYFUNCTION("GOOGLETRANSLATE(A11665 , ""tr"" , ""en"")"),"@drfahrettinkoca is the largest aggressive terorist you are lying to people everyday you are cheating in the vaccine ... https://t.co/blue286nhu")</f>
        <v>@drfahrettinkoca is the largest aggressive terorist you are lying to people everyday you are cheating in the vaccine ... https://t.co/blue286nhu</v>
      </c>
    </row>
    <row r="14867" spans="1:5" ht="15" customHeight="1" x14ac:dyDescent="0.2">
      <c r="A14867" s="1" t="s">
        <v>29308</v>
      </c>
      <c r="B14867" s="1">
        <v>0</v>
      </c>
      <c r="C14867" s="3">
        <v>44525.91511574074</v>
      </c>
      <c r="D14867" s="1" t="s">
        <v>29309</v>
      </c>
      <c r="E14867" s="1" t="str">
        <f ca="1">IFERROR(__xludf.DUMMYFUNCTION("GOOGLETRANSLATE(A11666 , ""tr"" , ""en"")"),"@drfahrettinkoca cutter a tool, I do not understand NASL from security to the hospital.")</f>
        <v>@drfahrettinkoca cutter a tool, I do not understand NASL from security to the hospital.</v>
      </c>
    </row>
    <row r="14868" spans="1:5" ht="15" customHeight="1" x14ac:dyDescent="0.2">
      <c r="A14868" s="1" t="s">
        <v>29310</v>
      </c>
      <c r="B14868" s="1">
        <v>40</v>
      </c>
      <c r="C14868" s="3">
        <v>44525.913738425923</v>
      </c>
      <c r="D14868" s="1" t="s">
        <v>29311</v>
      </c>
      <c r="E14868" s="1" t="str">
        <f ca="1">IFERROR(__xludf.DUMMYFUNCTION("GOOGLETRANSLATE(A11667 , ""tr"" , ""en"")"),"@drfahrettinkoca Vallaha I don't understand 12 months in this process in this process policing guardian wardrobe clerkly soldier soldier ... https://t.co/0gadmfrsry")</f>
        <v>@drfahrettinkoca Vallaha I don't understand 12 months in this process in this process policing guardian wardrobe clerkly soldier soldier ... https://t.co/0gadmfrsry</v>
      </c>
    </row>
    <row r="14869" spans="1:5" ht="15" customHeight="1" x14ac:dyDescent="0.2">
      <c r="A14869" s="1" t="s">
        <v>29312</v>
      </c>
      <c r="B14869" s="1">
        <v>1</v>
      </c>
      <c r="C14869" s="3">
        <v>44525.91369212963</v>
      </c>
      <c r="D14869" s="1" t="s">
        <v>29313</v>
      </c>
      <c r="E14869" s="1" t="str">
        <f ca="1">IFERROR(__xludf.DUMMYFUNCTION("GOOGLETRANSLATE(A11668 , ""tr"" , ""en"")"),"@drfahrettinkoca Don't think about your death drugs as well as thinking about the genocide as well as thinking ... https://t.co/jzdirxbqck")</f>
        <v>@drfahrettinkoca Don't think about your death drugs as well as thinking about the genocide as well as thinking ... https://t.co/jzdirxbqck</v>
      </c>
    </row>
    <row r="14870" spans="1:5" ht="15" customHeight="1" x14ac:dyDescent="0.2">
      <c r="A14870" s="1" t="s">
        <v>29314</v>
      </c>
      <c r="B14870" s="1">
        <v>12</v>
      </c>
      <c r="C14870" s="3">
        <v>44525.913402777776</v>
      </c>
      <c r="D14870" s="1" t="s">
        <v>29315</v>
      </c>
      <c r="E14870" s="1" t="str">
        <f ca="1">IFERROR(__xludf.DUMMYFUNCTION("GOOGLETRANSLATE(A11669 , ""tr"" , ""en"")"),"@drfahrettinkoca as a result; Ha Knife attacks, HA consciously apply incorrect drug protocol ... https://t.co/11ugxjtx7x")</f>
        <v>@drfahrettinkoca as a result; Ha Knife attacks, HA consciously apply incorrect drug protocol ... https://t.co/11ugxjtx7x</v>
      </c>
    </row>
    <row r="14871" spans="1:5" ht="15" customHeight="1" x14ac:dyDescent="0.2">
      <c r="A14871" s="1" t="s">
        <v>28405</v>
      </c>
      <c r="B14871" s="1">
        <v>0</v>
      </c>
      <c r="C14871" s="3">
        <v>44525.913298611114</v>
      </c>
      <c r="D14871" s="1" t="s">
        <v>29316</v>
      </c>
      <c r="E14871" s="1" t="str">
        <f ca="1">IFERROR(__xludf.DUMMYFUNCTION("GOOGLETRANSLATE(A11670 , ""tr"" , ""en"")"),"@drfahrettinkoca dietitians are looking forward to assigning a large number of assignments to the minister 91 points are still agencies")</f>
        <v>@drfahrettinkoca dietitians are looking forward to assigning a large number of assignments to the minister 91 points are still agencies</v>
      </c>
    </row>
    <row r="14872" spans="1:5" ht="15" customHeight="1" x14ac:dyDescent="0.2">
      <c r="A14872" s="1" t="s">
        <v>29317</v>
      </c>
      <c r="B14872" s="1">
        <v>0</v>
      </c>
      <c r="C14872" s="3">
        <v>44525.912604166668</v>
      </c>
      <c r="D14872" s="1" t="s">
        <v>29318</v>
      </c>
      <c r="E14872" s="1" t="str">
        <f ca="1">IFERROR(__xludf.DUMMYFUNCTION("GOOGLETRANSLATE(A11671 , ""tr"" , ""en"")"),"@drfahrettinkoca Duzelicez I hope that the following guide is a come")</f>
        <v>@drfahrettinkoca Duzelicez I hope that the following guide is a come</v>
      </c>
    </row>
    <row r="14873" spans="1:5" ht="15" customHeight="1" x14ac:dyDescent="0.2">
      <c r="A14873" s="1" t="s">
        <v>29319</v>
      </c>
      <c r="B14873" s="1">
        <v>0</v>
      </c>
      <c r="C14873" s="3">
        <v>44525.912106481483</v>
      </c>
      <c r="D14873" s="1" t="s">
        <v>29320</v>
      </c>
      <c r="E14873" s="1" t="str">
        <f ca="1">IFERROR(__xludf.DUMMYFUNCTION("GOOGLETRANSLATE(A11672 , ""tr"" , ""en"")"),"@drfahrettinkoca We are also in life in life as well in life, but ninety percent of your employees is a few percent of cocky and people ... https://t.co/wkddybfndx")</f>
        <v>@drfahrettinkoca We are also in life in life as well in life, but ninety percent of your employees is a few percent of cocky and people ... https://t.co/wkddybfndx</v>
      </c>
    </row>
    <row r="14874" spans="1:5" ht="15" customHeight="1" x14ac:dyDescent="0.2">
      <c r="A14874" s="1" t="s">
        <v>29321</v>
      </c>
      <c r="B14874" s="1">
        <v>1</v>
      </c>
      <c r="C14874" s="3">
        <v>44525.912048611113</v>
      </c>
      <c r="D14874" s="1" t="s">
        <v>29322</v>
      </c>
      <c r="E14874" s="1" t="str">
        <f ca="1">IFERROR(__xludf.DUMMYFUNCTION("GOOGLETRANSLATE(A11673 , ""tr"" , ""en"")"),"@drfahrettinkoca 11 months We are throwing an justice purchase of fair purchase dietitians Tveet 40 Thousand Assignment 2000 ... https://t.co/icbe1dbojm")</f>
        <v>@drfahrettinkoca 11 months We are throwing an justice purchase of fair purchase dietitians Tveet 40 Thousand Assignment 2000 ... https://t.co/icbe1dbojm</v>
      </c>
    </row>
    <row r="14875" spans="1:5" ht="15" customHeight="1" x14ac:dyDescent="0.2">
      <c r="A14875" s="1" t="s">
        <v>29323</v>
      </c>
      <c r="B14875" s="1">
        <v>11</v>
      </c>
      <c r="C14875" s="3">
        <v>44525.911157407405</v>
      </c>
      <c r="D14875" s="1" t="s">
        <v>29324</v>
      </c>
      <c r="E14875" s="1" t="str">
        <f ca="1">IFERROR(__xludf.DUMMYFUNCTION("GOOGLETRANSLATE(A11674 , ""tr"" , ""en"")"),"@drfahrettinkoca in this case; According to the health protocol you are applying, your first degree murder is judged and ac ... https://t.co/hyojfpwuqo")</f>
        <v>@drfahrettinkoca in this case; According to the health protocol you are applying, your first degree murder is judged and ac ... https://t.co/hyojfpwuqo</v>
      </c>
    </row>
    <row r="14876" spans="1:5" ht="15" customHeight="1" x14ac:dyDescent="0.2">
      <c r="A14876" s="1" t="s">
        <v>29325</v>
      </c>
      <c r="B14876" s="1">
        <v>2</v>
      </c>
      <c r="C14876" s="3">
        <v>44525.910798611112</v>
      </c>
      <c r="D14876" s="1" t="s">
        <v>29326</v>
      </c>
      <c r="E14876" s="1" t="str">
        <f ca="1">IFERROR(__xludf.DUMMYFUNCTION("GOOGLETRANSLATE(A11675 , ""tr"" , ""en"")"),"@drfahrettinkoca these hours and this age is to live anxiety at this age Do you give it to the beginning of anyone")</f>
        <v>@drfahrettinkoca these hours and this age is to live anxiety at this age Do you give it to the beginning of anyone</v>
      </c>
    </row>
    <row r="14877" spans="1:5" ht="15" customHeight="1" x14ac:dyDescent="0.2">
      <c r="A14877" s="1" t="s">
        <v>29327</v>
      </c>
      <c r="B14877" s="1">
        <v>0</v>
      </c>
      <c r="C14877" s="3">
        <v>44525.910312499997</v>
      </c>
      <c r="D14877" s="1" t="s">
        <v>29328</v>
      </c>
      <c r="E14877" s="1" t="str">
        <f ca="1">IFERROR(__xludf.DUMMYFUNCTION("GOOGLETRANSLATE(A11676 , ""tr"" , ""en"")"),"@drfahrettinkoca vaccine will call online education to the age group you see but your government's Zaafi Middle ... https://t.co/fmbiocfqtu")</f>
        <v>@drfahrettinkoca vaccine will call online education to the age group you see but your government's Zaafi Middle ... https://t.co/fmbiocfqtu</v>
      </c>
    </row>
    <row r="14878" spans="1:5" ht="15" customHeight="1" x14ac:dyDescent="0.2">
      <c r="A14878" s="1" t="s">
        <v>29329</v>
      </c>
      <c r="B14878" s="1">
        <v>17</v>
      </c>
      <c r="C14878" s="3">
        <v>44525.91002314815</v>
      </c>
      <c r="D14878" s="1" t="s">
        <v>29330</v>
      </c>
      <c r="E14878" s="1" t="str">
        <f ca="1">IFERROR(__xludf.DUMMYFUNCTION("GOOGLETRANSLATE(A11677 , ""tr"" , ""en"")"),"@drfahrettinkoca has a sentence scraped into minds as a Minister of Health; ""The next two weeks are very critical"" she two ha ... https://t.co/546o77osk8")</f>
        <v>@drfahrettinkoca has a sentence scraped into minds as a Minister of Health; "The next two weeks are very critical" she two ha ... https://t.co/546o77osk8</v>
      </c>
    </row>
    <row r="14879" spans="1:5" ht="15" customHeight="1" x14ac:dyDescent="0.2">
      <c r="A14879" s="1" t="s">
        <v>29331</v>
      </c>
      <c r="B14879" s="1">
        <v>0</v>
      </c>
      <c r="C14879" s="3">
        <v>44525.908888888887</v>
      </c>
      <c r="D14879" s="1" t="s">
        <v>29332</v>
      </c>
      <c r="E14879" s="1" t="str">
        <f ca="1">IFERROR(__xludf.DUMMYFUNCTION("GOOGLETRANSLATE(A11678 , ""tr"" , ""en"")"),"@drfahrettinkoca Mr. Minister ASMS Not Checking Some doctors patient to patient How many times do dog treatment ... https://t.co/h4xnjgubo6")</f>
        <v>@drfahrettinkoca Mr. Minister ASMS Not Checking Some doctors patient to patient How many times do dog treatment ... https://t.co/h4xnjgubo6</v>
      </c>
    </row>
    <row r="14880" spans="1:5" ht="15" customHeight="1" x14ac:dyDescent="0.2">
      <c r="A14880" s="1" t="s">
        <v>29333</v>
      </c>
      <c r="B14880" s="1">
        <v>0</v>
      </c>
      <c r="C14880" s="3">
        <v>44525.907800925925</v>
      </c>
      <c r="D14880" s="1" t="s">
        <v>29334</v>
      </c>
      <c r="E14880" s="1" t="str">
        <f ca="1">IFERROR(__xludf.DUMMYFUNCTION("GOOGLETRANSLATE(A11679 , ""tr"" , ""en"")"),"@drfahrettinkoca Some doctors are doing so bad to patients and their relatives so I wish hospitals sick or ... https://t.co/oje89zdrms")</f>
        <v>@drfahrettinkoca Some doctors are doing so bad to patients and their relatives so I wish hospitals sick or ... https://t.co/oje89zdrms</v>
      </c>
    </row>
    <row r="14881" spans="1:5" ht="15" customHeight="1" x14ac:dyDescent="0.2">
      <c r="A14881" s="1" t="s">
        <v>29335</v>
      </c>
      <c r="B14881" s="1">
        <v>0</v>
      </c>
      <c r="C14881" s="3">
        <v>44525.907511574071</v>
      </c>
      <c r="D14881" s="1" t="s">
        <v>29336</v>
      </c>
      <c r="E14881" s="1" t="str">
        <f ca="1">IFERROR(__xludf.DUMMYFUNCTION("GOOGLETRANSLATE(A11680 , ""tr"" , ""en"")"),"What a determination of @drfahrettinkoca? What is the penalty for instead of attacking the doctor? How do you protect doctors? Bi ... https://t.co/4truamkn4o")</f>
        <v>What a determination of @drfahrettinkoca? What is the penalty for instead of attacking the doctor? How do you protect doctors? Bi ... https://t.co/4truamkn4o</v>
      </c>
    </row>
    <row r="14882" spans="1:5" ht="15" customHeight="1" x14ac:dyDescent="0.2">
      <c r="A14882" s="1" t="s">
        <v>29337</v>
      </c>
      <c r="B14882" s="1">
        <v>0</v>
      </c>
      <c r="C14882" s="3">
        <v>44525.907222222224</v>
      </c>
      <c r="D14882" s="1" t="s">
        <v>29338</v>
      </c>
      <c r="E14882" s="1" t="str">
        <f ca="1">IFERROR(__xludf.DUMMYFUNCTION("GOOGLETRANSLATE(A11681 , ""tr"" , ""en"")"),"@drfahrettinkoca If it was determined to prevent severity in health, we would be Boyle Ozle Mr. Minister?")</f>
        <v>@drfahrettinkoca If it was determined to prevent severity in health, we would be Boyle Ozle Mr. Minister?</v>
      </c>
    </row>
    <row r="14883" spans="1:5" ht="15" customHeight="1" x14ac:dyDescent="0.2">
      <c r="A14883" s="1" t="s">
        <v>29339</v>
      </c>
      <c r="B14883" s="1">
        <v>0</v>
      </c>
      <c r="C14883" s="3">
        <v>44525.906956018516</v>
      </c>
      <c r="D14883" s="1" t="s">
        <v>29340</v>
      </c>
      <c r="E14883" s="1" t="str">
        <f ca="1">IFERROR(__xludf.DUMMYFUNCTION("GOOGLETRANSLATE(A11682 , ""tr"" , ""en"")"),"@drfahrettinkoca Ministry Is the guide tomorrow ??????")</f>
        <v>@drfahrettinkoca Ministry Is the guide tomorrow ??????</v>
      </c>
    </row>
    <row r="14884" spans="1:5" ht="15" customHeight="1" x14ac:dyDescent="0.2">
      <c r="A14884" s="1" t="s">
        <v>29341</v>
      </c>
      <c r="B14884" s="1">
        <v>0</v>
      </c>
      <c r="C14884" s="3">
        <v>44525.906759259262</v>
      </c>
      <c r="D14884" s="1" t="s">
        <v>29342</v>
      </c>
      <c r="E14884" s="1" t="str">
        <f ca="1">IFERROR(__xludf.DUMMYFUNCTION("GOOGLETRANSLATE(A11683 , ""tr"" , ""en"")"),"@drfahrettinkoca guide look forward to")</f>
        <v>@drfahrettinkoca guide look forward to</v>
      </c>
    </row>
    <row r="14885" spans="1:5" ht="15" customHeight="1" x14ac:dyDescent="0.2">
      <c r="A14885" s="1" t="s">
        <v>29343</v>
      </c>
      <c r="B14885" s="1">
        <v>0</v>
      </c>
      <c r="C14885" s="3">
        <v>44525.906585648147</v>
      </c>
      <c r="D14885" s="1" t="s">
        <v>29344</v>
      </c>
      <c r="E14885" s="1" t="str">
        <f ca="1">IFERROR(__xludf.DUMMYFUNCTION("GOOGLETRANSLATE(A11684 , ""tr"" , ""en"")"),"@drfahrettinkoca Lafla cheese ship does not walk ...")</f>
        <v>@drfahrettinkoca Lafla cheese ship does not walk ...</v>
      </c>
    </row>
    <row r="14886" spans="1:5" ht="15" customHeight="1" x14ac:dyDescent="0.2">
      <c r="A14886" s="1" t="s">
        <v>29345</v>
      </c>
      <c r="B14886" s="1">
        <v>0</v>
      </c>
      <c r="C14886" s="3">
        <v>44525.906574074077</v>
      </c>
      <c r="D14886" s="1" t="s">
        <v>29346</v>
      </c>
      <c r="E14886" s="1" t="str">
        <f ca="1">IFERROR(__xludf.DUMMYFUNCTION("GOOGLETRANSLATE(A11685 , ""tr"" , ""en"")"),"@drfahrettinka Ministry of Guide Minister")</f>
        <v>@drfahrettinka Ministry of Guide Minister</v>
      </c>
    </row>
    <row r="14887" spans="1:5" ht="15" customHeight="1" x14ac:dyDescent="0.2">
      <c r="A14887" s="1" t="s">
        <v>29347</v>
      </c>
      <c r="B14887" s="1">
        <v>2</v>
      </c>
      <c r="C14887" s="3">
        <v>44525.906087962961</v>
      </c>
      <c r="D14887" s="1" t="s">
        <v>29348</v>
      </c>
      <c r="E14887" s="1" t="str">
        <f ca="1">IFERROR(__xludf.DUMMYFUNCTION("GOOGLETRANSLATE(A11686 , ""tr"" , ""en"")"),"@drfahrettinka you have been killing humanity for 2 years or Mr. Hoca")</f>
        <v>@drfahrettinka you have been killing humanity for 2 years or Mr. Hoca</v>
      </c>
    </row>
    <row r="14888" spans="1:5" ht="15" customHeight="1" x14ac:dyDescent="0.2">
      <c r="A14888" s="1" t="s">
        <v>29349</v>
      </c>
      <c r="B14888" s="1">
        <v>0</v>
      </c>
      <c r="C14888" s="3">
        <v>44525.905787037038</v>
      </c>
      <c r="D14888" s="1" t="s">
        <v>29350</v>
      </c>
      <c r="E14888" s="1" t="str">
        <f ca="1">IFERROR(__xludf.DUMMYFUNCTION("GOOGLETRANSLATE(A11687 , ""tr"" , ""en"")"),"@drfahrettinkoca yav tamm two years.")</f>
        <v>@drfahrettinkoca yav tamm two years.</v>
      </c>
    </row>
    <row r="14889" spans="1:5" ht="15" customHeight="1" x14ac:dyDescent="0.2">
      <c r="A14889" s="1" t="s">
        <v>29351</v>
      </c>
      <c r="B14889" s="1">
        <v>0</v>
      </c>
      <c r="C14889" s="3">
        <v>44525.905636574076</v>
      </c>
      <c r="D14889" s="1" t="s">
        <v>29352</v>
      </c>
      <c r="E14889" s="1" t="str">
        <f ca="1">IFERROR(__xludf.DUMMYFUNCTION("GOOGLETRANSLATE(A11688 , ""tr"" , ""en"")"),"@drfahrettinkoca Minister that man keep the shooter hold the head of the head is enough no longer ultan.")</f>
        <v>@drfahrettinkoca Minister that man keep the shooter hold the head of the head is enough no longer ultan.</v>
      </c>
    </row>
    <row r="14890" spans="1:5" ht="15" customHeight="1" x14ac:dyDescent="0.2">
      <c r="A14890" s="1" t="s">
        <v>29353</v>
      </c>
      <c r="B14890" s="1">
        <v>1</v>
      </c>
      <c r="C14890" s="3">
        <v>44525.905324074076</v>
      </c>
      <c r="D14890" s="1" t="s">
        <v>29354</v>
      </c>
      <c r="E14890" s="1" t="str">
        <f ca="1">IFERROR(__xludf.DUMMYFUNCTION("GOOGLETRANSLATE(A11689 , ""tr"" , ""en"")"),"@drfahrettinkoca Knife is going to Asm with Homelin 'Her hand shaking his arm.")</f>
        <v>@drfahrettinkoca Knife is going to Asm with Homelin 'Her hand shaking his arm.</v>
      </c>
    </row>
    <row r="14891" spans="1:5" ht="15" customHeight="1" x14ac:dyDescent="0.2">
      <c r="A14891" s="1" t="s">
        <v>29355</v>
      </c>
      <c r="B14891" s="1">
        <v>0</v>
      </c>
      <c r="C14891" s="3">
        <v>44525.90525462963</v>
      </c>
      <c r="D14891" s="1" t="s">
        <v>29356</v>
      </c>
      <c r="E14891" s="1" t="str">
        <f ca="1">IFERROR(__xludf.DUMMYFUNCTION("GOOGLETRANSLATE(A11690 , ""tr"" , ""en"")"),"@drfahrettinkoca Istanbul is important. Nothing is doing. 20 million TC is 20% ...")</f>
        <v>@drfahrettinkoca Istanbul is important. Nothing is doing. 20 million TC is 20% ...</v>
      </c>
    </row>
    <row r="14892" spans="1:5" ht="15" customHeight="1" x14ac:dyDescent="0.2">
      <c r="A14892" s="1" t="s">
        <v>29357</v>
      </c>
      <c r="B14892" s="1">
        <v>2</v>
      </c>
      <c r="C14892" s="3">
        <v>44525.904675925929</v>
      </c>
      <c r="D14892" s="1" t="s">
        <v>29358</v>
      </c>
      <c r="E14892" s="1" t="str">
        <f ca="1">IFERROR(__xludf.DUMMYFUNCTION("GOOGLETRANSLATE(A11691 , ""tr"" , ""en"")"),"@drfahrettinka You have broken the settings of the nation. Do you think that you are at the health workers of the world.")</f>
        <v>@drfahrettinka You have broken the settings of the nation. Do you think that you are at the health workers of the world.</v>
      </c>
    </row>
    <row r="14893" spans="1:5" ht="15" customHeight="1" x14ac:dyDescent="0.2">
      <c r="A14893" s="1" t="s">
        <v>29359</v>
      </c>
      <c r="B14893" s="1">
        <v>0</v>
      </c>
      <c r="C14893" s="3">
        <v>44525.904560185183</v>
      </c>
      <c r="D14893" s="1" t="s">
        <v>29360</v>
      </c>
      <c r="E14893" s="1" t="str">
        <f ca="1">IFERROR(__xludf.DUMMYFUNCTION("GOOGLETRANSLATE(A11692 , ""tr"" , ""en"")"),"@drfahrettinkoca We are not able to see any matter any matter What time attack on the day")</f>
        <v>@drfahrettinkoca We are not able to see any matter any matter What time attack on the day</v>
      </c>
    </row>
    <row r="14894" spans="1:5" ht="15" customHeight="1" x14ac:dyDescent="0.2">
      <c r="A14894" s="1" t="s">
        <v>29361</v>
      </c>
      <c r="B14894" s="1">
        <v>0</v>
      </c>
      <c r="C14894" s="3">
        <v>44525.904502314814</v>
      </c>
      <c r="D14894" s="1" t="s">
        <v>29362</v>
      </c>
      <c r="E14894" s="1" t="str">
        <f ca="1">IFERROR(__xludf.DUMMYFUNCTION("GOOGLETRANSLATE(A11693 , ""tr"" , ""en"")"),"@drfahrettinkoca healthpieces see the violence from your face.")</f>
        <v>@drfahrettinkoca healthpieces see the violence from your face.</v>
      </c>
    </row>
    <row r="14895" spans="1:5" ht="15" customHeight="1" x14ac:dyDescent="0.2">
      <c r="A14895" s="1" t="s">
        <v>29363</v>
      </c>
      <c r="B14895" s="1">
        <v>7</v>
      </c>
      <c r="C14895" s="3">
        <v>44525.904374999998</v>
      </c>
      <c r="D14895" s="1" t="s">
        <v>29364</v>
      </c>
      <c r="E14895" s="1" t="str">
        <f ca="1">IFERROR(__xludf.DUMMYFUNCTION("GOOGLETRANSLATE(A11694 , ""tr"" , ""en"")"),"@drfahrettinkoca please release the guide that we have")</f>
        <v>@drfahrettinkoca please release the guide that we have</v>
      </c>
    </row>
    <row r="14896" spans="1:5" ht="15" customHeight="1" x14ac:dyDescent="0.2">
      <c r="A14896" s="1" t="s">
        <v>29365</v>
      </c>
      <c r="B14896" s="1">
        <v>0</v>
      </c>
      <c r="C14896" s="3">
        <v>44525.904328703706</v>
      </c>
      <c r="D14896" s="1" t="s">
        <v>29366</v>
      </c>
      <c r="E14896" s="1" t="str">
        <f ca="1">IFERROR(__xludf.DUMMYFUNCTION("GOOGLETRANSLATE(A11695 , ""tr"" , ""en"")"),"@drfahrettinkoca people of our people in the sag senses Your most recent us ... You will be on the healthy hardship?")</f>
        <v>@drfahrettinkoca people of our people in the sag senses Your most recent us ... You will be on the healthy hardship?</v>
      </c>
    </row>
    <row r="14897" spans="1:5" ht="15" customHeight="1" x14ac:dyDescent="0.2">
      <c r="A14897" s="1" t="s">
        <v>29367</v>
      </c>
      <c r="B14897" s="1">
        <v>0</v>
      </c>
      <c r="C14897" s="3">
        <v>44525.904108796298</v>
      </c>
      <c r="D14897" s="1" t="s">
        <v>29368</v>
      </c>
      <c r="E14897" s="1" t="str">
        <f ca="1">IFERROR(__xludf.DUMMYFUNCTION("GOOGLETRANSLATE(A11696 , ""tr"" , ""en"")"),"@drfahrettinkoca These people have to be taken in front of the prosecutor's psychiatric dr. Codese not mental hospital g ... https://t.co/k5ftfbxwhy")</f>
        <v>@drfahrettinkoca These people have to be taken in front of the prosecutor's psychiatric dr. Codese not mental hospital g ... https://t.co/k5ftfbxwhy</v>
      </c>
    </row>
    <row r="14898" spans="1:5" ht="15" customHeight="1" x14ac:dyDescent="0.2">
      <c r="A14898" s="1" t="s">
        <v>29369</v>
      </c>
      <c r="B14898" s="1">
        <v>9</v>
      </c>
      <c r="C14898" s="3">
        <v>44525.904085648152</v>
      </c>
      <c r="D14898" s="1" t="s">
        <v>29370</v>
      </c>
      <c r="E14898" s="1" t="str">
        <f ca="1">IFERROR(__xludf.DUMMYFUNCTION("GOOGLETRANSLATE(A11697 , ""tr"" , ""en"")"),"@drfahrettinkoca I didn't want to ask for the guide under the tweevence of health, but you obliged us to Mr. Minister")</f>
        <v>@drfahrettinkoca I didn't want to ask for the guide under the tweevence of health, but you obliged us to Mr. Minister</v>
      </c>
    </row>
    <row r="14899" spans="1:5" ht="15" customHeight="1" x14ac:dyDescent="0.2">
      <c r="A14899" s="1" t="s">
        <v>29371</v>
      </c>
      <c r="B14899" s="1">
        <v>1</v>
      </c>
      <c r="C14899" s="3">
        <v>44525.90384259259</v>
      </c>
      <c r="D14899" s="1" t="s">
        <v>29372</v>
      </c>
      <c r="E14899" s="1" t="str">
        <f ca="1">IFERROR(__xludf.DUMMYFUNCTION("GOOGLETRANSLATE(A11698 , ""tr"" , ""en"")"),"@drfahrettinka has not acted in law for 20 years or is now going to pass it now? O Your night to be able to serve people ... https://t.co/xw1orhpgyf")</f>
        <v>@drfahrettinka has not acted in law for 20 years or is now going to pass it now? O Your night to be able to serve people ... https://t.co/xw1orhpgyf</v>
      </c>
    </row>
    <row r="14900" spans="1:5" ht="15" customHeight="1" x14ac:dyDescent="0.2">
      <c r="A14900" s="1" t="s">
        <v>29373</v>
      </c>
      <c r="B14900" s="1">
        <v>0</v>
      </c>
      <c r="C14900" s="3">
        <v>44525.903645833336</v>
      </c>
      <c r="D14900" s="1" t="s">
        <v>29374</v>
      </c>
      <c r="E14900" s="1" t="str">
        <f ca="1">IFERROR(__xludf.DUMMYFUNCTION("GOOGLETRANSLATE(A11699 , ""tr"" , ""en"")"),"@drfahrettinkoca How many more nights will you pass like this sleepless? I want to stay sleepless now to keep guard. Branch D ... https://t.co/ymgvfp8szy")</f>
        <v>@drfahrettinkoca How many more nights will you pass like this sleepless? I want to stay sleepless now to keep guard. Branch D ... https://t.co/ymgvfp8szy</v>
      </c>
    </row>
    <row r="14901" spans="1:5" ht="15" customHeight="1" x14ac:dyDescent="0.2">
      <c r="A14901" s="1" t="s">
        <v>29375</v>
      </c>
      <c r="B14901" s="1">
        <v>9</v>
      </c>
      <c r="C14901" s="3">
        <v>44525.903449074074</v>
      </c>
      <c r="D14901" s="1" t="s">
        <v>29376</v>
      </c>
      <c r="E14901" s="1" t="str">
        <f ca="1">IFERROR(__xludf.DUMMYFUNCTION("GOOGLETRANSLATE(A11700 , ""tr"" , ""en"")"),"@drfahrettinkoca that horror is living in mothers when every teacher of each teacher is sick or passed on mothers ... https://t.co/affufmhf0r")</f>
        <v>@drfahrettinkoca that horror is living in mothers when every teacher of each teacher is sick or passed on mothers ... https://t.co/affufmhf0r</v>
      </c>
    </row>
    <row r="14902" spans="1:5" ht="15" customHeight="1" x14ac:dyDescent="0.2">
      <c r="A14902" s="1" t="s">
        <v>29377</v>
      </c>
      <c r="B14902" s="1">
        <v>10</v>
      </c>
      <c r="C14902" s="3">
        <v>44525.902650462966</v>
      </c>
      <c r="D14902" s="1" t="s">
        <v>29378</v>
      </c>
      <c r="E14902" s="1" t="str">
        <f ca="1">IFERROR(__xludf.DUMMYFUNCTION("GOOGLETRANSLATE(A11701 , ""tr"" , ""en"")"),"@drfahrettinkoca I'm ashamed when I want guide now")</f>
        <v>@drfahrettinkoca I'm ashamed when I want guide now</v>
      </c>
    </row>
    <row r="14903" spans="1:5" ht="15" customHeight="1" x14ac:dyDescent="0.2">
      <c r="A14903" s="1" t="s">
        <v>29379</v>
      </c>
      <c r="B14903" s="1">
        <v>1</v>
      </c>
      <c r="C14903" s="3">
        <v>44525.902175925927</v>
      </c>
      <c r="D14903" s="1" t="s">
        <v>29380</v>
      </c>
      <c r="E14903" s="1" t="str">
        <f ca="1">IFERROR(__xludf.DUMMYFUNCTION("GOOGLETRANSLATE(A11702 , ""tr"" , ""en"")"),"@drfahrettinkoca You have broken this nation under the name of the science, you have received the freedom of people overlooking the people ... https://t.co/xg0wtmce0m")</f>
        <v>@drfahrettinkoca You have broken this nation under the name of the science, you have received the freedom of people overlooking the people ... https://t.co/xg0wtmce0m</v>
      </c>
    </row>
    <row r="14904" spans="1:5" ht="15" customHeight="1" x14ac:dyDescent="0.2">
      <c r="A14904" s="1" t="s">
        <v>29381</v>
      </c>
      <c r="B14904" s="1">
        <v>1</v>
      </c>
      <c r="C14904" s="3">
        <v>44525.902094907404</v>
      </c>
      <c r="D14904" s="1" t="s">
        <v>29382</v>
      </c>
      <c r="E14904" s="1" t="str">
        <f ca="1">IFERROR(__xludf.DUMMYFUNCTION("GOOGLETRANSLATE(A11703 , ""tr"" , ""en"")"),"@drfahrettinkoca why you are a regime threatening with the vaccine that makes this nation's voice in the vaccine that doesn't hear the sound of this nation ... https://t.co/yslyhbcan")</f>
        <v>@drfahrettinkoca why you are a regime threatening with the vaccine that makes this nation's voice in the vaccine that doesn't hear the sound of this nation ... https://t.co/yslyhbcan</v>
      </c>
    </row>
    <row r="14905" spans="1:5" ht="15" customHeight="1" x14ac:dyDescent="0.2">
      <c r="A14905" s="1" t="s">
        <v>29383</v>
      </c>
      <c r="B14905" s="1">
        <v>1</v>
      </c>
      <c r="C14905" s="3">
        <v>44525.901666666665</v>
      </c>
      <c r="D14905" s="1" t="s">
        <v>29384</v>
      </c>
      <c r="E14905" s="1" t="str">
        <f ca="1">IFERROR(__xludf.DUMMYFUNCTION("GOOGLETRANSLATE(A11704 , ""tr"" , ""en"")"),"@drfahrettinkoca we want to be assigned to die. Here is so helpless ...")</f>
        <v>@drfahrettinkoca we want to be assigned to die. Here is so helpless ...</v>
      </c>
    </row>
    <row r="14906" spans="1:5" ht="15" customHeight="1" x14ac:dyDescent="0.2">
      <c r="A14906" s="1" t="s">
        <v>29385</v>
      </c>
      <c r="B14906" s="1">
        <v>1</v>
      </c>
      <c r="C14906" s="3">
        <v>44525.901562500003</v>
      </c>
      <c r="D14906" s="1" t="s">
        <v>29386</v>
      </c>
      <c r="E14906" s="1" t="str">
        <f ca="1">IFERROR(__xludf.DUMMYFUNCTION("GOOGLETRANSLATE(A11705 , ""tr"" , ""en"")"),"@drfahrettinkoca İngilisi statement is not released")</f>
        <v>@drfahrettinkoca İngilisi statement is not released</v>
      </c>
    </row>
    <row r="14907" spans="1:5" ht="15" customHeight="1" x14ac:dyDescent="0.2">
      <c r="A14907" s="1" t="s">
        <v>29387</v>
      </c>
      <c r="B14907" s="1">
        <v>0</v>
      </c>
      <c r="C14907" s="3">
        <v>44525.901562500003</v>
      </c>
      <c r="D14907" s="1" t="s">
        <v>29388</v>
      </c>
      <c r="E14907" s="1" t="str">
        <f ca="1">IFERROR(__xludf.DUMMYFUNCTION("GOOGLETRANSLATE(A11706 , ""tr"" , ""en"")"),"@drfahrettinkoca Please browse g.afrikika and the Israeli precautions, let's not be the latest in everything. Stop Flights")</f>
        <v>@drfahrettinkoca Please browse g.afrikika and the Israeli precautions, let's not be the latest in everything. Stop Flights</v>
      </c>
    </row>
    <row r="14908" spans="1:5" ht="15" customHeight="1" x14ac:dyDescent="0.2">
      <c r="A14908" s="1" t="s">
        <v>29389</v>
      </c>
      <c r="B14908" s="1">
        <v>0</v>
      </c>
      <c r="C14908" s="3">
        <v>44525.900740740741</v>
      </c>
      <c r="D14908" s="1" t="s">
        <v>29390</v>
      </c>
      <c r="E14908" s="1" t="str">
        <f ca="1">IFERROR(__xludf.DUMMYFUNCTION("GOOGLETRANSLATE(A11707 , ""tr"" , ""en"")"),"@drfahrettinkoca Abi Train the following health workers, know how to speak public. Usually 99 percent deserves according to my observations")</f>
        <v>@drfahrettinkoca Abi Train the following health workers, know how to speak public. Usually 99 percent deserves according to my observations</v>
      </c>
    </row>
    <row r="14909" spans="1:5" ht="15" customHeight="1" x14ac:dyDescent="0.2">
      <c r="A14909" s="1" t="s">
        <v>29391</v>
      </c>
      <c r="B14909" s="1">
        <v>3</v>
      </c>
      <c r="C14909" s="3">
        <v>44525.900347222225</v>
      </c>
      <c r="D14909" s="1" t="s">
        <v>29392</v>
      </c>
      <c r="E14909" s="1" t="str">
        <f ca="1">IFERROR(__xludf.DUMMYFUNCTION("GOOGLETRANSLATE(A11708 , ""tr"" , ""en"")"),"@drfahrettinkoca dieticians alleged to see 4 digit numbers")</f>
        <v>@drfahrettinkoca dieticians alleged to see 4 digit numbers</v>
      </c>
    </row>
    <row r="14910" spans="1:5" ht="15" customHeight="1" x14ac:dyDescent="0.2">
      <c r="A14910" s="1" t="s">
        <v>29393</v>
      </c>
      <c r="B14910" s="1">
        <v>0</v>
      </c>
      <c r="C14910" s="3">
        <v>44525.900277777779</v>
      </c>
      <c r="D14910" s="1" t="s">
        <v>29394</v>
      </c>
      <c r="E14910" s="1" t="str">
        <f ca="1">IFERROR(__xludf.DUMMYFUNCTION("GOOGLETRANSLATE(A11709 , ""tr"" , ""en"")"),"@drfahrettinka used to have patients and relatives with so many psychiatric problems. The basis of health violence ... https://t.co/nkf5ttcgrl")</f>
        <v>@drfahrettinka used to have patients and relatives with so many psychiatric problems. The basis of health violence ... https://t.co/nkf5ttcgrl</v>
      </c>
    </row>
    <row r="14911" spans="1:5" ht="15" customHeight="1" x14ac:dyDescent="0.2">
      <c r="A14911" s="1" t="s">
        <v>29395</v>
      </c>
      <c r="B14911" s="1">
        <v>1</v>
      </c>
      <c r="C14911" s="3">
        <v>44525.899791666663</v>
      </c>
      <c r="D14911" s="1" t="s">
        <v>29396</v>
      </c>
      <c r="E14911" s="1" t="str">
        <f ca="1">IFERROR(__xludf.DUMMYFUNCTION("GOOGLETRANSLATE(A11710 , ""tr"" , ""en"")"),"@drfahrettinkoca Ministry of Your Ministry of You Don't Attach Us Are Non-Fair Numbers in the Sections in the Sections we received ... https://t.co/ymtskchrhv")</f>
        <v>@drfahrettinkoca Ministry of Your Ministry of You Don't Attach Us Are Non-Fair Numbers in the Sections in the Sections we received ... https://t.co/ymtskchrhv</v>
      </c>
    </row>
    <row r="14912" spans="1:5" ht="15" customHeight="1" x14ac:dyDescent="0.2">
      <c r="A14912" s="1" t="s">
        <v>29397</v>
      </c>
      <c r="B14912" s="1">
        <v>0</v>
      </c>
      <c r="C14912" s="3">
        <v>44525.899513888886</v>
      </c>
      <c r="D14912" s="1" t="s">
        <v>29398</v>
      </c>
      <c r="E14912" s="1" t="str">
        <f ca="1">IFERROR(__xludf.DUMMYFUNCTION("GOOGLETRANSLATE(A11711 , ""tr"" , ""en"")"),"@drfahrettinkoca #sidinbahanesiolmaz.")</f>
        <v>@drfahrettinkoca #sidinbahanesiolmaz.</v>
      </c>
    </row>
    <row r="14913" spans="1:5" ht="15" customHeight="1" x14ac:dyDescent="0.2">
      <c r="A14913" s="1" t="s">
        <v>29399</v>
      </c>
      <c r="B14913" s="1">
        <v>1</v>
      </c>
      <c r="C14913" s="3">
        <v>44525.899178240739</v>
      </c>
      <c r="D14913" s="1" t="s">
        <v>29400</v>
      </c>
      <c r="E14913" s="1" t="str">
        <f ca="1">IFERROR(__xludf.DUMMYFUNCTION("GOOGLETRANSLATE(A11712 , ""tr"" , ""en"")"),"@drfahrettinkoca dieticians to assign high scores")</f>
        <v>@drfahrettinkoca dieticians to assign high scores</v>
      </c>
    </row>
    <row r="14914" spans="1:5" ht="15" customHeight="1" x14ac:dyDescent="0.2">
      <c r="A14914" s="1" t="s">
        <v>29401</v>
      </c>
      <c r="B14914" s="1">
        <v>0</v>
      </c>
      <c r="C14914" s="3">
        <v>44525.89880787037</v>
      </c>
      <c r="D14914" s="1" t="s">
        <v>29402</v>
      </c>
      <c r="E14914" s="1" t="str">
        <f ca="1">IFERROR(__xludf.DUMMYFUNCTION("GOOGLETRANSLATE(A11713 , ""tr"" , ""en"")"),"@drfahrettinkoca Looking forward to this time of the night I expect the guide date to what will call it to this")</f>
        <v>@drfahrettinkoca Looking forward to this time of the night I expect the guide date to what will call it to this</v>
      </c>
    </row>
    <row r="14915" spans="1:5" ht="15" customHeight="1" x14ac:dyDescent="0.2">
      <c r="A14915" s="1" t="s">
        <v>29403</v>
      </c>
      <c r="B14915" s="1">
        <v>0</v>
      </c>
      <c r="C14915" s="3">
        <v>44525.898773148147</v>
      </c>
      <c r="D14915" s="1" t="s">
        <v>29404</v>
      </c>
      <c r="E14915" s="1" t="str">
        <f ca="1">IFERROR(__xludf.DUMMYFUNCTION("GOOGLETRANSLATE(A11714 , ""tr"" , ""en"")"),"@drfahrettinkoca Safety essential to every family medicine")</f>
        <v>@drfahrettinkoca Safety essential to every family medicine</v>
      </c>
    </row>
    <row r="14916" spans="1:5" ht="15" customHeight="1" x14ac:dyDescent="0.2">
      <c r="A14916" s="1" t="s">
        <v>29405</v>
      </c>
      <c r="B14916" s="1">
        <v>0</v>
      </c>
      <c r="C14916" s="3">
        <v>44525.898472222223</v>
      </c>
      <c r="D14916" s="1" t="s">
        <v>29406</v>
      </c>
      <c r="E14916" s="1" t="str">
        <f ca="1">IFERROR(__xludf.DUMMYFUNCTION("GOOGLETRANSLATE(A11715 , ""tr"" , ""en"")"),"@drfahrettinkoca explain grain water guide")</f>
        <v>@drfahrettinkoca explain grain water guide</v>
      </c>
    </row>
    <row r="14917" spans="1:5" ht="15" customHeight="1" x14ac:dyDescent="0.2">
      <c r="A14917" s="1" t="s">
        <v>29407</v>
      </c>
      <c r="B14917" s="1">
        <v>0</v>
      </c>
      <c r="C14917" s="3">
        <v>44525.898182870369</v>
      </c>
      <c r="D14917" s="1" t="s">
        <v>29408</v>
      </c>
      <c r="E14917" s="1" t="str">
        <f ca="1">IFERROR(__xludf.DUMMYFUNCTION("GOOGLETRANSLATE(A11716 , ""tr"" , ""en"")"),"@drfahrettinkoca let us finish this week give us a gospel")</f>
        <v>@drfahrettinkoca let us finish this week give us a gospel</v>
      </c>
    </row>
    <row r="14918" spans="1:5" ht="15" customHeight="1" x14ac:dyDescent="0.2">
      <c r="A14918" s="1" t="s">
        <v>29409</v>
      </c>
      <c r="B14918" s="1">
        <v>36</v>
      </c>
      <c r="C14918" s="3">
        <v>44525.898101851853</v>
      </c>
      <c r="D14918" s="1" t="s">
        <v>29410</v>
      </c>
      <c r="E14918" s="1" t="str">
        <f ca="1">IFERROR(__xludf.DUMMYFUNCTION("GOOGLETRANSLATE(A11717 , ""tr"" , ""en"")"),"@drfahrettinkoca ring to the biological, physicological, economic sythrine you make? https://t.co/g1rwrmxl7l")</f>
        <v>@drfahrettinkoca ring to the biological, physicological, economic sythrine you make? https://t.co/g1rwrmxl7l</v>
      </c>
    </row>
    <row r="14919" spans="1:5" ht="15" customHeight="1" x14ac:dyDescent="0.2">
      <c r="A14919" s="1" t="s">
        <v>29411</v>
      </c>
      <c r="B14919" s="1">
        <v>1</v>
      </c>
      <c r="C14919" s="3">
        <v>44525.897893518515</v>
      </c>
      <c r="D14919" s="1" t="s">
        <v>29412</v>
      </c>
      <c r="E14919" s="1" t="str">
        <f ca="1">IFERROR(__xludf.DUMMYFUNCTION("GOOGLETRANSLATE(A11718 , ""tr"" , ""en"")"),"@drfahrettinkoca We're still on the guide on sleepless nights. Post it now! @drfahrettinkoca @halis_aygun #bakankocakilavuzvakti")</f>
        <v>@drfahrettinkoca We're still on the guide on sleepless nights. Post it now! @drfahrettinkoca @halis_aygun #bakankocakilavuzvakti</v>
      </c>
    </row>
    <row r="14920" spans="1:5" ht="15" customHeight="1" x14ac:dyDescent="0.2">
      <c r="A14920" s="1" t="s">
        <v>29413</v>
      </c>
      <c r="B14920" s="1">
        <v>1</v>
      </c>
      <c r="C14920" s="3">
        <v>44525.897719907407</v>
      </c>
      <c r="D14920" s="1" t="s">
        <v>29414</v>
      </c>
      <c r="E14920" s="1" t="str">
        <f ca="1">IFERROR(__xludf.DUMMYFUNCTION("GOOGLETRANSLATE(A11719 , ""tr"" , ""en"")"),"@drfahrettinkoca guide if you move in the minister, we will die, we will die, the funeral teams will come ... https://t.co/obszukyz5r")</f>
        <v>@drfahrettinkoca guide if you move in the minister, we will die, we will die, the funeral teams will come ... https://t.co/obszukyz5r</v>
      </c>
    </row>
    <row r="14921" spans="1:5" ht="15" customHeight="1" x14ac:dyDescent="0.2">
      <c r="A14921" s="1" t="s">
        <v>29415</v>
      </c>
      <c r="B14921" s="1">
        <v>0</v>
      </c>
      <c r="C14921" s="3">
        <v>44525.897581018522</v>
      </c>
      <c r="D14921" s="1" t="s">
        <v>29416</v>
      </c>
      <c r="E14921" s="1" t="str">
        <f ca="1">IFERROR(__xludf.DUMMYFUNCTION("GOOGLETRANSLATE(A11720 , ""tr"" , ""en"")"),"@drfahrettinka Dear Ministry Describe the Branch Distribution Expect our lung faded This uncertainty finished us in")</f>
        <v>@drfahrettinka Dear Ministry Describe the Branch Distribution Expect our lung faded This uncertainty finished us in</v>
      </c>
    </row>
    <row r="14922" spans="1:5" ht="15" customHeight="1" x14ac:dyDescent="0.2">
      <c r="A14922" s="1" t="s">
        <v>29417</v>
      </c>
      <c r="B14922" s="1">
        <v>16</v>
      </c>
      <c r="C14922" s="3">
        <v>44525.897465277776</v>
      </c>
      <c r="D14922" s="1" t="s">
        <v>29418</v>
      </c>
      <c r="E14922" s="1" t="str">
        <f ca="1">IFERROR(__xludf.DUMMYFUNCTION("GOOGLETRANSLATE(A11721 , ""tr"" , ""en"")"),"@drfahrettinkoca is already done in one of you, it is already done in HA, this is what is already and no d ... https://t.co/nfnjvkmxyk")</f>
        <v>@drfahrettinkoca is already done in one of you, it is already done in HA, this is what is already and no d ... https://t.co/nfnjvkmxyk</v>
      </c>
    </row>
    <row r="14923" spans="1:5" ht="15" customHeight="1" x14ac:dyDescent="0.2">
      <c r="A14923" s="1" t="s">
        <v>29419</v>
      </c>
      <c r="B14923" s="1">
        <v>0</v>
      </c>
      <c r="C14923" s="3">
        <v>44525.89739583333</v>
      </c>
      <c r="D14923" s="1" t="s">
        <v>29420</v>
      </c>
      <c r="E14923" s="1" t="str">
        <f ca="1">IFERROR(__xludf.DUMMYFUNCTION("GOOGLETRANSLATE(A11722 , ""tr"" , ""en"")"),"@drfahrettinka https://t.co/cb1nrxq5ys")</f>
        <v>@drfahrettinka https://t.co/cb1nrxq5ys</v>
      </c>
    </row>
    <row r="14924" spans="1:5" ht="15" customHeight="1" x14ac:dyDescent="0.2">
      <c r="A14924" s="1" t="s">
        <v>29421</v>
      </c>
      <c r="B14924" s="1">
        <v>79</v>
      </c>
      <c r="C14924" s="3">
        <v>44525.897337962961</v>
      </c>
      <c r="D14924" s="1" t="s">
        <v>29422</v>
      </c>
      <c r="E14924" s="1" t="str">
        <f ca="1">IFERROR(__xludf.DUMMYFUNCTION("GOOGLETRANSLATE(A11723 , ""tr"" , ""en"")"),"@drfahrettinka We are also committed to our proceeding the violence of healthiers. For example 20 months at the beginning of the gray ill ... https://t.co/0wcscxtsvy")</f>
        <v>@drfahrettinka We are also committed to our proceeding the violence of healthiers. For example 20 months at the beginning of the gray ill ... https://t.co/0wcscxtsvy</v>
      </c>
    </row>
    <row r="14925" spans="1:5" ht="15" customHeight="1" x14ac:dyDescent="0.2">
      <c r="A14925" s="1" t="s">
        <v>29423</v>
      </c>
      <c r="B14925" s="1">
        <v>1</v>
      </c>
      <c r="C14925" s="3">
        <v>44525.897268518522</v>
      </c>
      <c r="D14925" s="1" t="s">
        <v>29424</v>
      </c>
      <c r="E14925" s="1" t="str">
        <f ca="1">IFERROR(__xludf.DUMMYFUNCTION("GOOGLETRANSLATE(A11724 , ""tr"" , ""en"")"),"@drfahrettinkoca what are we looking forward to in allah sake")</f>
        <v>@drfahrettinkoca what are we looking forward to in allah sake</v>
      </c>
    </row>
    <row r="14926" spans="1:5" ht="15" customHeight="1" x14ac:dyDescent="0.2">
      <c r="A14926" s="1" t="s">
        <v>29425</v>
      </c>
      <c r="B14926" s="1">
        <v>0</v>
      </c>
      <c r="C14926" s="3">
        <v>44525.897002314814</v>
      </c>
      <c r="D14926" s="1" t="s">
        <v>29426</v>
      </c>
      <c r="E14926" s="1" t="str">
        <f ca="1">IFERROR(__xludf.DUMMYFUNCTION("GOOGLETRANSLATE(A11725 , ""tr"" , ""en"")"),"@drfahrettinka https://t.co/7b5yzqvkob")</f>
        <v>@drfahrettinka https://t.co/7b5yzqvkob</v>
      </c>
    </row>
    <row r="14927" spans="1:5" ht="15" customHeight="1" x14ac:dyDescent="0.2">
      <c r="A14927" s="1" t="s">
        <v>29427</v>
      </c>
      <c r="B14927" s="1">
        <v>0</v>
      </c>
      <c r="C14927" s="3">
        <v>44525.896990740737</v>
      </c>
      <c r="D14927" s="1" t="s">
        <v>29428</v>
      </c>
      <c r="E14927" s="1" t="str">
        <f ca="1">IFERROR(__xludf.DUMMYFUNCTION("GOOGLETRANSLATE(A11726 , ""tr"" , ""en"")"),"@drfahrettinkoca where is the guide")</f>
        <v>@drfahrettinkoca where is the guide</v>
      </c>
    </row>
    <row r="14928" spans="1:5" ht="15" customHeight="1" x14ac:dyDescent="0.2">
      <c r="A14928" s="1" t="s">
        <v>29429</v>
      </c>
      <c r="B14928" s="1">
        <v>3</v>
      </c>
      <c r="C14928" s="3">
        <v>44525.896967592591</v>
      </c>
      <c r="D14928" s="1" t="s">
        <v>29430</v>
      </c>
      <c r="E14928" s="1" t="str">
        <f ca="1">IFERROR(__xludf.DUMMYFUNCTION("GOOGLETRANSLATE(A11727 , ""tr"" , ""en"")"),"@drfahrettinkoca 13 months It's been in the KPSS in the enterprise still didn't get the assignment this ordeal")</f>
        <v>@drfahrettinkoca 13 months It's been in the KPSS in the enterprise still didn't get the assignment this ordeal</v>
      </c>
    </row>
    <row r="14929" spans="1:5" ht="15" customHeight="1" x14ac:dyDescent="0.2">
      <c r="A14929" s="1" t="s">
        <v>29431</v>
      </c>
      <c r="B14929" s="1">
        <v>0</v>
      </c>
      <c r="C14929" s="3">
        <v>44526.984664351854</v>
      </c>
      <c r="D14929" s="1" t="s">
        <v>29432</v>
      </c>
      <c r="E14929" s="1" t="str">
        <f ca="1">IFERROR(__xludf.DUMMYFUNCTION("GOOGLETRANSLATE(A11728 , ""tr"" , ""en"")"),"@drfahrettinkoca @rterdogan fahrettin hocam, knows the tusa service score to the expertise exam system in the medical medicine ... https://t.co/ruakhdnhrc")</f>
        <v>@drfahrettinkoca @rterdogan fahrettin hocam, knows the tusa service score to the expertise exam system in the medical medicine ... https://t.co/ruakhdnhrc</v>
      </c>
    </row>
    <row r="14930" spans="1:5" ht="15" customHeight="1" x14ac:dyDescent="0.2">
      <c r="A14930" s="1" t="s">
        <v>29433</v>
      </c>
      <c r="B14930" s="1">
        <v>0</v>
      </c>
      <c r="C14930" s="3">
        <v>44526.984560185185</v>
      </c>
      <c r="D14930" s="1" t="s">
        <v>29434</v>
      </c>
      <c r="E14930" s="1" t="str">
        <f ca="1">IFERROR(__xludf.DUMMYFUNCTION("GOOGLETRANSLATE(A11729 , ""tr"" , ""en"")"),"@drfahrettinkoca @rterdogan fahrettin ram, ,enienienienienienienienienieni bilgienieni tıp tıp tıp tıp tıp tıpeni tıpenieni bilgienienienienienieni")</f>
        <v>@drfahrettinkoca @rterdogan fahrettin ram, ,enienienienienienienienienieni bilgienieni tıp tıp tıp tıp tıp tıpeni tıpenieni bilgienienienienienieni</v>
      </c>
    </row>
    <row r="14931" spans="1:5" ht="15" customHeight="1" x14ac:dyDescent="0.2">
      <c r="A14931" s="1" t="s">
        <v>29435</v>
      </c>
      <c r="B14931" s="1">
        <v>0</v>
      </c>
      <c r="C14931" s="3">
        <v>44526.984479166669</v>
      </c>
      <c r="D14931" s="1" t="s">
        <v>29436</v>
      </c>
      <c r="E14931" s="1" t="str">
        <f ca="1">IFERROR(__xludf.DUMMYFUNCTION("GOOGLETRANSLATE(A11730 , ""tr"" , ""en"")"),"@drfahrettinkoca @rterdogan Fahrettin Hocam, the knowledge of the expertise examination system in the medical examination system to add TUSA service score ... https://t.co/jhvky0elx0")</f>
        <v>@drfahrettinkoca @rterdogan Fahrettin Hocam, the knowledge of the expertise examination system in the medical examination system to add TUSA service score ... https://t.co/jhvky0elx0</v>
      </c>
    </row>
    <row r="14932" spans="1:5" ht="15" customHeight="1" x14ac:dyDescent="0.2">
      <c r="A14932" s="1" t="s">
        <v>29437</v>
      </c>
      <c r="B14932" s="1">
        <v>0</v>
      </c>
      <c r="C14932" s="3">
        <v>44526.984293981484</v>
      </c>
      <c r="D14932" s="1" t="s">
        <v>29438</v>
      </c>
      <c r="E14932" s="1" t="str">
        <f ca="1">IFERROR(__xludf.DUMMYFUNCTION("GOOGLETRANSLATE(A11731 , ""tr"" , ""en"")"),"@drfahrettinkoca @rterdogan Fahrettin Hocam, Information Measuring TUSA EXPERIENCE EXPERIENCE SYSTEM")</f>
        <v>@drfahrettinkoca @rterdogan Fahrettin Hocam, Information Measuring TUSA EXPERIENCE EXPERIENCE SYSTEM</v>
      </c>
    </row>
    <row r="14933" spans="1:5" ht="15" customHeight="1" x14ac:dyDescent="0.2">
      <c r="A14933" s="1" t="s">
        <v>29439</v>
      </c>
      <c r="B14933" s="1">
        <v>1</v>
      </c>
      <c r="C14933" s="3">
        <v>44526.984201388892</v>
      </c>
      <c r="D14933" s="1" t="s">
        <v>29440</v>
      </c>
      <c r="E14933" s="1" t="str">
        <f ca="1">IFERROR(__xludf.DUMMYFUNCTION("GOOGLETRANSLATE(A11732 , ""tr"" , ""en"")"),"@drfahrettinkoca @rterdogan fahrettin ram, ,enienienienienienienienieni tıp bilgi tıp tıp heni")</f>
        <v>@drfahrettinkoca @rterdogan fahrettin ram, ,enienienienienienienienieni tıp bilgi tıp tıp heni</v>
      </c>
    </row>
    <row r="14934" spans="1:5" ht="15" customHeight="1" x14ac:dyDescent="0.2">
      <c r="A14934" s="1" t="s">
        <v>29441</v>
      </c>
      <c r="B14934" s="1">
        <v>1</v>
      </c>
      <c r="C14934" s="3">
        <v>44526.940335648149</v>
      </c>
      <c r="D14934" s="1" t="s">
        <v>29442</v>
      </c>
      <c r="E14934" s="1" t="str">
        <f ca="1">IFERROR(__xludf.DUMMYFUNCTION("GOOGLETRANSLATE(A11733 , ""tr"" , ""en"")"),"@drfahrettinkoca peh.")</f>
        <v>@drfahrettinkoca peh.</v>
      </c>
    </row>
    <row r="14935" spans="1:5" ht="15" customHeight="1" x14ac:dyDescent="0.2">
      <c r="A14935" s="1" t="s">
        <v>29443</v>
      </c>
      <c r="B14935" s="1">
        <v>0</v>
      </c>
      <c r="C14935" s="3">
        <v>44526.901192129626</v>
      </c>
      <c r="D14935" s="1" t="s">
        <v>29444</v>
      </c>
      <c r="E14935" s="1" t="str">
        <f ca="1">IFERROR(__xludf.DUMMYFUNCTION("GOOGLETRANSLATE(A11734 , ""tr"" , ""en"")"),"@drfahrettinkoca #DIDYAYANIKENGELATEMA # DisabledInage10Bin Disabled Healthiers for 4 years not opened for 4 years ... https://t.co/oiqrowcicq")</f>
        <v>@drfahrettinkoca #DIDYAYANIKENGELATEMA # DisabledInage10Bin Disabled Healthiers for 4 years not opened for 4 years ... https://t.co/oiqrowcicq</v>
      </c>
    </row>
    <row r="14936" spans="1:5" ht="15" customHeight="1" x14ac:dyDescent="0.2">
      <c r="A14936" s="1" t="s">
        <v>29445</v>
      </c>
      <c r="B14936" s="1">
        <v>0</v>
      </c>
      <c r="C14936" s="3">
        <v>44526.901041666664</v>
      </c>
      <c r="D14936" s="1" t="s">
        <v>29446</v>
      </c>
      <c r="E14936" s="1" t="str">
        <f ca="1">IFERROR(__xludf.DUMMYFUNCTION("GOOGLETRANSLATE(A11735 , ""tr"" , ""en"")"),"@drfahrettinkoca #DIDAKIKENGELETIMA # DisabledInage10Bin Disabled Healthiers for 4 years Unpacked Connection ... HTTPS://T.CO/ZOMTPFPFI1")</f>
        <v>@drfahrettinkoca #DIDAKIKENGELETIMA # DisabledInage10Bin Disabled Healthiers for 4 years Unpacked Connection ... HTTPS://T.CO/ZOMTPFPFI1</v>
      </c>
    </row>
    <row r="14937" spans="1:5" ht="15" customHeight="1" x14ac:dyDescent="0.2">
      <c r="A14937" s="1" t="s">
        <v>29447</v>
      </c>
      <c r="B14937" s="1">
        <v>0</v>
      </c>
      <c r="C14937" s="3">
        <v>44526.900763888887</v>
      </c>
      <c r="D14937" s="1" t="s">
        <v>29448</v>
      </c>
      <c r="E14937" s="1" t="str">
        <f ca="1">IFERROR(__xludf.DUMMYFUNCTION("GOOGLETRANSLATE(A11736 , ""tr"" , ""en"")"),"@drfahrettinkoca #DIDAKIKENGELATEATMA # DisabledInage10Bin Disabled Healthiers for 4 years not opened for 4 years ... https://t.co/e2qzh4j0mg")</f>
        <v>@drfahrettinkoca #DIDAKIKENGELATEATMA # DisabledInage10Bin Disabled Healthiers for 4 years not opened for 4 years ... https://t.co/e2qzh4j0mg</v>
      </c>
    </row>
    <row r="14938" spans="1:5" ht="15" customHeight="1" x14ac:dyDescent="0.2">
      <c r="A14938" s="1" t="s">
        <v>29449</v>
      </c>
      <c r="B14938" s="1">
        <v>0</v>
      </c>
      <c r="C14938" s="3">
        <v>44526.899351851855</v>
      </c>
      <c r="D14938" s="1" t="s">
        <v>29450</v>
      </c>
      <c r="E14938" s="1" t="str">
        <f ca="1">IFERROR(__xludf.DUMMYFUNCTION("GOOGLETRANSLATE(A11737 , ""tr"" , ""en"")"),"@drfahrettinka Mr. Ministry Some of our healthcare officers are unfortunately rebuke to the public is being rude. ÇO ... https://t.co/LBRUQ5IVEP")</f>
        <v>@drfahrettinka Mr. Ministry Some of our healthcare officers are unfortunately rebuke to the public is being rude. ÇO ... https://t.co/LBRUQ5IVEP</v>
      </c>
    </row>
    <row r="14939" spans="1:5" ht="15" customHeight="1" x14ac:dyDescent="0.2">
      <c r="A14939" s="1" t="s">
        <v>29451</v>
      </c>
      <c r="B14939" s="1">
        <v>0</v>
      </c>
      <c r="C14939" s="3">
        <v>44532.88721064815</v>
      </c>
      <c r="D14939" s="1" t="s">
        <v>29452</v>
      </c>
      <c r="E14939" s="1" t="str">
        <f ca="1">IFERROR(__xludf.DUMMYFUNCTION("GOOGLETRANSLATE(A11738 , ""tr"" , ""en"")"),"@drfahrettinkoca Some doctors don't even get to the room You can't get to the door put in the door ... HTTPS://T.CO/XKS3AI9AIO")</f>
        <v>@drfahrettinkoca Some doctors don't even get to the room You can't get to the door put in the door ... HTTPS://T.CO/XKS3AI9AIO</v>
      </c>
    </row>
    <row r="14940" spans="1:5" ht="15" customHeight="1" x14ac:dyDescent="0.2">
      <c r="A14940" s="1" t="s">
        <v>29453</v>
      </c>
      <c r="B14940" s="1">
        <v>0</v>
      </c>
      <c r="C14940" s="3">
        <v>44532.769513888888</v>
      </c>
      <c r="D14940" s="1" t="s">
        <v>29454</v>
      </c>
      <c r="E14940" s="1" t="str">
        <f ca="1">IFERROR(__xludf.DUMMYFUNCTION("GOOGLETRANSLATE(A11739 , ""tr"" , ""en"")"),"@drfahrettinkoca let's see your guarrel now")</f>
        <v>@drfahrettinkoca let's see your guarrel now</v>
      </c>
    </row>
    <row r="14941" spans="1:5" ht="15" customHeight="1" x14ac:dyDescent="0.2">
      <c r="A14941" s="1" t="s">
        <v>29455</v>
      </c>
      <c r="B14941" s="1">
        <v>0</v>
      </c>
      <c r="C14941" s="3">
        <v>44525.980196759258</v>
      </c>
      <c r="D14941" s="1" t="s">
        <v>29456</v>
      </c>
      <c r="E14941" s="1" t="str">
        <f ca="1">IFERROR(__xludf.DUMMYFUNCTION("GOOGLETRANSLATE(A11740 , ""tr"" , ""en"")"),"@drfahrettinkoca Dollar 13 was 13, the country has bankrupt, the man says more vaccine, someone tell me about the country agenda.")</f>
        <v>@drfahrettinkoca Dollar 13 was 13, the country has bankrupt, the man says more vaccine, someone tell me about the country agenda.</v>
      </c>
    </row>
    <row r="14942" spans="1:5" ht="15" customHeight="1" x14ac:dyDescent="0.2">
      <c r="A14942" s="1" t="s">
        <v>29457</v>
      </c>
      <c r="B14942" s="1">
        <v>3</v>
      </c>
      <c r="C14942" s="3">
        <v>44525.975208333337</v>
      </c>
      <c r="D14942" s="1" t="s">
        <v>29458</v>
      </c>
      <c r="E14942" s="1" t="str">
        <f ca="1">IFERROR(__xludf.DUMMYFUNCTION("GOOGLETRANSLATE(A11741 , ""tr"" , ""en"")"),"@drfahrettinkoca has no epidemic already, there is a disease replicated with PCR test, 3 actual patients with 100 PCR is positive with 100 PCR.")</f>
        <v>@drfahrettinkoca has no epidemic already, there is a disease replicated with PCR test, 3 actual patients with 100 PCR is positive with 100 PCR.</v>
      </c>
    </row>
    <row r="14943" spans="1:5" ht="15" customHeight="1" x14ac:dyDescent="0.2">
      <c r="A14943" s="1" t="s">
        <v>29459</v>
      </c>
      <c r="B14943" s="1">
        <v>0</v>
      </c>
      <c r="C14943" s="3">
        <v>44525.969270833331</v>
      </c>
      <c r="D14943" s="1" t="s">
        <v>29460</v>
      </c>
      <c r="E14943" s="1" t="str">
        <f ca="1">IFERROR(__xludf.DUMMYFUNCTION("GOOGLETRANSLATE(A11742 , ""tr"" , ""en"")"),"@drfahrettinkoca HERYER was blue but doesn't end out of epidemic. If you are acting as if you are not supervising with the rules ... https://t.co/wgcmhzjwof")</f>
        <v>@drfahrettinkoca HERYER was blue but doesn't end out of epidemic. If you are acting as if you are not supervising with the rules ... https://t.co/wgcmhzjwof</v>
      </c>
    </row>
    <row r="14944" spans="1:5" ht="15" customHeight="1" x14ac:dyDescent="0.2">
      <c r="A14944" s="1" t="s">
        <v>29461</v>
      </c>
      <c r="B14944" s="1">
        <v>2</v>
      </c>
      <c r="C14944" s="3">
        <v>44525.963043981479</v>
      </c>
      <c r="D14944" s="1" t="s">
        <v>29462</v>
      </c>
      <c r="E14944" s="1" t="str">
        <f ca="1">IFERROR(__xludf.DUMMYFUNCTION("GOOGLETRANSLATE(A11743 , ""tr"" , ""en"")"),"@drfahrettinka you obey, we're not already, you are acting like you don't.")</f>
        <v>@drfahrettinka you obey, we're not already, you are acting like you don't.</v>
      </c>
    </row>
    <row r="14945" spans="1:5" ht="15" customHeight="1" x14ac:dyDescent="0.2">
      <c r="A14945" s="1" t="s">
        <v>29463</v>
      </c>
      <c r="B14945" s="1">
        <v>0</v>
      </c>
      <c r="C14945" s="3">
        <v>44525.957986111112</v>
      </c>
      <c r="D14945" s="1" t="s">
        <v>29464</v>
      </c>
      <c r="E14945" s="1" t="str">
        <f ca="1">IFERROR(__xludf.DUMMYFUNCTION("GOOGLETRANSLATE(A11744 , ""tr"" , ""en"")"),"@drfahrettinkoca inshallah at the time of the nation at the time of humanity at the time of humanity, and the execution is also removed by him ... HTTPS://T.CO/YSYRCCU3EQ")</f>
        <v>@drfahrettinkoca inshallah at the time of the nation at the time of humanity at the time of humanity, and the execution is also removed by him ... HTTPS://T.CO/YSYRCCU3EQ</v>
      </c>
    </row>
    <row r="14946" spans="1:5" ht="15" customHeight="1" x14ac:dyDescent="0.2">
      <c r="A14946" s="1" t="s">
        <v>29465</v>
      </c>
      <c r="B14946" s="1">
        <v>0</v>
      </c>
      <c r="C14946" s="3">
        <v>44525.954687500001</v>
      </c>
      <c r="D14946" s="1" t="s">
        <v>29466</v>
      </c>
      <c r="E14946" s="1" t="str">
        <f ca="1">IFERROR(__xludf.DUMMYFUNCTION("GOOGLETRANSLATE(A11745 , ""tr"" , ""en"")"),"@drfahrettinkoca no vaccine, if you don't know that, drop the DR title Already in the Property it's in vain ... https://t.co/rx0vrw0uqs")</f>
        <v>@drfahrettinkoca no vaccine, if you don't know that, drop the DR title Already in the Property it's in vain ... https://t.co/rx0vrw0uqs</v>
      </c>
    </row>
    <row r="14947" spans="1:5" ht="15" customHeight="1" x14ac:dyDescent="0.2">
      <c r="A14947" s="1" t="s">
        <v>29467</v>
      </c>
      <c r="B14947" s="1">
        <v>0</v>
      </c>
      <c r="C14947" s="3">
        <v>44525.950300925928</v>
      </c>
      <c r="D14947" s="1" t="s">
        <v>29468</v>
      </c>
      <c r="E14947" s="1" t="str">
        <f ca="1">IFERROR(__xludf.DUMMYFUNCTION("GOOGLETRANSLATE(A11746 , ""tr"" , ""en"")"),"@drfahrettinkoca epidemic is not already in your WHO you have subcontracts. And you will give you the Vebalini here without the other world")</f>
        <v>@drfahrettinkoca epidemic is not already in your WHO you have subcontracts. And you will give you the Vebalini here without the other world</v>
      </c>
    </row>
    <row r="14948" spans="1:5" ht="15" customHeight="1" x14ac:dyDescent="0.2">
      <c r="A14948" s="1" t="s">
        <v>29469</v>
      </c>
      <c r="B14948" s="1">
        <v>0</v>
      </c>
      <c r="C14948" s="3">
        <v>44525.947951388887</v>
      </c>
      <c r="D14948" s="1" t="s">
        <v>29470</v>
      </c>
      <c r="E14948" s="1" t="str">
        <f ca="1">IFERROR(__xludf.DUMMYFUNCTION("GOOGLETRANSLATE(A11747 , ""tr"" , ""en"")"),"@drfahrettinkoca In the crowded grades of the interior of the children's mask with the mask, you are also mased in the medium ... https://t.co/rd93ahq19w")</f>
        <v>@drfahrettinkoca In the crowded grades of the interior of the children's mask with the mask, you are also mased in the medium ... https://t.co/rd93ahq19w</v>
      </c>
    </row>
    <row r="14949" spans="1:5" ht="15" customHeight="1" x14ac:dyDescent="0.2">
      <c r="A14949" s="1" t="s">
        <v>29471</v>
      </c>
      <c r="B14949" s="1">
        <v>0</v>
      </c>
      <c r="C14949" s="3">
        <v>44525.946446759262</v>
      </c>
      <c r="D14949" s="1" t="s">
        <v>29472</v>
      </c>
      <c r="E14949" s="1" t="str">
        <f ca="1">IFERROR(__xludf.DUMMYFUNCTION("GOOGLETRANSLATE(A11748 , ""tr"" , ""en"")"),"@drfahrettinkoca pretending to have not lacking the distance education exam face to face and the same transportation with Covidli ... https://t.co/IV6Z8JTTKR")</f>
        <v>@drfahrettinkoca pretending to have not lacking the distance education exam face to face and the same transportation with Covidli ... https://t.co/IV6Z8JTTKR</v>
      </c>
    </row>
    <row r="14950" spans="1:5" ht="15" customHeight="1" x14ac:dyDescent="0.2">
      <c r="A14950" s="1" t="s">
        <v>29473</v>
      </c>
      <c r="B14950" s="1">
        <v>0</v>
      </c>
      <c r="C14950" s="3">
        <v>44525.936493055553</v>
      </c>
      <c r="D14950" s="1" t="s">
        <v>29474</v>
      </c>
      <c r="E14950" s="1" t="str">
        <f ca="1">IFERROR(__xludf.DUMMYFUNCTION("GOOGLETRANSLATE(A11749 , ""tr"" , ""en"")"),"@drfahrettinkoca billy gates said so")</f>
        <v>@drfahrettinkoca billy gates said so</v>
      </c>
    </row>
    <row r="14951" spans="1:5" ht="15" customHeight="1" x14ac:dyDescent="0.2">
      <c r="A14951" s="1" t="s">
        <v>29475</v>
      </c>
      <c r="B14951" s="1">
        <v>0</v>
      </c>
      <c r="C14951" s="3">
        <v>44525.936099537037</v>
      </c>
      <c r="D14951" s="1" t="s">
        <v>29476</v>
      </c>
      <c r="E14951" s="1" t="str">
        <f ca="1">IFERROR(__xludf.DUMMYFUNCTION("GOOGLETRANSLATE(A11750 , ""tr"" , ""en"")"),"@drfahrettinkoca If there was a real epidemic no one could ever live as if there is no epidemic")</f>
        <v>@drfahrettinkoca If there was a real epidemic no one could ever live as if there is no epidemic</v>
      </c>
    </row>
    <row r="14952" spans="1:5" ht="15" customHeight="1" x14ac:dyDescent="0.2">
      <c r="A14952" s="1" t="s">
        <v>29477</v>
      </c>
      <c r="B14952" s="1">
        <v>4</v>
      </c>
      <c r="C14952" s="3">
        <v>44525.931377314817</v>
      </c>
      <c r="D14952" s="1" t="s">
        <v>29478</v>
      </c>
      <c r="E14952" s="1" t="str">
        <f ca="1">IFERROR(__xludf.DUMMYFUNCTION("GOOGLETRANSLATE(A11751 , ""tr"" , ""en"")"),"@drfahrettinkoca Hani was ending up 14 days, Hani Chinese protection 95%, Hani single dose is enough, Hani mask we wear SO ... https://t.co/8cqy1zicgv")</f>
        <v>@drfahrettinkoca Hani was ending up 14 days, Hani Chinese protection 95%, Hani single dose is enough, Hani mask we wear SO ... https://t.co/8cqy1zicgv</v>
      </c>
    </row>
    <row r="14953" spans="1:5" ht="15" customHeight="1" x14ac:dyDescent="0.2">
      <c r="A14953" s="1" t="s">
        <v>29479</v>
      </c>
      <c r="B14953" s="1">
        <v>0</v>
      </c>
      <c r="C14953" s="3">
        <v>44525.930266203701</v>
      </c>
      <c r="D14953" s="1" t="s">
        <v>29480</v>
      </c>
      <c r="E14953" s="1" t="str">
        <f ca="1">IFERROR(__xludf.DUMMYFUNCTION("GOOGLETRANSLATE(A11752 , ""tr"" , ""en"")"),"@drfahrettinkoca hodri challenge https://t.co/lqaoxc34fc")</f>
        <v>@drfahrettinkoca hodri challenge https://t.co/lqaoxc34fc</v>
      </c>
    </row>
    <row r="14954" spans="1:5" ht="15" customHeight="1" x14ac:dyDescent="0.2">
      <c r="A14954" s="1" t="s">
        <v>29481</v>
      </c>
      <c r="B14954" s="1">
        <v>0</v>
      </c>
      <c r="C14954" s="3">
        <v>44525.9299537037</v>
      </c>
      <c r="D14954" s="1" t="s">
        <v>29482</v>
      </c>
      <c r="E14954" s="1" t="str">
        <f ca="1">IFERROR(__xludf.DUMMYFUNCTION("GOOGLETRANSLATE(A11753 , ""tr"" , ""en"")"),"@drfahrettinkoca. . . : PLEASE WATCH: . . . https://t.co/cfewvhnfes. . . : PLEASE WATCH: . . . https://t.co/awlfnc842c")</f>
        <v>@drfahrettinkoca. . . : PLEASE WATCH: . . . https://t.co/cfewvhnfes. . . : PLEASE WATCH: . . . https://t.co/awlfnc842c</v>
      </c>
    </row>
    <row r="14955" spans="1:5" ht="15" customHeight="1" x14ac:dyDescent="0.2">
      <c r="A14955" s="1" t="s">
        <v>29483</v>
      </c>
      <c r="B14955" s="1">
        <v>0</v>
      </c>
      <c r="C14955" s="3">
        <v>44525.928101851852</v>
      </c>
      <c r="D14955" s="1" t="s">
        <v>29484</v>
      </c>
      <c r="E14955" s="1" t="str">
        <f ca="1">IFERROR(__xludf.DUMMYFUNCTION("GOOGLETRANSLATE(A11754 , ""tr"" , ""en"")"),"Look @drfahrettinka Look at the ASI Yözmus eee rebel in Africa Yokmus 🤠🤠 https://t.co/i0pkuzs58e")</f>
        <v>Look @drfahrettinka Look at the ASI Yözmus eee rebel in Africa Yokmus 🤠🤠 https://t.co/i0pkuzs58e</v>
      </c>
    </row>
    <row r="14956" spans="1:5" ht="15" customHeight="1" x14ac:dyDescent="0.2">
      <c r="A14956" s="1" t="s">
        <v>29485</v>
      </c>
      <c r="B14956" s="1">
        <v>0</v>
      </c>
      <c r="C14956" s="3">
        <v>44525.927673611113</v>
      </c>
      <c r="D14956" s="1" t="s">
        <v>29486</v>
      </c>
      <c r="E14956" s="1" t="str">
        <f ca="1">IFERROR(__xludf.DUMMYFUNCTION("GOOGLETRANSLATE(A11755 , ""tr"" , ""en"")"),"@drfahrettinkoca has an epidemic you say you are also isolated on the gene map of the virus if you are isolated all ... https://t.co/wsbh5uiugs")</f>
        <v>@drfahrettinkoca has an epidemic you say you are also isolated on the gene map of the virus if you are isolated all ... https://t.co/wsbh5uiugs</v>
      </c>
    </row>
    <row r="14957" spans="1:5" ht="15" customHeight="1" x14ac:dyDescent="0.2">
      <c r="A14957" s="1" t="s">
        <v>29487</v>
      </c>
      <c r="B14957" s="1">
        <v>0</v>
      </c>
      <c r="C14957" s="3">
        <v>44525.925358796296</v>
      </c>
      <c r="D14957" s="1" t="s">
        <v>29488</v>
      </c>
      <c r="E14957" s="1" t="str">
        <f ca="1">IFERROR(__xludf.DUMMYFUNCTION("GOOGLETRANSLATE(A11756 , ""tr"" , ""en"")"),"@drfahrettinkoca enough tired of upright you are tired of your lies")</f>
        <v>@drfahrettinkoca enough tired of upright you are tired of your lies</v>
      </c>
    </row>
    <row r="14958" spans="1:5" ht="15" customHeight="1" x14ac:dyDescent="0.2">
      <c r="A14958" s="1" t="s">
        <v>29489</v>
      </c>
      <c r="B14958" s="1">
        <v>0</v>
      </c>
      <c r="C14958" s="3">
        <v>44525.922071759262</v>
      </c>
      <c r="D14958" s="1" t="s">
        <v>29490</v>
      </c>
      <c r="E14958" s="1" t="str">
        <f ca="1">IFERROR(__xludf.DUMMYFUNCTION("GOOGLETRANSLATE(A11757 , ""tr"" , ""en"")"),"@drfahrettinkoca scientists reported that a new variant with 32 mutations named 'B.1.1.529'")</f>
        <v>@drfahrettinkoca scientists reported that a new variant with 32 mutations named 'B.1.1.529'</v>
      </c>
    </row>
    <row r="14959" spans="1:5" ht="15" customHeight="1" x14ac:dyDescent="0.2">
      <c r="A14959" s="1" t="s">
        <v>29491</v>
      </c>
      <c r="B14959" s="1">
        <v>1</v>
      </c>
      <c r="C14959" s="3">
        <v>44525.921770833331</v>
      </c>
      <c r="D14959" s="1" t="s">
        <v>29492</v>
      </c>
      <c r="E14959" s="1" t="str">
        <f ca="1">IFERROR(__xludf.DUMMYFUNCTION("GOOGLETRANSLATE(A11758 , ""tr"" , ""en"")"),"If @drfahrettinkoca does not die from the corona, this folk will die from starvation, government officials, rather than mentioning the vaccine, Miicetin ... https://t.co/j3rxapbb9")</f>
        <v>If @drfahrettinkoca does not die from the corona, this folk will die from starvation, government officials, rather than mentioning the vaccine, Miicetin ... https://t.co/j3rxapbb9</v>
      </c>
    </row>
    <row r="14960" spans="1:5" ht="15" customHeight="1" x14ac:dyDescent="0.2">
      <c r="A14960" s="1" t="s">
        <v>29493</v>
      </c>
      <c r="B14960" s="1">
        <v>1</v>
      </c>
      <c r="C14960" s="3">
        <v>44525.91810185185</v>
      </c>
      <c r="D14960" s="1" t="s">
        <v>29494</v>
      </c>
      <c r="E14960" s="1" t="str">
        <f ca="1">IFERROR(__xludf.DUMMYFUNCTION("GOOGLETRANSLATE(A11759 , ""tr"" , ""en"")"),"@drfahrettinkoca Look at the dead number how much you are comfortable do you have a conscience")</f>
        <v>@drfahrettinkoca Look at the dead number how much you are comfortable do you have a conscience</v>
      </c>
    </row>
    <row r="14961" spans="1:5" ht="15" customHeight="1" x14ac:dyDescent="0.2">
      <c r="A14961" s="1" t="s">
        <v>29495</v>
      </c>
      <c r="B14961" s="1">
        <v>15</v>
      </c>
      <c r="C14961" s="3">
        <v>44525.916655092595</v>
      </c>
      <c r="D14961" s="1" t="s">
        <v>29496</v>
      </c>
      <c r="E14961" s="1" t="str">
        <f ca="1">IFERROR(__xludf.DUMMYFUNCTION("GOOGLETRANSLATE(A11760 , ""tr"" , ""en"")"),"@drfahrettinkoca Everyone in 5 people I have entered in Corona, the University campus is everyone patient or Corona Olu ... https://t.co/matstlpgmi")</f>
        <v>@drfahrettinkoca Everyone in 5 people I have entered in Corona, the University campus is everyone patient or Corona Olu ... https://t.co/matstlpgmi</v>
      </c>
    </row>
    <row r="14962" spans="1:5" ht="15" customHeight="1" x14ac:dyDescent="0.2">
      <c r="A14962" s="1" t="s">
        <v>29497</v>
      </c>
      <c r="B14962" s="1">
        <v>0</v>
      </c>
      <c r="C14962" s="3">
        <v>44525.913321759261</v>
      </c>
      <c r="D14962" s="1" t="s">
        <v>29498</v>
      </c>
      <c r="E14962" s="1" t="str">
        <f ca="1">IFERROR(__xludf.DUMMYFUNCTION("GOOGLETRANSLATE(A11761 , ""tr"" , ""en"")"),"@drfahrettinkoca actors in our main people pretending to have no epidemics What do people do ... I do this pregnant, Half this week ... https://t.co/eqltfeqzhj")</f>
        <v>@drfahrettinkoca actors in our main people pretending to have no epidemics What do people do ... I do this pregnant, Half this week ... https://t.co/eqltfeqzhj</v>
      </c>
    </row>
    <row r="14963" spans="1:5" ht="15" customHeight="1" x14ac:dyDescent="0.2">
      <c r="A14963" s="1" t="s">
        <v>29499</v>
      </c>
      <c r="B14963" s="1">
        <v>1</v>
      </c>
      <c r="C14963" s="3">
        <v>44525.912256944444</v>
      </c>
      <c r="D14963" s="1" t="s">
        <v>29500</v>
      </c>
      <c r="E14963" s="1" t="str">
        <f ca="1">IFERROR(__xludf.DUMMYFUNCTION("GOOGLETRANSLATE(A11762 , ""tr"" , ""en"")"),"@drfahrettinka vaccine miracle this is like the European brake popped up like the truck ... https://t.co/2towgumnh0")</f>
        <v>@drfahrettinka vaccine miracle this is like the European brake popped up like the truck ... https://t.co/2towgumnh0</v>
      </c>
    </row>
    <row r="14964" spans="1:5" ht="15" customHeight="1" x14ac:dyDescent="0.2">
      <c r="A14964" s="1" t="s">
        <v>29501</v>
      </c>
      <c r="B14964" s="1">
        <v>0</v>
      </c>
      <c r="C14964" s="3">
        <v>44525.910196759258</v>
      </c>
      <c r="D14964" s="1" t="s">
        <v>29502</v>
      </c>
      <c r="E14964" s="1" t="str">
        <f ca="1">IFERROR(__xludf.DUMMYFUNCTION("GOOGLETRANSLATE(A11763 , ""tr"" , ""en"")"),"@drfahrettinkoca Asilama Orii is very Dustu Min. No wearing the mask, there is no social distance! Most Token Folk, Zam Firt ... https://t.co/s2wbutg45z")</f>
        <v>@drfahrettinkoca Asilama Orii is very Dustu Min. No wearing the mask, there is no social distance! Most Token Folk, Zam Firt ... https://t.co/s2wbutg45z</v>
      </c>
    </row>
    <row r="14965" spans="1:5" ht="15" customHeight="1" x14ac:dyDescent="0.2">
      <c r="A14965" s="1" t="s">
        <v>29503</v>
      </c>
      <c r="B14965" s="1">
        <v>3</v>
      </c>
      <c r="C14965" s="3">
        <v>44525.907106481478</v>
      </c>
      <c r="D14965" s="1" t="s">
        <v>29504</v>
      </c>
      <c r="E14965" s="1" t="str">
        <f ca="1">IFERROR(__xludf.DUMMYFUNCTION("GOOGLETRANSLATE(A11764 , ""tr"" , ""en"")"),"@drfahrettinkoca Crowd and Cold Plug in as many masks as you want in closed classes (which is tiny kids ... https://t.co/ru0fPIHCPG")</f>
        <v>@drfahrettinkoca Crowd and Cold Plug in as many masks as you want in closed classes (which is tiny kids ... https://t.co/ru0fPIHCPG</v>
      </c>
    </row>
    <row r="14966" spans="1:5" ht="15" customHeight="1" x14ac:dyDescent="0.2">
      <c r="A14966" s="1" t="s">
        <v>29505</v>
      </c>
      <c r="B14966" s="1">
        <v>0</v>
      </c>
      <c r="C14966" s="3">
        <v>44525.906898148147</v>
      </c>
      <c r="D14966" s="1" t="s">
        <v>29506</v>
      </c>
      <c r="E14966" s="1" t="str">
        <f ca="1">IFERROR(__xludf.DUMMYFUNCTION("GOOGLETRANSLATE(A11765 , ""tr"" , ""en"")"),"@drfahrettinkoca ha, so we did well now it's out of us ...")</f>
        <v>@drfahrettinkoca ha, so we did well now it's out of us ...</v>
      </c>
    </row>
    <row r="14967" spans="1:5" ht="15" customHeight="1" x14ac:dyDescent="0.2">
      <c r="A14967" s="1" t="s">
        <v>29507</v>
      </c>
      <c r="B14967" s="1">
        <v>1</v>
      </c>
      <c r="C14967" s="3">
        <v>44525.904120370367</v>
      </c>
      <c r="D14967" s="1" t="s">
        <v>29508</v>
      </c>
      <c r="E14967" s="1" t="str">
        <f ca="1">IFERROR(__xludf.DUMMYFUNCTION("GOOGLETRANSLATE(A11766 , ""tr"" , ""en"")"),"If @drfahrettinkoca was not inoculation and the virus would be mutated. The world has no pandemes lasting for more than 2 years. Prof ... https://t.co/jykq5IZAMG")</f>
        <v>If @drfahrettinkoca was not inoculation and the virus would be mutated. The world has no pandemes lasting for more than 2 years. Prof ... https://t.co/jykq5IZAMG</v>
      </c>
    </row>
    <row r="14968" spans="1:5" ht="15" customHeight="1" x14ac:dyDescent="0.2">
      <c r="A14968" s="1" t="s">
        <v>29509</v>
      </c>
      <c r="B14968" s="1">
        <v>11</v>
      </c>
      <c r="C14968" s="3">
        <v>44525.902407407404</v>
      </c>
      <c r="D14968" s="1" t="s">
        <v>29510</v>
      </c>
      <c r="E14968" s="1" t="str">
        <f ca="1">IFERROR(__xludf.DUMMYFUNCTION("GOOGLETRANSLATE(A11767 , ""tr"" , ""en"")"),"@drfahrettinkoca you pretend that you are not having an epidemic is already why don't you still take precautions in schools?!")</f>
        <v>@drfahrettinkoca you pretend that you are not having an epidemic is already why don't you still take precautions in schools?!</v>
      </c>
    </row>
    <row r="14969" spans="1:5" ht="15" customHeight="1" x14ac:dyDescent="0.2">
      <c r="A14969" s="1" t="s">
        <v>29511</v>
      </c>
      <c r="B14969" s="1">
        <v>4</v>
      </c>
      <c r="C14969" s="3">
        <v>44525.902002314811</v>
      </c>
      <c r="D14969" s="1" t="s">
        <v>29512</v>
      </c>
      <c r="E14969" s="1" t="str">
        <f ca="1">IFERROR(__xludf.DUMMYFUNCTION("GOOGLETRANSLATE(A11768 , ""tr"" , ""en"")"),"@drfahrettinkoca 120 million dose overdosing and the result taken?")</f>
        <v>@drfahrettinkoca 120 million dose overdosing and the result taken?</v>
      </c>
    </row>
    <row r="14970" spans="1:5" ht="15" customHeight="1" x14ac:dyDescent="0.2">
      <c r="A14970" s="1" t="s">
        <v>29513</v>
      </c>
      <c r="B14970" s="1">
        <v>10</v>
      </c>
      <c r="C14970" s="3">
        <v>44525.900555555556</v>
      </c>
      <c r="D14970" s="1" t="s">
        <v>29514</v>
      </c>
      <c r="E14970" s="1" t="str">
        <f ca="1">IFERROR(__xludf.DUMMYFUNCTION("GOOGLETRANSLATE(A11769 , ""tr"" , ""en"")"),"What the @drfahrettinkoca release is getting used to the fact that it will continue for a while more of a while ... HTTPS://T.CO/XHGNIG8JDF")</f>
        <v>What the @drfahrettinkoca release is getting used to the fact that it will continue for a while more of a while ... HTTPS://T.CO/XHGNIG8JDF</v>
      </c>
    </row>
    <row r="14971" spans="1:5" ht="15" customHeight="1" x14ac:dyDescent="0.2">
      <c r="A14971" s="1" t="s">
        <v>29515</v>
      </c>
      <c r="B14971" s="1">
        <v>6</v>
      </c>
      <c r="C14971" s="3">
        <v>44525.899027777778</v>
      </c>
      <c r="D14971" s="1" t="s">
        <v>29516</v>
      </c>
      <c r="E14971" s="1" t="str">
        <f ca="1">IFERROR(__xludf.DUMMYFUNCTION("GOOGLETRANSLATE(A11770 , ""tr"" , ""en"")"),"@drfahrettinka Arab tourists from the babe tourists do not wear masks, don't fit the distance? What is this chif ... https://t.co/yatxgq5kgd")</f>
        <v>@drfahrettinka Arab tourists from the babe tourists do not wear masks, don't fit the distance? What is this chif ... https://t.co/yatxgq5kgd</v>
      </c>
    </row>
    <row r="14972" spans="1:5" ht="15" customHeight="1" x14ac:dyDescent="0.2">
      <c r="A14972" s="1" t="s">
        <v>29517</v>
      </c>
      <c r="B14972" s="1">
        <v>0</v>
      </c>
      <c r="C14972" s="3">
        <v>44539.705578703702</v>
      </c>
      <c r="D14972" s="1" t="s">
        <v>29518</v>
      </c>
      <c r="E14972" s="1" t="str">
        <f ca="1">IFERROR(__xludf.DUMMYFUNCTION("GOOGLETRANSLATE(A11771 , ""tr"" , ""en"")"),"@drfahrettinka Mr. Minister This assignments have no longer needed to live on the fishing?")</f>
        <v>@drfahrettinka Mr. Minister This assignments have no longer needed to live on the fishing?</v>
      </c>
    </row>
    <row r="14973" spans="1:5" ht="15" customHeight="1" x14ac:dyDescent="0.2">
      <c r="A14973" s="1" t="s">
        <v>29519</v>
      </c>
      <c r="B14973" s="1">
        <v>4</v>
      </c>
      <c r="C14973" s="3">
        <v>44526.943194444444</v>
      </c>
      <c r="D14973" s="1" t="s">
        <v>29520</v>
      </c>
      <c r="E14973" s="1" t="str">
        <f ca="1">IFERROR(__xludf.DUMMYFUNCTION("GOOGLETRANSLATE(A11772 , ""tr"" , ""en"")"),"@drfahrettinkoca I'm very close to normal since possible since the life of Covid-19 Planemia has been very close to normal already Fahrettin Bey 😏")</f>
        <v>@drfahrettinkoca I'm very close to normal since possible since the life of Covid-19 Planemia has been very close to normal already Fahrettin Bey 😏</v>
      </c>
    </row>
    <row r="14974" spans="1:5" ht="15" customHeight="1" x14ac:dyDescent="0.2">
      <c r="A14974" s="1" t="s">
        <v>29521</v>
      </c>
      <c r="B14974" s="1">
        <v>0</v>
      </c>
      <c r="C14974" s="3">
        <v>44526.911840277775</v>
      </c>
      <c r="D14974" s="1" t="s">
        <v>29522</v>
      </c>
      <c r="E14974" s="1" t="str">
        <f ca="1">IFERROR(__xludf.DUMMYFUNCTION("GOOGLETRANSLATE(A11773 , ""tr"" , ""en"")"),"@drfahrettinkoca @saglikbakanligi Hear EkpsS Victim Healthiers")</f>
        <v>@drfahrettinkoca @saglikbakanligi Hear EkpsS Victim Healthiers</v>
      </c>
    </row>
    <row r="14975" spans="1:5" ht="15" customHeight="1" x14ac:dyDescent="0.2">
      <c r="A14975" s="1" t="s">
        <v>29523</v>
      </c>
      <c r="B14975" s="1">
        <v>0</v>
      </c>
      <c r="C14975" s="3">
        <v>44526.911643518521</v>
      </c>
      <c r="D14975" s="1" t="s">
        <v>29524</v>
      </c>
      <c r="E14975" s="1" t="str">
        <f ca="1">IFERROR(__xludf.DUMMYFUNCTION("GOOGLETRANSLATE(A11774 , ""tr"" , ""en"")"),"@drfahrettinkoca Hear your @saglikbakanligi Disabled Health")</f>
        <v>@drfahrettinkoca Hear your @saglikbakanligi Disabled Health</v>
      </c>
    </row>
    <row r="14976" spans="1:5" ht="15" customHeight="1" x14ac:dyDescent="0.2">
      <c r="A14976" s="1" t="s">
        <v>29525</v>
      </c>
      <c r="B14976" s="1">
        <v>0</v>
      </c>
      <c r="C14976" s="3">
        <v>44526.911493055559</v>
      </c>
      <c r="D14976" s="1" t="s">
        <v>29526</v>
      </c>
      <c r="E14976" s="1" t="str">
        <f ca="1">IFERROR(__xludf.DUMMYFUNCTION("GOOGLETRANSLATE(A11775 , ""tr"" , ""en"")"),"@drfahrettinkoca @saglikbakanligi to take the disabled healthcare and to whom do you give the min of squads? Hear our voice ... https://t.co/kdchgoumzy")</f>
        <v>@drfahrettinkoca @saglikbakanligi to take the disabled healthcare and to whom do you give the min of squads? Hear our voice ... https://t.co/kdchgoumzy</v>
      </c>
    </row>
    <row r="14977" spans="1:5" ht="15" customHeight="1" x14ac:dyDescent="0.2">
      <c r="A14977" s="1" t="s">
        <v>29527</v>
      </c>
      <c r="B14977" s="1">
        <v>0</v>
      </c>
      <c r="C14977" s="3">
        <v>44526.911412037036</v>
      </c>
      <c r="D14977" s="1" t="s">
        <v>29528</v>
      </c>
      <c r="E14977" s="1" t="str">
        <f ca="1">IFERROR(__xludf.DUMMYFUNCTION("GOOGLETRANSLATE(A11776 , ""tr"" , ""en"")"),"@drfahrettinkoca @saglikbakanligi Assign Disability")</f>
        <v>@drfahrettinkoca @saglikbakanligi Assign Disability</v>
      </c>
    </row>
    <row r="14978" spans="1:5" ht="15" customHeight="1" x14ac:dyDescent="0.2">
      <c r="A14978" s="1" t="s">
        <v>29529</v>
      </c>
      <c r="B14978" s="1">
        <v>0</v>
      </c>
      <c r="C14978" s="3">
        <v>44526.911215277774</v>
      </c>
      <c r="D14978" s="1" t="s">
        <v>29530</v>
      </c>
      <c r="E14978" s="1" t="str">
        <f ca="1">IFERROR(__xludf.DUMMYFUNCTION("GOOGLETRANSLATE(A11777 , ""tr"" , ""en"")"),"@drfahrettinkoca @saglikbakanligi ekpss")</f>
        <v>@drfahrettinkoca @saglikbakanligi ekpss</v>
      </c>
    </row>
    <row r="14979" spans="1:5" ht="15" customHeight="1" x14ac:dyDescent="0.2">
      <c r="A14979" s="1" t="s">
        <v>29531</v>
      </c>
      <c r="B14979" s="1">
        <v>0</v>
      </c>
      <c r="C14979" s="3">
        <v>44526.911168981482</v>
      </c>
      <c r="D14979" s="1" t="s">
        <v>29532</v>
      </c>
      <c r="E14979" s="1" t="str">
        <f ca="1">IFERROR(__xludf.DUMMYFUNCTION("GOOGLETRANSLATE(A11778 , ""tr"" , ""en"")"),"@drfahrettinkoca @saglikbakanligi Disabled Healthier Assignment")</f>
        <v>@drfahrettinkoca @saglikbakanligi Disabled Healthier Assignment</v>
      </c>
    </row>
    <row r="14980" spans="1:5" ht="15" customHeight="1" x14ac:dyDescent="0.2">
      <c r="A14980" s="1" t="s">
        <v>29533</v>
      </c>
      <c r="B14980" s="1">
        <v>0</v>
      </c>
      <c r="C14980" s="3">
        <v>44526.911076388889</v>
      </c>
      <c r="D14980" s="1" t="s">
        <v>29534</v>
      </c>
      <c r="E14980" s="1" t="str">
        <f ca="1">IFERROR(__xludf.DUMMYFUNCTION("GOOGLETRANSLATE(A11779 , ""tr"" , ""en"")"),"@drfahrettinkoca @saglikbakanligi EMPSS assignment")</f>
        <v>@drfahrettinkoca @saglikbakanligi EMPSS assignment</v>
      </c>
    </row>
    <row r="14981" spans="1:5" ht="15" customHeight="1" x14ac:dyDescent="0.2">
      <c r="A14981" s="1" t="s">
        <v>29535</v>
      </c>
      <c r="B14981" s="1">
        <v>0</v>
      </c>
      <c r="C14981" s="3">
        <v>44526.910995370374</v>
      </c>
      <c r="D14981" s="1" t="s">
        <v>29536</v>
      </c>
      <c r="E14981" s="1" t="str">
        <f ca="1">IFERROR(__xludf.DUMMYFUNCTION("GOOGLETRANSLATE(A11780 , ""tr"" , ""en"")"),"@drfahrettinkoca @saglikbakanligi to take the disabled healthcare and to whom do you give the min of squads? Hear our voice ... https://t.co/1jwıkrwdk1")</f>
        <v>@drfahrettinkoca @saglikbakanligi to take the disabled healthcare and to whom do you give the min of squads? Hear our voice ... https://t.co/1jwıkrwdk1</v>
      </c>
    </row>
    <row r="14982" spans="1:5" ht="15" customHeight="1" x14ac:dyDescent="0.2">
      <c r="A14982" s="1" t="s">
        <v>29537</v>
      </c>
      <c r="B14982" s="1">
        <v>0</v>
      </c>
      <c r="C14982" s="3">
        <v>44526.910868055558</v>
      </c>
      <c r="D14982" s="1" t="s">
        <v>29538</v>
      </c>
      <c r="E14982" s="1" t="str">
        <f ca="1">IFERROR(__xludf.DUMMYFUNCTION("GOOGLETRANSLATE(A11781 , ""tr"" , ""en"")"),"@drfahrettinkoca @saglikbakanligi to take the disabled healthcare and to whom do you give the min of squads? Hear our voice ... https://t.co/ri1ysxnqle")</f>
        <v>@drfahrettinkoca @saglikbakanligi to take the disabled healthcare and to whom do you give the min of squads? Hear our voice ... https://t.co/ri1ysxnqle</v>
      </c>
    </row>
    <row r="14983" spans="1:5" ht="15" customHeight="1" x14ac:dyDescent="0.2">
      <c r="A14983" s="1" t="s">
        <v>29539</v>
      </c>
      <c r="B14983" s="1">
        <v>0</v>
      </c>
      <c r="C14983" s="3">
        <v>44525.949201388888</v>
      </c>
      <c r="D14983" s="1" t="s">
        <v>29540</v>
      </c>
      <c r="E14983" s="1" t="str">
        <f ca="1">IFERROR(__xludf.DUMMYFUNCTION("GOOGLETRANSLATE(A11782 , ""tr"" , ""en"")"),"@drfahrettinka you and the film of the filim board with your eyes Come on your eye Aydin Minister Bey 😁😁 https://t.co/SUIV1TYIGD")</f>
        <v>@drfahrettinka you and the film of the filim board with your eyes Come on your eye Aydin Minister Bey 😁😁 https://t.co/SUIV1TYIGD</v>
      </c>
    </row>
    <row r="14984" spans="1:5" ht="15" customHeight="1" x14ac:dyDescent="0.2">
      <c r="A14984" s="1" t="s">
        <v>29481</v>
      </c>
      <c r="B14984" s="1">
        <v>0</v>
      </c>
      <c r="C14984" s="3">
        <v>44525.930023148147</v>
      </c>
      <c r="D14984" s="1" t="s">
        <v>29541</v>
      </c>
      <c r="E14984" s="1" t="str">
        <f ca="1">IFERROR(__xludf.DUMMYFUNCTION("GOOGLETRANSLATE(A11783 , ""tr"" , ""en"")"),"@drfahrettinkoca. . . : PLEASE WATCH: . . . https://t.co/cfewvhnfes. . . : PLEASE WATCH: . . . https://t.co/awlfnc842c")</f>
        <v>@drfahrettinkoca. . . : PLEASE WATCH: . . . https://t.co/cfewvhnfes. . . : PLEASE WATCH: . . . https://t.co/awlfnc842c</v>
      </c>
    </row>
    <row r="14985" spans="1:5" ht="15" customHeight="1" x14ac:dyDescent="0.2">
      <c r="A14985" s="1" t="s">
        <v>29542</v>
      </c>
      <c r="B14985" s="1">
        <v>0</v>
      </c>
      <c r="C14985" s="3">
        <v>44526.906215277777</v>
      </c>
      <c r="D14985" s="1" t="s">
        <v>29543</v>
      </c>
      <c r="E14985" s="1" t="str">
        <f ca="1">IFERROR(__xludf.DUMMYFUNCTION("GOOGLETRANSLATE(A11784 , ""tr"" , ""en"")"),"@drfahrettinkoca has saved disabled health care 5 Thank you for 4 years Thank you")</f>
        <v>@drfahrettinkoca has saved disabled health care 5 Thank you for 4 years Thank you</v>
      </c>
    </row>
    <row r="14986" spans="1:5" ht="15" customHeight="1" x14ac:dyDescent="0.2">
      <c r="A14986" s="1" t="s">
        <v>29544</v>
      </c>
      <c r="B14986" s="1">
        <v>0</v>
      </c>
      <c r="C14986" s="3">
        <v>44526.906145833331</v>
      </c>
      <c r="D14986" s="1" t="s">
        <v>29545</v>
      </c>
      <c r="E14986" s="1" t="str">
        <f ca="1">IFERROR(__xludf.DUMMYFUNCTION("GOOGLETRANSLATE(A11785 , ""tr"" , ""en"")"),"@drfahrettinkoca you have saved from disabled health care 5 Thanks to the Ministry of Ministry thank you anymore ... https://t.co/ebmky1zevm")</f>
        <v>@drfahrettinkoca you have saved from disabled health care 5 Thanks to the Ministry of Ministry thank you anymore ... https://t.co/ebmky1zevm</v>
      </c>
    </row>
    <row r="14987" spans="1:5" ht="15" customHeight="1" x14ac:dyDescent="0.2">
      <c r="A14987" s="1" t="s">
        <v>29546</v>
      </c>
      <c r="B14987" s="1">
        <v>0</v>
      </c>
      <c r="C14987" s="3">
        <v>44526.904976851853</v>
      </c>
      <c r="D14987" s="1" t="s">
        <v>29547</v>
      </c>
      <c r="E14987" s="1" t="str">
        <f ca="1">IFERROR(__xludf.DUMMYFUNCTION("GOOGLETRANSLATE(A11786 , ""tr"" , ""en"")"),"@drfahrettinkoca has saved disabled health care 5 Thank you for 4 years Thank you")</f>
        <v>@drfahrettinkoca has saved disabled health care 5 Thank you for 4 years Thank you</v>
      </c>
    </row>
    <row r="14988" spans="1:5" ht="15" customHeight="1" x14ac:dyDescent="0.2">
      <c r="A14988" s="1" t="s">
        <v>29548</v>
      </c>
      <c r="B14988" s="1">
        <v>0</v>
      </c>
      <c r="C14988" s="3">
        <v>44526.901678240742</v>
      </c>
      <c r="D14988" s="1" t="s">
        <v>29549</v>
      </c>
      <c r="E14988" s="1" t="str">
        <f ca="1">IFERROR(__xludf.DUMMYFUNCTION("GOOGLETRANSLATE(A11787 , ""tr"" , ""en"")"),"@drfahrettinkoca Disabled Healthiers Awaiting Qualified Staff")</f>
        <v>@drfahrettinkoca Disabled Healthiers Awaiting Qualified Staff</v>
      </c>
    </row>
    <row r="14989" spans="1:5" ht="15" customHeight="1" x14ac:dyDescent="0.2">
      <c r="A14989" s="1" t="s">
        <v>29550</v>
      </c>
      <c r="B14989" s="1">
        <v>0</v>
      </c>
      <c r="C14989" s="3">
        <v>44526.901435185187</v>
      </c>
      <c r="D14989" s="1" t="s">
        <v>29551</v>
      </c>
      <c r="E14989" s="1" t="str">
        <f ca="1">IFERROR(__xludf.DUMMYFUNCTION("GOOGLETRANSLATE(A11788 , ""tr"" , ""en"")"),"@drfahrettinkoca Assign disabled health care How to pay us @drfahrettinkoca @ Sagliklicozum ... https://t.co/ejeqco8l")</f>
        <v>@drfahrettinkoca Assign disabled health care How to pay us @drfahrettinkoca @ Sagliklicozum ... https://t.co/ejeqco8l</v>
      </c>
    </row>
    <row r="14990" spans="1:5" ht="15" customHeight="1" x14ac:dyDescent="0.2">
      <c r="A14990" s="1" t="s">
        <v>29552</v>
      </c>
      <c r="B14990" s="1">
        <v>0</v>
      </c>
      <c r="C14990" s="3">
        <v>44525.995219907411</v>
      </c>
      <c r="D14990" s="1" t="s">
        <v>29553</v>
      </c>
      <c r="E14990" s="1" t="str">
        <f ca="1">IFERROR(__xludf.DUMMYFUNCTION("GOOGLETRANSLATE(A11789 , ""tr"" , ""en"")"),"@drfahrettinkoca # Bagkurtescilists # Bagkurtescils # Bagkurtycilms # Bagkurtycilms # baykurtycilms ... https://t.co/hkyowpcluz")</f>
        <v>@drfahrettinkoca # Bagkurtescilists # Bagkurtescils # Bagkurtycilms # Bagkurtycilms # baykurtycilms ... https://t.co/hkyowpcluz</v>
      </c>
    </row>
    <row r="14991" spans="1:5" ht="15" customHeight="1" x14ac:dyDescent="0.2">
      <c r="A14991" s="1" t="s">
        <v>29554</v>
      </c>
      <c r="B14991" s="1">
        <v>0</v>
      </c>
      <c r="C14991" s="3">
        <v>44525.98541666667</v>
      </c>
      <c r="D14991" s="1" t="s">
        <v>29555</v>
      </c>
      <c r="E14991" s="1" t="str">
        <f ca="1">IFERROR(__xludf.DUMMYFUNCTION("GOOGLETRANSLATE(A11790 , ""tr"" , ""en"")"),"@drfahrettinkoca folks Why don't you see why 😂😂 Survey the folks say what ...")</f>
        <v>@drfahrettinkoca folks Why don't you see why 😂😂 Survey the folks say what ...</v>
      </c>
    </row>
    <row r="14992" spans="1:5" ht="15" customHeight="1" x14ac:dyDescent="0.2">
      <c r="A14992" s="1" t="s">
        <v>29556</v>
      </c>
      <c r="B14992" s="1">
        <v>0</v>
      </c>
      <c r="C14992" s="3">
        <v>44525.949606481481</v>
      </c>
      <c r="D14992" s="1" t="s">
        <v>29557</v>
      </c>
      <c r="E14992" s="1" t="str">
        <f ca="1">IFERROR(__xludf.DUMMYFUNCTION("GOOGLETRANSLATE(A11791 , ""tr"" , ""en"")"),"@drfahrettinkoca Germany, Biontek vaccine took an allele rush in six months and marketed to the world, we are still our own vaccine ... https://t.co/BPJFIQMJR3")</f>
        <v>@drfahrettinkoca Germany, Biontek vaccine took an allele rush in six months and marketed to the world, we are still our own vaccine ... https://t.co/BPJFIQMJR3</v>
      </c>
    </row>
    <row r="14993" spans="1:5" ht="15" customHeight="1" x14ac:dyDescent="0.2">
      <c r="A14993" s="1" t="s">
        <v>29481</v>
      </c>
      <c r="B14993" s="1">
        <v>0</v>
      </c>
      <c r="C14993" s="3">
        <v>44525.930115740739</v>
      </c>
      <c r="D14993" s="1" t="s">
        <v>29558</v>
      </c>
      <c r="E14993" s="1" t="str">
        <f ca="1">IFERROR(__xludf.DUMMYFUNCTION("GOOGLETRANSLATE(A11792 , ""tr"" , ""en"")"),"@drfahrettinkoca. . . : PLEASE WATCH: . . . https://t.co/cfewvhnfes. . . : PLEASE WATCH: . . . https://t.co/awlfnc842c")</f>
        <v>@drfahrettinkoca. . . : PLEASE WATCH: . . . https://t.co/cfewvhnfes. . . : PLEASE WATCH: . . . https://t.co/awlfnc842c</v>
      </c>
    </row>
    <row r="14994" spans="1:5" ht="15" customHeight="1" x14ac:dyDescent="0.2">
      <c r="A14994" s="1" t="s">
        <v>29559</v>
      </c>
      <c r="B14994" s="1">
        <v>0</v>
      </c>
      <c r="C14994" s="3">
        <v>44525.921979166669</v>
      </c>
      <c r="D14994" s="1" t="s">
        <v>29560</v>
      </c>
      <c r="E14994" s="1" t="str">
        <f ca="1">IFERROR(__xludf.DUMMYFUNCTION("GOOGLETRANSLATE(A11793 , ""tr"" , ""en"")"),"@drfahrettinkoca aha; The AKP has entered the fake vaccine business.")</f>
        <v>@drfahrettinkoca aha; The AKP has entered the fake vaccine business.</v>
      </c>
    </row>
    <row r="14995" spans="1:5" ht="15" customHeight="1" x14ac:dyDescent="0.2">
      <c r="A14995" s="1" t="s">
        <v>29561</v>
      </c>
      <c r="B14995" s="1">
        <v>0</v>
      </c>
      <c r="C14995" s="3">
        <v>44525.906805555554</v>
      </c>
      <c r="D14995" s="1" t="s">
        <v>29562</v>
      </c>
      <c r="E14995" s="1" t="str">
        <f ca="1">IFERROR(__xludf.DUMMYFUNCTION("GOOGLETRANSLATE(A11794 , ""tr"" , ""en"")"),"@drfahrettinkoca get auspicious President We will razard from you Allah gets to settle on you")</f>
        <v>@drfahrettinkoca get auspicious President We will razard from you Allah gets to settle on you</v>
      </c>
    </row>
    <row r="14996" spans="1:5" ht="15" customHeight="1" x14ac:dyDescent="0.2">
      <c r="A14996" s="1" t="s">
        <v>29563</v>
      </c>
      <c r="B14996" s="1">
        <v>0</v>
      </c>
      <c r="C14996" s="3">
        <v>44525.905347222222</v>
      </c>
      <c r="D14996" s="1" t="s">
        <v>29564</v>
      </c>
      <c r="E14996" s="1" t="str">
        <f ca="1">IFERROR(__xludf.DUMMYFUNCTION("GOOGLETRANSLATE(A11795 , ""tr"" , ""en"")"),"@drfahrettinkoca Hz Allah MAXUBRAVOB, Muvaffakiyegsi İhsan Seplain Construction")</f>
        <v>@drfahrettinkoca Hz Allah MAXUBRAVOB, Muvaffakiyegsi İhsan Seplain Construction</v>
      </c>
    </row>
    <row r="14997" spans="1:5" ht="15" customHeight="1" x14ac:dyDescent="0.2">
      <c r="A14997" s="1" t="s">
        <v>29565</v>
      </c>
      <c r="B14997" s="1">
        <v>7</v>
      </c>
      <c r="C14997" s="3">
        <v>44525.903078703705</v>
      </c>
      <c r="D14997" s="1" t="s">
        <v>29566</v>
      </c>
      <c r="E14997" s="1" t="str">
        <f ca="1">IFERROR(__xludf.DUMMYFUNCTION("GOOGLETRANSLATE(A11796 , ""tr"" , ""en"")"),"@drfahrettinkoca Fahrettin African countries' money we didn't believe how to say it would be valuable from ours. HTTPS://T.CO/H6QYT2C2S5")</f>
        <v>@drfahrettinkoca Fahrettin African countries' money we didn't believe how to say it would be valuable from ours. HTTPS://T.CO/H6QYT2C2S5</v>
      </c>
    </row>
    <row r="14998" spans="1:5" ht="15" customHeight="1" x14ac:dyDescent="0.2">
      <c r="A14998" s="1" t="s">
        <v>29567</v>
      </c>
      <c r="B14998" s="1">
        <v>0</v>
      </c>
      <c r="C14998" s="3">
        <v>44526.954224537039</v>
      </c>
      <c r="D14998" s="1" t="s">
        <v>29568</v>
      </c>
      <c r="E14998" s="1" t="str">
        <f ca="1">IFERROR(__xludf.DUMMYFUNCTION("GOOGLETRANSLATE(A11797 , ""tr"" , ""en"")"),"@drfahrettinkoca get out of the Turkish vaccine")</f>
        <v>@drfahrettinkoca get out of the Turkish vaccine</v>
      </c>
    </row>
    <row r="14999" spans="1:5" ht="15" customHeight="1" x14ac:dyDescent="0.2">
      <c r="A14999" s="1" t="s">
        <v>29569</v>
      </c>
      <c r="B14999" s="1">
        <v>0</v>
      </c>
      <c r="C14999" s="3">
        <v>44537.918865740743</v>
      </c>
      <c r="D14999" s="1" t="s">
        <v>29570</v>
      </c>
      <c r="E14999" s="1" t="str">
        <f ca="1">IFERROR(__xludf.DUMMYFUNCTION("GOOGLETRANSLATE(A11798 , ""tr"" , ""en"")"),"@drfahrettinkoca Dear Ministry If the doctors are not given the right to patients in every branch basis is difficult to go to the examination ... https://t.co/xkm56y2d4j")</f>
        <v>@drfahrettinkoca Dear Ministry If the doctors are not given the right to patients in every branch basis is difficult to go to the examination ... https://t.co/xkm56y2d4j</v>
      </c>
    </row>
    <row r="15000" spans="1:5" ht="15" customHeight="1" x14ac:dyDescent="0.2">
      <c r="A15000" s="1" t="s">
        <v>29571</v>
      </c>
      <c r="B15000" s="1">
        <v>0</v>
      </c>
      <c r="C15000" s="3">
        <v>44537.913437499999</v>
      </c>
      <c r="D15000" s="1" t="s">
        <v>29572</v>
      </c>
      <c r="E15000" s="1" t="str">
        <f ca="1">IFERROR(__xludf.DUMMYFUNCTION("GOOGLETRANSLATE(A11799 , ""tr"" , ""en"")"),"@drfahrettinkoca Mr. Minister is a doctor to have an appointments in the other hospital at no other hospital at all specialists ... https://t.co/leıyqsb3ln")</f>
        <v>@drfahrettinkoca Mr. Minister is a doctor to have an appointments in the other hospital at no other hospital at all specialists ... https://t.co/leıyqsb3ln</v>
      </c>
    </row>
    <row r="15001" spans="1:5" ht="15" customHeight="1" x14ac:dyDescent="0.2">
      <c r="A15001" s="1" t="s">
        <v>29573</v>
      </c>
      <c r="B15001" s="1">
        <v>0</v>
      </c>
      <c r="C15001" s="3">
        <v>44537.907812500001</v>
      </c>
      <c r="D15001" s="1" t="s">
        <v>29574</v>
      </c>
      <c r="E15001" s="1" t="str">
        <f ca="1">IFERROR(__xludf.DUMMYFUNCTION("GOOGLETRANSLATE(A11800 , ""tr"" , ""en"")"),"@drfahrettinka Mr. Ministry of Ministry of Doctors' earned rights closest in new improvements on the way to each other ... https://t.co/bzgbxlhssl")</f>
        <v>@drfahrettinka Mr. Ministry of Ministry of Doctors' earned rights closest in new improvements on the way to each other ... https://t.co/bzgbxlhssl</v>
      </c>
    </row>
    <row r="15002" spans="1:5" ht="15" customHeight="1" x14ac:dyDescent="0.2">
      <c r="A15002" s="1" t="s">
        <v>29575</v>
      </c>
      <c r="B15002" s="1">
        <v>0</v>
      </c>
      <c r="C15002" s="3">
        <v>44537.902696759258</v>
      </c>
      <c r="D15002" s="1" t="s">
        <v>29576</v>
      </c>
      <c r="E15002" s="1" t="str">
        <f ca="1">IFERROR(__xludf.DUMMYFUNCTION("GOOGLETRANSLATE(A11801 , ""tr"" , ""en"")"),"@drfahrettinka Mr. Ministry of Ministry Some of the people who are envious Some of the doctors do not want to get the pay hike to the top ... https://t.co/8o1aOücevk")</f>
        <v>@drfahrettinka Mr. Ministry of Ministry Some of the people who are envious Some of the doctors do not want to get the pay hike to the top ... https://t.co/8o1aOücevk</v>
      </c>
    </row>
    <row r="15003" spans="1:5" ht="15" customHeight="1" x14ac:dyDescent="0.2">
      <c r="A15003" s="1" t="s">
        <v>29577</v>
      </c>
      <c r="B15003" s="1">
        <v>0</v>
      </c>
      <c r="C15003" s="3">
        <v>44537.897268518522</v>
      </c>
      <c r="D15003" s="1" t="s">
        <v>29578</v>
      </c>
      <c r="E15003" s="1" t="str">
        <f ca="1">IFERROR(__xludf.DUMMYFUNCTION("GOOGLETRANSLATE(A11802 , ""tr"" , ""en"")"),"@drfahrettinka Mr. Ministry of Doctors As a successful respected doctor as a respected doctor Doctor ... HTTPS://T.CO/YXFJ4KIDB7")</f>
        <v>@drfahrettinka Mr. Ministry of Doctors As a successful respected doctor as a respected doctor Doctor ... HTTPS://T.CO/YXFJ4KIDB7</v>
      </c>
    </row>
    <row r="15004" spans="1:5" ht="15" customHeight="1" x14ac:dyDescent="0.2">
      <c r="A15004" s="1" t="s">
        <v>29579</v>
      </c>
      <c r="B15004" s="1">
        <v>0</v>
      </c>
      <c r="C15004" s="3">
        <v>44525.947534722225</v>
      </c>
      <c r="D15004" s="1" t="s">
        <v>29580</v>
      </c>
      <c r="E15004" s="1" t="str">
        <f ca="1">IFERROR(__xludf.DUMMYFUNCTION("GOOGLETRANSLATE(A11803 , ""tr"" , ""en"")"),"@drfahrettinkoca SMA Patient You will be more waiting for children to support more")</f>
        <v>@drfahrettinkoca SMA Patient You will be more waiting for children to support more</v>
      </c>
    </row>
    <row r="15005" spans="1:5" ht="15" customHeight="1" x14ac:dyDescent="0.2">
      <c r="A15005" s="1" t="s">
        <v>29581</v>
      </c>
      <c r="B15005" s="1">
        <v>0</v>
      </c>
      <c r="C15005" s="3">
        <v>44525.944988425923</v>
      </c>
      <c r="D15005" s="1" t="s">
        <v>29582</v>
      </c>
      <c r="E15005" s="1" t="str">
        <f ca="1">IFERROR(__xludf.DUMMYFUNCTION("GOOGLETRANSLATE(A11804 , ""tr"" , ""en"")"),"@drfahrettinkoca was the year 2021 Public workers' recruitment is happening with the Court of KPSS What to say KPSS is why these purchases are with KPSS ... https://t.co/98hkhl9nj2")</f>
        <v>@drfahrettinkoca was the year 2021 Public workers' recruitment is happening with the Court of KPSS What to say KPSS is why these purchases are with KPSS ... https://t.co/98hkhl9nj2</v>
      </c>
    </row>
    <row r="15006" spans="1:5" ht="15" customHeight="1" x14ac:dyDescent="0.2">
      <c r="A15006" s="1" t="s">
        <v>29481</v>
      </c>
      <c r="B15006" s="1">
        <v>0</v>
      </c>
      <c r="C15006" s="3">
        <v>44525.930219907408</v>
      </c>
      <c r="D15006" s="1" t="s">
        <v>29583</v>
      </c>
      <c r="E15006" s="1" t="str">
        <f ca="1">IFERROR(__xludf.DUMMYFUNCTION("GOOGLETRANSLATE(A11805 , ""tr"" , ""en"")"),"@drfahrettinkoca. . . : PLEASE WATCH: . . . https://t.co/cfewvhnfes. . . : PLEASE WATCH: . . . https://t.co/awlfnc842c")</f>
        <v>@drfahrettinkoca. . . : PLEASE WATCH: . . . https://t.co/cfewvhnfes. . . : PLEASE WATCH: . . . https://t.co/awlfnc842c</v>
      </c>
    </row>
    <row r="15007" spans="1:5" ht="15" customHeight="1" x14ac:dyDescent="0.2">
      <c r="A15007" s="1" t="s">
        <v>29584</v>
      </c>
      <c r="B15007" s="1">
        <v>0</v>
      </c>
      <c r="C15007" s="3">
        <v>44525.907326388886</v>
      </c>
      <c r="D15007" s="1" t="s">
        <v>29585</v>
      </c>
      <c r="E15007" s="1" t="str">
        <f ca="1">IFERROR(__xludf.DUMMYFUNCTION("GOOGLETRANSLATE(A11806 , ""tr"" , ""en"")"),"@drfahrettinkca nationality and the state you have stripped the state?")</f>
        <v>@drfahrettinkca nationality and the state you have stripped the state?</v>
      </c>
    </row>
    <row r="15008" spans="1:5" ht="15" customHeight="1" x14ac:dyDescent="0.2">
      <c r="A15008" s="1" t="s">
        <v>29586</v>
      </c>
      <c r="B15008" s="1">
        <v>0</v>
      </c>
      <c r="C15008" s="3">
        <v>44525.907037037039</v>
      </c>
      <c r="D15008" s="1" t="s">
        <v>29587</v>
      </c>
      <c r="E15008" s="1" t="str">
        <f ca="1">IFERROR(__xludf.DUMMYFUNCTION("GOOGLETRANSLATE(A11807 , ""tr"" , ""en"")"),"@drfahrettinkoca We need to continue the fake outbreak of the other year. De de https://t.co/jjzwqpsdbq")</f>
        <v>@drfahrettinkoca We need to continue the fake outbreak of the other year. De de https://t.co/jjzwqpsdbq</v>
      </c>
    </row>
    <row r="15009" spans="1:5" ht="15" customHeight="1" x14ac:dyDescent="0.2">
      <c r="A15009" s="1" t="s">
        <v>29588</v>
      </c>
      <c r="B15009" s="1">
        <v>1</v>
      </c>
      <c r="C15009" s="3">
        <v>44525.984652777777</v>
      </c>
      <c r="D15009" s="1" t="s">
        <v>29589</v>
      </c>
      <c r="E15009" s="1" t="str">
        <f ca="1">IFERROR(__xludf.DUMMYFUNCTION("GOOGLETRANSLATE(A11808 , ""tr"" , ""en"")"),"@drfahrettinkoca Bergül Varan: Musician / Revolutionary. Group of comments member! In May 30, 2017, Okmeydanı Idil Culture Center ... https://t.co/nknbnlkpx5")</f>
        <v>@drfahrettinkoca Bergül Varan: Musician / Revolutionary. Group of comments member! In May 30, 2017, Okmeydanı Idil Culture Center ... https://t.co/nknbnlkpx5</v>
      </c>
    </row>
    <row r="15010" spans="1:5" ht="15" customHeight="1" x14ac:dyDescent="0.2">
      <c r="A15010" s="1" t="s">
        <v>29590</v>
      </c>
      <c r="B15010" s="1">
        <v>0</v>
      </c>
      <c r="C15010" s="3">
        <v>44525.955092592594</v>
      </c>
      <c r="D15010" s="1" t="s">
        <v>29591</v>
      </c>
      <c r="E15010" s="1" t="str">
        <f ca="1">IFERROR(__xludf.DUMMYFUNCTION("GOOGLETRANSLATE(A11809 , ""tr"" , ""en"")"),"@drfahrettinkoca preached the minister of the producing body of violence.")</f>
        <v>@drfahrettinkoca preached the minister of the producing body of violence.</v>
      </c>
    </row>
    <row r="15011" spans="1:5" ht="15" customHeight="1" x14ac:dyDescent="0.2">
      <c r="A15011" s="1" t="s">
        <v>29592</v>
      </c>
      <c r="B15011" s="1">
        <v>0</v>
      </c>
      <c r="C15011" s="3">
        <v>44525.942824074074</v>
      </c>
      <c r="D15011" s="1" t="s">
        <v>29593</v>
      </c>
      <c r="E15011" s="1" t="str">
        <f ca="1">IFERROR(__xludf.DUMMYFUNCTION("GOOGLETRANSLATE(A11810 , ""tr"" , ""en"")"),"@drfahrettinkoca Batman becomes an irrelevant local türkür, sometimes. An artificial vi ... https://t.co/aat1frw4cw")</f>
        <v>@drfahrettinkoca Batman becomes an irrelevant local türkür, sometimes. An artificial vi ... https://t.co/aat1frw4cw</v>
      </c>
    </row>
    <row r="15012" spans="1:5" ht="15" customHeight="1" x14ac:dyDescent="0.2">
      <c r="A15012" s="1" t="s">
        <v>29594</v>
      </c>
      <c r="B15012" s="1">
        <v>0</v>
      </c>
      <c r="C15012" s="3">
        <v>44525.927430555559</v>
      </c>
      <c r="D15012" s="1" t="s">
        <v>29595</v>
      </c>
      <c r="E15012" s="1" t="str">
        <f ca="1">IFERROR(__xludf.DUMMYFUNCTION("GOOGLETRANSLATE(A11811 , ""tr"" , ""en"")"),"@drfahrettinkoca is the victims of women killed on the streets of your hometown, have no children and victims of other countries ... https://t.co/yh1EG4IXBC")</f>
        <v>@drfahrettinkoca is the victims of women killed on the streets of your hometown, have no children and victims of other countries ... https://t.co/yh1EG4IXBC</v>
      </c>
    </row>
    <row r="15013" spans="1:5" ht="15" customHeight="1" x14ac:dyDescent="0.2">
      <c r="A15013" s="1" t="s">
        <v>29596</v>
      </c>
      <c r="B15013" s="1">
        <v>0</v>
      </c>
      <c r="C15013" s="3">
        <v>44525.921053240738</v>
      </c>
      <c r="D15013" s="1" t="s">
        <v>29597</v>
      </c>
      <c r="E15013" s="1" t="str">
        <f ca="1">IFERROR(__xludf.DUMMYFUNCTION("GOOGLETRANSLATE(A11812 , ""tr"" , ""en"")"),"@drfahrettinkoca I had a one on-one many years ago, a lady came in Konya in Konya, when I came in a lady's face Eye Purple Eye ... https://t.co/erot7h74tz")</f>
        <v>@drfahrettinkoca I had a one on-one many years ago, a lady came in Konya in Konya, when I came in a lady's face Eye Purple Eye ... https://t.co/erot7h74tz</v>
      </c>
    </row>
    <row r="15014" spans="1:5" ht="15" customHeight="1" x14ac:dyDescent="0.2">
      <c r="A15014" s="1" t="s">
        <v>29598</v>
      </c>
      <c r="B15014" s="1">
        <v>0</v>
      </c>
      <c r="C15014" s="3">
        <v>44525.911944444444</v>
      </c>
      <c r="D15014" s="1" t="s">
        <v>29599</v>
      </c>
      <c r="E15014" s="1" t="str">
        <f ca="1">IFERROR(__xludf.DUMMYFUNCTION("GOOGLETRANSLATE(A11813 , ""tr"" , ""en"")"),"@drfahrettinkoca No need to go to Bangladesh they dying directly")</f>
        <v>@drfahrettinkoca No need to go to Bangladesh they dying directly</v>
      </c>
    </row>
    <row r="15015" spans="1:5" ht="15" customHeight="1" x14ac:dyDescent="0.2">
      <c r="A15015" s="1" t="s">
        <v>29600</v>
      </c>
      <c r="B15015" s="1">
        <v>0</v>
      </c>
      <c r="C15015" s="3">
        <v>44526.984699074077</v>
      </c>
      <c r="D15015" s="1" t="s">
        <v>29601</v>
      </c>
      <c r="E15015" s="1" t="str">
        <f ca="1">IFERROR(__xludf.DUMMYFUNCTION("GOOGLETRANSLATE(A11814 , ""tr"" , ""en"")"),"@drfahrettinkoca men's eye female torture .. is affected by the reduction of her hair at Here is Barzos")</f>
        <v>@drfahrettinkoca men's eye female torture .. is affected by the reduction of her hair at Here is Barzos</v>
      </c>
    </row>
    <row r="15016" spans="1:5" ht="15" customHeight="1" x14ac:dyDescent="0.2">
      <c r="A15016" s="1" t="s">
        <v>29602</v>
      </c>
      <c r="B15016" s="1">
        <v>0</v>
      </c>
      <c r="C15016" s="3">
        <v>44526.937696759262</v>
      </c>
      <c r="D15016" s="1" t="s">
        <v>29603</v>
      </c>
      <c r="E15016" s="1" t="str">
        <f ca="1">IFERROR(__xludf.DUMMYFUNCTION("GOOGLETRANSLATE(A11815 , ""tr"" , ""en"")"),"@drfahrettinkoca If you drop Bangladesh and return to our home ... What's up!")</f>
        <v>@drfahrettinkoca If you drop Bangladesh and return to our home ... What's up!</v>
      </c>
    </row>
    <row r="15017" spans="1:5" ht="15" customHeight="1" x14ac:dyDescent="0.2">
      <c r="A15017" s="1" t="s">
        <v>29604</v>
      </c>
      <c r="B15017" s="1">
        <v>0</v>
      </c>
      <c r="C15017" s="3">
        <v>44526.935590277775</v>
      </c>
      <c r="D15017" s="1" t="s">
        <v>29605</v>
      </c>
      <c r="E15017" s="1" t="str">
        <f ca="1">IFERROR(__xludf.DUMMYFUNCTION("GOOGLETRANSLATE(A11816 , ""tr"" , ""en"")"),"@drfahrettinkoca come on quit meat no longer resign the assistants, the salaries you get and will receive in the future maa ... https://t.co/iv9pIfztz4")</f>
        <v>@drfahrettinkoca come on quit meat no longer resign the assistants, the salaries you get and will receive in the future maa ... https://t.co/iv9pIfztz4</v>
      </c>
    </row>
    <row r="15018" spans="1:5" ht="15" customHeight="1" x14ac:dyDescent="0.2">
      <c r="A15018" s="1" t="s">
        <v>29606</v>
      </c>
      <c r="B15018" s="1">
        <v>1</v>
      </c>
      <c r="C15018" s="3">
        <v>44526.913321759261</v>
      </c>
      <c r="D15018" s="1" t="s">
        <v>29607</v>
      </c>
      <c r="E15018" s="1" t="str">
        <f ca="1">IFERROR(__xludf.DUMMYFUNCTION("GOOGLETRANSLATE(A11817 , ""tr"" , ""en"")"),"@drfahrettinkoca I'm also a woman in the vaccine violence as a woman will make the vaccination ... think of our thinking.")</f>
        <v>@drfahrettinkoca I'm also a woman in the vaccine violence as a woman will make the vaccination ... think of our thinking.</v>
      </c>
    </row>
    <row r="15019" spans="1:5" ht="15" customHeight="1" x14ac:dyDescent="0.2">
      <c r="A15019" s="1" t="s">
        <v>29608</v>
      </c>
      <c r="B15019" s="1">
        <v>0</v>
      </c>
      <c r="C15019" s="3">
        <v>44524.994351851848</v>
      </c>
      <c r="D15019" s="1" t="s">
        <v>29609</v>
      </c>
      <c r="E15019" s="1" t="str">
        <f ca="1">IFERROR(__xludf.DUMMYFUNCTION("GOOGLETRANSLATE(A11818 , ""tr"" , ""en"")"),"@drfahrettinkoca @hans_kluge This winter goes a lot of people?")</f>
        <v>@drfahrettinkoca @hans_kluge This winter goes a lot of people?</v>
      </c>
    </row>
    <row r="15020" spans="1:5" ht="15" customHeight="1" x14ac:dyDescent="0.2">
      <c r="A15020" s="1" t="s">
        <v>29610</v>
      </c>
      <c r="B15020" s="1">
        <v>0</v>
      </c>
      <c r="C15020" s="3">
        <v>44524.9840625</v>
      </c>
      <c r="D15020" s="1" t="s">
        <v>29611</v>
      </c>
      <c r="E15020" s="1" t="str">
        <f ca="1">IFERROR(__xludf.DUMMYFUNCTION("GOOGLETRANSLATE(A11819 , ""tr"" , ""en"")"),"@drfahrettinkoca @hans_klugE Mr. Ministry announced this evening French TV. Indicator of non-Cafe Restaurant vaccines ... https://t.co/m3fgeoikl3")</f>
        <v>@drfahrettinkoca @hans_klugE Mr. Ministry announced this evening French TV. Indicator of non-Cafe Restaurant vaccines ... https://t.co/m3fgeoikl3</v>
      </c>
    </row>
    <row r="15021" spans="1:5" ht="15" customHeight="1" x14ac:dyDescent="0.2">
      <c r="A15021" s="1" t="s">
        <v>29612</v>
      </c>
      <c r="B15021" s="1">
        <v>1</v>
      </c>
      <c r="C15021" s="3">
        <v>44524.98233796296</v>
      </c>
      <c r="D15021" s="1" t="s">
        <v>29613</v>
      </c>
      <c r="E15021" s="1" t="str">
        <f ca="1">IFERROR(__xludf.DUMMYFUNCTION("GOOGLETRANSLATE(A11820 , ""tr"" , ""en"")"),"@drfahrettinkoca @hans_klige give my all my rights. Get 10 million + 3 dose.")</f>
        <v>@drfahrettinkoca @hans_klige give my all my rights. Get 10 million + 3 dose.</v>
      </c>
    </row>
    <row r="15022" spans="1:5" ht="15" customHeight="1" x14ac:dyDescent="0.2">
      <c r="A15022" s="1" t="s">
        <v>29614</v>
      </c>
      <c r="B15022" s="1">
        <v>0</v>
      </c>
      <c r="C15022" s="3">
        <v>44524.969571759262</v>
      </c>
      <c r="D15022" s="1" t="s">
        <v>29615</v>
      </c>
      <c r="E15022" s="1" t="str">
        <f ca="1">IFERROR(__xludf.DUMMYFUNCTION("GOOGLETRANSLATE(A11821 , ""tr"" , ""en"")"),"@drfahrettinkoca @hans_kluge Auspicious works ...")</f>
        <v>@drfahrettinkoca @hans_kluge Auspicious works ...</v>
      </c>
    </row>
    <row r="15023" spans="1:5" ht="15" customHeight="1" x14ac:dyDescent="0.2">
      <c r="A15023" s="1" t="s">
        <v>29616</v>
      </c>
      <c r="B15023" s="1">
        <v>0</v>
      </c>
      <c r="C15023" s="3">
        <v>44524.959282407406</v>
      </c>
      <c r="D15023" s="1" t="s">
        <v>29617</v>
      </c>
      <c r="E15023" s="1" t="str">
        <f ca="1">IFERROR(__xludf.DUMMYFUNCTION("GOOGLETRANSLATE(A11822 , ""tr"" , ""en"")"),"@drfahrettinkoca @hans_kluge We are bedded to those who grind the nation every day. Allah A you will account for all these grinds.")</f>
        <v>@drfahrettinkoca @hans_kluge We are bedded to those who grind the nation every day. Allah A you will account for all these grinds.</v>
      </c>
    </row>
    <row r="15024" spans="1:5" ht="15" customHeight="1" x14ac:dyDescent="0.2">
      <c r="A15024" s="1" t="s">
        <v>29618</v>
      </c>
      <c r="B15024" s="1">
        <v>0</v>
      </c>
      <c r="C15024" s="3">
        <v>44524.941805555558</v>
      </c>
      <c r="D15024" s="1" t="s">
        <v>29619</v>
      </c>
      <c r="E15024" s="1" t="str">
        <f ca="1">IFERROR(__xludf.DUMMYFUNCTION("GOOGLETRANSLATE(A11823 , ""tr"" , ""en"")"),"@drfahrettinkoca @hans_kluge 1. Make dose of the dosage from the epidemic 2. make the dose in intensive care 3rd ones high r ... https://t.co/3djrvne8yq")</f>
        <v>@drfahrettinkoca @hans_kluge 1. Make dose of the dosage from the epidemic 2. make the dose in intensive care 3rd ones high r ... https://t.co/3djrvne8yq</v>
      </c>
    </row>
    <row r="15025" spans="1:5" ht="15" customHeight="1" x14ac:dyDescent="0.2">
      <c r="A15025" s="1" t="s">
        <v>29620</v>
      </c>
      <c r="B15025" s="1">
        <v>1</v>
      </c>
      <c r="C15025" s="3">
        <v>44524.941423611112</v>
      </c>
      <c r="D15025" s="1" t="s">
        <v>29621</v>
      </c>
      <c r="E15025" s="1" t="str">
        <f ca="1">IFERROR(__xludf.DUMMYFUNCTION("GOOGLETRANSLATE(A11824 , ""tr"" , ""en"")"),"@drfahrettinkoca @saglikbakanligi @hans_klugE See #SmaAilesInhankara See now these families and medication now Sip ... https://t.co/jj0y698sv4")</f>
        <v>@drfahrettinkoca @saglikbakanligi @hans_klugE See #SmaAilesInhankara See now these families and medication now Sip ... https://t.co/jj0y698sv4</v>
      </c>
    </row>
    <row r="15026" spans="1:5" ht="15" customHeight="1" x14ac:dyDescent="0.2">
      <c r="A15026" s="1" t="s">
        <v>29622</v>
      </c>
      <c r="B15026" s="1">
        <v>2</v>
      </c>
      <c r="C15026" s="3">
        <v>44524.940729166665</v>
      </c>
      <c r="D15026" s="1" t="s">
        <v>29623</v>
      </c>
      <c r="E15026" s="1" t="str">
        <f ca="1">IFERROR(__xludf.DUMMYFUNCTION("GOOGLETRANSLATE(A11825 , ""tr"" , ""en"")"),"@drfahrettinka @hans_kluge @sireneoznur Cape Great Europe's Intensive Care Units don't afford and send us Corona patients.")</f>
        <v>@drfahrettinka @hans_kluge @sireneoznur Cape Great Europe's Intensive Care Units don't afford and send us Corona patients.</v>
      </c>
    </row>
    <row r="15027" spans="1:5" ht="15" customHeight="1" x14ac:dyDescent="0.2">
      <c r="A15027" s="1" t="s">
        <v>29624</v>
      </c>
      <c r="B15027" s="1">
        <v>0</v>
      </c>
      <c r="C15027" s="3">
        <v>44524.932187500002</v>
      </c>
      <c r="D15027" s="1" t="s">
        <v>29625</v>
      </c>
      <c r="E15027" s="1" t="str">
        <f ca="1">IFERROR(__xludf.DUMMYFUNCTION("GOOGLETRANSLATE(A11826 , ""tr"" , ""en"")"),"@drfahrettinkoca @hans_klige How many of the Health Administrators in Kocaeli How many Alexandrians Avoid Laledederci Kosaderci ... https://t.co/v2dqppebso")</f>
        <v>@drfahrettinkoca @hans_klige How many of the Health Administrators in Kocaeli How many Alexandrians Avoid Laledederci Kosaderci ... https://t.co/v2dqppebso</v>
      </c>
    </row>
    <row r="15028" spans="1:5" ht="15" customHeight="1" x14ac:dyDescent="0.2">
      <c r="A15028" s="1" t="s">
        <v>29626</v>
      </c>
      <c r="B15028" s="1">
        <v>0</v>
      </c>
      <c r="C15028" s="3">
        <v>44524.924826388888</v>
      </c>
      <c r="D15028" s="1" t="s">
        <v>29627</v>
      </c>
      <c r="E15028" s="1" t="str">
        <f ca="1">IFERROR(__xludf.DUMMYFUNCTION("GOOGLETRANSLATE(A11827 , ""tr"" , ""en"")"),"@drfahrettinkoca is over-prohibitions over to you Dear Minister.")</f>
        <v>@drfahrettinkoca is over-prohibitions over to you Dear Minister.</v>
      </c>
    </row>
    <row r="15029" spans="1:5" ht="15" customHeight="1" x14ac:dyDescent="0.2">
      <c r="A15029" s="1" t="s">
        <v>29628</v>
      </c>
      <c r="B15029" s="1">
        <v>0</v>
      </c>
      <c r="C15029" s="3">
        <v>44524.9221412037</v>
      </c>
      <c r="D15029" s="1" t="s">
        <v>29629</v>
      </c>
      <c r="E15029" s="1" t="str">
        <f ca="1">IFERROR(__xludf.DUMMYFUNCTION("GOOGLETRANSLATE(A11828 , ""tr"" , ""en"")"),"@drfahrettinka @hans_kluge https://t.co/xmrjdm0dlq")</f>
        <v>@drfahrettinka @hans_kluge https://t.co/xmrjdm0dlq</v>
      </c>
    </row>
    <row r="15030" spans="1:5" ht="15" customHeight="1" x14ac:dyDescent="0.2">
      <c r="A15030" s="1" t="s">
        <v>29630</v>
      </c>
      <c r="B15030" s="1">
        <v>0</v>
      </c>
      <c r="C15030" s="3">
        <v>44524.921574074076</v>
      </c>
      <c r="D15030" s="1" t="s">
        <v>29631</v>
      </c>
      <c r="E15030" s="1" t="str">
        <f ca="1">IFERROR(__xludf.DUMMYFUNCTION("GOOGLETRANSLATE(A11829 , ""tr"" , ""en"")"),"@drfahrettinkoca @hans_kluge PlanTemi .. If the European is praising someone; He meant not work to praise at all ... https://t.co/i6bennpzg7")</f>
        <v>@drfahrettinkoca @hans_kluge PlanTemi .. If the European is praising someone; He meant not work to praise at all ... https://t.co/i6bennpzg7</v>
      </c>
    </row>
    <row r="15031" spans="1:5" ht="15" customHeight="1" x14ac:dyDescent="0.2">
      <c r="A15031" s="1" t="s">
        <v>29632</v>
      </c>
      <c r="B15031" s="1">
        <v>3</v>
      </c>
      <c r="C15031" s="3">
        <v>44524.921296296299</v>
      </c>
      <c r="D15031" s="1" t="s">
        <v>29633</v>
      </c>
      <c r="E15031" s="1" t="str">
        <f ca="1">IFERROR(__xludf.DUMMYFUNCTION("GOOGLETRANSLATE(A11830 , ""tr"" , ""en"")"),"@drfahrettinkoca @hans_kluge Our intense maintenance Okadar is empty that the patient from Europe seems to be treated")</f>
        <v>@drfahrettinkoca @hans_kluge Our intense maintenance Okadar is empty that the patient from Europe seems to be treated</v>
      </c>
    </row>
    <row r="15032" spans="1:5" ht="15" customHeight="1" x14ac:dyDescent="0.2">
      <c r="A15032" s="1" t="s">
        <v>29634</v>
      </c>
      <c r="B15032" s="1">
        <v>11</v>
      </c>
      <c r="C15032" s="3">
        <v>44524.919328703705</v>
      </c>
      <c r="D15032" s="1" t="s">
        <v>29635</v>
      </c>
      <c r="E15032" s="1" t="str">
        <f ca="1">IFERROR(__xludf.DUMMYFUNCTION("GOOGLETRANSLATE(A11831 , ""tr"" , ""en"")"),"@drfahrettinkoca @hans_kluge #VelilileronLineInistor @drfahrettinkoca O Lord! Accept this from us, certainty ... https://t.co/jaal2twqq8")</f>
        <v>@drfahrettinkoca @hans_kluge #VelilileronLineInistor @drfahrettinkoca O Lord! Accept this from us, certainty ... https://t.co/jaal2twqq8</v>
      </c>
    </row>
    <row r="15033" spans="1:5" ht="15" customHeight="1" x14ac:dyDescent="0.2">
      <c r="A15033" s="1" t="s">
        <v>29636</v>
      </c>
      <c r="B15033" s="1">
        <v>0</v>
      </c>
      <c r="C15033" s="3">
        <v>44524.918935185182</v>
      </c>
      <c r="D15033" s="1" t="s">
        <v>29637</v>
      </c>
      <c r="E15033" s="1" t="str">
        <f ca="1">IFERROR(__xludf.DUMMYFUNCTION("GOOGLETRANSLATE(A11832 , ""tr"" , ""en"")"),"@drfahrettinkoca @hans_klige fahrettin, 'PlanTemide praised us on the help we have made us' he praised us ... https://t.co/uwaad1upso")</f>
        <v>@drfahrettinkoca @hans_klige fahrettin, 'PlanTemide praised us on the help we have made us' he praised us ... https://t.co/uwaad1upso</v>
      </c>
    </row>
    <row r="15034" spans="1:5" ht="15" customHeight="1" x14ac:dyDescent="0.2">
      <c r="A15034" s="1" t="s">
        <v>29638</v>
      </c>
      <c r="B15034" s="1">
        <v>21</v>
      </c>
      <c r="C15034" s="3">
        <v>44524.901539351849</v>
      </c>
      <c r="D15034" s="1" t="s">
        <v>29639</v>
      </c>
      <c r="E15034" s="1" t="str">
        <f ca="1">IFERROR(__xludf.DUMMYFUNCTION("GOOGLETRANSLATE(A11833 , ""tr"" , ""en"")"),"@drfahrettinkoca @hans_kluge See Günde ... If you were very solidarity enthusiast you would help the garibony ... You B ... https://t.co/wzwuguuulqz")</f>
        <v>@drfahrettinkoca @hans_kluge See Günde ... If you were very solidarity enthusiast you would help the garibony ... You B ... https://t.co/wzwuguuulqz</v>
      </c>
    </row>
    <row r="15035" spans="1:5" ht="15" customHeight="1" x14ac:dyDescent="0.2">
      <c r="A15035" s="1" t="s">
        <v>29640</v>
      </c>
      <c r="B15035" s="1">
        <v>0</v>
      </c>
      <c r="C15035" s="3">
        <v>44524.90079861111</v>
      </c>
      <c r="D15035" s="1" t="s">
        <v>29641</v>
      </c>
      <c r="E15035" s="1" t="str">
        <f ca="1">IFERROR(__xludf.DUMMYFUNCTION("GOOGLETRANSLATE(A11834 , ""tr"" , ""en"")"),"@drfahrettinkoca @hans_klige would be great if we give you on top")</f>
        <v>@drfahrettinkoca @hans_klige would be great if we give you on top</v>
      </c>
    </row>
    <row r="15036" spans="1:5" ht="15" customHeight="1" x14ac:dyDescent="0.2">
      <c r="A15036" s="1" t="s">
        <v>29642</v>
      </c>
      <c r="B15036" s="1">
        <v>1</v>
      </c>
      <c r="C15036" s="3">
        <v>44524.890659722223</v>
      </c>
      <c r="D15036" s="1" t="s">
        <v>29643</v>
      </c>
      <c r="E15036" s="1" t="str">
        <f ca="1">IFERROR(__xludf.DUMMYFUNCTION("GOOGLETRANSLATE(A11835 , ""tr"" , ""en"")"),"@drfahrettinkoca @hans_klige is detracted from all over your face but the weather is pleasant to you. Remote to live ... https://t.co/dycl3ehizd")</f>
        <v>@drfahrettinkoca @hans_klige is detracted from all over your face but the weather is pleasant to you. Remote to live ... https://t.co/dycl3ehizd</v>
      </c>
    </row>
    <row r="15037" spans="1:5" ht="15" customHeight="1" x14ac:dyDescent="0.2">
      <c r="A15037" s="1" t="s">
        <v>29644</v>
      </c>
      <c r="B15037" s="1">
        <v>3</v>
      </c>
      <c r="C15037" s="3">
        <v>44524.889421296299</v>
      </c>
      <c r="D15037" s="1" t="s">
        <v>29645</v>
      </c>
      <c r="E15037" s="1" t="str">
        <f ca="1">IFERROR(__xludf.DUMMYFUNCTION("GOOGLETRANSLATE(A11836 , ""tr"" , ""en"")"),"@drfahrettinkoca @hans_klige to us what's someone else's patients with us on the floor and the floor more giant budget. Viru ... https://t.co/fysh3a9kv9")</f>
        <v>@drfahrettinkoca @hans_klige to us what's someone else's patients with us on the floor and the floor more giant budget. Viru ... https://t.co/fysh3a9kv9</v>
      </c>
    </row>
    <row r="15038" spans="1:5" ht="15" customHeight="1" x14ac:dyDescent="0.2">
      <c r="A15038" s="1" t="s">
        <v>29646</v>
      </c>
      <c r="B15038" s="1">
        <v>0</v>
      </c>
      <c r="C15038" s="3">
        <v>44524.889374999999</v>
      </c>
      <c r="D15038" s="1" t="s">
        <v>29647</v>
      </c>
      <c r="E15038" s="1" t="str">
        <f ca="1">IFERROR(__xludf.DUMMYFUNCTION("GOOGLETRANSLATE(A11837 , ""tr"" , ""en"")"),"@drfahrettinkoca @hans_kluge https://t.co/i51mlmcxqv")</f>
        <v>@drfahrettinkoca @hans_kluge https://t.co/i51mlmcxqv</v>
      </c>
    </row>
    <row r="15039" spans="1:5" ht="15" customHeight="1" x14ac:dyDescent="0.2">
      <c r="A15039" s="1" t="s">
        <v>29648</v>
      </c>
      <c r="B15039" s="1">
        <v>0</v>
      </c>
      <c r="C15039" s="3">
        <v>44524.888761574075</v>
      </c>
      <c r="D15039" s="1" t="s">
        <v>29649</v>
      </c>
      <c r="E15039" s="1" t="str">
        <f ca="1">IFERROR(__xludf.DUMMYFUNCTION("GOOGLETRANSLATE(A11838 , ""tr"" , ""en"")"),"@drfahrettinkoca @hans_kluge https://t.co/gqo1b0j5al")</f>
        <v>@drfahrettinkoca @hans_kluge https://t.co/gqo1b0j5al</v>
      </c>
    </row>
    <row r="15040" spans="1:5" ht="15" customHeight="1" x14ac:dyDescent="0.2">
      <c r="A15040" s="1" t="s">
        <v>29650</v>
      </c>
      <c r="B15040" s="1">
        <v>1</v>
      </c>
      <c r="C15040" s="3">
        <v>44524.885243055556</v>
      </c>
      <c r="D15040" s="1" t="s">
        <v>29651</v>
      </c>
      <c r="E15040" s="1" t="str">
        <f ca="1">IFERROR(__xludf.DUMMYFUNCTION("GOOGLETRANSLATE(A11839 , ""tr"" , ""en"")"),"@drfahrettinkoca @hans_klige so no salvation to those garibans ... If you give the bread export, give money..ki ... https://t.co/ijqtsjzkfh")</f>
        <v>@drfahrettinkoca @hans_klige so no salvation to those garibans ... If you give the bread export, give money..ki ... https://t.co/ijqtsjzkfh</v>
      </c>
    </row>
    <row r="15041" spans="1:5" ht="15" customHeight="1" x14ac:dyDescent="0.2">
      <c r="A15041" s="1" t="s">
        <v>29652</v>
      </c>
      <c r="B15041" s="1">
        <v>2</v>
      </c>
      <c r="C15041" s="3">
        <v>44524.884212962963</v>
      </c>
      <c r="D15041" s="1" t="s">
        <v>29653</v>
      </c>
      <c r="E15041" s="1" t="str">
        <f ca="1">IFERROR(__xludf.DUMMYFUNCTION("GOOGLETRANSLATE(A11840 , ""tr"" , ""en"")"),"@drfahrettinkoca @hans_kluge you're like a joke or seriously a sector has not been waiting so much on June 2022")</f>
        <v>@drfahrettinkoca @hans_kluge you're like a joke or seriously a sector has not been waiting so much on June 2022</v>
      </c>
    </row>
    <row r="15042" spans="1:5" ht="15" customHeight="1" x14ac:dyDescent="0.2">
      <c r="A15042" s="1" t="s">
        <v>29654</v>
      </c>
      <c r="B15042" s="1">
        <v>0</v>
      </c>
      <c r="C15042" s="3">
        <v>44524.881493055553</v>
      </c>
      <c r="D15042" s="1" t="s">
        <v>29655</v>
      </c>
      <c r="E15042" s="1" t="str">
        <f ca="1">IFERROR(__xludf.DUMMYFUNCTION("GOOGLETRANSLATE(A11841 , ""tr"" , ""en"")"),"@drfahrettinkoca @hans_kluge Mr. Overlooking Much wondering You have one right job. I'm following you g ... https://t.co/cnhymssih7")</f>
        <v>@drfahrettinkoca @hans_kluge Mr. Overlooking Much wondering You have one right job. I'm following you g ... https://t.co/cnhymssih7</v>
      </c>
    </row>
    <row r="15043" spans="1:5" ht="15" customHeight="1" x14ac:dyDescent="0.2">
      <c r="A15043" s="1" t="s">
        <v>29656</v>
      </c>
      <c r="B15043" s="1">
        <v>3</v>
      </c>
      <c r="C15043" s="3">
        <v>44524.881053240744</v>
      </c>
      <c r="D15043" s="1" t="s">
        <v>29657</v>
      </c>
      <c r="E15043" s="1" t="str">
        <f ca="1">IFERROR(__xludf.DUMMYFUNCTION("GOOGLETRANSLATE(A11842 , ""tr"" , ""en"")"),"@drfahrettinkoca @hans_kluge O Lord! Patience for us is fat, our feet are firmly pressed and the proof of the uniform ... https://t.co/h8ftvjp7ka")</f>
        <v>@drfahrettinkoca @hans_kluge O Lord! Patience for us is fat, our feet are firmly pressed and the proof of the uniform ... https://t.co/h8ftvjp7ka</v>
      </c>
    </row>
    <row r="15044" spans="1:5" ht="15" customHeight="1" x14ac:dyDescent="0.2">
      <c r="A15044" s="1" t="s">
        <v>29658</v>
      </c>
      <c r="B15044" s="1">
        <v>0</v>
      </c>
      <c r="C15044" s="3">
        <v>44524.880740740744</v>
      </c>
      <c r="D15044" s="1" t="s">
        <v>29659</v>
      </c>
      <c r="E15044" s="1" t="str">
        <f ca="1">IFERROR(__xludf.DUMMYFUNCTION("GOOGLETRANSLATE(A11843 , ""tr"" , ""en"")"),"@drfahrettinkoca @hans_klige Most MPs overlooking the MPs Representatives of AKP Province Province, explains the number of staff to be taken ... https://t.co/tre4c0renm")</f>
        <v>@drfahrettinkoca @hans_klige Most MPs overlooking the MPs Representatives of AKP Province Province, explains the number of staff to be taken ... https://t.co/tre4c0renm</v>
      </c>
    </row>
    <row r="15045" spans="1:5" ht="15" customHeight="1" x14ac:dyDescent="0.2">
      <c r="A15045" s="1" t="s">
        <v>29660</v>
      </c>
      <c r="B15045" s="1">
        <v>13</v>
      </c>
      <c r="C15045" s="3">
        <v>44524.877025462964</v>
      </c>
      <c r="D15045" s="1" t="s">
        <v>29661</v>
      </c>
      <c r="E15045" s="1" t="str">
        <f ca="1">IFERROR(__xludf.DUMMYFUNCTION("GOOGLETRANSLATE(A11844 , ""tr"" , ""en"")"),"@drfahrettinkoca @hans_kluge Get the Güjdeni and DSO don't forget to the Science Board. You are imposingly imposingly imposed with this þe ... https://t.co/oqs4kop1tn")</f>
        <v>@drfahrettinkoca @hans_kluge Get the Güjdeni and DSO don't forget to the Science Board. You are imposingly imposingly imposed with this þe ... https://t.co/oqs4kop1tn</v>
      </c>
    </row>
    <row r="15046" spans="1:5" ht="15" customHeight="1" x14ac:dyDescent="0.2">
      <c r="A15046" s="1" t="s">
        <v>29662</v>
      </c>
      <c r="B15046" s="1">
        <v>0</v>
      </c>
      <c r="C15046" s="3">
        <v>44524.87327546296</v>
      </c>
      <c r="D15046" s="1" t="s">
        <v>29663</v>
      </c>
      <c r="E15046" s="1" t="str">
        <f ca="1">IFERROR(__xludf.DUMMYFUNCTION("GOOGLETRANSLATE(A11845 , ""tr"" , ""en"")"),"@drfahrettinkoca @hans_klige Yesterday Stay at Home Life Fits home to the nation nation with their prospects and obligation country eco ... https://t.co/jrzrfq7pxq")</f>
        <v>@drfahrettinkoca @hans_klige Yesterday Stay at Home Life Fits home to the nation nation with their prospects and obligation country eco ... https://t.co/jrzrfq7pxq</v>
      </c>
    </row>
    <row r="15047" spans="1:5" ht="15" customHeight="1" x14ac:dyDescent="0.2">
      <c r="A15047" s="1" t="s">
        <v>29664</v>
      </c>
      <c r="B15047" s="1">
        <v>1</v>
      </c>
      <c r="C15047" s="3">
        <v>44524.871331018519</v>
      </c>
      <c r="D15047" s="1" t="s">
        <v>29665</v>
      </c>
      <c r="E15047" s="1" t="str">
        <f ca="1">IFERROR(__xludf.DUMMYFUNCTION("GOOGLETRANSLATE(A11846 , ""tr"" , ""en"")"),"@drfahrettinkoca @hans_kluge is a little bit interested in tussy dolls.")</f>
        <v>@drfahrettinkoca @hans_kluge is a little bit interested in tussy dolls.</v>
      </c>
    </row>
    <row r="15048" spans="1:5" ht="15" customHeight="1" x14ac:dyDescent="0.2">
      <c r="A15048" s="1" t="s">
        <v>29666</v>
      </c>
      <c r="B15048" s="1">
        <v>0</v>
      </c>
      <c r="C15048" s="3">
        <v>44524.871249999997</v>
      </c>
      <c r="D15048" s="1" t="s">
        <v>29667</v>
      </c>
      <c r="E15048" s="1" t="str">
        <f ca="1">IFERROR(__xludf.DUMMYFUNCTION("GOOGLETRANSLATE(A11847 , ""tr"" , ""en"")"),"@drfahrettinkoca @hans_klige now these vaccines 3. Don't you are scheduled to be struck with no dose.")</f>
        <v>@drfahrettinkoca @hans_klige now these vaccines 3. Don't you are scheduled to be struck with no dose.</v>
      </c>
    </row>
    <row r="15049" spans="1:5" ht="15" customHeight="1" x14ac:dyDescent="0.2">
      <c r="A15049" s="1" t="s">
        <v>29668</v>
      </c>
      <c r="B15049" s="1">
        <v>5</v>
      </c>
      <c r="C15049" s="3">
        <v>44524.866469907407</v>
      </c>
      <c r="D15049" s="1" t="s">
        <v>29669</v>
      </c>
      <c r="E15049" s="1" t="str">
        <f ca="1">IFERROR(__xludf.DUMMYFUNCTION("GOOGLETRANSLATE(A11848 , ""tr"" , ""en"")"),"@drfahrettinkoca @hans_kluge #VeliDeonLineSline @drfahrettinkoca you are making the meeting onLINE. Weed together ... https://t.co/pla2kgmqgv")</f>
        <v>@drfahrettinkoca @hans_kluge #VeliDeonLineSline @drfahrettinkoca you are making the meeting onLINE. Weed together ... https://t.co/pla2kgmqgv</v>
      </c>
    </row>
    <row r="15050" spans="1:5" ht="15" customHeight="1" x14ac:dyDescent="0.2">
      <c r="A15050" s="1" t="s">
        <v>29670</v>
      </c>
      <c r="B15050" s="1">
        <v>0</v>
      </c>
      <c r="C15050" s="3">
        <v>44524.864652777775</v>
      </c>
      <c r="D15050" s="1" t="s">
        <v>29671</v>
      </c>
      <c r="E15050" s="1" t="str">
        <f ca="1">IFERROR(__xludf.DUMMYFUNCTION("GOOGLETRANSLATE(A11849 , ""tr"" , ""en"")"),"@drfahrettinkoca @hans_kluge The people who encourage the people to go on the street You will not be on your side of tomorrow You will come to this ring ... https://t.co/rqk9w8qttn")</f>
        <v>@drfahrettinkoca @hans_kluge The people who encourage the people to go on the street You will not be on your side of tomorrow You will come to this ring ... https://t.co/rqk9w8qttn</v>
      </c>
    </row>
    <row r="15051" spans="1:5" ht="15" customHeight="1" x14ac:dyDescent="0.2">
      <c r="A15051" s="1" t="s">
        <v>29672</v>
      </c>
      <c r="B15051" s="1">
        <v>8</v>
      </c>
      <c r="C15051" s="3">
        <v>44524.864652777775</v>
      </c>
      <c r="D15051" s="1" t="s">
        <v>29673</v>
      </c>
      <c r="E15051" s="1" t="str">
        <f ca="1">IFERROR(__xludf.DUMMYFUNCTION("GOOGLETRANSLATE(A11850 , ""tr"" , ""en"")"),"@drfahrettinkoca @hans_kluge #VeliS_Kluge #VelilileronLineSlike @drfahrettinkoca Put your hand on your conscience and schools are far ... https://t.co/2tjdgp84ln")</f>
        <v>@drfahrettinkoca @hans_kluge #VeliS_Kluge #VelilileronLineSlike @drfahrettinkoca Put your hand on your conscience and schools are far ... https://t.co/2tjdgp84ln</v>
      </c>
    </row>
    <row r="15052" spans="1:5" ht="15" customHeight="1" x14ac:dyDescent="0.2">
      <c r="A15052" s="1" t="s">
        <v>29674</v>
      </c>
      <c r="B15052" s="1">
        <v>7</v>
      </c>
      <c r="C15052" s="3">
        <v>44524.863321759258</v>
      </c>
      <c r="D15052" s="1" t="s">
        <v>29675</v>
      </c>
      <c r="E15052" s="1" t="str">
        <f ca="1">IFERROR(__xludf.DUMMYFUNCTION("GOOGLETRANSLATE(A11851 , ""tr"" , ""en"")"),"@drfahrettinkoca @hans_kluge #VeliSdeonLineSlinistorine Our children will leave the health of our children We decide the mothers ... https://t.co/bysegqd1os")</f>
        <v>@drfahrettinkoca @hans_kluge #VeliSdeonLineSlinistorine Our children will leave the health of our children We decide the mothers ... https://t.co/bysegqd1os</v>
      </c>
    </row>
    <row r="15053" spans="1:5" ht="15" customHeight="1" x14ac:dyDescent="0.2">
      <c r="A15053" s="1" t="s">
        <v>29676</v>
      </c>
      <c r="B15053" s="1">
        <v>0</v>
      </c>
      <c r="C15053" s="3">
        <v>44524.862025462964</v>
      </c>
      <c r="D15053" s="1" t="s">
        <v>29677</v>
      </c>
      <c r="E15053" s="1" t="str">
        <f ca="1">IFERROR(__xludf.DUMMYFUNCTION("GOOGLETRANSLATE(A11852 , ""tr"" , ""en"")"),"@drfahrettinkoca @hans_kluge Hans What chance ... Fu All W.H.O Btches.")</f>
        <v>@drfahrettinkoca @hans_kluge Hans What chance ... Fu All W.H.O Btches.</v>
      </c>
    </row>
    <row r="15054" spans="1:5" ht="15" customHeight="1" x14ac:dyDescent="0.2">
      <c r="A15054" s="1" t="s">
        <v>29678</v>
      </c>
      <c r="B15054" s="1">
        <v>1</v>
      </c>
      <c r="C15054" s="3">
        <v>44524.861481481479</v>
      </c>
      <c r="D15054" s="1" t="s">
        <v>29679</v>
      </c>
      <c r="E15054" s="1" t="str">
        <f ca="1">IFERROR(__xludf.DUMMYFUNCTION("GOOGLETRANSLATE(A11853 , ""tr"" , ""en"")"),"@drfahrettinkoca @hans_kluge #VeliSdeonLineSline is really susun is now enough")</f>
        <v>@drfahrettinkoca @hans_kluge #VeliSdeonLineSline is really susun is now enough</v>
      </c>
    </row>
    <row r="15055" spans="1:5" ht="15" customHeight="1" x14ac:dyDescent="0.2">
      <c r="A15055" s="1" t="s">
        <v>29680</v>
      </c>
      <c r="B15055" s="1">
        <v>5</v>
      </c>
      <c r="C15055" s="3">
        <v>44524.859930555554</v>
      </c>
      <c r="D15055" s="1" t="s">
        <v>29681</v>
      </c>
      <c r="E15055" s="1" t="str">
        <f ca="1">IFERROR(__xludf.DUMMYFUNCTION("GOOGLETRANSLATE(A11854 , ""tr"" , ""en"")"),"@drfahrettinkoca @hans_kluge Alooo Get Online Now the weather is getting cold on what will we do? #VeliSonlineline")</f>
        <v>@drfahrettinkoca @hans_kluge Alooo Get Online Now the weather is getting cold on what will we do? #VeliSonlineline</v>
      </c>
    </row>
    <row r="15056" spans="1:5" ht="15" customHeight="1" x14ac:dyDescent="0.2">
      <c r="A15056" s="1" t="s">
        <v>29682</v>
      </c>
      <c r="B15056" s="1">
        <v>1</v>
      </c>
      <c r="C15056" s="3">
        <v>44524.858680555553</v>
      </c>
      <c r="D15056" s="1" t="s">
        <v>29683</v>
      </c>
      <c r="E15056" s="1" t="str">
        <f ca="1">IFERROR(__xludf.DUMMYFUNCTION("GOOGLETRANSLATE(A11855 , ""tr"" , ""en"")"),"@drfahrettinkoca @hans_kluge I wish we were giving you as grant, but who gets you who gets you https://t.co/pw6mt8t9lq")</f>
        <v>@drfahrettinkoca @hans_kluge I wish we were giving you as grant, but who gets you who gets you https://t.co/pw6mt8t9lq</v>
      </c>
    </row>
    <row r="15057" spans="1:5" ht="15" customHeight="1" x14ac:dyDescent="0.2">
      <c r="A15057" s="1" t="s">
        <v>29684</v>
      </c>
      <c r="B15057" s="1">
        <v>0</v>
      </c>
      <c r="C15057" s="3">
        <v>44530.889479166668</v>
      </c>
      <c r="D15057" s="1" t="s">
        <v>29685</v>
      </c>
      <c r="E15057" s="1" t="str">
        <f ca="1">IFERROR(__xludf.DUMMYFUNCTION("GOOGLETRANSLATE(A11856 , ""tr"" , ""en"")"),"@drfahrettinkoca @hans_kluge @drfahrettinkoca Enough of the Sagli Non-Sagli Come Status Come Status One place Ann Ann ... https://t.co/gxavjynlne")</f>
        <v>@drfahrettinkoca @hans_kluge @drfahrettinkoca Enough of the Sagli Non-Sagli Come Status Come Status One place Ann Ann ... https://t.co/gxavjynlne</v>
      </c>
    </row>
    <row r="15058" spans="1:5" ht="15" customHeight="1" x14ac:dyDescent="0.2">
      <c r="A15058" s="1" t="s">
        <v>29686</v>
      </c>
      <c r="B15058" s="1">
        <v>2</v>
      </c>
      <c r="C15058" s="3">
        <v>44524.970266203702</v>
      </c>
      <c r="D15058" s="1" t="s">
        <v>29687</v>
      </c>
      <c r="E15058" s="1" t="str">
        <f ca="1">IFERROR(__xludf.DUMMYFUNCTION("GOOGLETRANSLATE(A11857 , ""tr"" , ""en"")"),"@drfahrettinkoca @hans_kluge up to the ceiling down to the floor left to the window right to the door kiss me mommy ... https://t.co/yru9dm3c4l")</f>
        <v>@drfahrettinkoca @hans_kluge up to the ceiling down to the floor left to the window right to the door kiss me mommy ... https://t.co/yru9dm3c4l</v>
      </c>
    </row>
    <row r="15059" spans="1:5" ht="15" customHeight="1" x14ac:dyDescent="0.2">
      <c r="A15059" s="1" t="s">
        <v>29688</v>
      </c>
      <c r="B15059" s="1">
        <v>0</v>
      </c>
      <c r="C15059" s="3">
        <v>44524.965798611112</v>
      </c>
      <c r="D15059" s="1" t="s">
        <v>29689</v>
      </c>
      <c r="E15059" s="1" t="str">
        <f ca="1">IFERROR(__xludf.DUMMYFUNCTION("GOOGLETRANSLATE(A11858 , ""tr"" , ""en"")"),"@drfahrettinkoca @hans_kluge you think that there is no empty quota in intensive care units in the current situatio ... https://t.co/giwsn3ys4h")</f>
        <v>@drfahrettinkoca @hans_kluge you think that there is no empty quota in intensive care units in the current situatio ... https://t.co/giwsn3ys4h</v>
      </c>
    </row>
    <row r="15060" spans="1:5" ht="15" customHeight="1" x14ac:dyDescent="0.2">
      <c r="A15060" s="1" t="s">
        <v>29690</v>
      </c>
      <c r="B15060" s="1">
        <v>0</v>
      </c>
      <c r="C15060" s="3">
        <v>44524.933495370373</v>
      </c>
      <c r="D15060" s="1" t="s">
        <v>29691</v>
      </c>
      <c r="E15060" s="1" t="str">
        <f ca="1">IFERROR(__xludf.DUMMYFUNCTION("GOOGLETRANSLATE(A11859 , ""tr"" , ""en"")"),"@drfahrettinkoca @hans_klige did not leave medicine in the world how is money ambition that it admits death medications ... https://t.co/fpwrt8q6nw")</f>
        <v>@drfahrettinkoca @hans_klige did not leave medicine in the world how is money ambition that it admits death medications ... https://t.co/fpwrt8q6nw</v>
      </c>
    </row>
    <row r="15061" spans="1:5" ht="15" customHeight="1" x14ac:dyDescent="0.2">
      <c r="A15061" s="1" t="s">
        <v>29692</v>
      </c>
      <c r="B15061" s="1">
        <v>16</v>
      </c>
      <c r="C15061" s="3">
        <v>44524.926180555558</v>
      </c>
      <c r="D15061" s="1" t="s">
        <v>29693</v>
      </c>
      <c r="E15061" s="1" t="str">
        <f ca="1">IFERROR(__xludf.DUMMYFUNCTION("GOOGLETRANSLATE(A11860 , ""tr"" , ""en"")"),"@drfahrettinkoca @hans_kluge Who is to be tried on top? Whose name has accepted millions of dose donations? 1 ... https://t.co/W9ILFIMKC7")</f>
        <v>@drfahrettinkoca @hans_kluge Who is to be tried on top? Whose name has accepted millions of dose donations? 1 ... https://t.co/W9ILFIMKC7</v>
      </c>
    </row>
    <row r="15062" spans="1:5" ht="15" customHeight="1" x14ac:dyDescent="0.2">
      <c r="A15062" s="1" t="s">
        <v>29694</v>
      </c>
      <c r="B15062" s="1">
        <v>2</v>
      </c>
      <c r="C15062" s="3">
        <v>44524.920069444444</v>
      </c>
      <c r="D15062" s="1" t="s">
        <v>29695</v>
      </c>
      <c r="E15062" s="1" t="str">
        <f ca="1">IFERROR(__xludf.DUMMYFUNCTION("GOOGLETRANSLATE(A11861 , ""tr"" , ""en"")"),"@drfahrettinkoca @hans_kluge Turkish Parents Want An Online Education System For Their Own Teenagers and Young Adul ... https://t.co/mif7dgtvkb")</f>
        <v>@drfahrettinkoca @hans_kluge Turkish Parents Want An Online Education System For Their Own Teenagers and Young Adul ... https://t.co/mif7dgtvkb</v>
      </c>
    </row>
    <row r="15063" spans="1:5" ht="15" customHeight="1" x14ac:dyDescent="0.2">
      <c r="A15063" s="1" t="s">
        <v>29696</v>
      </c>
      <c r="B15063" s="1">
        <v>0</v>
      </c>
      <c r="C15063" s="3">
        <v>44524.918657407405</v>
      </c>
      <c r="D15063" s="1" t="s">
        <v>29697</v>
      </c>
      <c r="E15063" s="1" t="str">
        <f ca="1">IFERROR(__xludf.DUMMYFUNCTION("GOOGLETRANSLATE(A11862 , ""tr"" , ""en"")"),"@drfahrettinko by @hans_klug to 🇹🇷🇹🇷🇹🇷🇹🇷🇹🇷🇹🇷🇹🇷🇹🇷🇹🇷🇹🇷🇹🇷🇹🇷🇹🇷🇹🇷🇹🇷🇹🇷🇹🇷🇹🇷🇹🇷🇹🇷🇹🇷🇹🇷🇹🇷 O TAKE ARSENERS 🇹🇷🇹🇷")</f>
        <v>@drfahrettinko by @hans_klug to 🇹🇷🇹🇷🇹🇷🇹🇷🇹🇷🇹🇷🇹🇷🇹🇷🇹🇷🇹🇷🇹🇷🇹🇷🇹🇷🇹🇷🇹🇷🇹🇷🇹🇷🇹🇷🇹🇷🇹🇷🇹🇷🇹🇷🇹🇷 O TAKE ARSENERS 🇹🇷🇹🇷</v>
      </c>
    </row>
    <row r="15064" spans="1:5" ht="15" customHeight="1" x14ac:dyDescent="0.2">
      <c r="A15064" s="1" t="s">
        <v>29698</v>
      </c>
      <c r="B15064" s="1">
        <v>2</v>
      </c>
      <c r="C15064" s="3">
        <v>44524.899131944447</v>
      </c>
      <c r="D15064" s="1" t="s">
        <v>29699</v>
      </c>
      <c r="E15064" s="1" t="str">
        <f ca="1">IFERROR(__xludf.DUMMYFUNCTION("GOOGLETRANSLATE(A11863 , ""tr"" , ""en"")"),"@drfahrettinkoca @hans_klige PlanTemi ... If the European is praising someone; She doesn't do work to praise at all ... https://t.co/ddkzdrjihr")</f>
        <v>@drfahrettinkoca @hans_klige PlanTemi ... If the European is praising someone; She doesn't do work to praise at all ... https://t.co/ddkzdrjihr</v>
      </c>
    </row>
    <row r="15065" spans="1:5" ht="15" customHeight="1" x14ac:dyDescent="0.2">
      <c r="A15065" s="1" t="s">
        <v>29700</v>
      </c>
      <c r="B15065" s="1">
        <v>1</v>
      </c>
      <c r="C15065" s="3">
        <v>44524.886481481481</v>
      </c>
      <c r="D15065" s="1" t="s">
        <v>29701</v>
      </c>
      <c r="E15065" s="1" t="str">
        <f ca="1">IFERROR(__xludf.DUMMYFUNCTION("GOOGLETRANSLATE(A11864 , ""tr"" , ""en"")"),"@drfahrettinkoca @hans_klige Sent to the outside of you at the beginning of the PlanTemin I'm sure that he is sure ... https://t.co/tqiyro0ktb")</f>
        <v>@drfahrettinkoca @hans_klige Sent to the outside of you at the beginning of the PlanTemin I'm sure that he is sure ... https://t.co/tqiyro0ktb</v>
      </c>
    </row>
    <row r="15066" spans="1:5" ht="15" customHeight="1" x14ac:dyDescent="0.2">
      <c r="A15066" s="1" t="s">
        <v>29702</v>
      </c>
      <c r="B15066" s="1">
        <v>0</v>
      </c>
      <c r="C15066" s="3">
        <v>44524.882581018515</v>
      </c>
      <c r="D15066" s="1" t="s">
        <v>29703</v>
      </c>
      <c r="E15066" s="1" t="str">
        <f ca="1">IFERROR(__xludf.DUMMYFUNCTION("GOOGLETRANSLATE(A11865 , ""tr"" , ""en"")"),"@drfahrettinkoca @hans_klige PlanDemide says the help sent out.")</f>
        <v>@drfahrettinkoca @hans_klige PlanDemide says the help sent out.</v>
      </c>
    </row>
    <row r="15067" spans="1:5" ht="15" customHeight="1" x14ac:dyDescent="0.2">
      <c r="A15067" s="1" t="s">
        <v>29704</v>
      </c>
      <c r="B15067" s="1">
        <v>1</v>
      </c>
      <c r="C15067" s="3">
        <v>44524.870046296295</v>
      </c>
      <c r="D15067" s="1" t="s">
        <v>29705</v>
      </c>
      <c r="E15067" s="1" t="str">
        <f ca="1">IFERROR(__xludf.DUMMYFUNCTION("GOOGLETRANSLATE(A11866 , ""tr"" , ""en"")"),"@drfahrettinkoca @hans_kluge AA has been handled out of boss!? ❖ You made guinea pigs to the drug firms for the sake of ... https://t.co/ec12c9kmih")</f>
        <v>@drfahrettinkoca @hans_kluge AA has been handled out of boss!? ❖ You made guinea pigs to the drug firms for the sake of ... https://t.co/ec12c9kmih</v>
      </c>
    </row>
    <row r="15068" spans="1:5" ht="15" customHeight="1" x14ac:dyDescent="0.2">
      <c r="A15068" s="1" t="s">
        <v>29706</v>
      </c>
      <c r="B15068" s="1">
        <v>14</v>
      </c>
      <c r="C15068" s="3">
        <v>44524.859976851854</v>
      </c>
      <c r="D15068" s="1" t="s">
        <v>29707</v>
      </c>
      <c r="E15068" s="1" t="str">
        <f ca="1">IFERROR(__xludf.DUMMYFUNCTION("GOOGLETRANSLATE(A11867 , ""tr"" , ""en"")"),"@drfahrettinkoca @hans_kluge 3. Started to write in English after the 3rdise vaccine, 4. After the dose of the dosage, the Hereafter ... https://t.co/ma1sraa1b5")</f>
        <v>@drfahrettinkoca @hans_kluge 3. Started to write in English after the 3rdise vaccine, 4. After the dose of the dosage, the Hereafter ... https://t.co/ma1sraa1b5</v>
      </c>
    </row>
    <row r="15069" spans="1:5" ht="15" customHeight="1" x14ac:dyDescent="0.2">
      <c r="A15069" s="1" t="s">
        <v>29708</v>
      </c>
      <c r="B15069" s="1">
        <v>0</v>
      </c>
      <c r="C15069" s="3">
        <v>44530.889849537038</v>
      </c>
      <c r="D15069" s="1" t="s">
        <v>29709</v>
      </c>
      <c r="E15069" s="1" t="str">
        <f ca="1">IFERROR(__xludf.DUMMYFUNCTION("GOOGLETRANSLATE(A11868 , ""tr"" , ""en"")"),"@drfahrettinkoca @hans_kluge @drfahrettinkoca Enough of Safe Sagli Come Status Determination Kids Someone Somewhere Somewhere")</f>
        <v>@drfahrettinkoca @hans_kluge @drfahrettinkoca Enough of Safe Sagli Come Status Determination Kids Someone Somewhere Somewhere</v>
      </c>
    </row>
    <row r="15070" spans="1:5" ht="15" customHeight="1" x14ac:dyDescent="0.2">
      <c r="A15070" s="1" t="s">
        <v>29710</v>
      </c>
      <c r="B15070" s="1">
        <v>0</v>
      </c>
      <c r="C15070" s="3">
        <v>44525.972650462965</v>
      </c>
      <c r="D15070" s="1" t="s">
        <v>29711</v>
      </c>
      <c r="E15070" s="1" t="str">
        <f ca="1">IFERROR(__xludf.DUMMYFUNCTION("GOOGLETRANSLATE(A11869 , ""tr"" , ""en"")"),"@drfahrettinkoca I personally definite and certainly say that schools should not be turned off")</f>
        <v>@drfahrettinkoca I personally definite and certainly say that schools should not be turned off</v>
      </c>
    </row>
    <row r="15071" spans="1:5" ht="15" customHeight="1" x14ac:dyDescent="0.2">
      <c r="A15071" s="1" t="s">
        <v>29712</v>
      </c>
      <c r="B15071" s="1">
        <v>0</v>
      </c>
      <c r="C15071" s="3">
        <v>44526.9143287037</v>
      </c>
      <c r="D15071" s="1" t="s">
        <v>29713</v>
      </c>
      <c r="E15071" s="1" t="str">
        <f ca="1">IFERROR(__xludf.DUMMYFUNCTION("GOOGLETRANSLATE(A11870 , ""tr"" , ""en"")"),"@drfahrettinkoca @saglikbakanligi e k p s s Assigns to take the disabled healthcare appointment from the disabled healthcare ... https://t.co/h6pg09rwve")</f>
        <v>@drfahrettinkoca @saglikbakanligi e k p s s Assigns to take the disabled healthcare appointment from the disabled healthcare ... https://t.co/h6pg09rwve</v>
      </c>
    </row>
    <row r="15072" spans="1:5" ht="15" customHeight="1" x14ac:dyDescent="0.2">
      <c r="A15072" s="1" t="s">
        <v>29714</v>
      </c>
      <c r="B15072" s="1">
        <v>0</v>
      </c>
      <c r="C15072" s="3">
        <v>44524.993495370371</v>
      </c>
      <c r="D15072" s="1" t="s">
        <v>29715</v>
      </c>
      <c r="E15072" s="1" t="str">
        <f ca="1">IFERROR(__xludf.DUMMYFUNCTION("GOOGLETRANSLATE(A11871 , ""tr"" , ""en"")"),"@drfahrettinkoca Dr. Fahrettin husband couldn't have FMF gene test to my 2 year old child? Koskoca ... Koskoca ... https://t.co/xahfvxpa8b")</f>
        <v>@drfahrettinkoca Dr. Fahrettin husband couldn't have FMF gene test to my 2 year old child? Koskoca ... Koskoca ... https://t.co/xahfvxpa8b</v>
      </c>
    </row>
    <row r="15073" spans="1:5" ht="15" customHeight="1" x14ac:dyDescent="0.2">
      <c r="A15073" s="1" t="s">
        <v>29716</v>
      </c>
      <c r="B15073" s="1">
        <v>0</v>
      </c>
      <c r="C15073" s="3">
        <v>44524.989907407406</v>
      </c>
      <c r="D15073" s="1" t="s">
        <v>29717</v>
      </c>
      <c r="E15073" s="1" t="str">
        <f ca="1">IFERROR(__xludf.DUMMYFUNCTION("GOOGLETRANSLATE(A11872 , ""tr"" , ""en"")"),"@drfahrettinka did not have hydroxycluoroquine for 1 year. 1 year favipiravir did not hold. Molnu now ... https://t.co/r8wltpech4")</f>
        <v>@drfahrettinka did not have hydroxycluoroquine for 1 year. 1 year favipiravir did not hold. Molnu now ... https://t.co/r8wltpech4</v>
      </c>
    </row>
    <row r="15074" spans="1:5" ht="15" customHeight="1" x14ac:dyDescent="0.2">
      <c r="A15074" s="1" t="s">
        <v>29718</v>
      </c>
      <c r="B15074" s="1">
        <v>0</v>
      </c>
      <c r="C15074" s="3">
        <v>44524.989571759259</v>
      </c>
      <c r="D15074" s="1" t="s">
        <v>29719</v>
      </c>
      <c r="E15074" s="1" t="str">
        <f ca="1">IFERROR(__xludf.DUMMYFUNCTION("GOOGLETRANSLATE(A11873 , ""tr"" , ""en"")"),"@drfahrettinka Mr. Minister Valla I'm a doctor if I'm a doctor, I don't even treat the non-vaccination. I can touch me the damage ... https://t.co/Av10qxmluw")</f>
        <v>@drfahrettinka Mr. Minister Valla I'm a doctor if I'm a doctor, I don't even treat the non-vaccination. I can touch me the damage ... https://t.co/Av10qxmluw</v>
      </c>
    </row>
    <row r="15075" spans="1:5" ht="15" customHeight="1" x14ac:dyDescent="0.2">
      <c r="A15075" s="1" t="s">
        <v>29720</v>
      </c>
      <c r="B15075" s="1">
        <v>0</v>
      </c>
      <c r="C15075" s="3">
        <v>44524.988495370373</v>
      </c>
      <c r="D15075" s="1" t="s">
        <v>29721</v>
      </c>
      <c r="E15075" s="1" t="str">
        <f ca="1">IFERROR(__xludf.DUMMYFUNCTION("GOOGLETRANSLATE(A11874 , ""tr"" , ""en"")"),"@drfahrettinkoca This Malesef 3. Dunya Savasi. Coronayi cikartties and what happened to reduce the Dunya Nufar and what happened ... https://t.co/uqwvf6cmc3")</f>
        <v>@drfahrettinkoca This Malesef 3. Dunya Savasi. Coronayi cikartties and what happened to reduce the Dunya Nufar and what happened ... https://t.co/uqwvf6cmc3</v>
      </c>
    </row>
    <row r="15076" spans="1:5" ht="15" customHeight="1" x14ac:dyDescent="0.2">
      <c r="A15076" s="1" t="s">
        <v>29722</v>
      </c>
      <c r="B15076" s="1">
        <v>5</v>
      </c>
      <c r="C15076" s="3">
        <v>44524.987581018519</v>
      </c>
      <c r="D15076" s="1" t="s">
        <v>29723</v>
      </c>
      <c r="E15076" s="1" t="str">
        <f ca="1">IFERROR(__xludf.DUMMYFUNCTION("GOOGLETRANSLATE(A11875 , ""tr"" , ""en"")"),"@drfahrettinka fast test fast test fast test fast test fast test fast test fast test fast test fast test ... https://t.co/ko9d9coyhl")</f>
        <v>@drfahrettinka fast test fast test fast test fast test fast test fast test fast test fast test fast test ... https://t.co/ko9d9coyhl</v>
      </c>
    </row>
    <row r="15077" spans="1:5" ht="15" customHeight="1" x14ac:dyDescent="0.2">
      <c r="A15077" s="1" t="s">
        <v>29724</v>
      </c>
      <c r="B15077" s="1">
        <v>6</v>
      </c>
      <c r="C15077" s="3">
        <v>44524.983460648145</v>
      </c>
      <c r="D15077" s="1" t="s">
        <v>29725</v>
      </c>
      <c r="E15077" s="1" t="str">
        <f ca="1">IFERROR(__xludf.DUMMYFUNCTION("GOOGLETRANSLATE(A11876 , ""tr"" , ""en"")"),"@drfahrettinkoca sn facing medicine no one drinks no longer in vain the palm of the handful of people who trust you most of the people who trust you ... https://t.co/e1j0yotffa")</f>
        <v>@drfahrettinkoca sn facing medicine no one drinks no longer in vain the palm of the handful of people who trust you most of the people who trust you ... https://t.co/e1j0yotffa</v>
      </c>
    </row>
    <row r="15078" spans="1:5" ht="15" customHeight="1" x14ac:dyDescent="0.2">
      <c r="A15078" s="1" t="s">
        <v>29726</v>
      </c>
      <c r="B15078" s="1">
        <v>0</v>
      </c>
      <c r="C15078" s="3">
        <v>44524.97861111111</v>
      </c>
      <c r="D15078" s="1" t="s">
        <v>29727</v>
      </c>
      <c r="E15078" s="1" t="str">
        <f ca="1">IFERROR(__xludf.DUMMYFUNCTION("GOOGLETRANSLATE(A11877 , ""tr"" , ""en"")"),"@drfahrettinkoca running irony patients are going to work uneasy fearful and they are working places vaccine people v ... https://t.co/kiodrxlıfj")</f>
        <v>@drfahrettinkoca running irony patients are going to work uneasy fearful and they are working places vaccine people v ... https://t.co/kiodrxlıfj</v>
      </c>
    </row>
    <row r="15079" spans="1:5" ht="15" customHeight="1" x14ac:dyDescent="0.2">
      <c r="A15079" s="1" t="s">
        <v>29728</v>
      </c>
      <c r="B15079" s="1">
        <v>0</v>
      </c>
      <c r="C15079" s="3">
        <v>44524.978576388887</v>
      </c>
      <c r="D15079" s="1" t="s">
        <v>29729</v>
      </c>
      <c r="E15079" s="1" t="str">
        <f ca="1">IFERROR(__xludf.DUMMYFUNCTION("GOOGLETRANSLATE(A11878 , ""tr"" , ""en"")"),"@drfahrettinkoca samimiysen online making the following meeting is afraid of gathering the friend 15-20 people.")</f>
        <v>@drfahrettinkoca samimiysen online making the following meeting is afraid of gathering the friend 15-20 people.</v>
      </c>
    </row>
    <row r="15080" spans="1:5" ht="15" customHeight="1" x14ac:dyDescent="0.2">
      <c r="A15080" s="1" t="s">
        <v>29730</v>
      </c>
      <c r="B15080" s="1">
        <v>1</v>
      </c>
      <c r="C15080" s="3">
        <v>44524.97625</v>
      </c>
      <c r="D15080" s="1" t="s">
        <v>29731</v>
      </c>
      <c r="E15080" s="1" t="str">
        <f ca="1">IFERROR(__xludf.DUMMYFUNCTION("GOOGLETRANSLATE(A11879 , ""tr"" , ""en"")"),"@drfahrettinkoca State Hast.")</f>
        <v>@drfahrettinkoca State Hast.</v>
      </c>
    </row>
    <row r="15081" spans="1:5" ht="15" customHeight="1" x14ac:dyDescent="0.2">
      <c r="A15081" s="1" t="s">
        <v>29732</v>
      </c>
      <c r="B15081" s="1">
        <v>0</v>
      </c>
      <c r="C15081" s="3">
        <v>44524.973634259259</v>
      </c>
      <c r="D15081" s="1" t="s">
        <v>29733</v>
      </c>
      <c r="E15081" s="1" t="str">
        <f ca="1">IFERROR(__xludf.DUMMYFUNCTION("GOOGLETRANSLATE(A11880 , ""tr"" , ""en"")"),"@drfahrettinkoca Yes From Your Science Assembly to @rterdogan a Propl of Propaganda for Falling and Fall from Ruling ... https://t.co/z2j4vtbyel")</f>
        <v>@drfahrettinkoca Yes From Your Science Assembly to @rterdogan a Propl of Propaganda for Falling and Fall from Ruling ... https://t.co/z2j4vtbyel</v>
      </c>
    </row>
    <row r="15082" spans="1:5" ht="15" customHeight="1" x14ac:dyDescent="0.2">
      <c r="A15082" s="1" t="s">
        <v>29734</v>
      </c>
      <c r="B15082" s="1">
        <v>0</v>
      </c>
      <c r="C15082" s="3">
        <v>44524.970601851855</v>
      </c>
      <c r="D15082" s="1" t="s">
        <v>29735</v>
      </c>
      <c r="E15082" s="1" t="str">
        <f ca="1">IFERROR(__xludf.DUMMYFUNCTION("GOOGLETRANSLATE(A11881 , ""tr"" , ""en"")"),"@drfahrettinkoca Why have you still not understanding that after the new treatment is dead. Province of Europe Bi razzle ... https://t.co/zapxw5oukw")</f>
        <v>@drfahrettinkoca Why have you still not understanding that after the new treatment is dead. Province of Europe Bi razzle ... https://t.co/zapxw5oukw</v>
      </c>
    </row>
    <row r="15083" spans="1:5" ht="15" customHeight="1" x14ac:dyDescent="0.2">
      <c r="A15083" s="1" t="s">
        <v>29736</v>
      </c>
      <c r="B15083" s="1">
        <v>0</v>
      </c>
      <c r="C15083" s="3">
        <v>44524.967986111114</v>
      </c>
      <c r="D15083" s="1" t="s">
        <v>29737</v>
      </c>
      <c r="E15083" s="1" t="str">
        <f ca="1">IFERROR(__xludf.DUMMYFUNCTION("GOOGLETRANSLATE(A11882 , ""tr"" , ""en"")"),"@drfahrettinkoca Double Dose Vaccine Kovite, we lost the heart attack, passed the heart attack, and the heart or the clot to the folks diyuyo")</f>
        <v>@drfahrettinkoca Double Dose Vaccine Kovite, we lost the heart attack, passed the heart attack, and the heart or the clot to the folks diyuyo</v>
      </c>
    </row>
    <row r="15084" spans="1:5" ht="15" customHeight="1" x14ac:dyDescent="0.2">
      <c r="A15084" s="1" t="s">
        <v>28920</v>
      </c>
      <c r="B15084" s="1">
        <v>0</v>
      </c>
      <c r="C15084" s="3">
        <v>44524.96738425926</v>
      </c>
      <c r="D15084" s="1" t="s">
        <v>29738</v>
      </c>
      <c r="E15084" s="1" t="str">
        <f ca="1">IFERROR(__xludf.DUMMYFUNCTION("GOOGLETRANSLATE(A11883 , ""tr"" , ""en"")"),"@drfahrettinkoca #velilerdeonline")</f>
        <v>@drfahrettinkoca #velilerdeonline</v>
      </c>
    </row>
    <row r="15085" spans="1:5" ht="15" customHeight="1" x14ac:dyDescent="0.2">
      <c r="A15085" s="1" t="s">
        <v>29739</v>
      </c>
      <c r="B15085" s="1">
        <v>4</v>
      </c>
      <c r="C15085" s="3">
        <v>44524.96534722222</v>
      </c>
      <c r="D15085" s="1" t="s">
        <v>29740</v>
      </c>
      <c r="E15085" s="1" t="str">
        <f ca="1">IFERROR(__xludf.DUMMYFUNCTION("GOOGLETRANSLATE(A11884 , ""tr"" , ""en"")"),"@drfahrettinka Mr. Ministry Students Families General All citizens we want to be concrete step in the most online training ... https://t.co/xxywd8w1bw")</f>
        <v>@drfahrettinka Mr. Ministry Students Families General All citizens we want to be concrete step in the most online training ... https://t.co/xxywd8w1bw</v>
      </c>
    </row>
    <row r="15086" spans="1:5" ht="15" customHeight="1" x14ac:dyDescent="0.2">
      <c r="A15086" s="1" t="s">
        <v>29741</v>
      </c>
      <c r="B15086" s="1">
        <v>4</v>
      </c>
      <c r="C15086" s="3">
        <v>44524.960486111115</v>
      </c>
      <c r="D15086" s="1" t="s">
        <v>29742</v>
      </c>
      <c r="E15086" s="1" t="str">
        <f ca="1">IFERROR(__xludf.DUMMYFUNCTION("GOOGLETRANSLATE(A11885 , ""tr"" , ""en"")"),"@drfahrettinkoca is called both the effect and will be given again according to the situation. Or other drug! This folks are your toy ... https://t.co/cnwjIztmki")</f>
        <v>@drfahrettinkoca is called both the effect and will be given again according to the situation. Or other drug! This folks are your toy ... https://t.co/cnwjIztmki</v>
      </c>
    </row>
    <row r="15087" spans="1:5" ht="15" customHeight="1" x14ac:dyDescent="0.2">
      <c r="A15087" s="1" t="s">
        <v>29743</v>
      </c>
      <c r="B15087" s="1">
        <v>0</v>
      </c>
      <c r="C15087" s="3">
        <v>44524.960335648146</v>
      </c>
      <c r="D15087" s="1" t="s">
        <v>29744</v>
      </c>
      <c r="E15087" s="1" t="str">
        <f ca="1">IFERROR(__xludf.DUMMYFUNCTION("GOOGLETRANSLATE(A11886 , ""tr"" , ""en"")"),"@drfahrettinkoca favipiravir medicine coronada came in ineffective to explain why you are still insisting on this drug ... https://t.co/p3sny3xuc0")</f>
        <v>@drfahrettinkoca favipiravir medicine coronada came in ineffective to explain why you are still insisting on this drug ... https://t.co/p3sny3xuc0</v>
      </c>
    </row>
    <row r="15088" spans="1:5" ht="15" customHeight="1" x14ac:dyDescent="0.2">
      <c r="A15088" s="1" t="s">
        <v>29745</v>
      </c>
      <c r="B15088" s="1">
        <v>3</v>
      </c>
      <c r="C15088" s="3">
        <v>44524.95753472222</v>
      </c>
      <c r="D15088" s="1" t="s">
        <v>29746</v>
      </c>
      <c r="E15088" s="1" t="str">
        <f ca="1">IFERROR(__xludf.DUMMYFUNCTION("GOOGLETRANSLATE(A11887 , ""tr"" , ""en"")"),"@drfahrettinkoca By this time to patients your advice be sick whether it was a pharmaceutical Pharmaceutical be the sick ... https://t.co/kcmnhghvct")</f>
        <v>@drfahrettinkoca By this time to patients your advice be sick whether it was a pharmaceutical Pharmaceutical be the sick ... https://t.co/kcmnhghvct</v>
      </c>
    </row>
    <row r="15089" spans="1:5" ht="15" customHeight="1" x14ac:dyDescent="0.2">
      <c r="A15089" s="1" t="s">
        <v>29747</v>
      </c>
      <c r="B15089" s="1">
        <v>0</v>
      </c>
      <c r="C15089" s="3">
        <v>44524.957349537035</v>
      </c>
      <c r="D15089" s="1" t="s">
        <v>29748</v>
      </c>
      <c r="E15089" s="1" t="str">
        <f ca="1">IFERROR(__xludf.DUMMYFUNCTION("GOOGLETRANSLATE(A11888 , ""tr"" , ""en"")"),"@drfahrettinkoca Why are you gathering in vain? A pity, you don't take a measure, however, the control is the chapter ... https://t.co/fcvdeycyxo")</f>
        <v>@drfahrettinkoca Why are you gathering in vain? A pity, you don't take a measure, however, the control is the chapter ... https://t.co/fcvdeycyxo</v>
      </c>
    </row>
    <row r="15090" spans="1:5" ht="15" customHeight="1" x14ac:dyDescent="0.2">
      <c r="A15090" s="1" t="s">
        <v>29749</v>
      </c>
      <c r="B15090" s="1">
        <v>0</v>
      </c>
      <c r="C15090" s="3">
        <v>44524.952268518522</v>
      </c>
      <c r="D15090" s="1" t="s">
        <v>29750</v>
      </c>
      <c r="E15090" s="1" t="str">
        <f ca="1">IFERROR(__xludf.DUMMYFUNCTION("GOOGLETRANSLATE(A11889 , ""tr"" , ""en"")"),"@drfahrettinkoca Country Handed You Still Try to Sleep Nation with These Things Yook")</f>
        <v>@drfahrettinkoca Country Handed You Still Try to Sleep Nation with These Things Yook</v>
      </c>
    </row>
    <row r="15091" spans="1:5" ht="15" customHeight="1" x14ac:dyDescent="0.2">
      <c r="A15091" s="1" t="s">
        <v>29751</v>
      </c>
      <c r="B15091" s="1">
        <v>1</v>
      </c>
      <c r="C15091" s="3">
        <v>44524.950740740744</v>
      </c>
      <c r="D15091" s="1" t="s">
        <v>29752</v>
      </c>
      <c r="E15091" s="1" t="str">
        <f ca="1">IFERROR(__xludf.DUMMYFUNCTION("GOOGLETRANSLATE(A11890 , ""tr"" , ""en"")"),"@drfahrettinkoca min overlooking we are unable to tolerate ourselves are not able to trust the measure that we are tired online ... https://t.co/3axuf1vrld")</f>
        <v>@drfahrettinkoca min overlooking we are unable to tolerate ourselves are not able to trust the measure that we are tired online ... https://t.co/3axuf1vrld</v>
      </c>
    </row>
    <row r="15092" spans="1:5" ht="15" customHeight="1" x14ac:dyDescent="0.2">
      <c r="A15092" s="1" t="s">
        <v>29753</v>
      </c>
      <c r="B15092" s="1">
        <v>0</v>
      </c>
      <c r="C15092" s="3">
        <v>44524.948854166665</v>
      </c>
      <c r="D15092" s="1" t="s">
        <v>29754</v>
      </c>
      <c r="E15092" s="1" t="str">
        <f ca="1">IFERROR(__xludf.DUMMYFUNCTION("GOOGLETRANSLATE(A11891 , ""tr"" , ""en"")"),"@drfahrettinkoca Mr. Ministry of Favirapir A Many Professor for Fav Running From the first use of you Kula ... https://t.co/2m5u5ejxpo")</f>
        <v>@drfahrettinkoca Mr. Ministry of Favirapir A Many Professor for Fav Running From the first use of you Kula ... https://t.co/2m5u5ejxpo</v>
      </c>
    </row>
    <row r="15093" spans="1:5" ht="15" customHeight="1" x14ac:dyDescent="0.2">
      <c r="A15093" s="1" t="s">
        <v>29755</v>
      </c>
      <c r="B15093" s="1">
        <v>0</v>
      </c>
      <c r="C15093" s="3">
        <v>44524.948703703703</v>
      </c>
      <c r="D15093" s="1" t="s">
        <v>29756</v>
      </c>
      <c r="E15093" s="1" t="str">
        <f ca="1">IFERROR(__xludf.DUMMYFUNCTION("GOOGLETRANSLATE(A11892 , ""tr"" , ""en"")"),"@drfahrettinkoca Our Africa is essentially based on Asi Bisey Hamhalde Favipiravir in the drug. Or why the effect of the effect ... https://t.co/betskigf0a")</f>
        <v>@drfahrettinkoca Our Africa is essentially based on Asi Bisey Hamhalde Favipiravir in the drug. Or why the effect of the effect ... https://t.co/betskigf0a</v>
      </c>
    </row>
    <row r="15094" spans="1:5" ht="15" customHeight="1" x14ac:dyDescent="0.2">
      <c r="A15094" s="1" t="s">
        <v>29757</v>
      </c>
      <c r="B15094" s="1">
        <v>0</v>
      </c>
      <c r="C15094" s="3">
        <v>44524.947256944448</v>
      </c>
      <c r="D15094" s="1" t="s">
        <v>29758</v>
      </c>
      <c r="E15094" s="1" t="str">
        <f ca="1">IFERROR(__xludf.DUMMYFUNCTION("GOOGLETRANSLATE(A11893 , ""tr"" , ""en"")"),"@drfahrettinka Mr. Ministry of Ministry I wonder why they try in our country only")</f>
        <v>@drfahrettinka Mr. Ministry of Ministry I wonder why they try in our country only</v>
      </c>
    </row>
    <row r="15095" spans="1:5" ht="15" customHeight="1" x14ac:dyDescent="0.2">
      <c r="A15095" s="1" t="s">
        <v>29759</v>
      </c>
      <c r="B15095" s="1">
        <v>0</v>
      </c>
      <c r="C15095" s="3">
        <v>44524.947013888886</v>
      </c>
      <c r="D15095" s="1" t="s">
        <v>29760</v>
      </c>
      <c r="E15095" s="1" t="str">
        <f ca="1">IFERROR(__xludf.DUMMYFUNCTION("GOOGLETRANSLATE(A11894 , ""tr"" , ""en"")"),"@drfahrettinka you cannot ignore students!")</f>
        <v>@drfahrettinka you cannot ignore students!</v>
      </c>
    </row>
    <row r="15096" spans="1:5" ht="15" customHeight="1" x14ac:dyDescent="0.2">
      <c r="A15096" s="1" t="s">
        <v>29761</v>
      </c>
      <c r="B15096" s="1">
        <v>0</v>
      </c>
      <c r="C15096" s="3">
        <v>44524.944791666669</v>
      </c>
      <c r="D15096" s="1" t="s">
        <v>29762</v>
      </c>
      <c r="E15096" s="1" t="str">
        <f ca="1">IFERROR(__xludf.DUMMYFUNCTION("GOOGLETRANSLATE(A11895 , ""tr"" , ""en"")"),"@drfahrettinkoca treatment is a person who says the doctors who do not hear the doctors who do not hear young old chronic diseased ... https://t.co/hdgsmdco2e")</f>
        <v>@drfahrettinkoca treatment is a person who says the doctors who do not hear the doctors who do not hear young old chronic diseased ... https://t.co/hdgsmdco2e</v>
      </c>
    </row>
    <row r="15097" spans="1:5" ht="15" customHeight="1" x14ac:dyDescent="0.2">
      <c r="A15097" s="1" t="s">
        <v>29763</v>
      </c>
      <c r="B15097" s="1">
        <v>2</v>
      </c>
      <c r="C15097" s="3">
        <v>44524.941828703704</v>
      </c>
      <c r="D15097" s="1" t="s">
        <v>29764</v>
      </c>
      <c r="E15097" s="1" t="str">
        <f ca="1">IFERROR(__xludf.DUMMYFUNCTION("GOOGLETRANSLATE(A11896 , ""tr"" , ""en"")"),"@drfahrettinkoca @saglikbakanligi #smaailelerkarada We will not end our nobet we will not return to the medicine ... https://t.co/qxhxb9obnw")</f>
        <v>@drfahrettinkoca @saglikbakanligi #smaailelerkarada We will not end our nobet we will not return to the medicine ... https://t.co/qxhxb9obnw</v>
      </c>
    </row>
    <row r="15098" spans="1:5" ht="15" customHeight="1" x14ac:dyDescent="0.2">
      <c r="A15098" s="1" t="s">
        <v>29765</v>
      </c>
      <c r="B15098" s="1">
        <v>0</v>
      </c>
      <c r="C15098" s="3">
        <v>44524.940740740742</v>
      </c>
      <c r="D15098" s="1" t="s">
        <v>29766</v>
      </c>
      <c r="E15098" s="1" t="str">
        <f ca="1">IFERROR(__xludf.DUMMYFUNCTION("GOOGLETRANSLATE(A11897 , ""tr"" , ""en"")"),"@drfahrettinkoca Children's Health Non-Speakable Meeting.")</f>
        <v>@drfahrettinkoca Children's Health Non-Speakable Meeting.</v>
      </c>
    </row>
    <row r="15099" spans="1:5" ht="15" customHeight="1" x14ac:dyDescent="0.2">
      <c r="A15099" s="1" t="s">
        <v>29767</v>
      </c>
      <c r="B15099" s="1">
        <v>2</v>
      </c>
      <c r="C15099" s="3">
        <v>44524.939745370371</v>
      </c>
      <c r="D15099" s="1" t="s">
        <v>29768</v>
      </c>
      <c r="E15099" s="1" t="str">
        <f ca="1">IFERROR(__xludf.DUMMYFUNCTION("GOOGLETRANSLATE(A11898 , ""tr"" , ""en"")"),"@drfahrettinka https://t.co/i5kc5sda7t")</f>
        <v>@drfahrettinka https://t.co/i5kc5sda7t</v>
      </c>
    </row>
    <row r="15100" spans="1:5" ht="15" customHeight="1" x14ac:dyDescent="0.2">
      <c r="A15100" s="1" t="s">
        <v>29769</v>
      </c>
      <c r="B15100" s="1">
        <v>0</v>
      </c>
      <c r="C15100" s="3">
        <v>44524.937824074077</v>
      </c>
      <c r="D15100" s="1" t="s">
        <v>29770</v>
      </c>
      <c r="E15100" s="1" t="str">
        <f ca="1">IFERROR(__xludf.DUMMYFUNCTION("GOOGLETRANSLATE(A11899 , ""tr"" , ""en"")"),"@drfahrettinkoca schools? Now produce the solution not to speak.")</f>
        <v>@drfahrettinkoca schools? Now produce the solution not to speak.</v>
      </c>
    </row>
    <row r="15101" spans="1:5" ht="15" customHeight="1" x14ac:dyDescent="0.2">
      <c r="A15101" s="1" t="s">
        <v>29771</v>
      </c>
      <c r="B15101" s="1">
        <v>0</v>
      </c>
      <c r="C15101" s="3">
        <v>44524.937824074077</v>
      </c>
      <c r="D15101" s="1" t="s">
        <v>29772</v>
      </c>
      <c r="E15101" s="1" t="str">
        <f ca="1">IFERROR(__xludf.DUMMYFUNCTION("GOOGLETRANSLATE(A11900 , ""tr"" , ""en"")"),"@drfahrettinkoca Who's firm let's see the volley.")</f>
        <v>@drfahrettinkoca Who's firm let's see the volley.</v>
      </c>
    </row>
    <row r="15102" spans="1:5" ht="15" customHeight="1" x14ac:dyDescent="0.2">
      <c r="A15102" s="1" t="s">
        <v>29773</v>
      </c>
      <c r="B15102" s="1">
        <v>0</v>
      </c>
      <c r="C15102" s="3">
        <v>44524.936851851853</v>
      </c>
      <c r="D15102" s="1" t="s">
        <v>29774</v>
      </c>
      <c r="E15102" s="1" t="str">
        <f ca="1">IFERROR(__xludf.DUMMYFUNCTION("GOOGLETRANSLATE(A11901 , ""tr"" , ""en"")"),"@drfahrettinkoca Bari Close schools Data Yaw cases are also increasing already")</f>
        <v>@drfahrettinkoca Bari Close schools Data Yaw cases are also increasing already</v>
      </c>
    </row>
    <row r="15103" spans="1:5" ht="15" customHeight="1" x14ac:dyDescent="0.2">
      <c r="A15103" s="1" t="s">
        <v>29775</v>
      </c>
      <c r="B15103" s="1">
        <v>0</v>
      </c>
      <c r="C15103" s="3">
        <v>44524.936840277776</v>
      </c>
      <c r="D15103" s="1" t="s">
        <v>29776</v>
      </c>
      <c r="E15103" s="1" t="str">
        <f ca="1">IFERROR(__xludf.DUMMYFUNCTION("GOOGLETRANSLATE(A11902 , ""tr"" , ""en"")"),"Go @drfahrettinkoca Bi Go to God's sake from the beginning of this country")</f>
        <v>Go @drfahrettinkoca Bi Go to God's sake from the beginning of this country</v>
      </c>
    </row>
    <row r="15104" spans="1:5" ht="15" customHeight="1" x14ac:dyDescent="0.2">
      <c r="A15104" s="1" t="s">
        <v>29777</v>
      </c>
      <c r="B15104" s="1">
        <v>7</v>
      </c>
      <c r="C15104" s="3">
        <v>44524.935798611114</v>
      </c>
      <c r="D15104" s="1" t="s">
        <v>29778</v>
      </c>
      <c r="E15104" s="1" t="str">
        <f ca="1">IFERROR(__xludf.DUMMYFUNCTION("GOOGLETRANSLATE(A11903 , ""tr"" , ""en"")"),"@drfahrettinkoca Molnupiraviri Producing Merck will get $ 700 and who will pay this money? Nice Trade This Corona B ... https://t.co/d43jkkxmlf")</f>
        <v>@drfahrettinkoca Molnupiraviri Producing Merck will get $ 700 and who will pay this money? Nice Trade This Corona B ... https://t.co/d43jkkxmlf</v>
      </c>
    </row>
    <row r="15105" spans="1:5" ht="15" customHeight="1" x14ac:dyDescent="0.2">
      <c r="A15105" s="1" t="s">
        <v>29779</v>
      </c>
      <c r="B15105" s="1">
        <v>1</v>
      </c>
      <c r="C15105" s="3">
        <v>44524.933877314812</v>
      </c>
      <c r="D15105" s="1" t="s">
        <v>29780</v>
      </c>
      <c r="E15105" s="1" t="str">
        <f ca="1">IFERROR(__xludf.DUMMYFUNCTION("GOOGLETRANSLATE(A11904 , ""tr"" , ""en"")"),"@drfahrettinka https://t.co/ajfyg1gjgn")</f>
        <v>@drfahrettinka https://t.co/ajfyg1gjgn</v>
      </c>
    </row>
    <row r="15106" spans="1:5" ht="15" customHeight="1" x14ac:dyDescent="0.2">
      <c r="A15106" s="1" t="s">
        <v>29781</v>
      </c>
      <c r="B15106" s="1">
        <v>5</v>
      </c>
      <c r="C15106" s="3">
        <v>44524.932326388887</v>
      </c>
      <c r="D15106" s="1" t="s">
        <v>29782</v>
      </c>
      <c r="E15106" s="1" t="str">
        <f ca="1">IFERROR(__xludf.DUMMYFUNCTION("GOOGLETRANSLATE(A11905 , ""tr"" , ""en"")"),"@drfahrettinkoca Favirpiravir gone molnupiravir came. Must be a pravir in the ill")</f>
        <v>@drfahrettinkoca Favirpiravir gone molnupiravir came. Must be a pravir in the ill</v>
      </c>
    </row>
    <row r="15107" spans="1:5" ht="15" customHeight="1" x14ac:dyDescent="0.2">
      <c r="A15107" s="1" t="s">
        <v>29783</v>
      </c>
      <c r="B15107" s="1">
        <v>0</v>
      </c>
      <c r="C15107" s="3">
        <v>44524.929803240739</v>
      </c>
      <c r="D15107" s="1" t="s">
        <v>29784</v>
      </c>
      <c r="E15107" s="1" t="str">
        <f ca="1">IFERROR(__xludf.DUMMYFUNCTION("GOOGLETRANSLATE(A11906 , ""tr"" , ""en"")"),"@drfahrettinka is the new treatment method? Molnupiravir? Is that all? Other?")</f>
        <v>@drfahrettinka is the new treatment method? Molnupiravir? Is that all? Other?</v>
      </c>
    </row>
    <row r="15108" spans="1:5" ht="15" customHeight="1" x14ac:dyDescent="0.2">
      <c r="A15108" s="1" t="s">
        <v>29785</v>
      </c>
      <c r="B15108" s="1">
        <v>0</v>
      </c>
      <c r="C15108" s="3">
        <v>44524.928425925929</v>
      </c>
      <c r="D15108" s="1" t="s">
        <v>29786</v>
      </c>
      <c r="E15108" s="1" t="str">
        <f ca="1">IFERROR(__xludf.DUMMYFUNCTION("GOOGLETRANSLATE(A11907 , ""tr"" , ""en"")"),"@drfahrettinkoca Vala I'm very curious. As in Favipiravir, Molnupiraviri will also offer the public in the past dated ???")</f>
        <v>@drfahrettinkoca Vala I'm very curious. As in Favipiravir, Molnupiraviri will also offer the public in the past dated ???</v>
      </c>
    </row>
    <row r="15109" spans="1:5" ht="15" customHeight="1" x14ac:dyDescent="0.2">
      <c r="A15109" s="1" t="s">
        <v>29787</v>
      </c>
      <c r="B15109" s="1">
        <v>0</v>
      </c>
      <c r="C15109" s="3">
        <v>44524.927766203706</v>
      </c>
      <c r="D15109" s="1" t="s">
        <v>29788</v>
      </c>
      <c r="E15109" s="1" t="str">
        <f ca="1">IFERROR(__xludf.DUMMYFUNCTION("GOOGLETRANSLATE(A11908 , ""tr"" , ""en"")"),"@drfahrettinkoca called in the ineffective favipiravir also laundered ... medicine, vaccine, unless we have heavy criticisms but our sb ... https://t.co/3f9rlprnkc")</f>
        <v>@drfahrettinkoca called in the ineffective favipiravir also laundered ... medicine, vaccine, unless we have heavy criticisms but our sb ... https://t.co/3f9rlprnkc</v>
      </c>
    </row>
    <row r="15110" spans="1:5" ht="15" customHeight="1" x14ac:dyDescent="0.2">
      <c r="A15110" s="1" t="s">
        <v>29789</v>
      </c>
      <c r="B15110" s="1">
        <v>0</v>
      </c>
      <c r="C15110" s="3">
        <v>44524.926932870374</v>
      </c>
      <c r="D15110" s="1" t="s">
        <v>29790</v>
      </c>
      <c r="E15110" s="1" t="str">
        <f ca="1">IFERROR(__xludf.DUMMYFUNCTION("GOOGLETRANSLATE(A11909 , ""tr"" , ""en"")"),"@drfahrettinkoca is an emergency doctor to the pile of favipiravirs to the stacked table, when it is positively, it says. T ... https://t.co/jgkk5vkqyf")</f>
        <v>@drfahrettinkoca is an emergency doctor to the pile of favipiravirs to the stacked table, when it is positively, it says. T ... https://t.co/jgkk5vkqyf</v>
      </c>
    </row>
    <row r="15111" spans="1:5" ht="15" customHeight="1" x14ac:dyDescent="0.2">
      <c r="A15111" s="1" t="s">
        <v>29791</v>
      </c>
      <c r="B15111" s="1">
        <v>0</v>
      </c>
      <c r="C15111" s="3">
        <v>44524.92596064815</v>
      </c>
      <c r="D15111" s="1" t="s">
        <v>29792</v>
      </c>
      <c r="E15111" s="1" t="str">
        <f ca="1">IFERROR(__xludf.DUMMYFUNCTION("GOOGLETRANSLATE(A11910 , ""tr"" , ""en"")"),"@drfahrettinkoca Bisey Soracam Using Date History Favipaviri Movupavir Digiation Kakaliycan Ring Allan Tell the Truth 😜")</f>
        <v>@drfahrettinkoca Bisey Soracam Using Date History Favipaviri Movupavir Digiation Kakaliycan Ring Allan Tell the Truth 😜</v>
      </c>
    </row>
    <row r="15112" spans="1:5" ht="15" customHeight="1" x14ac:dyDescent="0.2">
      <c r="A15112" s="1" t="s">
        <v>29793</v>
      </c>
      <c r="B15112" s="1">
        <v>0</v>
      </c>
      <c r="C15112" s="3">
        <v>44524.925266203703</v>
      </c>
      <c r="D15112" s="1" t="s">
        <v>29794</v>
      </c>
      <c r="E15112" s="1" t="str">
        <f ca="1">IFERROR(__xludf.DUMMYFUNCTION("GOOGLETRANSLATE(A11911 , ""tr"" , ""en"")"),"@drfahrettinkoca Who is in ""certain group of patients""? To which examples and assays did you have patients entered this group?")</f>
        <v>@drfahrettinkoca Who is in "certain group of patients"? To which examples and assays did you have patients entered this group?</v>
      </c>
    </row>
    <row r="15113" spans="1:5" ht="15" customHeight="1" x14ac:dyDescent="0.2">
      <c r="A15113" s="1" t="s">
        <v>29795</v>
      </c>
      <c r="B15113" s="1">
        <v>0</v>
      </c>
      <c r="C15113" s="3">
        <v>44524.92454861111</v>
      </c>
      <c r="D15113" s="1" t="s">
        <v>29796</v>
      </c>
      <c r="E15113" s="1" t="str">
        <f ca="1">IFERROR(__xludf.DUMMYFUNCTION("GOOGLETRANSLATE(A11912 , ""tr"" , ""en"")"),"Summary of the description of @drfahrettinkoca: Favipiravir does not work but there is no serious side effect. I mean think like a Bonibon.")</f>
        <v>Summary of the description of @drfahrettinkoca: Favipiravir does not work but there is no serious side effect. I mean think like a Bonibon.</v>
      </c>
    </row>
    <row r="15114" spans="1:5" ht="15" customHeight="1" x14ac:dyDescent="0.2">
      <c r="A15114" s="1" t="s">
        <v>29797</v>
      </c>
      <c r="B15114" s="1">
        <v>0</v>
      </c>
      <c r="C15114" s="3">
        <v>44524.923368055555</v>
      </c>
      <c r="D15114" s="1" t="s">
        <v>29798</v>
      </c>
      <c r="E15114" s="1" t="str">
        <f ca="1">IFERROR(__xludf.DUMMYFUNCTION("GOOGLETRANSLATE(A11913 , ""tr"" , ""en"")"),"@drfahrettinkoca medicine There is no disease that there are patients in the patient you broke the same medicine in every pose you came in the case ... https://t.co/6prl5ygltg")</f>
        <v>@drfahrettinkoca medicine There is no disease that there are patients in the patient you broke the same medicine in every pose you came in the case ... https://t.co/6prl5ygltg</v>
      </c>
    </row>
    <row r="15115" spans="1:5" ht="15" customHeight="1" x14ac:dyDescent="0.2">
      <c r="A15115" s="1" t="s">
        <v>29799</v>
      </c>
      <c r="B15115" s="1">
        <v>4</v>
      </c>
      <c r="C15115" s="3">
        <v>44524.92087962963</v>
      </c>
      <c r="D15115" s="1" t="s">
        <v>29800</v>
      </c>
      <c r="E15115" s="1" t="str">
        <f ca="1">IFERROR(__xludf.DUMMYFUNCTION("GOOGLETRANSLATE(A11914 , ""tr"" , ""en"")"),"@drfahrettinkoca began to take European precaution again with prohibitions you still say the vaccine medicine once in the front gi ... https://t.co/5uaomuxzua")</f>
        <v>@drfahrettinkoca began to take European precaution again with prohibitions you still say the vaccine medicine once in the front gi ... https://t.co/5uaomuxzua</v>
      </c>
    </row>
    <row r="15116" spans="1:5" ht="15" customHeight="1" x14ac:dyDescent="0.2">
      <c r="A15116" s="1" t="s">
        <v>29801</v>
      </c>
      <c r="B15116" s="1">
        <v>0</v>
      </c>
      <c r="C15116" s="3">
        <v>44524.920532407406</v>
      </c>
      <c r="D15116" s="1" t="s">
        <v>29802</v>
      </c>
      <c r="E15116" s="1" t="str">
        <f ca="1">IFERROR(__xludf.DUMMYFUNCTION("GOOGLETRANSLATE(A11915 , ""tr"" , ""en"")"),"@drfahrettinkoca o The board after the drug fiaus and do your face to get reddened and work with drugs that work and work ... https://t.co/saıcdjere7")</f>
        <v>@drfahrettinkoca o The board after the drug fiaus and do your face to get reddened and work with drugs that work and work ... https://t.co/saıcdjere7</v>
      </c>
    </row>
    <row r="15117" spans="1:5" ht="15" customHeight="1" x14ac:dyDescent="0.2">
      <c r="A15117" s="1" t="s">
        <v>29803</v>
      </c>
      <c r="B15117" s="1">
        <v>2</v>
      </c>
      <c r="C15117" s="3">
        <v>44524.92046296296</v>
      </c>
      <c r="D15117" s="1" t="s">
        <v>29804</v>
      </c>
      <c r="E15117" s="1" t="str">
        <f ca="1">IFERROR(__xludf.DUMMYFUNCTION("GOOGLETRANSLATE(A11916 , ""tr"" , ""en"")"),"@drfahrettinkoca Mr. Minister First of Friday Monday Wednesday to the families of your patients who are in intensive care ... https://t.co/kh5sep2mae")</f>
        <v>@drfahrettinkoca Mr. Minister First of Friday Monday Wednesday to the families of your patients who are in intensive care ... https://t.co/kh5sep2mae</v>
      </c>
    </row>
    <row r="15118" spans="1:5" ht="15" customHeight="1" x14ac:dyDescent="0.2">
      <c r="A15118" s="1" t="s">
        <v>29805</v>
      </c>
      <c r="B15118" s="1">
        <v>4</v>
      </c>
      <c r="C15118" s="3">
        <v>44524.920335648145</v>
      </c>
      <c r="D15118" s="1" t="s">
        <v>29806</v>
      </c>
      <c r="E15118" s="1" t="str">
        <f ca="1">IFERROR(__xludf.DUMMYFUNCTION("GOOGLETRANSLATE(A11917 , ""tr"" , ""en"")"),"@drfahrettinkoca is a person who was born and growing in Germany as someone who loves the nation of his nation. But your COV ... https://t.co/8wussppwbr")</f>
        <v>@drfahrettinkoca is a person who was born and growing in Germany as someone who loves the nation of his nation. But your COV ... https://t.co/8wussppwbr</v>
      </c>
    </row>
    <row r="15119" spans="1:5" ht="15" customHeight="1" x14ac:dyDescent="0.2">
      <c r="A15119" s="1" t="s">
        <v>29807</v>
      </c>
      <c r="B15119" s="1">
        <v>0</v>
      </c>
      <c r="C15119" s="3">
        <v>44524.920243055552</v>
      </c>
      <c r="D15119" s="1" t="s">
        <v>29808</v>
      </c>
      <c r="E15119" s="1" t="str">
        <f ca="1">IFERROR(__xludf.DUMMYFUNCTION("GOOGLETRANSLATE(A11918 , ""tr"" , ""en"")"),"@drfahrettinkoca Do you have answer? https://t.co/v4qqnozehi")</f>
        <v>@drfahrettinkoca Do you have answer? https://t.co/v4qqnozehi</v>
      </c>
    </row>
    <row r="15120" spans="1:5" ht="15" customHeight="1" x14ac:dyDescent="0.2">
      <c r="A15120" s="1" t="s">
        <v>29809</v>
      </c>
      <c r="B15120" s="1">
        <v>0</v>
      </c>
      <c r="C15120" s="3">
        <v>44524.91982638889</v>
      </c>
      <c r="D15120" s="1" t="s">
        <v>29810</v>
      </c>
      <c r="E15120" s="1" t="str">
        <f ca="1">IFERROR(__xludf.DUMMYFUNCTION("GOOGLETRANSLATE(A11919 , ""tr"" , ""en"")"),"@drfahrettinkoca when will health assignments be done")</f>
        <v>@drfahrettinkoca when will health assignments be done</v>
      </c>
    </row>
    <row r="15121" spans="1:5" ht="15" customHeight="1" x14ac:dyDescent="0.2">
      <c r="A15121" s="1" t="s">
        <v>29811</v>
      </c>
      <c r="B15121" s="1">
        <v>0</v>
      </c>
      <c r="C15121" s="3">
        <v>44524.919305555559</v>
      </c>
      <c r="D15121" s="1" t="s">
        <v>29812</v>
      </c>
      <c r="E15121" s="1" t="str">
        <f ca="1">IFERROR(__xludf.DUMMYFUNCTION("GOOGLETRANSLATE(A11920 , ""tr"" , ""en"")"),"@drfahrettinkoca Result? You have used these drugs to people like crazy 8 + 8 Who is the responsible for this? Silent Sedestrian Teda ... https://t.co/lrcsw8pob4")</f>
        <v>@drfahrettinkoca Result? You have used these drugs to people like crazy 8 + 8 Who is the responsible for this? Silent Sedestrian Teda ... https://t.co/lrcsw8pob4</v>
      </c>
    </row>
    <row r="15122" spans="1:5" ht="15" customHeight="1" x14ac:dyDescent="0.2">
      <c r="A15122" s="1" t="s">
        <v>29813</v>
      </c>
      <c r="B15122" s="1">
        <v>2</v>
      </c>
      <c r="C15122" s="3">
        <v>44524.919074074074</v>
      </c>
      <c r="D15122" s="1" t="s">
        <v>29814</v>
      </c>
      <c r="E15122" s="1" t="str">
        <f ca="1">IFERROR(__xludf.DUMMYFUNCTION("GOOGLETRANSLATE(A11921 , ""tr"" , ""en"")"),"@drfahrettinkoca remddesiviri you praised, praised the hydroxciler you canceled the sinovac vaccine after you praise the badness ... https://t.co/4xjsrhzhhj")</f>
        <v>@drfahrettinkoca remddesiviri you praised, praised the hydroxciler you canceled the sinovac vaccine after you praise the badness ... https://t.co/4xjsrhzhhj</v>
      </c>
    </row>
    <row r="15123" spans="1:5" ht="15" customHeight="1" x14ac:dyDescent="0.2">
      <c r="A15123" s="1" t="s">
        <v>29815</v>
      </c>
      <c r="B15123" s="1">
        <v>0</v>
      </c>
      <c r="C15123" s="3">
        <v>44524.918946759259</v>
      </c>
      <c r="D15123" s="1" t="s">
        <v>29816</v>
      </c>
      <c r="E15123" s="1" t="str">
        <f ca="1">IFERROR(__xludf.DUMMYFUNCTION("GOOGLETRANSLATE(A11922 , ""tr"" , ""en"")"),"@drfahrettinkoca His job is guinessively guinessing with experimental drugs and Dead from the company where fetact is partnered with fetöctics M.. Https://t.co/1k80fnd6jl")</f>
        <v>@drfahrettinkoca His job is guinessively guinessing with experimental drugs and Dead from the company where fetact is partnered with fetöctics M.. Https://t.co/1k80fnd6jl</v>
      </c>
    </row>
    <row r="15124" spans="1:5" ht="15" customHeight="1" x14ac:dyDescent="0.2">
      <c r="A15124" s="1" t="s">
        <v>29817</v>
      </c>
      <c r="B15124" s="1">
        <v>0</v>
      </c>
      <c r="C15124" s="3">
        <v>44524.918287037035</v>
      </c>
      <c r="D15124" s="1" t="s">
        <v>29818</v>
      </c>
      <c r="E15124" s="1" t="str">
        <f ca="1">IFERROR(__xludf.DUMMYFUNCTION("GOOGLETRANSLATE(A11923 , ""tr"" , ""en"")"),"@drfahrettinkoca Turkey seen as bad health minister as the Bisaha and is 80% of the population of the population of the land is hating you.")</f>
        <v>@drfahrettinkoca Turkey seen as bad health minister as the Bisaha and is 80% of the population of the population of the land is hating you.</v>
      </c>
    </row>
    <row r="15125" spans="1:5" ht="15" customHeight="1" x14ac:dyDescent="0.2">
      <c r="A15125" s="1" t="s">
        <v>29819</v>
      </c>
      <c r="B15125" s="1">
        <v>24</v>
      </c>
      <c r="C15125" s="3">
        <v>44524.916550925926</v>
      </c>
      <c r="D15125" s="1" t="s">
        <v>29820</v>
      </c>
      <c r="E15125" s="1" t="str">
        <f ca="1">IFERROR(__xludf.DUMMYFUNCTION("GOOGLETRANSLATE(A11924 , ""tr"" , ""en"")"),"@drfahrettinkoca When talking about Favipiravir, the spokes started before the event before the event ... Done Tweet, it's up.")</f>
        <v>@drfahrettinkoca When talking about Favipiravir, the spokes started before the event before the event ... Done Tweet, it's up.</v>
      </c>
    </row>
    <row r="15126" spans="1:5" ht="15" customHeight="1" x14ac:dyDescent="0.2">
      <c r="A15126" s="1" t="s">
        <v>29821</v>
      </c>
      <c r="B15126" s="1">
        <v>0</v>
      </c>
      <c r="C15126" s="3">
        <v>44524.914837962962</v>
      </c>
      <c r="D15126" s="1" t="s">
        <v>29822</v>
      </c>
      <c r="E15126" s="1" t="str">
        <f ca="1">IFERROR(__xludf.DUMMYFUNCTION("GOOGLETRANSLATE(A11925 , ""tr"" , ""en"")"),"@drfahrettinkoca precautions")</f>
        <v>@drfahrettinkoca precautions</v>
      </c>
    </row>
    <row r="15127" spans="1:5" ht="15" customHeight="1" x14ac:dyDescent="0.2">
      <c r="A15127" s="1" t="s">
        <v>29823</v>
      </c>
      <c r="B15127" s="1">
        <v>1</v>
      </c>
      <c r="C15127" s="3">
        <v>44524.912986111114</v>
      </c>
      <c r="D15127" s="1" t="s">
        <v>29824</v>
      </c>
      <c r="E15127" s="1" t="str">
        <f ca="1">IFERROR(__xludf.DUMMYFUNCTION("GOOGLETRANSLATE(A11926 , ""tr"" , ""en"")"),"@drfahrettinkoca Some of Let Molnupiravir try dying dies stay stayed in 2Sene Sora AA If you didn't judge it ok already.")</f>
        <v>@drfahrettinkoca Some of Let Molnupiravir try dying dies stay stayed in 2Sene Sora AA If you didn't judge it ok already.</v>
      </c>
    </row>
    <row r="15128" spans="1:5" ht="15" customHeight="1" x14ac:dyDescent="0.2">
      <c r="A15128" s="1" t="s">
        <v>29825</v>
      </c>
      <c r="B15128" s="1">
        <v>0</v>
      </c>
      <c r="C15128" s="3">
        <v>44524.910173611112</v>
      </c>
      <c r="D15128" s="1" t="s">
        <v>29826</v>
      </c>
      <c r="E15128" s="1" t="str">
        <f ca="1">IFERROR(__xludf.DUMMYFUNCTION("GOOGLETRANSLATE(A11927 , ""tr"" , ""en"")"),"@drfahrettinkoca We're fed up now from this FILMAR")</f>
        <v>@drfahrettinkoca We're fed up now from this FILMAR</v>
      </c>
    </row>
    <row r="15129" spans="1:5" ht="15" customHeight="1" x14ac:dyDescent="0.2">
      <c r="A15129" s="1" t="s">
        <v>29827</v>
      </c>
      <c r="B15129" s="1">
        <v>0</v>
      </c>
      <c r="C15129" s="3">
        <v>44524.910057870373</v>
      </c>
      <c r="D15129" s="1" t="s">
        <v>29828</v>
      </c>
      <c r="E15129" s="1" t="str">
        <f ca="1">IFERROR(__xludf.DUMMYFUNCTION("GOOGLETRANSLATE(A11928 , ""tr"" , ""en"")"),"@drfahrettinkoca warehouse decreased by death drugs so we bring new death drugs Diode now to the patient's condition ... https://t.co/7hl7x5yke1")</f>
        <v>@drfahrettinkoca warehouse decreased by death drugs so we bring new death drugs Diode now to the patient's condition ... https://t.co/7hl7x5yke1</v>
      </c>
    </row>
    <row r="15130" spans="1:5" ht="15" customHeight="1" x14ac:dyDescent="0.2">
      <c r="A15130" s="1" t="s">
        <v>29829</v>
      </c>
      <c r="B15130" s="1">
        <v>0</v>
      </c>
      <c r="C15130" s="3">
        <v>44524.908125000002</v>
      </c>
      <c r="D15130" s="1" t="s">
        <v>29830</v>
      </c>
      <c r="E15130" s="1" t="str">
        <f ca="1">IFERROR(__xludf.DUMMYFUNCTION("GOOGLETRANSLATE(A11929 , ""tr"" , ""en"")"),"@drfahrettinkoca Science Board @bengibaser We have a frothy scientific bi Profile he thugged in houses for two years ... HTTPS://T.CO/UMAI4NG4KS")</f>
        <v>@drfahrettinkoca Science Board @bengibaser We have a frothy scientific bi Profile he thugged in houses for two years ... HTTPS://T.CO/UMAI4NG4KS</v>
      </c>
    </row>
    <row r="15131" spans="1:5" ht="15" customHeight="1" x14ac:dyDescent="0.2">
      <c r="A15131" s="1" t="s">
        <v>29831</v>
      </c>
      <c r="B15131" s="1">
        <v>1</v>
      </c>
      <c r="C15131" s="3">
        <v>44524.908067129632</v>
      </c>
      <c r="D15131" s="1" t="s">
        <v>29832</v>
      </c>
      <c r="E15131" s="1" t="str">
        <f ca="1">IFERROR(__xludf.DUMMYFUNCTION("GOOGLETRANSLATE(A11930 , ""tr"" , ""en"")"),"@drfahrettinkoca fuckers are not at all, protest by throwing the cake by Protest Ediyo but 666 Fahri and other than tivitis ... https://t.co/psqzplzqgb")</f>
        <v>@drfahrettinkoca fuckers are not at all, protest by throwing the cake by Protest Ediyo but 666 Fahri and other than tivitis ... https://t.co/psqzplzqgb</v>
      </c>
    </row>
    <row r="15132" spans="1:5" ht="15" customHeight="1" x14ac:dyDescent="0.2">
      <c r="A15132" s="1" t="s">
        <v>29833</v>
      </c>
      <c r="B15132" s="1">
        <v>0</v>
      </c>
      <c r="C15132" s="3">
        <v>44524.906458333331</v>
      </c>
      <c r="D15132" s="1" t="s">
        <v>29834</v>
      </c>
      <c r="E15132" s="1" t="str">
        <f ca="1">IFERROR(__xludf.DUMMYFUNCTION("GOOGLETRANSLATE(A11931 , ""tr"" , ""en"")"),"@drfahrettinkoca is the dummies that believes in these cares Halafi !!!?")</f>
        <v>@drfahrettinkoca is the dummies that believes in these cares Halafi !!!?</v>
      </c>
    </row>
    <row r="15133" spans="1:5" ht="15" customHeight="1" x14ac:dyDescent="0.2">
      <c r="A15133" s="1" t="s">
        <v>29835</v>
      </c>
      <c r="B15133" s="1">
        <v>0</v>
      </c>
      <c r="C15133" s="3">
        <v>44524.905902777777</v>
      </c>
      <c r="D15133" s="1" t="s">
        <v>29836</v>
      </c>
      <c r="E15133" s="1" t="str">
        <f ca="1">IFERROR(__xludf.DUMMYFUNCTION("GOOGLETRANSLATE(A11932 , ""tr"" , ""en"")"),"@drfahrettinkoca PRF. Dr. May Bengi BURER complete the missing problems. 😠 😠")</f>
        <v>@drfahrettinkoca PRF. Dr. May Bengi BURER complete the missing problems. 😠 😠</v>
      </c>
    </row>
    <row r="15134" spans="1:5" ht="15" customHeight="1" x14ac:dyDescent="0.2">
      <c r="A15134" s="1" t="s">
        <v>29837</v>
      </c>
      <c r="B15134" s="1">
        <v>5</v>
      </c>
      <c r="C15134" s="3">
        <v>44524.903749999998</v>
      </c>
      <c r="D15134" s="1" t="s">
        <v>29838</v>
      </c>
      <c r="E15134" s="1" t="str">
        <f ca="1">IFERROR(__xludf.DUMMYFUNCTION("GOOGLETRANSLATE(A11933 , ""tr"" , ""en"")"),"@drfahrettinkoca This woman is still on my science board? https://t.co/xniz0t5xrx")</f>
        <v>@drfahrettinkoca This woman is still on my science board? https://t.co/xniz0t5xrx</v>
      </c>
    </row>
    <row r="15135" spans="1:5" ht="15" customHeight="1" x14ac:dyDescent="0.2">
      <c r="A15135" s="1" t="s">
        <v>29839</v>
      </c>
      <c r="B15135" s="1">
        <v>0</v>
      </c>
      <c r="C15135" s="3">
        <v>44524.90084490741</v>
      </c>
      <c r="D15135" s="1" t="s">
        <v>29840</v>
      </c>
      <c r="E15135" s="1" t="str">
        <f ca="1">IFERROR(__xludf.DUMMYFUNCTION("GOOGLETRANSLATE(A11934 , ""tr"" , ""en"")"),"@drfahrettinkoca Kisa Calisma Odenegi continue / chronic convenience If you are calissy from home? / Disabled staff ... https://t.co/kuhrvrnj1f")</f>
        <v>@drfahrettinkoca Kisa Calisma Odenegi continue / chronic convenience If you are calissy from home? / Disabled staff ... https://t.co/kuhrvrnj1f</v>
      </c>
    </row>
    <row r="15136" spans="1:5" ht="15" customHeight="1" x14ac:dyDescent="0.2">
      <c r="A15136" s="1" t="s">
        <v>29841</v>
      </c>
      <c r="B15136" s="1">
        <v>0</v>
      </c>
      <c r="C15136" s="3">
        <v>44524.900729166664</v>
      </c>
      <c r="D15136" s="1" t="s">
        <v>29842</v>
      </c>
      <c r="E15136" s="1" t="str">
        <f ca="1">IFERROR(__xludf.DUMMYFUNCTION("GOOGLETRANSLATE(A11935 , ""tr"" , ""en"")"),"@drfahrettinkoca Optional No Sometimes Mr. Minister Fear, Concern As the result of each word.")</f>
        <v>@drfahrettinkoca Optional No Sometimes Mr. Minister Fear, Concern As the result of each word.</v>
      </c>
    </row>
    <row r="15137" spans="1:5" ht="15" customHeight="1" x14ac:dyDescent="0.2">
      <c r="A15137" s="1" t="s">
        <v>29843</v>
      </c>
      <c r="B15137" s="1">
        <v>0</v>
      </c>
      <c r="C15137" s="3">
        <v>44524.900219907409</v>
      </c>
      <c r="D15137" s="1" t="s">
        <v>29844</v>
      </c>
      <c r="E15137" s="1" t="str">
        <f ca="1">IFERROR(__xludf.DUMMYFUNCTION("GOOGLETRANSLATE(A11936 , ""tr"" , ""en"")"),"@drfahrettinkoca What is the task of this woman? https://t.co/ooj69a91s6")</f>
        <v>@drfahrettinkoca What is the task of this woman? https://t.co/ooj69a91s6</v>
      </c>
    </row>
    <row r="15138" spans="1:5" ht="15" customHeight="1" x14ac:dyDescent="0.2">
      <c r="A15138" s="1" t="s">
        <v>29845</v>
      </c>
      <c r="B15138" s="1">
        <v>0</v>
      </c>
      <c r="C15138" s="3">
        <v>44524.899629629632</v>
      </c>
      <c r="D15138" s="1" t="s">
        <v>29846</v>
      </c>
      <c r="E15138" s="1" t="str">
        <f ca="1">IFERROR(__xludf.DUMMYFUNCTION("GOOGLETRANSLATE(A11937 , ""tr"" , ""en"")"),"@drfahrettinkoca Mr. Health Minister We are finishing November Turkish Vaccine September September In October in October Ready ... HTTPS://T.CO/GUZUUQUITD")</f>
        <v>@drfahrettinkoca Mr. Health Minister We are finishing November Turkish Vaccine September September In October in October Ready ... HTTPS://T.CO/GUZUUQUITD</v>
      </c>
    </row>
    <row r="15139" spans="1:5" ht="15" customHeight="1" x14ac:dyDescent="0.2">
      <c r="A15139" s="1" t="s">
        <v>29847</v>
      </c>
      <c r="B15139" s="1">
        <v>13</v>
      </c>
      <c r="C15139" s="3">
        <v>44524.897037037037</v>
      </c>
      <c r="D15139" s="1" t="s">
        <v>29848</v>
      </c>
      <c r="E15139" s="1" t="str">
        <f ca="1">IFERROR(__xludf.DUMMYFUNCTION("GOOGLETRANSLATE(A11938 , ""tr"" , ""en"")"),"@drfahrettinkoca who will take responsibility for money paid to these false treatments? See Wrong Treatment H ... https://t.co/chm5tfaf07")</f>
        <v>@drfahrettinkoca who will take responsibility for money paid to these false treatments? See Wrong Treatment H ... https://t.co/chm5tfaf07</v>
      </c>
    </row>
    <row r="15140" spans="1:5" ht="15" customHeight="1" x14ac:dyDescent="0.2">
      <c r="A15140" s="1" t="s">
        <v>29849</v>
      </c>
      <c r="B15140" s="1">
        <v>1</v>
      </c>
      <c r="C15140" s="3">
        <v>44524.896782407406</v>
      </c>
      <c r="D15140" s="1" t="s">
        <v>29850</v>
      </c>
      <c r="E15140" s="1" t="str">
        <f ca="1">IFERROR(__xludf.DUMMYFUNCTION("GOOGLETRANSLATE(A11939 , ""tr"" , ""en"")"),"@drfahrettinkoca Science Board What you say is showing you sticks from ABA here to Bilmemne Pavir, I'm ... https://t.co/sptbt39hjm")</f>
        <v>@drfahrettinkoca Science Board What you say is showing you sticks from ABA here to Bilmemne Pavir, I'm ... https://t.co/sptbt39hjm</v>
      </c>
    </row>
    <row r="15141" spans="1:5" ht="15" customHeight="1" x14ac:dyDescent="0.2">
      <c r="A15141" s="1" t="s">
        <v>29851</v>
      </c>
      <c r="B15141" s="1">
        <v>0</v>
      </c>
      <c r="C15141" s="3">
        <v>44524.896365740744</v>
      </c>
      <c r="D15141" s="1" t="s">
        <v>29852</v>
      </c>
      <c r="E15141" s="1" t="str">
        <f ca="1">IFERROR(__xludf.DUMMYFUNCTION("GOOGLETRANSLATE(A11940 , ""tr"" , ""en"")"),"@drfahrettinkoca i got the epicristen report today my mother and i saw it to the last day (40 a near day ie) tolere ede ... https://t.co/4avh1w0mgv")</f>
        <v>@drfahrettinkoca i got the epicristen report today my mother and i saw it to the last day (40 a near day ie) tolere ede ... https://t.co/4avh1w0mgv</v>
      </c>
    </row>
    <row r="15142" spans="1:5" ht="15" customHeight="1" x14ac:dyDescent="0.2">
      <c r="A15142" s="1" t="s">
        <v>29853</v>
      </c>
      <c r="B15142" s="1">
        <v>0</v>
      </c>
      <c r="C15142" s="3">
        <v>44524.894050925926</v>
      </c>
      <c r="D15142" s="1" t="s">
        <v>29854</v>
      </c>
      <c r="E15142" s="1" t="str">
        <f ca="1">IFERROR(__xludf.DUMMYFUNCTION("GOOGLETRANSLATE(A11941 , ""tr"" , ""en"")"),"@drfahrettinkoca How I laughed on Article 2 but 😅😅")</f>
        <v>@drfahrettinkoca How I laughed on Article 2 but 😅😅</v>
      </c>
    </row>
    <row r="15143" spans="1:5" ht="15" customHeight="1" x14ac:dyDescent="0.2">
      <c r="A15143" s="1" t="s">
        <v>29855</v>
      </c>
      <c r="B15143" s="1">
        <v>1</v>
      </c>
      <c r="C15143" s="3">
        <v>44524.893263888887</v>
      </c>
      <c r="D15143" s="1" t="s">
        <v>29856</v>
      </c>
      <c r="E15143" s="1" t="str">
        <f ca="1">IFERROR(__xludf.DUMMYFUNCTION("GOOGLETRANSLATE(A11942 , ""tr"" , ""en"")"),"@drfahrettinkoca Valla The nation's no longer says the corona. Melting our money .. 1 Tea 1 Candy is 100 TL. Tell rents ... https://t.co/xlapcbiohh")</f>
        <v>@drfahrettinkoca Valla The nation's no longer says the corona. Melting our money .. 1 Tea 1 Candy is 100 TL. Tell rents ... https://t.co/xlapcbiohh</v>
      </c>
    </row>
    <row r="15144" spans="1:5" ht="15" customHeight="1" x14ac:dyDescent="0.2">
      <c r="A15144" s="1" t="s">
        <v>29857</v>
      </c>
      <c r="B15144" s="1">
        <v>0</v>
      </c>
      <c r="C15144" s="3">
        <v>44524.89298611111</v>
      </c>
      <c r="D15144" s="1" t="s">
        <v>29858</v>
      </c>
      <c r="E15144" s="1" t="str">
        <f ca="1">IFERROR(__xludf.DUMMYFUNCTION("GOOGLETRANSLATE(A11943 , ""tr"" , ""en"")"),"@drfahrettinkoca blank meeting")</f>
        <v>@drfahrettinkoca blank meeting</v>
      </c>
    </row>
    <row r="15145" spans="1:5" ht="15" customHeight="1" x14ac:dyDescent="0.2">
      <c r="A15145" s="1" t="s">
        <v>29859</v>
      </c>
      <c r="B15145" s="1">
        <v>6</v>
      </c>
      <c r="C15145" s="3">
        <v>44524.89</v>
      </c>
      <c r="D15145" s="1" t="s">
        <v>29860</v>
      </c>
      <c r="E15145" s="1" t="str">
        <f ca="1">IFERROR(__xludf.DUMMYFUNCTION("GOOGLETRANSLATE(A11944 , ""tr"" , ""en"")"),"@drfahrettinkoca you still have lost my mind of those who believe in this liar. These are treating the month ... https://t.co/khsvfdtfkq")</f>
        <v>@drfahrettinkoca you still have lost my mind of those who believe in this liar. These are treating the month ... https://t.co/khsvfdtfkq</v>
      </c>
    </row>
    <row r="15146" spans="1:5" ht="15" customHeight="1" x14ac:dyDescent="0.2">
      <c r="A15146" s="1" t="s">
        <v>29861</v>
      </c>
      <c r="B15146" s="1">
        <v>0</v>
      </c>
      <c r="C15146" s="3">
        <v>44524.889155092591</v>
      </c>
      <c r="D15146" s="1" t="s">
        <v>29862</v>
      </c>
      <c r="E15146" s="1" t="str">
        <f ca="1">IFERROR(__xludf.DUMMYFUNCTION("GOOGLETRANSLATE(A11945 , ""tr"" , ""en"")"),"@drfahrettinkoca overlooking this profit has left my job, peeled into economists. Are you doing business by relying on these. https://t.co/6lxnqgo1nk")</f>
        <v>@drfahrettinkoca overlooking this profit has left my job, peeled into economists. Are you doing business by relying on these. https://t.co/6lxnqgo1nk</v>
      </c>
    </row>
    <row r="15147" spans="1:5" ht="15" customHeight="1" x14ac:dyDescent="0.2">
      <c r="A15147" s="1" t="s">
        <v>29863</v>
      </c>
      <c r="B15147" s="1">
        <v>1</v>
      </c>
      <c r="C15147" s="3">
        <v>44524.887962962966</v>
      </c>
      <c r="D15147" s="1" t="s">
        <v>29864</v>
      </c>
      <c r="E15147" s="1" t="str">
        <f ca="1">IFERROR(__xludf.DUMMYFUNCTION("GOOGLETRANSLATE(A11946 , ""tr"" , ""en"")"),"@drfahrettinkoca you created epidemic with vaccine. After I get the cases and deaths increased. From our dream side.")</f>
        <v>@drfahrettinkoca you created epidemic with vaccine. After I get the cases and deaths increased. From our dream side.</v>
      </c>
    </row>
    <row r="15148" spans="1:5" ht="15" customHeight="1" x14ac:dyDescent="0.2">
      <c r="A15148" s="1" t="s">
        <v>29865</v>
      </c>
      <c r="B15148" s="1">
        <v>1</v>
      </c>
      <c r="C15148" s="3">
        <v>44524.885474537034</v>
      </c>
      <c r="D15148" s="1" t="s">
        <v>29866</v>
      </c>
      <c r="E15148" s="1" t="str">
        <f ca="1">IFERROR(__xludf.DUMMYFUNCTION("GOOGLETRANSLATE(A11947 , ""tr"" , ""en"")"),"@drfahrettinkoca Incorrect Treatments Incorrect Medicines You used Millions of citizens under pressure ... https://t.co/lyrjpil4mi")</f>
        <v>@drfahrettinkoca Incorrect Treatments Incorrect Medicines You used Millions of citizens under pressure ... https://t.co/lyrjpil4mi</v>
      </c>
    </row>
    <row r="15149" spans="1:5" ht="15" customHeight="1" x14ac:dyDescent="0.2">
      <c r="A15149" s="1" t="s">
        <v>29867</v>
      </c>
      <c r="B15149" s="1">
        <v>1</v>
      </c>
      <c r="C15149" s="3">
        <v>44524.88521990741</v>
      </c>
      <c r="D15149" s="1" t="s">
        <v>29868</v>
      </c>
      <c r="E15149" s="1" t="str">
        <f ca="1">IFERROR(__xludf.DUMMYFUNCTION("GOOGLETRANSLATE(A11948 , ""tr"" , ""en"")"),"@drfahrettinka you also collect on the board of the outbreaks move the stone combust your seat Sit in your home Needed usandic")</f>
        <v>@drfahrettinka you also collect on the board of the outbreaks move the stone combust your seat Sit in your home Needed usandic</v>
      </c>
    </row>
    <row r="15150" spans="1:5" ht="15" customHeight="1" x14ac:dyDescent="0.2">
      <c r="A15150" s="1" t="s">
        <v>29869</v>
      </c>
      <c r="B15150" s="1">
        <v>1</v>
      </c>
      <c r="C15150" s="3">
        <v>44524.88480324074</v>
      </c>
      <c r="D15150" s="1" t="s">
        <v>29870</v>
      </c>
      <c r="E15150" s="1" t="str">
        <f ca="1">IFERROR(__xludf.DUMMYFUNCTION("GOOGLETRANSLATE(A11949 , ""tr"" , ""en"")"),"@drfahrettinkoca leave drug use best medicine blood diluent antibiotic gribal infection medication h ... https://t.co/t3o9ffwzqb")</f>
        <v>@drfahrettinkoca leave drug use best medicine blood diluent antibiotic gribal infection medication h ... https://t.co/t3o9ffwzqb</v>
      </c>
    </row>
    <row r="15151" spans="1:5" ht="15" customHeight="1" x14ac:dyDescent="0.2">
      <c r="A15151" s="1" t="s">
        <v>29871</v>
      </c>
      <c r="B15151" s="1">
        <v>18</v>
      </c>
      <c r="C15151" s="3">
        <v>44524.884629629632</v>
      </c>
      <c r="D15151" s="1" t="s">
        <v>29872</v>
      </c>
      <c r="E15151" s="1" t="str">
        <f ca="1">IFERROR(__xludf.DUMMYFUNCTION("GOOGLETRANSLATE(A11950 , ""tr"" , ""en"")"),"@drfahrettinkoca millions of boxes of favibravirs received in this country Whose pocket is in this country? It has been given to everyone This drug does not benefit ... https://t.co/yb543zs3aw")</f>
        <v>@drfahrettinkoca millions of boxes of favibravirs received in this country Whose pocket is in this country? It has been given to everyone This drug does not benefit ... https://t.co/yb543zs3aw</v>
      </c>
    </row>
    <row r="15152" spans="1:5" ht="15" customHeight="1" x14ac:dyDescent="0.2">
      <c r="A15152" s="1" t="s">
        <v>29873</v>
      </c>
      <c r="B15152" s="1">
        <v>0</v>
      </c>
      <c r="C15152" s="3">
        <v>44524.883796296293</v>
      </c>
      <c r="D15152" s="1" t="s">
        <v>29874</v>
      </c>
      <c r="E15152" s="1" t="str">
        <f ca="1">IFERROR(__xludf.DUMMYFUNCTION("GOOGLETRANSLATE(A11951 , ""tr"" , ""en"")"),"@drfahrettinkoca they came out after that time meeting? Let those who say the doctors")</f>
        <v>@drfahrettinkoca they came out after that time meeting? Let those who say the doctors</v>
      </c>
    </row>
    <row r="15153" spans="1:5" ht="15" customHeight="1" x14ac:dyDescent="0.2">
      <c r="A15153" s="1" t="s">
        <v>29875</v>
      </c>
      <c r="B15153" s="1">
        <v>0</v>
      </c>
      <c r="C15153" s="3">
        <v>44524.882847222223</v>
      </c>
      <c r="D15153" s="1" t="s">
        <v>29876</v>
      </c>
      <c r="E15153" s="1" t="str">
        <f ca="1">IFERROR(__xludf.DUMMYFUNCTION("GOOGLETRANSLATE(A11952 , ""tr"" , ""en"")"),"@drfahrettinkoca No description of assignment")</f>
        <v>@drfahrettinkoca No description of assignment</v>
      </c>
    </row>
    <row r="15154" spans="1:5" ht="15" customHeight="1" x14ac:dyDescent="0.2">
      <c r="A15154" s="1" t="s">
        <v>29877</v>
      </c>
      <c r="B15154" s="1">
        <v>0</v>
      </c>
      <c r="C15154" s="3">
        <v>44524.882581018515</v>
      </c>
      <c r="D15154" s="1" t="s">
        <v>29878</v>
      </c>
      <c r="E15154" s="1" t="str">
        <f ca="1">IFERROR(__xludf.DUMMYFUNCTION("GOOGLETRANSLATE(A11953 , ""tr"" , ""en"")"),"@drfahrettinka https://t.co/ad6jmcpbj8")</f>
        <v>@drfahrettinka https://t.co/ad6jmcpbj8</v>
      </c>
    </row>
    <row r="15155" spans="1:5" ht="15" customHeight="1" x14ac:dyDescent="0.2">
      <c r="A15155" s="1" t="s">
        <v>29879</v>
      </c>
      <c r="B15155" s="1">
        <v>6</v>
      </c>
      <c r="C15155" s="3">
        <v>44524.882037037038</v>
      </c>
      <c r="D15155" s="1" t="s">
        <v>29880</v>
      </c>
      <c r="E15155" s="1" t="str">
        <f ca="1">IFERROR(__xludf.DUMMYFUNCTION("GOOGLETRANSLATE(A11954 , ""tr"" , ""en"")"),"@drfahrettinkoca Ministry of Ministry of Departing Your Own Data Mr. Health Minister of Health This Dry Lies ... https://t.co/ne4ykz5IOS")</f>
        <v>@drfahrettinkoca Ministry of Ministry of Departing Your Own Data Mr. Health Minister of Health This Dry Lies ... https://t.co/ne4ykz5IOS</v>
      </c>
    </row>
    <row r="15156" spans="1:5" ht="15" customHeight="1" x14ac:dyDescent="0.2">
      <c r="A15156" s="1" t="s">
        <v>29881</v>
      </c>
      <c r="B15156" s="1">
        <v>0</v>
      </c>
      <c r="C15156" s="3">
        <v>44524.881030092591</v>
      </c>
      <c r="D15156" s="1" t="s">
        <v>29882</v>
      </c>
      <c r="E15156" s="1" t="str">
        <f ca="1">IFERROR(__xludf.DUMMYFUNCTION("GOOGLETRANSLATE(A11955 , ""tr"" , ""en"")"),"@drfahrettinkoca doesn't be embarrassed no longer clear. Favipavir told you that he doesn't work a job.😀 Now but, for a while ... https://t.co/7IYALCS2Q0")</f>
        <v>@drfahrettinkoca doesn't be embarrassed no longer clear. Favipavir told you that he doesn't work a job.😀 Now but, for a while ... https://t.co/7IYALCS2Q0</v>
      </c>
    </row>
    <row r="15157" spans="1:5" ht="15" customHeight="1" x14ac:dyDescent="0.2">
      <c r="A15157" s="1" t="s">
        <v>29883</v>
      </c>
      <c r="B15157" s="1">
        <v>3</v>
      </c>
      <c r="C15157" s="3">
        <v>44524.87939814815</v>
      </c>
      <c r="D15157" s="1" t="s">
        <v>29884</v>
      </c>
      <c r="E15157" s="1" t="str">
        <f ca="1">IFERROR(__xludf.DUMMYFUNCTION("GOOGLETRANSLATE(A11956 , ""tr"" , ""en"")"),"@drfahrettinka Short and self-kept what happened to the topic? Our approach to you Bisey Know slaves, made ... https://t.co/AVIX1TRGox")</f>
        <v>@drfahrettinka Short and self-kept what happened to the topic? Our approach to you Bisey Know slaves, made ... https://t.co/AVIX1TRGox</v>
      </c>
    </row>
    <row r="15158" spans="1:5" ht="15" customHeight="1" x14ac:dyDescent="0.2">
      <c r="A15158" s="1" t="s">
        <v>29885</v>
      </c>
      <c r="B15158" s="1">
        <v>0</v>
      </c>
      <c r="C15158" s="3">
        <v>44524.877337962964</v>
      </c>
      <c r="D15158" s="1" t="s">
        <v>29886</v>
      </c>
      <c r="E15158" s="1" t="str">
        <f ca="1">IFERROR(__xludf.DUMMYFUNCTION("GOOGLETRANSLATE(A11957 , ""tr"" , ""en"")"),"@drfahrettinkoca When you see your Board's Tweets, my doubts have a ceiling on your side")</f>
        <v>@drfahrettinkoca When you see your Board's Tweets, my doubts have a ceiling on your side</v>
      </c>
    </row>
    <row r="15159" spans="1:5" ht="15" customHeight="1" x14ac:dyDescent="0.2">
      <c r="A15159" s="1" t="s">
        <v>29887</v>
      </c>
      <c r="B15159" s="1">
        <v>1</v>
      </c>
      <c r="C15159" s="3">
        <v>44524.877199074072</v>
      </c>
      <c r="D15159" s="1" t="s">
        <v>29888</v>
      </c>
      <c r="E15159" s="1" t="str">
        <f ca="1">IFERROR(__xludf.DUMMYFUNCTION("GOOGLETRANSLATE(A11958 , ""tr"" , ""en"")"),"@drfahrettinkoca https://t.co/hd7ht2q6ck phase 3 ü Do not receive unfinished FDA confirmation ???")</f>
        <v>@drfahrettinkoca https://t.co/hd7ht2q6ck phase 3 ü Do not receive unfinished FDA confirmation ???</v>
      </c>
    </row>
    <row r="15160" spans="1:5" ht="15" customHeight="1" x14ac:dyDescent="0.2">
      <c r="A15160" s="1" t="s">
        <v>29889</v>
      </c>
      <c r="B15160" s="1">
        <v>2</v>
      </c>
      <c r="C15160" s="3">
        <v>44524.875324074077</v>
      </c>
      <c r="D15160" s="1" t="s">
        <v>29890</v>
      </c>
      <c r="E15160" s="1" t="str">
        <f ca="1">IFERROR(__xludf.DUMMYFUNCTION("GOOGLETRANSLATE(A11959 , ""tr"" , ""en"")"),"@drfahrettinkoca 8 + 8 swallowers ???")</f>
        <v>@drfahrettinkoca 8 + 8 swallowers ???</v>
      </c>
    </row>
    <row r="15161" spans="1:5" ht="15" customHeight="1" x14ac:dyDescent="0.2">
      <c r="A15161" s="1" t="s">
        <v>29891</v>
      </c>
      <c r="B15161" s="1">
        <v>0</v>
      </c>
      <c r="C15161" s="3">
        <v>44524.875138888892</v>
      </c>
      <c r="D15161" s="1" t="s">
        <v>29892</v>
      </c>
      <c r="E15161" s="1" t="str">
        <f ca="1">IFERROR(__xludf.DUMMYFUNCTION("GOOGLETRANSLATE(A11960 , ""tr"" , ""en"")"),"@drfahrettinka formally you make fun of people. Announced is the curl of what you don't work more ??")</f>
        <v>@drfahrettinka formally you make fun of people. Announced is the curl of what you don't work more ??</v>
      </c>
    </row>
    <row r="15162" spans="1:5" ht="15" customHeight="1" x14ac:dyDescent="0.2">
      <c r="A15162" s="1" t="s">
        <v>29893</v>
      </c>
      <c r="B15162" s="1">
        <v>0</v>
      </c>
      <c r="C15162" s="3">
        <v>44524.8746875</v>
      </c>
      <c r="D15162" s="1" t="s">
        <v>29894</v>
      </c>
      <c r="E15162" s="1" t="str">
        <f ca="1">IFERROR(__xludf.DUMMYFUNCTION("GOOGLETRANSLATE(A11961 , ""tr"" , ""en"")"),"@drfahrettinkoca Covid 19 Darkness of the evidence! Inc.'s detox! Personality Disorders The original and treatment of the lie ... https://t.co/urnfmupdjl")</f>
        <v>@drfahrettinkoca Covid 19 Darkness of the evidence! Inc.'s detox! Personality Disorders The original and treatment of the lie ... https://t.co/urnfmupdjl</v>
      </c>
    </row>
    <row r="15163" spans="1:5" ht="15" customHeight="1" x14ac:dyDescent="0.2">
      <c r="A15163" s="1" t="s">
        <v>29895</v>
      </c>
      <c r="B15163" s="1">
        <v>0</v>
      </c>
      <c r="C15163" s="3">
        <v>44524.874641203707</v>
      </c>
      <c r="D15163" s="1" t="s">
        <v>29896</v>
      </c>
      <c r="E15163" s="1" t="str">
        <f ca="1">IFERROR(__xludf.DUMMYFUNCTION("GOOGLETRANSLATE(A11962 , ""tr"" , ""en"")"),"@drfahrettinkoca Your insults if not for Allah. Would you have your teasing, curses, Nice cruelty? Who is ... https://t.co/4adu5rq6")</f>
        <v>@drfahrettinkoca Your insults if not for Allah. Would you have your teasing, curses, Nice cruelty? Who is ... https://t.co/4adu5rq6</v>
      </c>
    </row>
    <row r="15164" spans="1:5" ht="15" customHeight="1" x14ac:dyDescent="0.2">
      <c r="A15164" s="1" t="s">
        <v>29897</v>
      </c>
      <c r="B15164" s="1">
        <v>4</v>
      </c>
      <c r="C15164" s="3">
        <v>44524.873796296299</v>
      </c>
      <c r="D15164" s="1" t="s">
        <v>29898</v>
      </c>
      <c r="E15164" s="1" t="str">
        <f ca="1">IFERROR(__xludf.DUMMYFUNCTION("GOOGLETRANSLATE(A11963 , ""tr"" , ""en"")"),"@drfahrettinka you don't have PCR for non-vaccines on the bus on the airplane but you don't want a hic one of the vaccines. ... https://t.co/w4k71at9di")</f>
        <v>@drfahrettinka you don't have PCR for non-vaccines on the bus on the airplane but you don't want a hic one of the vaccines. ... https://t.co/w4k71at9di</v>
      </c>
    </row>
    <row r="15165" spans="1:5" ht="15" customHeight="1" x14ac:dyDescent="0.2">
      <c r="A15165" s="1" t="s">
        <v>29899</v>
      </c>
      <c r="B15165" s="1">
        <v>1</v>
      </c>
      <c r="C15165" s="3">
        <v>44524.873761574076</v>
      </c>
      <c r="D15165" s="1" t="s">
        <v>29900</v>
      </c>
      <c r="E15165" s="1" t="str">
        <f ca="1">IFERROR(__xludf.DUMMYFUNCTION("GOOGLETRANSLATE(A11964 , ""tr"" , ""en"")"),"@drfahrettinkoca ferif stinky in the warehouse, dead drugs now bring different death drugs again phase t ... https://t.co/4stcp8igjs")</f>
        <v>@drfahrettinkoca ferif stinky in the warehouse, dead drugs now bring different death drugs again phase t ... https://t.co/4stcp8igjs</v>
      </c>
    </row>
    <row r="15166" spans="1:5" ht="15" customHeight="1" x14ac:dyDescent="0.2">
      <c r="A15166" s="1" t="s">
        <v>29901</v>
      </c>
      <c r="B15166" s="1">
        <v>0</v>
      </c>
      <c r="C15166" s="3">
        <v>44524.873645833337</v>
      </c>
      <c r="D15166" s="1" t="s">
        <v>29902</v>
      </c>
      <c r="E15166" s="1" t="str">
        <f ca="1">IFERROR(__xludf.DUMMYFUNCTION("GOOGLETRANSLATE(A11965 , ""tr"" , ""en"")"),"@drfahrettinkoca I've been to Korona I haven't used the medicine you have given you Oyiki Because I didn't use it because I didn't use the medicine ... HTTPS://T.CO/VXDZ0ATXAI")</f>
        <v>@drfahrettinkoca I've been to Korona I haven't used the medicine you have given you Oyiki Because I didn't use it because I didn't use the medicine ... HTTPS://T.CO/VXDZ0ATXAI</v>
      </c>
    </row>
    <row r="15167" spans="1:5" ht="15" customHeight="1" x14ac:dyDescent="0.2">
      <c r="A15167" s="1" t="s">
        <v>29903</v>
      </c>
      <c r="B15167" s="1">
        <v>1</v>
      </c>
      <c r="C15167" s="3">
        <v>44524.873333333337</v>
      </c>
      <c r="D15167" s="1" t="s">
        <v>29904</v>
      </c>
      <c r="E15167" s="1" t="str">
        <f ca="1">IFERROR(__xludf.DUMMYFUNCTION("GOOGLETRANSLATE(A11966 , ""tr"" , ""en"")"),"@drfahrettinkoca mask prohibition when don't explain how to get up 2. Why do people have been wearing mask still?")</f>
        <v>@drfahrettinkoca mask prohibition when don't explain how to get up 2. Why do people have been wearing mask still?</v>
      </c>
    </row>
    <row r="15168" spans="1:5" ht="15" customHeight="1" x14ac:dyDescent="0.2">
      <c r="A15168" s="1" t="s">
        <v>29905</v>
      </c>
      <c r="B15168" s="1">
        <v>0</v>
      </c>
      <c r="C15168" s="3">
        <v>44524.873101851852</v>
      </c>
      <c r="D15168" s="1" t="s">
        <v>29906</v>
      </c>
      <c r="E15168" s="1" t="str">
        <f ca="1">IFERROR(__xludf.DUMMYFUNCTION("GOOGLETRANSLATE(A11967 , ""tr"" , ""en"")"),"@drfahrettinkoca ""Science"" from Medet Uman, Bell well now; Science, hating human beings and a dystopic life ... https://t.co/jvg36hyxu7")</f>
        <v>@drfahrettinkoca "Science" from Medet Uman, Bell well now; Science, hating human beings and a dystopic life ... https://t.co/jvg36hyxu7</v>
      </c>
    </row>
    <row r="15169" spans="1:5" ht="15" customHeight="1" x14ac:dyDescent="0.2">
      <c r="A15169" s="1" t="s">
        <v>29907</v>
      </c>
      <c r="B15169" s="1">
        <v>0</v>
      </c>
      <c r="C15169" s="3">
        <v>44524.87290509259</v>
      </c>
      <c r="D15169" s="1" t="s">
        <v>29908</v>
      </c>
      <c r="E15169" s="1" t="str">
        <f ca="1">IFERROR(__xludf.DUMMYFUNCTION("GOOGLETRANSLATE(A11968 , ""tr"" , ""en"")"),"@drfahrettinkoca New Dunya Duzenini ... Cli, coffins, but we didn't we have more next account Soracag.")</f>
        <v>@drfahrettinkoca New Dunya Duzenini ... Cli, coffins, but we didn't we have more next account Soracag.</v>
      </c>
    </row>
    <row r="15170" spans="1:5" ht="15" customHeight="1" x14ac:dyDescent="0.2">
      <c r="A15170" s="1" t="s">
        <v>29909</v>
      </c>
      <c r="B15170" s="1">
        <v>8</v>
      </c>
      <c r="C15170" s="3">
        <v>44524.872708333336</v>
      </c>
      <c r="D15170" s="1" t="s">
        <v>29910</v>
      </c>
      <c r="E15170" s="1" t="str">
        <f ca="1">IFERROR(__xludf.DUMMYFUNCTION("GOOGLETRANSLATE(A11969 , ""tr"" , ""en"")"),"@drfahrettinkoca Scientist people who are pooped to us are dealing with the people to pour the people on the street. Change them now ... https://t.co/gg2px2bqyp")</f>
        <v>@drfahrettinkoca Scientist people who are pooped to us are dealing with the people to pour the people on the street. Change them now ... https://t.co/gg2px2bqyp</v>
      </c>
    </row>
    <row r="15171" spans="1:5" ht="15" customHeight="1" x14ac:dyDescent="0.2">
      <c r="A15171" s="1" t="s">
        <v>29911</v>
      </c>
      <c r="B15171" s="1">
        <v>2</v>
      </c>
      <c r="C15171" s="3">
        <v>44524.872314814813</v>
      </c>
      <c r="D15171" s="1" t="s">
        <v>29912</v>
      </c>
      <c r="E15171" s="1" t="str">
        <f ca="1">IFERROR(__xludf.DUMMYFUNCTION("GOOGLETRANSLATE(A11970 , ""tr"" , ""en"")"),"@drfahrettinkoca is a second country that uses so early period diode but 4 c in substance other countries standing in other countries ... https://t.co/s7qcn2u7n8")</f>
        <v>@drfahrettinkoca is a second country that uses so early period diode but 4 c in substance other countries standing in other countries ... https://t.co/s7qcn2u7n8</v>
      </c>
    </row>
    <row r="15172" spans="1:5" ht="15" customHeight="1" x14ac:dyDescent="0.2">
      <c r="A15172" s="1" t="s">
        <v>29913</v>
      </c>
      <c r="B15172" s="1">
        <v>0</v>
      </c>
      <c r="C15172" s="3">
        <v>44524.872314814813</v>
      </c>
      <c r="D15172" s="1" t="s">
        <v>29914</v>
      </c>
      <c r="E15172" s="1" t="str">
        <f ca="1">IFERROR(__xludf.DUMMYFUNCTION("GOOGLETRANSLATE(A11971 , ""tr"" , ""en"")"),"@drfahrettinkoca minister when assignments")</f>
        <v>@drfahrettinkoca minister when assignments</v>
      </c>
    </row>
    <row r="15173" spans="1:5" ht="15" customHeight="1" x14ac:dyDescent="0.2">
      <c r="A15173" s="1" t="s">
        <v>29915</v>
      </c>
      <c r="B15173" s="1">
        <v>0</v>
      </c>
      <c r="C15173" s="3">
        <v>44524.872187499997</v>
      </c>
      <c r="D15173" s="1" t="s">
        <v>29916</v>
      </c>
      <c r="E15173" s="1" t="str">
        <f ca="1">IFERROR(__xludf.DUMMYFUNCTION("GOOGLETRANSLATE(A11972 , ""tr"" , ""en"")"),"@drfahrettinka How much higher vaccine rate are you expecting Sn.Bakan? Fa ... https://t.co/ggq1qoqeog in vaccination cases")</f>
        <v>@drfahrettinka How much higher vaccine rate are you expecting Sn.Bakan? Fa ... https://t.co/ggq1qoqeog in vaccination cases</v>
      </c>
    </row>
    <row r="15174" spans="1:5" ht="15" customHeight="1" x14ac:dyDescent="0.2">
      <c r="A15174" s="1" t="s">
        <v>29917</v>
      </c>
      <c r="B15174" s="1">
        <v>2</v>
      </c>
      <c r="C15174" s="3">
        <v>44524.872152777774</v>
      </c>
      <c r="D15174" s="1" t="s">
        <v>29918</v>
      </c>
      <c r="E15174" s="1" t="str">
        <f ca="1">IFERROR(__xludf.DUMMYFUNCTION("GOOGLETRANSLATE(A11973 , ""tr"" , ""en"")"),"@drfahrettinkoca that favipiravirle killed people! Come on to me .. Who does Favicoviri produce? Ins ... https://t.co/aınrslyrst")</f>
        <v>@drfahrettinkoca that favipiravirle killed people! Come on to me .. Who does Favicoviri produce? Ins ... https://t.co/aınrslyrst</v>
      </c>
    </row>
    <row r="15175" spans="1:5" ht="15" customHeight="1" x14ac:dyDescent="0.2">
      <c r="A15175" s="1" t="s">
        <v>29919</v>
      </c>
      <c r="B15175" s="1">
        <v>0</v>
      </c>
      <c r="C15175" s="3">
        <v>44524.871342592596</v>
      </c>
      <c r="D15175" s="1" t="s">
        <v>29920</v>
      </c>
      <c r="E15175" s="1" t="str">
        <f ca="1">IFERROR(__xludf.DUMMYFUNCTION("GOOGLETRANSLATE(A11974 , ""tr"" , ""en"")"),"@drfahrettinkoca we see a huge plastering and backward. Pity to what is going to be harsh. Human only own hand ... https://t.co/QWCTIJZJ8W")</f>
        <v>@drfahrettinkoca we see a huge plastering and backward. Pity to what is going to be harsh. Human only own hand ... https://t.co/QWCTIJZJ8W</v>
      </c>
    </row>
    <row r="15176" spans="1:5" ht="15" customHeight="1" x14ac:dyDescent="0.2">
      <c r="A15176" s="1" t="s">
        <v>29921</v>
      </c>
      <c r="B15176" s="1">
        <v>0</v>
      </c>
      <c r="C15176" s="3">
        <v>44524.871076388888</v>
      </c>
      <c r="D15176" s="1" t="s">
        <v>29922</v>
      </c>
      <c r="E15176" s="1" t="str">
        <f ca="1">IFERROR(__xludf.DUMMYFUNCTION("GOOGLETRANSLATE(A11975 , ""tr"" , ""en"")"),"@drfahrettinkoca valla bravo this painful standing alkislanir ilguyguvenlgi dayYou are still resting in people who are still bi ... https://t.co/gghnjkgm7r")</f>
        <v>@drfahrettinkoca valla bravo this painful standing alkislanir ilguyguvenlgi dayYou are still resting in people who are still bi ... https://t.co/gghnjkgm7r</v>
      </c>
    </row>
    <row r="15177" spans="1:5" ht="15" customHeight="1" x14ac:dyDescent="0.2">
      <c r="A15177" s="1" t="s">
        <v>29923</v>
      </c>
      <c r="B15177" s="1">
        <v>0</v>
      </c>
      <c r="C15177" s="3">
        <v>44524.87</v>
      </c>
      <c r="D15177" s="1" t="s">
        <v>29924</v>
      </c>
      <c r="E15177" s="1" t="str">
        <f ca="1">IFERROR(__xludf.DUMMYFUNCTION("GOOGLETRANSLATE(A11976 , ""tr"" , ""en"")"),"@drfahrettinkoca does not kill us corona but the fire of the dollar does not fall on satin")</f>
        <v>@drfahrettinkoca does not kill us corona but the fire of the dollar does not fall on satin</v>
      </c>
    </row>
    <row r="15178" spans="1:5" ht="15" customHeight="1" x14ac:dyDescent="0.2">
      <c r="A15178" s="1" t="s">
        <v>29925</v>
      </c>
      <c r="B15178" s="1">
        <v>0</v>
      </c>
      <c r="C15178" s="3">
        <v>44524.869930555556</v>
      </c>
      <c r="D15178" s="1" t="s">
        <v>29926</v>
      </c>
      <c r="E15178" s="1" t="str">
        <f ca="1">IFERROR(__xludf.DUMMYFUNCTION("GOOGLETRANSLATE(A11977 , ""tr"" , ""en"")"),"@drfahrettinkoca has been an epidemic? In November 2019, I experienced an Accaip disease. He was not yet to undergo me. D ... https://t.co/opsr4k0hur")</f>
        <v>@drfahrettinkoca has been an epidemic? In November 2019, I experienced an Accaip disease. He was not yet to undergo me. D ... https://t.co/opsr4k0hur</v>
      </c>
    </row>
    <row r="15179" spans="1:5" ht="15" customHeight="1" x14ac:dyDescent="0.2">
      <c r="A15179" s="1" t="s">
        <v>29927</v>
      </c>
      <c r="B15179" s="1">
        <v>1</v>
      </c>
      <c r="C15179" s="3">
        <v>44524.869895833333</v>
      </c>
      <c r="D15179" s="1" t="s">
        <v>29928</v>
      </c>
      <c r="E15179" s="1" t="str">
        <f ca="1">IFERROR(__xludf.DUMMYFUNCTION("GOOGLETRANSLATE(A11978 , ""tr"" , ""en"")"),"@drfahrettinkoca people if you care what you care what the president neither of the president folk what does the people say no precaution risk gold ... https://t.co/ybwskrue4d")</f>
        <v>@drfahrettinkoca people if you care what you care what the president neither of the president folk what does the people say no precaution risk gold ... https://t.co/ybwskrue4d</v>
      </c>
    </row>
    <row r="15180" spans="1:5" ht="15" customHeight="1" x14ac:dyDescent="0.2">
      <c r="A15180" s="1" t="s">
        <v>29929</v>
      </c>
      <c r="B15180" s="1">
        <v>28</v>
      </c>
      <c r="C15180" s="3">
        <v>44524.868252314816</v>
      </c>
      <c r="D15180" s="1" t="s">
        <v>29930</v>
      </c>
      <c r="E15180" s="1" t="str">
        <f ca="1">IFERROR(__xludf.DUMMYFUNCTION("GOOGLETRANSLATE(A11979 , ""tr"" , ""en"")"),"@drfahrettinkoca is not clear what you're using newly used. BI Casual Leave Physicians, Grip Zat ... https://t.co/tudx2u65qw")</f>
        <v>@drfahrettinkoca is not clear what you're using newly used. BI Casual Leave Physicians, Grip Zat ... https://t.co/tudx2u65qw</v>
      </c>
    </row>
    <row r="15181" spans="1:5" ht="15" customHeight="1" x14ac:dyDescent="0.2">
      <c r="A15181" s="1" t="s">
        <v>29931</v>
      </c>
      <c r="B15181" s="1">
        <v>0</v>
      </c>
      <c r="C15181" s="3">
        <v>44524.868090277778</v>
      </c>
      <c r="D15181" s="1" t="s">
        <v>29932</v>
      </c>
      <c r="E15181" s="1" t="str">
        <f ca="1">IFERROR(__xludf.DUMMYFUNCTION("GOOGLETRANSLATE(A11980 , ""tr"" , ""en"")"),"@drfahrettinkoca blah blah blah ...")</f>
        <v>@drfahrettinkoca blah blah blah ...</v>
      </c>
    </row>
    <row r="15182" spans="1:5" ht="15" customHeight="1" x14ac:dyDescent="0.2">
      <c r="A15182" s="1" t="s">
        <v>19652</v>
      </c>
      <c r="B15182" s="1">
        <v>0</v>
      </c>
      <c r="C15182" s="3">
        <v>44524.867442129631</v>
      </c>
      <c r="D15182" s="1" t="s">
        <v>29933</v>
      </c>
      <c r="E15182" s="1" t="str">
        <f ca="1">IFERROR(__xludf.DUMMYFUNCTION("GOOGLETRANSLATE(A11981 , ""tr"" , ""en"")"),"@drfahrettinkoca #onlineegitimtaleps")</f>
        <v>@drfahrettinkoca #onlineegitimtaleps</v>
      </c>
    </row>
    <row r="15183" spans="1:5" ht="15" customHeight="1" x14ac:dyDescent="0.2">
      <c r="A15183" s="1" t="s">
        <v>29934</v>
      </c>
      <c r="B15183" s="1">
        <v>0</v>
      </c>
      <c r="C15183" s="3">
        <v>44524.86681712963</v>
      </c>
      <c r="D15183" s="1" t="s">
        <v>29935</v>
      </c>
      <c r="E15183" s="1" t="str">
        <f ca="1">IFERROR(__xludf.DUMMYFUNCTION("GOOGLETRANSLATE(A11982 , ""tr"" , ""en"")"),"@drfahrettinkoca Science Board The first thing to do in the PCR test and positive Covid 19 patients who are positive ... https://t.co/DVHQJQUUN")</f>
        <v>@drfahrettinkoca Science Board The first thing to do in the PCR test and positive Covid 19 patients who are positive ... https://t.co/DVHQJQUUN</v>
      </c>
    </row>
    <row r="15184" spans="1:5" ht="15" customHeight="1" x14ac:dyDescent="0.2">
      <c r="A15184" s="1" t="s">
        <v>29936</v>
      </c>
      <c r="B15184" s="1">
        <v>0</v>
      </c>
      <c r="C15184" s="3">
        <v>44524.866493055553</v>
      </c>
      <c r="D15184" s="1" t="s">
        <v>29937</v>
      </c>
      <c r="E15184" s="1" t="str">
        <f ca="1">IFERROR(__xludf.DUMMYFUNCTION("GOOGLETRANSLATE(A11983 , ""tr"" , ""en"")"),"@drfahrettinkoca that scientist's profieved charlatans who have said to the people yesterday was invited to the street for riot Twitt ... https://t.co/rptvjjsfbj")</f>
        <v>@drfahrettinkoca that scientist's profieved charlatans who have said to the people yesterday was invited to the street for riot Twitt ... https://t.co/rptvjjsfbj</v>
      </c>
    </row>
    <row r="15185" spans="1:5" ht="15" customHeight="1" x14ac:dyDescent="0.2">
      <c r="A15185" s="1" t="s">
        <v>29938</v>
      </c>
      <c r="B15185" s="1">
        <v>1</v>
      </c>
      <c r="C15185" s="3">
        <v>44524.865740740737</v>
      </c>
      <c r="D15185" s="1" t="s">
        <v>29939</v>
      </c>
      <c r="E15185" s="1" t="str">
        <f ca="1">IFERROR(__xludf.DUMMYFUNCTION("GOOGLETRANSLATE(A11984 , ""tr"" , ""en"")"),"@drfahrettinka you mean new poisoning ways.")</f>
        <v>@drfahrettinka you mean new poisoning ways.</v>
      </c>
    </row>
    <row r="15186" spans="1:5" ht="15" customHeight="1" x14ac:dyDescent="0.2">
      <c r="A15186" s="1" t="s">
        <v>29940</v>
      </c>
      <c r="B15186" s="1">
        <v>9</v>
      </c>
      <c r="C15186" s="3">
        <v>44524.865613425929</v>
      </c>
      <c r="D15186" s="1" t="s">
        <v>29941</v>
      </c>
      <c r="E15186" s="1" t="str">
        <f ca="1">IFERROR(__xludf.DUMMYFUNCTION("GOOGLETRANSLATE(A11985 , ""tr"" , ""en"")"),"@drfahrettinkoca is just vaccination no salvation from this epidemic !! Because we are very far from social immunity. Live soon ... https://t.co/e9ew72d4fk")</f>
        <v>@drfahrettinkoca is just vaccination no salvation from this epidemic !! Because we are very far from social immunity. Live soon ... https://t.co/e9ew72d4fk</v>
      </c>
    </row>
    <row r="15187" spans="1:5" ht="15" customHeight="1" x14ac:dyDescent="0.2">
      <c r="A15187" s="1" t="s">
        <v>29942</v>
      </c>
      <c r="B15187" s="1">
        <v>0</v>
      </c>
      <c r="C15187" s="3">
        <v>44524.864814814813</v>
      </c>
      <c r="D15187" s="1" t="s">
        <v>29943</v>
      </c>
      <c r="E15187" s="1" t="str">
        <f ca="1">IFERROR(__xludf.DUMMYFUNCTION("GOOGLETRANSLATE(A11986 , ""tr"" , ""en"")"),"@drfahrettinka https://t.co/wjgqzzrxdd")</f>
        <v>@drfahrettinka https://t.co/wjgqzzrxdd</v>
      </c>
    </row>
    <row r="15188" spans="1:5" ht="15" customHeight="1" x14ac:dyDescent="0.2">
      <c r="A15188" s="1" t="s">
        <v>29944</v>
      </c>
      <c r="B15188" s="1">
        <v>46</v>
      </c>
      <c r="C15188" s="3">
        <v>44524.864074074074</v>
      </c>
      <c r="D15188" s="1" t="s">
        <v>29945</v>
      </c>
      <c r="E15188" s="1" t="str">
        <f ca="1">IFERROR(__xludf.DUMMYFUNCTION("GOOGLETRANSLATE(A11987 , ""tr"" , ""en"")"),"@drfahrettinkoca explicitly who has revealed, show us as well. Let's see whatever they put out.")</f>
        <v>@drfahrettinkoca explicitly who has revealed, show us as well. Let's see whatever they put out.</v>
      </c>
    </row>
    <row r="15189" spans="1:5" ht="15" customHeight="1" x14ac:dyDescent="0.2">
      <c r="A15189" s="1" t="s">
        <v>29946</v>
      </c>
      <c r="B15189" s="1">
        <v>77</v>
      </c>
      <c r="C15189" s="3">
        <v>44524.863912037035</v>
      </c>
      <c r="D15189" s="1" t="s">
        <v>29947</v>
      </c>
      <c r="E15189" s="1" t="str">
        <f ca="1">IFERROR(__xludf.DUMMYFUNCTION("GOOGLETRANSLATE(A11988 , ""tr"" , ""en"")"),"@drfahrettinkoca Suggest to finish off 1 Incorrect PCR test 2 Turkish physicians Each patient Muay ... https://t.co/nprmdtdqcm")</f>
        <v>@drfahrettinkoca Suggest to finish off 1 Incorrect PCR test 2 Turkish physicians Each patient Muay ... https://t.co/nprmdtdqcm</v>
      </c>
    </row>
    <row r="15190" spans="1:5" ht="15" customHeight="1" x14ac:dyDescent="0.2">
      <c r="A15190" s="1" t="s">
        <v>29948</v>
      </c>
      <c r="B15190" s="1">
        <v>38</v>
      </c>
      <c r="C15190" s="3">
        <v>44524.861354166664</v>
      </c>
      <c r="D15190" s="1" t="s">
        <v>29949</v>
      </c>
      <c r="E15190" s="1" t="str">
        <f ca="1">IFERROR(__xludf.DUMMYFUNCTION("GOOGLETRANSLATE(A11989 , ""tr"" , ""en"")"),"What is the price of @drfahrettinka molnupiravir? The price of the drug is exactly $ 700 for a person ie 6 thousand 200 Turkish L ... https://t.co/gvjvxjsbvb")</f>
        <v>What is the price of @drfahrettinka molnupiravir? The price of the drug is exactly $ 700 for a person ie 6 thousand 200 Turkish L ... https://t.co/gvjvxjsbvb</v>
      </c>
    </row>
    <row r="15191" spans="1:5" ht="15" customHeight="1" x14ac:dyDescent="0.2">
      <c r="A15191" s="1" t="s">
        <v>29950</v>
      </c>
      <c r="B15191" s="1">
        <v>1</v>
      </c>
      <c r="C15191" s="3">
        <v>44524.860798611109</v>
      </c>
      <c r="D15191" s="1" t="s">
        <v>29951</v>
      </c>
      <c r="E15191" s="1" t="str">
        <f ca="1">IFERROR(__xludf.DUMMYFUNCTION("GOOGLETRANSLATE(A11990 , ""tr"" , ""en"")"),"@drfahrettinkoca Allah I hope you drop in your hands. We don't trust you anymore because you are lying. Killed ... https://t.co/a0gjx1a2fo")</f>
        <v>@drfahrettinkoca Allah I hope you drop in your hands. We don't trust you anymore because you are lying. Killed ... https://t.co/a0gjx1a2fo</v>
      </c>
    </row>
    <row r="15192" spans="1:5" ht="15" customHeight="1" x14ac:dyDescent="0.2">
      <c r="A15192" s="1" t="s">
        <v>29952</v>
      </c>
      <c r="B15192" s="1">
        <v>0</v>
      </c>
      <c r="C15192" s="3">
        <v>44524.860763888886</v>
      </c>
      <c r="D15192" s="1" t="s">
        <v>29953</v>
      </c>
      <c r="E15192" s="1" t="str">
        <f ca="1">IFERROR(__xludf.DUMMYFUNCTION("GOOGLETRANSLATE(A11991 , ""tr"" , ""en"")"),"@drfahrettinkoca Description of your and Bill's Board is not for us. People saw the truth and you get rid of the fact.")</f>
        <v>@drfahrettinkoca Description of your and Bill's Board is not for us. People saw the truth and you get rid of the fact.</v>
      </c>
    </row>
    <row r="15193" spans="1:5" ht="15" customHeight="1" x14ac:dyDescent="0.2">
      <c r="A15193" s="1" t="s">
        <v>29954</v>
      </c>
      <c r="B15193" s="1">
        <v>1</v>
      </c>
      <c r="C15193" s="3">
        <v>44524.859409722223</v>
      </c>
      <c r="D15193" s="1" t="s">
        <v>29955</v>
      </c>
      <c r="E15193" s="1" t="str">
        <f ca="1">IFERROR(__xludf.DUMMYFUNCTION("GOOGLETRANSLATE(A11992 , ""tr"" , ""en"")"),"@drfahrettinkoca is very meaningful in fact, the rope that has rented his brain. https://t.co/jwryjtlyoa")</f>
        <v>@drfahrettinkoca is very meaningful in fact, the rope that has rented his brain. https://t.co/jwryjtlyoa</v>
      </c>
    </row>
    <row r="15194" spans="1:5" ht="15" customHeight="1" x14ac:dyDescent="0.2">
      <c r="A15194" s="1" t="s">
        <v>29956</v>
      </c>
      <c r="B15194" s="1">
        <v>0</v>
      </c>
      <c r="C15194" s="3">
        <v>44524.858738425923</v>
      </c>
      <c r="D15194" s="1" t="s">
        <v>29957</v>
      </c>
      <c r="E15194" s="1" t="str">
        <f ca="1">IFERROR(__xludf.DUMMYFUNCTION("GOOGLETRANSLATE(A11993 , ""tr"" , ""en"")"),"@drfahrettinkoca has no epidemics, you have plandemi.")</f>
        <v>@drfahrettinkoca has no epidemics, you have plandemi.</v>
      </c>
    </row>
    <row r="15195" spans="1:5" ht="15" customHeight="1" x14ac:dyDescent="0.2">
      <c r="A15195" s="1" t="s">
        <v>29958</v>
      </c>
      <c r="B15195" s="1">
        <v>0</v>
      </c>
      <c r="C15195" s="3">
        <v>44540.866967592592</v>
      </c>
      <c r="D15195" s="1" t="s">
        <v>29959</v>
      </c>
      <c r="E15195" s="1" t="str">
        <f ca="1">IFERROR(__xludf.DUMMYFUNCTION("GOOGLETRANSLATE(A11994 , ""tr"" , ""en"")"),"@drfahrettinkoca we trust you cümallah")</f>
        <v>@drfahrettinkoca we trust you cümallah</v>
      </c>
    </row>
    <row r="15196" spans="1:5" ht="15" customHeight="1" x14ac:dyDescent="0.2">
      <c r="A15196" s="1" t="s">
        <v>29960</v>
      </c>
      <c r="B15196" s="1">
        <v>0</v>
      </c>
      <c r="C15196" s="3">
        <v>44524.980069444442</v>
      </c>
      <c r="D15196" s="1" t="s">
        <v>29961</v>
      </c>
      <c r="E15196" s="1" t="str">
        <f ca="1">IFERROR(__xludf.DUMMYFUNCTION("GOOGLETRANSLATE(A11995 , ""tr"" , ""en"")"),"@drfahrettinkoca Okadar Inocadors Ragmmen, if this Covid is coming to this point, the BI is present in your policy. Die ... https://t.co/5lrvb1z6lhh")</f>
        <v>@drfahrettinkoca Okadar Inocadors Ragmmen, if this Covid is coming to this point, the BI is present in your policy. Die ... https://t.co/5lrvb1z6lhh</v>
      </c>
    </row>
    <row r="15197" spans="1:5" ht="15" customHeight="1" x14ac:dyDescent="0.2">
      <c r="A15197" s="1" t="s">
        <v>29962</v>
      </c>
      <c r="B15197" s="1">
        <v>0</v>
      </c>
      <c r="C15197" s="3">
        <v>44524.962546296294</v>
      </c>
      <c r="D15197" s="1" t="s">
        <v>29963</v>
      </c>
      <c r="E15197" s="1" t="str">
        <f ca="1">IFERROR(__xludf.DUMMYFUNCTION("GOOGLETRANSLATE(A11996 , ""tr"" , ""en"")"),"@drfahrettinkoca subject to succeed in to be successful, aren't we had to sustain the story of the epidemic? What happened and wandering around ... https://t.co/fiswq1wh5w")</f>
        <v>@drfahrettinkoca subject to succeed in to be successful, aren't we had to sustain the story of the epidemic? What happened and wandering around ... https://t.co/fiswq1wh5w</v>
      </c>
    </row>
    <row r="15198" spans="1:5" ht="15" customHeight="1" x14ac:dyDescent="0.2">
      <c r="A15198" s="1" t="s">
        <v>29964</v>
      </c>
      <c r="B15198" s="1">
        <v>0</v>
      </c>
      <c r="C15198" s="3">
        <v>44524.949606481481</v>
      </c>
      <c r="D15198" s="1" t="s">
        <v>29965</v>
      </c>
      <c r="E15198" s="1" t="str">
        <f ca="1">IFERROR(__xludf.DUMMYFUNCTION("GOOGLETRANSLATE(A11997 , ""tr"" , ""en"")"),"@drfahrettinkoca Either it went over what Covidi's Takiili plaque is on the Uncle Fahredit Uncle Bosver installing :)))")</f>
        <v>@drfahrettinkoca Either it went over what Covidi's Takiili plaque is on the Uncle Fahredit Uncle Bosver installing :)))</v>
      </c>
    </row>
    <row r="15199" spans="1:5" ht="15" customHeight="1" x14ac:dyDescent="0.2">
      <c r="A15199" s="1" t="s">
        <v>29966</v>
      </c>
      <c r="B15199" s="1">
        <v>0</v>
      </c>
      <c r="C15199" s="3">
        <v>44524.946759259263</v>
      </c>
      <c r="D15199" s="1" t="s">
        <v>29967</v>
      </c>
      <c r="E15199" s="1" t="str">
        <f ca="1">IFERROR(__xludf.DUMMYFUNCTION("GOOGLETRANSLATE(A11998 , ""tr"" , ""en"")"),"@drfahrettinka bikaş DAY TAKE the ridiculous tests called PCR and leave the TV and painting the map ... https://t.co/a91pf3ezx0")</f>
        <v>@drfahrettinka bikaş DAY TAKE the ridiculous tests called PCR and leave the TV and painting the map ... https://t.co/a91pf3ezx0</v>
      </c>
    </row>
    <row r="15200" spans="1:5" ht="15" customHeight="1" x14ac:dyDescent="0.2">
      <c r="A15200" s="1" t="s">
        <v>29968</v>
      </c>
      <c r="B15200" s="1">
        <v>0</v>
      </c>
      <c r="C15200" s="3">
        <v>44524.944282407407</v>
      </c>
      <c r="D15200" s="1" t="s">
        <v>29969</v>
      </c>
      <c r="E15200" s="1" t="str">
        <f ca="1">IFERROR(__xludf.DUMMYFUNCTION("GOOGLETRANSLATE(A11999 , ""tr"" , ""en"")"),"@drfahrettinkoca College in universities Korona virus still no Online Training Decision You have no choice of choice time will be bad ...")</f>
        <v>@drfahrettinkoca College in universities Korona virus still no Online Training Decision You have no choice of choice time will be bad ...</v>
      </c>
    </row>
    <row r="15201" spans="1:5" ht="15" customHeight="1" x14ac:dyDescent="0.2">
      <c r="A15201" s="1" t="s">
        <v>29970</v>
      </c>
      <c r="B15201" s="1">
        <v>0</v>
      </c>
      <c r="C15201" s="3">
        <v>44524.930069444446</v>
      </c>
      <c r="D15201" s="1" t="s">
        <v>29971</v>
      </c>
      <c r="E15201" s="1" t="str">
        <f ca="1">IFERROR(__xludf.DUMMYFUNCTION("GOOGLETRANSLATE(A12000 , ""tr"" , ""en"")"),"@drfahrettinka Mr. Ministry of Ministry You are talking about the higher case numbers either the biggest reason for schools ... officially a vi ... https://t.co/e2qgu3zn3f")</f>
        <v>@drfahrettinka Mr. Ministry of Ministry You are talking about the higher case numbers either the biggest reason for schools ... officially a vi ... https://t.co/e2qgu3zn3f</v>
      </c>
    </row>
    <row r="15202" spans="1:5" ht="15" customHeight="1" x14ac:dyDescent="0.2">
      <c r="A15202" s="1" t="s">
        <v>29972</v>
      </c>
      <c r="B15202" s="1">
        <v>0</v>
      </c>
      <c r="C15202" s="3">
        <v>44524.923194444447</v>
      </c>
      <c r="D15202" s="1" t="s">
        <v>29973</v>
      </c>
      <c r="E15202" s="1" t="str">
        <f ca="1">IFERROR(__xludf.DUMMYFUNCTION("GOOGLETRANSLATE(A12001 , ""tr"" , ""en"")"),"@drfahrettinkoca bi go to work come on lies no need to talk")</f>
        <v>@drfahrettinkoca bi go to work come on lies no need to talk</v>
      </c>
    </row>
    <row r="15203" spans="1:5" ht="15" customHeight="1" x14ac:dyDescent="0.2">
      <c r="A15203" s="1" t="s">
        <v>29974</v>
      </c>
      <c r="B15203" s="1">
        <v>9</v>
      </c>
      <c r="C15203" s="3">
        <v>44524.916342592594</v>
      </c>
      <c r="D15203" s="1" t="s">
        <v>29975</v>
      </c>
      <c r="E15203" s="1" t="str">
        <f ca="1">IFERROR(__xludf.DUMMYFUNCTION("GOOGLETRANSLATE(A12002 , ""tr"" , ""en"")"),"@drfahrettinkoca if you didn't extend it then! Horse 3 things in the trash, went over. Mask, PCR, vaccination.")</f>
        <v>@drfahrettinkoca if you didn't extend it then! Horse 3 things in the trash, went over. Mask, PCR, vaccination.</v>
      </c>
    </row>
    <row r="15204" spans="1:5" ht="15" customHeight="1" x14ac:dyDescent="0.2">
      <c r="A15204" s="1" t="s">
        <v>29976</v>
      </c>
      <c r="B15204" s="1">
        <v>7</v>
      </c>
      <c r="C15204" s="3">
        <v>44524.914837962962</v>
      </c>
      <c r="D15204" s="1" t="s">
        <v>29977</v>
      </c>
      <c r="E15204" s="1" t="str">
        <f ca="1">IFERROR(__xludf.DUMMYFUNCTION("GOOGLETRANSLATE(A12003 , ""tr"" , ""en"")"),"@drfahrettinkoca 18 months has ruined us in your number of our business is our GUCE GUYARD HARDAR, our car and our house g ... https://t.co/prtzxm3nmb")</f>
        <v>@drfahrettinkoca 18 months has ruined us in your number of our business is our GUCE GUYARD HARDAR, our car and our house g ... https://t.co/prtzxm3nmb</v>
      </c>
    </row>
    <row r="15205" spans="1:5" ht="15" customHeight="1" x14ac:dyDescent="0.2">
      <c r="A15205" s="1" t="s">
        <v>29978</v>
      </c>
      <c r="B15205" s="1">
        <v>0</v>
      </c>
      <c r="C15205" s="3">
        <v>44524.912430555552</v>
      </c>
      <c r="D15205" s="1" t="s">
        <v>29979</v>
      </c>
      <c r="E15205" s="1" t="str">
        <f ca="1">IFERROR(__xludf.DUMMYFUNCTION("GOOGLETRANSLATE(A12004 , ""tr"" , ""en"")"),"@drfahrettinkoca Fahrettin husband with talismal sentences don't hit the subconscious! ""an undisputable certainty of the presence"" ... https://t.co/t3vx54qsc0")</f>
        <v>@drfahrettinkoca Fahrettin husband with talismal sentences don't hit the subconscious! "an undisputable certainty of the presence" ... https://t.co/t3vx54qsc0</v>
      </c>
    </row>
    <row r="15206" spans="1:5" ht="15" customHeight="1" x14ac:dyDescent="0.2">
      <c r="A15206" s="1" t="s">
        <v>29980</v>
      </c>
      <c r="B15206" s="1">
        <v>2</v>
      </c>
      <c r="C15206" s="3">
        <v>44524.911261574074</v>
      </c>
      <c r="D15206" s="1" t="s">
        <v>29981</v>
      </c>
      <c r="E15206" s="1" t="str">
        <f ca="1">IFERROR(__xludf.DUMMYFUNCTION("GOOGLETRANSLATE(A12005 , ""tr"" , ""en"")"),"@drfahrettinkoca outbreaks no or something. This year's seasonal flu's name is Covid 19, you are the one you admit. AK Party ... https://t.co/1fjjqrztdh")</f>
        <v>@drfahrettinkoca outbreaks no or something. This year's seasonal flu's name is Covid 19, you are the one you admit. AK Party ... https://t.co/1fjjqrztdh</v>
      </c>
    </row>
    <row r="15207" spans="1:5" ht="15" customHeight="1" x14ac:dyDescent="0.2">
      <c r="A15207" s="1" t="s">
        <v>29982</v>
      </c>
      <c r="B15207" s="1">
        <v>8</v>
      </c>
      <c r="C15207" s="3">
        <v>44524.90996527778</v>
      </c>
      <c r="D15207" s="1" t="s">
        <v>29983</v>
      </c>
      <c r="E15207" s="1" t="str">
        <f ca="1">IFERROR(__xludf.DUMMYFUNCTION("GOOGLETRANSLATE(A12006 , ""tr"" , ""en"")"),"@drfahrettinkoca ignoring no. Here as well as honey. We do not have you and the movie board. Everyone else ... https://t.co/1nexgbkdle")</f>
        <v>@drfahrettinkoca ignoring no. Here as well as honey. We do not have you and the movie board. Everyone else ... https://t.co/1nexgbkdle</v>
      </c>
    </row>
    <row r="15208" spans="1:5" ht="15" customHeight="1" x14ac:dyDescent="0.2">
      <c r="A15208" s="1" t="s">
        <v>29984</v>
      </c>
      <c r="B15208" s="1">
        <v>1</v>
      </c>
      <c r="C15208" s="3">
        <v>44524.905671296299</v>
      </c>
      <c r="D15208" s="1" t="s">
        <v>29985</v>
      </c>
      <c r="E15208" s="1" t="str">
        <f ca="1">IFERROR(__xludf.DUMMYFUNCTION("GOOGLETRANSLATE(A12007 , ""tr"" , ""en"")"),"@drfahrettinkoca Today I was at Cemil Tascioğlu Hospital. Everyone is waiting on a door stacked. What the distance is the attention. ... https://t.co/flnzlzcfqm")</f>
        <v>@drfahrettinkoca Today I was at Cemil Tascioğlu Hospital. Everyone is waiting on a door stacked. What the distance is the attention. ... https://t.co/flnzlzcfqm</v>
      </c>
    </row>
    <row r="15209" spans="1:5" ht="15" customHeight="1" x14ac:dyDescent="0.2">
      <c r="A15209" s="1" t="s">
        <v>29986</v>
      </c>
      <c r="B15209" s="1">
        <v>0</v>
      </c>
      <c r="C15209" s="3">
        <v>44524.905231481483</v>
      </c>
      <c r="D15209" s="1" t="s">
        <v>29987</v>
      </c>
      <c r="E15209" s="1" t="str">
        <f ca="1">IFERROR(__xludf.DUMMYFUNCTION("GOOGLETRANSLATE(A12008 , ""tr"" , ""en"")"),"@drfahrettinka https://t.co/zwnx7yjqtk")</f>
        <v>@drfahrettinka https://t.co/zwnx7yjqtk</v>
      </c>
    </row>
    <row r="15210" spans="1:5" ht="15" customHeight="1" x14ac:dyDescent="0.2">
      <c r="A15210" s="1" t="s">
        <v>29988</v>
      </c>
      <c r="B15210" s="1">
        <v>0</v>
      </c>
      <c r="C15210" s="3">
        <v>44524.90289351852</v>
      </c>
      <c r="D15210" s="1" t="s">
        <v>29989</v>
      </c>
      <c r="E15210" s="1" t="str">
        <f ca="1">IFERROR(__xludf.DUMMYFUNCTION("GOOGLETRANSLATE(A12009 , ""tr"" , ""en"")"),"@drfahrettinkoca is not your transparent that reduces motivation. Don't you condemn all the people to their international data! Sal ... https://t.co/IDddzniej4")</f>
        <v>@drfahrettinkoca is not your transparent that reduces motivation. Don't you condemn all the people to their international data! Sal ... https://t.co/IDddzniej4</v>
      </c>
    </row>
    <row r="15211" spans="1:5" ht="15" customHeight="1" x14ac:dyDescent="0.2">
      <c r="A15211" s="1" t="s">
        <v>29990</v>
      </c>
      <c r="B15211" s="1">
        <v>1</v>
      </c>
      <c r="C15211" s="3">
        <v>44524.90216435185</v>
      </c>
      <c r="D15211" s="1" t="s">
        <v>29991</v>
      </c>
      <c r="E15211" s="1" t="str">
        <f ca="1">IFERROR(__xludf.DUMMYFUNCTION("GOOGLETRANSLATE(A12010 , ""tr"" , ""en"")"),"@drfahrettinkoca I am discussing my brother at the end of the day I want halality because I can't sleep comfortable. So many people ... https://t.co/qal9r5xj6h")</f>
        <v>@drfahrettinkoca I am discussing my brother at the end of the day I want halality because I can't sleep comfortable. So many people ... https://t.co/qal9r5xj6h</v>
      </c>
    </row>
    <row r="15212" spans="1:5" ht="15" customHeight="1" x14ac:dyDescent="0.2">
      <c r="A15212" s="1" t="s">
        <v>29992</v>
      </c>
      <c r="B15212" s="1">
        <v>0</v>
      </c>
      <c r="C15212" s="3">
        <v>44524.901979166665</v>
      </c>
      <c r="D15212" s="1" t="s">
        <v>29993</v>
      </c>
      <c r="E15212" s="1" t="str">
        <f ca="1">IFERROR(__xludf.DUMMYFUNCTION("GOOGLETRANSLATE(A12011 , ""tr"" , ""en"")"),"@drfahrettinkoca Kisa Calisma Odenegi continue ...")</f>
        <v>@drfahrettinkoca Kisa Calisma Odenegi continue ...</v>
      </c>
    </row>
    <row r="15213" spans="1:5" ht="15" customHeight="1" x14ac:dyDescent="0.2">
      <c r="A15213" s="1" t="s">
        <v>29994</v>
      </c>
      <c r="B15213" s="1">
        <v>0</v>
      </c>
      <c r="C15213" s="3">
        <v>44524.901365740741</v>
      </c>
      <c r="D15213" s="1" t="s">
        <v>29995</v>
      </c>
      <c r="E15213" s="1" t="str">
        <f ca="1">IFERROR(__xludf.DUMMYFUNCTION("GOOGLETRANSLATE(A12012 , ""tr"" , ""en"")"),"@drfahrettinkoca 2021 November 24, Halaji November is the strong bi supporting your thesis of the fact that the number of passages is not ""explained"" ... https://t.co/w8vnotukyh")</f>
        <v>@drfahrettinkoca 2021 November 24, Halaji November is the strong bi supporting your thesis of the fact that the number of passages is not "explained" ... https://t.co/w8vnotukyh</v>
      </c>
    </row>
    <row r="15214" spans="1:5" ht="15" customHeight="1" x14ac:dyDescent="0.2">
      <c r="A15214" s="1" t="s">
        <v>28920</v>
      </c>
      <c r="B15214" s="1">
        <v>3</v>
      </c>
      <c r="C15214" s="3">
        <v>44524.898564814815</v>
      </c>
      <c r="D15214" s="1" t="s">
        <v>29996</v>
      </c>
      <c r="E15214" s="1" t="str">
        <f ca="1">IFERROR(__xludf.DUMMYFUNCTION("GOOGLETRANSLATE(A12013 , ""tr"" , ""en"")"),"@drfahrettinkoca #velilerdeonline")</f>
        <v>@drfahrettinkoca #velilerdeonline</v>
      </c>
    </row>
    <row r="15215" spans="1:5" ht="15" customHeight="1" x14ac:dyDescent="0.2">
      <c r="A15215" s="1" t="s">
        <v>29997</v>
      </c>
      <c r="B15215" s="1">
        <v>0</v>
      </c>
      <c r="C15215" s="3">
        <v>44524.898379629631</v>
      </c>
      <c r="D15215" s="1" t="s">
        <v>29998</v>
      </c>
      <c r="E15215" s="1" t="str">
        <f ca="1">IFERROR(__xludf.DUMMYFUNCTION("GOOGLETRANSLATE(A12014 , ""tr"" , ""en"")"),"@drfahrettinkoca 😅 😅 Vaccines don't work a job fahred. You are striving to get a favor of this. The people are 100% ... https://t.co/zzmrqysr4g")</f>
        <v>@drfahrettinkoca 😅 😅 Vaccines don't work a job fahred. You are striving to get a favor of this. The people are 100% ... https://t.co/zzmrqysr4g</v>
      </c>
    </row>
    <row r="15216" spans="1:5" ht="15" customHeight="1" x14ac:dyDescent="0.2">
      <c r="A15216" s="1" t="s">
        <v>29999</v>
      </c>
      <c r="B15216" s="1">
        <v>0</v>
      </c>
      <c r="C15216" s="3">
        <v>44524.897094907406</v>
      </c>
      <c r="D15216" s="1" t="s">
        <v>30000</v>
      </c>
      <c r="E15216" s="1" t="str">
        <f ca="1">IFERROR(__xludf.DUMMYFUNCTION("GOOGLETRANSLATE(A12015 , ""tr"" , ""en"")"),"@drfahrettinkoca don't count ?? There were 50 000 audiences in GS FB match. You didn't know that ??")</f>
        <v>@drfahrettinkoca don't count ?? There were 50 000 audiences in GS FB match. You didn't know that ??</v>
      </c>
    </row>
    <row r="15217" spans="1:5" ht="15" customHeight="1" x14ac:dyDescent="0.2">
      <c r="A15217" s="1" t="s">
        <v>30001</v>
      </c>
      <c r="B15217" s="1">
        <v>1</v>
      </c>
      <c r="C15217" s="3">
        <v>44524.891782407409</v>
      </c>
      <c r="D15217" s="1" t="s">
        <v>30002</v>
      </c>
      <c r="E15217" s="1" t="str">
        <f ca="1">IFERROR(__xludf.DUMMYFUNCTION("GOOGLETRANSLATE(A12016 , ""tr"" , ""en"")"),"@drfahrettinkoca has nothing to get. You frightened the flu. You're just scared, you still frighten. People Run Run ... https://t.co/4cqwzepqmc")</f>
        <v>@drfahrettinkoca has nothing to get. You frightened the flu. You're just scared, you still frighten. People Run Run ... https://t.co/4cqwzepqmc</v>
      </c>
    </row>
    <row r="15218" spans="1:5" ht="15" customHeight="1" x14ac:dyDescent="0.2">
      <c r="A15218" s="1" t="s">
        <v>30003</v>
      </c>
      <c r="B15218" s="1">
        <v>0</v>
      </c>
      <c r="C15218" s="3">
        <v>44524.891782407409</v>
      </c>
      <c r="D15218" s="1" t="s">
        <v>30004</v>
      </c>
      <c r="E15218" s="1" t="str">
        <f ca="1">IFERROR(__xludf.DUMMYFUNCTION("GOOGLETRANSLATE(A12017 , ""tr"" , ""en"")"),"@drfahrettinkoca finds from schools")</f>
        <v>@drfahrettinkoca finds from schools</v>
      </c>
    </row>
    <row r="15219" spans="1:5" ht="15" customHeight="1" x14ac:dyDescent="0.2">
      <c r="A15219" s="1" t="s">
        <v>30005</v>
      </c>
      <c r="B15219" s="1">
        <v>0</v>
      </c>
      <c r="C15219" s="3">
        <v>44524.88853009259</v>
      </c>
      <c r="D15219" s="1" t="s">
        <v>30006</v>
      </c>
      <c r="E15219" s="1" t="str">
        <f ca="1">IFERROR(__xludf.DUMMYFUNCTION("GOOGLETRANSLATE(A12018 , ""tr"" , ""en"")"),"@drfahrettinka has revived the outbreak vaccines with the vaccines. Your support is unforgettable")</f>
        <v>@drfahrettinka has revived the outbreak vaccines with the vaccines. Your support is unforgettable</v>
      </c>
    </row>
    <row r="15220" spans="1:5" ht="15" customHeight="1" x14ac:dyDescent="0.2">
      <c r="A15220" s="1" t="s">
        <v>30007</v>
      </c>
      <c r="B15220" s="1">
        <v>1</v>
      </c>
      <c r="C15220" s="3">
        <v>44524.884039351855</v>
      </c>
      <c r="D15220" s="1" t="s">
        <v>30008</v>
      </c>
      <c r="E15220" s="1" t="str">
        <f ca="1">IFERROR(__xludf.DUMMYFUNCTION("GOOGLETRANSLATE(A12019 , ""tr"" , ""en"")"),"@drfahrettinkoca ahmak https://t.co/falzhrbjav")</f>
        <v>@drfahrettinkoca ahmak https://t.co/falzhrbjav</v>
      </c>
    </row>
    <row r="15221" spans="1:5" ht="15" customHeight="1" x14ac:dyDescent="0.2">
      <c r="A15221" s="1" t="s">
        <v>30009</v>
      </c>
      <c r="B15221" s="1">
        <v>0</v>
      </c>
      <c r="C15221" s="3">
        <v>44524.881886574076</v>
      </c>
      <c r="D15221" s="1" t="s">
        <v>30010</v>
      </c>
      <c r="E15221" s="1" t="str">
        <f ca="1">IFERROR(__xludf.DUMMYFUNCTION("GOOGLETRANSLATE(A12020 , ""tr"" , ""en"")"),"@drfahrettinkoca https://t.co/ccu8w6hkl Geni Bill doesn't agree with you")</f>
        <v>@drfahrettinkoca https://t.co/ccu8w6hkl Geni Bill doesn't agree with you</v>
      </c>
    </row>
    <row r="15222" spans="1:5" ht="15" customHeight="1" x14ac:dyDescent="0.2">
      <c r="A15222" s="1" t="s">
        <v>30011</v>
      </c>
      <c r="B15222" s="1">
        <v>7</v>
      </c>
      <c r="C15222" s="3">
        <v>44524.881435185183</v>
      </c>
      <c r="D15222" s="1" t="s">
        <v>30012</v>
      </c>
      <c r="E15222" s="1" t="str">
        <f ca="1">IFERROR(__xludf.DUMMYFUNCTION("GOOGLETRANSLATE(A12021 , ""tr"" , ""en"")"),"@drfahrettinkoca #VeliDeonLineSline is definitely unable to count the Ministry of Covid 19 Unable to count the vaccines inadequate ... https://t.co/6elwhpyc80")</f>
        <v>@drfahrettinkoca #VeliDeonLineSline is definitely unable to count the Ministry of Covid 19 Unable to count the vaccines inadequate ... https://t.co/6elwhpyc80</v>
      </c>
    </row>
    <row r="15223" spans="1:5" ht="15" customHeight="1" x14ac:dyDescent="0.2">
      <c r="A15223" s="1" t="s">
        <v>30013</v>
      </c>
      <c r="B15223" s="1">
        <v>0</v>
      </c>
      <c r="C15223" s="3">
        <v>44524.877465277779</v>
      </c>
      <c r="D15223" s="1" t="s">
        <v>30014</v>
      </c>
      <c r="E15223" s="1" t="str">
        <f ca="1">IFERROR(__xludf.DUMMYFUNCTION("GOOGLETRANSLATE(A12022 , ""tr"" , ""en"")"),"@drfahrettinkoca hydroxyclorin and favipiravir is not like to be forgotten.")</f>
        <v>@drfahrettinkoca hydroxyclorin and favipiravir is not like to be forgotten.</v>
      </c>
    </row>
    <row r="15224" spans="1:5" ht="15" customHeight="1" x14ac:dyDescent="0.2">
      <c r="A15224" s="1" t="s">
        <v>30015</v>
      </c>
      <c r="B15224" s="1">
        <v>0</v>
      </c>
      <c r="C15224" s="3">
        <v>44524.87740740741</v>
      </c>
      <c r="D15224" s="1" t="s">
        <v>30016</v>
      </c>
      <c r="E15224" s="1" t="str">
        <f ca="1">IFERROR(__xludf.DUMMYFUNCTION("GOOGLETRANSLATE(A12023 , ""tr"" , ""en"")"),"@drfahrettinkoca yeah the actual Covid started after fluid how does we ignore what is Hikmetse this company Gariban and Mazlum ... https://t.co/fbsqs65x3k")</f>
        <v>@drfahrettinkoca yeah the actual Covid started after fluid how does we ignore what is Hikmetse this company Gariban and Mazlum ... https://t.co/fbsqs65x3k</v>
      </c>
    </row>
    <row r="15225" spans="1:5" ht="15" customHeight="1" x14ac:dyDescent="0.2">
      <c r="A15225" s="1" t="s">
        <v>30017</v>
      </c>
      <c r="B15225" s="1">
        <v>0</v>
      </c>
      <c r="C15225" s="3">
        <v>44524.869722222225</v>
      </c>
      <c r="D15225" s="1" t="s">
        <v>30018</v>
      </c>
      <c r="E15225" s="1" t="str">
        <f ca="1">IFERROR(__xludf.DUMMYFUNCTION("GOOGLETRANSLATE(A12024 , ""tr"" , ""en"")"),"@drfahrettinkoca where are you from high yahu, are you kidding me! You say 40 thousand people died in 1 year, e 1 year in this country ... https://t.co/fwoh8xsgor")</f>
        <v>@drfahrettinkoca where are you from high yahu, are you kidding me! You say 40 thousand people died in 1 year, e 1 year in this country ... https://t.co/fwoh8xsgor</v>
      </c>
    </row>
    <row r="15226" spans="1:5" ht="15" customHeight="1" x14ac:dyDescent="0.2">
      <c r="A15226" s="1" t="s">
        <v>30019</v>
      </c>
      <c r="B15226" s="1">
        <v>1</v>
      </c>
      <c r="C15226" s="3">
        <v>44524.867037037038</v>
      </c>
      <c r="D15226" s="1" t="s">
        <v>30020</v>
      </c>
      <c r="E15226" s="1" t="str">
        <f ca="1">IFERROR(__xludf.DUMMYFUNCTION("GOOGLETRANSLATE(A12025 , ""tr"" , ""en"")"),"@drfahrettinka is enough no longer be guy. Hotels, beaches, concerts, matches, bars, pavilions, rallies ... https://t.co/yoqxbgrecg")</f>
        <v>@drfahrettinka is enough no longer be guy. Hotels, beaches, concerts, matches, bars, pavilions, rallies ... https://t.co/yoqxbgrecg</v>
      </c>
    </row>
    <row r="15227" spans="1:5" ht="15" customHeight="1" x14ac:dyDescent="0.2">
      <c r="A15227" s="1" t="s">
        <v>30021</v>
      </c>
      <c r="B15227" s="1">
        <v>0</v>
      </c>
      <c r="C15227" s="3">
        <v>44524.866898148146</v>
      </c>
      <c r="D15227" s="1" t="s">
        <v>30022</v>
      </c>
      <c r="E15227" s="1" t="str">
        <f ca="1">IFERROR(__xludf.DUMMYFUNCTION("GOOGLETRANSLATE(A12026 , ""tr"" , ""en"")"),"@drfahrettinkoca Enough Allow Mr. Overlooking People Like Like People Every Day Stick SO ... https://t.co/vow7ouj6sd")</f>
        <v>@drfahrettinkoca Enough Allow Mr. Overlooking People Like Like People Every Day Stick SO ... https://t.co/vow7ouj6sd</v>
      </c>
    </row>
    <row r="15228" spans="1:5" ht="15" customHeight="1" x14ac:dyDescent="0.2">
      <c r="A15228" s="1" t="s">
        <v>30023</v>
      </c>
      <c r="B15228" s="1">
        <v>1</v>
      </c>
      <c r="C15228" s="3">
        <v>44524.862708333334</v>
      </c>
      <c r="D15228" s="1" t="s">
        <v>30024</v>
      </c>
      <c r="E15228" s="1" t="str">
        <f ca="1">IFERROR(__xludf.DUMMYFUNCTION("GOOGLETRANSLATE(A12027 , ""tr"" , ""en"")"),"@drfahrettinkoca What else do you don't count? #Smayasesveroelueyors #hazarahayatol @hazarahayatol")</f>
        <v>@drfahrettinkoca What else do you don't count? #Smayasesveroelueyors #hazarahayatol @hazarahayatol</v>
      </c>
    </row>
    <row r="15229" spans="1:5" ht="15" customHeight="1" x14ac:dyDescent="0.2">
      <c r="A15229" s="1" t="s">
        <v>30025</v>
      </c>
      <c r="B15229" s="1">
        <v>0</v>
      </c>
      <c r="C15229" s="3">
        <v>44524.861273148148</v>
      </c>
      <c r="D15229" s="1" t="s">
        <v>30026</v>
      </c>
      <c r="E15229" s="1" t="str">
        <f ca="1">IFERROR(__xludf.DUMMYFUNCTION("GOOGLETRANSLATE(A12028 , ""tr"" , ""en"")"),"@drfahrettinkoca homeland traitor to everyone who doesn't come to your business. This stain will be written in your understanding news ... https://t.co/lla0e9aiat")</f>
        <v>@drfahrettinkoca homeland traitor to everyone who doesn't come to your business. This stain will be written in your understanding news ... https://t.co/lla0e9aiat</v>
      </c>
    </row>
    <row r="15230" spans="1:5" ht="15" customHeight="1" x14ac:dyDescent="0.2">
      <c r="A15230" s="1" t="s">
        <v>30027</v>
      </c>
      <c r="B15230" s="1">
        <v>0</v>
      </c>
      <c r="C15230" s="3">
        <v>44524.86041666667</v>
      </c>
      <c r="D15230" s="1" t="s">
        <v>30028</v>
      </c>
      <c r="E15230" s="1" t="str">
        <f ca="1">IFERROR(__xludf.DUMMYFUNCTION("GOOGLETRANSLATE(A12029 , ""tr"" , ""en"")"),"@drfahrettinkoca Sal us")</f>
        <v>@drfahrettinkoca Sal us</v>
      </c>
    </row>
    <row r="15231" spans="1:5" ht="15" customHeight="1" x14ac:dyDescent="0.2">
      <c r="A15231" s="1" t="s">
        <v>30029</v>
      </c>
      <c r="B15231" s="1">
        <v>4</v>
      </c>
      <c r="C15231" s="3">
        <v>44524.860300925924</v>
      </c>
      <c r="D15231" s="1" t="s">
        <v>30030</v>
      </c>
      <c r="E15231" s="1" t="str">
        <f ca="1">IFERROR(__xludf.DUMMYFUNCTION("GOOGLETRANSLATE(A12030 , ""tr"" , ""en"")"),"@drfahrettinkoca Hippocratic has corrupted your vow and to be referred to as Minister to your profession and the ring, who had betrayed humanity ... https://t.co/03l0tztfyq")</f>
        <v>@drfahrettinkoca Hippocratic has corrupted your vow and to be referred to as Minister to your profession and the ring, who had betrayed humanity ... https://t.co/03l0tztfyq</v>
      </c>
    </row>
    <row r="15232" spans="1:5" ht="15" customHeight="1" x14ac:dyDescent="0.2">
      <c r="A15232" s="1" t="s">
        <v>30031</v>
      </c>
      <c r="B15232" s="1">
        <v>0</v>
      </c>
      <c r="C15232" s="3">
        <v>44527.946863425925</v>
      </c>
      <c r="D15232" s="1" t="s">
        <v>30032</v>
      </c>
      <c r="E15232" s="1" t="str">
        <f ca="1">IFERROR(__xludf.DUMMYFUNCTION("GOOGLETRANSLATE(A12031 , ""tr"" , ""en"")"),"@drfahrettinkoca Shopping Centers Open Schools Open all Everything You Open Always See Open to Prisoners ... https://t.co/rymjxt3gp5")</f>
        <v>@drfahrettinkoca Shopping Centers Open Schools Open all Everything You Open Always See Open to Prisoners ... https://t.co/rymjxt3gp5</v>
      </c>
    </row>
    <row r="15233" spans="1:5" ht="15" customHeight="1" x14ac:dyDescent="0.2">
      <c r="A15233" s="1" t="s">
        <v>30033</v>
      </c>
      <c r="B15233" s="1">
        <v>0</v>
      </c>
      <c r="C15233" s="3">
        <v>44527.945752314816</v>
      </c>
      <c r="D15233" s="1" t="s">
        <v>30034</v>
      </c>
      <c r="E15233" s="1" t="str">
        <f ca="1">IFERROR(__xludf.DUMMYFUNCTION("GOOGLETRANSLATE(A12032 , ""tr"" , ""en"")"),"@drfahrettinka you will see more cases increase as long as these schools are open")</f>
        <v>@drfahrettinka you will see more cases increase as long as these schools are open</v>
      </c>
    </row>
    <row r="15234" spans="1:5" ht="15" customHeight="1" x14ac:dyDescent="0.2">
      <c r="A15234" s="1" t="s">
        <v>30035</v>
      </c>
      <c r="B15234" s="1">
        <v>0</v>
      </c>
      <c r="C15234" s="3">
        <v>44525.92765046296</v>
      </c>
      <c r="D15234" s="1" t="s">
        <v>30036</v>
      </c>
      <c r="E15234" s="1" t="str">
        <f ca="1">IFERROR(__xludf.DUMMYFUNCTION("GOOGLETRANSLATE(A12033 , ""tr"" , ""en"")"),"@drfahrettinkoca billy gatesin")</f>
        <v>@drfahrettinkoca billy gatesin</v>
      </c>
    </row>
    <row r="15235" spans="1:5" ht="15" customHeight="1" x14ac:dyDescent="0.2">
      <c r="A15235" s="1" t="s">
        <v>30037</v>
      </c>
      <c r="B15235" s="1">
        <v>4</v>
      </c>
      <c r="C15235" s="3">
        <v>44524.992696759262</v>
      </c>
      <c r="D15235" s="1" t="s">
        <v>30038</v>
      </c>
      <c r="E15235" s="1" t="str">
        <f ca="1">IFERROR(__xludf.DUMMYFUNCTION("GOOGLETRANSLATE(A12034 , ""tr"" , ""en"")"),"@drfahrettinkoca what is the sucu of biologists")</f>
        <v>@drfahrettinkoca what is the sucu of biologists</v>
      </c>
    </row>
    <row r="15236" spans="1:5" ht="15" customHeight="1" x14ac:dyDescent="0.2">
      <c r="A15236" s="1" t="s">
        <v>30039</v>
      </c>
      <c r="B15236" s="1">
        <v>0</v>
      </c>
      <c r="C15236" s="3">
        <v>44524.966990740744</v>
      </c>
      <c r="D15236" s="1" t="s">
        <v>30040</v>
      </c>
      <c r="E15236" s="1" t="str">
        <f ca="1">IFERROR(__xludf.DUMMYFUNCTION("GOOGLETRANSLATE(A12035 , ""tr"" , ""en"")"),"@drfahrettinkoca Either an Ohendisi As a Minister of Mahmutu National Education Minister You're doing literature I don't end my husband")</f>
        <v>@drfahrettinkoca Either an Ohendisi As a Minister of Mahmutu National Education Minister You're doing literature I don't end my husband</v>
      </c>
    </row>
    <row r="15237" spans="1:5" ht="15" customHeight="1" x14ac:dyDescent="0.2">
      <c r="A15237" s="1" t="s">
        <v>30041</v>
      </c>
      <c r="B15237" s="1">
        <v>0</v>
      </c>
      <c r="C15237" s="3">
        <v>44524.944305555553</v>
      </c>
      <c r="D15237" s="1" t="s">
        <v>30042</v>
      </c>
      <c r="E15237" s="1" t="str">
        <f ca="1">IFERROR(__xludf.DUMMYFUNCTION("GOOGLETRANSLATE(A12036 , ""tr"" , ""en"")"),"@drfahrettinkoca Don't forget to take your permission from the President before you share your shares ...")</f>
        <v>@drfahrettinkoca Don't forget to take your permission from the President before you share your shares ...</v>
      </c>
    </row>
    <row r="15238" spans="1:5" ht="15" customHeight="1" x14ac:dyDescent="0.2">
      <c r="A15238" s="1" t="s">
        <v>30043</v>
      </c>
      <c r="B15238" s="1">
        <v>0</v>
      </c>
      <c r="C15238" s="3">
        <v>44524.908587962964</v>
      </c>
      <c r="D15238" s="1" t="s">
        <v>30044</v>
      </c>
      <c r="E15238" s="1" t="str">
        <f ca="1">IFERROR(__xludf.DUMMYFUNCTION("GOOGLETRANSLATE(A12037 , ""tr"" , ""en"")"),"@drfahrettinka vaccine PCR Poison their life with imposing their professions with PCR PCR wish you have a happy day without being bored. Like a joke")</f>
        <v>@drfahrettinka vaccine PCR Poison their life with imposing their professions with PCR PCR wish you have a happy day without being bored. Like a joke</v>
      </c>
    </row>
    <row r="15239" spans="1:5" ht="15" customHeight="1" x14ac:dyDescent="0.2">
      <c r="A15239" s="1" t="s">
        <v>30045</v>
      </c>
      <c r="B15239" s="1">
        <v>0</v>
      </c>
      <c r="C15239" s="3">
        <v>44524.902118055557</v>
      </c>
      <c r="D15239" s="1" t="s">
        <v>30046</v>
      </c>
      <c r="E15239" s="1" t="str">
        <f ca="1">IFERROR(__xludf.DUMMYFUNCTION("GOOGLETRANSLATE(A12038 , ""tr"" , ""en"")"),"@drfahrettinkoca don't we have a teacher who teaches to be proud of a little honesty, conscience and mercy")</f>
        <v>@drfahrettinkoca don't we have a teacher who teaches to be proud of a little honesty, conscience and mercy</v>
      </c>
    </row>
    <row r="15240" spans="1:5" ht="15" customHeight="1" x14ac:dyDescent="0.2">
      <c r="A15240" s="1" t="s">
        <v>30047</v>
      </c>
      <c r="B15240" s="1">
        <v>7</v>
      </c>
      <c r="C15240" s="3">
        <v>44524.899259259262</v>
      </c>
      <c r="D15240" s="1" t="s">
        <v>30048</v>
      </c>
      <c r="E15240" s="1" t="str">
        <f ca="1">IFERROR(__xludf.DUMMYFUNCTION("GOOGLETRANSLATE(A12039 , ""tr"" , ""en"")"),"@drfahrettinkoca poetry I lost my request to write with you You killed my soulmate")</f>
        <v>@drfahrettinkoca poetry I lost my request to write with you You killed my soulmate</v>
      </c>
    </row>
    <row r="15241" spans="1:5" ht="15" customHeight="1" x14ac:dyDescent="0.2">
      <c r="A15241" s="1" t="s">
        <v>30049</v>
      </c>
      <c r="B15241" s="1">
        <v>0</v>
      </c>
      <c r="C15241" s="3">
        <v>44524.8983912037</v>
      </c>
      <c r="D15241" s="1" t="s">
        <v>30050</v>
      </c>
      <c r="E15241" s="1" t="str">
        <f ca="1">IFERROR(__xludf.DUMMYFUNCTION("GOOGLETRANSLATE(A12040 , ""tr"" , ""en"")"),"@drfahrettinka history teacher teaches history, English teacher English ...;)")</f>
        <v>@drfahrettinka history teacher teaches history, English teacher English ...;)</v>
      </c>
    </row>
    <row r="15242" spans="1:5" ht="15" customHeight="1" x14ac:dyDescent="0.2">
      <c r="A15242" s="1" t="s">
        <v>30051</v>
      </c>
      <c r="B15242" s="1">
        <v>0</v>
      </c>
      <c r="C15242" s="3">
        <v>44524.888240740744</v>
      </c>
      <c r="D15242" s="1" t="s">
        <v>30052</v>
      </c>
      <c r="E15242" s="1" t="str">
        <f ca="1">IFERROR(__xludf.DUMMYFUNCTION("GOOGLETRANSLATE(A12041 , ""tr"" , ""en"")"),"@drfahrettinkoca Happy November 24 Teachers Day")</f>
        <v>@drfahrettinkoca Happy November 24 Teachers Day</v>
      </c>
    </row>
    <row r="15243" spans="1:5" ht="15" customHeight="1" x14ac:dyDescent="0.2">
      <c r="A15243" s="1" t="s">
        <v>30053</v>
      </c>
      <c r="B15243" s="1">
        <v>0</v>
      </c>
      <c r="C15243" s="3">
        <v>44524.887245370373</v>
      </c>
      <c r="D15243" s="1" t="s">
        <v>30054</v>
      </c>
      <c r="E15243" s="1" t="str">
        <f ca="1">IFERROR(__xludf.DUMMYFUNCTION("GOOGLETRANSLATE(A12042 , ""tr"" , ""en"")"),"@drfahrettinkoca Funredit We didn't say you can't be Dr. We said we can't be the guy to you.")</f>
        <v>@drfahrettinkoca Funredit We didn't say you can't be Dr. We said we can't be the guy to you.</v>
      </c>
    </row>
    <row r="15244" spans="1:5" ht="15" customHeight="1" x14ac:dyDescent="0.2">
      <c r="A15244" s="1" t="s">
        <v>30055</v>
      </c>
      <c r="B15244" s="1">
        <v>0</v>
      </c>
      <c r="C15244" s="3">
        <v>44524.884641203702</v>
      </c>
      <c r="D15244" s="1" t="s">
        <v>30056</v>
      </c>
      <c r="E15244" s="1" t="str">
        <f ca="1">IFERROR(__xludf.DUMMYFUNCTION("GOOGLETRANSLATE(A12043 , ""tr"" , ""en"")"),"@drfahrettinkoca Hicbiri Bisey Ogretememis If you don't have this though.")</f>
        <v>@drfahrettinkoca Hicbiri Bisey Ogretememis If you don't have this though.</v>
      </c>
    </row>
    <row r="15245" spans="1:5" ht="15" customHeight="1" x14ac:dyDescent="0.2">
      <c r="A15245" s="1" t="s">
        <v>30057</v>
      </c>
      <c r="B15245" s="1">
        <v>2</v>
      </c>
      <c r="C15245" s="3">
        <v>44524.882638888892</v>
      </c>
      <c r="D15245" s="1" t="s">
        <v>30058</v>
      </c>
      <c r="E15245" s="1" t="str">
        <f ca="1">IFERROR(__xludf.DUMMYFUNCTION("GOOGLETRANSLATE(A12044 , ""tr"" , ""en"")"),"@drfahrettinkoca Our Minister of Health also tried to teach the outbreak!")</f>
        <v>@drfahrettinkoca Our Minister of Health also tried to teach the outbreak!</v>
      </c>
    </row>
    <row r="15246" spans="1:5" ht="15" customHeight="1" x14ac:dyDescent="0.2">
      <c r="A15246" s="1" t="s">
        <v>30059</v>
      </c>
      <c r="B15246" s="1">
        <v>0</v>
      </c>
      <c r="C15246" s="3">
        <v>44524.880567129629</v>
      </c>
      <c r="D15246" s="1" t="s">
        <v>30060</v>
      </c>
      <c r="E15246" s="1" t="str">
        <f ca="1">IFERROR(__xludf.DUMMYFUNCTION("GOOGLETRANSLATE(A12045 , ""tr"" , ""en"")"),"@drfahrettinkoca then why don't you apply those taught to you?")</f>
        <v>@drfahrettinkoca then why don't you apply those taught to you?</v>
      </c>
    </row>
    <row r="15247" spans="1:5" ht="15" customHeight="1" x14ac:dyDescent="0.2">
      <c r="A15247" s="1" t="s">
        <v>30061</v>
      </c>
      <c r="B15247" s="1">
        <v>0</v>
      </c>
      <c r="C15247" s="3">
        <v>44524.877164351848</v>
      </c>
      <c r="D15247" s="1" t="s">
        <v>30062</v>
      </c>
      <c r="E15247" s="1" t="str">
        <f ca="1">IFERROR(__xludf.DUMMYFUNCTION("GOOGLETRANSLATE(A12046 , ""tr"" , ""en"")"),"Why @drfahrettinkoca don't have a lesson in the curriculum like the values ​​that teach the good human? This issue is once a year ... https://t.co/piopcthyia")</f>
        <v>Why @drfahrettinkoca don't have a lesson in the curriculum like the values ​​that teach the good human? This issue is once a year ... https://t.co/piopcthyia</v>
      </c>
    </row>
    <row r="15248" spans="1:5" ht="15" customHeight="1" x14ac:dyDescent="0.2">
      <c r="A15248" s="1" t="s">
        <v>30063</v>
      </c>
      <c r="B15248" s="1">
        <v>2</v>
      </c>
      <c r="C15248" s="3">
        <v>44524.875590277778</v>
      </c>
      <c r="D15248" s="1" t="s">
        <v>30064</v>
      </c>
      <c r="E15248" s="1" t="str">
        <f ca="1">IFERROR(__xludf.DUMMYFUNCTION("GOOGLETRANSLATE(A12047 , ""tr"" , ""en"")"),"Tell the ministry of @drfahrettinkoca they did not give our inadequate 2020 stepmanship.")</f>
        <v>Tell the ministry of @drfahrettinkoca they did not give our inadequate 2020 stepmanship.</v>
      </c>
    </row>
    <row r="15249" spans="1:5" ht="15" customHeight="1" x14ac:dyDescent="0.2">
      <c r="A15249" s="1" t="s">
        <v>30065</v>
      </c>
      <c r="B15249" s="1">
        <v>0</v>
      </c>
      <c r="C15249" s="3">
        <v>44524.864259259259</v>
      </c>
      <c r="D15249" s="1" t="s">
        <v>30066</v>
      </c>
      <c r="E15249" s="1" t="str">
        <f ca="1">IFERROR(__xludf.DUMMYFUNCTION("GOOGLETRANSLATE(A12048 , ""tr"" , ""en"")"),"@drfahrettinkoca Everything that Minister is the right teachers taught him what did you teach us ?? Lick on Ministry ... https://t.co/bwghbyyaid")</f>
        <v>@drfahrettinkoca Everything that Minister is the right teachers taught him what did you teach us ?? Lick on Ministry ... https://t.co/bwghbyyaid</v>
      </c>
    </row>
    <row r="15250" spans="1:5" ht="15" customHeight="1" x14ac:dyDescent="0.2">
      <c r="A15250" s="1" t="s">
        <v>30067</v>
      </c>
      <c r="B15250" s="1">
        <v>0</v>
      </c>
      <c r="C15250" s="3">
        <v>44524.859351851854</v>
      </c>
      <c r="D15250" s="1" t="s">
        <v>30068</v>
      </c>
      <c r="E15250" s="1" t="str">
        <f ca="1">IFERROR(__xludf.DUMMYFUNCTION("GOOGLETRANSLATE(A12049 , ""tr"" , ""en"")"),"@drfahrettinkoca doctor also thinks the main human health and reveals your life if necessary for it and patient wolf ... https://t.co/t2bnhwxwac")</f>
        <v>@drfahrettinkoca doctor also thinks the main human health and reveals your life if necessary for it and patient wolf ... https://t.co/t2bnhwxwac</v>
      </c>
    </row>
    <row r="15251" spans="1:5" ht="15" customHeight="1" x14ac:dyDescent="0.2">
      <c r="A15251" s="1" t="s">
        <v>30069</v>
      </c>
      <c r="B15251" s="1">
        <v>0</v>
      </c>
      <c r="C15251" s="3">
        <v>44524.90184027778</v>
      </c>
      <c r="D15251" s="1" t="s">
        <v>30070</v>
      </c>
      <c r="E15251" s="1" t="str">
        <f ca="1">IFERROR(__xludf.DUMMYFUNCTION("GOOGLETRANSLATE(A12050 , ""tr"" , ""en"")"),"@drfahrettinkoca citizen even a deadly epidemic like the pandemic has forgotten the economic sikintilar")</f>
        <v>@drfahrettinkoca citizen even a deadly epidemic like the pandemic has forgotten the economic sikintilar</v>
      </c>
    </row>
    <row r="15252" spans="1:5" ht="15" customHeight="1" x14ac:dyDescent="0.2">
      <c r="A15252" s="1" t="s">
        <v>30071</v>
      </c>
      <c r="B15252" s="1">
        <v>0</v>
      </c>
      <c r="C15252" s="3">
        <v>44524.861863425926</v>
      </c>
      <c r="D15252" s="1" t="s">
        <v>30072</v>
      </c>
      <c r="E15252" s="1" t="str">
        <f ca="1">IFERROR(__xludf.DUMMYFUNCTION("GOOGLETRANSLATE(A12051 , ""tr"" , ""en"")"),"@drfahrettinkoca at a time I thought to inflation in Aphyonkarahisar came to the front of my eye.")</f>
        <v>@drfahrettinkoca at a time I thought to inflation in Aphyonkarahisar came to the front of my eye.</v>
      </c>
    </row>
    <row r="15253" spans="1:5" ht="15" customHeight="1" x14ac:dyDescent="0.2">
      <c r="A15253" s="1" t="s">
        <v>30073</v>
      </c>
      <c r="B15253" s="1">
        <v>0</v>
      </c>
      <c r="C15253" s="3">
        <v>44523.976331018515</v>
      </c>
      <c r="D15253" s="1" t="s">
        <v>30074</v>
      </c>
      <c r="E15253" s="1" t="str">
        <f ca="1">IFERROR(__xludf.DUMMYFUNCTION("GOOGLETRANSLATE(A12052 , ""tr"" , ""en"")"),"@drfahrettinkoca aha covitten lost we lost allah")</f>
        <v>@drfahrettinkoca aha covitten lost we lost allah</v>
      </c>
    </row>
    <row r="15254" spans="1:5" ht="15" customHeight="1" x14ac:dyDescent="0.2">
      <c r="A15254" s="1" t="s">
        <v>28405</v>
      </c>
      <c r="B15254" s="1">
        <v>1</v>
      </c>
      <c r="C15254" s="3">
        <v>44523.957812499997</v>
      </c>
      <c r="D15254" s="1" t="s">
        <v>30075</v>
      </c>
      <c r="E15254" s="1" t="str">
        <f ca="1">IFERROR(__xludf.DUMMYFUNCTION("GOOGLETRANSLATE(A12053 , ""tr"" , ""en"")"),"@drfahrettinkoca dietitians are looking forward to assigning a large number of assignments to the minister 91 points are still agencies")</f>
        <v>@drfahrettinkoca dietitians are looking forward to assigning a large number of assignments to the minister 91 points are still agencies</v>
      </c>
    </row>
    <row r="15255" spans="1:5" ht="15" customHeight="1" x14ac:dyDescent="0.2">
      <c r="A15255" s="1" t="s">
        <v>30076</v>
      </c>
      <c r="B15255" s="1">
        <v>6</v>
      </c>
      <c r="C15255" s="3">
        <v>44523.946435185186</v>
      </c>
      <c r="D15255" s="1" t="s">
        <v>30077</v>
      </c>
      <c r="E15255" s="1" t="str">
        <f ca="1">IFERROR(__xludf.DUMMYFUNCTION("GOOGLETRANSLATE(A12054 , ""tr"" , ""en"")"),"@drfahrettinkoca can't say that in Syria, in Syria, he can say peace of the operation of the operation.")</f>
        <v>@drfahrettinkoca can't say that in Syria, in Syria, he can say peace of the operation of the operation.</v>
      </c>
    </row>
    <row r="15256" spans="1:5" ht="15" customHeight="1" x14ac:dyDescent="0.2">
      <c r="A15256" s="1" t="s">
        <v>30078</v>
      </c>
      <c r="B15256" s="1">
        <v>0</v>
      </c>
      <c r="C15256" s="3">
        <v>44523.942060185182</v>
      </c>
      <c r="D15256" s="1" t="s">
        <v>30079</v>
      </c>
      <c r="E15256" s="1" t="str">
        <f ca="1">IFERROR(__xludf.DUMMYFUNCTION("GOOGLETRANSLATE(A12055 , ""tr"" , ""en"")"),"@drfahrettinkoca 🇹🇷🇹🇷🇹🇹")</f>
        <v>@drfahrettinkoca 🇹🇷🇹🇷🇹🇹</v>
      </c>
    </row>
    <row r="15257" spans="1:5" ht="15" customHeight="1" x14ac:dyDescent="0.2">
      <c r="A15257" s="1" t="s">
        <v>30080</v>
      </c>
      <c r="B15257" s="1">
        <v>0</v>
      </c>
      <c r="C15257" s="3">
        <v>44523.939120370371</v>
      </c>
      <c r="D15257" s="1" t="s">
        <v>30081</v>
      </c>
      <c r="E15257" s="1" t="str">
        <f ca="1">IFERROR(__xludf.DUMMYFUNCTION("GOOGLETRANSLATE(A12056 , ""tr"" , ""en"")"),"@drfahrettinkoca rabbim rental action give patience to those left behind ☹️🤲")</f>
        <v>@drfahrettinkoca rabbim rental action give patience to those left behind ☹️🤲</v>
      </c>
    </row>
    <row r="15258" spans="1:5" ht="15" customHeight="1" x14ac:dyDescent="0.2">
      <c r="A15258" s="1" t="s">
        <v>30082</v>
      </c>
      <c r="B15258" s="1">
        <v>1</v>
      </c>
      <c r="C15258" s="3">
        <v>44523.937210648146</v>
      </c>
      <c r="D15258" s="1" t="s">
        <v>30083</v>
      </c>
      <c r="E15258" s="1" t="str">
        <f ca="1">IFERROR(__xludf.DUMMYFUNCTION("GOOGLETRANSLATE(A12057 , ""tr"" , ""en"")"),"@drfahrettinkoca YAW Country YELIYO Mr. Ministry, accidentally do not be irrelevant Twites in the top of this night, don't be a tool !!")</f>
        <v>@drfahrettinkoca YAW Country YELIYO Mr. Ministry, accidentally do not be irrelevant Twites in the top of this night, don't be a tool !!</v>
      </c>
    </row>
    <row r="15259" spans="1:5" ht="15" customHeight="1" x14ac:dyDescent="0.2">
      <c r="A15259" s="1" t="s">
        <v>30084</v>
      </c>
      <c r="B15259" s="1">
        <v>1</v>
      </c>
      <c r="C15259" s="3">
        <v>44523.929791666669</v>
      </c>
      <c r="D15259" s="1" t="s">
        <v>30085</v>
      </c>
      <c r="E15259" s="1" t="str">
        <f ca="1">IFERROR(__xludf.DUMMYFUNCTION("GOOGLETRANSLATE(A12058 , ""tr"" , ""en"")"),"@drfahrettinkoca Allah May Be Heaven Heaven")</f>
        <v>@drfahrettinkoca Allah May Be Heaven Heaven</v>
      </c>
    </row>
    <row r="15260" spans="1:5" ht="15" customHeight="1" x14ac:dyDescent="0.2">
      <c r="A15260" s="1" t="s">
        <v>30086</v>
      </c>
      <c r="B15260" s="1">
        <v>0</v>
      </c>
      <c r="C15260" s="3">
        <v>44523.917557870373</v>
      </c>
      <c r="D15260" s="1" t="s">
        <v>30087</v>
      </c>
      <c r="E15260" s="1" t="str">
        <f ca="1">IFERROR(__xludf.DUMMYFUNCTION("GOOGLETRANSLATE(A12059 , ""tr"" , ""en"")"),"@drfahrettinkoca May Allow Patience to Allah Family. Rest in peace.")</f>
        <v>@drfahrettinkoca May Allow Patience to Allah Family. Rest in peace.</v>
      </c>
    </row>
    <row r="15261" spans="1:5" ht="15" customHeight="1" x14ac:dyDescent="0.2">
      <c r="A15261" s="1" t="s">
        <v>30088</v>
      </c>
      <c r="B15261" s="1">
        <v>0</v>
      </c>
      <c r="C15261" s="3">
        <v>44523.916203703702</v>
      </c>
      <c r="D15261" s="1" t="s">
        <v>30089</v>
      </c>
      <c r="E15261" s="1" t="str">
        <f ca="1">IFERROR(__xludf.DUMMYFUNCTION("GOOGLETRANSLATE(A12060 , ""tr"" , ""en"")"),"@drfahrettinkoca How to explain how he killed this community with those medicines ....")</f>
        <v>@drfahrettinkoca How to explain how he killed this community with those medicines ....</v>
      </c>
    </row>
    <row r="15262" spans="1:5" ht="15" customHeight="1" x14ac:dyDescent="0.2">
      <c r="A15262" s="1" t="s">
        <v>30090</v>
      </c>
      <c r="B15262" s="1">
        <v>0</v>
      </c>
      <c r="C15262" s="3">
        <v>44523.910393518519</v>
      </c>
      <c r="D15262" s="1" t="s">
        <v>30091</v>
      </c>
      <c r="E15262" s="1" t="str">
        <f ca="1">IFERROR(__xludf.DUMMYFUNCTION("GOOGLETRANSLATE(A12061 , ""tr"" , ""en"")"),"@drfahrettinkoca allah mercy eyre, assignment was when 1 year")</f>
        <v>@drfahrettinkoca allah mercy eyre, assignment was when 1 year</v>
      </c>
    </row>
    <row r="15263" spans="1:5" ht="15" customHeight="1" x14ac:dyDescent="0.2">
      <c r="A15263" s="1" t="s">
        <v>30092</v>
      </c>
      <c r="B15263" s="1">
        <v>0</v>
      </c>
      <c r="C15263" s="3">
        <v>44523.910173611112</v>
      </c>
      <c r="D15263" s="1" t="s">
        <v>30093</v>
      </c>
      <c r="E15263" s="1" t="str">
        <f ca="1">IFERROR(__xludf.DUMMYFUNCTION("GOOGLETRANSLATE(A12062 , ""tr"" , ""en"")"),"@drfahrettinkoca amin 🤲🌙🌹🇹🇷🇹🇷🇹🇷🇹")</f>
        <v>@drfahrettinkoca amin 🤲🌙🌹🇹🇷🇹🇷🇹🇷🇹</v>
      </c>
    </row>
    <row r="15264" spans="1:5" ht="15" customHeight="1" x14ac:dyDescent="0.2">
      <c r="A15264" s="1" t="s">
        <v>30094</v>
      </c>
      <c r="B15264" s="1">
        <v>0</v>
      </c>
      <c r="C15264" s="3">
        <v>44523.909259259257</v>
      </c>
      <c r="D15264" s="1" t="s">
        <v>30095</v>
      </c>
      <c r="E15264" s="1" t="str">
        <f ca="1">IFERROR(__xludf.DUMMYFUNCTION("GOOGLETRANSLATE(A12063 , ""tr"" , ""en"")"),"@drfahrettinkoca rabbim lahmet and the victims of the fake of the fake will be heavenly built")</f>
        <v>@drfahrettinkoca rabbim lahmet and the victims of the fake of the fake will be heavenly built</v>
      </c>
    </row>
    <row r="15265" spans="1:5" ht="15" customHeight="1" x14ac:dyDescent="0.2">
      <c r="A15265" s="1" t="s">
        <v>17931</v>
      </c>
      <c r="B15265" s="1">
        <v>2</v>
      </c>
      <c r="C15265" s="3">
        <v>44523.907094907408</v>
      </c>
      <c r="D15265" s="1" t="s">
        <v>30096</v>
      </c>
      <c r="E15265" s="1" t="str">
        <f ca="1">IFERROR(__xludf.DUMMYFUNCTION("GOOGLETRANSLATE(A12064 , ""tr"" , ""en"")"),"@drfahrettinkoca allah mercy eyles")</f>
        <v>@drfahrettinkoca allah mercy eyles</v>
      </c>
    </row>
    <row r="15266" spans="1:5" ht="15" customHeight="1" x14ac:dyDescent="0.2">
      <c r="A15266" s="1" t="s">
        <v>18015</v>
      </c>
      <c r="B15266" s="1">
        <v>0</v>
      </c>
      <c r="C15266" s="3">
        <v>44523.905659722222</v>
      </c>
      <c r="D15266" s="1" t="s">
        <v>30097</v>
      </c>
      <c r="E15266" s="1" t="str">
        <f ca="1">IFERROR(__xludf.DUMMYFUNCTION("GOOGLETRANSLATE(A12065 , ""tr"" , ""en"")"),"@drfahrettinkoca Allah mercy.")</f>
        <v>@drfahrettinkoca Allah mercy.</v>
      </c>
    </row>
    <row r="15267" spans="1:5" ht="15" customHeight="1" x14ac:dyDescent="0.2">
      <c r="A15267" s="1" t="s">
        <v>18015</v>
      </c>
      <c r="B15267" s="1">
        <v>0</v>
      </c>
      <c r="C15267" s="3">
        <v>44523.904826388891</v>
      </c>
      <c r="D15267" s="1" t="s">
        <v>30098</v>
      </c>
      <c r="E15267" s="1" t="str">
        <f ca="1">IFERROR(__xludf.DUMMYFUNCTION("GOOGLETRANSLATE(A12066 , ""tr"" , ""en"")"),"@drfahrettinkoca Allah mercy.")</f>
        <v>@drfahrettinkoca Allah mercy.</v>
      </c>
    </row>
    <row r="15268" spans="1:5" ht="15" customHeight="1" x14ac:dyDescent="0.2">
      <c r="A15268" s="1" t="s">
        <v>30099</v>
      </c>
      <c r="B15268" s="1">
        <v>0</v>
      </c>
      <c r="C15268" s="3">
        <v>44523.904606481483</v>
      </c>
      <c r="D15268" s="1" t="s">
        <v>30100</v>
      </c>
      <c r="E15268" s="1" t="str">
        <f ca="1">IFERROR(__xludf.DUMMYFUNCTION("GOOGLETRANSLATE(A12067 , ""tr"" , ""en"")"),"@drfahrettinkoca Allah CC Refer Eylesin Master of Heaven Segushes Loves to Loves Hope to Hope Father")</f>
        <v>@drfahrettinkoca Allah CC Refer Eylesin Master of Heaven Segushes Loves to Loves Hope to Hope Father</v>
      </c>
    </row>
    <row r="15269" spans="1:5" ht="15" customHeight="1" x14ac:dyDescent="0.2">
      <c r="A15269" s="1" t="s">
        <v>30101</v>
      </c>
      <c r="B15269" s="1">
        <v>3</v>
      </c>
      <c r="C15269" s="3">
        <v>44523.904293981483</v>
      </c>
      <c r="D15269" s="1" t="s">
        <v>30102</v>
      </c>
      <c r="E15269" s="1" t="str">
        <f ca="1">IFERROR(__xludf.DUMMYFUNCTION("GOOGLETRANSLATE(A12068 , ""tr"" , ""en"")"),"@drfahrettinkoca I wish they were those who make the country instead of")</f>
        <v>@drfahrettinkoca I wish they were those who make the country instead of</v>
      </c>
    </row>
    <row r="15270" spans="1:5" ht="15" customHeight="1" x14ac:dyDescent="0.2">
      <c r="A15270" s="1" t="s">
        <v>30103</v>
      </c>
      <c r="B15270" s="1">
        <v>0</v>
      </c>
      <c r="C15270" s="3">
        <v>44523.90415509259</v>
      </c>
      <c r="D15270" s="1" t="s">
        <v>30104</v>
      </c>
      <c r="E15270" s="1" t="str">
        <f ca="1">IFERROR(__xludf.DUMMYFUNCTION("GOOGLETRANSLATE(A12069 , ""tr"" , ""en"")"),"@drfahrettinkoca Allah Mahmet Eylesin Venue May Be Heaven")</f>
        <v>@drfahrettinkoca Allah Mahmet Eylesin Venue May Be Heaven</v>
      </c>
    </row>
    <row r="15271" spans="1:5" ht="15" customHeight="1" x14ac:dyDescent="0.2">
      <c r="A15271" s="1" t="s">
        <v>30105</v>
      </c>
      <c r="B15271" s="1">
        <v>1</v>
      </c>
      <c r="C15271" s="3">
        <v>44523.903796296298</v>
      </c>
      <c r="D15271" s="1" t="s">
        <v>30106</v>
      </c>
      <c r="E15271" s="1" t="str">
        <f ca="1">IFERROR(__xludf.DUMMYFUNCTION("GOOGLETRANSLATE(A12070 , ""tr"" , ""en"")"),"@drfahrettinkoca ALLAH GLAND SUSPENSE Venue May Be Heaven")</f>
        <v>@drfahrettinkoca ALLAH GLAND SUSPENSE Venue May Be Heaven</v>
      </c>
    </row>
    <row r="15272" spans="1:5" ht="15" customHeight="1" x14ac:dyDescent="0.2">
      <c r="A15272" s="1" t="s">
        <v>30107</v>
      </c>
      <c r="B15272" s="1">
        <v>6</v>
      </c>
      <c r="C15272" s="3">
        <v>44523.903344907405</v>
      </c>
      <c r="D15272" s="1" t="s">
        <v>30108</v>
      </c>
      <c r="E15272" s="1" t="str">
        <f ca="1">IFERROR(__xludf.DUMMYFUNCTION("GOOGLETRANSLATE(A12071 , ""tr"" , ""en"")"),"@drfahrettinkoca This is a press of this AKP Gosterinbana, Economy Cookuk, Hergun Sehit News, Gencler Unhappy Only Finals Rich")</f>
        <v>@drfahrettinkoca This is a press of this AKP Gosterinbana, Economy Cookuk, Hergun Sehit News, Gencler Unhappy Only Finals Rich</v>
      </c>
    </row>
    <row r="15273" spans="1:5" ht="15" customHeight="1" x14ac:dyDescent="0.2">
      <c r="A15273" s="1" t="s">
        <v>30109</v>
      </c>
      <c r="B15273" s="1">
        <v>0</v>
      </c>
      <c r="C15273" s="3">
        <v>44523.900995370372</v>
      </c>
      <c r="D15273" s="1" t="s">
        <v>30110</v>
      </c>
      <c r="E15273" s="1" t="str">
        <f ca="1">IFERROR(__xludf.DUMMYFUNCTION("GOOGLETRANSLATE(A12072 , ""tr"" , ""en"")"),"@drfahrettinka https://t.co/GTIBKUPBSU")</f>
        <v>@drfahrettinka https://t.co/GTIBKUPBSU</v>
      </c>
    </row>
    <row r="15274" spans="1:5" ht="15" customHeight="1" x14ac:dyDescent="0.2">
      <c r="A15274" s="1" t="s">
        <v>30111</v>
      </c>
      <c r="B15274" s="1">
        <v>11</v>
      </c>
      <c r="C15274" s="3">
        <v>44523.900983796295</v>
      </c>
      <c r="D15274" s="1" t="s">
        <v>30112</v>
      </c>
      <c r="E15274" s="1" t="str">
        <f ca="1">IFERROR(__xludf.DUMMYFUNCTION("GOOGLETRANSLATE(A12073 , ""tr"" , ""en"")"),"@drfahrettinkoca Give millions of antidepressant order facing.")</f>
        <v>@drfahrettinkoca Give millions of antidepressant order facing.</v>
      </c>
    </row>
    <row r="15275" spans="1:5" ht="15" customHeight="1" x14ac:dyDescent="0.2">
      <c r="A15275" s="1" t="s">
        <v>30113</v>
      </c>
      <c r="B15275" s="1">
        <v>1</v>
      </c>
      <c r="C15275" s="3">
        <v>44523.900972222225</v>
      </c>
      <c r="D15275" s="1" t="s">
        <v>30114</v>
      </c>
      <c r="E15275" s="1" t="str">
        <f ca="1">IFERROR(__xludf.DUMMYFUNCTION("GOOGLETRANSLATE(A12074 , ""tr"" , ""en"")"),"@drfahrettinkoca innalillahi and innaileyhi raciun")</f>
        <v>@drfahrettinkoca innalillahi and innaileyhi raciun</v>
      </c>
    </row>
    <row r="15276" spans="1:5" ht="15" customHeight="1" x14ac:dyDescent="0.2">
      <c r="A15276" s="1" t="s">
        <v>30115</v>
      </c>
      <c r="B15276" s="1">
        <v>0</v>
      </c>
      <c r="C15276" s="3">
        <v>44523.899930555555</v>
      </c>
      <c r="D15276" s="1" t="s">
        <v>30116</v>
      </c>
      <c r="E15276" s="1" t="str">
        <f ca="1">IFERROR(__xludf.DUMMYFUNCTION("GOOGLETRANSLATE(A12075 , ""tr"" , ""en"")"),"@drfahrettinkoca Allah mercy. May the homeland be right")</f>
        <v>@drfahrettinkoca Allah mercy. May the homeland be right</v>
      </c>
    </row>
    <row r="15277" spans="1:5" ht="15" customHeight="1" x14ac:dyDescent="0.2">
      <c r="A15277" s="1" t="s">
        <v>30117</v>
      </c>
      <c r="B15277" s="1">
        <v>0</v>
      </c>
      <c r="C15277" s="3">
        <v>44523.899537037039</v>
      </c>
      <c r="D15277" s="1" t="s">
        <v>30118</v>
      </c>
      <c r="E15277" s="1" t="str">
        <f ca="1">IFERROR(__xludf.DUMMYFUNCTION("GOOGLETRANSLATE(A12076 , ""tr"" , ""en"")"),"@drfahrettinkoca What's his job in another country?")</f>
        <v>@drfahrettinkoca What's his job in another country?</v>
      </c>
    </row>
    <row r="15278" spans="1:5" ht="15" customHeight="1" x14ac:dyDescent="0.2">
      <c r="A15278" s="1" t="s">
        <v>30119</v>
      </c>
      <c r="B15278" s="1">
        <v>1</v>
      </c>
      <c r="C15278" s="3">
        <v>44523.899375000001</v>
      </c>
      <c r="D15278" s="1" t="s">
        <v>30120</v>
      </c>
      <c r="E15278" s="1" t="str">
        <f ca="1">IFERROR(__xludf.DUMMYFUNCTION("GOOGLETRANSLATE(A12077 , ""tr"" , ""en"")"),"@drfahrettinkoca labbim bless all our soldiers")</f>
        <v>@drfahrettinkoca labbim bless all our soldiers</v>
      </c>
    </row>
    <row r="15279" spans="1:5" ht="15" customHeight="1" x14ac:dyDescent="0.2">
      <c r="A15279" s="1" t="s">
        <v>30115</v>
      </c>
      <c r="B15279" s="1">
        <v>1</v>
      </c>
      <c r="C15279" s="3">
        <v>44523.899317129632</v>
      </c>
      <c r="D15279" s="1" t="s">
        <v>30121</v>
      </c>
      <c r="E15279" s="1" t="str">
        <f ca="1">IFERROR(__xludf.DUMMYFUNCTION("GOOGLETRANSLATE(A12078 , ""tr"" , ""en"")"),"@drfahrettinkoca Allah mercy. May the homeland be right")</f>
        <v>@drfahrettinkoca Allah mercy. May the homeland be right</v>
      </c>
    </row>
    <row r="15280" spans="1:5" ht="15" customHeight="1" x14ac:dyDescent="0.2">
      <c r="A15280" s="1" t="s">
        <v>30122</v>
      </c>
      <c r="B15280" s="1">
        <v>0</v>
      </c>
      <c r="C15280" s="3">
        <v>44523.898935185185</v>
      </c>
      <c r="D15280" s="1" t="s">
        <v>30123</v>
      </c>
      <c r="E15280" s="1" t="str">
        <f ca="1">IFERROR(__xludf.DUMMYFUNCTION("GOOGLETRANSLATE(A12079 , ""tr"" , ""en"")"),"@drfahrettinkoca ALLA ALLAH GIRLLY SELECTIVE FAMILY DOWNLY BELLAME 😔")</f>
        <v>@drfahrettinkoca ALLA ALLAH GIRLLY SELECTIVE FAMILY DOWNLY BELLAME 😔</v>
      </c>
    </row>
    <row r="15281" spans="1:5" ht="15" customHeight="1" x14ac:dyDescent="0.2">
      <c r="A15281" s="1" t="s">
        <v>30124</v>
      </c>
      <c r="B15281" s="1">
        <v>0</v>
      </c>
      <c r="C15281" s="3">
        <v>44523.898842592593</v>
      </c>
      <c r="D15281" s="1" t="s">
        <v>30125</v>
      </c>
      <c r="E15281" s="1" t="str">
        <f ca="1">IFERROR(__xludf.DUMMYFUNCTION("GOOGLETRANSLATE(A12080 , ""tr"" , ""en"")"),"@drfahrettinkoca Allah mercy.")</f>
        <v>@drfahrettinkoca Allah mercy.</v>
      </c>
    </row>
    <row r="15282" spans="1:5" ht="15" customHeight="1" x14ac:dyDescent="0.2">
      <c r="A15282" s="1" t="s">
        <v>7148</v>
      </c>
      <c r="B15282" s="1">
        <v>0</v>
      </c>
      <c r="C15282" s="3">
        <v>44523.898564814815</v>
      </c>
      <c r="D15282" s="1" t="s">
        <v>30126</v>
      </c>
      <c r="E15282" s="1" t="str">
        <f ca="1">IFERROR(__xludf.DUMMYFUNCTION("GOOGLETRANSLATE(A12081 , ""tr"" , ""en"")"),"@drfahrettinkoca is ok")</f>
        <v>@drfahrettinkoca is ok</v>
      </c>
    </row>
    <row r="15283" spans="1:5" ht="15" customHeight="1" x14ac:dyDescent="0.2">
      <c r="A15283" s="1" t="s">
        <v>30127</v>
      </c>
      <c r="B15283" s="1">
        <v>0</v>
      </c>
      <c r="C15283" s="3">
        <v>44523.898263888892</v>
      </c>
      <c r="D15283" s="1" t="s">
        <v>30128</v>
      </c>
      <c r="E15283" s="1" t="str">
        <f ca="1">IFERROR(__xludf.DUMMYFUNCTION("GOOGLETRANSLATE(A12082 , ""tr"" , ""en"")"),"@drfahrettinka online education")</f>
        <v>@drfahrettinka online education</v>
      </c>
    </row>
    <row r="15284" spans="1:5" ht="15" customHeight="1" x14ac:dyDescent="0.2">
      <c r="A15284" s="1" t="s">
        <v>30129</v>
      </c>
      <c r="B15284" s="1">
        <v>1</v>
      </c>
      <c r="C15284" s="3">
        <v>44524.992303240739</v>
      </c>
      <c r="D15284" s="1" t="s">
        <v>30130</v>
      </c>
      <c r="E15284" s="1" t="str">
        <f ca="1">IFERROR(__xludf.DUMMYFUNCTION("GOOGLETRANSLATE(A12083 , ""tr"" , ""en"")"),"@drfahrettinkoca you are steady that you are committed to the actual you have made the violence that you have exceeded the nation as crazy ... https://t.co/fttvoefs7y")</f>
        <v>@drfahrettinkoca you are steady that you are committed to the actual you have made the violence that you have exceeded the nation as crazy ... https://t.co/fttvoefs7y</v>
      </c>
    </row>
    <row r="15285" spans="1:5" ht="15" customHeight="1" x14ac:dyDescent="0.2">
      <c r="A15285" s="1" t="s">
        <v>30131</v>
      </c>
      <c r="B15285" s="1">
        <v>0</v>
      </c>
      <c r="C15285" s="3">
        <v>44524.948587962965</v>
      </c>
      <c r="D15285" s="1" t="s">
        <v>30132</v>
      </c>
      <c r="E15285" s="1" t="str">
        <f ca="1">IFERROR(__xludf.DUMMYFUNCTION("GOOGLETRANSLATE(A12084 , ""tr"" , ""en"")"),"@drfahrettinkoca you are behind when you are the official in question but you're opposite.")</f>
        <v>@drfahrettinkoca you are behind when you are the official in question but you're opposite.</v>
      </c>
    </row>
    <row r="15286" spans="1:5" ht="15" customHeight="1" x14ac:dyDescent="0.2">
      <c r="A15286" s="1" t="s">
        <v>30133</v>
      </c>
      <c r="B15286" s="1">
        <v>0</v>
      </c>
      <c r="C15286" s="3">
        <v>44524.947592592594</v>
      </c>
      <c r="D15286" s="1" t="s">
        <v>30134</v>
      </c>
      <c r="E15286" s="1" t="str">
        <f ca="1">IFERROR(__xludf.DUMMYFUNCTION("GOOGLETRANSLATE(A12085 , ""tr"" , ""en"")"),"@drfahrettinka moon come on")</f>
        <v>@drfahrettinka moon come on</v>
      </c>
    </row>
    <row r="15287" spans="1:5" ht="15" customHeight="1" x14ac:dyDescent="0.2">
      <c r="A15287" s="1" t="s">
        <v>30135</v>
      </c>
      <c r="B15287" s="1">
        <v>2</v>
      </c>
      <c r="C15287" s="3">
        <v>44524.903692129628</v>
      </c>
      <c r="D15287" s="1" t="s">
        <v>30136</v>
      </c>
      <c r="E15287" s="1" t="str">
        <f ca="1">IFERROR(__xludf.DUMMYFUNCTION("GOOGLETRANSLATE(A12086 , ""tr"" , ""en"")"),"@drfahrettinkoca you don't need to penalize you because of the cruelty that you do indirectly to people?")</f>
        <v>@drfahrettinkoca you don't need to penalize you because of the cruelty that you do indirectly to people?</v>
      </c>
    </row>
    <row r="15288" spans="1:5" ht="15" customHeight="1" x14ac:dyDescent="0.2">
      <c r="A15288" s="1" t="s">
        <v>30137</v>
      </c>
      <c r="B15288" s="1">
        <v>4</v>
      </c>
      <c r="C15288" s="3">
        <v>44524.898402777777</v>
      </c>
      <c r="D15288" s="1" t="s">
        <v>30138</v>
      </c>
      <c r="E15288" s="1" t="str">
        <f ca="1">IFERROR(__xludf.DUMMYFUNCTION("GOOGLETRANSLATE(A12087 , ""tr"" , ""en"")"),"@drfahrettinkoca Turkey Republic of the Republic of Turkey to believe in the State of Justice, Viranşehir from his duty ... https://t.co/nr1tdixjf7")</f>
        <v>@drfahrettinkoca Turkey Republic of the Republic of Turkey to believe in the State of Justice, Viranşehir from his duty ... https://t.co/nr1tdixjf7</v>
      </c>
    </row>
    <row r="15289" spans="1:5" ht="15" customHeight="1" x14ac:dyDescent="0.2">
      <c r="A15289" s="1" t="s">
        <v>30139</v>
      </c>
      <c r="B15289" s="1">
        <v>1</v>
      </c>
      <c r="C15289" s="3">
        <v>44524.895613425928</v>
      </c>
      <c r="D15289" s="1" t="s">
        <v>30140</v>
      </c>
      <c r="E15289" s="1" t="str">
        <f ca="1">IFERROR(__xludf.DUMMYFUNCTION("GOOGLETRANSLATE(A12088 , ""tr"" , ""en"")"),"@drfahrettinkoca I don't understand and you don't understand both of you Saglikcilari Koriz Koriz Korem ... HTTPS://T.CO/86ELTWVGGI")</f>
        <v>@drfahrettinkoca I don't understand and you don't understand both of you Saglikcilari Koriz Koriz Korem ... HTTPS://T.CO/86ELTWVGGI</v>
      </c>
    </row>
    <row r="15290" spans="1:5" ht="15" customHeight="1" x14ac:dyDescent="0.2">
      <c r="A15290" s="1" t="s">
        <v>30141</v>
      </c>
      <c r="B15290" s="1">
        <v>6</v>
      </c>
      <c r="C15290" s="3">
        <v>44524.893761574072</v>
      </c>
      <c r="D15290" s="1" t="s">
        <v>30142</v>
      </c>
      <c r="E15290" s="1" t="str">
        <f ca="1">IFERROR(__xludf.DUMMYFUNCTION("GOOGLETRANSLATE(A12089 , ""tr"" , ""en"")"),"@drfahrettinkoca Justice When you came up to your business or as you want as many Justice Planemia era ... https://t.co/ehiqd1a70n")</f>
        <v>@drfahrettinkoca Justice When you came up to your business or as you want as many Justice Planemia era ... https://t.co/ehiqd1a70n</v>
      </c>
    </row>
    <row r="15291" spans="1:5" ht="15" customHeight="1" x14ac:dyDescent="0.2">
      <c r="A15291" s="1" t="s">
        <v>30143</v>
      </c>
      <c r="B15291" s="1">
        <v>0</v>
      </c>
      <c r="C15291" s="3">
        <v>44524.890868055554</v>
      </c>
      <c r="D15291" s="1" t="s">
        <v>30144</v>
      </c>
      <c r="E15291" s="1" t="str">
        <f ca="1">IFERROR(__xludf.DUMMYFUNCTION("GOOGLETRANSLATE(A12090 , ""tr"" , ""en"")"),"@drfahrettinka These are the Board of yours. Stop the SAZ, wherein the minister is https://t.co/VASCIH5II8")</f>
        <v>@drfahrettinka These are the Board of yours. Stop the SAZ, wherein the minister is https://t.co/VASCIH5II8</v>
      </c>
    </row>
    <row r="15292" spans="1:5" ht="15" customHeight="1" x14ac:dyDescent="0.2">
      <c r="A15292" s="1" t="s">
        <v>30145</v>
      </c>
      <c r="B15292" s="1">
        <v>0</v>
      </c>
      <c r="C15292" s="3">
        <v>44523.991446759261</v>
      </c>
      <c r="D15292" s="1" t="s">
        <v>30146</v>
      </c>
      <c r="E15292" s="1" t="str">
        <f ca="1">IFERROR(__xludf.DUMMYFUNCTION("GOOGLETRANSLATE(A12091 , ""tr"" , ""en"")"),"@drfahrettinkoca is soon to remain a doctor in the hometown.")</f>
        <v>@drfahrettinkoca is soon to remain a doctor in the hometown.</v>
      </c>
    </row>
    <row r="15293" spans="1:5" ht="15" customHeight="1" x14ac:dyDescent="0.2">
      <c r="A15293" s="1" t="s">
        <v>30147</v>
      </c>
      <c r="B15293" s="1">
        <v>0</v>
      </c>
      <c r="C15293" s="3">
        <v>44523.971180555556</v>
      </c>
      <c r="D15293" s="1" t="s">
        <v>30148</v>
      </c>
      <c r="E15293" s="1" t="str">
        <f ca="1">IFERROR(__xludf.DUMMYFUNCTION("GOOGLETRANSLATE(A12092 , ""tr"" , ""en"")"),"@drfahrettinkoca HP Asking Not Already this guy NEDN SALDDI What is going on Zvana CKTI What is going on this Hospital appointment SST ... https://t.co/tu3ohxvrqr")</f>
        <v>@drfahrettinkoca HP Asking Not Already this guy NEDN SALDDI What is going on Zvana CKTI What is going on this Hospital appointment SST ... https://t.co/tu3ohxvrqr</v>
      </c>
    </row>
    <row r="15294" spans="1:5" ht="15" customHeight="1" x14ac:dyDescent="0.2">
      <c r="A15294" s="1" t="s">
        <v>30149</v>
      </c>
      <c r="B15294" s="1">
        <v>37</v>
      </c>
      <c r="C15294" s="3">
        <v>44523.9690162037</v>
      </c>
      <c r="D15294" s="1" t="s">
        <v>30150</v>
      </c>
      <c r="E15294" s="1" t="str">
        <f ca="1">IFERROR(__xludf.DUMMYFUNCTION("GOOGLETRANSLATE(A12093 , ""tr"" , ""en"")"),"@drfahrettinkoca ""Sidnateness"" to babies you haven't left the cube on those who hit Covid Print? Sidnight treatment and ... https://t.co/kdv2r41asq")</f>
        <v>@drfahrettinkoca "Sidnateness" to babies you haven't left the cube on those who hit Covid Print? Sidnight treatment and ... https://t.co/kdv2r41asq</v>
      </c>
    </row>
    <row r="15295" spans="1:5" ht="15" customHeight="1" x14ac:dyDescent="0.2">
      <c r="A15295" s="1" t="s">
        <v>30151</v>
      </c>
      <c r="B15295" s="1">
        <v>1</v>
      </c>
      <c r="C15295" s="3">
        <v>44523.96769675926</v>
      </c>
      <c r="D15295" s="1" t="s">
        <v>30152</v>
      </c>
      <c r="E15295" s="1" t="str">
        <f ca="1">IFERROR(__xludf.DUMMYFUNCTION("GOOGLETRANSLATE(A12094 , ""tr"" , ""en"")"),"@drfahrettinkoca Teske Teske Talking out of the top of the Dr. The Dress Suspecting Drugs at the Examination of Dr People ... https://t.co/zmiıkajgbp")</f>
        <v>@drfahrettinkoca Teske Teske Talking out of the top of the Dr. The Dress Suspecting Drugs at the Examination of Dr People ... https://t.co/zmiıkajgbp</v>
      </c>
    </row>
    <row r="15296" spans="1:5" ht="15" customHeight="1" x14ac:dyDescent="0.2">
      <c r="A15296" s="1" t="s">
        <v>30153</v>
      </c>
      <c r="B15296" s="1">
        <v>2</v>
      </c>
      <c r="C15296" s="3">
        <v>44523.938946759263</v>
      </c>
      <c r="D15296" s="1" t="s">
        <v>30154</v>
      </c>
      <c r="E15296" s="1" t="str">
        <f ca="1">IFERROR(__xludf.DUMMYFUNCTION("GOOGLETRANSLATE(A12095 , ""tr"" , ""en"")"),"@drfahrettinkoca Disabled Health People Want to be Provided for 4 years Nadirara / 4nmdcovwsh")</f>
        <v>@drfahrettinkoca Disabled Health People Want to be Provided for 4 years Nadirara / 4nmdcovwsh</v>
      </c>
    </row>
    <row r="15297" spans="1:5" ht="15" customHeight="1" x14ac:dyDescent="0.2">
      <c r="A15297" s="1" t="s">
        <v>30155</v>
      </c>
      <c r="B15297" s="1">
        <v>0</v>
      </c>
      <c r="C15297" s="3">
        <v>44523.930092592593</v>
      </c>
      <c r="D15297" s="1" t="s">
        <v>30156</v>
      </c>
      <c r="E15297" s="1" t="str">
        <f ca="1">IFERROR(__xludf.DUMMYFUNCTION("GOOGLETRANSLATE(A12096 , ""tr"" , ""en"")"),"@drfahrettinkoca Minister State Hospitals are not very preferred because people are human treated and respect Https://t.co/um2dkflk3I")</f>
        <v>@drfahrettinkoca Minister State Hospitals are not very preferred because people are human treated and respect Https://t.co/um2dkflk3I</v>
      </c>
    </row>
    <row r="15298" spans="1:5" ht="15" customHeight="1" x14ac:dyDescent="0.2">
      <c r="A15298" s="1" t="s">
        <v>30157</v>
      </c>
      <c r="B15298" s="1">
        <v>0</v>
      </c>
      <c r="C15298" s="3">
        <v>44523.927268518521</v>
      </c>
      <c r="D15298" s="1" t="s">
        <v>30158</v>
      </c>
      <c r="E15298" s="1" t="str">
        <f ca="1">IFERROR(__xludf.DUMMYFUNCTION("GOOGLETRANSLATE(A12097 , ""tr"" , ""en"")"),"@drfahrettinkoca 1 night just go to any 1 night state hospital go to the emergency bi See nationality neasil deliriy ... https://t.co/2BVQRTQPIF")</f>
        <v>@drfahrettinkoca 1 night just go to any 1 night state hospital go to the emergency bi See nationality neasil deliriy ... https://t.co/2BVQRTQPIF</v>
      </c>
    </row>
    <row r="15299" spans="1:5" ht="15" customHeight="1" x14ac:dyDescent="0.2">
      <c r="A15299" s="1" t="s">
        <v>30159</v>
      </c>
      <c r="B15299" s="1">
        <v>4</v>
      </c>
      <c r="C15299" s="3">
        <v>44523.920555555553</v>
      </c>
      <c r="D15299" s="1" t="s">
        <v>30160</v>
      </c>
      <c r="E15299" s="1" t="str">
        <f ca="1">IFERROR(__xludf.DUMMYFUNCTION("GOOGLETRANSLATE(A12098 , ""tr"" , ""en"")"),"@drfahrettinkoca Nazis Even this is a war crime that did not woven the healthpieces of the opposite party in World War 2 ... https://t.co/zbpexcf1k6")</f>
        <v>@drfahrettinkoca Nazis Even this is a war crime that did not woven the healthpieces of the opposite party in World War 2 ... https://t.co/zbpexcf1k6</v>
      </c>
    </row>
    <row r="15300" spans="1:5" ht="15" customHeight="1" x14ac:dyDescent="0.2">
      <c r="A15300" s="1" t="s">
        <v>30161</v>
      </c>
      <c r="B15300" s="1">
        <v>1</v>
      </c>
      <c r="C15300" s="3">
        <v>44523.914039351854</v>
      </c>
      <c r="D15300" s="1" t="s">
        <v>30162</v>
      </c>
      <c r="E15300" s="1" t="str">
        <f ca="1">IFERROR(__xludf.DUMMYFUNCTION("GOOGLETRANSLATE(A12099 , ""tr"" , ""en"")"),"@drfahrettinkoca my understanding is why the prosecutor of the state doesn't want that images before you release this friend? Illa A ... https://t.co/ff7pnqlthc")</f>
        <v>@drfahrettinkoca my understanding is why the prosecutor of the state doesn't want that images before you release this friend? Illa A ... https://t.co/ff7pnqlthc</v>
      </c>
    </row>
    <row r="15301" spans="1:5" ht="15" customHeight="1" x14ac:dyDescent="0.2">
      <c r="A15301" s="1" t="s">
        <v>30163</v>
      </c>
      <c r="B15301" s="1">
        <v>0</v>
      </c>
      <c r="C15301" s="3">
        <v>44523.911585648151</v>
      </c>
      <c r="D15301" s="1" t="s">
        <v>30164</v>
      </c>
      <c r="E15301" s="1" t="str">
        <f ca="1">IFERROR(__xludf.DUMMYFUNCTION("GOOGLETRANSLATE(A12100 , ""tr"" , ""en"")"),"@drfahrettinkoca assignment is looking forward to anymore")</f>
        <v>@drfahrettinkoca assignment is looking forward to anymore</v>
      </c>
    </row>
    <row r="15302" spans="1:5" ht="15" customHeight="1" x14ac:dyDescent="0.2">
      <c r="A15302" s="1" t="s">
        <v>30165</v>
      </c>
      <c r="B15302" s="1">
        <v>1</v>
      </c>
      <c r="C15302" s="3">
        <v>44523.910902777781</v>
      </c>
      <c r="D15302" s="1" t="s">
        <v>30166</v>
      </c>
      <c r="E15302" s="1" t="str">
        <f ca="1">IFERROR(__xludf.DUMMYFUNCTION("GOOGLETRANSLATE(A12101 , ""tr"" , ""en"")"),"@drfahrettinkoca Show your effort before you make your effort 30 thousand 40 thousand do you maintain the healther !!")</f>
        <v>@drfahrettinkoca Show your effort before you make your effort 30 thousand 40 thousand do you maintain the healther !!</v>
      </c>
    </row>
    <row r="15303" spans="1:5" ht="15" customHeight="1" x14ac:dyDescent="0.2">
      <c r="A15303" s="1" t="s">
        <v>30167</v>
      </c>
      <c r="B15303" s="1">
        <v>0</v>
      </c>
      <c r="C15303" s="3">
        <v>44523.907835648148</v>
      </c>
      <c r="D15303" s="1" t="s">
        <v>30168</v>
      </c>
      <c r="E15303" s="1" t="str">
        <f ca="1">IFERROR(__xludf.DUMMYFUNCTION("GOOGLETRANSLATE(A12102 , ""tr"" , ""en"")"),"@drfahrettinkoca If you went to that hospital you will be treated with the employees that are even treated ..")</f>
        <v>@drfahrettinkoca If you went to that hospital you will be treated with the employees that are even treated ..</v>
      </c>
    </row>
    <row r="15304" spans="1:5" ht="15" customHeight="1" x14ac:dyDescent="0.2">
      <c r="A15304" s="1" t="s">
        <v>30169</v>
      </c>
      <c r="B15304" s="1">
        <v>0</v>
      </c>
      <c r="C15304" s="3">
        <v>44523.907789351855</v>
      </c>
      <c r="D15304" s="1" t="s">
        <v>30170</v>
      </c>
      <c r="E15304" s="1" t="str">
        <f ca="1">IFERROR(__xludf.DUMMYFUNCTION("GOOGLETRANSLATE(A12103 , ""tr"" , ""en"")"),"@drfahrettinka https://t.co/xpyfi3xrr2")</f>
        <v>@drfahrettinka https://t.co/xpyfi3xrr2</v>
      </c>
    </row>
    <row r="15305" spans="1:5" ht="15" customHeight="1" x14ac:dyDescent="0.2">
      <c r="A15305" s="1" t="s">
        <v>30171</v>
      </c>
      <c r="B15305" s="1">
        <v>0</v>
      </c>
      <c r="C15305" s="3">
        <v>44523.902962962966</v>
      </c>
      <c r="D15305" s="1" t="s">
        <v>30172</v>
      </c>
      <c r="E15305" s="1" t="str">
        <f ca="1">IFERROR(__xludf.DUMMYFUNCTION("GOOGLETRANSLATE(A12104 , ""tr"" , ""en"")"),"@drfahrettinkoca what you have made the country that you have left the law only you have your laws as your business comes to your business ... https://t.co/kqiostuwbq")</f>
        <v>@drfahrettinkoca what you have made the country that you have left the law only you have your laws as your business comes to your business ... https://t.co/kqiostuwbq</v>
      </c>
    </row>
    <row r="15306" spans="1:5" ht="15" customHeight="1" x14ac:dyDescent="0.2">
      <c r="A15306" s="1" t="s">
        <v>30173</v>
      </c>
      <c r="B15306" s="1">
        <v>0</v>
      </c>
      <c r="C15306" s="3">
        <v>44523.902604166666</v>
      </c>
      <c r="D15306" s="1" t="s">
        <v>30174</v>
      </c>
      <c r="E15306" s="1" t="str">
        <f ca="1">IFERROR(__xludf.DUMMYFUNCTION("GOOGLETRANSLATE(A12105 , ""tr"" , ""en"")"),"@drfahrettinkoca pity 36 hours of seizure to doctors on the top of the serenity on top of why you don't bisey?")</f>
        <v>@drfahrettinkoca pity 36 hours of seizure to doctors on the top of the serenity on top of why you don't bisey?</v>
      </c>
    </row>
    <row r="15307" spans="1:5" ht="15" customHeight="1" x14ac:dyDescent="0.2">
      <c r="A15307" s="1" t="s">
        <v>30175</v>
      </c>
      <c r="B15307" s="1">
        <v>0</v>
      </c>
      <c r="C15307" s="3">
        <v>44523.894884259258</v>
      </c>
      <c r="D15307" s="1" t="s">
        <v>30176</v>
      </c>
      <c r="E15307" s="1" t="str">
        <f ca="1">IFERROR(__xludf.DUMMYFUNCTION("GOOGLETRANSLATE(A12106 , ""tr"" , ""en"")"),"@drfahrettinkoca sn.koca; Army province and approximate Nufus 750/800 thousand people live all these people's kidneys ... https://t.co/9zzg9ocaqh")</f>
        <v>@drfahrettinkoca sn.koca; Army province and approximate Nufus 750/800 thousand people live all these people's kidneys ... https://t.co/9zzg9ocaqh</v>
      </c>
    </row>
    <row r="15308" spans="1:5" ht="15" customHeight="1" x14ac:dyDescent="0.2">
      <c r="A15308" s="1" t="s">
        <v>30177</v>
      </c>
      <c r="B15308" s="1">
        <v>1</v>
      </c>
      <c r="C15308" s="3">
        <v>44523.894537037035</v>
      </c>
      <c r="D15308" s="1" t="s">
        <v>30178</v>
      </c>
      <c r="E15308" s="1" t="str">
        <f ca="1">IFERROR(__xludf.DUMMYFUNCTION("GOOGLETRANSLATE(A12107 , ""tr"" , ""en"")"),"@drfahrettinkoca I hope you can't leave badly treating patients, and you cannot keep in the pursuit of infraulic healthpieces .6 Months Front ... https://t.co/nhmrs3bura")</f>
        <v>@drfahrettinkoca I hope you can't leave badly treating patients, and you cannot keep in the pursuit of infraulic healthpieces .6 Months Front ... https://t.co/nhmrs3bura</v>
      </c>
    </row>
    <row r="15309" spans="1:5" ht="15" customHeight="1" x14ac:dyDescent="0.2">
      <c r="A15309" s="1" t="s">
        <v>30179</v>
      </c>
      <c r="B15309" s="1">
        <v>1</v>
      </c>
      <c r="C15309" s="3">
        <v>44523.892604166664</v>
      </c>
      <c r="D15309" s="1" t="s">
        <v>30180</v>
      </c>
      <c r="E15309" s="1" t="str">
        <f ca="1">IFERROR(__xludf.DUMMYFUNCTION("GOOGLETRANSLATE(A12108 , ""tr"" , ""en"")"),"@drfahrettinka https://t.co/wh2dcicvjc 16")</f>
        <v>@drfahrettinka https://t.co/wh2dcicvjc 16</v>
      </c>
    </row>
    <row r="15310" spans="1:5" ht="15" customHeight="1" x14ac:dyDescent="0.2">
      <c r="A15310" s="1" t="s">
        <v>30181</v>
      </c>
      <c r="B15310" s="1">
        <v>0</v>
      </c>
      <c r="C15310" s="3">
        <v>44523.892141203702</v>
      </c>
      <c r="D15310" s="1" t="s">
        <v>30182</v>
      </c>
      <c r="E15310" s="1" t="str">
        <f ca="1">IFERROR(__xludf.DUMMYFUNCTION("GOOGLETRANSLATE(A12109 , ""tr"" , ""en"")"),"@drfahrettinka Mr. Minister Some of our doctors are sick and patient near the pishatholic violence ... https://t.co/bpcz6vm3yw")</f>
        <v>@drfahrettinka Mr. Minister Some of our doctors are sick and patient near the pishatholic violence ... https://t.co/bpcz6vm3yw</v>
      </c>
    </row>
    <row r="15311" spans="1:5" ht="15" customHeight="1" x14ac:dyDescent="0.2">
      <c r="A15311" s="1" t="s">
        <v>30183</v>
      </c>
      <c r="B15311" s="1">
        <v>1</v>
      </c>
      <c r="C15311" s="3">
        <v>44523.891979166663</v>
      </c>
      <c r="D15311" s="1" t="s">
        <v>30184</v>
      </c>
      <c r="E15311" s="1" t="str">
        <f ca="1">IFERROR(__xludf.DUMMYFUNCTION("GOOGLETRANSLATE(A12110 , ""tr"" , ""en"")"),"@drfahrettinkoca What about the violence that you apply? Mr. Baka: Https://t.co/egrblgi9as")</f>
        <v>@drfahrettinkoca What about the violence that you apply? Mr. Baka: Https://t.co/egrblgi9as</v>
      </c>
    </row>
    <row r="15312" spans="1:5" ht="15" customHeight="1" x14ac:dyDescent="0.2">
      <c r="A15312" s="1" t="s">
        <v>30185</v>
      </c>
      <c r="B15312" s="1">
        <v>5</v>
      </c>
      <c r="C15312" s="3">
        <v>44523.891435185185</v>
      </c>
      <c r="D15312" s="1" t="s">
        <v>30186</v>
      </c>
      <c r="E15312" s="1" t="str">
        <f ca="1">IFERROR(__xludf.DUMMYFUNCTION("GOOGLETRANSLATE(A12111 , ""tr"" , ""en"")"),"@drfahrettinkoca DOLLARS 13 TL Close the School Nations Unable to help ... # VeLililileronlineline # VeLilerDişilionlionlılılılmek")</f>
        <v>@drfahrettinkoca DOLLARS 13 TL Close the School Nations Unable to help ... # VeLililileronlineline # VeLilerDişilionlionlılılılmek</v>
      </c>
    </row>
    <row r="15313" spans="1:5" ht="15" customHeight="1" x14ac:dyDescent="0.2">
      <c r="A15313" s="1" t="s">
        <v>30187</v>
      </c>
      <c r="B15313" s="1">
        <v>1</v>
      </c>
      <c r="C15313" s="3">
        <v>44523.888958333337</v>
      </c>
      <c r="D15313" s="1" t="s">
        <v>30188</v>
      </c>
      <c r="E15313" s="1" t="str">
        <f ca="1">IFERROR(__xludf.DUMMYFUNCTION("GOOGLETRANSLATE(A12112 , ""tr"" , ""en"")"),"@drfahrettinkoca is the biggest violence genocide You do ðain")</f>
        <v>@drfahrettinkoca is the biggest violence genocide You do ðain</v>
      </c>
    </row>
    <row r="15314" spans="1:5" ht="15" customHeight="1" x14ac:dyDescent="0.2">
      <c r="A15314" s="1" t="s">
        <v>30189</v>
      </c>
      <c r="B15314" s="1">
        <v>5</v>
      </c>
      <c r="C15314" s="3">
        <v>44523.887395833335</v>
      </c>
      <c r="D15314" s="1" t="s">
        <v>30190</v>
      </c>
      <c r="E15314" s="1" t="str">
        <f ca="1">IFERROR(__xludf.DUMMYFUNCTION("GOOGLETRANSLATE(A12113 , ""tr"" , ""en"")"),"Getting precautions before @drfahrettinkoca is also the decision on the hospital inputs to be placed in X ray devices ... https://t.co/abl7bpgndm")</f>
        <v>Getting precautions before @drfahrettinkoca is also the decision on the hospital inputs to be placed in X ray devices ... https://t.co/abl7bpgndm</v>
      </c>
    </row>
    <row r="15315" spans="1:5" ht="15" customHeight="1" x14ac:dyDescent="0.2">
      <c r="A15315" s="1" t="s">
        <v>30191</v>
      </c>
      <c r="B15315" s="1">
        <v>0</v>
      </c>
      <c r="C15315" s="3">
        <v>44523.886400462965</v>
      </c>
      <c r="D15315" s="1" t="s">
        <v>30192</v>
      </c>
      <c r="E15315" s="1" t="str">
        <f ca="1">IFERROR(__xludf.DUMMYFUNCTION("GOOGLETRANSLATE(A12114 , ""tr"" , ""en"")"),"@drfahrettinkoca mammage Sinked Halendaha What do you do")</f>
        <v>@drfahrettinkoca mammage Sinked Halendaha What do you do</v>
      </c>
    </row>
    <row r="15316" spans="1:5" ht="15" customHeight="1" x14ac:dyDescent="0.2">
      <c r="A15316" s="1" t="s">
        <v>30193</v>
      </c>
      <c r="B15316" s="1">
        <v>0</v>
      </c>
      <c r="C15316" s="3">
        <v>44523.88517361111</v>
      </c>
      <c r="D15316" s="1" t="s">
        <v>30194</v>
      </c>
      <c r="E15316" s="1" t="str">
        <f ca="1">IFERROR(__xludf.DUMMYFUNCTION("GOOGLETRANSLATE(A12115 , ""tr"" , ""en"")"),"@drfahrettinkoca Mr. Minister Ankara Polatlust Attacked drug addict to the drug store, will you apply for prosecutors?")</f>
        <v>@drfahrettinkoca Mr. Minister Ankara Polatlust Attacked drug addict to the drug store, will you apply for prosecutors?</v>
      </c>
    </row>
    <row r="15317" spans="1:5" ht="15" customHeight="1" x14ac:dyDescent="0.2">
      <c r="A15317" s="1" t="s">
        <v>30195</v>
      </c>
      <c r="B15317" s="1">
        <v>0</v>
      </c>
      <c r="C15317" s="3">
        <v>44523.884421296294</v>
      </c>
      <c r="D15317" s="1" t="s">
        <v>30196</v>
      </c>
      <c r="E15317" s="1" t="str">
        <f ca="1">IFERROR(__xludf.DUMMYFUNCTION("GOOGLETRANSLATE(A12116 , ""tr"" , ""en"")"),"@drfahrettinkoca is committed to finally finally we will lift you out of that seat Appointments in state hospitals 3-4 months SO ... https://t.co/chb5mngwbg")</f>
        <v>@drfahrettinkoca is committed to finally finally we will lift you out of that seat Appointments in state hospitals 3-4 months SO ... https://t.co/chb5mngwbg</v>
      </c>
    </row>
    <row r="15318" spans="1:5" ht="15" customHeight="1" x14ac:dyDescent="0.2">
      <c r="A15318" s="1" t="s">
        <v>30197</v>
      </c>
      <c r="B15318" s="1">
        <v>0</v>
      </c>
      <c r="C15318" s="3">
        <v>44523.883113425924</v>
      </c>
      <c r="D15318" s="1" t="s">
        <v>30198</v>
      </c>
      <c r="E15318" s="1" t="str">
        <f ca="1">IFERROR(__xludf.DUMMYFUNCTION("GOOGLETRANSLATE(A12117 , ""tr"" , ""en"")"),"@drfahrettinkoca Our Eighten Minister We love you so much we look forward to joining your healthy army")</f>
        <v>@drfahrettinkoca Our Eighten Minister We love you so much we look forward to joining your healthy army</v>
      </c>
    </row>
    <row r="15319" spans="1:5" ht="15" customHeight="1" x14ac:dyDescent="0.2">
      <c r="A15319" s="1" t="s">
        <v>30199</v>
      </c>
      <c r="B15319" s="1">
        <v>0</v>
      </c>
      <c r="C15319" s="3">
        <v>44523.881435185183</v>
      </c>
      <c r="D15319" s="1" t="s">
        <v>30200</v>
      </c>
      <c r="E15319" s="1" t="str">
        <f ca="1">IFERROR(__xludf.DUMMYFUNCTION("GOOGLETRANSLATE(A12118 , ""tr"" , ""en"")"),"@drfahrettinkoca For 1 year Hear Gurun Say Mr. President")</f>
        <v>@drfahrettinkoca For 1 year Hear Gurun Say Mr. President</v>
      </c>
    </row>
    <row r="15320" spans="1:5" ht="15" customHeight="1" x14ac:dyDescent="0.2">
      <c r="A15320" s="1" t="s">
        <v>30201</v>
      </c>
      <c r="B15320" s="1">
        <v>13</v>
      </c>
      <c r="C15320" s="3">
        <v>44523.880173611113</v>
      </c>
      <c r="D15320" s="1" t="s">
        <v>30202</v>
      </c>
      <c r="E15320" s="1" t="str">
        <f ca="1">IFERROR(__xludf.DUMMYFUNCTION("GOOGLETRANSLATE(A12119 , ""tr"" , ""en"")"),"@drfahrettinka Mr. Health Minister A total of $ Billion dollars for vaccines in foreign exchange in foreign exchange ... https://t.co/3hqpuhwk6b")</f>
        <v>@drfahrettinka Mr. Health Minister A total of $ Billion dollars for vaccines in foreign exchange in foreign exchange ... https://t.co/3hqpuhwk6b</v>
      </c>
    </row>
    <row r="15321" spans="1:5" ht="15" customHeight="1" x14ac:dyDescent="0.2">
      <c r="A15321" s="1" t="s">
        <v>30203</v>
      </c>
      <c r="B15321" s="1">
        <v>37</v>
      </c>
      <c r="C15321" s="3">
        <v>44523.877488425926</v>
      </c>
      <c r="D15321" s="1" t="s">
        <v>30204</v>
      </c>
      <c r="E15321" s="1" t="str">
        <f ca="1">IFERROR(__xludf.DUMMYFUNCTION("GOOGLETRANSLATE(A12120 , ""tr"" , ""en"")"),"@drfahrettinkoca we quit bari https://t.co/kkuj6pgacp")</f>
        <v>@drfahrettinkoca we quit bari https://t.co/kkuj6pgacp</v>
      </c>
    </row>
    <row r="15322" spans="1:5" ht="15" customHeight="1" x14ac:dyDescent="0.2">
      <c r="A15322" s="1" t="s">
        <v>30205</v>
      </c>
      <c r="B15322" s="1">
        <v>69</v>
      </c>
      <c r="C15322" s="3">
        <v>44523.87736111111</v>
      </c>
      <c r="D15322" s="1" t="s">
        <v>30206</v>
      </c>
      <c r="E15322" s="1" t="str">
        <f ca="1">IFERROR(__xludf.DUMMYFUNCTION("GOOGLETRANSLATE(A12121 , ""tr"" , ""en"")"),"@drfahrettinka we resign my resignation https://t.co/w9789xias9")</f>
        <v>@drfahrettinka we resign my resignation https://t.co/w9789xias9</v>
      </c>
    </row>
    <row r="15323" spans="1:5" ht="15" customHeight="1" x14ac:dyDescent="0.2">
      <c r="A15323" s="1" t="s">
        <v>30207</v>
      </c>
      <c r="B15323" s="1">
        <v>0</v>
      </c>
      <c r="C15323" s="3">
        <v>44523.876400462963</v>
      </c>
      <c r="D15323" s="1" t="s">
        <v>30208</v>
      </c>
      <c r="E15323" s="1" t="str">
        <f ca="1">IFERROR(__xludf.DUMMYFUNCTION("GOOGLETRANSLATE(A12122 , ""tr"" , ""en"")"),"@drfahrettinka so why are you silent to doctors to psychological violence applied to nurses. Fee Topic Y ... https://t.co/nu2k2g7eph")</f>
        <v>@drfahrettinka so why are you silent to doctors to psychological violence applied to nurses. Fee Topic Y ... https://t.co/nu2k2g7eph</v>
      </c>
    </row>
    <row r="15324" spans="1:5" ht="15" customHeight="1" x14ac:dyDescent="0.2">
      <c r="A15324" s="1" t="s">
        <v>30209</v>
      </c>
      <c r="B15324" s="1">
        <v>0</v>
      </c>
      <c r="C15324" s="3">
        <v>44523.873749999999</v>
      </c>
      <c r="D15324" s="1" t="s">
        <v>30210</v>
      </c>
      <c r="E15324" s="1" t="str">
        <f ca="1">IFERROR(__xludf.DUMMYFUNCTION("GOOGLETRANSLATE(A12123 , ""tr"" , ""en"")"),"@drfahrettinkoca Fahrettin you are the head of the head of what")</f>
        <v>@drfahrettinkoca Fahrettin you are the head of the head of what</v>
      </c>
    </row>
    <row r="15325" spans="1:5" ht="15" customHeight="1" x14ac:dyDescent="0.2">
      <c r="A15325" s="1" t="s">
        <v>30211</v>
      </c>
      <c r="B15325" s="1">
        <v>0</v>
      </c>
      <c r="C15325" s="3">
        <v>44523.873217592591</v>
      </c>
      <c r="D15325" s="1" t="s">
        <v>30212</v>
      </c>
      <c r="E15325" s="1" t="str">
        <f ca="1">IFERROR(__xludf.DUMMYFUNCTION("GOOGLETRANSLATE(A12124 , ""tr"" , ""en"")"),"@drfahrettinka @drfahrettinka @saglikbakanli Taxi driver you want from your own staff ... https://t.co/2h4w3mley")</f>
        <v>@drfahrettinka @drfahrettinka @saglikbakanli Taxi driver you want from your own staff ... https://t.co/2h4w3mley</v>
      </c>
    </row>
    <row r="15326" spans="1:5" ht="15" customHeight="1" x14ac:dyDescent="0.2">
      <c r="A15326" s="1" t="s">
        <v>30213</v>
      </c>
      <c r="B15326" s="1">
        <v>0</v>
      </c>
      <c r="C15326" s="3">
        <v>44523.872314814813</v>
      </c>
      <c r="D15326" s="1" t="s">
        <v>30214</v>
      </c>
      <c r="E15326" s="1" t="str">
        <f ca="1">IFERROR(__xludf.DUMMYFUNCTION("GOOGLETRANSLATE(A12125 , ""tr"" , ""en"")"),"@drfahrettinkoca https://t.co/vrbuq9ahya #sevimnuricinsesol @ sevim_trkmen1")</f>
        <v>@drfahrettinkoca https://t.co/vrbuq9ahya #sevimnuricinsesol @ sevim_trkmen1</v>
      </c>
    </row>
    <row r="15327" spans="1:5" ht="15" customHeight="1" x14ac:dyDescent="0.2">
      <c r="A15327" s="1" t="s">
        <v>30215</v>
      </c>
      <c r="B15327" s="1">
        <v>8</v>
      </c>
      <c r="C15327" s="3">
        <v>44523.871736111112</v>
      </c>
      <c r="D15327" s="1" t="s">
        <v>30216</v>
      </c>
      <c r="E15327" s="1" t="str">
        <f ca="1">IFERROR(__xludf.DUMMYFUNCTION("GOOGLETRANSLATE(A12126 , ""tr"" , ""en"")"),"@drfahrettinkoca quit both outbreaks, both the economy will improve bi trenasene nolur :)")</f>
        <v>@drfahrettinkoca quit both outbreaks, both the economy will improve bi trenasene nolur :)</v>
      </c>
    </row>
    <row r="15328" spans="1:5" ht="15" customHeight="1" x14ac:dyDescent="0.2">
      <c r="A15328" s="1" t="s">
        <v>30217</v>
      </c>
      <c r="B15328" s="1">
        <v>3</v>
      </c>
      <c r="C15328" s="3">
        <v>44523.871724537035</v>
      </c>
      <c r="D15328" s="1" t="s">
        <v>30218</v>
      </c>
      <c r="E15328" s="1" t="str">
        <f ca="1">IFERROR(__xludf.DUMMYFUNCTION("GOOGLETRANSLATE(A12127 , ""tr"" , ""en"")"),"@drfahrettinkoca you are finished, you are still talking about 48 hours I'm testing a 48 hours my guy was the wingman ... https://t.co/13kynpgtbs")</f>
        <v>@drfahrettinkoca you are finished, you are still talking about 48 hours I'm testing a 48 hours my guy was the wingman ... https://t.co/13kynpgtbs</v>
      </c>
    </row>
    <row r="15329" spans="1:5" ht="15" customHeight="1" x14ac:dyDescent="0.2">
      <c r="A15329" s="1" t="s">
        <v>30219</v>
      </c>
      <c r="B15329" s="1">
        <v>0</v>
      </c>
      <c r="C15329" s="3">
        <v>44523.871516203704</v>
      </c>
      <c r="D15329" s="1" t="s">
        <v>30220</v>
      </c>
      <c r="E15329" s="1" t="str">
        <f ca="1">IFERROR(__xludf.DUMMYFUNCTION("GOOGLETRANSLATE(A12128 , ""tr"" , ""en"")"),"@drfahrettinkoca Our hospitals are very beautiful; New, 5 star hotels like: I'm very pleased with this point of view and thankful .. ... https://t.co/046j1sh6qv")</f>
        <v>@drfahrettinkoca Our hospitals are very beautiful; New, 5 star hotels like: I'm very pleased with this point of view and thankful .. ... https://t.co/046j1sh6qv</v>
      </c>
    </row>
    <row r="15330" spans="1:5" ht="15" customHeight="1" x14ac:dyDescent="0.2">
      <c r="A15330" s="1" t="s">
        <v>30221</v>
      </c>
      <c r="B15330" s="1">
        <v>2</v>
      </c>
      <c r="C15330" s="3">
        <v>44523.870833333334</v>
      </c>
      <c r="D15330" s="1" t="s">
        <v>30222</v>
      </c>
      <c r="E15330" s="1" t="str">
        <f ca="1">IFERROR(__xludf.DUMMYFUNCTION("GOOGLETRANSLATE(A12129 , ""tr"" , ""en"")"),"@drfahrettinkoca @saglikbakanligi What is the state of violence to the judicial of violence in the state of which the state is private hospital ... https://t.co/5yhl2ukrj3")</f>
        <v>@drfahrettinkoca @saglikbakanligi What is the state of violence to the judicial of violence in the state of which the state is private hospital ... https://t.co/5yhl2ukrj3</v>
      </c>
    </row>
    <row r="15331" spans="1:5" ht="15" customHeight="1" x14ac:dyDescent="0.2">
      <c r="A15331" s="1" t="s">
        <v>30223</v>
      </c>
      <c r="B15331" s="1">
        <v>0</v>
      </c>
      <c r="C15331" s="3">
        <v>44523.869791666664</v>
      </c>
      <c r="D15331" s="1" t="s">
        <v>30224</v>
      </c>
      <c r="E15331" s="1" t="str">
        <f ca="1">IFERROR(__xludf.DUMMYFUNCTION("GOOGLETRANSLATE(A12130 , ""tr"" , ""en"")"),"@drfahrettinkca Herkez Sevicek Not Duygili Domecekak")</f>
        <v>@drfahrettinkca Herkez Sevicek Not Duygili Domecekak</v>
      </c>
    </row>
    <row r="15332" spans="1:5" ht="15" customHeight="1" x14ac:dyDescent="0.2">
      <c r="A15332" s="1" t="s">
        <v>30225</v>
      </c>
      <c r="B15332" s="1">
        <v>1</v>
      </c>
      <c r="C15332" s="3">
        <v>44523.868310185186</v>
      </c>
      <c r="D15332" s="1" t="s">
        <v>30226</v>
      </c>
      <c r="E15332" s="1" t="str">
        <f ca="1">IFERROR(__xludf.DUMMYFUNCTION("GOOGLETRANSLATE(A12131 , ""tr"" , ""en"")"),"@drfahrettinkoca beautiful news, should not be left behind any violent thing ⁉️")</f>
        <v>@drfahrettinkoca beautiful news, should not be left behind any violent thing ⁉️</v>
      </c>
    </row>
    <row r="15333" spans="1:5" ht="15" customHeight="1" x14ac:dyDescent="0.2">
      <c r="A15333" s="1" t="s">
        <v>7148</v>
      </c>
      <c r="B15333" s="1">
        <v>1</v>
      </c>
      <c r="C15333" s="3">
        <v>44523.86822916667</v>
      </c>
      <c r="D15333" s="1" t="s">
        <v>30227</v>
      </c>
      <c r="E15333" s="1" t="str">
        <f ca="1">IFERROR(__xludf.DUMMYFUNCTION("GOOGLETRANSLATE(A12132 , ""tr"" , ""en"")"),"@drfahrettinkoca is ok")</f>
        <v>@drfahrettinkoca is ok</v>
      </c>
    </row>
    <row r="15334" spans="1:5" ht="15" customHeight="1" x14ac:dyDescent="0.2">
      <c r="A15334" s="1" t="s">
        <v>30228</v>
      </c>
      <c r="B15334" s="1">
        <v>0</v>
      </c>
      <c r="C15334" s="3">
        <v>44523.867835648147</v>
      </c>
      <c r="D15334" s="1" t="s">
        <v>30229</v>
      </c>
      <c r="E15334" s="1" t="str">
        <f ca="1">IFERROR(__xludf.DUMMYFUNCTION("GOOGLETRANSLATE(A12133 , ""tr"" , ""en"")"),"@drfahrettinkoca rehabilitation is attacking TEBBA ALLOWN SHIEG")</f>
        <v>@drfahrettinkoca rehabilitation is attacking TEBBA ALLOWN SHIEG</v>
      </c>
    </row>
    <row r="15335" spans="1:5" ht="15" customHeight="1" x14ac:dyDescent="0.2">
      <c r="A15335" s="1" t="s">
        <v>30230</v>
      </c>
      <c r="B15335" s="1">
        <v>0</v>
      </c>
      <c r="C15335" s="3">
        <v>44523.866655092592</v>
      </c>
      <c r="D15335" s="1" t="s">
        <v>30231</v>
      </c>
      <c r="E15335" s="1" t="str">
        <f ca="1">IFERROR(__xludf.DUMMYFUNCTION("GOOGLETRANSLATE(A12134 , ""tr"" , ""en"")"),"@drfahrettinkoca canim If you are behind you no one stays in the Ground")</f>
        <v>@drfahrettinkoca canim If you are behind you no one stays in the Ground</v>
      </c>
    </row>
    <row r="15336" spans="1:5" ht="15" customHeight="1" x14ac:dyDescent="0.2">
      <c r="A15336" s="1" t="s">
        <v>30232</v>
      </c>
      <c r="B15336" s="1">
        <v>0</v>
      </c>
      <c r="C15336" s="3">
        <v>44523.863761574074</v>
      </c>
      <c r="D15336" s="1" t="s">
        <v>30233</v>
      </c>
      <c r="E15336" s="1" t="str">
        <f ca="1">IFERROR(__xludf.DUMMYFUNCTION("GOOGLETRANSLATE(A12135 , ""tr"" , ""en"")"),"@drfahrettinkoca I'm against all kinds of violence but the man is free to blass his wife 28, another bi ... https://t.co/3yixhka5gx")</f>
        <v>@drfahrettinkoca I'm against all kinds of violence but the man is free to blass his wife 28, another bi ... https://t.co/3yixhka5gx</v>
      </c>
    </row>
    <row r="15337" spans="1:5" ht="15" customHeight="1" x14ac:dyDescent="0.2">
      <c r="A15337" s="1" t="s">
        <v>30234</v>
      </c>
      <c r="B15337" s="1">
        <v>2</v>
      </c>
      <c r="C15337" s="3">
        <v>44523.863229166665</v>
      </c>
      <c r="D15337" s="1" t="s">
        <v>30235</v>
      </c>
      <c r="E15337" s="1" t="str">
        <f ca="1">IFERROR(__xludf.DUMMYFUNCTION("GOOGLETRANSLATE(A12136 , ""tr"" , ""en"")"),"@drfahrettinkoca Country to be in the country is treating justice guinea pigs to the death of thousands of people who are treating it ... https://t.co/8dduqogqcg")</f>
        <v>@drfahrettinkoca Country to be in the country is treating justice guinea pigs to the death of thousands of people who are treating it ... https://t.co/8dduqogqcg</v>
      </c>
    </row>
    <row r="15338" spans="1:5" ht="15" customHeight="1" x14ac:dyDescent="0.2">
      <c r="A15338" s="1" t="s">
        <v>30236</v>
      </c>
      <c r="B15338" s="1">
        <v>0</v>
      </c>
      <c r="C15338" s="3">
        <v>44523.863182870373</v>
      </c>
      <c r="D15338" s="1" t="s">
        <v>30237</v>
      </c>
      <c r="E15338" s="1" t="str">
        <f ca="1">IFERROR(__xludf.DUMMYFUNCTION("GOOGLETRANSLATE(A12137 , ""tr"" , ""en"")"),"@drfahrettinka https://t.co/aqilnlyhkz")</f>
        <v>@drfahrettinka https://t.co/aqilnlyhkz</v>
      </c>
    </row>
    <row r="15339" spans="1:5" ht="15" customHeight="1" x14ac:dyDescent="0.2">
      <c r="A15339" s="1" t="s">
        <v>30238</v>
      </c>
      <c r="B15339" s="1">
        <v>0</v>
      </c>
      <c r="C15339" s="3">
        <v>44523.863171296296</v>
      </c>
      <c r="D15339" s="1" t="s">
        <v>30239</v>
      </c>
      <c r="E15339" s="1" t="str">
        <f ca="1">IFERROR(__xludf.DUMMYFUNCTION("GOOGLETRANSLATE(A12138 , ""tr"" , ""en"")"),"@drfahrettinkoca Fahrettin Bey, we will not leave the corona emphasis. Be sure ;)")</f>
        <v>@drfahrettinkoca Fahrettin Bey, we will not leave the corona emphasis. Be sure ;)</v>
      </c>
    </row>
    <row r="15340" spans="1:5" ht="15" customHeight="1" x14ac:dyDescent="0.2">
      <c r="A15340" s="1" t="s">
        <v>30240</v>
      </c>
      <c r="B15340" s="1">
        <v>0</v>
      </c>
      <c r="C15340" s="3">
        <v>44523.85633101852</v>
      </c>
      <c r="D15340" s="1" t="s">
        <v>30241</v>
      </c>
      <c r="E15340" s="1" t="str">
        <f ca="1">IFERROR(__xludf.DUMMYFUNCTION("GOOGLETRANSLATE(A12139 , ""tr"" , ""en"")"),"@drfahrettinkoca Mr. Husband Gives 93% Disabled Report Doctors but don't give care money to anyone ... https://t.co/zyeIcat0gt")</f>
        <v>@drfahrettinkoca Mr. Husband Gives 93% Disabled Report Doctors but don't give care money to anyone ... https://t.co/zyeIcat0gt</v>
      </c>
    </row>
    <row r="15341" spans="1:5" ht="15" customHeight="1" x14ac:dyDescent="0.2">
      <c r="A15341" s="1" t="s">
        <v>30242</v>
      </c>
      <c r="B15341" s="1">
        <v>0</v>
      </c>
      <c r="C15341" s="3">
        <v>44523.855949074074</v>
      </c>
      <c r="D15341" s="1" t="s">
        <v>30243</v>
      </c>
      <c r="E15341" s="1" t="str">
        <f ca="1">IFERROR(__xludf.DUMMYFUNCTION("GOOGLETRANSLATE(A12140 , ""tr"" , ""en"")"),"@drfahrettinka Do the assignment you promise before Mr. Minister has been assignment for 1 year, the prospects of the health care")</f>
        <v>@drfahrettinka Do the assignment you promise before Mr. Minister has been assignment for 1 year, the prospects of the health care</v>
      </c>
    </row>
    <row r="15342" spans="1:5" ht="15" customHeight="1" x14ac:dyDescent="0.2">
      <c r="A15342" s="1" t="s">
        <v>30244</v>
      </c>
      <c r="B15342" s="1">
        <v>0</v>
      </c>
      <c r="C15342" s="3">
        <v>44523.855868055558</v>
      </c>
      <c r="D15342" s="1" t="s">
        <v>30245</v>
      </c>
      <c r="E15342" s="1" t="str">
        <f ca="1">IFERROR(__xludf.DUMMYFUNCTION("GOOGLETRANSLATE(A12141 , ""tr"" , ""en"")"),"@drfahrettinkoca is not need to be physical violence. Do not leave in all kinds of violence.")</f>
        <v>@drfahrettinkoca is not need to be physical violence. Do not leave in all kinds of violence.</v>
      </c>
    </row>
    <row r="15343" spans="1:5" ht="15" customHeight="1" x14ac:dyDescent="0.2">
      <c r="A15343" s="1" t="s">
        <v>30246</v>
      </c>
      <c r="B15343" s="1">
        <v>0</v>
      </c>
      <c r="C15343" s="3">
        <v>44523.85533564815</v>
      </c>
      <c r="D15343" s="1" t="s">
        <v>30247</v>
      </c>
      <c r="E15343" s="1" t="str">
        <f ca="1">IFERROR(__xludf.DUMMYFUNCTION("GOOGLETRANSLATE(A12142 , ""tr"" , ""en"")"),"@drfahrettinkoca OsmaniDe Did you have him arrested him to the dru arresting prosecutor at the beginning of the task ??")</f>
        <v>@drfahrettinkoca OsmaniDe Did you have him arrested him to the dru arresting prosecutor at the beginning of the task ??</v>
      </c>
    </row>
    <row r="15344" spans="1:5" ht="15" customHeight="1" x14ac:dyDescent="0.2">
      <c r="A15344" s="1" t="s">
        <v>30248</v>
      </c>
      <c r="B15344" s="1">
        <v>0</v>
      </c>
      <c r="C15344" s="3">
        <v>44523.855023148149</v>
      </c>
      <c r="D15344" s="1" t="s">
        <v>30249</v>
      </c>
      <c r="E15344" s="1" t="str">
        <f ca="1">IFERROR(__xludf.DUMMYFUNCTION("GOOGLETRANSLATE(A12143 , ""tr"" , ""en"")"),"@drfahrettinkoca Mr. Mr. Bidi how to see how doctors look at us when you look at us")</f>
        <v>@drfahrettinkoca Mr. Mr. Bidi how to see how doctors look at us when you look at us</v>
      </c>
    </row>
    <row r="15345" spans="1:5" ht="15" customHeight="1" x14ac:dyDescent="0.2">
      <c r="A15345" s="1" t="s">
        <v>30250</v>
      </c>
      <c r="B15345" s="1">
        <v>0</v>
      </c>
      <c r="C15345" s="3">
        <v>44523.854768518519</v>
      </c>
      <c r="D15345" s="1" t="s">
        <v>30251</v>
      </c>
      <c r="E15345" s="1" t="str">
        <f ca="1">IFERROR(__xludf.DUMMYFUNCTION("GOOGLETRANSLATE(A12144 , ""tr"" , ""en"")"),"@drfahrettinka thanks Mr. Ministry. Please follow politically")</f>
        <v>@drfahrettinka thanks Mr. Ministry. Please follow politically</v>
      </c>
    </row>
    <row r="15346" spans="1:5" ht="15" customHeight="1" x14ac:dyDescent="0.2">
      <c r="A15346" s="1" t="s">
        <v>30252</v>
      </c>
      <c r="B15346" s="1">
        <v>2</v>
      </c>
      <c r="C15346" s="3">
        <v>44523.854421296295</v>
      </c>
      <c r="D15346" s="1" t="s">
        <v>30253</v>
      </c>
      <c r="E15346" s="1" t="str">
        <f ca="1">IFERROR(__xludf.DUMMYFUNCTION("GOOGLETRANSLATE(A12145 , ""tr"" , ""en"")"),"@drfahrettinka Mr. Ministry Yes that you are very nice of you to be stable But the healthcare agencies that abuse it ... https://t.co/wpbdygrvtn")</f>
        <v>@drfahrettinka Mr. Ministry Yes that you are very nice of you to be stable But the healthcare agencies that abuse it ... https://t.co/wpbdygrvtn</v>
      </c>
    </row>
    <row r="15347" spans="1:5" ht="15" customHeight="1" x14ac:dyDescent="0.2">
      <c r="A15347" s="1" t="s">
        <v>30254</v>
      </c>
      <c r="B15347" s="1">
        <v>0</v>
      </c>
      <c r="C15347" s="3">
        <v>44523.854166666664</v>
      </c>
      <c r="D15347" s="1" t="s">
        <v>30255</v>
      </c>
      <c r="E15347" s="1" t="str">
        <f ca="1">IFERROR(__xludf.DUMMYFUNCTION("GOOGLETRANSLATE(A12146 , ""tr"" , ""en"")"),"@drfahrettinkoca is the violence that you have made to the disabled health worker we worked highly high score We pored the so-called bi 4 y ... https://t.co/2xzo4zjm0c")</f>
        <v>@drfahrettinkoca is the violence that you have made to the disabled health worker we worked highly high score We pored the so-called bi 4 y ... https://t.co/2xzo4zjm0c</v>
      </c>
    </row>
    <row r="15348" spans="1:5" ht="15" customHeight="1" x14ac:dyDescent="0.2">
      <c r="A15348" s="1" t="s">
        <v>30256</v>
      </c>
      <c r="B15348" s="1">
        <v>1</v>
      </c>
      <c r="C15348" s="3">
        <v>44523.853831018518</v>
      </c>
      <c r="D15348" s="1" t="s">
        <v>30257</v>
      </c>
      <c r="E15348" s="1" t="str">
        <f ca="1">IFERROR(__xludf.DUMMYFUNCTION("GOOGLETRANSLATE(A12147 , ""tr"" , ""en"")"),"@drfahrettinkoca continuously the same as well as health violent victims always considered healthy people as a patient personnel ... https://t.co/dop1he6qw3")</f>
        <v>@drfahrettinkoca continuously the same as well as health violent victims always considered healthy people as a patient personnel ... https://t.co/dop1he6qw3</v>
      </c>
    </row>
    <row r="15349" spans="1:5" ht="15" customHeight="1" x14ac:dyDescent="0.2">
      <c r="A15349" s="1" t="s">
        <v>30258</v>
      </c>
      <c r="B15349" s="1">
        <v>0</v>
      </c>
      <c r="C15349" s="3">
        <v>44523.853831018518</v>
      </c>
      <c r="D15349" s="1" t="s">
        <v>30259</v>
      </c>
      <c r="E15349" s="1" t="str">
        <f ca="1">IFERROR(__xludf.DUMMYFUNCTION("GOOGLETRANSLATE(A12148 , ""tr"" , ""en"")"),"@drfahrettinkoca is not the violence that you have made to the disabled health worker we worked highly high score We have pores 4 Y ... https://t.co/mpg8fr0w02")</f>
        <v>@drfahrettinkoca is not the violence that you have made to the disabled health worker we worked highly high score We have pores 4 Y ... https://t.co/mpg8fr0w02</v>
      </c>
    </row>
    <row r="15350" spans="1:5" ht="15" customHeight="1" x14ac:dyDescent="0.2">
      <c r="A15350" s="1" t="s">
        <v>30260</v>
      </c>
      <c r="B15350" s="1">
        <v>13</v>
      </c>
      <c r="C15350" s="3">
        <v>44523.853402777779</v>
      </c>
      <c r="D15350" s="1" t="s">
        <v>30261</v>
      </c>
      <c r="E15350" s="1" t="str">
        <f ca="1">IFERROR(__xludf.DUMMYFUNCTION("GOOGLETRANSLATE(A12149 , ""tr"" , ""en"")"),"@drfahrettinkoca you brings the data that tells you that this drug is effective in the judge https://t.co/yjlmdfoch5")</f>
        <v>@drfahrettinkoca you brings the data that tells you that this drug is effective in the judge https://t.co/yjlmdfoch5</v>
      </c>
    </row>
    <row r="15351" spans="1:5" ht="15" customHeight="1" x14ac:dyDescent="0.2">
      <c r="A15351" s="1" t="s">
        <v>30262</v>
      </c>
      <c r="B15351" s="1">
        <v>1</v>
      </c>
      <c r="C15351" s="3">
        <v>44523.853159722225</v>
      </c>
      <c r="D15351" s="1" t="s">
        <v>30263</v>
      </c>
      <c r="E15351" s="1" t="str">
        <f ca="1">IFERROR(__xludf.DUMMYFUNCTION("GOOGLETRANSLATE(A12150 , ""tr"" , ""en"")"),"@drfahrettinkoca we are facing all kinds of violence and violent to provide forced school children forced disease ... https://t.co/wfxaenmz53")</f>
        <v>@drfahrettinkoca we are facing all kinds of violence and violent to provide forced school children forced disease ... https://t.co/wfxaenmz53</v>
      </c>
    </row>
    <row r="15352" spans="1:5" ht="15" customHeight="1" x14ac:dyDescent="0.2">
      <c r="A15352" s="1" t="s">
        <v>30264</v>
      </c>
      <c r="B15352" s="1">
        <v>2</v>
      </c>
      <c r="C15352" s="3">
        <v>44523.852939814817</v>
      </c>
      <c r="D15352" s="1" t="s">
        <v>30265</v>
      </c>
      <c r="E15352" s="1" t="str">
        <f ca="1">IFERROR(__xludf.DUMMYFUNCTION("GOOGLETRANSLATE(A12151 , ""tr"" , ""en"")"),"@drfahrettinkoca is the psychological violence that some doctors are instead of physical violence ... https://t.co/evo3neifnl")</f>
        <v>@drfahrettinkoca is the psychological violence that some doctors are instead of physical violence ... https://t.co/evo3neifnl</v>
      </c>
    </row>
    <row r="15353" spans="1:5" ht="15" customHeight="1" x14ac:dyDescent="0.2">
      <c r="A15353" s="1" t="s">
        <v>30266</v>
      </c>
      <c r="B15353" s="1">
        <v>0</v>
      </c>
      <c r="C15353" s="3">
        <v>44523.851956018516</v>
      </c>
      <c r="D15353" s="1" t="s">
        <v>30267</v>
      </c>
      <c r="E15353" s="1" t="str">
        <f ca="1">IFERROR(__xludf.DUMMYFUNCTION("GOOGLETRANSLATE(A12152 , ""tr"" , ""en"")"),"@drfahrettinkoca @saglikbakanligi do not have anyone to everyone disabled healthy don't have squads?")</f>
        <v>@drfahrettinkoca @saglikbakanligi do not have anyone to everyone disabled healthy don't have squads?</v>
      </c>
    </row>
    <row r="15354" spans="1:5" ht="15" customHeight="1" x14ac:dyDescent="0.2">
      <c r="A15354" s="1" t="s">
        <v>30268</v>
      </c>
      <c r="B15354" s="1">
        <v>0</v>
      </c>
      <c r="C15354" s="3">
        <v>44523.851817129631</v>
      </c>
      <c r="D15354" s="1" t="s">
        <v>30269</v>
      </c>
      <c r="E15354" s="1" t="str">
        <f ca="1">IFERROR(__xludf.DUMMYFUNCTION("GOOGLETRANSLATE(A12153 , ""tr"" , ""en"")"),"@drfahrettinkoca @saglikbakanligi has no man with disabilities Disabled You have been tasting 4 years ... https://t.co/pxpk95ov2u")</f>
        <v>@drfahrettinkoca @saglikbakanligi has no man with disabilities Disabled You have been tasting 4 years ... https://t.co/pxpk95ov2u</v>
      </c>
    </row>
    <row r="15355" spans="1:5" ht="15" customHeight="1" x14ac:dyDescent="0.2">
      <c r="A15355" s="1" t="s">
        <v>30270</v>
      </c>
      <c r="B15355" s="1">
        <v>0</v>
      </c>
      <c r="C15355" s="3">
        <v>44523.851655092592</v>
      </c>
      <c r="D15355" s="1" t="s">
        <v>30271</v>
      </c>
      <c r="E15355" s="1" t="str">
        <f ca="1">IFERROR(__xludf.DUMMYFUNCTION("GOOGLETRANSLATE(A12154 , ""tr"" , ""en"")"),"@drfahrettinkoca @saglikbakanligi has no man with disabilities Your disabled has been tasting 4 years Ata ... https://t.co/zm0tmxx7vq")</f>
        <v>@drfahrettinkoca @saglikbakanligi has no man with disabilities Your disabled has been tasting 4 years Ata ... https://t.co/zm0tmxx7vq</v>
      </c>
    </row>
    <row r="15356" spans="1:5" ht="15" customHeight="1" x14ac:dyDescent="0.2">
      <c r="A15356" s="1" t="s">
        <v>30272</v>
      </c>
      <c r="B15356" s="1">
        <v>0</v>
      </c>
      <c r="C15356" s="3">
        <v>44523.851550925923</v>
      </c>
      <c r="D15356" s="1" t="s">
        <v>30273</v>
      </c>
      <c r="E15356" s="1" t="str">
        <f ca="1">IFERROR(__xludf.DUMMYFUNCTION("GOOGLETRANSLATE(A12155 , ""tr"" , ""en"")"),"@drfahrettinkoca @saglikbakanligi has no man with disabilities Disabled You have been tasting 4 years ... HTTPS://T.CO/HRDKHHPI5G")</f>
        <v>@drfahrettinkoca @saglikbakanligi has no man with disabilities Disabled You have been tasting 4 years ... HTTPS://T.CO/HRDKHHPI5G</v>
      </c>
    </row>
    <row r="15357" spans="1:5" ht="15" customHeight="1" x14ac:dyDescent="0.2">
      <c r="A15357" s="1" t="s">
        <v>30274</v>
      </c>
      <c r="B15357" s="1">
        <v>0</v>
      </c>
      <c r="C15357" s="3">
        <v>44523.851493055554</v>
      </c>
      <c r="D15357" s="1" t="s">
        <v>30275</v>
      </c>
      <c r="E15357" s="1" t="str">
        <f ca="1">IFERROR(__xludf.DUMMYFUNCTION("GOOGLETRANSLATE(A12156 , ""tr"" , ""en"")"),"@drfahrettinkoca I wish you are so sensitive to women in violence with children and animals")</f>
        <v>@drfahrettinkoca I wish you are so sensitive to women in violence with children and animals</v>
      </c>
    </row>
    <row r="15358" spans="1:5" ht="15" customHeight="1" x14ac:dyDescent="0.2">
      <c r="A15358" s="1" t="s">
        <v>30276</v>
      </c>
      <c r="B15358" s="1">
        <v>0</v>
      </c>
      <c r="C15358" s="3">
        <v>44523.851365740738</v>
      </c>
      <c r="D15358" s="1" t="s">
        <v>30277</v>
      </c>
      <c r="E15358" s="1" t="str">
        <f ca="1">IFERROR(__xludf.DUMMYFUNCTION("GOOGLETRANSLATE(A12157 , ""tr"" , ""en"")"),"@drfahrettinkoca @saglikbakanligi has no man with disabilities You have been a disabled is 4 years horse ... https://t.co/70zzctnzox")</f>
        <v>@drfahrettinkoca @saglikbakanligi has no man with disabilities You have been a disabled is 4 years horse ... https://t.co/70zzctnzox</v>
      </c>
    </row>
    <row r="15359" spans="1:5" ht="15" customHeight="1" x14ac:dyDescent="0.2">
      <c r="A15359" s="1" t="s">
        <v>30278</v>
      </c>
      <c r="B15359" s="1">
        <v>0</v>
      </c>
      <c r="C15359" s="3">
        <v>44523.851273148146</v>
      </c>
      <c r="D15359" s="1" t="s">
        <v>30279</v>
      </c>
      <c r="E15359" s="1" t="str">
        <f ca="1">IFERROR(__xludf.DUMMYFUNCTION("GOOGLETRANSLATE(A12158 , ""tr"" , ""en"")"),"@drfahrettinkoca is done in the same thing in women's murders and baby rags ...! They are not freedom ...!")</f>
        <v>@drfahrettinkoca is done in the same thing in women's murders and baby rags ...! They are not freedom ...!</v>
      </c>
    </row>
    <row r="15360" spans="1:5" ht="15" customHeight="1" x14ac:dyDescent="0.2">
      <c r="A15360" s="1" t="s">
        <v>30280</v>
      </c>
      <c r="B15360" s="1">
        <v>2</v>
      </c>
      <c r="C15360" s="3">
        <v>44523.851238425923</v>
      </c>
      <c r="D15360" s="1" t="s">
        <v>30281</v>
      </c>
      <c r="E15360" s="1" t="str">
        <f ca="1">IFERROR(__xludf.DUMMYFUNCTION("GOOGLETRANSLATE(A12159 , ""tr"" , ""en"")"),"@drfahrettinkoca MUĞLA SITKI Koçman Education Hospital send an inspector to the hospital door No Disabled Tool D ... https://t.co/5gaeyf1tod")</f>
        <v>@drfahrettinkoca MUĞLA SITKI Koçman Education Hospital send an inspector to the hospital door No Disabled Tool D ... https://t.co/5gaeyf1tod</v>
      </c>
    </row>
    <row r="15361" spans="1:5" ht="15" customHeight="1" x14ac:dyDescent="0.2">
      <c r="A15361" s="1" t="s">
        <v>30282</v>
      </c>
      <c r="B15361" s="1">
        <v>0</v>
      </c>
      <c r="C15361" s="3">
        <v>44523.850856481484</v>
      </c>
      <c r="D15361" s="1" t="s">
        <v>30283</v>
      </c>
      <c r="E15361" s="1" t="str">
        <f ca="1">IFERROR(__xludf.DUMMYFUNCTION("GOOGLETRANSLATE(A12160 , ""tr"" , ""en"")"),"@drfahrettinkoca @saglikbakanligi has no man with disabilities If you have been tasteful of the disabled Atam for the year ... HTTPS://T.CO/ZLOEGIGZPE")</f>
        <v>@drfahrettinkoca @saglikbakanligi has no man with disabilities If you have been tasteful of the disabled Atam for the year ... HTTPS://T.CO/ZLOEGIGZPE</v>
      </c>
    </row>
    <row r="15362" spans="1:5" ht="15" customHeight="1" x14ac:dyDescent="0.2">
      <c r="A15362" s="1" t="s">
        <v>30284</v>
      </c>
      <c r="B15362" s="1">
        <v>0</v>
      </c>
      <c r="C15362" s="3">
        <v>44523.850023148145</v>
      </c>
      <c r="D15362" s="1" t="s">
        <v>30285</v>
      </c>
      <c r="E15362" s="1" t="str">
        <f ca="1">IFERROR(__xludf.DUMMYFUNCTION("GOOGLETRANSLATE(A12161 , ""tr"" , ""en"")"),"@drfahrettinka Oyvallah Mr. Minister of Justice. If the judiciary do not go after the judiciary we will go after the judgment. Say ... https://t.co/98ganxltbv")</f>
        <v>@drfahrettinka Oyvallah Mr. Minister of Justice. If the judiciary do not go after the judiciary we will go after the judgment. Say ... https://t.co/98ganxltbv</v>
      </c>
    </row>
    <row r="15363" spans="1:5" ht="15" customHeight="1" x14ac:dyDescent="0.2">
      <c r="A15363" s="1" t="s">
        <v>30286</v>
      </c>
      <c r="B15363" s="1">
        <v>3</v>
      </c>
      <c r="C15363" s="3">
        <v>44523.849328703705</v>
      </c>
      <c r="D15363" s="1" t="s">
        <v>30287</v>
      </c>
      <c r="E15363" s="1" t="str">
        <f ca="1">IFERROR(__xludf.DUMMYFUNCTION("GOOGLETRANSLATE(A12162 , ""tr"" , ""en"")"),"@drfahrettinka you will ever try this medicine on the people https://t.co/i8mmvz8k23")</f>
        <v>@drfahrettinka you will ever try this medicine on the people https://t.co/i8mmvz8k23</v>
      </c>
    </row>
    <row r="15364" spans="1:5" ht="15" customHeight="1" x14ac:dyDescent="0.2">
      <c r="A15364" s="1" t="s">
        <v>30288</v>
      </c>
      <c r="B15364" s="1">
        <v>0</v>
      </c>
      <c r="C15364" s="3">
        <v>44523.849074074074</v>
      </c>
      <c r="D15364" s="1" t="s">
        <v>30289</v>
      </c>
      <c r="E15364" s="1" t="str">
        <f ca="1">IFERROR(__xludf.DUMMYFUNCTION("GOOGLETRANSLATE(A12163 , ""tr"" , ""en"")"),"@drfahrettinkoca bravo ..This is a first. You will call me touching my healthman, you will say to the Ministry of Health ... https://t.co/anffsekqsa")</f>
        <v>@drfahrettinkoca bravo ..This is a first. You will call me touching my healthman, you will say to the Ministry of Health ... https://t.co/anffsekqsa</v>
      </c>
    </row>
    <row r="15365" spans="1:5" ht="15" customHeight="1" x14ac:dyDescent="0.2">
      <c r="A15365" s="1" t="s">
        <v>30290</v>
      </c>
      <c r="B15365" s="1">
        <v>0</v>
      </c>
      <c r="C15365" s="3">
        <v>44523.847557870373</v>
      </c>
      <c r="D15365" s="1" t="s">
        <v>30291</v>
      </c>
      <c r="E15365" s="1" t="str">
        <f ca="1">IFERROR(__xludf.DUMMYFUNCTION("GOOGLETRANSLATE(A12164 , ""tr"" , ""en"")"),"@drfahrettinkca 1 monthly baby was accidentally made of Covid vaccine, I wish they were justice in the way of justice to say that the professor is ... https://t.co/uh0ufys7of")</f>
        <v>@drfahrettinkca 1 monthly baby was accidentally made of Covid vaccine, I wish they were justice in the way of justice to say that the professor is ... https://t.co/uh0ufys7of</v>
      </c>
    </row>
    <row r="15366" spans="1:5" ht="15" customHeight="1" x14ac:dyDescent="0.2">
      <c r="A15366" s="1" t="s">
        <v>30292</v>
      </c>
      <c r="B15366" s="1">
        <v>0</v>
      </c>
      <c r="C15366" s="3">
        <v>44523.847442129627</v>
      </c>
      <c r="D15366" s="1" t="s">
        <v>30293</v>
      </c>
      <c r="E15366" s="1" t="str">
        <f ca="1">IFERROR(__xludf.DUMMYFUNCTION("GOOGLETRANSLATE(A12165 , ""tr"" , ""en"")"),"@drfahrettinkoca Disabled, Disabled Healthiers Says You with Social Media and Press Relations Ekpss ... https://t.co/cemauezd9k")</f>
        <v>@drfahrettinkoca Disabled, Disabled Healthiers Says You with Social Media and Press Relations Ekpss ... https://t.co/cemauezd9k</v>
      </c>
    </row>
    <row r="15367" spans="1:5" ht="15" customHeight="1" x14ac:dyDescent="0.2">
      <c r="A15367" s="1" t="s">
        <v>30294</v>
      </c>
      <c r="B15367" s="1">
        <v>0</v>
      </c>
      <c r="C15367" s="3">
        <v>44523.847349537034</v>
      </c>
      <c r="D15367" s="1" t="s">
        <v>30295</v>
      </c>
      <c r="E15367" s="1" t="str">
        <f ca="1">IFERROR(__xludf.DUMMYFUNCTION("GOOGLETRANSLATE(A12166 , ""tr"" , ""en"")"),"@drfahrettinkoca Disabled, Disabled Health Says You with Social Media and Press Releases Ekpss ... https://t.co/siclnqkmmh")</f>
        <v>@drfahrettinkoca Disabled, Disabled Health Says You with Social Media and Press Releases Ekpss ... https://t.co/siclnqkmmh</v>
      </c>
    </row>
    <row r="15368" spans="1:5" ht="15" customHeight="1" x14ac:dyDescent="0.2">
      <c r="A15368" s="1" t="s">
        <v>30296</v>
      </c>
      <c r="B15368" s="1">
        <v>0</v>
      </c>
      <c r="C15368" s="3">
        <v>44523.847199074073</v>
      </c>
      <c r="D15368" s="1" t="s">
        <v>30297</v>
      </c>
      <c r="E15368" s="1" t="str">
        <f ca="1">IFERROR(__xludf.DUMMYFUNCTION("GOOGLETRANSLATE(A12167 , ""tr"" , ""en"")"),"@drfahrettinkoca Disabled, Disabled Health Says You with Social Media and Press Relations Ekpss ... https://t.co/g63soybfsq")</f>
        <v>@drfahrettinkoca Disabled, Disabled Health Says You with Social Media and Press Relations Ekpss ... https://t.co/g63soybfsq</v>
      </c>
    </row>
    <row r="15369" spans="1:5" ht="15" customHeight="1" x14ac:dyDescent="0.2">
      <c r="A15369" s="1" t="s">
        <v>30298</v>
      </c>
      <c r="B15369" s="1">
        <v>0</v>
      </c>
      <c r="C15369" s="3">
        <v>44523.846932870372</v>
      </c>
      <c r="D15369" s="1" t="s">
        <v>30299</v>
      </c>
      <c r="E15369" s="1" t="str">
        <f ca="1">IFERROR(__xludf.DUMMYFUNCTION("GOOGLETRANSLATE(A12168 , ""tr"" , ""en"")"),"@drfahrettinkoca Disabled, Disabled Healthiers Saying with Social Media and Press Relations Ekpss ... https://t.co/xpwmhzlk0j")</f>
        <v>@drfahrettinkoca Disabled, Disabled Healthiers Saying with Social Media and Press Relations Ekpss ... https://t.co/xpwmhzlk0j</v>
      </c>
    </row>
    <row r="15370" spans="1:5" ht="15" customHeight="1" x14ac:dyDescent="0.2">
      <c r="A15370" s="1" t="s">
        <v>30300</v>
      </c>
      <c r="B15370" s="1">
        <v>0</v>
      </c>
      <c r="C15370" s="3">
        <v>44523.846805555557</v>
      </c>
      <c r="D15370" s="1" t="s">
        <v>30301</v>
      </c>
      <c r="E15370" s="1" t="str">
        <f ca="1">IFERROR(__xludf.DUMMYFUNCTION("GOOGLETRANSLATE(A12169 , ""tr"" , ""en"")"),"@drfahrettinkoca Disabled, Disabled healthcare people call you with social media and press releases Ekpss ... https://t.co/mkhrjbh7yr")</f>
        <v>@drfahrettinkoca Disabled, Disabled healthcare people call you with social media and press releases Ekpss ... https://t.co/mkhrjbh7yr</v>
      </c>
    </row>
    <row r="15371" spans="1:5" ht="15" customHeight="1" x14ac:dyDescent="0.2">
      <c r="A15371" s="1" t="s">
        <v>30302</v>
      </c>
      <c r="B15371" s="1">
        <v>0</v>
      </c>
      <c r="C15371" s="3">
        <v>44523.846724537034</v>
      </c>
      <c r="D15371" s="1" t="s">
        <v>30303</v>
      </c>
      <c r="E15371" s="1" t="str">
        <f ca="1">IFERROR(__xludf.DUMMYFUNCTION("GOOGLETRANSLATE(A12170 , ""tr"" , ""en"")"),"@drfahrettinkoca Disabled People with Disabled Health Calls You with Social Media and Press Relations Ekpss ... https://t.co/sbohyzzorl")</f>
        <v>@drfahrettinkoca Disabled People with Disabled Health Calls You with Social Media and Press Relations Ekpss ... https://t.co/sbohyzzorl</v>
      </c>
    </row>
    <row r="15372" spans="1:5" ht="15" customHeight="1" x14ac:dyDescent="0.2">
      <c r="A15372" s="1" t="s">
        <v>30304</v>
      </c>
      <c r="B15372" s="1">
        <v>0</v>
      </c>
      <c r="C15372" s="3">
        <v>44523.846631944441</v>
      </c>
      <c r="D15372" s="1" t="s">
        <v>30305</v>
      </c>
      <c r="E15372" s="1" t="str">
        <f ca="1">IFERROR(__xludf.DUMMYFUNCTION("GOOGLETRANSLATE(A12171 , ""tr"" , ""en"")"),"@drfahrettinkoca Disabled, Disabled Healthcare Says You with Social Media and Press Statements Ekpss ... https://t.co/y47nh6lws8")</f>
        <v>@drfahrettinkoca Disabled, Disabled Healthcare Says You with Social Media and Press Statements Ekpss ... https://t.co/y47nh6lws8</v>
      </c>
    </row>
    <row r="15373" spans="1:5" ht="15" customHeight="1" x14ac:dyDescent="0.2">
      <c r="A15373" s="1" t="s">
        <v>30306</v>
      </c>
      <c r="B15373" s="1">
        <v>0</v>
      </c>
      <c r="C15373" s="3">
        <v>44523.846516203703</v>
      </c>
      <c r="D15373" s="1" t="s">
        <v>30307</v>
      </c>
      <c r="E15373" s="1" t="str">
        <f ca="1">IFERROR(__xludf.DUMMYFUNCTION("GOOGLETRANSLATE(A12172 , ""tr"" , ""en"")"),"@drfahrettinkoca Disabled, Disabled Health Says You with Social Media and Press Releases Ekpss ... https://t.co/rhk4cydyyz")</f>
        <v>@drfahrettinkoca Disabled, Disabled Health Says You with Social Media and Press Releases Ekpss ... https://t.co/rhk4cydyyz</v>
      </c>
    </row>
    <row r="15374" spans="1:5" ht="15" customHeight="1" x14ac:dyDescent="0.2">
      <c r="A15374" s="1" t="s">
        <v>30308</v>
      </c>
      <c r="B15374" s="1">
        <v>0</v>
      </c>
      <c r="C15374" s="3">
        <v>44524.909201388888</v>
      </c>
      <c r="D15374" s="1" t="s">
        <v>30309</v>
      </c>
      <c r="E15374" s="1" t="str">
        <f ca="1">IFERROR(__xludf.DUMMYFUNCTION("GOOGLETRANSLATE(A12173 , ""tr"" , ""en"")"),"@drfahrettinkoca what will happen when the whole map is blue. The dollar will be 14.36 and the country will be occupied. Occupation with laws ... https://t.co/1drbylkxyp")</f>
        <v>@drfahrettinkoca what will happen when the whole map is blue. The dollar will be 14.36 and the country will be occupied. Occupation with laws ... https://t.co/1drbylkxyp</v>
      </c>
    </row>
    <row r="15375" spans="1:5" ht="15" customHeight="1" x14ac:dyDescent="0.2">
      <c r="A15375" s="1" t="s">
        <v>30310</v>
      </c>
      <c r="B15375" s="1">
        <v>0</v>
      </c>
      <c r="C15375" s="3">
        <v>44523.997118055559</v>
      </c>
      <c r="D15375" s="1" t="s">
        <v>30311</v>
      </c>
      <c r="E15375" s="1" t="str">
        <f ca="1">IFERROR(__xludf.DUMMYFUNCTION("GOOGLETRANSLATE(A12174 , ""tr"" , ""en"")"),"@drfahrettinkoca Hhaaa Hapşuuuu")</f>
        <v>@drfahrettinkoca Hhaaa Hapşuuuu</v>
      </c>
    </row>
    <row r="15376" spans="1:5" ht="15" customHeight="1" x14ac:dyDescent="0.2">
      <c r="A15376" s="1" t="s">
        <v>30312</v>
      </c>
      <c r="B15376" s="1">
        <v>0</v>
      </c>
      <c r="C15376" s="3">
        <v>44523.991631944446</v>
      </c>
      <c r="D15376" s="1" t="s">
        <v>30313</v>
      </c>
      <c r="E15376" s="1" t="str">
        <f ca="1">IFERROR(__xludf.DUMMYFUNCTION("GOOGLETRANSLATE(A12175 , ""tr"" , ""en"")"),"@drfahrettinkoca #wreshawing hair while burning the neighborhood although the neighborhood is burned in despite the neighborhood and the boys are opened ... https://t.co/ju1uuz7nc7")</f>
        <v>@drfahrettinkoca #wreshawing hair while burning the neighborhood although the neighborhood is burned in despite the neighborhood and the boys are opened ... https://t.co/ju1uuz7nc7</v>
      </c>
    </row>
    <row r="15377" spans="1:5" ht="15" customHeight="1" x14ac:dyDescent="0.2">
      <c r="A15377" s="1" t="s">
        <v>30314</v>
      </c>
      <c r="B15377" s="1">
        <v>0</v>
      </c>
      <c r="C15377" s="3">
        <v>44523.983576388891</v>
      </c>
      <c r="D15377" s="1" t="s">
        <v>30315</v>
      </c>
      <c r="E15377" s="1" t="str">
        <f ca="1">IFERROR(__xludf.DUMMYFUNCTION("GOOGLETRANSLATE(A12176 , ""tr"" , ""en"")"),"@drfahrettinkoca mask how many money has been gankam news")</f>
        <v>@drfahrettinkoca mask how many money has been gankam news</v>
      </c>
    </row>
    <row r="15378" spans="1:5" ht="15" customHeight="1" x14ac:dyDescent="0.2">
      <c r="A15378" s="1" t="s">
        <v>30316</v>
      </c>
      <c r="B15378" s="1">
        <v>0</v>
      </c>
      <c r="C15378" s="3">
        <v>44523.982789351852</v>
      </c>
      <c r="D15378" s="1" t="s">
        <v>30317</v>
      </c>
      <c r="E15378" s="1" t="str">
        <f ca="1">IFERROR(__xludf.DUMMYFUNCTION("GOOGLETRANSLATE(A12177 , ""tr"" , ""en"")"),"@drfahrettinkoca aga is normally difficult to breathe ..")</f>
        <v>@drfahrettinkoca aga is normally difficult to breathe ..</v>
      </c>
    </row>
    <row r="15379" spans="1:5" ht="15" customHeight="1" x14ac:dyDescent="0.2">
      <c r="A15379" s="1" t="s">
        <v>30318</v>
      </c>
      <c r="B15379" s="1">
        <v>0</v>
      </c>
      <c r="C15379" s="3">
        <v>44523.980439814812</v>
      </c>
      <c r="D15379" s="1" t="s">
        <v>30319</v>
      </c>
      <c r="E15379" s="1" t="str">
        <f ca="1">IFERROR(__xludf.DUMMYFUNCTION("GOOGLETRANSLATE(A12178 , ""tr"" , ""en"")"),"@drfahrettinkoca is the day that I believe in your Birdek Leather is the day I have lost my mind Mask Protect the Mask")</f>
        <v>@drfahrettinkoca is the day that I believe in your Birdek Leather is the day I have lost my mind Mask Protect the Mask</v>
      </c>
    </row>
    <row r="15380" spans="1:5" ht="15" customHeight="1" x14ac:dyDescent="0.2">
      <c r="A15380" s="1" t="s">
        <v>30320</v>
      </c>
      <c r="B15380" s="1">
        <v>0</v>
      </c>
      <c r="C15380" s="3">
        <v>44523.97859953704</v>
      </c>
      <c r="D15380" s="1" t="s">
        <v>30321</v>
      </c>
      <c r="E15380" s="1" t="str">
        <f ca="1">IFERROR(__xludf.DUMMYFUNCTION("GOOGLETRANSLATE(A12179 , ""tr"" , ""en"")"),"@drfahrettinkoca you like the fact that the economy sunk because of the following implying and shutdowns will no longer be enough")</f>
        <v>@drfahrettinkoca you like the fact that the economy sunk because of the following implying and shutdowns will no longer be enough</v>
      </c>
    </row>
    <row r="15381" spans="1:5" ht="15" customHeight="1" x14ac:dyDescent="0.2">
      <c r="A15381" s="1" t="s">
        <v>30322</v>
      </c>
      <c r="B15381" s="1">
        <v>1</v>
      </c>
      <c r="C15381" s="3">
        <v>44523.976099537038</v>
      </c>
      <c r="D15381" s="1" t="s">
        <v>30323</v>
      </c>
      <c r="E15381" s="1" t="str">
        <f ca="1">IFERROR(__xludf.DUMMYFUNCTION("GOOGLETRANSLATE(A12180 , ""tr"" , ""en"")"),"@drfahrettinkoca Are you still not going to take measures? # I'm in my state")</f>
        <v>@drfahrettinkoca Are you still not going to take measures? # I'm in my state</v>
      </c>
    </row>
    <row r="15382" spans="1:5" ht="15" customHeight="1" x14ac:dyDescent="0.2">
      <c r="A15382" s="1" t="s">
        <v>30324</v>
      </c>
      <c r="B15382" s="1">
        <v>0</v>
      </c>
      <c r="C15382" s="3">
        <v>44523.974340277775</v>
      </c>
      <c r="D15382" s="1" t="s">
        <v>30325</v>
      </c>
      <c r="E15382" s="1" t="str">
        <f ca="1">IFERROR(__xludf.DUMMYFUNCTION("GOOGLETRANSLATE(A12181 , ""tr"" , ""en"")"),"@drfahrettinkoca rise the dollars in the coins GOZE GOZE GOZE Maske Hit Maske Hutmak, very good ... https://t.co/ujyjlzxruc")</f>
        <v>@drfahrettinkoca rise the dollars in the coins GOZE GOZE GOZE Maske Hit Maske Hutmak, very good ... https://t.co/ujyjlzxruc</v>
      </c>
    </row>
    <row r="15383" spans="1:5" ht="15" customHeight="1" x14ac:dyDescent="0.2">
      <c r="A15383" s="1" t="s">
        <v>30326</v>
      </c>
      <c r="B15383" s="1">
        <v>0</v>
      </c>
      <c r="C15383" s="3">
        <v>44523.964502314811</v>
      </c>
      <c r="D15383" s="1" t="s">
        <v>30327</v>
      </c>
      <c r="E15383" s="1" t="str">
        <f ca="1">IFERROR(__xludf.DUMMYFUNCTION("GOOGLETRANSLATE(A12182 , ""tr"" , ""en"")"),"@drfahrettinkoca we were fed up now everyday lying wrong words so that the head is told that the nation tells the nation this day ... https://t.co/ogykjuowrf")</f>
        <v>@drfahrettinkoca we were fed up now everyday lying wrong words so that the head is told that the nation tells the nation this day ... https://t.co/ogykjuowrf</v>
      </c>
    </row>
    <row r="15384" spans="1:5" ht="15" customHeight="1" x14ac:dyDescent="0.2">
      <c r="A15384" s="1" t="s">
        <v>30328</v>
      </c>
      <c r="B15384" s="1">
        <v>1</v>
      </c>
      <c r="C15384" s="3">
        <v>44523.961921296293</v>
      </c>
      <c r="D15384" s="1" t="s">
        <v>30329</v>
      </c>
      <c r="E15384" s="1" t="str">
        <f ca="1">IFERROR(__xludf.DUMMYFUNCTION("GOOGLETRANSLATE(A12183 , ""tr"" , ""en"")"),"@drfahrettinkoca dollar 13 have been, folks are up to ac you are still tired of vaccine, you are the stubborn man")</f>
        <v>@drfahrettinkoca dollar 13 have been, folks are up to ac you are still tired of vaccine, you are the stubborn man</v>
      </c>
    </row>
    <row r="15385" spans="1:5" ht="15" customHeight="1" x14ac:dyDescent="0.2">
      <c r="A15385" s="1" t="s">
        <v>30330</v>
      </c>
      <c r="B15385" s="1">
        <v>0</v>
      </c>
      <c r="C15385" s="3">
        <v>44523.951180555552</v>
      </c>
      <c r="D15385" s="1" t="s">
        <v>30331</v>
      </c>
      <c r="E15385" s="1" t="str">
        <f ca="1">IFERROR(__xludf.DUMMYFUNCTION("GOOGLETRANSLATE(A12184 , ""tr"" , ""en"")"),"@drfahrettinkoca hocam I brought positive medicine on November 22 Date of history When I was looking for the package Old i New Diy ... https://t.co/wpm1fysojv")</f>
        <v>@drfahrettinkoca hocam I brought positive medicine on November 22 Date of history When I was looking for the package Old i New Diy ... https://t.co/wpm1fysojv</v>
      </c>
    </row>
    <row r="15386" spans="1:5" ht="15" customHeight="1" x14ac:dyDescent="0.2">
      <c r="A15386" s="1" t="s">
        <v>30332</v>
      </c>
      <c r="B15386" s="1">
        <v>0</v>
      </c>
      <c r="C15386" s="3">
        <v>44523.947523148148</v>
      </c>
      <c r="D15386" s="1" t="s">
        <v>30333</v>
      </c>
      <c r="E15386" s="1" t="str">
        <f ca="1">IFERROR(__xludf.DUMMYFUNCTION("GOOGLETRANSLATE(A12185 , ""tr"" , ""en"")"),"@drfahrettinkoca Leave now the following lies folks woke up the mask of the mask is the PCR's lies much damage ... https://t.co/fr9gny1wvd")</f>
        <v>@drfahrettinkoca Leave now the following lies folks woke up the mask of the mask is the PCR's lies much damage ... https://t.co/fr9gny1wvd</v>
      </c>
    </row>
    <row r="15387" spans="1:5" ht="15" customHeight="1" x14ac:dyDescent="0.2">
      <c r="A15387" s="1" t="s">
        <v>30334</v>
      </c>
      <c r="B15387" s="1">
        <v>0</v>
      </c>
      <c r="C15387" s="3">
        <v>44523.945347222223</v>
      </c>
      <c r="D15387" s="1" t="s">
        <v>30335</v>
      </c>
      <c r="E15387" s="1" t="str">
        <f ca="1">IFERROR(__xludf.DUMMYFUNCTION("GOOGLETRANSLATE(A12186 , ""tr"" , ""en"")"),"@drfahrettinkoca tell me something! There is a reason I have no vaccination! https://t.co/vowel7norz")</f>
        <v>@drfahrettinkoca tell me something! There is a reason I have no vaccination! https://t.co/vowel7norz</v>
      </c>
    </row>
    <row r="15388" spans="1:5" ht="15" customHeight="1" x14ac:dyDescent="0.2">
      <c r="A15388" s="1" t="s">
        <v>30336</v>
      </c>
      <c r="B15388" s="1">
        <v>1</v>
      </c>
      <c r="C15388" s="3">
        <v>44523.943564814814</v>
      </c>
      <c r="D15388" s="1" t="s">
        <v>30337</v>
      </c>
      <c r="E15388" s="1" t="str">
        <f ca="1">IFERROR(__xludf.DUMMYFUNCTION("GOOGLETRANSLATE(A12187 , ""tr"" , ""en"")"),"@drfahrettinkoca country econyoni also in health sinking in health, believe your fitting tales in the ahaber place ... https://t.co/xbm8PPLIOL")</f>
        <v>@drfahrettinkoca country econyoni also in health sinking in health, believe your fitting tales in the ahaber place ... https://t.co/xbm8PPLIOL</v>
      </c>
    </row>
    <row r="15389" spans="1:5" ht="15" customHeight="1" x14ac:dyDescent="0.2">
      <c r="A15389" s="1" t="s">
        <v>30338</v>
      </c>
      <c r="B15389" s="1">
        <v>2</v>
      </c>
      <c r="C15389" s="3">
        <v>44523.937754629631</v>
      </c>
      <c r="D15389" s="1" t="s">
        <v>30339</v>
      </c>
      <c r="E15389" s="1" t="str">
        <f ca="1">IFERROR(__xludf.DUMMYFUNCTION("GOOGLETRANSLATE(A12188 , ""tr"" , ""en"")"),"@drfahrettinka Close up The following schools now be the only right of the Bari is the following decision for us @drfahrettinkoca")</f>
        <v>@drfahrettinka Close up The following schools now be the only right of the Bari is the following decision for us @drfahrettinkoca</v>
      </c>
    </row>
    <row r="15390" spans="1:5" ht="15" customHeight="1" x14ac:dyDescent="0.2">
      <c r="A15390" s="1" t="s">
        <v>30340</v>
      </c>
      <c r="B15390" s="1">
        <v>0</v>
      </c>
      <c r="C15390" s="3">
        <v>44523.936898148146</v>
      </c>
      <c r="D15390" s="1" t="s">
        <v>30341</v>
      </c>
      <c r="E15390" s="1" t="str">
        <f ca="1">IFERROR(__xludf.DUMMYFUNCTION("GOOGLETRANSLATE(A12189 , ""tr"" , ""en"")"),"@drfahrettinkoca yahu is a twit aticam and not to write a positive sentence about me, about me, k ... https://t.co/s8jl9sblbc")</f>
        <v>@drfahrettinkoca yahu is a twit aticam and not to write a positive sentence about me, about me, k ... https://t.co/s8jl9sblbc</v>
      </c>
    </row>
    <row r="15391" spans="1:5" ht="15" customHeight="1" x14ac:dyDescent="0.2">
      <c r="A15391" s="1" t="s">
        <v>30342</v>
      </c>
      <c r="B15391" s="1">
        <v>0</v>
      </c>
      <c r="C15391" s="3">
        <v>44523.922476851854</v>
      </c>
      <c r="D15391" s="1" t="s">
        <v>30343</v>
      </c>
      <c r="E15391" s="1" t="str">
        <f ca="1">IFERROR(__xludf.DUMMYFUNCTION("GOOGLETRANSLATE(A12190 , ""tr"" , ""en"")"),"@drfahrettinkoca is very little built built")</f>
        <v>@drfahrettinkoca is very little built built</v>
      </c>
    </row>
    <row r="15392" spans="1:5" ht="15" customHeight="1" x14ac:dyDescent="0.2">
      <c r="A15392" s="1" t="s">
        <v>30344</v>
      </c>
      <c r="B15392" s="1">
        <v>0</v>
      </c>
      <c r="C15392" s="3">
        <v>44523.921284722222</v>
      </c>
      <c r="D15392" s="1" t="s">
        <v>30345</v>
      </c>
      <c r="E15392" s="1" t="str">
        <f ca="1">IFERROR(__xludf.DUMMYFUNCTION("GOOGLETRANSLATE(A12191 , ""tr"" , ""en"")"),"@drfahrettinkoca keep scanning your hair")</f>
        <v>@drfahrettinkoca keep scanning your hair</v>
      </c>
    </row>
    <row r="15393" spans="1:5" ht="15" customHeight="1" x14ac:dyDescent="0.2">
      <c r="A15393" s="1" t="s">
        <v>30346</v>
      </c>
      <c r="B15393" s="1">
        <v>0</v>
      </c>
      <c r="C15393" s="3">
        <v>44523.92083333333</v>
      </c>
      <c r="D15393" s="1" t="s">
        <v>30347</v>
      </c>
      <c r="E15393" s="1" t="str">
        <f ca="1">IFERROR(__xludf.DUMMYFUNCTION("GOOGLETRANSLATE(A12192 , ""tr"" , ""en"")"),"@drfahrettinkoca Remote Education Final Exams Online Lessons Already Online 20 Hour Way 2 3 Saa ... https://t.co/uyovvvvfpwb")</f>
        <v>@drfahrettinkoca Remote Education Final Exams Online Lessons Already Online 20 Hour Way 2 3 Saa ... https://t.co/uyovvvvfpwb</v>
      </c>
    </row>
    <row r="15394" spans="1:5" ht="15" customHeight="1" x14ac:dyDescent="0.2">
      <c r="A15394" s="1" t="s">
        <v>30348</v>
      </c>
      <c r="B15394" s="1">
        <v>0</v>
      </c>
      <c r="C15394" s="3">
        <v>44523.920486111114</v>
      </c>
      <c r="D15394" s="1" t="s">
        <v>30349</v>
      </c>
      <c r="E15394" s="1" t="str">
        <f ca="1">IFERROR(__xludf.DUMMYFUNCTION("GOOGLETRANSLATE(A12193 , ""tr"" , ""en"")"),"@drfahrettinkoca Remote Education Final Exams Online Please Lessons Are Already Online 20 Hours 2 3 SAA ... https://t.co/eg4q7siyj8")</f>
        <v>@drfahrettinkoca Remote Education Final Exams Online Please Lessons Are Already Online 20 Hours 2 3 SAA ... https://t.co/eg4q7siyj8</v>
      </c>
    </row>
    <row r="15395" spans="1:5" ht="15" customHeight="1" x14ac:dyDescent="0.2">
      <c r="A15395" s="1" t="s">
        <v>30350</v>
      </c>
      <c r="B15395" s="1">
        <v>0</v>
      </c>
      <c r="C15395" s="3">
        <v>44523.919907407406</v>
      </c>
      <c r="D15395" s="1" t="s">
        <v>30351</v>
      </c>
      <c r="E15395" s="1" t="str">
        <f ca="1">IFERROR(__xludf.DUMMYFUNCTION("GOOGLETRANSLATE(A12194 , ""tr"" , ""en"")"),"@drfahrettinkoca Mr. Minine Remote Education Final Exams Online Lessons Already online 20 hours ... https://t.co/4a5gpo2qqj")</f>
        <v>@drfahrettinkoca Mr. Minine Remote Education Final Exams Online Lessons Already online 20 hours ... https://t.co/4a5gpo2qqj</v>
      </c>
    </row>
    <row r="15396" spans="1:5" ht="15" customHeight="1" x14ac:dyDescent="0.2">
      <c r="A15396" s="1" t="s">
        <v>30352</v>
      </c>
      <c r="B15396" s="1">
        <v>0</v>
      </c>
      <c r="C15396" s="3">
        <v>44523.91983796296</v>
      </c>
      <c r="D15396" s="1" t="s">
        <v>30353</v>
      </c>
      <c r="E15396" s="1" t="str">
        <f ca="1">IFERROR(__xludf.DUMMYFUNCTION("GOOGLETRANSLATE(A12195 , ""tr"" , ""en"")"),"@drfahrettinka https://t.co/wfizItlwzh")</f>
        <v>@drfahrettinka https://t.co/wfizItlwzh</v>
      </c>
    </row>
    <row r="15397" spans="1:5" ht="15" customHeight="1" x14ac:dyDescent="0.2">
      <c r="A15397" s="1" t="s">
        <v>30354</v>
      </c>
      <c r="B15397" s="1">
        <v>0</v>
      </c>
      <c r="C15397" s="3">
        <v>44523.919687499998</v>
      </c>
      <c r="D15397" s="1" t="s">
        <v>30355</v>
      </c>
      <c r="E15397" s="1" t="str">
        <f ca="1">IFERROR(__xludf.DUMMYFUNCTION("GOOGLETRANSLATE(A12196 , ""tr"" , ""en"")"),"@drfahrettinkoca Remote Education Final Exams Online Online Lessons Already Online 20 Hours 2 3 SAA ... https://t.co/3z4foukr3h")</f>
        <v>@drfahrettinkoca Remote Education Final Exams Online Online Lessons Already Online 20 Hours 2 3 SAA ... https://t.co/3z4foukr3h</v>
      </c>
    </row>
    <row r="15398" spans="1:5" ht="15" customHeight="1" x14ac:dyDescent="0.2">
      <c r="A15398" s="1" t="s">
        <v>30356</v>
      </c>
      <c r="B15398" s="1">
        <v>0</v>
      </c>
      <c r="C15398" s="3">
        <v>44523.918993055559</v>
      </c>
      <c r="D15398" s="1" t="s">
        <v>30357</v>
      </c>
      <c r="E15398" s="1" t="str">
        <f ca="1">IFERROR(__xludf.DUMMYFUNCTION("GOOGLETRANSLATE(A12197 , ""tr"" , ""en"")"),"@drfahrettinkoca Anatolia AUFU His face-to-face structure in the following cases and death figures Either Vebali @Proffuaterdal @drfahrettinkoca")</f>
        <v>@drfahrettinkoca Anatolia AUFU His face-to-face structure in the following cases and death figures Either Vebali @Proffuaterdal @drfahrettinkoca</v>
      </c>
    </row>
    <row r="15399" spans="1:5" ht="15" customHeight="1" x14ac:dyDescent="0.2">
      <c r="A15399" s="1" t="s">
        <v>30358</v>
      </c>
      <c r="B15399" s="1">
        <v>0</v>
      </c>
      <c r="C15399" s="3">
        <v>44523.918749999997</v>
      </c>
      <c r="D15399" s="1" t="s">
        <v>30359</v>
      </c>
      <c r="E15399" s="1" t="str">
        <f ca="1">IFERROR(__xludf.DUMMYFUNCTION("GOOGLETRANSLATE(A12198 , ""tr"" , ""en"")"),"@drfahrettinkoca Remote Education Final Exams Online Please Lessons Already Online 20 Hours 2 3 SAA ... https://t.co/mg9sworfqq")</f>
        <v>@drfahrettinkoca Remote Education Final Exams Online Please Lessons Already Online 20 Hours 2 3 SAA ... https://t.co/mg9sworfqq</v>
      </c>
    </row>
    <row r="15400" spans="1:5" ht="15" customHeight="1" x14ac:dyDescent="0.2">
      <c r="A15400" s="1" t="s">
        <v>30360</v>
      </c>
      <c r="B15400" s="1">
        <v>2</v>
      </c>
      <c r="C15400" s="3">
        <v>44523.918680555558</v>
      </c>
      <c r="D15400" s="1" t="s">
        <v>30361</v>
      </c>
      <c r="E15400" s="1" t="str">
        <f ca="1">IFERROR(__xludf.DUMMYFUNCTION("GOOGLETRANSLATE(A12199 , ""tr"" , ""en"")"),"@drfahrettinkoca How many Billion Dollars don't work on mask and medicines? How many billion dollars are people sick ... https://t.co/npgmt9zfqp")</f>
        <v>@drfahrettinkoca How many Billion Dollars don't work on mask and medicines? How many billion dollars are people sick ... https://t.co/npgmt9zfqp</v>
      </c>
    </row>
    <row r="15401" spans="1:5" ht="15" customHeight="1" x14ac:dyDescent="0.2">
      <c r="A15401" s="1" t="s">
        <v>30362</v>
      </c>
      <c r="B15401" s="1">
        <v>0</v>
      </c>
      <c r="C15401" s="3">
        <v>44523.917592592596</v>
      </c>
      <c r="D15401" s="1" t="s">
        <v>30363</v>
      </c>
      <c r="E15401" s="1" t="str">
        <f ca="1">IFERROR(__xludf.DUMMYFUNCTION("GOOGLETRANSLATE(A12200 , ""tr"" , ""en"")"),"@drfahrettinkoca You have also tighten.")</f>
        <v>@drfahrettinkoca You have also tighten.</v>
      </c>
    </row>
    <row r="15402" spans="1:5" ht="15" customHeight="1" x14ac:dyDescent="0.2">
      <c r="A15402" s="1" t="s">
        <v>30364</v>
      </c>
      <c r="B15402" s="1">
        <v>0</v>
      </c>
      <c r="C15402" s="3">
        <v>44523.917488425926</v>
      </c>
      <c r="D15402" s="1" t="s">
        <v>30365</v>
      </c>
      <c r="E15402" s="1" t="str">
        <f ca="1">IFERROR(__xludf.DUMMYFUNCTION("GOOGLETRANSLATE(A12201 , ""tr"" , ""en"")"),"@drfahrettinkoca you are lying you betray There are no Virus")</f>
        <v>@drfahrettinkoca you are lying you betray There are no Virus</v>
      </c>
    </row>
    <row r="15403" spans="1:5" ht="15" customHeight="1" x14ac:dyDescent="0.2">
      <c r="A15403" s="1" t="s">
        <v>30366</v>
      </c>
      <c r="B15403" s="1">
        <v>0</v>
      </c>
      <c r="C15403" s="3">
        <v>44523.917430555557</v>
      </c>
      <c r="D15403" s="1" t="s">
        <v>30367</v>
      </c>
      <c r="E15403" s="1" t="str">
        <f ca="1">IFERROR(__xludf.DUMMYFUNCTION("GOOGLETRANSLATE(A12202 , ""tr"" , ""en"")"),"@drfahrettinkoca #Devletiminyanindayim")</f>
        <v>@drfahrettinkoca #Devletiminyanindayim</v>
      </c>
    </row>
    <row r="15404" spans="1:5" ht="15" customHeight="1" x14ac:dyDescent="0.2">
      <c r="A15404" s="1" t="s">
        <v>30368</v>
      </c>
      <c r="B15404" s="1">
        <v>37</v>
      </c>
      <c r="C15404" s="3">
        <v>44523.915266203701</v>
      </c>
      <c r="D15404" s="1" t="s">
        <v>30369</v>
      </c>
      <c r="E15404" s="1" t="str">
        <f ca="1">IFERROR(__xludf.DUMMYFUNCTION("GOOGLETRANSLATE(A12203 , ""tr"" , ""en"")"),"@drfahrettinkoca Do not go on the street, do not enter closed places, plaster the arms to be vaccinated, to make their provinces to make azure ... https://t.co/rmfsu17hqd")</f>
        <v>@drfahrettinkoca Do not go on the street, do not enter closed places, plaster the arms to be vaccinated, to make their provinces to make azure ... https://t.co/rmfsu17hqd</v>
      </c>
    </row>
    <row r="15405" spans="1:5" ht="15" customHeight="1" x14ac:dyDescent="0.2">
      <c r="A15405" s="1" t="s">
        <v>30370</v>
      </c>
      <c r="B15405" s="1">
        <v>0</v>
      </c>
      <c r="C15405" s="3">
        <v>44523.913460648146</v>
      </c>
      <c r="D15405" s="1" t="s">
        <v>30371</v>
      </c>
      <c r="E15405" s="1" t="str">
        <f ca="1">IFERROR(__xludf.DUMMYFUNCTION("GOOGLETRANSLATE(A12204 , ""tr"" , ""en"")"),"@drfahrettinka fortunately you are not the Minister of Economy ...")</f>
        <v>@drfahrettinka fortunately you are not the Minister of Economy ...</v>
      </c>
    </row>
    <row r="15406" spans="1:5" ht="15" customHeight="1" x14ac:dyDescent="0.2">
      <c r="A15406" s="1" t="s">
        <v>30372</v>
      </c>
      <c r="B15406" s="1">
        <v>0</v>
      </c>
      <c r="C15406" s="3">
        <v>44523.913321759261</v>
      </c>
      <c r="D15406" s="1" t="s">
        <v>30373</v>
      </c>
      <c r="E15406" s="1" t="str">
        <f ca="1">IFERROR(__xludf.DUMMYFUNCTION("GOOGLETRANSLATE(A12205 , ""tr"" , ""en"")"),"@drfahrettinkoca where my wrote are the commentators here")</f>
        <v>@drfahrettinkoca where my wrote are the commentators here</v>
      </c>
    </row>
    <row r="15407" spans="1:5" ht="15" customHeight="1" x14ac:dyDescent="0.2">
      <c r="A15407" s="1" t="s">
        <v>30374</v>
      </c>
      <c r="B15407" s="1">
        <v>0</v>
      </c>
      <c r="C15407" s="3">
        <v>44523.912175925929</v>
      </c>
      <c r="D15407" s="1" t="s">
        <v>30375</v>
      </c>
      <c r="E15407" s="1" t="str">
        <f ca="1">IFERROR(__xludf.DUMMYFUNCTION("GOOGLETRANSLATE(A12206 , ""tr"" , ""en"")"),"@drfahrettinkoca this virus as though there is only one of you in Turkey as well as the acquaintance of this virus is the acquaintance of it now according to her ... https://t.co/15mrf0pm0z")</f>
        <v>@drfahrettinkoca this virus as though there is only one of you in Turkey as well as the acquaintance of this virus is the acquaintance of it now according to her ... https://t.co/15mrf0pm0z</v>
      </c>
    </row>
    <row r="15408" spans="1:5" ht="15" customHeight="1" x14ac:dyDescent="0.2">
      <c r="A15408" s="1" t="s">
        <v>30376</v>
      </c>
      <c r="B15408" s="1">
        <v>0</v>
      </c>
      <c r="C15408" s="3">
        <v>44523.910810185182</v>
      </c>
      <c r="D15408" s="1" t="s">
        <v>30377</v>
      </c>
      <c r="E15408" s="1" t="str">
        <f ca="1">IFERROR(__xludf.DUMMYFUNCTION("GOOGLETRANSLATE(A12207 , ""tr"" , ""en"")"),"@drfahrettinkoca is waiting for assignment")</f>
        <v>@drfahrettinkoca is waiting for assignment</v>
      </c>
    </row>
    <row r="15409" spans="1:5" ht="15" customHeight="1" x14ac:dyDescent="0.2">
      <c r="A15409" s="1" t="s">
        <v>30378</v>
      </c>
      <c r="B15409" s="1">
        <v>2</v>
      </c>
      <c r="C15409" s="3">
        <v>44523.908009259256</v>
      </c>
      <c r="D15409" s="1" t="s">
        <v>30379</v>
      </c>
      <c r="E15409" s="1" t="str">
        <f ca="1">IFERROR(__xludf.DUMMYFUNCTION("GOOGLETRANSLATE(A12208 , ""tr"" , ""en"")"),"@drfahrettinkoca human embarrassment in case of water in case of water")</f>
        <v>@drfahrettinkoca human embarrassment in case of water in case of water</v>
      </c>
    </row>
    <row r="15410" spans="1:5" ht="15" customHeight="1" x14ac:dyDescent="0.2">
      <c r="A15410" s="1" t="s">
        <v>30380</v>
      </c>
      <c r="B15410" s="1">
        <v>0</v>
      </c>
      <c r="C15410" s="3">
        <v>44523.907962962963</v>
      </c>
      <c r="D15410" s="1" t="s">
        <v>30381</v>
      </c>
      <c r="E15410" s="1" t="str">
        <f ca="1">IFERROR(__xludf.DUMMYFUNCTION("GOOGLETRANSLATE(A12209 , ""tr"" , ""en"")"),"@drfahrettinkoca disease peaks, you are still committed to keeping schools open. This decision you ... https://t.co/3rhtlnbkk5")</f>
        <v>@drfahrettinkoca disease peaks, you are still committed to keeping schools open. This decision you ... https://t.co/3rhtlnbkk5</v>
      </c>
    </row>
    <row r="15411" spans="1:5" ht="15" customHeight="1" x14ac:dyDescent="0.2">
      <c r="A15411" s="1" t="s">
        <v>30382</v>
      </c>
      <c r="B15411" s="1">
        <v>0</v>
      </c>
      <c r="C15411" s="3">
        <v>44523.906956018516</v>
      </c>
      <c r="D15411" s="1" t="s">
        <v>30383</v>
      </c>
      <c r="E15411" s="1" t="str">
        <f ca="1">IFERROR(__xludf.DUMMYFUNCTION("GOOGLETRANSLATE(A12210 , ""tr"" , ""en"")"),"@drfahrettinkoca nation husband in the livelihood !!! Maskeymis Hygienmis Vaccine Ymis.Au try to remove the bear with salaries ... https://t.co/u8npssslltf")</f>
        <v>@drfahrettinkoca nation husband in the livelihood !!! Maskeymis Hygienmis Vaccine Ymis.Au try to remove the bear with salaries ... https://t.co/u8npssslltf</v>
      </c>
    </row>
    <row r="15412" spans="1:5" ht="15" customHeight="1" x14ac:dyDescent="0.2">
      <c r="A15412" s="1" t="s">
        <v>30384</v>
      </c>
      <c r="B15412" s="1">
        <v>0</v>
      </c>
      <c r="C15412" s="3">
        <v>44523.902418981481</v>
      </c>
      <c r="D15412" s="1" t="s">
        <v>30385</v>
      </c>
      <c r="E15412" s="1" t="str">
        <f ca="1">IFERROR(__xludf.DUMMYFUNCTION("GOOGLETRANSLATE(A12211 , ""tr"" , ""en"")"),"@drfahrettinkoca is a long time for the first time a non-vaccination tweet. Interesting.")</f>
        <v>@drfahrettinkoca is a long time for the first time a non-vaccination tweet. Interesting.</v>
      </c>
    </row>
    <row r="15413" spans="1:5" ht="15" customHeight="1" x14ac:dyDescent="0.2">
      <c r="A15413" s="1" t="s">
        <v>30386</v>
      </c>
      <c r="B15413" s="1">
        <v>0</v>
      </c>
      <c r="C15413" s="3">
        <v>44523.901006944441</v>
      </c>
      <c r="D15413" s="1" t="s">
        <v>30387</v>
      </c>
      <c r="E15413" s="1" t="str">
        <f ca="1">IFERROR(__xludf.DUMMYFUNCTION("GOOGLETRANSLATE(A12212 , ""tr"" , ""en"")"),"@drfahrettinkoca DIA What dion you 😂")</f>
        <v>@drfahrettinkoca DIA What dion you 😂</v>
      </c>
    </row>
    <row r="15414" spans="1:5" ht="15" customHeight="1" x14ac:dyDescent="0.2">
      <c r="A15414" s="1" t="s">
        <v>30388</v>
      </c>
      <c r="B15414" s="1">
        <v>0</v>
      </c>
      <c r="C15414" s="3">
        <v>44523.897557870368</v>
      </c>
      <c r="D15414" s="1" t="s">
        <v>30389</v>
      </c>
      <c r="E15414" s="1" t="str">
        <f ca="1">IFERROR(__xludf.DUMMYFUNCTION("GOOGLETRANSLATE(A12213 , ""tr"" , ""en"")"),"@drfahrettinkoca Drop is now reading a blower. Erdogan A and the damage you give to the country is enough.")</f>
        <v>@drfahrettinkoca Drop is now reading a blower. Erdogan A and the damage you give to the country is enough.</v>
      </c>
    </row>
    <row r="15415" spans="1:5" ht="15" customHeight="1" x14ac:dyDescent="0.2">
      <c r="A15415" s="1" t="s">
        <v>30390</v>
      </c>
      <c r="B15415" s="1">
        <v>3</v>
      </c>
      <c r="C15415" s="3">
        <v>44523.896898148145</v>
      </c>
      <c r="D15415" s="1" t="s">
        <v>30391</v>
      </c>
      <c r="E15415" s="1" t="str">
        <f ca="1">IFERROR(__xludf.DUMMYFUNCTION("GOOGLETRANSLATE(A12214 , ""tr"" , ""en"")"),"@drfahrettinkoca fahrettin Bey is the micropies on the surfaces of the virus? Virus with virus -Virus with the microp and the microbe ... https://t.co/4oıze5w1ro")</f>
        <v>@drfahrettinkoca fahrettin Bey is the micropies on the surfaces of the virus? Virus with virus -Virus with the microp and the microbe ... https://t.co/4oıze5w1ro</v>
      </c>
    </row>
    <row r="15416" spans="1:5" ht="15" customHeight="1" x14ac:dyDescent="0.2">
      <c r="A15416" s="1" t="s">
        <v>30392</v>
      </c>
      <c r="B15416" s="1">
        <v>0</v>
      </c>
      <c r="C15416" s="3">
        <v>44523.895358796297</v>
      </c>
      <c r="D15416" s="1" t="s">
        <v>30393</v>
      </c>
      <c r="E15416" s="1" t="str">
        <f ca="1">IFERROR(__xludf.DUMMYFUNCTION("GOOGLETRANSLATE(A12215 , ""tr"" , ""en"")"),"@drfahrettinkoca snont leaving overlooking this ridiculous map neither economy nor psychology in homeland ... https://t.co/eo7jg2x8Bu")</f>
        <v>@drfahrettinkoca snont leaving overlooking this ridiculous map neither economy nor psychology in homeland ... https://t.co/eo7jg2x8Bu</v>
      </c>
    </row>
    <row r="15417" spans="1:5" ht="15" customHeight="1" x14ac:dyDescent="0.2">
      <c r="A15417" s="1" t="s">
        <v>30394</v>
      </c>
      <c r="B15417" s="1">
        <v>21</v>
      </c>
      <c r="C15417" s="3">
        <v>44523.89403935185</v>
      </c>
      <c r="D15417" s="1" t="s">
        <v>30395</v>
      </c>
      <c r="E15417" s="1" t="str">
        <f ca="1">IFERROR(__xludf.DUMMYFUNCTION("GOOGLETRANSLATE(A12216 , ""tr"" , ""en"")"),"@drfahrettinkoca mask called rags with rags are going to the bathroom at school, running in the bathroom, running and playing in places ... https://t.co/mdup0kpt1a")</f>
        <v>@drfahrettinkoca mask called rags with rags are going to the bathroom at school, running in the bathroom, running and playing in places ... https://t.co/mdup0kpt1a</v>
      </c>
    </row>
    <row r="15418" spans="1:5" ht="15" customHeight="1" x14ac:dyDescent="0.2">
      <c r="A15418" s="1" t="s">
        <v>30396</v>
      </c>
      <c r="B15418" s="1">
        <v>0</v>
      </c>
      <c r="C15418" s="3">
        <v>44523.893275462964</v>
      </c>
      <c r="D15418" s="1" t="s">
        <v>30397</v>
      </c>
      <c r="E15418" s="1" t="str">
        <f ca="1">IFERROR(__xludf.DUMMYFUNCTION("GOOGLETRANSLATE(A12217 , ""tr"" , ""en"")"),"@drfahrettinkoca close now O, hubby")</f>
        <v>@drfahrettinkoca close now O, hubby</v>
      </c>
    </row>
    <row r="15419" spans="1:5" ht="15" customHeight="1" x14ac:dyDescent="0.2">
      <c r="A15419" s="1" t="s">
        <v>30398</v>
      </c>
      <c r="B15419" s="1">
        <v>0</v>
      </c>
      <c r="C15419" s="3">
        <v>44523.890949074077</v>
      </c>
      <c r="D15419" s="1" t="s">
        <v>30399</v>
      </c>
      <c r="E15419" s="1" t="str">
        <f ca="1">IFERROR(__xludf.DUMMYFUNCTION("GOOGLETRANSLATE(A12218 , ""tr"" , ""en"")"),"@drfahrettinkoca Thanks to the dollar record ...")</f>
        <v>@drfahrettinkoca Thanks to the dollar record ...</v>
      </c>
    </row>
    <row r="15420" spans="1:5" ht="15" customHeight="1" x14ac:dyDescent="0.2">
      <c r="A15420" s="1" t="s">
        <v>30400</v>
      </c>
      <c r="B15420" s="1">
        <v>0</v>
      </c>
      <c r="C15420" s="3">
        <v>44523.890104166669</v>
      </c>
      <c r="D15420" s="1" t="s">
        <v>30401</v>
      </c>
      <c r="E15420" s="1" t="str">
        <f ca="1">IFERROR(__xludf.DUMMYFUNCTION("GOOGLETRANSLATE(A12219 , ""tr"" , ""en"")"),"@drfahrettinka https://t.co/zwhcıvqnhg")</f>
        <v>@drfahrettinka https://t.co/zwhcıvqnhg</v>
      </c>
    </row>
    <row r="15421" spans="1:5" ht="15" customHeight="1" x14ac:dyDescent="0.2">
      <c r="A15421" s="1" t="s">
        <v>30402</v>
      </c>
      <c r="B15421" s="1">
        <v>0</v>
      </c>
      <c r="C15421" s="3">
        <v>44523.890069444446</v>
      </c>
      <c r="D15421" s="1" t="s">
        <v>30403</v>
      </c>
      <c r="E15421" s="1" t="str">
        <f ca="1">IFERROR(__xludf.DUMMYFUNCTION("GOOGLETRANSLATE(A12220 , ""tr"" , ""en"")"),"@drfahrettinka https://t.co/H1BZI1RMD9")</f>
        <v>@drfahrettinka https://t.co/H1BZI1RMD9</v>
      </c>
    </row>
    <row r="15422" spans="1:5" ht="15" customHeight="1" x14ac:dyDescent="0.2">
      <c r="A15422" s="1" t="s">
        <v>30404</v>
      </c>
      <c r="B15422" s="1">
        <v>0</v>
      </c>
      <c r="C15422" s="3">
        <v>44523.889537037037</v>
      </c>
      <c r="D15422" s="1" t="s">
        <v>30405</v>
      </c>
      <c r="E15422" s="1" t="str">
        <f ca="1">IFERROR(__xludf.DUMMYFUNCTION("GOOGLETRANSLATE(A12221 , ""tr"" , ""en"")"),"@drfahrettinkoca https://t.co/xxz8llcjzh")</f>
        <v>@drfahrettinkoca https://t.co/xxz8llcjzh</v>
      </c>
    </row>
    <row r="15423" spans="1:5" ht="15" customHeight="1" x14ac:dyDescent="0.2">
      <c r="A15423" s="1" t="s">
        <v>30406</v>
      </c>
      <c r="B15423" s="1">
        <v>0</v>
      </c>
      <c r="C15423" s="3">
        <v>44523.889490740738</v>
      </c>
      <c r="D15423" s="1" t="s">
        <v>30407</v>
      </c>
      <c r="E15423" s="1" t="str">
        <f ca="1">IFERROR(__xludf.DUMMYFUNCTION("GOOGLETRANSLATE(A12222 , ""tr"" , ""en"")"),"@drfahrettinka https://t.co/5IG7wzfvxg")</f>
        <v>@drfahrettinka https://t.co/5IG7wzfvxg</v>
      </c>
    </row>
    <row r="15424" spans="1:5" ht="15" customHeight="1" x14ac:dyDescent="0.2">
      <c r="A15424" s="1" t="s">
        <v>30408</v>
      </c>
      <c r="B15424" s="1">
        <v>0</v>
      </c>
      <c r="C15424" s="3">
        <v>44523.889432870368</v>
      </c>
      <c r="D15424" s="1" t="s">
        <v>30409</v>
      </c>
      <c r="E15424" s="1" t="str">
        <f ca="1">IFERROR(__xludf.DUMMYFUNCTION("GOOGLETRANSLATE(A12223 , ""tr"" , ""en"")"),"@drfahrettinka https://t.co/lmijlRIUC0")</f>
        <v>@drfahrettinka https://t.co/lmijlRIUC0</v>
      </c>
    </row>
    <row r="15425" spans="1:5" ht="15" customHeight="1" x14ac:dyDescent="0.2">
      <c r="A15425" s="1" t="s">
        <v>30410</v>
      </c>
      <c r="B15425" s="1">
        <v>0</v>
      </c>
      <c r="C15425" s="3">
        <v>44523.889398148145</v>
      </c>
      <c r="D15425" s="1" t="s">
        <v>30411</v>
      </c>
      <c r="E15425" s="1" t="str">
        <f ca="1">IFERROR(__xludf.DUMMYFUNCTION("GOOGLETRANSLATE(A12224 , ""tr"" , ""en"")"),"@drfahrettinka https://t.co/B6BBBOONIV")</f>
        <v>@drfahrettinka https://t.co/B6BBBOONIV</v>
      </c>
    </row>
    <row r="15426" spans="1:5" ht="15" customHeight="1" x14ac:dyDescent="0.2">
      <c r="A15426" s="1" t="s">
        <v>30412</v>
      </c>
      <c r="B15426" s="1">
        <v>0</v>
      </c>
      <c r="C15426" s="3">
        <v>44523.889363425929</v>
      </c>
      <c r="D15426" s="1" t="s">
        <v>30413</v>
      </c>
      <c r="E15426" s="1" t="str">
        <f ca="1">IFERROR(__xludf.DUMMYFUNCTION("GOOGLETRANSLATE(A12225 , ""tr"" , ""en"")"),"@drfahrettinka https://t.co/xepbv3jmf6")</f>
        <v>@drfahrettinka https://t.co/xepbv3jmf6</v>
      </c>
    </row>
    <row r="15427" spans="1:5" ht="15" customHeight="1" x14ac:dyDescent="0.2">
      <c r="A15427" s="1" t="s">
        <v>30414</v>
      </c>
      <c r="B15427" s="1">
        <v>0</v>
      </c>
      <c r="C15427" s="3">
        <v>44523.889328703706</v>
      </c>
      <c r="D15427" s="1" t="s">
        <v>30415</v>
      </c>
      <c r="E15427" s="1" t="str">
        <f ca="1">IFERROR(__xludf.DUMMYFUNCTION("GOOGLETRANSLATE(A12226 , ""tr"" , ""en"")"),"@drfahrettinka https://t.co/rl2ehpksab")</f>
        <v>@drfahrettinka https://t.co/rl2ehpksab</v>
      </c>
    </row>
    <row r="15428" spans="1:5" ht="15" customHeight="1" x14ac:dyDescent="0.2">
      <c r="A15428" s="1" t="s">
        <v>30416</v>
      </c>
      <c r="B15428" s="1">
        <v>0</v>
      </c>
      <c r="C15428" s="3">
        <v>44523.889270833337</v>
      </c>
      <c r="D15428" s="1" t="s">
        <v>30417</v>
      </c>
      <c r="E15428" s="1" t="str">
        <f ca="1">IFERROR(__xludf.DUMMYFUNCTION("GOOGLETRANSLATE(A12227 , ""tr"" , ""en"")"),"@drfahrettinka https://t.co/rbp5axzhiz")</f>
        <v>@drfahrettinka https://t.co/rbp5axzhiz</v>
      </c>
    </row>
    <row r="15429" spans="1:5" ht="15" customHeight="1" x14ac:dyDescent="0.2">
      <c r="A15429" s="1" t="s">
        <v>30418</v>
      </c>
      <c r="B15429" s="1">
        <v>44</v>
      </c>
      <c r="C15429" s="3">
        <v>44523.889108796298</v>
      </c>
      <c r="D15429" s="1" t="s">
        <v>30419</v>
      </c>
      <c r="E15429" s="1" t="str">
        <f ca="1">IFERROR(__xludf.DUMMYFUNCTION("GOOGLETRANSLATE(A12228 , ""tr"" , ""en"")"),"@drfahrettinkoca Percent Percent Percentage Percent Penny My Penny is Nasip Nasip, I didn't install my child, how do you do ... HTTPS://T.CO/FGTBHYZ24J")</f>
        <v>@drfahrettinkoca Percent Percent Percentage Percent Penny My Penny is Nasip Nasip, I didn't install my child, how do you do ... HTTPS://T.CO/FGTBHYZ24J</v>
      </c>
    </row>
    <row r="15430" spans="1:5" ht="15" customHeight="1" x14ac:dyDescent="0.2">
      <c r="A15430" s="1" t="s">
        <v>30420</v>
      </c>
      <c r="B15430" s="1">
        <v>2</v>
      </c>
      <c r="C15430" s="3">
        <v>44523.888657407406</v>
      </c>
      <c r="D15430" s="1" t="s">
        <v>30421</v>
      </c>
      <c r="E15430" s="1" t="str">
        <f ca="1">IFERROR(__xludf.DUMMYFUNCTION("GOOGLETRANSLATE(A12229 , ""tr"" , ""en"")"),"@drfahrettinkoca Mr. Ministry of Mr. The Mr. The Economic COKU you are waiting for online while there are all the case when you are dead ... https://t.co/afwfryxag5")</f>
        <v>@drfahrettinkoca Mr. Ministry of Mr. The Mr. The Economic COKU you are waiting for online while there are all the case when you are dead ... https://t.co/afwfryxag5</v>
      </c>
    </row>
    <row r="15431" spans="1:5" ht="15" customHeight="1" x14ac:dyDescent="0.2">
      <c r="A15431" s="1" t="s">
        <v>30422</v>
      </c>
      <c r="B15431" s="1">
        <v>0</v>
      </c>
      <c r="C15431" s="3">
        <v>44523.88784722222</v>
      </c>
      <c r="D15431" s="1" t="s">
        <v>30423</v>
      </c>
      <c r="E15431" s="1" t="str">
        <f ca="1">IFERROR(__xludf.DUMMYFUNCTION("GOOGLETRANSLATE(A12230 , ""tr"" , ""en"")"),"@drfahrettinkoca We have entered the open teaching exam a week ago. Covid came in the examinations of the exam. Same SI ... https://t.co/ac7gjpstdj")</f>
        <v>@drfahrettinkoca We have entered the open teaching exam a week ago. Covid came in the examinations of the exam. Same SI ... https://t.co/ac7gjpstdj</v>
      </c>
    </row>
    <row r="15432" spans="1:5" ht="15" customHeight="1" x14ac:dyDescent="0.2">
      <c r="A15432" s="1" t="s">
        <v>30424</v>
      </c>
      <c r="B15432" s="1">
        <v>8</v>
      </c>
      <c r="C15432" s="3">
        <v>44523.887696759259</v>
      </c>
      <c r="D15432" s="1" t="s">
        <v>30425</v>
      </c>
      <c r="E15432" s="1" t="str">
        <f ca="1">IFERROR(__xludf.DUMMYFUNCTION("GOOGLETRANSLATE(A12231 , ""tr"" , ""en"")"),"@drfahrettinkoca folks are spending cinnet because of your own hand with your own hand to destroy your own state almost if you still get ... https://t.co/vrok2sodnn")</f>
        <v>@drfahrettinkoca folks are spending cinnet because of your own hand with your own hand to destroy your own state almost if you still get ... https://t.co/vrok2sodnn</v>
      </c>
    </row>
    <row r="15433" spans="1:5" ht="15" customHeight="1" x14ac:dyDescent="0.2">
      <c r="A15433" s="1" t="s">
        <v>30426</v>
      </c>
      <c r="B15433" s="1">
        <v>0</v>
      </c>
      <c r="C15433" s="3">
        <v>44523.886550925927</v>
      </c>
      <c r="D15433" s="1" t="s">
        <v>30427</v>
      </c>
      <c r="E15433" s="1" t="str">
        <f ca="1">IFERROR(__xludf.DUMMYFUNCTION("GOOGLETRANSLATE(A12232 , ""tr"" , ""en"")"),"@drfahrettinkoca You are fixing the following table as you fix the dollar exchange rate")</f>
        <v>@drfahrettinkoca You are fixing the following table as you fix the dollar exchange rate</v>
      </c>
    </row>
    <row r="15434" spans="1:5" ht="15" customHeight="1" x14ac:dyDescent="0.2">
      <c r="A15434" s="1" t="s">
        <v>30428</v>
      </c>
      <c r="B15434" s="1">
        <v>0</v>
      </c>
      <c r="C15434" s="3">
        <v>44523.885729166665</v>
      </c>
      <c r="D15434" s="1" t="s">
        <v>30429</v>
      </c>
      <c r="E15434" s="1" t="str">
        <f ca="1">IFERROR(__xludf.DUMMYFUNCTION("GOOGLETRANSLATE(A12233 , ""tr"" , ""en"")"),"@drfahrettinkoca event is just that ... https://t.co/8kapzz0kax")</f>
        <v>@drfahrettinkoca event is just that ... https://t.co/8kapzz0kax</v>
      </c>
    </row>
    <row r="15435" spans="1:5" ht="15" customHeight="1" x14ac:dyDescent="0.2">
      <c r="A15435" s="1" t="s">
        <v>30430</v>
      </c>
      <c r="B15435" s="1">
        <v>0</v>
      </c>
      <c r="C15435" s="3">
        <v>44523.883159722223</v>
      </c>
      <c r="D15435" s="1" t="s">
        <v>30431</v>
      </c>
      <c r="E15435" s="1" t="str">
        <f ca="1">IFERROR(__xludf.DUMMYFUNCTION("GOOGLETRANSLATE(A12234 , ""tr"" , ""en"")"),"@drfahrettinkoca Minister Bey I read in primary school periods, did not laugh at the gin ali books, funny children's paragraphs ... https://t.co/t0qzhrdcjv")</f>
        <v>@drfahrettinkoca Minister Bey I read in primary school periods, did not laugh at the gin ali books, funny children's paragraphs ... https://t.co/t0qzhrdcjv</v>
      </c>
    </row>
    <row r="15436" spans="1:5" ht="15" customHeight="1" x14ac:dyDescent="0.2">
      <c r="A15436" s="1" t="s">
        <v>30432</v>
      </c>
      <c r="B15436" s="1">
        <v>29</v>
      </c>
      <c r="C15436" s="3">
        <v>44523.883043981485</v>
      </c>
      <c r="D15436" s="1" t="s">
        <v>30433</v>
      </c>
      <c r="E15436" s="1" t="str">
        <f ca="1">IFERROR(__xludf.DUMMYFUNCTION("GOOGLETRANSLATE(A12235 , ""tr"" , ""en"")"),"@drfahrettinkoca Covid 19 is a disease with PCR test. A disease that we do not touch our face ... https://t.co/0keljyqwzn")</f>
        <v>@drfahrettinkoca Covid 19 is a disease with PCR test. A disease that we do not touch our face ... https://t.co/0keljyqwzn</v>
      </c>
    </row>
    <row r="15437" spans="1:5" ht="15" customHeight="1" x14ac:dyDescent="0.2">
      <c r="A15437" s="1" t="s">
        <v>30434</v>
      </c>
      <c r="B15437" s="1">
        <v>0</v>
      </c>
      <c r="C15437" s="3">
        <v>44523.882881944446</v>
      </c>
      <c r="D15437" s="1" t="s">
        <v>30435</v>
      </c>
      <c r="E15437" s="1" t="str">
        <f ca="1">IFERROR(__xludf.DUMMYFUNCTION("GOOGLETRANSLATE(A12236 , ""tr"" , ""en"")"),"@drfahrettinkoca tomorrow evening teachers to eat the bottom of teachers")</f>
        <v>@drfahrettinkoca tomorrow evening teachers to eat the bottom of teachers</v>
      </c>
    </row>
    <row r="15438" spans="1:5" ht="15" customHeight="1" x14ac:dyDescent="0.2">
      <c r="A15438" s="1" t="s">
        <v>30436</v>
      </c>
      <c r="B15438" s="1">
        <v>1</v>
      </c>
      <c r="C15438" s="3">
        <v>44523.882314814815</v>
      </c>
      <c r="D15438" s="1" t="s">
        <v>30437</v>
      </c>
      <c r="E15438" s="1" t="str">
        <f ca="1">IFERROR(__xludf.DUMMYFUNCTION("GOOGLETRANSLATE(A12237 , ""tr"" , ""en"")"),"@drfahrettinkoca let's not get in respiration. The hometown sank this is still in the class of 3 cherries. O Deposits to experiment fluids ... https://t.co/qcg4csm0ax")</f>
        <v>@drfahrettinkoca let's not get in respiration. The hometown sank this is still in the class of 3 cherries. O Deposits to experiment fluids ... https://t.co/qcg4csm0ax</v>
      </c>
    </row>
    <row r="15439" spans="1:5" ht="15" customHeight="1" x14ac:dyDescent="0.2">
      <c r="A15439" s="1" t="s">
        <v>30438</v>
      </c>
      <c r="B15439" s="1">
        <v>0</v>
      </c>
      <c r="C15439" s="3">
        <v>44523.88208333333</v>
      </c>
      <c r="D15439" s="1" t="s">
        <v>30439</v>
      </c>
      <c r="E15439" s="1" t="str">
        <f ca="1">IFERROR(__xludf.DUMMYFUNCTION("GOOGLETRANSLATE(A12238 , ""tr"" , ""en"")"),"@drfahrettinkoca Turkish Nation What did you do to you, what do you do the pain of what is the pain of this nation, says the Province of the Province ... https://t.co/1qibcknxdf")</f>
        <v>@drfahrettinkoca Turkish Nation What did you do to you, what do you do the pain of what is the pain of this nation, says the Province of the Province ... https://t.co/1qibcknxdf</v>
      </c>
    </row>
    <row r="15440" spans="1:5" ht="15" customHeight="1" x14ac:dyDescent="0.2">
      <c r="A15440" s="1" t="s">
        <v>30440</v>
      </c>
      <c r="B15440" s="1">
        <v>0</v>
      </c>
      <c r="C15440" s="3">
        <v>44523.882037037038</v>
      </c>
      <c r="D15440" s="1" t="s">
        <v>30441</v>
      </c>
      <c r="E15440" s="1" t="str">
        <f ca="1">IFERROR(__xludf.DUMMYFUNCTION("GOOGLETRANSLATE(A12239 , ""tr"" , ""en"")"),"@drfahrettinkoca 🤦🏻♀🤦🏻♀️🤦🏻♀️🤦🏻♀️")</f>
        <v>@drfahrettinkoca 🤦🏻♀🤦🏻♀️🤦🏻♀️🤦🏻♀️</v>
      </c>
    </row>
    <row r="15441" spans="1:5" ht="15" customHeight="1" x14ac:dyDescent="0.2">
      <c r="A15441" s="1" t="s">
        <v>30442</v>
      </c>
      <c r="B15441" s="1">
        <v>5</v>
      </c>
      <c r="C15441" s="3">
        <v>44523.881828703707</v>
      </c>
      <c r="D15441" s="1" t="s">
        <v>30443</v>
      </c>
      <c r="E15441" s="1" t="str">
        <f ca="1">IFERROR(__xludf.DUMMYFUNCTION("GOOGLETRANSLATE(A12240 , ""tr"" , ""en"")"),"@drfahrettinkoca is the weeks in Germany, the vaccination is becoming a vaccination burst, ie the vaccines are in the intense maintenance of the patients ... https://t.co/ol9f0md9hj")</f>
        <v>@drfahrettinkoca is the weeks in Germany, the vaccination is becoming a vaccination burst, ie the vaccines are in the intense maintenance of the patients ... https://t.co/ol9f0md9hj</v>
      </c>
    </row>
    <row r="15442" spans="1:5" ht="15" customHeight="1" x14ac:dyDescent="0.2">
      <c r="A15442" s="1" t="s">
        <v>30444</v>
      </c>
      <c r="B15442" s="1">
        <v>3</v>
      </c>
      <c r="C15442" s="3">
        <v>44523.879976851851</v>
      </c>
      <c r="D15442" s="1" t="s">
        <v>30445</v>
      </c>
      <c r="E15442" s="1" t="str">
        <f ca="1">IFERROR(__xludf.DUMMYFUNCTION("GOOGLETRANSLATE(A12241 , ""tr"" , ""en"")"),"@drfahrettinkoca I wonder what we saw in the masks we should not forget that this professor has provided protection? https://t.co/6maxgcgk9u")</f>
        <v>@drfahrettinkoca I wonder what we saw in the masks we should not forget that this professor has provided protection? https://t.co/6maxgcgk9u</v>
      </c>
    </row>
    <row r="15443" spans="1:5" ht="15" customHeight="1" x14ac:dyDescent="0.2">
      <c r="A15443" s="1" t="s">
        <v>30446</v>
      </c>
      <c r="B15443" s="1">
        <v>2</v>
      </c>
      <c r="C15443" s="3">
        <v>44523.876192129632</v>
      </c>
      <c r="D15443" s="1" t="s">
        <v>30447</v>
      </c>
      <c r="E15443" s="1" t="str">
        <f ca="1">IFERROR(__xludf.DUMMYFUNCTION("GOOGLETRANSLATE(A12242 , ""tr"" , ""en"")"),"@drfahrettinkoca fahrettin quit your crime this is enough !!")</f>
        <v>@drfahrettinkoca fahrettin quit your crime this is enough !!</v>
      </c>
    </row>
    <row r="15444" spans="1:5" ht="15" customHeight="1" x14ac:dyDescent="0.2">
      <c r="A15444" s="1" t="s">
        <v>30448</v>
      </c>
      <c r="B15444" s="1">
        <v>10</v>
      </c>
      <c r="C15444" s="3">
        <v>44523.874328703707</v>
      </c>
      <c r="D15444" s="1" t="s">
        <v>30449</v>
      </c>
      <c r="E15444" s="1" t="str">
        <f ca="1">IFERROR(__xludf.DUMMYFUNCTION("GOOGLETRANSLATE(A12243 , ""tr"" , ""en"")"),"@drfahrettinka Mr. Minister We are already passing through challenging Terms In one of our health you don't go back to hand already Bi ... https://t.co/esqlfhmb9f")</f>
        <v>@drfahrettinka Mr. Minister We are already passing through challenging Terms In one of our health you don't go back to hand already Bi ... https://t.co/esqlfhmb9f</v>
      </c>
    </row>
    <row r="15445" spans="1:5" ht="15" customHeight="1" x14ac:dyDescent="0.2">
      <c r="A15445" s="1" t="s">
        <v>30450</v>
      </c>
      <c r="B15445" s="1">
        <v>4</v>
      </c>
      <c r="C15445" s="3">
        <v>44523.872858796298</v>
      </c>
      <c r="D15445" s="1" t="s">
        <v>30451</v>
      </c>
      <c r="E15445" s="1" t="str">
        <f ca="1">IFERROR(__xludf.DUMMYFUNCTION("GOOGLETRANSLATE(A12244 , ""tr"" , ""en"")"),"@drfahrettinka Liberate Safe Osman Durmus A $ ITS SOZS Our human being will be used as subjects ... https://t.co/gisaf5nxky")</f>
        <v>@drfahrettinka Liberate Safe Osman Durmus A $ ITS SOZS Our human being will be used as subjects ... https://t.co/gisaf5nxky</v>
      </c>
    </row>
    <row r="15446" spans="1:5" ht="15" customHeight="1" x14ac:dyDescent="0.2">
      <c r="A15446" s="1" t="s">
        <v>30452</v>
      </c>
      <c r="B15446" s="1">
        <v>0</v>
      </c>
      <c r="C15446" s="3">
        <v>44523.870405092595</v>
      </c>
      <c r="D15446" s="1" t="s">
        <v>30453</v>
      </c>
      <c r="E15446" s="1" t="str">
        <f ca="1">IFERROR(__xludf.DUMMYFUNCTION("GOOGLETRANSLATE(A12245 , ""tr"" , ""en"")"),"@drfahrettinkoca Europe is going to a restraints when we trust the full gas maskless, distance, hygiene ... https://t.co/ddv7jppq5e")</f>
        <v>@drfahrettinkoca Europe is going to a restraints when we trust the full gas maskless, distance, hygiene ... https://t.co/ddv7jppq5e</v>
      </c>
    </row>
    <row r="15447" spans="1:5" ht="15" customHeight="1" x14ac:dyDescent="0.2">
      <c r="A15447" s="1" t="s">
        <v>30454</v>
      </c>
      <c r="B15447" s="1">
        <v>0</v>
      </c>
      <c r="C15447" s="3">
        <v>44523.870300925926</v>
      </c>
      <c r="D15447" s="1" t="s">
        <v>30455</v>
      </c>
      <c r="E15447" s="1" t="str">
        <f ca="1">IFERROR(__xludf.DUMMYFUNCTION("GOOGLETRANSLATE(A12246 , ""tr"" , ""en"")"),"@drfahrettinkoca omnit is passing the stone stone stone, we returned to the surface goof again 😀😀")</f>
        <v>@drfahrettinkoca omnit is passing the stone stone stone, we returned to the surface goof again 😀😀</v>
      </c>
    </row>
    <row r="15448" spans="1:5" ht="15" customHeight="1" x14ac:dyDescent="0.2">
      <c r="A15448" s="1" t="s">
        <v>30456</v>
      </c>
      <c r="B15448" s="1">
        <v>0</v>
      </c>
      <c r="C15448" s="3">
        <v>44523.870115740741</v>
      </c>
      <c r="D15448" s="1" t="s">
        <v>30457</v>
      </c>
      <c r="E15448" s="1" t="str">
        <f ca="1">IFERROR(__xludf.DUMMYFUNCTION("GOOGLETRANSLATE(A12247 , ""tr"" , ""en"")"),"@drfahrettinkoca vaccine Although these cases are still increasing this people will also question this")</f>
        <v>@drfahrettinkoca vaccine Although these cases are still increasing this people will also question this</v>
      </c>
    </row>
    <row r="15449" spans="1:5" ht="15" customHeight="1" x14ac:dyDescent="0.2">
      <c r="A15449" s="1" t="s">
        <v>30458</v>
      </c>
      <c r="B15449" s="1">
        <v>2</v>
      </c>
      <c r="C15449" s="3">
        <v>44523.869884259257</v>
      </c>
      <c r="D15449" s="1" t="s">
        <v>30459</v>
      </c>
      <c r="E15449" s="1" t="str">
        <f ca="1">IFERROR(__xludf.DUMMYFUNCTION("GOOGLETRANSLATE(A12248 , ""tr"" , ""en"")"),"@drfahrettinkoca hocam is a single way to look the quarantine Nice great world-famous past scholars Doctors ... https://t.co/I7gwwjo8s8")</f>
        <v>@drfahrettinkoca hocam is a single way to look the quarantine Nice great world-famous past scholars Doctors ... https://t.co/I7gwwjo8s8</v>
      </c>
    </row>
    <row r="15450" spans="1:5" ht="15" customHeight="1" x14ac:dyDescent="0.2">
      <c r="A15450" s="1" t="s">
        <v>30460</v>
      </c>
      <c r="B15450" s="1">
        <v>0</v>
      </c>
      <c r="C15450" s="3">
        <v>44523.869479166664</v>
      </c>
      <c r="D15450" s="1" t="s">
        <v>30461</v>
      </c>
      <c r="E15450" s="1" t="str">
        <f ca="1">IFERROR(__xludf.DUMMYFUNCTION("GOOGLETRANSLATE(A12249 , ""tr"" , ""en"")"),"@drfahrettinka history will not write you well.")</f>
        <v>@drfahrettinka history will not write you well.</v>
      </c>
    </row>
    <row r="15451" spans="1:5" ht="15" customHeight="1" x14ac:dyDescent="0.2">
      <c r="A15451" s="1" t="s">
        <v>30462</v>
      </c>
      <c r="B15451" s="1">
        <v>2</v>
      </c>
      <c r="C15451" s="3">
        <v>44523.869444444441</v>
      </c>
      <c r="D15451" s="1" t="s">
        <v>30463</v>
      </c>
      <c r="E15451" s="1" t="str">
        <f ca="1">IFERROR(__xludf.DUMMYFUNCTION("GOOGLETRANSLATE(A12250 , ""tr"" , ""en"")"),"@drfahrettinka is understood from you, from the core of the eclia from the core, as long as we don't get rid of the day ...")</f>
        <v>@drfahrettinka is understood from you, from the core of the eclia from the core, as long as we don't get rid of the day ...</v>
      </c>
    </row>
    <row r="15452" spans="1:5" ht="15" customHeight="1" x14ac:dyDescent="0.2">
      <c r="A15452" s="1" t="s">
        <v>30464</v>
      </c>
      <c r="B15452" s="1">
        <v>0</v>
      </c>
      <c r="C15452" s="3">
        <v>44523.868460648147</v>
      </c>
      <c r="D15452" s="1" t="s">
        <v>30465</v>
      </c>
      <c r="E15452" s="1" t="str">
        <f ca="1">IFERROR(__xludf.DUMMYFUNCTION("GOOGLETRANSLATE(A12251 , ""tr"" , ""en"")"),"@drfahrettinkoca has also smeared from money Demi have forgotten him in search of dollars according to research")</f>
        <v>@drfahrettinkoca has also smeared from money Demi have forgotten him in search of dollars according to research</v>
      </c>
    </row>
    <row r="15453" spans="1:5" ht="15" customHeight="1" x14ac:dyDescent="0.2">
      <c r="A15453" s="1" t="s">
        <v>30466</v>
      </c>
      <c r="B15453" s="1">
        <v>0</v>
      </c>
      <c r="C15453" s="3">
        <v>44523.868148148147</v>
      </c>
      <c r="D15453" s="1" t="s">
        <v>30467</v>
      </c>
      <c r="E15453" s="1" t="str">
        <f ca="1">IFERROR(__xludf.DUMMYFUNCTION("GOOGLETRANSLATE(A12252 , ""tr"" , ""en"")"),"@drfahrettinka https://t.co/lzohel8xwh")</f>
        <v>@drfahrettinka https://t.co/lzohel8xwh</v>
      </c>
    </row>
    <row r="15454" spans="1:5" ht="15" customHeight="1" x14ac:dyDescent="0.2">
      <c r="A15454" s="1" t="s">
        <v>30468</v>
      </c>
      <c r="B15454" s="1">
        <v>2</v>
      </c>
      <c r="C15454" s="3">
        <v>44523.868055555555</v>
      </c>
      <c r="D15454" s="1" t="s">
        <v>30469</v>
      </c>
      <c r="E15454" s="1" t="str">
        <f ca="1">IFERROR(__xludf.DUMMYFUNCTION("GOOGLETRANSLATE(A12253 , ""tr"" , ""en"")"),"@drfahrettinkoca Fonday, Minister, how much on the glass surfaces of this virus, how much in the aluminum in the steel ... https://t.co/hjvod5objg")</f>
        <v>@drfahrettinkoca Fonday, Minister, how much on the glass surfaces of this virus, how much in the aluminum in the steel ... https://t.co/hjvod5objg</v>
      </c>
    </row>
    <row r="15455" spans="1:5" ht="15" customHeight="1" x14ac:dyDescent="0.2">
      <c r="A15455" s="1" t="s">
        <v>30470</v>
      </c>
      <c r="B15455" s="1">
        <v>3</v>
      </c>
      <c r="C15455" s="3">
        <v>44523.8672337963</v>
      </c>
      <c r="D15455" s="1" t="s">
        <v>30471</v>
      </c>
      <c r="E15455" s="1" t="str">
        <f ca="1">IFERROR(__xludf.DUMMYFUNCTION("GOOGLETRANSLATE(A12254 , ""tr"" , ""en"")"),"@drfahrettinkoca Istifa! Ulke Perisan from your youse! Quit promptly! What cost even costs 1gun! ... https://t.co/9u1d3kckna")</f>
        <v>@drfahrettinkoca Istifa! Ulke Perisan from your youse! Quit promptly! What cost even costs 1gun! ... https://t.co/9u1d3kckna</v>
      </c>
    </row>
    <row r="15456" spans="1:5" ht="15" customHeight="1" x14ac:dyDescent="0.2">
      <c r="A15456" s="1" t="s">
        <v>30472</v>
      </c>
      <c r="B15456" s="1">
        <v>0</v>
      </c>
      <c r="C15456" s="3">
        <v>44523.867199074077</v>
      </c>
      <c r="D15456" s="1" t="s">
        <v>30473</v>
      </c>
      <c r="E15456" s="1" t="str">
        <f ca="1">IFERROR(__xludf.DUMMYFUNCTION("GOOGLETRANSLATE(A12255 , ""tr"" , ""en"")"),"@drfahrettinka schools opened emergency oglum because it was patient because it was sick and the media crowded.bas rotation b ... https://t.co/d1of0ghpqt")</f>
        <v>@drfahrettinka schools opened emergency oglum because it was patient because it was sick and the media crowded.bas rotation b ... https://t.co/d1of0ghpqt</v>
      </c>
    </row>
    <row r="15457" spans="1:5" ht="15" customHeight="1" x14ac:dyDescent="0.2">
      <c r="A15457" s="1" t="s">
        <v>30474</v>
      </c>
      <c r="B15457" s="1">
        <v>0</v>
      </c>
      <c r="C15457" s="3">
        <v>44523.867164351854</v>
      </c>
      <c r="D15457" s="1" t="s">
        <v>30475</v>
      </c>
      <c r="E15457" s="1" t="str">
        <f ca="1">IFERROR(__xludf.DUMMYFUNCTION("GOOGLETRANSLATE(A12256 , ""tr"" , ""en"")"),"@drfahrettinkoca hani was not infecting surfaces? Is a new variant came out of sec. Minister 🤔")</f>
        <v>@drfahrettinkoca hani was not infecting surfaces? Is a new variant came out of sec. Minister 🤔</v>
      </c>
    </row>
    <row r="15458" spans="1:5" ht="15" customHeight="1" x14ac:dyDescent="0.2">
      <c r="A15458" s="1" t="s">
        <v>30476</v>
      </c>
      <c r="B15458" s="1">
        <v>0</v>
      </c>
      <c r="C15458" s="3">
        <v>44523.866388888891</v>
      </c>
      <c r="D15458" s="1" t="s">
        <v>30477</v>
      </c>
      <c r="E15458" s="1" t="str">
        <f ca="1">IFERROR(__xludf.DUMMYFUNCTION("GOOGLETRANSLATE(A12257 , ""tr"" , ""en"")"),"@drfahrettinkoca AAA Make vaccination 😀")</f>
        <v>@drfahrettinkoca AAA Make vaccination 😀</v>
      </c>
    </row>
    <row r="15459" spans="1:5" ht="15" customHeight="1" x14ac:dyDescent="0.2">
      <c r="A15459" s="1" t="s">
        <v>30478</v>
      </c>
      <c r="B15459" s="1">
        <v>0</v>
      </c>
      <c r="C15459" s="3">
        <v>44523.86613425926</v>
      </c>
      <c r="D15459" s="1" t="s">
        <v>30479</v>
      </c>
      <c r="E15459" s="1" t="str">
        <f ca="1">IFERROR(__xludf.DUMMYFUNCTION("GOOGLETRANSLATE(A12258 , ""tr"" , ""en"")"),"@drfahrettinkoca folks do not rely on you let's get rid of getting rid of")</f>
        <v>@drfahrettinkoca folks do not rely on you let's get rid of getting rid of</v>
      </c>
    </row>
    <row r="15460" spans="1:5" ht="15" customHeight="1" x14ac:dyDescent="0.2">
      <c r="A15460" s="1" t="s">
        <v>30480</v>
      </c>
      <c r="B15460" s="1">
        <v>1</v>
      </c>
      <c r="C15460" s="3">
        <v>44523.86482638889</v>
      </c>
      <c r="D15460" s="1" t="s">
        <v>30481</v>
      </c>
      <c r="E15460" s="1" t="str">
        <f ca="1">IFERROR(__xludf.DUMMYFUNCTION("GOOGLETRANSLATE(A12259 , ""tr"" , ""en"")"),"@drfahrettinkoca is a shut up yahu")</f>
        <v>@drfahrettinkoca is a shut up yahu</v>
      </c>
    </row>
    <row r="15461" spans="1:5" ht="15" customHeight="1" x14ac:dyDescent="0.2">
      <c r="A15461" s="1" t="s">
        <v>30482</v>
      </c>
      <c r="B15461" s="1">
        <v>0</v>
      </c>
      <c r="C15461" s="3">
        <v>44523.864618055559</v>
      </c>
      <c r="D15461" s="1" t="s">
        <v>30483</v>
      </c>
      <c r="E15461" s="1" t="str">
        <f ca="1">IFERROR(__xludf.DUMMYFUNCTION("GOOGLETRANSLATE(A12260 , ""tr"" , ""en"")"),"@drfahrettinkoca Economy This still has no significance of mask for hungry man in mask ray")</f>
        <v>@drfahrettinkoca Economy This still has no significance of mask for hungry man in mask ray</v>
      </c>
    </row>
    <row r="15462" spans="1:5" ht="15" customHeight="1" x14ac:dyDescent="0.2">
      <c r="A15462" s="1" t="s">
        <v>30484</v>
      </c>
      <c r="B15462" s="1">
        <v>0</v>
      </c>
      <c r="C15462" s="3">
        <v>44523.863576388889</v>
      </c>
      <c r="D15462" s="1" t="s">
        <v>30485</v>
      </c>
      <c r="E15462" s="1" t="str">
        <f ca="1">IFERROR(__xludf.DUMMYFUNCTION("GOOGLETRANSLATE(A12261 , ""tr"" , ""en"")"),"@drfahrettinkoca 3. We have to wait for 6 months to be dosing 3 Do you have 3 dose steps ago")</f>
        <v>@drfahrettinkoca 3. We have to wait for 6 months to be dosing 3 Do you have 3 dose steps ago</v>
      </c>
    </row>
    <row r="15463" spans="1:5" ht="15" customHeight="1" x14ac:dyDescent="0.2">
      <c r="A15463" s="1" t="s">
        <v>30486</v>
      </c>
      <c r="B15463" s="1">
        <v>0</v>
      </c>
      <c r="C15463" s="3">
        <v>44523.863287037035</v>
      </c>
      <c r="D15463" s="1" t="s">
        <v>30487</v>
      </c>
      <c r="E15463" s="1" t="str">
        <f ca="1">IFERROR(__xludf.DUMMYFUNCTION("GOOGLETRANSLATE(A12262 , ""tr"" , ""en"")"),"@drfahrettinkoca is enough anymore yaa. I'm tired of yours from this map. I'm bored with this map and see you in all channels ... https://t.co/cbyupxloro")</f>
        <v>@drfahrettinkoca is enough anymore yaa. I'm tired of yours from this map. I'm bored with this map and see you in all channels ... https://t.co/cbyupxloro</v>
      </c>
    </row>
    <row r="15464" spans="1:5" ht="15" customHeight="1" x14ac:dyDescent="0.2">
      <c r="A15464" s="1" t="s">
        <v>30488</v>
      </c>
      <c r="B15464" s="1">
        <v>1</v>
      </c>
      <c r="C15464" s="3">
        <v>44523.862974537034</v>
      </c>
      <c r="D15464" s="1" t="s">
        <v>30489</v>
      </c>
      <c r="E15464" s="1" t="str">
        <f ca="1">IFERROR(__xludf.DUMMYFUNCTION("GOOGLETRANSLATE(A12263 , ""tr"" , ""en"")"),"@drfahrettinkoca last study had been told that there was no contamination from surfaces again?")</f>
        <v>@drfahrettinkoca last study had been told that there was no contamination from surfaces again?</v>
      </c>
    </row>
    <row r="15465" spans="1:5" ht="15" customHeight="1" x14ac:dyDescent="0.2">
      <c r="A15465" s="1" t="s">
        <v>13063</v>
      </c>
      <c r="B15465" s="1">
        <v>0</v>
      </c>
      <c r="C15465" s="3">
        <v>44523.862372685187</v>
      </c>
      <c r="D15465" s="1" t="s">
        <v>30490</v>
      </c>
      <c r="E15465" s="1" t="str">
        <f ca="1">IFERROR(__xludf.DUMMYFUNCTION("GOOGLETRANSLATE(A12264 , ""tr"" , ""en"")"),"@drfahrettinkoca 🤣")</f>
        <v>@drfahrettinkoca 🤣</v>
      </c>
    </row>
    <row r="15466" spans="1:5" ht="15" customHeight="1" x14ac:dyDescent="0.2">
      <c r="A15466" s="1" t="s">
        <v>30491</v>
      </c>
      <c r="B15466" s="1">
        <v>0</v>
      </c>
      <c r="C15466" s="3">
        <v>44523.862164351849</v>
      </c>
      <c r="D15466" s="1" t="s">
        <v>30492</v>
      </c>
      <c r="E15466" s="1" t="str">
        <f ca="1">IFERROR(__xludf.DUMMYFUNCTION("GOOGLETRANSLATE(A12265 , ""tr"" , ""en"")"),"@drfahrettinkoca you've been into your hometown, get the hell out, are you anymore Yaaa, are you")</f>
        <v>@drfahrettinkoca you've been into your hometown, get the hell out, are you anymore Yaaa, are you</v>
      </c>
    </row>
    <row r="15467" spans="1:5" ht="15" customHeight="1" x14ac:dyDescent="0.2">
      <c r="A15467" s="1" t="s">
        <v>30493</v>
      </c>
      <c r="B15467" s="1">
        <v>0</v>
      </c>
      <c r="C15467" s="3">
        <v>44523.860879629632</v>
      </c>
      <c r="D15467" s="1" t="s">
        <v>30494</v>
      </c>
      <c r="E15467" s="1" t="str">
        <f ca="1">IFERROR(__xludf.DUMMYFUNCTION("GOOGLETRANSLATE(A12266 , ""tr"" , ""en"")"),"@drfahrettinka happens to be a little embarrassment of the human, what in the mortality is now on the street you are still up the street you still got up ... https://t.co/9rykufrgzn")</f>
        <v>@drfahrettinka happens to be a little embarrassment of the human, what in the mortality is now on the street you are still up the street you still got up ... https://t.co/9rykufrgzn</v>
      </c>
    </row>
    <row r="15468" spans="1:5" ht="15" customHeight="1" x14ac:dyDescent="0.2">
      <c r="A15468" s="1" t="s">
        <v>30495</v>
      </c>
      <c r="B15468" s="1">
        <v>0</v>
      </c>
      <c r="C15468" s="3">
        <v>44523.860844907409</v>
      </c>
      <c r="D15468" s="1" t="s">
        <v>30496</v>
      </c>
      <c r="E15468" s="1" t="str">
        <f ca="1">IFERROR(__xludf.DUMMYFUNCTION("GOOGLETRANSLATE(A12267 , ""tr"" , ""en"")"),"@drfahrettinkoca stop making fun of the nation anymore. Even the stades have opened full capacity. Non-nesting ... https://t.co/7aejs8r2jr")</f>
        <v>@drfahrettinkoca stop making fun of the nation anymore. Even the stades have opened full capacity. Non-nesting ... https://t.co/7aejs8r2jr</v>
      </c>
    </row>
    <row r="15469" spans="1:5" ht="15" customHeight="1" x14ac:dyDescent="0.2">
      <c r="A15469" s="1" t="s">
        <v>30497</v>
      </c>
      <c r="B15469" s="1">
        <v>0</v>
      </c>
      <c r="C15469" s="3">
        <v>44523.860208333332</v>
      </c>
      <c r="D15469" s="1" t="s">
        <v>30498</v>
      </c>
      <c r="E15469" s="1" t="str">
        <f ca="1">IFERROR(__xludf.DUMMYFUNCTION("GOOGLETRANSLATE(A12268 , ""tr"" , ""en"")"),"@drfahrettinkoca you have finished the government slowly with your striking 😀😃")</f>
        <v>@drfahrettinkoca you have finished the government slowly with your striking 😀😃</v>
      </c>
    </row>
    <row r="15470" spans="1:5" ht="15" customHeight="1" x14ac:dyDescent="0.2">
      <c r="A15470" s="1" t="s">
        <v>30499</v>
      </c>
      <c r="B15470" s="1">
        <v>8</v>
      </c>
      <c r="C15470" s="3">
        <v>44523.859884259262</v>
      </c>
      <c r="D15470" s="1" t="s">
        <v>30500</v>
      </c>
      <c r="E15470" s="1" t="str">
        <f ca="1">IFERROR(__xludf.DUMMYFUNCTION("GOOGLETRANSLATE(A12269 , ""tr"" , ""en"")"),"@drfahrettinkoca SN Minister, Ladder on 1st of schools in schools, class, handwashed when taking into account ... https://t.co/gcxbh5auip")</f>
        <v>@drfahrettinkoca SN Minister, Ladder on 1st of schools in schools, class, handwashed when taking into account ... https://t.co/gcxbh5auip</v>
      </c>
    </row>
    <row r="15471" spans="1:5" ht="15" customHeight="1" x14ac:dyDescent="0.2">
      <c r="A15471" s="1" t="s">
        <v>30501</v>
      </c>
      <c r="B15471" s="1">
        <v>0</v>
      </c>
      <c r="C15471" s="3">
        <v>44523.859189814815</v>
      </c>
      <c r="D15471" s="1" t="s">
        <v>30502</v>
      </c>
      <c r="E15471" s="1" t="str">
        <f ca="1">IFERROR(__xludf.DUMMYFUNCTION("GOOGLETRANSLATE(A12270 , ""tr"" , ""en"")"),"@drfahrettinkoca Ministry If you have some break in such explanations, the ZANNESCA will be better than a per week, ... https://t.co/pxddsy8IPV")</f>
        <v>@drfahrettinkoca Ministry If you have some break in such explanations, the ZANNESCA will be better than a per week, ... https://t.co/pxddsy8IPV</v>
      </c>
    </row>
    <row r="15472" spans="1:5" ht="15" customHeight="1" x14ac:dyDescent="0.2">
      <c r="A15472" s="1" t="s">
        <v>30503</v>
      </c>
      <c r="B15472" s="1">
        <v>0</v>
      </c>
      <c r="C15472" s="3">
        <v>44523.859050925923</v>
      </c>
      <c r="D15472" s="1" t="s">
        <v>30504</v>
      </c>
      <c r="E15472" s="1" t="str">
        <f ca="1">IFERROR(__xludf.DUMMYFUNCTION("GOOGLETRANSLATE(A12271 , ""tr"" , ""en"")"),"@drfahrettinkoca fahrettin hubby you are a person who gives the biggest damage to your own country")</f>
        <v>@drfahrettinkoca fahrettin hubby you are a person who gives the biggest damage to your own country</v>
      </c>
    </row>
    <row r="15473" spans="1:5" ht="15" customHeight="1" x14ac:dyDescent="0.2">
      <c r="A15473" s="1" t="s">
        <v>30505</v>
      </c>
      <c r="B15473" s="1">
        <v>0</v>
      </c>
      <c r="C15473" s="3">
        <v>44523.859027777777</v>
      </c>
      <c r="D15473" s="1" t="s">
        <v>30506</v>
      </c>
      <c r="E15473" s="1" t="str">
        <f ca="1">IFERROR(__xludf.DUMMYFUNCTION("GOOGLETRANSLATE(A12272 , ""tr"" , ""en"")"),"@drfahrettinkoca you didn't mention the vaccine.")</f>
        <v>@drfahrettinkoca you didn't mention the vaccine.</v>
      </c>
    </row>
    <row r="15474" spans="1:5" ht="15" customHeight="1" x14ac:dyDescent="0.2">
      <c r="A15474" s="1" t="s">
        <v>30507</v>
      </c>
      <c r="B15474" s="1">
        <v>0</v>
      </c>
      <c r="C15474" s="3">
        <v>44523.858738425923</v>
      </c>
      <c r="D15474" s="1" t="s">
        <v>30508</v>
      </c>
      <c r="E15474" s="1" t="str">
        <f ca="1">IFERROR(__xludf.DUMMYFUNCTION("GOOGLETRANSLATE(A12273 , ""tr"" , ""en"")"),"@drfahrettinkoca Allah do as he knows.")</f>
        <v>@drfahrettinkoca Allah do as he knows.</v>
      </c>
    </row>
    <row r="15475" spans="1:5" ht="15" customHeight="1" x14ac:dyDescent="0.2">
      <c r="A15475" s="1" t="s">
        <v>30509</v>
      </c>
      <c r="B15475" s="1">
        <v>0</v>
      </c>
      <c r="C15475" s="3">
        <v>44523.858541666668</v>
      </c>
      <c r="D15475" s="1" t="s">
        <v>30510</v>
      </c>
      <c r="E15475" s="1" t="str">
        <f ca="1">IFERROR(__xludf.DUMMYFUNCTION("GOOGLETRANSLATE(A12274 , ""tr"" , ""en"")"),"@drfahrettinkoca Look Your recommendation Profarin also has no economic patience 😀 https://t.co/s2b7ucmkus")</f>
        <v>@drfahrettinkoca Look Your recommendation Profarin also has no economic patience 😀 https://t.co/s2b7ucmkus</v>
      </c>
    </row>
    <row r="15476" spans="1:5" ht="15" customHeight="1" x14ac:dyDescent="0.2">
      <c r="A15476" s="1" t="s">
        <v>30511</v>
      </c>
      <c r="B15476" s="1">
        <v>0</v>
      </c>
      <c r="C15476" s="3">
        <v>44523.857083333336</v>
      </c>
      <c r="D15476" s="1" t="s">
        <v>30512</v>
      </c>
      <c r="E15476" s="1" t="str">
        <f ca="1">IFERROR(__xludf.DUMMYFUNCTION("GOOGLETRANSLATE(A12275 , ""tr"" , ""en"")"),"@drfahrettinkoca sn facing who is wearing mask who is careful")</f>
        <v>@drfahrettinkoca sn facing who is wearing mask who is careful</v>
      </c>
    </row>
    <row r="15477" spans="1:5" ht="15" customHeight="1" x14ac:dyDescent="0.2">
      <c r="A15477" s="1" t="s">
        <v>30513</v>
      </c>
      <c r="B15477" s="1">
        <v>1</v>
      </c>
      <c r="C15477" s="3">
        <v>44523.856527777774</v>
      </c>
      <c r="D15477" s="1" t="s">
        <v>30514</v>
      </c>
      <c r="E15477" s="1" t="str">
        <f ca="1">IFERROR(__xludf.DUMMYFUNCTION("GOOGLETRANSLATE(A12276 , ""tr"" , ""en"")"),"@drfahrettinkoca Fahrettin MY You were saying that we will win lots of immune! We will win the historic past drugs ... https://t.co/saohwygq")</f>
        <v>@drfahrettinkoca Fahrettin MY You were saying that we will win lots of immune! We will win the historic past drugs ... https://t.co/saohwygq</v>
      </c>
    </row>
    <row r="15478" spans="1:5" ht="15" customHeight="1" x14ac:dyDescent="0.2">
      <c r="A15478" s="1" t="s">
        <v>30515</v>
      </c>
      <c r="B15478" s="1">
        <v>0</v>
      </c>
      <c r="C15478" s="3">
        <v>44523.854942129627</v>
      </c>
      <c r="D15478" s="1" t="s">
        <v>30516</v>
      </c>
      <c r="E15478" s="1" t="str">
        <f ca="1">IFERROR(__xludf.DUMMYFUNCTION("GOOGLETRANSLATE(A12277 , ""tr"" , ""en"")"),"@drfahrettinkoca however you are the BOS BI people are boiling the country of poverty epidemic aligned you are still non-secreted ... https://t.co/j3riagn1mr")</f>
        <v>@drfahrettinkoca however you are the BOS BI people are boiling the country of poverty epidemic aligned you are still non-secreted ... https://t.co/j3riagn1mr</v>
      </c>
    </row>
    <row r="15479" spans="1:5" ht="15" customHeight="1" x14ac:dyDescent="0.2">
      <c r="A15479" s="1" t="s">
        <v>30517</v>
      </c>
      <c r="B15479" s="1">
        <v>0</v>
      </c>
      <c r="C15479" s="3">
        <v>44523.853784722225</v>
      </c>
      <c r="D15479" s="1" t="s">
        <v>30518</v>
      </c>
      <c r="E15479" s="1" t="str">
        <f ca="1">IFERROR(__xludf.DUMMYFUNCTION("GOOGLETRANSLATE(A12278 , ""tr"" , ""en"")"),"@drfahrettinkoca Hani 95% E.")</f>
        <v>@drfahrettinkoca Hani 95% E.</v>
      </c>
    </row>
    <row r="15480" spans="1:5" ht="15" customHeight="1" x14ac:dyDescent="0.2">
      <c r="A15480" s="1" t="s">
        <v>30519</v>
      </c>
      <c r="B15480" s="1">
        <v>0</v>
      </c>
      <c r="C15480" s="3">
        <v>44523.853668981479</v>
      </c>
      <c r="D15480" s="1" t="s">
        <v>30520</v>
      </c>
      <c r="E15480" s="1" t="str">
        <f ca="1">IFERROR(__xludf.DUMMYFUNCTION("GOOGLETRANSLATE(A12279 , ""tr"" , ""en"")"),"@drfahrettinkoca or bi susun either")</f>
        <v>@drfahrettinkoca or bi susun either</v>
      </c>
    </row>
    <row r="15481" spans="1:5" ht="15" customHeight="1" x14ac:dyDescent="0.2">
      <c r="A15481" s="1" t="s">
        <v>30521</v>
      </c>
      <c r="B15481" s="1">
        <v>8</v>
      </c>
      <c r="C15481" s="3">
        <v>44523.853530092594</v>
      </c>
      <c r="D15481" s="1" t="s">
        <v>30522</v>
      </c>
      <c r="E15481" s="1" t="str">
        <f ca="1">IFERROR(__xludf.DUMMYFUNCTION("GOOGLETRANSLATE(A12280 , ""tr"" , ""en"")"),"@drfahrettinkoca Science Board Member Bengi Başer so Demior but https://t.co/ora8yn6cyn")</f>
        <v>@drfahrettinkoca Science Board Member Bengi Başer so Demior but https://t.co/ora8yn6cyn</v>
      </c>
    </row>
    <row r="15482" spans="1:5" ht="15" customHeight="1" x14ac:dyDescent="0.2">
      <c r="A15482" s="1" t="s">
        <v>30523</v>
      </c>
      <c r="B15482" s="1">
        <v>0</v>
      </c>
      <c r="C15482" s="3">
        <v>44523.853344907409</v>
      </c>
      <c r="D15482" s="1" t="s">
        <v>30524</v>
      </c>
      <c r="E15482" s="1" t="str">
        <f ca="1">IFERROR(__xludf.DUMMYFUNCTION("GOOGLETRANSLATE(A12281 , ""tr"" , ""en"")"),"@drfahrettinkoca cases trained mi moram? 30 thousand don't go past Maşallah.")</f>
        <v>@drfahrettinkoca cases trained mi moram? 30 thousand don't go past Maşallah.</v>
      </c>
    </row>
    <row r="15483" spans="1:5" ht="15" customHeight="1" x14ac:dyDescent="0.2">
      <c r="A15483" s="1" t="s">
        <v>30525</v>
      </c>
      <c r="B15483" s="1">
        <v>0</v>
      </c>
      <c r="C15483" s="3">
        <v>44523.853055555555</v>
      </c>
      <c r="D15483" s="1" t="s">
        <v>30526</v>
      </c>
      <c r="E15483" s="1" t="str">
        <f ca="1">IFERROR(__xludf.DUMMYFUNCTION("GOOGLETRANSLATE(A12282 , ""tr"" , ""en"")"),"@drfahrettinkoca or bi stop already mixed")</f>
        <v>@drfahrettinkoca or bi stop already mixed</v>
      </c>
    </row>
    <row r="15484" spans="1:5" ht="15" customHeight="1" x14ac:dyDescent="0.2">
      <c r="A15484" s="1" t="s">
        <v>30527</v>
      </c>
      <c r="B15484" s="1">
        <v>0</v>
      </c>
      <c r="C15484" s="3">
        <v>44523.85193287037</v>
      </c>
      <c r="D15484" s="1" t="s">
        <v>30528</v>
      </c>
      <c r="E15484" s="1" t="str">
        <f ca="1">IFERROR(__xludf.DUMMYFUNCTION("GOOGLETRANSLATE(A12283 , ""tr"" , ""en"")"),"@drfahrettinkoca always the same nakarat..while a day in a day write a letter.")</f>
        <v>@drfahrettinkoca always the same nakarat..while a day in a day write a letter.</v>
      </c>
    </row>
    <row r="15485" spans="1:5" ht="15" customHeight="1" x14ac:dyDescent="0.2">
      <c r="A15485" s="1" t="s">
        <v>30529</v>
      </c>
      <c r="B15485" s="1">
        <v>2</v>
      </c>
      <c r="C15485" s="3">
        <v>44523.851782407408</v>
      </c>
      <c r="D15485" s="1" t="s">
        <v>30530</v>
      </c>
      <c r="E15485" s="1" t="str">
        <f ca="1">IFERROR(__xludf.DUMMYFUNCTION("GOOGLETRANSLATE(A12284 , ""tr"" , ""en"")"),"@drfahrettinkoca These precautions were in the griptede - alone mask is very dangerous -Maske WC with those who enter WC Deadc ... https://t.co/ji11h4xech")</f>
        <v>@drfahrettinkoca These precautions were in the griptede - alone mask is very dangerous -Maske WC with those who enter WC Deadc ... https://t.co/ji11h4xech</v>
      </c>
    </row>
    <row r="15486" spans="1:5" ht="15" customHeight="1" x14ac:dyDescent="0.2">
      <c r="A15486" s="1" t="s">
        <v>30531</v>
      </c>
      <c r="B15486" s="1">
        <v>1</v>
      </c>
      <c r="C15486" s="3">
        <v>44523.849432870367</v>
      </c>
      <c r="D15486" s="1" t="s">
        <v>30532</v>
      </c>
      <c r="E15486" s="1" t="str">
        <f ca="1">IFERROR(__xludf.DUMMYFUNCTION("GOOGLETRANSLATE(A12285 , ""tr"" , ""en"")"),"@drfahrettinka friend Fahrettin President Halal Meat When I saw you When I saw you Azrael this died this Dire ... https://t.co/e64ddhzjc3")</f>
        <v>@drfahrettinka friend Fahrettin President Halal Meat When I saw you When I saw you Azrael this died this Dire ... https://t.co/e64ddhzjc3</v>
      </c>
    </row>
    <row r="15487" spans="1:5" ht="15" customHeight="1" x14ac:dyDescent="0.2">
      <c r="A15487" s="1" t="s">
        <v>30533</v>
      </c>
      <c r="B15487" s="1">
        <v>0</v>
      </c>
      <c r="C15487" s="3">
        <v>44523.849398148152</v>
      </c>
      <c r="D15487" s="1" t="s">
        <v>30534</v>
      </c>
      <c r="E15487" s="1" t="str">
        <f ca="1">IFERROR(__xludf.DUMMYFUNCTION("GOOGLETRANSLATE(A12286 , ""tr"" , ""en"")"),"@drfahrettinka https://t.co/8ltbsp420t")</f>
        <v>@drfahrettinka https://t.co/8ltbsp420t</v>
      </c>
    </row>
    <row r="15488" spans="1:5" ht="15" customHeight="1" x14ac:dyDescent="0.2">
      <c r="A15488" s="1" t="s">
        <v>30535</v>
      </c>
      <c r="B15488" s="1">
        <v>0</v>
      </c>
      <c r="C15488" s="3">
        <v>44523.849270833336</v>
      </c>
      <c r="D15488" s="1" t="s">
        <v>30536</v>
      </c>
      <c r="E15488" s="1" t="str">
        <f ca="1">IFERROR(__xludf.DUMMYFUNCTION("GOOGLETRANSLATE(A12287 , ""tr"" , ""en"")"),"@drfahrettinkoca neighborhood on fire ........ have scanned her hair !!!")</f>
        <v>@drfahrettinkoca neighborhood on fire ........ have scanned her hair !!!</v>
      </c>
    </row>
    <row r="15489" spans="1:5" ht="15" customHeight="1" x14ac:dyDescent="0.2">
      <c r="A15489" s="1" t="s">
        <v>30537</v>
      </c>
      <c r="B15489" s="1">
        <v>0</v>
      </c>
      <c r="C15489" s="3">
        <v>44523.848993055559</v>
      </c>
      <c r="D15489" s="1" t="s">
        <v>30538</v>
      </c>
      <c r="E15489" s="1" t="str">
        <f ca="1">IFERROR(__xludf.DUMMYFUNCTION("GOOGLETRANSLATE(A12288 , ""tr"" , ""en"")"),"@drfahrettinkoca because of you this country's economy blow seven still exit and say vaccine, you truly tighten is now ... https://t.co/hloifgk7uo")</f>
        <v>@drfahrettinkoca because of you this country's economy blow seven still exit and say vaccine, you truly tighten is now ... https://t.co/hloifgk7uo</v>
      </c>
    </row>
    <row r="15490" spans="1:5" ht="15" customHeight="1" x14ac:dyDescent="0.2">
      <c r="A15490" s="1" t="s">
        <v>30539</v>
      </c>
      <c r="B15490" s="1">
        <v>15</v>
      </c>
      <c r="C15490" s="3">
        <v>44523.848969907405</v>
      </c>
      <c r="D15490" s="1" t="s">
        <v>30540</v>
      </c>
      <c r="E15490" s="1" t="str">
        <f ca="1">IFERROR(__xludf.DUMMYFUNCTION("GOOGLETRANSLATE(A12289 , ""tr"" , ""en"")"),"@drfahrettinkoca Know the cases again after the vacation Know that this is out of the mask of students in the school you open ... https://t.co/qdvedk3qgy")</f>
        <v>@drfahrettinkoca Know the cases again after the vacation Know that this is out of the mask of students in the school you open ... https://t.co/qdvedk3qgy</v>
      </c>
    </row>
    <row r="15491" spans="1:5" ht="15" customHeight="1" x14ac:dyDescent="0.2">
      <c r="A15491" s="1" t="s">
        <v>30541</v>
      </c>
      <c r="B15491" s="1">
        <v>1</v>
      </c>
      <c r="C15491" s="3">
        <v>44523.847245370373</v>
      </c>
      <c r="D15491" s="1" t="s">
        <v>30542</v>
      </c>
      <c r="E15491" s="1" t="str">
        <f ca="1">IFERROR(__xludf.DUMMYFUNCTION("GOOGLETRANSLATE(A12290 , ""tr"" , ""en"")"),"@drfahrettinkoca heh fahrettin Bey Here is this time you are waiting for you to share 60 thousand cases")</f>
        <v>@drfahrettinkoca heh fahrettin Bey Here is this time you are waiting for you to share 60 thousand cases</v>
      </c>
    </row>
    <row r="15492" spans="1:5" ht="15" customHeight="1" x14ac:dyDescent="0.2">
      <c r="A15492" s="1" t="s">
        <v>30543</v>
      </c>
      <c r="B15492" s="1">
        <v>0</v>
      </c>
      <c r="C15492" s="3">
        <v>44523.911041666666</v>
      </c>
      <c r="D15492" s="1" t="s">
        <v>30544</v>
      </c>
      <c r="E15492" s="1" t="str">
        <f ca="1">IFERROR(__xludf.DUMMYFUNCTION("GOOGLETRANSLATE(A12291 , ""tr"" , ""en"")"),"@drfahrettinkoca look forward to")</f>
        <v>@drfahrettinkoca look forward to</v>
      </c>
    </row>
    <row r="15493" spans="1:5" ht="15" customHeight="1" x14ac:dyDescent="0.2">
      <c r="A15493" s="1" t="s">
        <v>30545</v>
      </c>
      <c r="B15493" s="1">
        <v>0</v>
      </c>
      <c r="C15493" s="3">
        <v>44523.908090277779</v>
      </c>
      <c r="D15493" s="1" t="s">
        <v>30546</v>
      </c>
      <c r="E15493" s="1" t="str">
        <f ca="1">IFERROR(__xludf.DUMMYFUNCTION("GOOGLETRANSLATE(A12292 , ""tr"" , ""en"")"),"@drfahrettinka https://t.co/vual8yswst")</f>
        <v>@drfahrettinka https://t.co/vual8yswst</v>
      </c>
    </row>
    <row r="15494" spans="1:5" ht="15" customHeight="1" x14ac:dyDescent="0.2">
      <c r="A15494" s="1" t="s">
        <v>30547</v>
      </c>
      <c r="B15494" s="1">
        <v>0</v>
      </c>
      <c r="C15494" s="3">
        <v>44523.895532407405</v>
      </c>
      <c r="D15494" s="1" t="s">
        <v>30548</v>
      </c>
      <c r="E15494" s="1" t="str">
        <f ca="1">IFERROR(__xludf.DUMMYFUNCTION("GOOGLETRANSLATE(A12293 , ""tr"" , ""en"")"),"@drfahrettinkoca you are talking empty ..")</f>
        <v>@drfahrettinkoca you are talking empty ..</v>
      </c>
    </row>
    <row r="15495" spans="1:5" ht="15" customHeight="1" x14ac:dyDescent="0.2">
      <c r="A15495" s="1" t="s">
        <v>30549</v>
      </c>
      <c r="B15495" s="1">
        <v>0</v>
      </c>
      <c r="C15495" s="3">
        <v>44522.978391203702</v>
      </c>
      <c r="D15495" s="1" t="s">
        <v>30550</v>
      </c>
      <c r="E15495" s="1" t="str">
        <f ca="1">IFERROR(__xludf.DUMMYFUNCTION("GOOGLETRANSLATE(A12294 , ""tr"" , ""en"")"),"@drfahrettinkoca yaaa you starnnnn")</f>
        <v>@drfahrettinkoca yaaa you starnnnn</v>
      </c>
    </row>
    <row r="15496" spans="1:5" ht="15" customHeight="1" x14ac:dyDescent="0.2">
      <c r="A15496" s="1" t="s">
        <v>30551</v>
      </c>
      <c r="B15496" s="1">
        <v>0</v>
      </c>
      <c r="C15496" s="3">
        <v>44522.953414351854</v>
      </c>
      <c r="D15496" s="1" t="s">
        <v>30552</v>
      </c>
      <c r="E15496" s="1" t="str">
        <f ca="1">IFERROR(__xludf.DUMMYFUNCTION("GOOGLETRANSLATE(A12295 , ""tr"" , ""en"")"),"@drfahrettinkoca Abdulhamit Gul ... People in the closed are also on the #TC citizen in this country in this country # on behalf of life ... https://t.co/zbcbalpbdg")</f>
        <v>@drfahrettinkoca Abdulhamit Gul ... People in the closed are also on the #TC citizen in this country in this country # on behalf of life ... https://t.co/zbcbalpbdg</v>
      </c>
    </row>
    <row r="15497" spans="1:5" ht="15" customHeight="1" x14ac:dyDescent="0.2">
      <c r="A15497" s="1" t="s">
        <v>30553</v>
      </c>
      <c r="B15497" s="1">
        <v>0</v>
      </c>
      <c r="C15497" s="3">
        <v>44522.952002314814</v>
      </c>
      <c r="D15497" s="1" t="s">
        <v>30554</v>
      </c>
      <c r="E15497" s="1" t="str">
        <f ca="1">IFERROR(__xludf.DUMMYFUNCTION("GOOGLETRANSLATE(A12296 , ""tr"" , ""en"")"),"@drfahrettinkoca getting to German course get the nation to the nation to the nation")</f>
        <v>@drfahrettinkoca getting to German course get the nation to the nation to the nation</v>
      </c>
    </row>
    <row r="15498" spans="1:5" ht="15" customHeight="1" x14ac:dyDescent="0.2">
      <c r="A15498" s="1" t="s">
        <v>30555</v>
      </c>
      <c r="B15498" s="1">
        <v>0</v>
      </c>
      <c r="C15498" s="3">
        <v>44522.941400462965</v>
      </c>
      <c r="D15498" s="1" t="s">
        <v>30556</v>
      </c>
      <c r="E15498" s="1" t="str">
        <f ca="1">IFERROR(__xludf.DUMMYFUNCTION("GOOGLETRANSLATE(A12297 , ""tr"" , ""en"")"),"@drfahrettinkoca Kırkale de dental hospitals are just close to two years. Treatment will be customd. Where shall we find the money.")</f>
        <v>@drfahrettinkoca Kırkale de dental hospitals are just close to two years. Treatment will be customd. Where shall we find the money.</v>
      </c>
    </row>
    <row r="15499" spans="1:5" ht="15" customHeight="1" x14ac:dyDescent="0.2">
      <c r="A15499" s="1" t="s">
        <v>30557</v>
      </c>
      <c r="B15499" s="1">
        <v>1</v>
      </c>
      <c r="C15499" s="3">
        <v>44522.939837962964</v>
      </c>
      <c r="D15499" s="1" t="s">
        <v>30558</v>
      </c>
      <c r="E15499" s="1" t="str">
        <f ca="1">IFERROR(__xludf.DUMMYFUNCTION("GOOGLETRANSLATE(A12298 , ""tr"" , ""en"")"),"@drfahrettinkoca allah ü üalla you give our state to our state, you are the power to strength our strength, you go all our troubles, one ... https://t.co/hagslunhwx")</f>
        <v>@drfahrettinkoca allah ü üalla you give our state to our state, you are the power to strength our strength, you go all our troubles, one ... https://t.co/hagslunhwx</v>
      </c>
    </row>
    <row r="15500" spans="1:5" ht="15" customHeight="1" x14ac:dyDescent="0.2">
      <c r="A15500" s="1" t="s">
        <v>30559</v>
      </c>
      <c r="B15500" s="1">
        <v>0</v>
      </c>
      <c r="C15500" s="3">
        <v>44522.939768518518</v>
      </c>
      <c r="D15500" s="1" t="s">
        <v>30560</v>
      </c>
      <c r="E15500" s="1" t="str">
        <f ca="1">IFERROR(__xludf.DUMMYFUNCTION("GOOGLETRANSLATE(A12299 , ""tr"" , ""en"")"),"@drfahrettinka physicians unhappy")</f>
        <v>@drfahrettinka physicians unhappy</v>
      </c>
    </row>
    <row r="15501" spans="1:5" ht="15" customHeight="1" x14ac:dyDescent="0.2">
      <c r="A15501" s="1" t="s">
        <v>13687</v>
      </c>
      <c r="B15501" s="1">
        <v>0</v>
      </c>
      <c r="C15501" s="3">
        <v>44522.928263888891</v>
      </c>
      <c r="D15501" s="1" t="s">
        <v>30561</v>
      </c>
      <c r="E15501" s="1" t="str">
        <f ca="1">IFERROR(__xludf.DUMMYFUNCTION("GOOGLETRANSLATE(A12300 , ""tr"" , ""en"")"),"@drfahrettinkoca guanuzzz")</f>
        <v>@drfahrettinkoca guanuzzz</v>
      </c>
    </row>
    <row r="15502" spans="1:5" ht="15" customHeight="1" x14ac:dyDescent="0.2">
      <c r="A15502" s="1" t="s">
        <v>30562</v>
      </c>
      <c r="B15502" s="1">
        <v>0</v>
      </c>
      <c r="C15502" s="3">
        <v>44522.917534722219</v>
      </c>
      <c r="D15502" s="1" t="s">
        <v>30563</v>
      </c>
      <c r="E15502" s="1" t="str">
        <f ca="1">IFERROR(__xludf.DUMMYFUNCTION("GOOGLETRANSLATE(A12301 , ""tr"" , ""en"")"),"@drfahrettinkoca because I don't believe and trust you as I'm not impulpting my tenderness until I'm impulpting, I'm celebrating to my name !! Be ... https://t.co/skggjxICQi")</f>
        <v>@drfahrettinkoca because I don't believe and trust you as I'm not impulpting my tenderness until I'm impulpting, I'm celebrating to my name !! Be ... https://t.co/skggjxICQi</v>
      </c>
    </row>
    <row r="15503" spans="1:5" ht="15" customHeight="1" x14ac:dyDescent="0.2">
      <c r="A15503" s="1" t="s">
        <v>30564</v>
      </c>
      <c r="B15503" s="1">
        <v>0</v>
      </c>
      <c r="C15503" s="3">
        <v>44522.917326388888</v>
      </c>
      <c r="D15503" s="1" t="s">
        <v>30565</v>
      </c>
      <c r="E15503" s="1" t="str">
        <f ca="1">IFERROR(__xludf.DUMMYFUNCTION("GOOGLETRANSLATE(A12302 , ""tr"" , ""en"")"),"@drfahrettinka secured people, water suffering from children and aggravated families to see how comfortable ... https://t.co/lkzav2btlo")</f>
        <v>@drfahrettinka secured people, water suffering from children and aggravated families to see how comfortable ... https://t.co/lkzav2btlo</v>
      </c>
    </row>
    <row r="15504" spans="1:5" ht="15" customHeight="1" x14ac:dyDescent="0.2">
      <c r="A15504" s="1" t="s">
        <v>30566</v>
      </c>
      <c r="B15504" s="1">
        <v>1</v>
      </c>
      <c r="C15504" s="3">
        <v>44522.905949074076</v>
      </c>
      <c r="D15504" s="1" t="s">
        <v>30567</v>
      </c>
      <c r="E15504" s="1" t="str">
        <f ca="1">IFERROR(__xludf.DUMMYFUNCTION("GOOGLETRANSLATE(A12303 , ""tr"" , ""en"")"),"@drfahrettinkoca ADS 1000 Squads in the coming first acquisition Density in dental hospitals No technical equipment @drfahrettinkoca")</f>
        <v>@drfahrettinkoca ADS 1000 Squads in the coming first acquisition Density in dental hospitals No technical equipment @drfahrettinkoca</v>
      </c>
    </row>
    <row r="15505" spans="1:5" ht="15" customHeight="1" x14ac:dyDescent="0.2">
      <c r="A15505" s="1" t="s">
        <v>30568</v>
      </c>
      <c r="B15505" s="1">
        <v>2</v>
      </c>
      <c r="C15505" s="3">
        <v>44522.893680555557</v>
      </c>
      <c r="D15505" s="1" t="s">
        <v>30569</v>
      </c>
      <c r="E15505" s="1" t="str">
        <f ca="1">IFERROR(__xludf.DUMMYFUNCTION("GOOGLETRANSLATE(A12304 , ""tr"" , ""en"")"),"@drfahrettinkoca is closed in the process of epidemics that are closed to the opening of the density of the density of professional with professional ... https://t.co/t0ddiraqqv")</f>
        <v>@drfahrettinkoca is closed in the process of epidemics that are closed to the opening of the density of the density of professional with professional ... https://t.co/t0ddiraqqv</v>
      </c>
    </row>
    <row r="15506" spans="1:5" ht="15" customHeight="1" x14ac:dyDescent="0.2">
      <c r="A15506" s="1" t="s">
        <v>30570</v>
      </c>
      <c r="B15506" s="1">
        <v>1</v>
      </c>
      <c r="C15506" s="3">
        <v>44522.893495370372</v>
      </c>
      <c r="D15506" s="1" t="s">
        <v>30571</v>
      </c>
      <c r="E15506" s="1" t="str">
        <f ca="1">IFERROR(__xludf.DUMMYFUNCTION("GOOGLETRANSLATE(A12305 , ""tr"" , ""en"")"),"@drfahrettinkoca 23 Personal Personal Personal Cadro 25 Personal Mouth Over The Dental Technician More Adi ... Https://t.co/q0mxtqsqta")</f>
        <v>@drfahrettinkoca 23 Personal Personal Personal Cadro 25 Personal Mouth Over The Dental Technician More Adi ... Https://t.co/q0mxtqsqta</v>
      </c>
    </row>
    <row r="15507" spans="1:5" ht="15" customHeight="1" x14ac:dyDescent="0.2">
      <c r="A15507" s="1" t="s">
        <v>30572</v>
      </c>
      <c r="B15507" s="1">
        <v>0</v>
      </c>
      <c r="C15507" s="3">
        <v>44522.889849537038</v>
      </c>
      <c r="D15507" s="1" t="s">
        <v>30573</v>
      </c>
      <c r="E15507" s="1" t="str">
        <f ca="1">IFERROR(__xludf.DUMMYFUNCTION("GOOGLETRANSLATE(A12306 , ""tr"" , ""en"")"),"@drfahrettinka sus ltfn")</f>
        <v>@drfahrettinka sus ltfn</v>
      </c>
    </row>
    <row r="15508" spans="1:5" ht="15" customHeight="1" x14ac:dyDescent="0.2">
      <c r="A15508" s="1" t="s">
        <v>30574</v>
      </c>
      <c r="B15508" s="1">
        <v>0</v>
      </c>
      <c r="C15508" s="3">
        <v>44522.889409722222</v>
      </c>
      <c r="D15508" s="1" t="s">
        <v>30575</v>
      </c>
      <c r="E15508" s="1" t="str">
        <f ca="1">IFERROR(__xludf.DUMMYFUNCTION("GOOGLETRANSLATE(A12307 , ""tr"" , ""en"")"),"@drfahrettinka we can't get an appointment")</f>
        <v>@drfahrettinka we can't get an appointment</v>
      </c>
    </row>
    <row r="15509" spans="1:5" ht="15" customHeight="1" x14ac:dyDescent="0.2">
      <c r="A15509" s="1" t="s">
        <v>30576</v>
      </c>
      <c r="B15509" s="1">
        <v>0</v>
      </c>
      <c r="C15509" s="3">
        <v>44522.888159722221</v>
      </c>
      <c r="D15509" s="1" t="s">
        <v>30577</v>
      </c>
      <c r="E15509" s="1" t="str">
        <f ca="1">IFERROR(__xludf.DUMMYFUNCTION("GOOGLETRANSLATE(A12308 , ""tr"" , ""en"")"),"@drfahrettinkoca happy.ith")</f>
        <v>@drfahrettinkoca happy.ith</v>
      </c>
    </row>
    <row r="15510" spans="1:5" ht="15" customHeight="1" x14ac:dyDescent="0.2">
      <c r="A15510" s="1" t="s">
        <v>30578</v>
      </c>
      <c r="B15510" s="1">
        <v>0</v>
      </c>
      <c r="C15510" s="3">
        <v>44522.876793981479</v>
      </c>
      <c r="D15510" s="1" t="s">
        <v>30579</v>
      </c>
      <c r="E15510" s="1" t="str">
        <f ca="1">IFERROR(__xludf.DUMMYFUNCTION("GOOGLETRANSLATE(A12309 , ""tr"" , ""en"")"),"@drfahrettinkoca #eyt")</f>
        <v>@drfahrettinkoca #eyt</v>
      </c>
    </row>
    <row r="15511" spans="1:5" ht="15" customHeight="1" x14ac:dyDescent="0.2">
      <c r="A15511" s="1" t="s">
        <v>30580</v>
      </c>
      <c r="B15511" s="1">
        <v>0</v>
      </c>
      <c r="C15511" s="3">
        <v>44522.872569444444</v>
      </c>
      <c r="D15511" s="1" t="s">
        <v>30581</v>
      </c>
      <c r="E15511" s="1" t="str">
        <f ca="1">IFERROR(__xludf.DUMMYFUNCTION("GOOGLETRANSLATE(A12310 , ""tr"" , ""en"")"),"@drfahrettinkoca nerdeeeeee tenda o have that one hundred do you have the account of death drugs still distributed grocery store, 1 m ... https://t.co/sexqhucbq0")</f>
        <v>@drfahrettinkoca nerdeeeeee tenda o have that one hundred do you have the account of death drugs still distributed grocery store, 1 m ... https://t.co/sexqhucbq0</v>
      </c>
    </row>
    <row r="15512" spans="1:5" ht="15" customHeight="1" x14ac:dyDescent="0.2">
      <c r="A15512" s="1" t="s">
        <v>30582</v>
      </c>
      <c r="B15512" s="1">
        <v>0</v>
      </c>
      <c r="C15512" s="3">
        <v>44522.872071759259</v>
      </c>
      <c r="D15512" s="1" t="s">
        <v>30583</v>
      </c>
      <c r="E15512" s="1" t="str">
        <f ca="1">IFERROR(__xludf.DUMMYFUNCTION("GOOGLETRANSLATE(A12311 , ""tr"" , ""en"")"),"@drfahrettinkoca desperate woman, a mother, so far, yesterday ... SMA patient 1 baby mother !!! Treat your marriage ... https://t.co/9gsupcv32m")</f>
        <v>@drfahrettinkoca desperate woman, a mother, so far, yesterday ... SMA patient 1 baby mother !!! Treat your marriage ... https://t.co/9gsupcv32m</v>
      </c>
    </row>
    <row r="15513" spans="1:5" ht="15" customHeight="1" x14ac:dyDescent="0.2">
      <c r="A15513" s="1" t="s">
        <v>30584</v>
      </c>
      <c r="B15513" s="1">
        <v>0</v>
      </c>
      <c r="C15513" s="3">
        <v>44522.869826388887</v>
      </c>
      <c r="D15513" s="1" t="s">
        <v>30585</v>
      </c>
      <c r="E15513" s="1" t="str">
        <f ca="1">IFERROR(__xludf.DUMMYFUNCTION("GOOGLETRANSLATE(A12312 , ""tr"" , ""en"")"),"@drfahrettinkoca what happened to babies?")</f>
        <v>@drfahrettinkoca what happened to babies?</v>
      </c>
    </row>
    <row r="15514" spans="1:5" ht="15" customHeight="1" x14ac:dyDescent="0.2">
      <c r="A15514" s="1" t="s">
        <v>30586</v>
      </c>
      <c r="B15514" s="1">
        <v>12</v>
      </c>
      <c r="C15514" s="3">
        <v>44522.867511574077</v>
      </c>
      <c r="D15514" s="1" t="s">
        <v>30587</v>
      </c>
      <c r="E15514" s="1" t="str">
        <f ca="1">IFERROR(__xludf.DUMMYFUNCTION("GOOGLETRANSLATE(A12313 , ""tr"" , ""en"")"),"@drfahrettinkoca has been filling in 1,5 years than to lose 2 tooths.")</f>
        <v>@drfahrettinkoca has been filling in 1,5 years than to lose 2 tooths.</v>
      </c>
    </row>
    <row r="15515" spans="1:5" ht="15" customHeight="1" x14ac:dyDescent="0.2">
      <c r="A15515" s="1" t="s">
        <v>30588</v>
      </c>
      <c r="B15515" s="1">
        <v>0</v>
      </c>
      <c r="C15515" s="3">
        <v>44522.867372685185</v>
      </c>
      <c r="D15515" s="1" t="s">
        <v>30589</v>
      </c>
      <c r="E15515" s="1" t="str">
        <f ca="1">IFERROR(__xludf.DUMMYFUNCTION("GOOGLETRANSLATE(A12314 , ""tr"" , ""en"")"),"@drfahrettinkoca Remember the mouth and dental technicians")</f>
        <v>@drfahrettinkoca Remember the mouth and dental technicians</v>
      </c>
    </row>
    <row r="15516" spans="1:5" ht="15" customHeight="1" x14ac:dyDescent="0.2">
      <c r="A15516" s="1" t="s">
        <v>30590</v>
      </c>
      <c r="B15516" s="1">
        <v>0</v>
      </c>
      <c r="C15516" s="3">
        <v>44522.866122685184</v>
      </c>
      <c r="D15516" s="1" t="s">
        <v>30591</v>
      </c>
      <c r="E15516" s="1" t="str">
        <f ca="1">IFERROR(__xludf.DUMMYFUNCTION("GOOGLETRANSLATE(A12315 , ""tr"" , ""en"")"),"@drfahrettinkoca Snacay K.Maras Dental Hospital Difficulty from Hospital Hard Take Age At Calisan Physicians Maalese ... https://t.co/ryvbvepm7u")</f>
        <v>@drfahrettinkoca Snacay K.Maras Dental Hospital Difficulty from Hospital Hard Take Age At Calisan Physicians Maalese ... https://t.co/ryvbvepm7u</v>
      </c>
    </row>
    <row r="15517" spans="1:5" ht="15" customHeight="1" x14ac:dyDescent="0.2">
      <c r="A15517" s="1" t="s">
        <v>30592</v>
      </c>
      <c r="B15517" s="1">
        <v>0</v>
      </c>
      <c r="C15517" s="3">
        <v>44522.865798611114</v>
      </c>
      <c r="D15517" s="1" t="s">
        <v>30593</v>
      </c>
      <c r="E15517" s="1" t="str">
        <f ca="1">IFERROR(__xludf.DUMMYFUNCTION("GOOGLETRANSLATE(A12316 , ""tr"" , ""en"")"),"@drfahrettinkoca so much that you care about your dentists are sending messages at this time. None of the dentists who are meticulous ... https://t.co/wjuglozptc")</f>
        <v>@drfahrettinkoca so much that you care about your dentists are sending messages at this time. None of the dentists who are meticulous ... https://t.co/wjuglozptc</v>
      </c>
    </row>
    <row r="15518" spans="1:5" ht="15" customHeight="1" x14ac:dyDescent="0.2">
      <c r="A15518" s="1" t="s">
        <v>30594</v>
      </c>
      <c r="B15518" s="1">
        <v>1</v>
      </c>
      <c r="C15518" s="3">
        <v>44522.865370370368</v>
      </c>
      <c r="D15518" s="1" t="s">
        <v>30595</v>
      </c>
      <c r="E15518" s="1" t="str">
        <f ca="1">IFERROR(__xludf.DUMMYFUNCTION("GOOGLETRANSLATE(A12317 , ""tr"" , ""en"")"),"@drfahrettinkoca as mouth and dental health technicians; Using our knowledge and freeze, the quality of the adsm increased ... https://t.co/zbqgbvhcxb")</f>
        <v>@drfahrettinkoca as mouth and dental health technicians; Using our knowledge and freeze, the quality of the adsm increased ... https://t.co/zbqgbvhcxb</v>
      </c>
    </row>
    <row r="15519" spans="1:5" ht="15" customHeight="1" x14ac:dyDescent="0.2">
      <c r="A15519" s="1" t="s">
        <v>30596</v>
      </c>
      <c r="B15519" s="1">
        <v>1</v>
      </c>
      <c r="C15519" s="3">
        <v>44522.864768518521</v>
      </c>
      <c r="D15519" s="1" t="s">
        <v>30597</v>
      </c>
      <c r="E15519" s="1" t="str">
        <f ca="1">IFERROR(__xludf.DUMMYFUNCTION("GOOGLETRANSLATE(A12318 , ""tr"" , ""en"")"),"@drfahrettinkoca is closed in the process of epidemics that are closed to open the intensity of the intensity of professionalism to be opened ... https://t.co/bznbrsyvaj")</f>
        <v>@drfahrettinkoca is closed in the process of epidemics that are closed to open the intensity of the intensity of professionalism to be opened ... https://t.co/bznbrsyvaj</v>
      </c>
    </row>
    <row r="15520" spans="1:5" ht="15" customHeight="1" x14ac:dyDescent="0.2">
      <c r="A15520" s="1" t="s">
        <v>30598</v>
      </c>
      <c r="B15520" s="1">
        <v>0</v>
      </c>
      <c r="C15520" s="3">
        <v>44522.864548611113</v>
      </c>
      <c r="D15520" s="1" t="s">
        <v>30599</v>
      </c>
      <c r="E15520" s="1" t="str">
        <f ca="1">IFERROR(__xludf.DUMMYFUNCTION("GOOGLETRANSLATE(A12319 , ""tr"" , ""en"")"),"@drfahrettinkoca mouth and dental health protective measures, training in the field of mouth and dental health ... https://t.co/4rt8mf97xr")</f>
        <v>@drfahrettinkoca mouth and dental health protective measures, training in the field of mouth and dental health ... https://t.co/4rt8mf97xr</v>
      </c>
    </row>
    <row r="15521" spans="1:5" ht="15" customHeight="1" x14ac:dyDescent="0.2">
      <c r="A15521" s="1" t="s">
        <v>30600</v>
      </c>
      <c r="B15521" s="1">
        <v>0</v>
      </c>
      <c r="C15521" s="3">
        <v>44522.860555555555</v>
      </c>
      <c r="D15521" s="1" t="s">
        <v>30601</v>
      </c>
      <c r="E15521" s="1" t="str">
        <f ca="1">IFERROR(__xludf.DUMMYFUNCTION("GOOGLETRANSLATE(A12320 , ""tr"" , ""en"")"),"@drfahrettinkocaR Minister to the Ministry of Allah")</f>
        <v>@drfahrettinkocaR Minister to the Ministry of Allah</v>
      </c>
    </row>
    <row r="15522" spans="1:5" ht="15" customHeight="1" x14ac:dyDescent="0.2">
      <c r="A15522" s="1" t="s">
        <v>30602</v>
      </c>
      <c r="B15522" s="1">
        <v>1</v>
      </c>
      <c r="C15522" s="3">
        <v>44522.858564814815</v>
      </c>
      <c r="D15522" s="1" t="s">
        <v>30603</v>
      </c>
      <c r="E15522" s="1" t="str">
        <f ca="1">IFERROR(__xludf.DUMMYFUNCTION("GOOGLETRANSLATE(A12321 , ""tr"" , ""en"")"),"@drfahrettinkoca Mouth and Dental Technicians are welcome to publish the staff of the staff in the name of the Ministry Https://t.co/eu7aprfqix")</f>
        <v>@drfahrettinkoca Mouth and Dental Technicians are welcome to publish the staff of the staff in the name of the Ministry Https://t.co/eu7aprfqix</v>
      </c>
    </row>
    <row r="15523" spans="1:5" ht="15" customHeight="1" x14ac:dyDescent="0.2">
      <c r="A15523" s="1" t="s">
        <v>30604</v>
      </c>
      <c r="B15523" s="1">
        <v>1</v>
      </c>
      <c r="C15523" s="3">
        <v>44522.857893518521</v>
      </c>
      <c r="D15523" s="1" t="s">
        <v>30605</v>
      </c>
      <c r="E15523" s="1" t="str">
        <f ca="1">IFERROR(__xludf.DUMMYFUNCTION("GOOGLETRANSLATE(A12322 , ""tr"" , ""en"")"),"@drfahrettinkoca ▶ Delivering the job to a worthy is the basic rule of development. ADSMS Mouth and Dental Health Technicians ... https://t.co/4y4xvom5jp")</f>
        <v>@drfahrettinkoca ▶ Delivering the job to a worthy is the basic rule of development. ADSMS Mouth and Dental Health Technicians ... https://t.co/4y4xvom5jp</v>
      </c>
    </row>
    <row r="15524" spans="1:5" ht="15" customHeight="1" x14ac:dyDescent="0.2">
      <c r="A15524" s="1" t="s">
        <v>30606</v>
      </c>
      <c r="B15524" s="1">
        <v>0</v>
      </c>
      <c r="C15524" s="3">
        <v>44522.857673611114</v>
      </c>
      <c r="D15524" s="1" t="s">
        <v>30607</v>
      </c>
      <c r="E15524" s="1" t="str">
        <f ca="1">IFERROR(__xludf.DUMMYFUNCTION("GOOGLETRANSLATE(A12323 , ""tr"" , ""en"")"),"@drfahrettinkoca Mr. Minister waiting for assignment of mouth and dental health technicians. @drfahrettinkoca @drtolgatolunay @saglikbakanligi")</f>
        <v>@drfahrettinkoca Mr. Minister waiting for assignment of mouth and dental health technicians. @drfahrettinkoca @drtolgatolunay @saglikbakanligi</v>
      </c>
    </row>
    <row r="15525" spans="1:5" ht="15" customHeight="1" x14ac:dyDescent="0.2">
      <c r="A15525" s="1" t="s">
        <v>30608</v>
      </c>
      <c r="B15525" s="1">
        <v>1</v>
      </c>
      <c r="C15525" s="3">
        <v>44522.857511574075</v>
      </c>
      <c r="D15525" s="1" t="s">
        <v>30609</v>
      </c>
      <c r="E15525" s="1" t="str">
        <f ca="1">IFERROR(__xludf.DUMMYFUNCTION("GOOGLETRANSLATE(A12324 , ""tr"" , ""en"")"),"@drfahrettinkoca Number of University, Mouth and Dental Health Education: 76 Mouth and Dental Health Department Annual Graduate: 48 ... https://t.co/4jwfojst68")</f>
        <v>@drfahrettinkoca Number of University, Mouth and Dental Health Education: 76 Mouth and Dental Health Department Annual Graduate: 48 ... https://t.co/4jwfojst68</v>
      </c>
    </row>
    <row r="15526" spans="1:5" ht="15" customHeight="1" x14ac:dyDescent="0.2">
      <c r="A15526" s="1" t="s">
        <v>30610</v>
      </c>
      <c r="B15526" s="1">
        <v>4</v>
      </c>
      <c r="C15526" s="3">
        <v>44522.85665509259</v>
      </c>
      <c r="D15526" s="1" t="s">
        <v>30611</v>
      </c>
      <c r="E15526" s="1" t="str">
        <f ca="1">IFERROR(__xludf.DUMMYFUNCTION("GOOGLETRANSLATE(A12325 , ""tr"" , ""en"")"),"@drfahrettinkoca I have all the physicians and anguns of my daughter #Diews Nice Successful days @ Özggccc https://t.co/w6evf3jsep")</f>
        <v>@drfahrettinkoca I have all the physicians and anguns of my daughter #Diews Nice Successful days @ Özggccc https://t.co/w6evf3jsep</v>
      </c>
    </row>
    <row r="15527" spans="1:5" ht="15" customHeight="1" x14ac:dyDescent="0.2">
      <c r="A15527" s="1" t="s">
        <v>30612</v>
      </c>
      <c r="B15527" s="1">
        <v>1</v>
      </c>
      <c r="C15527" s="3">
        <v>44522.853877314818</v>
      </c>
      <c r="D15527" s="1" t="s">
        <v>30613</v>
      </c>
      <c r="E15527" s="1" t="str">
        <f ca="1">IFERROR(__xludf.DUMMYFUNCTION("GOOGLETRANSLATE(A12326 , ""tr"" , ""en"")"),"@drfahrettinkoca is a thousand troubles and graduated by mouth and dental technicians to stay in the middle with high scores ... https://t.co/ilhyc93zae")</f>
        <v>@drfahrettinkoca is a thousand troubles and graduated by mouth and dental technicians to stay in the middle with high scores ... https://t.co/ilhyc93zae</v>
      </c>
    </row>
    <row r="15528" spans="1:5" ht="15" customHeight="1" x14ac:dyDescent="0.2">
      <c r="A15528" s="1" t="s">
        <v>30614</v>
      </c>
      <c r="B15528" s="1">
        <v>0</v>
      </c>
      <c r="C15528" s="3">
        <v>44522.85328703704</v>
      </c>
      <c r="D15528" s="1" t="s">
        <v>30615</v>
      </c>
      <c r="E15528" s="1" t="str">
        <f ca="1">IFERROR(__xludf.DUMMYFUNCTION("GOOGLETRANSLATE(A12327 , ""tr"" , ""en"")"),"@drfahrettinka physician's assistant, happy to the secretary of the prosthesis technicians Happy Day of Dental Health ... https://t.co/xkzmxoua48")</f>
        <v>@drfahrettinka physician's assistant, happy to the secretary of the prosthesis technicians Happy Day of Dental Health ... https://t.co/xkzmxoua48</v>
      </c>
    </row>
    <row r="15529" spans="1:5" ht="15" customHeight="1" x14ac:dyDescent="0.2">
      <c r="A15529" s="1" t="s">
        <v>30616</v>
      </c>
      <c r="B15529" s="1">
        <v>9</v>
      </c>
      <c r="C15529" s="3">
        <v>44522.853136574071</v>
      </c>
      <c r="D15529" s="1" t="s">
        <v>30617</v>
      </c>
      <c r="E15529" s="1" t="str">
        <f ca="1">IFERROR(__xludf.DUMMYFUNCTION("GOOGLETRANSLATE(A12328 , ""tr"" , ""en"")"),"@drfahrettinkoca to the patient, ring behavior is very meticulous. You have made the country by looking at them ... ... https://t.co/tgqfynhl8z")</f>
        <v>@drfahrettinkoca to the patient, ring behavior is very meticulous. You have made the country by looking at them ... ... https://t.co/tgqfynhl8z</v>
      </c>
    </row>
    <row r="15530" spans="1:5" ht="15" customHeight="1" x14ac:dyDescent="0.2">
      <c r="A15530" s="1" t="s">
        <v>30618</v>
      </c>
      <c r="B15530" s="1">
        <v>2</v>
      </c>
      <c r="C15530" s="3">
        <v>44522.853009259263</v>
      </c>
      <c r="D15530" s="1" t="s">
        <v>30619</v>
      </c>
      <c r="E15530" s="1" t="str">
        <f ca="1">IFERROR(__xludf.DUMMYFUNCTION("GOOGLETRANSLATE(A12329 , ""tr"" , ""en"")"),"@drfahrettinkoca Keske In the case we can take an appointment of dentist, we celebrate Yuzyuze.")</f>
        <v>@drfahrettinkoca Keske In the case we can take an appointment of dentist, we celebrate Yuzyuze.</v>
      </c>
    </row>
    <row r="15531" spans="1:5" ht="15" customHeight="1" x14ac:dyDescent="0.2">
      <c r="A15531" s="1" t="s">
        <v>30620</v>
      </c>
      <c r="B15531" s="1">
        <v>0</v>
      </c>
      <c r="C15531" s="3">
        <v>44522.852962962963</v>
      </c>
      <c r="D15531" s="1" t="s">
        <v>30621</v>
      </c>
      <c r="E15531" s="1" t="str">
        <f ca="1">IFERROR(__xludf.DUMMYFUNCTION("GOOGLETRANSLATE(A12330 , ""tr"" , ""en"")"),"@drfahrettinkoca If you want to increase the precaution in the mouth and tooth Saggin, the female is rather than the female, which is rather ill ... https://t.co/wxgcljzg4q")</f>
        <v>@drfahrettinkoca If you want to increase the precaution in the mouth and tooth Saggin, the female is rather than the female, which is rather ill ... https://t.co/wxgcljzg4q</v>
      </c>
    </row>
    <row r="15532" spans="1:5" ht="15" customHeight="1" x14ac:dyDescent="0.2">
      <c r="A15532" s="1" t="s">
        <v>30622</v>
      </c>
      <c r="B15532" s="1">
        <v>1</v>
      </c>
      <c r="C15532" s="3">
        <v>44522.852314814816</v>
      </c>
      <c r="D15532" s="1" t="s">
        <v>30623</v>
      </c>
      <c r="E15532" s="1" t="str">
        <f ca="1">IFERROR(__xludf.DUMMYFUNCTION("GOOGLETRANSLATE(A12331 , ""tr"" , ""en"")"),"@drfahrettinkoca Each assignment is also given to the mouth and dental technicians what is a 2% quota and as a result of the KPSS ... https://t.co/GBVXFIXBKA")</f>
        <v>@drfahrettinkoca Each assignment is also given to the mouth and dental technicians what is a 2% quota and as a result of the KPSS ... https://t.co/GBVXFIXBKA</v>
      </c>
    </row>
    <row r="15533" spans="1:5" ht="15" customHeight="1" x14ac:dyDescent="0.2">
      <c r="A15533" s="1" t="s">
        <v>30624</v>
      </c>
      <c r="B15533" s="1">
        <v>0</v>
      </c>
      <c r="C15533" s="3">
        <v>44522.851643518516</v>
      </c>
      <c r="D15533" s="1" t="s">
        <v>30625</v>
      </c>
      <c r="E15533" s="1" t="str">
        <f ca="1">IFERROR(__xludf.DUMMYFUNCTION("GOOGLETRANSLATE(A12332 , ""tr"" , ""en"")"),"@drfahrettinkoca Mhrs to teeth e appointment is the months.")</f>
        <v>@drfahrettinkoca Mhrs to teeth e appointment is the months.</v>
      </c>
    </row>
    <row r="15534" spans="1:5" ht="15" customHeight="1" x14ac:dyDescent="0.2">
      <c r="A15534" s="1" t="s">
        <v>30626</v>
      </c>
      <c r="B15534" s="1">
        <v>1</v>
      </c>
      <c r="C15534" s="3">
        <v>44522.851168981484</v>
      </c>
      <c r="D15534" s="1" t="s">
        <v>30627</v>
      </c>
      <c r="E15534" s="1" t="str">
        <f ca="1">IFERROR(__xludf.DUMMYFUNCTION("GOOGLETRANSLATE(A12333 , ""tr"" , ""en"")"),"@drfahrettinkoca 23 Personal Personal Personal Squad 25 Personal Mouth Over 25 Body Teeth Teeth Teeth Dental Teeth More Adi ... https://t.co/fedgsvafdx")</f>
        <v>@drfahrettinkoca 23 Personal Personal Personal Squad 25 Personal Mouth Over 25 Body Teeth Teeth Teeth Dental Teeth More Adi ... https://t.co/fedgsvafdx</v>
      </c>
    </row>
    <row r="15535" spans="1:5" ht="15" customHeight="1" x14ac:dyDescent="0.2">
      <c r="A15535" s="1" t="s">
        <v>30628</v>
      </c>
      <c r="B15535" s="1">
        <v>1</v>
      </c>
      <c r="C15535" s="3">
        <v>44522.850636574076</v>
      </c>
      <c r="D15535" s="1" t="s">
        <v>30629</v>
      </c>
      <c r="E15535" s="1" t="str">
        <f ca="1">IFERROR(__xludf.DUMMYFUNCTION("GOOGLETRANSLATE(A12334 , ""tr"" , ""en"")"),"@drfahrettinkoca Unlike other departments, the only part of 81 provinces with other departments have more than 1 ADSM but the bridal ... https://t.co/80lckb08p3")</f>
        <v>@drfahrettinkoca Unlike other departments, the only part of 81 provinces with other departments have more than 1 ADSM but the bridal ... https://t.co/80lckb08p3</v>
      </c>
    </row>
    <row r="15536" spans="1:5" ht="15" customHeight="1" x14ac:dyDescent="0.2">
      <c r="A15536" s="1" t="s">
        <v>30630</v>
      </c>
      <c r="B15536" s="1">
        <v>0</v>
      </c>
      <c r="C15536" s="3">
        <v>44522.85052083333</v>
      </c>
      <c r="D15536" s="1" t="s">
        <v>30631</v>
      </c>
      <c r="E15536" s="1" t="str">
        <f ca="1">IFERROR(__xludf.DUMMYFUNCTION("GOOGLETRANSLATE(A12335 , ""tr"" , ""en"")"),"@drfahrettinkoca Hemp, DE Doctors such as Doctors are seated in the seat of the genocide ... https://t.co/y2orpkp5lh")</f>
        <v>@drfahrettinkoca Hemp, DE Doctors such as Doctors are seated in the seat of the genocide ... https://t.co/y2orpkp5lh</v>
      </c>
    </row>
    <row r="15537" spans="1:5" ht="15" customHeight="1" x14ac:dyDescent="0.2">
      <c r="A15537" s="1" t="s">
        <v>30632</v>
      </c>
      <c r="B15537" s="1">
        <v>1</v>
      </c>
      <c r="C15537" s="3">
        <v>44522.850393518522</v>
      </c>
      <c r="D15537" s="1" t="s">
        <v>30633</v>
      </c>
      <c r="E15537" s="1" t="str">
        <f ca="1">IFERROR(__xludf.DUMMYFUNCTION("GOOGLETRANSLATE(A12336 , ""tr"" , ""en"")"),"@drfahrettinkoca mouth and dental health technicians are expert and diplomatic healthcare activities in their fields residual ... https://t.co/rs1gdlconw")</f>
        <v>@drfahrettinkoca mouth and dental health technicians are expert and diplomatic healthcare activities in their fields residual ... https://t.co/rs1gdlconw</v>
      </c>
    </row>
    <row r="15538" spans="1:5" ht="15" customHeight="1" x14ac:dyDescent="0.2">
      <c r="A15538" s="1" t="s">
        <v>30634</v>
      </c>
      <c r="B15538" s="1">
        <v>1</v>
      </c>
      <c r="C15538" s="3">
        <v>44522.850254629629</v>
      </c>
      <c r="D15538" s="1" t="s">
        <v>30635</v>
      </c>
      <c r="E15538" s="1" t="str">
        <f ca="1">IFERROR(__xludf.DUMMYFUNCTION("GOOGLETRANSLATE(A12337 , ""tr"" , ""en"")"),"@drfahrettinkoca my eye what I don't want to see the Board of Planemia. You're glazed from life!")</f>
        <v>@drfahrettinkoca my eye what I don't want to see the Board of Planemia. You're glazed from life!</v>
      </c>
    </row>
    <row r="15539" spans="1:5" ht="15" customHeight="1" x14ac:dyDescent="0.2">
      <c r="A15539" s="1" t="s">
        <v>30636</v>
      </c>
      <c r="B15539" s="1">
        <v>0</v>
      </c>
      <c r="C15539" s="3">
        <v>44522.849918981483</v>
      </c>
      <c r="D15539" s="1" t="s">
        <v>30637</v>
      </c>
      <c r="E15539" s="1" t="str">
        <f ca="1">IFERROR(__xludf.DUMMYFUNCTION("GOOGLETRANSLATE(A12338 , ""tr"" , ""en"")"),"@drfahrettinkoca mouth we want staff to dental health")</f>
        <v>@drfahrettinkoca mouth we want staff to dental health</v>
      </c>
    </row>
    <row r="15540" spans="1:5" ht="15" customHeight="1" x14ac:dyDescent="0.2">
      <c r="A15540" s="1" t="s">
        <v>30638</v>
      </c>
      <c r="B15540" s="1">
        <v>19</v>
      </c>
      <c r="C15540" s="3">
        <v>44522.849803240744</v>
      </c>
      <c r="D15540" s="1" t="s">
        <v>30639</v>
      </c>
      <c r="E15540" s="1" t="str">
        <f ca="1">IFERROR(__xludf.DUMMYFUNCTION("GOOGLETRANSLATE(A12339 , ""tr"" , ""en"")"),"@drfahrettinkoca Hopefully December 18th Health Administrators also deserves the Day and Health Management Department ... https://t.co/a4em88fmtr")</f>
        <v>@drfahrettinkoca Hopefully December 18th Health Administrators also deserves the Day and Health Management Department ... https://t.co/a4em88fmtr</v>
      </c>
    </row>
    <row r="15541" spans="1:5" ht="15" customHeight="1" x14ac:dyDescent="0.2">
      <c r="A15541" s="1" t="s">
        <v>30640</v>
      </c>
      <c r="B15541" s="1">
        <v>0</v>
      </c>
      <c r="C15541" s="3">
        <v>44522.849236111113</v>
      </c>
      <c r="D15541" s="1" t="s">
        <v>30641</v>
      </c>
      <c r="E15541" s="1" t="str">
        <f ca="1">IFERROR(__xludf.DUMMYFUNCTION("GOOGLETRANSLATE(A12340 , ""tr"" , ""en"")"),"@drfahrettinkoca adsm eat mouth dental health is not nurse")</f>
        <v>@drfahrettinkoca adsm eat mouth dental health is not nurse</v>
      </c>
    </row>
    <row r="15542" spans="1:5" ht="15" customHeight="1" x14ac:dyDescent="0.2">
      <c r="A15542" s="1" t="s">
        <v>30642</v>
      </c>
      <c r="B15542" s="1">
        <v>0</v>
      </c>
      <c r="C15542" s="3">
        <v>44522.847581018519</v>
      </c>
      <c r="D15542" s="1" t="s">
        <v>30643</v>
      </c>
      <c r="E15542" s="1" t="str">
        <f ca="1">IFERROR(__xludf.DUMMYFUNCTION("GOOGLETRANSLATE(A12341 , ""tr"" , ""en"")"),"@drfahrettinkoca mouth we want 1000 squads to dental health")</f>
        <v>@drfahrettinkoca mouth we want 1000 squads to dental health</v>
      </c>
    </row>
    <row r="15543" spans="1:5" ht="15" customHeight="1" x14ac:dyDescent="0.2">
      <c r="A15543" s="1" t="s">
        <v>30644</v>
      </c>
      <c r="B15543" s="1">
        <v>0</v>
      </c>
      <c r="C15543" s="3">
        <v>44522.847210648149</v>
      </c>
      <c r="D15543" s="1" t="s">
        <v>30645</v>
      </c>
      <c r="E15543" s="1" t="str">
        <f ca="1">IFERROR(__xludf.DUMMYFUNCTION("GOOGLETRANSLATE(A12342 , ""tr"" , ""en"")"),"@drfahrettinkoca mouth dental health technicians now want to high staff")</f>
        <v>@drfahrettinkoca mouth dental health technicians now want to high staff</v>
      </c>
    </row>
    <row r="15544" spans="1:5" ht="15" customHeight="1" x14ac:dyDescent="0.2">
      <c r="A15544" s="1" t="s">
        <v>30646</v>
      </c>
      <c r="B15544" s="1">
        <v>0</v>
      </c>
      <c r="C15544" s="3">
        <v>44522.846875000003</v>
      </c>
      <c r="D15544" s="1" t="s">
        <v>30647</v>
      </c>
      <c r="E15544" s="1" t="str">
        <f ca="1">IFERROR(__xludf.DUMMYFUNCTION("GOOGLETRANSLATE(A12343 , ""tr"" , ""en"")"),"@drfahrettinkoca HoCam You have uninstalled vitamin tests in Health Health ınbugal 200 TL Vitamin D testing YA ... https://t.co/rh3y6qryap")</f>
        <v>@drfahrettinkoca HoCam You have uninstalled vitamin tests in Health Health ınbugal 200 TL Vitamin D testing YA ... https://t.co/rh3y6qryap</v>
      </c>
    </row>
    <row r="15545" spans="1:5" ht="15" customHeight="1" x14ac:dyDescent="0.2">
      <c r="A15545" s="1" t="s">
        <v>30648</v>
      </c>
      <c r="B15545" s="1">
        <v>0</v>
      </c>
      <c r="C15545" s="3">
        <v>44522.846817129626</v>
      </c>
      <c r="D15545" s="1" t="s">
        <v>30649</v>
      </c>
      <c r="E15545" s="1" t="str">
        <f ca="1">IFERROR(__xludf.DUMMYFUNCTION("GOOGLETRANSLATE(A12344 , ""tr"" , ""en"")"),"@drfahrettinkoca mouth tooth 1000 squads")</f>
        <v>@drfahrettinkoca mouth tooth 1000 squads</v>
      </c>
    </row>
    <row r="15546" spans="1:5" ht="15" customHeight="1" x14ac:dyDescent="0.2">
      <c r="A15546" s="1" t="s">
        <v>30650</v>
      </c>
      <c r="B15546" s="1">
        <v>0</v>
      </c>
      <c r="C15546" s="3">
        <v>44522.846631944441</v>
      </c>
      <c r="D15546" s="1" t="s">
        <v>30651</v>
      </c>
      <c r="E15546" s="1" t="str">
        <f ca="1">IFERROR(__xludf.DUMMYFUNCTION("GOOGLETRANSLATE(A12345 , ""tr"" , ""en"")"),"@drfahrettinkoca mouth and dental health technicians also waiting for assignment")</f>
        <v>@drfahrettinkoca mouth and dental health technicians also waiting for assignment</v>
      </c>
    </row>
    <row r="15547" spans="1:5" ht="15" customHeight="1" x14ac:dyDescent="0.2">
      <c r="A15547" s="1" t="s">
        <v>30652</v>
      </c>
      <c r="B15547" s="1">
        <v>0</v>
      </c>
      <c r="C15547" s="3">
        <v>44522.846377314818</v>
      </c>
      <c r="D15547" s="1" t="s">
        <v>30653</v>
      </c>
      <c r="E15547" s="1" t="str">
        <f ca="1">IFERROR(__xludf.DUMMYFUNCTION("GOOGLETRANSLATE(A12346 , ""tr"" , ""en"")"),"@drfahrettinkoca reassign mouth tooth")</f>
        <v>@drfahrettinkoca reassign mouth tooth</v>
      </c>
    </row>
    <row r="15548" spans="1:5" ht="15" customHeight="1" x14ac:dyDescent="0.2">
      <c r="A15548" s="1" t="s">
        <v>30654</v>
      </c>
      <c r="B15548" s="1">
        <v>0</v>
      </c>
      <c r="C15548" s="3">
        <v>44522.846284722225</v>
      </c>
      <c r="D15548" s="1" t="s">
        <v>30655</v>
      </c>
      <c r="E15548" s="1" t="str">
        <f ca="1">IFERROR(__xludf.DUMMYFUNCTION("GOOGLETRANSLATE(A12347 , ""tr"" , ""en"")"),"@drfahrettinkoca mouth to dental health +1000 squads")</f>
        <v>@drfahrettinkoca mouth to dental health +1000 squads</v>
      </c>
    </row>
    <row r="15549" spans="1:5" ht="15" customHeight="1" x14ac:dyDescent="0.2">
      <c r="A15549" s="1" t="s">
        <v>30656</v>
      </c>
      <c r="B15549" s="1">
        <v>7</v>
      </c>
      <c r="C15549" s="3">
        <v>44522.846203703702</v>
      </c>
      <c r="D15549" s="1" t="s">
        <v>30657</v>
      </c>
      <c r="E15549" s="1" t="str">
        <f ca="1">IFERROR(__xludf.DUMMYFUNCTION("GOOGLETRANSLATE(A12348 , ""tr"" , ""en"")"),"@drfahrettinkoca Stop vaccines now! Don't you die more people than vaccines! *** Population reduction agenda - most vaccines ... https://t.co/6ju3qlwkkn")</f>
        <v>@drfahrettinkoca Stop vaccines now! Don't you die more people than vaccines! *** Population reduction agenda - most vaccines ... https://t.co/6ju3qlwkkn</v>
      </c>
    </row>
    <row r="15550" spans="1:5" ht="15" customHeight="1" x14ac:dyDescent="0.2">
      <c r="A15550" s="1" t="s">
        <v>30658</v>
      </c>
      <c r="B15550" s="1">
        <v>0</v>
      </c>
      <c r="C15550" s="3">
        <v>44522.846076388887</v>
      </c>
      <c r="D15550" s="1" t="s">
        <v>30659</v>
      </c>
      <c r="E15550" s="1" t="str">
        <f ca="1">IFERROR(__xludf.DUMMYFUNCTION("GOOGLETRANSLATE(A12349 , ""tr"" , ""en"")"),"@drfahrettinkoca mouth is waiting for assigning dental health technicians")</f>
        <v>@drfahrettinkoca mouth is waiting for assigning dental health technicians</v>
      </c>
    </row>
    <row r="15551" spans="1:5" ht="15" customHeight="1" x14ac:dyDescent="0.2">
      <c r="A15551" s="1" t="s">
        <v>30660</v>
      </c>
      <c r="B15551" s="1">
        <v>0</v>
      </c>
      <c r="C15551" s="3">
        <v>44522.845821759256</v>
      </c>
      <c r="D15551" s="1" t="s">
        <v>30661</v>
      </c>
      <c r="E15551" s="1" t="str">
        <f ca="1">IFERROR(__xludf.DUMMYFUNCTION("GOOGLETRANSLATE(A12350 , ""tr"" , ""en"")"),"@drfahrettinkoca mouth is fair staff to dental health technicians")</f>
        <v>@drfahrettinkoca mouth is fair staff to dental health technicians</v>
      </c>
    </row>
    <row r="15552" spans="1:5" ht="15" customHeight="1" x14ac:dyDescent="0.2">
      <c r="A15552" s="1" t="s">
        <v>30662</v>
      </c>
      <c r="B15552" s="1">
        <v>0</v>
      </c>
      <c r="C15552" s="3">
        <v>44522.845694444448</v>
      </c>
      <c r="D15552" s="1" t="s">
        <v>30663</v>
      </c>
      <c r="E15552" s="1" t="str">
        <f ca="1">IFERROR(__xludf.DUMMYFUNCTION("GOOGLETRANSLATE(A12351 , ""tr"" , ""en"")"),"@drfahrettinkoca you are not buying for two years, the mouth and dental health technicians are waiting for assignment")</f>
        <v>@drfahrettinkoca you are not buying for two years, the mouth and dental health technicians are waiting for assignment</v>
      </c>
    </row>
    <row r="15553" spans="1:5" ht="15" customHeight="1" x14ac:dyDescent="0.2">
      <c r="A15553" s="1" t="s">
        <v>30664</v>
      </c>
      <c r="B15553" s="1">
        <v>0</v>
      </c>
      <c r="C15553" s="3">
        <v>44522.84547453704</v>
      </c>
      <c r="D15553" s="1" t="s">
        <v>30665</v>
      </c>
      <c r="E15553" s="1" t="str">
        <f ca="1">IFERROR(__xludf.DUMMYFUNCTION("GOOGLETRANSLATE(A12352 , ""tr"" , ""en"")"),"@drfahrettinkoca mouth dental health technicians waiting for +1000 staff")</f>
        <v>@drfahrettinkoca mouth dental health technicians waiting for +1000 staff</v>
      </c>
    </row>
    <row r="15554" spans="1:5" ht="15" customHeight="1" x14ac:dyDescent="0.2">
      <c r="A15554" s="1" t="s">
        <v>30666</v>
      </c>
      <c r="B15554" s="1">
        <v>1</v>
      </c>
      <c r="C15554" s="3">
        <v>44522.844965277778</v>
      </c>
      <c r="D15554" s="1" t="s">
        <v>30667</v>
      </c>
      <c r="E15554" s="1" t="str">
        <f ca="1">IFERROR(__xludf.DUMMYFUNCTION("GOOGLETRANSLATE(A12353 , ""tr"" , ""en"")"),"@drfahrettinkoca @sma_talha need to have your money on a mother and father to live for your son ... https://t.co/x6zned7l7q")</f>
        <v>@drfahrettinkoca @sma_talha need to have your money on a mother and father to live for your son ... https://t.co/x6zned7l7q</v>
      </c>
    </row>
    <row r="15555" spans="1:5" ht="15" customHeight="1" x14ac:dyDescent="0.2">
      <c r="A15555" s="1" t="s">
        <v>30668</v>
      </c>
      <c r="B15555" s="1">
        <v>0</v>
      </c>
      <c r="C15555" s="3">
        <v>44522.841087962966</v>
      </c>
      <c r="D15555" s="1" t="s">
        <v>30669</v>
      </c>
      <c r="E15555" s="1" t="str">
        <f ca="1">IFERROR(__xludf.DUMMYFUNCTION("GOOGLETRANSLATE(A12354 , ""tr"" , ""en"")"),"@drfahrettinkoca Protective precautions Why didn't you show it in the corona. Stimated medicine cluttered into people's throat ... https://t.co/upwfkvhxbl")</f>
        <v>@drfahrettinkoca Protective precautions Why didn't you show it in the corona. Stimated medicine cluttered into people's throat ... https://t.co/upwfkvhxbl</v>
      </c>
    </row>
    <row r="15556" spans="1:5" ht="15" customHeight="1" x14ac:dyDescent="0.2">
      <c r="A15556" s="1" t="s">
        <v>30670</v>
      </c>
      <c r="B15556" s="1">
        <v>0</v>
      </c>
      <c r="C15556" s="3">
        <v>44522.840173611112</v>
      </c>
      <c r="D15556" s="1" t="s">
        <v>30671</v>
      </c>
      <c r="E15556" s="1" t="str">
        <f ca="1">IFERROR(__xludf.DUMMYFUNCTION("GOOGLETRANSLATE(A12355 , ""tr"" , ""en"")"),"@drfahrettinkoca e When you make a tooth, both the mouth is to mouth and the patient has to wear the mask. It is not. Give orders ... https://t.co/61vmjhw1t6")</f>
        <v>@drfahrettinkoca e When you make a tooth, both the mouth is to mouth and the patient has to wear the mask. It is not. Give orders ... https://t.co/61vmjhw1t6</v>
      </c>
    </row>
    <row r="15557" spans="1:5" ht="15" customHeight="1" x14ac:dyDescent="0.2">
      <c r="A15557" s="1" t="s">
        <v>30672</v>
      </c>
      <c r="B15557" s="1">
        <v>0</v>
      </c>
      <c r="C15557" s="3">
        <v>44522.838333333333</v>
      </c>
      <c r="D15557" s="1" t="s">
        <v>30673</v>
      </c>
      <c r="E15557" s="1" t="str">
        <f ca="1">IFERROR(__xludf.DUMMYFUNCTION("GOOGLETRANSLATE(A12356 , ""tr"" , ""en"")"),"@drfahrettinkoca Fake religion with poisonous vaccines and pills cut your nation's banklaid")</f>
        <v>@drfahrettinkoca Fake religion with poisonous vaccines and pills cut your nation's banklaid</v>
      </c>
    </row>
    <row r="15558" spans="1:5" ht="15" customHeight="1" x14ac:dyDescent="0.2">
      <c r="A15558" s="1" t="s">
        <v>30674</v>
      </c>
      <c r="B15558" s="1">
        <v>1</v>
      </c>
      <c r="C15558" s="3">
        <v>44522.835138888891</v>
      </c>
      <c r="D15558" s="1" t="s">
        <v>30675</v>
      </c>
      <c r="E15558" s="1" t="str">
        <f ca="1">IFERROR(__xludf.DUMMYFUNCTION("GOOGLETRANSLATE(A12357 , ""tr"" , ""en"")"),"@drfahrettinkoca Sayin Minister Today Bi celebrated the patient before you. I was sick I had entered the cough crisis ... https://t.co/ricvyscwcj")</f>
        <v>@drfahrettinkoca Sayin Minister Today Bi celebrated the patient before you. I was sick I had entered the cough crisis ... https://t.co/ricvyscwcj</v>
      </c>
    </row>
    <row r="15559" spans="1:5" ht="15" customHeight="1" x14ac:dyDescent="0.2">
      <c r="A15559" s="1" t="s">
        <v>30676</v>
      </c>
      <c r="B15559" s="1">
        <v>1</v>
      </c>
      <c r="C15559" s="3">
        <v>44522.834675925929</v>
      </c>
      <c r="D15559" s="1" t="s">
        <v>30677</v>
      </c>
      <c r="E15559" s="1" t="str">
        <f ca="1">IFERROR(__xludf.DUMMYFUNCTION("GOOGLETRANSLATE(A12358 , ""tr"" , ""en"")"),"@drfahrettinkoca #the HouseAstabakım1000KADRO Mr. Ministry of Mr. Minister We want equal distribution at the great scene. Units ... https://t.co/stg1zuwsms")</f>
        <v>@drfahrettinkoca #the HouseAstabakım1000KADRO Mr. Ministry of Mr. Minister We want equal distribution at the great scene. Units ... https://t.co/stg1zuwsms</v>
      </c>
    </row>
    <row r="15560" spans="1:5" ht="15" customHeight="1" x14ac:dyDescent="0.2">
      <c r="A15560" s="1" t="s">
        <v>10058</v>
      </c>
      <c r="B15560" s="1">
        <v>0</v>
      </c>
      <c r="C15560" s="3">
        <v>44522.834664351853</v>
      </c>
      <c r="D15560" s="1" t="s">
        <v>30678</v>
      </c>
      <c r="E15560" s="1" t="str">
        <f ca="1">IFERROR(__xludf.DUMMYFUNCTION("GOOGLETRANSLATE(A12359 , ""tr"" , ""en"")"),"@drfahrettinkoca Guide")</f>
        <v>@drfahrettinkoca Guide</v>
      </c>
    </row>
    <row r="15561" spans="1:5" ht="15" customHeight="1" x14ac:dyDescent="0.2">
      <c r="A15561" s="1" t="s">
        <v>30679</v>
      </c>
      <c r="B15561" s="1">
        <v>0</v>
      </c>
      <c r="C15561" s="3">
        <v>44522.834166666667</v>
      </c>
      <c r="D15561" s="1" t="s">
        <v>30680</v>
      </c>
      <c r="E15561" s="1" t="str">
        <f ca="1">IFERROR(__xludf.DUMMYFUNCTION("GOOGLETRANSLATE(A12360 , ""tr"" , ""en"")"),"@drfahrettinkoca @drfahrettinkoca @rtradecn")</f>
        <v>@drfahrettinkoca @drfahrettinkoca @rtradecn</v>
      </c>
    </row>
    <row r="15562" spans="1:5" ht="15" customHeight="1" x14ac:dyDescent="0.2">
      <c r="A15562" s="1" t="s">
        <v>30681</v>
      </c>
      <c r="B15562" s="1">
        <v>0</v>
      </c>
      <c r="C15562" s="3">
        <v>44522.833796296298</v>
      </c>
      <c r="D15562" s="1" t="s">
        <v>30682</v>
      </c>
      <c r="E15562" s="1" t="str">
        <f ca="1">IFERROR(__xludf.DUMMYFUNCTION("GOOGLETRANSLATE(A12361 , ""tr"" , ""en"")"),"@drfahrettinkoca 12pin Personality Alum 23 Personal Squad 25 Those Over 25 Thousand Dental Teeth Dental Teking More Adi ... https://t.co/4bh5fgqs8j")</f>
        <v>@drfahrettinkoca 12pin Personality Alum 23 Personal Squad 25 Those Over 25 Thousand Dental Teeth Dental Teking More Adi ... https://t.co/4bh5fgqs8j</v>
      </c>
    </row>
    <row r="15563" spans="1:5" ht="15" customHeight="1" x14ac:dyDescent="0.2">
      <c r="A15563" s="1" t="s">
        <v>30683</v>
      </c>
      <c r="B15563" s="1">
        <v>0</v>
      </c>
      <c r="C15563" s="3">
        <v>44522.833784722221</v>
      </c>
      <c r="D15563" s="1" t="s">
        <v>30684</v>
      </c>
      <c r="E15563" s="1" t="str">
        <f ca="1">IFERROR(__xludf.DUMMYFUNCTION("GOOGLETRANSLATE(A12362 , ""tr"" , ""en"")"),"@drfahrettinkoca 23 Personal Personal Personal Cadro 25 Personal Mouth Over The Dental Technician More Adi ... HTTPS://T.CO/DA1GIYUTVT")</f>
        <v>@drfahrettinkoca 23 Personal Personal Personal Cadro 25 Personal Mouth Over The Dental Technician More Adi ... HTTPS://T.CO/DA1GIYUTVT</v>
      </c>
    </row>
    <row r="15564" spans="1:5" ht="15" customHeight="1" x14ac:dyDescent="0.2">
      <c r="A15564" s="1" t="s">
        <v>30685</v>
      </c>
      <c r="B15564" s="1">
        <v>0</v>
      </c>
      <c r="C15564" s="3">
        <v>44522.833784722221</v>
      </c>
      <c r="D15564" s="1" t="s">
        <v>30686</v>
      </c>
      <c r="E15564" s="1" t="str">
        <f ca="1">IFERROR(__xludf.DUMMYFUNCTION("GOOGLETRANSLATE(A12363 , ""tr"" , ""en"")"),"@drfahrettinkoca 23 Personal Personal Personal Cadro of 12 Personal Squad 25 Those Top Oral Dental Teeth Dental Technician More Adi ... https://t.co/lg9e9xook6")</f>
        <v>@drfahrettinkoca 23 Personal Personal Personal Cadro of 12 Personal Squad 25 Those Top Oral Dental Teeth Dental Technician More Adi ... https://t.co/lg9e9xook6</v>
      </c>
    </row>
    <row r="15565" spans="1:5" ht="15" customHeight="1" x14ac:dyDescent="0.2">
      <c r="A15565" s="1" t="s">
        <v>30687</v>
      </c>
      <c r="B15565" s="1">
        <v>0</v>
      </c>
      <c r="C15565" s="3">
        <v>44522.833773148152</v>
      </c>
      <c r="D15565" s="1" t="s">
        <v>30688</v>
      </c>
      <c r="E15565" s="1" t="str">
        <f ca="1">IFERROR(__xludf.DUMMYFUNCTION("GOOGLETRANSLATE(A12364 , ""tr"" , ""en"")"),"@drfahrettinkoca 12pinny Personality Alum 23 Personal Squad 25 Body Over 25 Thousand Dental Technician More Adi ... https://t.co/pknansq0he")</f>
        <v>@drfahrettinkoca 12pinny Personality Alum 23 Personal Squad 25 Body Over 25 Thousand Dental Technician More Adi ... https://t.co/pknansq0he</v>
      </c>
    </row>
    <row r="15566" spans="1:5" ht="15" customHeight="1" x14ac:dyDescent="0.2">
      <c r="A15566" s="1" t="s">
        <v>30689</v>
      </c>
      <c r="B15566" s="1">
        <v>0</v>
      </c>
      <c r="C15566" s="3">
        <v>44522.833680555559</v>
      </c>
      <c r="D15566" s="1" t="s">
        <v>30690</v>
      </c>
      <c r="E15566" s="1" t="str">
        <f ca="1">IFERROR(__xludf.DUMMYFUNCTION("GOOGLETRANSLATE(A12365 , ""tr"" , ""en"")"),"@drfahrettinkoca 12pinny 20-person 23-person roster 25 thousand of 25 thousand of dental dental dental dental teeth")</f>
        <v>@drfahrettinkoca 12pinny 20-person 23-person roster 25 thousand of 25 thousand of dental dental dental dental teeth</v>
      </c>
    </row>
    <row r="15567" spans="1:5" ht="15" customHeight="1" x14ac:dyDescent="0.2">
      <c r="A15567" s="1" t="s">
        <v>30691</v>
      </c>
      <c r="B15567" s="1">
        <v>0</v>
      </c>
      <c r="C15567" s="3">
        <v>44522.833668981482</v>
      </c>
      <c r="D15567" s="1" t="s">
        <v>30692</v>
      </c>
      <c r="E15567" s="1" t="str">
        <f ca="1">IFERROR(__xludf.DUMMYFUNCTION("GOOGLETRANSLATE(A12366 , ""tr"" , ""en"")"),"@drfahrettinkoca 12pin Personality Alum 23 Personal Squads 25 Those Over 25 Thousand Over Dental Dental Teking More Adi ... https://t.co/2gcysojbrv")</f>
        <v>@drfahrettinkoca 12pin Personality Alum 23 Personal Squads 25 Those Over 25 Thousand Over Dental Dental Teking More Adi ... https://t.co/2gcysojbrv</v>
      </c>
    </row>
    <row r="15568" spans="1:5" ht="15" customHeight="1" x14ac:dyDescent="0.2">
      <c r="A15568" s="1" t="s">
        <v>30693</v>
      </c>
      <c r="B15568" s="1">
        <v>0</v>
      </c>
      <c r="C15568" s="3">
        <v>44522.833668981482</v>
      </c>
      <c r="D15568" s="1" t="s">
        <v>30694</v>
      </c>
      <c r="E15568" s="1" t="str">
        <f ca="1">IFERROR(__xludf.DUMMYFUNCTION("GOOGLETRANSLATE(A12367 , ""tr"" , ""en"")"),"@drfahrettinkoca 23 Personal Personal Personal Squad 25 Personal Mouth Over 25 Thousand Dental Teeth The Dental Technician More Adi ... https://t.co/ajndjtocuf")</f>
        <v>@drfahrettinkoca 23 Personal Personal Personal Squad 25 Personal Mouth Over 25 Thousand Dental Teeth The Dental Technician More Adi ... https://t.co/ajndjtocuf</v>
      </c>
    </row>
    <row r="15569" spans="1:5" ht="15" customHeight="1" x14ac:dyDescent="0.2">
      <c r="A15569" s="1" t="s">
        <v>30695</v>
      </c>
      <c r="B15569" s="1">
        <v>0</v>
      </c>
      <c r="C15569" s="3">
        <v>44522.833668981482</v>
      </c>
      <c r="D15569" s="1" t="s">
        <v>30696</v>
      </c>
      <c r="E15569" s="1" t="str">
        <f ca="1">IFERROR(__xludf.DUMMYFUNCTION("GOOGLETRANSLATE(A12368 , ""tr"" , ""en"")"),"@drfahrettinkoca 23 Personal Squads in Personality 23 Personal Squad 25 Those Over 25 Body Dental Technician More Adi ... https://t.co/2sxqjzjjr9")</f>
        <v>@drfahrettinkoca 23 Personal Squads in Personality 23 Personal Squad 25 Those Over 25 Body Dental Technician More Adi ... https://t.co/2sxqjzjjr9</v>
      </c>
    </row>
    <row r="15570" spans="1:5" ht="15" customHeight="1" x14ac:dyDescent="0.2">
      <c r="A15570" s="1" t="s">
        <v>30697</v>
      </c>
      <c r="B15570" s="1">
        <v>0</v>
      </c>
      <c r="C15570" s="3">
        <v>44522.833553240744</v>
      </c>
      <c r="D15570" s="1" t="s">
        <v>30698</v>
      </c>
      <c r="E15570" s="1" t="str">
        <f ca="1">IFERROR(__xludf.DUMMYFUNCTION("GOOGLETRANSLATE(A12369 , ""tr"" , ""en"")"),"@drfahrettinkoca 12pin Personality Alum 23 Personal Squads 25 Those Over 25 Thousand Dental Dental Technician More Adi ... https://t.co/sovibcbbfp")</f>
        <v>@drfahrettinkoca 12pin Personality Alum 23 Personal Squads 25 Those Over 25 Thousand Dental Dental Technician More Adi ... https://t.co/sovibcbbfp</v>
      </c>
    </row>
    <row r="15571" spans="1:5" ht="15" customHeight="1" x14ac:dyDescent="0.2">
      <c r="A15571" s="1" t="s">
        <v>30699</v>
      </c>
      <c r="B15571" s="1">
        <v>0</v>
      </c>
      <c r="C15571" s="3">
        <v>44522.833541666667</v>
      </c>
      <c r="D15571" s="1" t="s">
        <v>30700</v>
      </c>
      <c r="E15571" s="1" t="str">
        <f ca="1">IFERROR(__xludf.DUMMYFUNCTION("GOOGLETRANSLATE(A12370 , ""tr"" , ""en"")"),"@drfahrettinkoca 12pinny 23 persons 23-person 23-person staff 25 thousand of dental dental dental dental dental teeth")</f>
        <v>@drfahrettinkoca 12pinny 23 persons 23-person 23-person staff 25 thousand of dental dental dental dental dental teeth</v>
      </c>
    </row>
    <row r="15572" spans="1:5" ht="15" customHeight="1" x14ac:dyDescent="0.2">
      <c r="A15572" s="1" t="s">
        <v>30701</v>
      </c>
      <c r="B15572" s="1">
        <v>0</v>
      </c>
      <c r="C15572" s="3">
        <v>44522.833541666667</v>
      </c>
      <c r="D15572" s="1" t="s">
        <v>30702</v>
      </c>
      <c r="E15572" s="1" t="str">
        <f ca="1">IFERROR(__xludf.DUMMYFUNCTION("GOOGLETRANSLATE(A12371 , ""tr"" , ""en"")"),"@drfahrettinkoca 12pinny Personality Alum 23 Personal Squad 25pm Over 25 Body Over The Dental Technician More Adi ... https://t.co/nnlgdxreq6")</f>
        <v>@drfahrettinkoca 12pinny Personality Alum 23 Personal Squad 25pm Over 25 Body Over The Dental Technician More Adi ... https://t.co/nnlgdxreq6</v>
      </c>
    </row>
    <row r="15573" spans="1:5" ht="15" customHeight="1" x14ac:dyDescent="0.2">
      <c r="A15573" s="1" t="s">
        <v>30703</v>
      </c>
      <c r="B15573" s="1">
        <v>0</v>
      </c>
      <c r="C15573" s="3">
        <v>44522.83353009259</v>
      </c>
      <c r="D15573" s="1" t="s">
        <v>30704</v>
      </c>
      <c r="E15573" s="1" t="str">
        <f ca="1">IFERROR(__xludf.DUMMYFUNCTION("GOOGLETRANSLATE(A12372 , ""tr"" , ""en"")"),"@drfahrettinkoca 12pin Personality Alum 23 Personal Squad 25 Those Over 25 Body Teeth Teeth Teeth Teeth Teeth Dental Teeth More Adi ... HTTPS://T.CO/I0JBEP3A1F")</f>
        <v>@drfahrettinkoca 12pin Personality Alum 23 Personal Squad 25 Those Over 25 Body Teeth Teeth Teeth Teeth Teeth Dental Teeth More Adi ... HTTPS://T.CO/I0JBEP3A1F</v>
      </c>
    </row>
    <row r="15574" spans="1:5" ht="15" customHeight="1" x14ac:dyDescent="0.2">
      <c r="A15574" s="1" t="s">
        <v>30705</v>
      </c>
      <c r="B15574" s="1">
        <v>0</v>
      </c>
      <c r="C15574" s="3">
        <v>44522.833472222221</v>
      </c>
      <c r="D15574" s="1" t="s">
        <v>30706</v>
      </c>
      <c r="E15574" s="1" t="str">
        <f ca="1">IFERROR(__xludf.DUMMYFUNCTION("GOOGLETRANSLATE(A12373 , ""tr"" , ""en"")"),"@drfahrettinkoca 12pin Personality Alum 23 Personal Squads 25 Those Over 25 Thousand Dental Technician More Adi ... https://t.co/ve1qjpnecp")</f>
        <v>@drfahrettinkoca 12pin Personality Alum 23 Personal Squads 25 Those Over 25 Thousand Dental Technician More Adi ... https://t.co/ve1qjpnecp</v>
      </c>
    </row>
    <row r="15575" spans="1:5" ht="15" customHeight="1" x14ac:dyDescent="0.2">
      <c r="A15575" s="1" t="s">
        <v>30707</v>
      </c>
      <c r="B15575" s="1">
        <v>0</v>
      </c>
      <c r="C15575" s="3">
        <v>44522.833460648151</v>
      </c>
      <c r="D15575" s="1" t="s">
        <v>30708</v>
      </c>
      <c r="E15575" s="1" t="str">
        <f ca="1">IFERROR(__xludf.DUMMYFUNCTION("GOOGLETRANSLATE(A12374 , ""tr"" , ""en"")"),"@drfahrettinkoca 12pin Personality Alum 23 Personal Squads 25 Those Over 25 Body Teeth Teeth Tekn Tooth Technician More Adi ... https://t.co/33upbanbp4")</f>
        <v>@drfahrettinkoca 12pin Personality Alum 23 Personal Squads 25 Those Over 25 Body Teeth Teeth Tekn Tooth Technician More Adi ... https://t.co/33upbanbp4</v>
      </c>
    </row>
    <row r="15576" spans="1:5" ht="15" customHeight="1" x14ac:dyDescent="0.2">
      <c r="A15576" s="1" t="s">
        <v>30709</v>
      </c>
      <c r="B15576" s="1">
        <v>0</v>
      </c>
      <c r="C15576" s="3">
        <v>44522.833460648151</v>
      </c>
      <c r="D15576" s="1" t="s">
        <v>30710</v>
      </c>
      <c r="E15576" s="1" t="str">
        <f ca="1">IFERROR(__xludf.DUMMYFUNCTION("GOOGLETRANSLATE(A12375 , ""tr"" , ""en"")"),"@drfahrettinkoca 12pin Personality Alum 23 Personal Squad 25 Those Over 25 Body Over Dental Teking More Adi ... HTTPS://T.CO/BB3SIHFYC2")</f>
        <v>@drfahrettinkoca 12pin Personality Alum 23 Personal Squad 25 Those Over 25 Body Over Dental Teking More Adi ... HTTPS://T.CO/BB3SIHFYC2</v>
      </c>
    </row>
    <row r="15577" spans="1:5" ht="15" customHeight="1" x14ac:dyDescent="0.2">
      <c r="A15577" s="1" t="s">
        <v>30711</v>
      </c>
      <c r="B15577" s="1">
        <v>0</v>
      </c>
      <c r="C15577" s="3">
        <v>44522.833449074074</v>
      </c>
      <c r="D15577" s="1" t="s">
        <v>30712</v>
      </c>
      <c r="E15577" s="1" t="str">
        <f ca="1">IFERROR(__xludf.DUMMYFUNCTION("GOOGLETRANSLATE(A12376 , ""tr"" , ""en"")"),"@drfahrettinkoca 12pin Personality Alum 23 Personal Squad 25pm Mouth Top Oral Dental Dental Dental Teeth More Adi ... https://t.co/9r6hx1ohky")</f>
        <v>@drfahrettinkoca 12pin Personality Alum 23 Personal Squad 25pm Mouth Top Oral Dental Dental Dental Teeth More Adi ... https://t.co/9r6hx1ohky</v>
      </c>
    </row>
    <row r="15578" spans="1:5" ht="15" customHeight="1" x14ac:dyDescent="0.2">
      <c r="A15578" s="1" t="s">
        <v>30713</v>
      </c>
      <c r="B15578" s="1">
        <v>0</v>
      </c>
      <c r="C15578" s="3">
        <v>44522.833379629628</v>
      </c>
      <c r="D15578" s="1" t="s">
        <v>30714</v>
      </c>
      <c r="E15578" s="1" t="str">
        <f ca="1">IFERROR(__xludf.DUMMYFUNCTION("GOOGLETRANSLATE(A12377 , ""tr"" , ""en"")"),"@drfahrettinkoca 12pin Personality Alum 23 Personal Squads 25 Those Over 25 Body Teeth Teeth Teeth Teeth Teeth More Adi ... https://t.co/ou0ojxbymp")</f>
        <v>@drfahrettinkoca 12pin Personality Alum 23 Personal Squads 25 Those Over 25 Body Teeth Teeth Teeth Teeth Teeth More Adi ... https://t.co/ou0ojxbymp</v>
      </c>
    </row>
    <row r="15579" spans="1:5" ht="15" customHeight="1" x14ac:dyDescent="0.2">
      <c r="A15579" s="1" t="s">
        <v>30715</v>
      </c>
      <c r="B15579" s="1">
        <v>0</v>
      </c>
      <c r="C15579" s="3">
        <v>44522.833368055559</v>
      </c>
      <c r="D15579" s="1" t="s">
        <v>30716</v>
      </c>
      <c r="E15579" s="1" t="str">
        <f ca="1">IFERROR(__xludf.DUMMYFUNCTION("GOOGLETRANSLATE(A12378 , ""tr"" , ""en"")"),"@drfahrettinkoca 23 Personal Squads in Personality 23 Personal Squad 25 Those Mouth Over Top Teeth Teeth Teeth Teeth More Adi ... https://t.co/5e7klz8A0p")</f>
        <v>@drfahrettinkoca 23 Personal Squads in Personality 23 Personal Squad 25 Those Mouth Over Top Teeth Teeth Teeth Teeth More Adi ... https://t.co/5e7klz8A0p</v>
      </c>
    </row>
    <row r="15580" spans="1:5" ht="15" customHeight="1" x14ac:dyDescent="0.2">
      <c r="A15580" s="1" t="s">
        <v>30717</v>
      </c>
      <c r="B15580" s="1">
        <v>0</v>
      </c>
      <c r="C15580" s="3">
        <v>44522.833368055559</v>
      </c>
      <c r="D15580" s="1" t="s">
        <v>30718</v>
      </c>
      <c r="E15580" s="1" t="str">
        <f ca="1">IFERROR(__xludf.DUMMYFUNCTION("GOOGLETRANSLATE(A12379 , ""tr"" , ""en"")"),"@drfahrettinkoca 12pin Personality Alum 23 Personal Squad 25 Those Over 25 Thousand Over Dental Tekt Tooth Technician More Adi ... https://t.co/dtc5f04wtm")</f>
        <v>@drfahrettinkoca 12pin Personality Alum 23 Personal Squad 25 Those Over 25 Thousand Over Dental Tekt Tooth Technician More Adi ... https://t.co/dtc5f04wtm</v>
      </c>
    </row>
    <row r="15581" spans="1:5" ht="15" customHeight="1" x14ac:dyDescent="0.2">
      <c r="A15581" s="1" t="s">
        <v>30719</v>
      </c>
      <c r="B15581" s="1">
        <v>0</v>
      </c>
      <c r="C15581" s="3">
        <v>44522.833368055559</v>
      </c>
      <c r="D15581" s="1" t="s">
        <v>30720</v>
      </c>
      <c r="E15581" s="1" t="str">
        <f ca="1">IFERROR(__xludf.DUMMYFUNCTION("GOOGLETRANSLATE(A12380 , ""tr"" , ""en"")"),"@drfahrettinkoca 12pin Personality Alum 23 Personal Squad 25 Those Over 25 Thousand Over Dental Technician More Adi ... https://t.co/bcb45wgh2q")</f>
        <v>@drfahrettinkoca 12pin Personality Alum 23 Personal Squad 25 Those Over 25 Thousand Over Dental Technician More Adi ... https://t.co/bcb45wgh2q</v>
      </c>
    </row>
    <row r="15582" spans="1:5" ht="15" customHeight="1" x14ac:dyDescent="0.2">
      <c r="A15582" s="1" t="s">
        <v>30721</v>
      </c>
      <c r="B15582" s="1">
        <v>0</v>
      </c>
      <c r="C15582" s="3">
        <v>44522.833240740743</v>
      </c>
      <c r="D15582" s="1" t="s">
        <v>30722</v>
      </c>
      <c r="E15582" s="1" t="str">
        <f ca="1">IFERROR(__xludf.DUMMYFUNCTION("GOOGLETRANSLATE(A12381 , ""tr"" , ""en"")"),"@drfahrettinkoca 23 Personal Personality Alum 23 Personal Squad 25 Those Top Oral Dental Teeth For Dental Technician More Adi ... https://t.co/Iurdem8JWC")</f>
        <v>@drfahrettinkoca 23 Personal Personality Alum 23 Personal Squad 25 Those Top Oral Dental Teeth For Dental Technician More Adi ... https://t.co/Iurdem8JWC</v>
      </c>
    </row>
    <row r="15583" spans="1:5" ht="15" customHeight="1" x14ac:dyDescent="0.2">
      <c r="A15583" s="1" t="s">
        <v>30723</v>
      </c>
      <c r="B15583" s="1">
        <v>0</v>
      </c>
      <c r="C15583" s="3">
        <v>44522.833240740743</v>
      </c>
      <c r="D15583" s="1" t="s">
        <v>30724</v>
      </c>
      <c r="E15583" s="1" t="str">
        <f ca="1">IFERROR(__xludf.DUMMYFUNCTION("GOOGLETRANSLATE(A12382 , ""tr"" , ""en"")"),"@drfahrettinkoca 12pin Personality Alum 23 Personal Squads 25 Thousand Over 25 Body Teeth Teeth Teeth Teeth Dental Teeth More Adi ... HTTPS://T.CO/RAGPVRSITN")</f>
        <v>@drfahrettinkoca 12pin Personality Alum 23 Personal Squads 25 Thousand Over 25 Body Teeth Teeth Teeth Teeth Dental Teeth More Adi ... HTTPS://T.CO/RAGPVRSITN</v>
      </c>
    </row>
    <row r="15584" spans="1:5" ht="15" customHeight="1" x14ac:dyDescent="0.2">
      <c r="A15584" s="1" t="s">
        <v>30725</v>
      </c>
      <c r="B15584" s="1">
        <v>0</v>
      </c>
      <c r="C15584" s="3">
        <v>44522.833240740743</v>
      </c>
      <c r="D15584" s="1" t="s">
        <v>30726</v>
      </c>
      <c r="E15584" s="1" t="str">
        <f ca="1">IFERROR(__xludf.DUMMYFUNCTION("GOOGLETRANSLATE(A12383 , ""tr"" , ""en"")"),"@drfahrettinkoca 12pin person 20-person 23-person staff 25 thousand or mouth tooth technician is not enough for dental dental dental teeth ... https://t.co/udnhbkjn3r")</f>
        <v>@drfahrettinkoca 12pin person 20-person 23-person staff 25 thousand or mouth tooth technician is not enough for dental dental dental teeth ... https://t.co/udnhbkjn3r</v>
      </c>
    </row>
    <row r="15585" spans="1:5" ht="15" customHeight="1" x14ac:dyDescent="0.2">
      <c r="A15585" s="1" t="s">
        <v>30727</v>
      </c>
      <c r="B15585" s="1">
        <v>0</v>
      </c>
      <c r="C15585" s="3">
        <v>44522.833229166667</v>
      </c>
      <c r="D15585" s="1" t="s">
        <v>30728</v>
      </c>
      <c r="E15585" s="1" t="str">
        <f ca="1">IFERROR(__xludf.DUMMYFUNCTION("GOOGLETRANSLATE(A12384 , ""tr"" , ""en"")"),"@drfahrettinkoca 12pin Personality Alum 23 Personal Squad 25 Those Over 25 Thousand Over The Dental Technician More Adi ... https://t.co/y87jlhwto8")</f>
        <v>@drfahrettinkoca 12pin Personality Alum 23 Personal Squad 25 Those Over 25 Thousand Over The Dental Technician More Adi ... https://t.co/y87jlhwto8</v>
      </c>
    </row>
    <row r="15586" spans="1:5" ht="15" customHeight="1" x14ac:dyDescent="0.2">
      <c r="A15586" s="1" t="s">
        <v>30729</v>
      </c>
      <c r="B15586" s="1">
        <v>0</v>
      </c>
      <c r="C15586" s="3">
        <v>44522.833148148151</v>
      </c>
      <c r="D15586" s="1" t="s">
        <v>30730</v>
      </c>
      <c r="E15586" s="1" t="str">
        <f ca="1">IFERROR(__xludf.DUMMYFUNCTION("GOOGLETRANSLATE(A12385 , ""tr"" , ""en"")"),"@drfahrettinkoca 12pin Personality Alum 23 Personal Squad 25 Body Top Oral Dental Teeth Dental Technician More Adi ... https://t.co/8yxdwxm0oy")</f>
        <v>@drfahrettinkoca 12pin Personality Alum 23 Personal Squad 25 Body Top Oral Dental Teeth Dental Technician More Adi ... https://t.co/8yxdwxm0oy</v>
      </c>
    </row>
    <row r="15587" spans="1:5" ht="15" customHeight="1" x14ac:dyDescent="0.2">
      <c r="A15587" s="1" t="s">
        <v>30731</v>
      </c>
      <c r="B15587" s="1">
        <v>0</v>
      </c>
      <c r="C15587" s="3">
        <v>44522.833148148151</v>
      </c>
      <c r="D15587" s="1" t="s">
        <v>30732</v>
      </c>
      <c r="E15587" s="1" t="str">
        <f ca="1">IFERROR(__xludf.DUMMYFUNCTION("GOOGLETRANSLATE(A12386 , ""tr"" , ""en"")"),"@drfahrettinkoca 12pin person 20-person 23-person staff 25 though 25 thousand is not enough for dental dental dental dental dental teeth ... https://t.co/njv3es5y0q")</f>
        <v>@drfahrettinkoca 12pin person 20-person 23-person staff 25 though 25 thousand is not enough for dental dental dental dental dental teeth ... https://t.co/njv3es5y0q</v>
      </c>
    </row>
    <row r="15588" spans="1:5" ht="15" customHeight="1" x14ac:dyDescent="0.2">
      <c r="A15588" s="1" t="s">
        <v>30733</v>
      </c>
      <c r="B15588" s="1">
        <v>0</v>
      </c>
      <c r="C15588" s="3">
        <v>44522.833136574074</v>
      </c>
      <c r="D15588" s="1" t="s">
        <v>30734</v>
      </c>
      <c r="E15588" s="1" t="str">
        <f ca="1">IFERROR(__xludf.DUMMYFUNCTION("GOOGLETRANSLATE(A12387 , ""tr"" , ""en"")"),"@drfahrettinkoca 12pin Personality Alum 23 Personal Squad 25 Those Over 25 Thoust Dental Teert Dental Teking More Adi ... https://t.co/5qaqgdhcom")</f>
        <v>@drfahrettinkoca 12pin Personality Alum 23 Personal Squad 25 Those Over 25 Thoust Dental Teert Dental Teking More Adi ... https://t.co/5qaqgdhcom</v>
      </c>
    </row>
    <row r="15589" spans="1:5" ht="15" customHeight="1" x14ac:dyDescent="0.2">
      <c r="A15589" s="1" t="s">
        <v>30735</v>
      </c>
      <c r="B15589" s="1">
        <v>0</v>
      </c>
      <c r="C15589" s="3">
        <v>44522.833136574074</v>
      </c>
      <c r="D15589" s="1" t="s">
        <v>30736</v>
      </c>
      <c r="E15589" s="1" t="str">
        <f ca="1">IFERROR(__xludf.DUMMYFUNCTION("GOOGLETRANSLATE(A12388 , ""tr"" , ""en"")"),"@drfahrettinkoca 12pin Personality Alum 23 Personal Squads 25 Those Mouth Over 25 Body Dental Technician More Adi ... https://t.co/dtz4lw2ut6")</f>
        <v>@drfahrettinkoca 12pin Personality Alum 23 Personal Squads 25 Those Mouth Over 25 Body Dental Technician More Adi ... https://t.co/dtz4lw2ut6</v>
      </c>
    </row>
    <row r="15590" spans="1:5" ht="15" customHeight="1" x14ac:dyDescent="0.2">
      <c r="A15590" s="1" t="s">
        <v>30737</v>
      </c>
      <c r="B15590" s="1">
        <v>0</v>
      </c>
      <c r="C15590" s="3">
        <v>44522.833020833335</v>
      </c>
      <c r="D15590" s="1" t="s">
        <v>30738</v>
      </c>
      <c r="E15590" s="1" t="str">
        <f ca="1">IFERROR(__xludf.DUMMYFUNCTION("GOOGLETRANSLATE(A12389 , ""tr"" , ""en"")"),"@drfahrettinkoca 12pin Personality Alum 23 Personal Squads 25 Those Over 25 Body Dental Teeth Dental Technician More Adi ... https://t.co/mdmx6zk9jp")</f>
        <v>@drfahrettinkoca 12pin Personality Alum 23 Personal Squads 25 Those Over 25 Body Dental Teeth Dental Technician More Adi ... https://t.co/mdmx6zk9jp</v>
      </c>
    </row>
    <row r="15591" spans="1:5" ht="15" customHeight="1" x14ac:dyDescent="0.2">
      <c r="A15591" s="1" t="s">
        <v>30739</v>
      </c>
      <c r="B15591" s="1">
        <v>0</v>
      </c>
      <c r="C15591" s="3">
        <v>44522.833020833335</v>
      </c>
      <c r="D15591" s="1" t="s">
        <v>30740</v>
      </c>
      <c r="E15591" s="1" t="str">
        <f ca="1">IFERROR(__xludf.DUMMYFUNCTION("GOOGLETRANSLATE(A12390 , ""tr"" , ""en"")"),"@drfahrettinkoca 12pin Personality Alum 23 Personal Squads 25 Those Over 25 Thousand Dental Dental Teeth More Adi ... https://t.co/skxtvl1m8j")</f>
        <v>@drfahrettinkoca 12pin Personality Alum 23 Personal Squads 25 Those Over 25 Thousand Dental Dental Teeth More Adi ... https://t.co/skxtvl1m8j</v>
      </c>
    </row>
    <row r="15592" spans="1:5" ht="15" customHeight="1" x14ac:dyDescent="0.2">
      <c r="A15592" s="1" t="s">
        <v>30741</v>
      </c>
      <c r="B15592" s="1">
        <v>0</v>
      </c>
      <c r="C15592" s="3">
        <v>44522.833009259259</v>
      </c>
      <c r="D15592" s="1" t="s">
        <v>30742</v>
      </c>
      <c r="E15592" s="1" t="str">
        <f ca="1">IFERROR(__xludf.DUMMYFUNCTION("GOOGLETRANSLATE(A12391 , ""tr"" , ""en"")"),"@drfahrettinkoca 12pin Personality Personality 23 Personal Squad 25 Those Over 25 Thousand Over Dental Teeth Dental Teking More Adi ... https://t.co/a6rcdoxsxq")</f>
        <v>@drfahrettinkoca 12pin Personality Personality 23 Personal Squad 25 Those Over 25 Thousand Over Dental Teeth Dental Teking More Adi ... https://t.co/a6rcdoxsxq</v>
      </c>
    </row>
    <row r="15593" spans="1:5" ht="15" customHeight="1" x14ac:dyDescent="0.2">
      <c r="A15593" s="1" t="s">
        <v>30743</v>
      </c>
      <c r="B15593" s="1">
        <v>0</v>
      </c>
      <c r="C15593" s="3">
        <v>44522.833009259259</v>
      </c>
      <c r="D15593" s="1" t="s">
        <v>30744</v>
      </c>
      <c r="E15593" s="1" t="str">
        <f ca="1">IFERROR(__xludf.DUMMYFUNCTION("GOOGLETRANSLATE(A12392 , ""tr"" , ""en"")"),"@drfahrettinkoca 12pin Personality Alum 23 Personal Squad 25 Those Over 25 Thousand Over Dental Teeth Teeth Dental Teeth More Adi ... https://t.co/yvy8tj7lor")</f>
        <v>@drfahrettinkoca 12pin Personality Alum 23 Personal Squad 25 Those Over 25 Thousand Over Dental Teeth Teeth Dental Teeth More Adi ... https://t.co/yvy8tj7lor</v>
      </c>
    </row>
    <row r="15594" spans="1:5" ht="15" customHeight="1" x14ac:dyDescent="0.2">
      <c r="A15594" s="1" t="s">
        <v>30745</v>
      </c>
      <c r="B15594" s="1">
        <v>0</v>
      </c>
      <c r="C15594" s="3">
        <v>44522.832928240743</v>
      </c>
      <c r="D15594" s="1" t="s">
        <v>30746</v>
      </c>
      <c r="E15594" s="1" t="str">
        <f ca="1">IFERROR(__xludf.DUMMYFUNCTION("GOOGLETRANSLATE(A12393 , ""tr"" , ""en"")"),"@drfahrettinkoca 23 Personal Cadro of 12 Personal Squad 25 Those Mouth Over Top Teeth Teeth Dental Technician More Adi ... https://t.co/jfcmjiolbd")</f>
        <v>@drfahrettinkoca 23 Personal Cadro of 12 Personal Squad 25 Those Mouth Over Top Teeth Teeth Dental Technician More Adi ... https://t.co/jfcmjiolbd</v>
      </c>
    </row>
    <row r="15595" spans="1:5" ht="15" customHeight="1" x14ac:dyDescent="0.2">
      <c r="A15595" s="1" t="s">
        <v>30747</v>
      </c>
      <c r="B15595" s="1">
        <v>0</v>
      </c>
      <c r="C15595" s="3">
        <v>44522.832916666666</v>
      </c>
      <c r="D15595" s="1" t="s">
        <v>30748</v>
      </c>
      <c r="E15595" s="1" t="str">
        <f ca="1">IFERROR(__xludf.DUMMYFUNCTION("GOOGLETRANSLATE(A12394 , ""tr"" , ""en"")"),"@drfahrettinkoca 12pinny Personality Alum 23 Personal Squad 25 Body Over The Dental Technician More Adi ... https://t.co/fbev2qaqte")</f>
        <v>@drfahrettinkoca 12pinny Personality Alum 23 Personal Squad 25 Body Over The Dental Technician More Adi ... https://t.co/fbev2qaqte</v>
      </c>
    </row>
    <row r="15596" spans="1:5" ht="15" customHeight="1" x14ac:dyDescent="0.2">
      <c r="A15596" s="1" t="s">
        <v>30749</v>
      </c>
      <c r="B15596" s="1">
        <v>0</v>
      </c>
      <c r="C15596" s="3">
        <v>44522.832916666666</v>
      </c>
      <c r="D15596" s="1" t="s">
        <v>30750</v>
      </c>
      <c r="E15596" s="1" t="str">
        <f ca="1">IFERROR(__xludf.DUMMYFUNCTION("GOOGLETRANSLATE(A12395 , ""tr"" , ""en"")"),"@drfahrettinkoca 12s personnel 20-person 23-person staff 25 thousand of 25 thousand tooth technicians are not enough for dental technicians ... https://t.co/ICSL4GuzFB")</f>
        <v>@drfahrettinkoca 12s personnel 20-person 23-person staff 25 thousand of 25 thousand tooth technicians are not enough for dental technicians ... https://t.co/ICSL4GuzFB</v>
      </c>
    </row>
    <row r="15597" spans="1:5" ht="15" customHeight="1" x14ac:dyDescent="0.2">
      <c r="A15597" s="1" t="s">
        <v>30751</v>
      </c>
      <c r="B15597" s="1">
        <v>0</v>
      </c>
      <c r="C15597" s="3">
        <v>44522.832916666666</v>
      </c>
      <c r="D15597" s="1" t="s">
        <v>30752</v>
      </c>
      <c r="E15597" s="1" t="str">
        <f ca="1">IFERROR(__xludf.DUMMYFUNCTION("GOOGLETRANSLATE(A12396 , ""tr"" , ""en"")"),"@drfahrettinkoca 23 Personal Squads in Personality 23 Personal Squad 25 Those Over Top Or Teeth Teeth Teeth Teeth Teeth Teeth More Adi ... https://t.co/wo0k46rb8a")</f>
        <v>@drfahrettinkoca 23 Personal Squads in Personality 23 Personal Squad 25 Those Over Top Or Teeth Teeth Teeth Teeth Teeth Teeth More Adi ... https://t.co/wo0k46rb8a</v>
      </c>
    </row>
    <row r="15598" spans="1:5" ht="15" customHeight="1" x14ac:dyDescent="0.2">
      <c r="A15598" s="1" t="s">
        <v>30753</v>
      </c>
      <c r="B15598" s="1">
        <v>0</v>
      </c>
      <c r="C15598" s="3">
        <v>44522.832789351851</v>
      </c>
      <c r="D15598" s="1" t="s">
        <v>30754</v>
      </c>
      <c r="E15598" s="1" t="str">
        <f ca="1">IFERROR(__xludf.DUMMYFUNCTION("GOOGLETRANSLATE(A12397 , ""tr"" , ""en"")"),"@drfahrettinkoca 12pin person 20-person 23-person random 25 thousand of 25 thousand mouth tooth technicians are not enough for dental technicians ... https://t.co/ucırxvwh6w")</f>
        <v>@drfahrettinkoca 12pin person 20-person 23-person random 25 thousand of 25 thousand mouth tooth technicians are not enough for dental technicians ... https://t.co/ucırxvwh6w</v>
      </c>
    </row>
    <row r="15599" spans="1:5" ht="15" customHeight="1" x14ac:dyDescent="0.2">
      <c r="A15599" s="1" t="s">
        <v>30755</v>
      </c>
      <c r="B15599" s="1">
        <v>0</v>
      </c>
      <c r="C15599" s="3">
        <v>44522.832789351851</v>
      </c>
      <c r="D15599" s="1" t="s">
        <v>30756</v>
      </c>
      <c r="E15599" s="1" t="str">
        <f ca="1">IFERROR(__xludf.DUMMYFUNCTION("GOOGLETRANSLATE(A12398 , ""tr"" , ""en"")"),"@drfahrettinkoca 12pin Personality Alum 23 Personal Squads 25 Those Over 25 Those Mouth Teeth Teeth Teeth Dental Dental Dental Teeth More Adi ... https://t.co/b1u3owkryp")</f>
        <v>@drfahrettinkoca 12pin Personality Alum 23 Personal Squads 25 Those Over 25 Those Mouth Teeth Teeth Teeth Dental Dental Dental Teeth More Adi ... https://t.co/b1u3owkryp</v>
      </c>
    </row>
    <row r="15600" spans="1:5" ht="15" customHeight="1" x14ac:dyDescent="0.2">
      <c r="A15600" s="1" t="s">
        <v>30757</v>
      </c>
      <c r="B15600" s="1">
        <v>0</v>
      </c>
      <c r="C15600" s="3">
        <v>44522.832777777781</v>
      </c>
      <c r="D15600" s="1" t="s">
        <v>30758</v>
      </c>
      <c r="E15600" s="1" t="str">
        <f ca="1">IFERROR(__xludf.DUMMYFUNCTION("GOOGLETRANSLATE(A12399 , ""tr"" , ""en"")"),"@drfahrettinkoca 12pin Personality Alum 23 Personal Squad 25 Those Over 25 Those Over Dental Teeth Teeth Teeth Dental Teeth More Adi ... https://t.co/tq8ypzvhqp")</f>
        <v>@drfahrettinkoca 12pin Personality Alum 23 Personal Squad 25 Those Over 25 Those Over Dental Teeth Teeth Teeth Dental Teeth More Adi ... https://t.co/tq8ypzvhqp</v>
      </c>
    </row>
    <row r="15601" spans="1:5" ht="15" customHeight="1" x14ac:dyDescent="0.2">
      <c r="A15601" s="1" t="s">
        <v>30759</v>
      </c>
      <c r="B15601" s="1">
        <v>0</v>
      </c>
      <c r="C15601" s="3">
        <v>44522.832777777781</v>
      </c>
      <c r="D15601" s="1" t="s">
        <v>30760</v>
      </c>
      <c r="E15601" s="1" t="str">
        <f ca="1">IFERROR(__xludf.DUMMYFUNCTION("GOOGLETRANSLATE(A12400 , ""tr"" , ""en"")"),"@drfahrettinkoca 12pin person 20-person 23-person random 25 thousand of 25 thousand mouth dental dental dental dental dental teeth")</f>
        <v>@drfahrettinkoca 12pin person 20-person 23-person random 25 thousand of 25 thousand mouth dental dental dental dental dental teeth</v>
      </c>
    </row>
    <row r="15602" spans="1:5" ht="15" customHeight="1" x14ac:dyDescent="0.2">
      <c r="A15602" s="1" t="s">
        <v>30761</v>
      </c>
      <c r="B15602" s="1">
        <v>0</v>
      </c>
      <c r="C15602" s="3">
        <v>44522.832662037035</v>
      </c>
      <c r="D15602" s="1" t="s">
        <v>30762</v>
      </c>
      <c r="E15602" s="1" t="str">
        <f ca="1">IFERROR(__xludf.DUMMYFUNCTION("GOOGLETRANSLATE(A12401 , ""tr"" , ""en"")"),"@drfahrettinkoca 12pin Personality Alum 23 Personal Squad 25pm Over 25 Body Over The Dental Technician More Adi ... https://t.co/qdo1sqgggdt")</f>
        <v>@drfahrettinkoca 12pin Personality Alum 23 Personal Squad 25pm Over 25 Body Over The Dental Technician More Adi ... https://t.co/qdo1sqgggdt</v>
      </c>
    </row>
    <row r="15603" spans="1:5" ht="15" customHeight="1" x14ac:dyDescent="0.2">
      <c r="A15603" s="1" t="s">
        <v>30763</v>
      </c>
      <c r="B15603" s="1">
        <v>0</v>
      </c>
      <c r="C15603" s="3">
        <v>44522.832650462966</v>
      </c>
      <c r="D15603" s="1" t="s">
        <v>30764</v>
      </c>
      <c r="E15603" s="1" t="str">
        <f ca="1">IFERROR(__xludf.DUMMYFUNCTION("GOOGLETRANSLATE(A12402 , ""tr"" , ""en"")"),"@drfahrettinkoca 12pin Personality Alum 23 Personal Squad 25 Those Over 25 Those Over Dental Teeth Teeth Dental Teeth More Adi ... https://t.co/mijfswag9l")</f>
        <v>@drfahrettinkoca 12pin Personality Alum 23 Personal Squad 25 Those Over 25 Those Over Dental Teeth Teeth Dental Teeth More Adi ... https://t.co/mijfswag9l</v>
      </c>
    </row>
    <row r="15604" spans="1:5" ht="15" customHeight="1" x14ac:dyDescent="0.2">
      <c r="A15604" s="1" t="s">
        <v>30765</v>
      </c>
      <c r="B15604" s="1">
        <v>0</v>
      </c>
      <c r="C15604" s="3">
        <v>44522.832650462966</v>
      </c>
      <c r="D15604" s="1" t="s">
        <v>30766</v>
      </c>
      <c r="E15604" s="1" t="str">
        <f ca="1">IFERROR(__xludf.DUMMYFUNCTION("GOOGLETRANSLATE(A12403 , ""tr"" , ""en"")"),"@drfahrettinkoca 23 Personal Squads in Personality Alum 23 Personal Mouth Over 25 Body Teeth Teeth Dental Technician More Adi ... https://t.co/cras7ytsp0")</f>
        <v>@drfahrettinkoca 23 Personal Squads in Personality Alum 23 Personal Mouth Over 25 Body Teeth Teeth Dental Technician More Adi ... https://t.co/cras7ytsp0</v>
      </c>
    </row>
    <row r="15605" spans="1:5" ht="15" customHeight="1" x14ac:dyDescent="0.2">
      <c r="A15605" s="1" t="s">
        <v>30767</v>
      </c>
      <c r="B15605" s="1">
        <v>0</v>
      </c>
      <c r="C15605" s="3">
        <v>44522.832650462966</v>
      </c>
      <c r="D15605" s="1" t="s">
        <v>30768</v>
      </c>
      <c r="E15605" s="1" t="str">
        <f ca="1">IFERROR(__xludf.DUMMYFUNCTION("GOOGLETRANSLATE(A12404 , ""tr"" , ""en"")"),"@drfahrettinkoca 23 Personal Squads in Personality 23 Personal Squad 25 Body Top Oral Dental Teking More Adi ... https://t.co/xueexqkc83")</f>
        <v>@drfahrettinkoca 23 Personal Squads in Personality 23 Personal Squad 25 Body Top Oral Dental Teking More Adi ... https://t.co/xueexqkc83</v>
      </c>
    </row>
    <row r="15606" spans="1:5" ht="15" customHeight="1" x14ac:dyDescent="0.2">
      <c r="A15606" s="1" t="s">
        <v>30769</v>
      </c>
      <c r="B15606" s="1">
        <v>0</v>
      </c>
      <c r="C15606" s="3">
        <v>44522.832442129627</v>
      </c>
      <c r="D15606" s="1" t="s">
        <v>30770</v>
      </c>
      <c r="E15606" s="1" t="str">
        <f ca="1">IFERROR(__xludf.DUMMYFUNCTION("GOOGLETRANSLATE(A12405 , ""tr"" , ""en"")"),"@drfahrettinkoca is closed in the process of epidemics that are closed to open the density of the intensity of professionalism to be opened ... https://t.co/7s66p7lndk")</f>
        <v>@drfahrettinkoca is closed in the process of epidemics that are closed to open the density of the intensity of professionalism to be opened ... https://t.co/7s66p7lndk</v>
      </c>
    </row>
    <row r="15607" spans="1:5" ht="15" customHeight="1" x14ac:dyDescent="0.2">
      <c r="A15607" s="1" t="s">
        <v>30771</v>
      </c>
      <c r="B15607" s="1">
        <v>0</v>
      </c>
      <c r="C15607" s="3">
        <v>44522.832430555558</v>
      </c>
      <c r="D15607" s="1" t="s">
        <v>30772</v>
      </c>
      <c r="E15607" s="1" t="str">
        <f ca="1">IFERROR(__xludf.DUMMYFUNCTION("GOOGLETRANSLATE(A12406 , ""tr"" , ""en"")"),"@drfahrettinkoca is closed in the process of epidemics, which is closed to open the density of the density of professional with professional ... https://t.co/srpvlz9mb1")</f>
        <v>@drfahrettinkoca is closed in the process of epidemics, which is closed to open the density of the density of professional with professional ... https://t.co/srpvlz9mb1</v>
      </c>
    </row>
    <row r="15608" spans="1:5" ht="15" customHeight="1" x14ac:dyDescent="0.2">
      <c r="A15608" s="1" t="s">
        <v>30773</v>
      </c>
      <c r="B15608" s="1">
        <v>0</v>
      </c>
      <c r="C15608" s="3">
        <v>44522.832430555558</v>
      </c>
      <c r="D15608" s="1" t="s">
        <v>30774</v>
      </c>
      <c r="E15608" s="1" t="str">
        <f ca="1">IFERROR(__xludf.DUMMYFUNCTION("GOOGLETRANSLATE(A12407 , ""tr"" , ""en"")"),"@drfahrettinkoca is closed in the process of the adsms that are closed to open the intensity of the intensity of professionalism ... https://t.co/zxgltseljt")</f>
        <v>@drfahrettinkoca is closed in the process of the adsms that are closed to open the intensity of the intensity of professionalism ... https://t.co/zxgltseljt</v>
      </c>
    </row>
    <row r="15609" spans="1:5" ht="15" customHeight="1" x14ac:dyDescent="0.2">
      <c r="A15609" s="1" t="s">
        <v>30775</v>
      </c>
      <c r="B15609" s="1">
        <v>0</v>
      </c>
      <c r="C15609" s="3">
        <v>44522.832418981481</v>
      </c>
      <c r="D15609" s="1" t="s">
        <v>30776</v>
      </c>
      <c r="E15609" s="1" t="str">
        <f ca="1">IFERROR(__xludf.DUMMYFUNCTION("GOOGLETRANSLATE(A12408 , ""tr"" , ""en"")"),"@drfahrettinkoca is closed in the process of the adsms that are closed to open the intensity of the intensity of professionalism ... https://t.co/qnmv4bqfqg")</f>
        <v>@drfahrettinkoca is closed in the process of the adsms that are closed to open the intensity of the intensity of professionalism ... https://t.co/qnmv4bqfqg</v>
      </c>
    </row>
    <row r="15610" spans="1:5" ht="15" customHeight="1" x14ac:dyDescent="0.2">
      <c r="A15610" s="1" t="s">
        <v>30777</v>
      </c>
      <c r="B15610" s="1">
        <v>0</v>
      </c>
      <c r="C15610" s="3">
        <v>44522.832314814812</v>
      </c>
      <c r="D15610" s="1" t="s">
        <v>30778</v>
      </c>
      <c r="E15610" s="1" t="str">
        <f ca="1">IFERROR(__xludf.DUMMYFUNCTION("GOOGLETRANSLATE(A12409 , ""tr"" , ""en"")"),"@drfahrettinkoca is closed in the process of the adsms that are closed to open the density of the density of professionalism ... https://t.co/acjkvj3fey")</f>
        <v>@drfahrettinkoca is closed in the process of the adsms that are closed to open the density of the density of professionalism ... https://t.co/acjkvj3fey</v>
      </c>
    </row>
    <row r="15611" spans="1:5" ht="15" customHeight="1" x14ac:dyDescent="0.2">
      <c r="A15611" s="1" t="s">
        <v>30779</v>
      </c>
      <c r="B15611" s="1">
        <v>0</v>
      </c>
      <c r="C15611" s="3">
        <v>44522.832314814812</v>
      </c>
      <c r="D15611" s="1" t="s">
        <v>30780</v>
      </c>
      <c r="E15611" s="1" t="str">
        <f ca="1">IFERROR(__xludf.DUMMYFUNCTION("GOOGLETRANSLATE(A12410 , ""tr"" , ""en"")"),"@drfahrettinkoca is closed in the process of ADSMs that are closed to open the density of professional with professionalism ... https://t.co/edep9cxdtttt")</f>
        <v>@drfahrettinkoca is closed in the process of ADSMs that are closed to open the density of professional with professionalism ... https://t.co/edep9cxdtttt</v>
      </c>
    </row>
    <row r="15612" spans="1:5" ht="15" customHeight="1" x14ac:dyDescent="0.2">
      <c r="A15612" s="1" t="s">
        <v>30781</v>
      </c>
      <c r="B15612" s="1">
        <v>0</v>
      </c>
      <c r="C15612" s="3">
        <v>44522.832303240742</v>
      </c>
      <c r="D15612" s="1" t="s">
        <v>30782</v>
      </c>
      <c r="E15612" s="1" t="str">
        <f ca="1">IFERROR(__xludf.DUMMYFUNCTION("GOOGLETRANSLATE(A12411 , ""tr"" , ""en"")"),"@drfahrettinkoca is closed in the process of epidemics that are closed to open the intensity of the intensity of professional with professionalism ... https://t.co/o6bqrhjuay")</f>
        <v>@drfahrettinkoca is closed in the process of epidemics that are closed to open the intensity of the intensity of professional with professionalism ... https://t.co/o6bqrhjuay</v>
      </c>
    </row>
    <row r="15613" spans="1:5" ht="15" customHeight="1" x14ac:dyDescent="0.2">
      <c r="A15613" s="1" t="s">
        <v>30783</v>
      </c>
      <c r="B15613" s="1">
        <v>0</v>
      </c>
      <c r="C15613" s="3">
        <v>44522.832303240742</v>
      </c>
      <c r="D15613" s="1" t="s">
        <v>30784</v>
      </c>
      <c r="E15613" s="1" t="str">
        <f ca="1">IFERROR(__xludf.DUMMYFUNCTION("GOOGLETRANSLATE(A12412 , ""tr"" , ""en"")"),"@drfahrettinkoca ADSMS, which is closed in the process of epidemics, directed to open the intensity of professional with professional ... https://t.co/alsiyiolwp")</f>
        <v>@drfahrettinkoca ADSMS, which is closed in the process of epidemics, directed to open the intensity of professional with professional ... https://t.co/alsiyiolwp</v>
      </c>
    </row>
    <row r="15614" spans="1:5" ht="15" customHeight="1" x14ac:dyDescent="0.2">
      <c r="A15614" s="1" t="s">
        <v>30785</v>
      </c>
      <c r="B15614" s="1">
        <v>0</v>
      </c>
      <c r="C15614" s="3">
        <v>44522.83222222222</v>
      </c>
      <c r="D15614" s="1" t="s">
        <v>30786</v>
      </c>
      <c r="E15614" s="1" t="str">
        <f ca="1">IFERROR(__xludf.DUMMYFUNCTION("GOOGLETRANSLATE(A12413 , ""tr"" , ""en"")"),"@drfahrettinkoca is closed in the process of epidemics that are closed to open the density of the density of professionalism ... https://t.co/cd3acgcmve")</f>
        <v>@drfahrettinkoca is closed in the process of epidemics that are closed to open the density of the density of professionalism ... https://t.co/cd3acgcmve</v>
      </c>
    </row>
    <row r="15615" spans="1:5" ht="15" customHeight="1" x14ac:dyDescent="0.2">
      <c r="A15615" s="1" t="s">
        <v>30787</v>
      </c>
      <c r="B15615" s="1">
        <v>0</v>
      </c>
      <c r="C15615" s="3">
        <v>44522.83222222222</v>
      </c>
      <c r="D15615" s="1" t="s">
        <v>30788</v>
      </c>
      <c r="E15615" s="1" t="str">
        <f ca="1">IFERROR(__xludf.DUMMYFUNCTION("GOOGLETRANSLATE(A12414 , ""tr"" , ""en"")"),"@drfahrettinkoca is closed in the process of epidemics that are closed to open the density of professional with professionalism ... https://t.co/qt8r3scfvp")</f>
        <v>@drfahrettinkoca is closed in the process of epidemics that are closed to open the density of professional with professionalism ... https://t.co/qt8r3scfvp</v>
      </c>
    </row>
    <row r="15616" spans="1:5" ht="15" customHeight="1" x14ac:dyDescent="0.2">
      <c r="A15616" s="1" t="s">
        <v>30789</v>
      </c>
      <c r="B15616" s="1">
        <v>0</v>
      </c>
      <c r="C15616" s="3">
        <v>44522.83222222222</v>
      </c>
      <c r="D15616" s="1" t="s">
        <v>30790</v>
      </c>
      <c r="E15616" s="1" t="str">
        <f ca="1">IFERROR(__xludf.DUMMYFUNCTION("GOOGLETRANSLATE(A12415 , ""tr"" , ""en"")"),"@drfahrettinkoca is closed in the process of epidemics that are closed to open the density of the density of the density to be opened ... https://t.co/svqwvulwsr")</f>
        <v>@drfahrettinkoca is closed in the process of epidemics that are closed to open the density of the density of the density to be opened ... https://t.co/svqwvulwsr</v>
      </c>
    </row>
    <row r="15617" spans="1:5" ht="15" customHeight="1" x14ac:dyDescent="0.2">
      <c r="A15617" s="1" t="s">
        <v>30791</v>
      </c>
      <c r="B15617" s="1">
        <v>0</v>
      </c>
      <c r="C15617" s="3">
        <v>44522.83221064815</v>
      </c>
      <c r="D15617" s="1" t="s">
        <v>30792</v>
      </c>
      <c r="E15617" s="1" t="str">
        <f ca="1">IFERROR(__xludf.DUMMYFUNCTION("GOOGLETRANSLATE(A12416 , ""tr"" , ""en"")"),"@drfahrettinkoca is closed in the process of epidemics that are closed to open the intensity of the intensity of professional with professional ... https://t.co/jivcq7jjoh")</f>
        <v>@drfahrettinkoca is closed in the process of epidemics that are closed to open the intensity of the intensity of professional with professional ... https://t.co/jivcq7jjoh</v>
      </c>
    </row>
    <row r="15618" spans="1:5" ht="15" customHeight="1" x14ac:dyDescent="0.2">
      <c r="A15618" s="1" t="s">
        <v>30793</v>
      </c>
      <c r="B15618" s="1">
        <v>0</v>
      </c>
      <c r="C15618" s="3">
        <v>44522.832152777781</v>
      </c>
      <c r="D15618" s="1" t="s">
        <v>30794</v>
      </c>
      <c r="E15618" s="1" t="str">
        <f ca="1">IFERROR(__xludf.DUMMYFUNCTION("GOOGLETRANSLATE(A12417 , ""tr"" , ""en"")"),"@drfahrettinkoca is closed in the process of epidemics that are closed to open the density of the density of professional with professional ... https://t.co/w57ltqnpva")</f>
        <v>@drfahrettinkoca is closed in the process of epidemics that are closed to open the density of the density of professional with professional ... https://t.co/w57ltqnpva</v>
      </c>
    </row>
    <row r="15619" spans="1:5" ht="15" customHeight="1" x14ac:dyDescent="0.2">
      <c r="A15619" s="1" t="s">
        <v>30795</v>
      </c>
      <c r="B15619" s="1">
        <v>0</v>
      </c>
      <c r="C15619" s="3">
        <v>44522.832141203704</v>
      </c>
      <c r="D15619" s="1" t="s">
        <v>30796</v>
      </c>
      <c r="E15619" s="1" t="str">
        <f ca="1">IFERROR(__xludf.DUMMYFUNCTION("GOOGLETRANSLATE(A12418 , ""tr"" , ""en"")"),"@drfahrettinkoca is closed in the process of epidemics that are closed to open the intensity of the density of professional with professional ... https://t.co/fxit7re177")</f>
        <v>@drfahrettinkoca is closed in the process of epidemics that are closed to open the intensity of the density of professional with professional ... https://t.co/fxit7re177</v>
      </c>
    </row>
    <row r="15620" spans="1:5" ht="15" customHeight="1" x14ac:dyDescent="0.2">
      <c r="A15620" s="1" t="s">
        <v>30797</v>
      </c>
      <c r="B15620" s="1">
        <v>0</v>
      </c>
      <c r="C15620" s="3">
        <v>44522.832141203704</v>
      </c>
      <c r="D15620" s="1" t="s">
        <v>30798</v>
      </c>
      <c r="E15620" s="1" t="str">
        <f ca="1">IFERROR(__xludf.DUMMYFUNCTION("GOOGLETRANSLATE(A12419 , ""tr"" , ""en"")"),"@drfahrettinkoca is closed in the process of ADSMs that are closed to open the density of the intensity of professionalism ... https://t.co/jaj2wczkfo")</f>
        <v>@drfahrettinkoca is closed in the process of ADSMs that are closed to open the density of the intensity of professionalism ... https://t.co/jaj2wczkfo</v>
      </c>
    </row>
    <row r="15621" spans="1:5" ht="15" customHeight="1" x14ac:dyDescent="0.2">
      <c r="A15621" s="1" t="s">
        <v>30799</v>
      </c>
      <c r="B15621" s="1">
        <v>0</v>
      </c>
      <c r="C15621" s="3">
        <v>44522.832141203704</v>
      </c>
      <c r="D15621" s="1" t="s">
        <v>30800</v>
      </c>
      <c r="E15621" s="1" t="str">
        <f ca="1">IFERROR(__xludf.DUMMYFUNCTION("GOOGLETRANSLATE(A12420 , ""tr"" , ""en"")"),"@drfahrettinkoca is closed in the process of epidemics that are closed to open the density of professional with professionalism ... https://t.co/v3gjgufcqy")</f>
        <v>@drfahrettinkoca is closed in the process of epidemics that are closed to open the density of professional with professionalism ... https://t.co/v3gjgufcqy</v>
      </c>
    </row>
    <row r="15622" spans="1:5" ht="15" customHeight="1" x14ac:dyDescent="0.2">
      <c r="A15622" s="1" t="s">
        <v>30801</v>
      </c>
      <c r="B15622" s="1">
        <v>1</v>
      </c>
      <c r="C15622" s="3">
        <v>44523.93173611111</v>
      </c>
      <c r="D15622" s="1" t="s">
        <v>30802</v>
      </c>
      <c r="E15622" s="1" t="str">
        <f ca="1">IFERROR(__xludf.DUMMYFUNCTION("GOOGLETRANSLATE(A12421 , ""tr"" , ""en"")"),"@drfahrettinkoca is not enough you have used the licensed vaccine is that you will use the historical historical past vaccine. https://t.co/w6nIekst6u")</f>
        <v>@drfahrettinkoca is not enough you have used the licensed vaccine is that you will use the historical historical past vaccine. https://t.co/w6nIekst6u</v>
      </c>
    </row>
    <row r="15623" spans="1:5" ht="15" customHeight="1" x14ac:dyDescent="0.2">
      <c r="A15623" s="1" t="s">
        <v>30803</v>
      </c>
      <c r="B15623" s="1">
        <v>0</v>
      </c>
      <c r="C15623" s="3">
        <v>44523.900335648148</v>
      </c>
      <c r="D15623" s="1" t="s">
        <v>30804</v>
      </c>
      <c r="E15623" s="1" t="str">
        <f ca="1">IFERROR(__xludf.DUMMYFUNCTION("GOOGLETRANSLATE(A12422 , ""tr"" , ""en"")"),"@drfahrettinka https://t.co/4ccyev1wlv")</f>
        <v>@drfahrettinka https://t.co/4ccyev1wlv</v>
      </c>
    </row>
    <row r="15624" spans="1:5" ht="15" customHeight="1" x14ac:dyDescent="0.2">
      <c r="A15624" s="1" t="s">
        <v>30805</v>
      </c>
      <c r="B15624" s="1">
        <v>0</v>
      </c>
      <c r="C15624" s="3">
        <v>44523.899710648147</v>
      </c>
      <c r="D15624" s="1" t="s">
        <v>30806</v>
      </c>
      <c r="E15624" s="1" t="str">
        <f ca="1">IFERROR(__xludf.DUMMYFUNCTION("GOOGLETRANSLATE(A12423 , ""tr"" , ""en"")"),"@drfahrettinkoca Ulan Then turn off schools or non-rebeled school is not so much ..")</f>
        <v>@drfahrettinkoca Ulan Then turn off schools or non-rebeled school is not so much ..</v>
      </c>
    </row>
    <row r="15625" spans="1:5" ht="15" customHeight="1" x14ac:dyDescent="0.2">
      <c r="A15625" s="1" t="s">
        <v>30807</v>
      </c>
      <c r="B15625" s="1">
        <v>0</v>
      </c>
      <c r="C15625" s="3">
        <v>44523.897627314815</v>
      </c>
      <c r="D15625" s="1" t="s">
        <v>30808</v>
      </c>
      <c r="E15625" s="1" t="str">
        <f ca="1">IFERROR(__xludf.DUMMYFUNCTION("GOOGLETRANSLATE(A12424 , ""tr"" , ""en"")"),"@drfahrettinka https://t.co/vmlwqjdbbt")</f>
        <v>@drfahrettinka https://t.co/vmlwqjdbbt</v>
      </c>
    </row>
    <row r="15626" spans="1:5" ht="15" customHeight="1" x14ac:dyDescent="0.2">
      <c r="A15626" s="1" t="s">
        <v>13063</v>
      </c>
      <c r="B15626" s="1">
        <v>0</v>
      </c>
      <c r="C15626" s="3">
        <v>44523.862719907411</v>
      </c>
      <c r="D15626" s="1" t="s">
        <v>30809</v>
      </c>
      <c r="E15626" s="1" t="str">
        <f ca="1">IFERROR(__xludf.DUMMYFUNCTION("GOOGLETRANSLATE(A12425 , ""tr"" , ""en"")"),"@drfahrettinkoca 🤣")</f>
        <v>@drfahrettinkoca 🤣</v>
      </c>
    </row>
    <row r="15627" spans="1:5" ht="15" customHeight="1" x14ac:dyDescent="0.2">
      <c r="A15627" s="1" t="s">
        <v>30810</v>
      </c>
      <c r="B15627" s="1">
        <v>0</v>
      </c>
      <c r="C15627" s="3">
        <v>44522.997754629629</v>
      </c>
      <c r="D15627" s="1" t="s">
        <v>30811</v>
      </c>
      <c r="E15627" s="1" t="str">
        <f ca="1">IFERROR(__xludf.DUMMYFUNCTION("GOOGLETRANSLATE(A12426 , ""tr"" , ""en"")"),"@drfahrettinkoca coronan did not even die. Independent v ... https://t.co/4psp8jm9jm")</f>
        <v>@drfahrettinkoca coronan did not even die. Independent v ... https://t.co/4psp8jm9jm</v>
      </c>
    </row>
    <row r="15628" spans="1:5" ht="15" customHeight="1" x14ac:dyDescent="0.2">
      <c r="A15628" s="1" t="s">
        <v>30812</v>
      </c>
      <c r="B15628" s="1">
        <v>1</v>
      </c>
      <c r="C15628" s="3">
        <v>44522.99763888889</v>
      </c>
      <c r="D15628" s="1" t="s">
        <v>30813</v>
      </c>
      <c r="E15628" s="1" t="str">
        <f ca="1">IFERROR(__xludf.DUMMYFUNCTION("GOOGLETRANSLATE(A12427 , ""tr"" , ""en"")"),"@drfahrettinkoca 2 Sinovac Vaccine 3.BionTech The next day High Fire CRP 231 D-dimer 1364 Either heart attack, embolism, brain ... https://t.co/7vx5pcb0wa")</f>
        <v>@drfahrettinkoca 2 Sinovac Vaccine 3.BionTech The next day High Fire CRP 231 D-dimer 1364 Either heart attack, embolism, brain ... https://t.co/7vx5pcb0wa</v>
      </c>
    </row>
    <row r="15629" spans="1:5" ht="15" customHeight="1" x14ac:dyDescent="0.2">
      <c r="A15629" s="1" t="s">
        <v>30814</v>
      </c>
      <c r="B15629" s="1">
        <v>0</v>
      </c>
      <c r="C15629" s="3">
        <v>44522.996458333335</v>
      </c>
      <c r="D15629" s="1" t="s">
        <v>30815</v>
      </c>
      <c r="E15629" s="1" t="str">
        <f ca="1">IFERROR(__xludf.DUMMYFUNCTION("GOOGLETRANSLATE(A12428 , ""tr"" , ""en"")"),"@drfahrettinkoca Check this banabi dining basket warehouses in each warehouse 5 6 Covit Cycles Couriers continued ... https://t.co/znunnwdxwq")</f>
        <v>@drfahrettinkoca Check this banabi dining basket warehouses in each warehouse 5 6 Covit Cycles Couriers continued ... https://t.co/znunnwdxwq</v>
      </c>
    </row>
    <row r="15630" spans="1:5" ht="15" customHeight="1" x14ac:dyDescent="0.2">
      <c r="A15630" s="1" t="s">
        <v>30816</v>
      </c>
      <c r="B15630" s="1">
        <v>0</v>
      </c>
      <c r="C15630" s="3">
        <v>44522.996365740742</v>
      </c>
      <c r="D15630" s="1" t="s">
        <v>30817</v>
      </c>
      <c r="E15630" s="1" t="str">
        <f ca="1">IFERROR(__xludf.DUMMYFUNCTION("GOOGLETRANSLATE(A12429 , ""tr"" , ""en"")"),"@drfahrettinkoca sanane brother whether or not we are our vaccinations.")</f>
        <v>@drfahrettinkoca sanane brother whether or not we are our vaccinations.</v>
      </c>
    </row>
    <row r="15631" spans="1:5" ht="15" customHeight="1" x14ac:dyDescent="0.2">
      <c r="A15631" s="1" t="s">
        <v>30818</v>
      </c>
      <c r="B15631" s="1">
        <v>0</v>
      </c>
      <c r="C15631" s="3">
        <v>44522.994791666664</v>
      </c>
      <c r="D15631" s="1" t="s">
        <v>30819</v>
      </c>
      <c r="E15631" s="1" t="str">
        <f ca="1">IFERROR(__xludf.DUMMYFUNCTION("GOOGLETRANSLATE(A12430 , ""tr"" , ""en"")"),"@drfahrettinkoca you will threaten to be expelled from their job without vaccine, you will get the right to travel, train ... https://t.co/jcogmkPIDP")</f>
        <v>@drfahrettinkoca you will threaten to be expelled from their job without vaccine, you will get the right to travel, train ... https://t.co/jcogmkPIDP</v>
      </c>
    </row>
    <row r="15632" spans="1:5" ht="15" customHeight="1" x14ac:dyDescent="0.2">
      <c r="A15632" s="1" t="s">
        <v>30820</v>
      </c>
      <c r="B15632" s="1">
        <v>0</v>
      </c>
      <c r="C15632" s="3">
        <v>44522.992523148147</v>
      </c>
      <c r="D15632" s="1" t="s">
        <v>30821</v>
      </c>
      <c r="E15632" s="1" t="str">
        <f ca="1">IFERROR(__xludf.DUMMYFUNCTION("GOOGLETRANSLATE(A12431 , ""tr"" , ""en"")"),"@drfahrettinkoca Non-outbreaks Scare people and show that so much in trying to give that toxic liquid ... https://t.co/xbm8lkqums")</f>
        <v>@drfahrettinkoca Non-outbreaks Scare people and show that so much in trying to give that toxic liquid ... https://t.co/xbm8lkqums</v>
      </c>
    </row>
    <row r="15633" spans="1:5" ht="15" customHeight="1" x14ac:dyDescent="0.2">
      <c r="A15633" s="1" t="s">
        <v>30822</v>
      </c>
      <c r="B15633" s="1">
        <v>5</v>
      </c>
      <c r="C15633" s="3">
        <v>44522.987939814811</v>
      </c>
      <c r="D15633" s="1" t="s">
        <v>30823</v>
      </c>
      <c r="E15633" s="1" t="str">
        <f ca="1">IFERROR(__xludf.DUMMYFUNCTION("GOOGLETRANSLATE(A12432 , ""tr"" , ""en"")"),"@drfahrettinkoca measure that you don't get a hic a measure .. #velilerendiselionlineline")</f>
        <v>@drfahrettinkoca measure that you don't get a hic a measure .. #velilerendiselionlineline</v>
      </c>
    </row>
    <row r="15634" spans="1:5" ht="15" customHeight="1" x14ac:dyDescent="0.2">
      <c r="A15634" s="1" t="s">
        <v>30824</v>
      </c>
      <c r="B15634" s="1">
        <v>0</v>
      </c>
      <c r="C15634" s="3">
        <v>44522.982905092591</v>
      </c>
      <c r="D15634" s="1" t="s">
        <v>30825</v>
      </c>
      <c r="E15634" s="1" t="str">
        <f ca="1">IFERROR(__xludf.DUMMYFUNCTION("GOOGLETRANSLATE(A12433 , ""tr"" , ""en"")"),"@drfahrettinkoca WHO Expiry Applications Now take measures according to the structure of the Anadolol with the people ... https://t.co/6gm8w47GR")</f>
        <v>@drfahrettinkoca WHO Expiry Applications Now take measures according to the structure of the Anadolol with the people ... https://t.co/6gm8w47GR</v>
      </c>
    </row>
    <row r="15635" spans="1:5" ht="15" customHeight="1" x14ac:dyDescent="0.2">
      <c r="A15635" s="1" t="s">
        <v>30826</v>
      </c>
      <c r="B15635" s="1">
        <v>0</v>
      </c>
      <c r="C15635" s="3">
        <v>44522.976053240738</v>
      </c>
      <c r="D15635" s="1" t="s">
        <v>30827</v>
      </c>
      <c r="E15635" s="1" t="str">
        <f ca="1">IFERROR(__xludf.DUMMYFUNCTION("GOOGLETRANSLATE(A12434 , ""tr"" , ""en"")"),"@drfahrettinkoca # fahrettinkocaistifa https://t.co/17kfkg3wtm")</f>
        <v>@drfahrettinkoca # fahrettinkocaistifa https://t.co/17kfkg3wtm</v>
      </c>
    </row>
    <row r="15636" spans="1:5" ht="15" customHeight="1" x14ac:dyDescent="0.2">
      <c r="A15636" s="1" t="s">
        <v>30828</v>
      </c>
      <c r="B15636" s="1">
        <v>0</v>
      </c>
      <c r="C15636" s="3">
        <v>44522.968530092592</v>
      </c>
      <c r="D15636" s="1" t="s">
        <v>30829</v>
      </c>
      <c r="E15636" s="1" t="str">
        <f ca="1">IFERROR(__xludf.DUMMYFUNCTION("GOOGLETRANSLATE(A12435 , ""tr"" , ""en"")"),"@drfahrettinkoca")</f>
        <v>@drfahrettinkoca</v>
      </c>
    </row>
    <row r="15637" spans="1:5" ht="15" customHeight="1" x14ac:dyDescent="0.2">
      <c r="A15637" s="1" t="s">
        <v>30830</v>
      </c>
      <c r="B15637" s="1">
        <v>0</v>
      </c>
      <c r="C15637" s="3">
        <v>44522.965451388889</v>
      </c>
      <c r="D15637" s="1" t="s">
        <v>30831</v>
      </c>
      <c r="E15637" s="1" t="str">
        <f ca="1">IFERROR(__xludf.DUMMYFUNCTION("GOOGLETRANSLATE(A12436 , ""tr"" , ""en"")"),"@drfahrettinkoca This gurge Motto Must Produce Medicine Meat Repeat Repeat Repeat Sick Meat. Kada before 2 years ... https://t.co/taszkpetnb")</f>
        <v>@drfahrettinkoca This gurge Motto Must Produce Medicine Meat Repeat Repeat Repeat Sick Meat. Kada before 2 years ... https://t.co/taszkpetnb</v>
      </c>
    </row>
    <row r="15638" spans="1:5" ht="15" customHeight="1" x14ac:dyDescent="0.2">
      <c r="A15638" s="1" t="s">
        <v>30832</v>
      </c>
      <c r="B15638" s="1">
        <v>0</v>
      </c>
      <c r="C15638" s="3">
        <v>44522.963333333333</v>
      </c>
      <c r="D15638" s="1" t="s">
        <v>30833</v>
      </c>
      <c r="E15638" s="1" t="str">
        <f ca="1">IFERROR(__xludf.DUMMYFUNCTION("GOOGLETRANSLATE(A12437 , ""tr"" , ""en"")"),"@drfahrettinka forcefully, master !!! hardly. What you have said, you stayed in your hands.")</f>
        <v>@drfahrettinka forcefully, master !!! hardly. What you have said, you stayed in your hands.</v>
      </c>
    </row>
    <row r="15639" spans="1:5" ht="15" customHeight="1" x14ac:dyDescent="0.2">
      <c r="A15639" s="1" t="s">
        <v>30834</v>
      </c>
      <c r="B15639" s="1">
        <v>2</v>
      </c>
      <c r="C15639" s="3">
        <v>44522.944212962961</v>
      </c>
      <c r="D15639" s="1" t="s">
        <v>30835</v>
      </c>
      <c r="E15639" s="1" t="str">
        <f ca="1">IFERROR(__xludf.DUMMYFUNCTION("GOOGLETRANSLATE(A12438 , ""tr"" , ""en"")"),"@drfahrettinkoca I'm curious about how many people get out of the pattern of your familiar acquaintances today.")</f>
        <v>@drfahrettinkoca I'm curious about how many people get out of the pattern of your familiar acquaintances today.</v>
      </c>
    </row>
    <row r="15640" spans="1:5" ht="15" customHeight="1" x14ac:dyDescent="0.2">
      <c r="A15640" s="1" t="s">
        <v>30836</v>
      </c>
      <c r="B15640" s="1">
        <v>0</v>
      </c>
      <c r="C15640" s="3">
        <v>44522.939351851855</v>
      </c>
      <c r="D15640" s="1" t="s">
        <v>30837</v>
      </c>
      <c r="E15640" s="1" t="str">
        <f ca="1">IFERROR(__xludf.DUMMYFUNCTION("GOOGLETRANSLATE(A12439 , ""tr"" , ""en"")"),"@drfahrettinkoca is no more likely to be in the state of being exceeded.")</f>
        <v>@drfahrettinkoca is no more likely to be in the state of being exceeded.</v>
      </c>
    </row>
    <row r="15641" spans="1:5" ht="15" customHeight="1" x14ac:dyDescent="0.2">
      <c r="A15641" s="1" t="s">
        <v>30838</v>
      </c>
      <c r="B15641" s="1">
        <v>0</v>
      </c>
      <c r="C15641" s="3">
        <v>44522.929236111115</v>
      </c>
      <c r="D15641" s="1" t="s">
        <v>30839</v>
      </c>
      <c r="E15641" s="1" t="str">
        <f ca="1">IFERROR(__xludf.DUMMYFUNCTION("GOOGLETRANSLATE(A12440 , ""tr"" , ""en"")"),"@drfahrettinkoca all countries are taking measures or started to take at least we also go to 200 every day but what ... https://t.co/tthmb0biyy")</f>
        <v>@drfahrettinkoca all countries are taking measures or started to take at least we also go to 200 every day but what ... https://t.co/tthmb0biyy</v>
      </c>
    </row>
    <row r="15642" spans="1:5" ht="15" customHeight="1" x14ac:dyDescent="0.2">
      <c r="A15642" s="1" t="s">
        <v>30840</v>
      </c>
      <c r="B15642" s="1">
        <v>3</v>
      </c>
      <c r="C15642" s="3">
        <v>44522.928287037037</v>
      </c>
      <c r="D15642" s="1" t="s">
        <v>30841</v>
      </c>
      <c r="E15642" s="1" t="str">
        <f ca="1">IFERROR(__xludf.DUMMYFUNCTION("GOOGLETRANSLATE(A12441 , ""tr"" , ""en"")"),"@drfahrettinkoca If people live more than 1 year without this vaccination or any corona type virus ... https://t.co/i2usrd8d7z")</f>
        <v>@drfahrettinkoca If people live more than 1 year without this vaccination or any corona type virus ... https://t.co/i2usrd8d7z</v>
      </c>
    </row>
    <row r="15643" spans="1:5" ht="15" customHeight="1" x14ac:dyDescent="0.2">
      <c r="A15643" s="1" t="s">
        <v>30842</v>
      </c>
      <c r="B15643" s="1">
        <v>2</v>
      </c>
      <c r="C15643" s="3">
        <v>44522.926979166667</v>
      </c>
      <c r="D15643" s="1" t="s">
        <v>30843</v>
      </c>
      <c r="E15643" s="1" t="str">
        <f ca="1">IFERROR(__xludf.DUMMYFUNCTION("GOOGLETRANSLATE(A12442 , ""tr"" , ""en"")"),"@drfahrettinkoca epidemic minister Propaganda Don't see you don't see a job, don't you see this folks anymore ... https://t.co/xknvurep7s")</f>
        <v>@drfahrettinkoca epidemic minister Propaganda Don't see you don't see a job, don't you see this folks anymore ... https://t.co/xknvurep7s</v>
      </c>
    </row>
    <row r="15644" spans="1:5" ht="15" customHeight="1" x14ac:dyDescent="0.2">
      <c r="A15644" s="1" t="s">
        <v>30844</v>
      </c>
      <c r="B15644" s="1">
        <v>0</v>
      </c>
      <c r="C15644" s="3">
        <v>44522.921319444446</v>
      </c>
      <c r="D15644" s="1" t="s">
        <v>30845</v>
      </c>
      <c r="E15644" s="1" t="str">
        <f ca="1">IFERROR(__xludf.DUMMYFUNCTION("GOOGLETRANSLATE(A12443 , ""tr"" , ""en"")"),"@drfahrettinkoca hocam nation is the disease in bread trouble you aree he 😊")</f>
        <v>@drfahrettinkoca hocam nation is the disease in bread trouble you aree he 😊</v>
      </c>
    </row>
    <row r="15645" spans="1:5" ht="15" customHeight="1" x14ac:dyDescent="0.2">
      <c r="A15645" s="1" t="s">
        <v>30846</v>
      </c>
      <c r="B15645" s="1">
        <v>0</v>
      </c>
      <c r="C15645" s="3">
        <v>44522.917442129627</v>
      </c>
      <c r="D15645" s="1" t="s">
        <v>30847</v>
      </c>
      <c r="E15645" s="1" t="str">
        <f ca="1">IFERROR(__xludf.DUMMYFUNCTION("GOOGLETRANSLATE(A12444 , ""tr"" , ""en"")"),"@drfahrettinka secured people, water suffering from children and aggravations in the agony how to see how comfortable ... https://t.co/qhxqz5mmse")</f>
        <v>@drfahrettinka secured people, water suffering from children and aggravations in the agony how to see how comfortable ... https://t.co/qhxqz5mmse</v>
      </c>
    </row>
    <row r="15646" spans="1:5" ht="15" customHeight="1" x14ac:dyDescent="0.2">
      <c r="A15646" s="1" t="s">
        <v>30848</v>
      </c>
      <c r="B15646" s="1">
        <v>0</v>
      </c>
      <c r="C15646" s="3">
        <v>44522.917349537034</v>
      </c>
      <c r="D15646" s="1" t="s">
        <v>30849</v>
      </c>
      <c r="E15646" s="1" t="str">
        <f ca="1">IFERROR(__xludf.DUMMYFUNCTION("GOOGLETRANSLATE(A12445 , ""tr"" , ""en"")"),"@drfahrettinka https://t.co/wpseodbiki")</f>
        <v>@drfahrettinka https://t.co/wpseodbiki</v>
      </c>
    </row>
    <row r="15647" spans="1:5" ht="15" customHeight="1" x14ac:dyDescent="0.2">
      <c r="A15647" s="1" t="s">
        <v>30850</v>
      </c>
      <c r="B15647" s="1">
        <v>0</v>
      </c>
      <c r="C15647" s="3">
        <v>44522.915960648148</v>
      </c>
      <c r="D15647" s="1" t="s">
        <v>30851</v>
      </c>
      <c r="E15647" s="1" t="str">
        <f ca="1">IFERROR(__xludf.DUMMYFUNCTION("GOOGLETRANSLATE(A12446 , ""tr"" , ""en"")"),"@drfahrettinkoca wonder why FDA wants to store the data of biontech vaccine more than 55 years? Let's think about ... Sure K ... https://t.co/j8ugsk5hb5")</f>
        <v>@drfahrettinkoca wonder why FDA wants to store the data of biontech vaccine more than 55 years? Let's think about ... Sure K ... https://t.co/j8ugsk5hb5</v>
      </c>
    </row>
    <row r="15648" spans="1:5" ht="15" customHeight="1" x14ac:dyDescent="0.2">
      <c r="A15648" s="1" t="s">
        <v>30852</v>
      </c>
      <c r="B15648" s="1">
        <v>0</v>
      </c>
      <c r="C15648" s="3">
        <v>44522.913368055553</v>
      </c>
      <c r="D15648" s="1" t="s">
        <v>30853</v>
      </c>
      <c r="E15648" s="1" t="str">
        <f ca="1">IFERROR(__xludf.DUMMYFUNCTION("GOOGLETRANSLATE(A12447 , ""tr"" , ""en"")"),"@drfahrettinkoca 1 6k number of cases of cases in the day daily SŞdöççıcıcınvğincilünti Doniz We believe Suan")</f>
        <v>@drfahrettinkoca 1 6k number of cases of cases in the day daily SŞdöççıcıcınvğincilünti Doniz We believe Suan</v>
      </c>
    </row>
    <row r="15649" spans="1:5" ht="15" customHeight="1" x14ac:dyDescent="0.2">
      <c r="A15649" s="1" t="s">
        <v>30854</v>
      </c>
      <c r="B15649" s="1">
        <v>2</v>
      </c>
      <c r="C15649" s="3">
        <v>44522.909629629627</v>
      </c>
      <c r="D15649" s="1" t="s">
        <v>30855</v>
      </c>
      <c r="E15649" s="1" t="str">
        <f ca="1">IFERROR(__xludf.DUMMYFUNCTION("GOOGLETRANSLATE(A12448 , ""tr"" , ""en"")"),"@drfahrettinkoca SMA patient victorman's mother suicide from helplessness. His heart cannot tremble your. This child ... https://t.co/7sptjtlf3m")</f>
        <v>@drfahrettinkoca SMA patient victorman's mother suicide from helplessness. His heart cannot tremble your. This child ... https://t.co/7sptjtlf3m</v>
      </c>
    </row>
    <row r="15650" spans="1:5" ht="15" customHeight="1" x14ac:dyDescent="0.2">
      <c r="A15650" s="1" t="s">
        <v>30856</v>
      </c>
      <c r="B15650" s="1">
        <v>0</v>
      </c>
      <c r="C15650" s="3">
        <v>44522.909525462965</v>
      </c>
      <c r="D15650" s="1" t="s">
        <v>30857</v>
      </c>
      <c r="E15650" s="1" t="str">
        <f ca="1">IFERROR(__xludf.DUMMYFUNCTION("GOOGLETRANSLATE(A12449 , ""tr"" , ""en"")"),"@drfahrettinka 20 months ago I didn't know who the healthman of the Health. I learned through Cavid uncle.")</f>
        <v>@drfahrettinka 20 months ago I didn't know who the healthman of the Health. I learned through Cavid uncle.</v>
      </c>
    </row>
    <row r="15651" spans="1:5" ht="15" customHeight="1" x14ac:dyDescent="0.2">
      <c r="A15651" s="1" t="s">
        <v>30858</v>
      </c>
      <c r="B15651" s="1">
        <v>0</v>
      </c>
      <c r="C15651" s="3">
        <v>44522.908356481479</v>
      </c>
      <c r="D15651" s="1" t="s">
        <v>30859</v>
      </c>
      <c r="E15651" s="1" t="str">
        <f ca="1">IFERROR(__xludf.DUMMYFUNCTION("GOOGLETRANSLATE(A12450 , ""tr"" , ""en"")"),"@drfahrettinkoca You're reading Vaccines without stopping Andersenden tales, if you don't know anything, read comments No one s ... https://t.co/lcrcwgtwlb")</f>
        <v>@drfahrettinkoca You're reading Vaccines without stopping Andersenden tales, if you don't know anything, read comments No one s ... https://t.co/lcrcwgtwlb</v>
      </c>
    </row>
    <row r="15652" spans="1:5" ht="15" customHeight="1" x14ac:dyDescent="0.2">
      <c r="A15652" s="1" t="s">
        <v>30860</v>
      </c>
      <c r="B15652" s="1">
        <v>0</v>
      </c>
      <c r="C15652" s="3">
        <v>44522.905231481483</v>
      </c>
      <c r="D15652" s="1" t="s">
        <v>30861</v>
      </c>
      <c r="E15652" s="1" t="str">
        <f ca="1">IFERROR(__xludf.DUMMYFUNCTION("GOOGLETRANSLATE(A12451 , ""tr"" , ""en"")"),"@drfahrettinkoca people have fire in the kitchen of the people, in the vaccine problem.")</f>
        <v>@drfahrettinkoca people have fire in the kitchen of the people, in the vaccine problem.</v>
      </c>
    </row>
    <row r="15653" spans="1:5" ht="15" customHeight="1" x14ac:dyDescent="0.2">
      <c r="A15653" s="1" t="s">
        <v>30862</v>
      </c>
      <c r="B15653" s="1">
        <v>0</v>
      </c>
      <c r="C15653" s="3">
        <v>44522.90483796296</v>
      </c>
      <c r="D15653" s="1" t="s">
        <v>30863</v>
      </c>
      <c r="E15653" s="1" t="str">
        <f ca="1">IFERROR(__xludf.DUMMYFUNCTION("GOOGLETRANSLATE(A12452 , ""tr"" , ""en"")"),"@drfahrettinkoca Minister Sendi in Germany now I don't want to be the vaccine genocide to the vaccine genocide.")</f>
        <v>@drfahrettinkoca Minister Sendi in Germany now I don't want to be the vaccine genocide to the vaccine genocide.</v>
      </c>
    </row>
    <row r="15654" spans="1:5" ht="15" customHeight="1" x14ac:dyDescent="0.2">
      <c r="A15654" s="1" t="s">
        <v>30864</v>
      </c>
      <c r="B15654" s="1">
        <v>0</v>
      </c>
      <c r="C15654" s="3">
        <v>44522.903923611113</v>
      </c>
      <c r="D15654" s="1" t="s">
        <v>30865</v>
      </c>
      <c r="E15654" s="1" t="str">
        <f ca="1">IFERROR(__xludf.DUMMYFUNCTION("GOOGLETRANSLATE(A12453 , ""tr"" , ""en"")"),"See @drfahrettinka tell fahrettin Bey Main current media 5.11 Age experimental liquid pumping")</f>
        <v>See @drfahrettinka tell fahrettin Bey Main current media 5.11 Age experimental liquid pumping</v>
      </c>
    </row>
    <row r="15655" spans="1:5" ht="15" customHeight="1" x14ac:dyDescent="0.2">
      <c r="A15655" s="1" t="s">
        <v>30866</v>
      </c>
      <c r="B15655" s="1">
        <v>3</v>
      </c>
      <c r="C15655" s="3">
        <v>44522.903020833335</v>
      </c>
      <c r="D15655" s="1" t="s">
        <v>30867</v>
      </c>
      <c r="E15655" s="1" t="str">
        <f ca="1">IFERROR(__xludf.DUMMYFUNCTION("GOOGLETRANSLATE(A12454 , ""tr"" , ""en"")"),"@drfahrettinkoca is thoroughly out of the groove Covidot DR sar is even faripavir if you're sorry I'm still nation 8 + 8 mouse ... https://t.co/m2ow5owxxg")</f>
        <v>@drfahrettinkoca is thoroughly out of the groove Covidot DR sar is even faripavir if you're sorry I'm still nation 8 + 8 mouse ... https://t.co/m2ow5owxxg</v>
      </c>
    </row>
    <row r="15656" spans="1:5" ht="15" customHeight="1" x14ac:dyDescent="0.2">
      <c r="A15656" s="1" t="s">
        <v>30868</v>
      </c>
      <c r="B15656" s="1">
        <v>0</v>
      </c>
      <c r="C15656" s="3">
        <v>44522.902685185189</v>
      </c>
      <c r="D15656" s="1" t="s">
        <v>30869</v>
      </c>
      <c r="E15656" s="1" t="str">
        <f ca="1">IFERROR(__xludf.DUMMYFUNCTION("GOOGLETRANSLATE(A12455 , ""tr"" , ""en"")"),"@drfahrettinka We are tired of turquoise tables for 20 months. Color change no longer.")</f>
        <v>@drfahrettinka We are tired of turquoise tables for 20 months. Color change no longer.</v>
      </c>
    </row>
    <row r="15657" spans="1:5" ht="15" customHeight="1" x14ac:dyDescent="0.2">
      <c r="A15657" s="1" t="s">
        <v>30870</v>
      </c>
      <c r="B15657" s="1">
        <v>0</v>
      </c>
      <c r="C15657" s="3">
        <v>44522.899710648147</v>
      </c>
      <c r="D15657" s="1" t="s">
        <v>30871</v>
      </c>
      <c r="E15657" s="1" t="str">
        <f ca="1">IFERROR(__xludf.DUMMYFUNCTION("GOOGLETRANSLATE(A12456 , ""tr"" , ""en"")"),"@drfahrettinka has something to say about the favirs you are in the favirs you're favirs a day a day. Stay lasting in humans ... https://t.co/fpan491g3l")</f>
        <v>@drfahrettinka has something to say about the favirs you are in the favirs you're favirs a day a day. Stay lasting in humans ... https://t.co/fpan491g3l</v>
      </c>
    </row>
    <row r="15658" spans="1:5" ht="15" customHeight="1" x14ac:dyDescent="0.2">
      <c r="A15658" s="1" t="s">
        <v>30872</v>
      </c>
      <c r="B15658" s="1">
        <v>0</v>
      </c>
      <c r="C15658" s="3">
        <v>44522.898310185185</v>
      </c>
      <c r="D15658" s="1" t="s">
        <v>30873</v>
      </c>
      <c r="E15658" s="1" t="str">
        <f ca="1">IFERROR(__xludf.DUMMYFUNCTION("GOOGLETRANSLATE(A12457 , ""tr"" , ""en"")"),"@drfahrettinkoca BOOKLY BOOKLY BOOK BOOKE YOUR NAME IS BEEN MORE DOOPLY OR THE MOST MORE MORE SHIPPING SHIP")</f>
        <v>@drfahrettinkoca BOOKLY BOOKLY BOOK BOOKE YOUR NAME IS BEEN MORE DOOPLY OR THE MOST MORE MORE SHIPPING SHIP</v>
      </c>
    </row>
    <row r="15659" spans="1:5" ht="15" customHeight="1" x14ac:dyDescent="0.2">
      <c r="A15659" s="1" t="s">
        <v>30874</v>
      </c>
      <c r="B15659" s="1">
        <v>1</v>
      </c>
      <c r="C15659" s="3">
        <v>44522.895624999997</v>
      </c>
      <c r="D15659" s="1" t="s">
        <v>30875</v>
      </c>
      <c r="E15659" s="1" t="str">
        <f ca="1">IFERROR(__xludf.DUMMYFUNCTION("GOOGLETRANSLATE(A12458 , ""tr"" , ""en"")"),"@drfahrettinkoca ???? 🤡 https://t.co/n8joppmicg")</f>
        <v>@drfahrettinkoca ???? 🤡 https://t.co/n8joppmicg</v>
      </c>
    </row>
    <row r="15660" spans="1:5" ht="15" customHeight="1" x14ac:dyDescent="0.2">
      <c r="A15660" s="1" t="s">
        <v>30876</v>
      </c>
      <c r="B15660" s="1">
        <v>0</v>
      </c>
      <c r="C15660" s="3">
        <v>44522.894282407404</v>
      </c>
      <c r="D15660" s="1" t="s">
        <v>30877</v>
      </c>
      <c r="E15660" s="1" t="str">
        <f ca="1">IFERROR(__xludf.DUMMYFUNCTION("GOOGLETRANSLATE(A12459 , ""tr"" , ""en"")"),"@drfahrettinkoca is not to be asi I'm not going to be Dukeli Sukur Korona I'm called Sukli Korona Wave with this Nationalities ... https://t.co/f86yfecu4o")</f>
        <v>@drfahrettinkoca is not to be asi I'm not going to be Dukeli Sukur Korona I'm called Sukli Korona Wave with this Nationalities ... https://t.co/f86yfecu4o</v>
      </c>
    </row>
    <row r="15661" spans="1:5" ht="15" customHeight="1" x14ac:dyDescent="0.2">
      <c r="A15661" s="1" t="s">
        <v>30878</v>
      </c>
      <c r="B15661" s="1">
        <v>1</v>
      </c>
      <c r="C15661" s="3">
        <v>44522.891296296293</v>
      </c>
      <c r="D15661" s="1" t="s">
        <v>30879</v>
      </c>
      <c r="E15661" s="1" t="str">
        <f ca="1">IFERROR(__xludf.DUMMYFUNCTION("GOOGLETRANSLATE(A12460 , ""tr"" , ""en"")"),"@drfahrettinkoca favipiraviri I have swallowed in vain? Do what this guy says, do the opposite .. If you want to live https://t.co/qghf7yy6w8")</f>
        <v>@drfahrettinkoca favipiraviri I have swallowed in vain? Do what this guy says, do the opposite .. If you want to live https://t.co/qghf7yy6w8</v>
      </c>
    </row>
    <row r="15662" spans="1:5" ht="15" customHeight="1" x14ac:dyDescent="0.2">
      <c r="A15662" s="1" t="s">
        <v>30880</v>
      </c>
      <c r="B15662" s="1">
        <v>0</v>
      </c>
      <c r="C15662" s="3">
        <v>44522.890150462961</v>
      </c>
      <c r="D15662" s="1" t="s">
        <v>30881</v>
      </c>
      <c r="E15662" s="1" t="str">
        <f ca="1">IFERROR(__xludf.DUMMYFUNCTION("GOOGLETRANSLATE(A12461 , ""tr"" , ""en"")"),"@drfahrettinkoca so far if you had been found on the top of the cancer I found the day I found the day you find the day you find the liar facing")</f>
        <v>@drfahrettinkoca so far if you had been found on the top of the cancer I found the day I found the day you find the day you find the liar facing</v>
      </c>
    </row>
    <row r="15663" spans="1:5" ht="15" customHeight="1" x14ac:dyDescent="0.2">
      <c r="A15663" s="1" t="s">
        <v>30882</v>
      </c>
      <c r="B15663" s="1">
        <v>0</v>
      </c>
      <c r="C15663" s="3">
        <v>44522.887812499997</v>
      </c>
      <c r="D15663" s="1" t="s">
        <v>30883</v>
      </c>
      <c r="E15663" s="1" t="str">
        <f ca="1">IFERROR(__xludf.DUMMYFUNCTION("GOOGLETRANSLATE(A12462 , ""tr"" , ""en"")"),"@drfahrettinka vaccination work looks clogged.")</f>
        <v>@drfahrettinka vaccination work looks clogged.</v>
      </c>
    </row>
    <row r="15664" spans="1:5" ht="15" customHeight="1" x14ac:dyDescent="0.2">
      <c r="A15664" s="1" t="s">
        <v>30884</v>
      </c>
      <c r="B15664" s="1">
        <v>0</v>
      </c>
      <c r="C15664" s="3">
        <v>44522.88422453704</v>
      </c>
      <c r="D15664" s="1" t="s">
        <v>30885</v>
      </c>
      <c r="E15664" s="1" t="str">
        <f ca="1">IFERROR(__xludf.DUMMYFUNCTION("GOOGLETRANSLATE(A12463 , ""tr"" , ""en"")"),"@drfahrettinkoca allah will give your trouble")</f>
        <v>@drfahrettinkoca allah will give your trouble</v>
      </c>
    </row>
    <row r="15665" spans="1:5" ht="15" customHeight="1" x14ac:dyDescent="0.2">
      <c r="A15665" s="1" t="s">
        <v>30886</v>
      </c>
      <c r="B15665" s="1">
        <v>0</v>
      </c>
      <c r="C15665" s="3">
        <v>44522.884039351855</v>
      </c>
      <c r="D15665" s="1" t="s">
        <v>30887</v>
      </c>
      <c r="E15665" s="1" t="str">
        <f ca="1">IFERROR(__xludf.DUMMYFUNCTION("GOOGLETRANSLATE(A12464 , ""tr"" , ""en"")"),"@drfahrettinka Vaccine Minister Again talked again. 119 million vaccines have no grams progress. Even death rates at least 2 ... https://t.co/n7ng9uoedl")</f>
        <v>@drfahrettinka Vaccine Minister Again talked again. 119 million vaccines have no grams progress. Even death rates at least 2 ... https://t.co/n7ng9uoedl</v>
      </c>
    </row>
    <row r="15666" spans="1:5" ht="15" customHeight="1" x14ac:dyDescent="0.2">
      <c r="A15666" s="1" t="s">
        <v>30888</v>
      </c>
      <c r="B15666" s="1">
        <v>0</v>
      </c>
      <c r="C15666" s="3">
        <v>44522.883993055555</v>
      </c>
      <c r="D15666" s="1" t="s">
        <v>30889</v>
      </c>
      <c r="E15666" s="1" t="str">
        <f ca="1">IFERROR(__xludf.DUMMYFUNCTION("GOOGLETRANSLATE(A12465 , ""tr"" , ""en"")"),"@drfahrettinkoca how many overlooked came to this came this seat lighter the palace in the hospitals of the palace in hospitals that are more comfortable")</f>
        <v>@drfahrettinkoca how many overlooked came to this came this seat lighter the palace in the hospitals of the palace in hospitals that are more comfortable</v>
      </c>
    </row>
    <row r="15667" spans="1:5" ht="15" customHeight="1" x14ac:dyDescent="0.2">
      <c r="A15667" s="1" t="s">
        <v>30890</v>
      </c>
      <c r="B15667" s="1">
        <v>1</v>
      </c>
      <c r="C15667" s="3">
        <v>44522.882905092592</v>
      </c>
      <c r="D15667" s="1" t="s">
        <v>30891</v>
      </c>
      <c r="E15667" s="1" t="str">
        <f ca="1">IFERROR(__xludf.DUMMYFUNCTION("GOOGLETRANSLATE(A12466 , ""tr"" , ""en"")"),"@drfahrettinkoca disease spreads because of those who do not take measures 3 weeks ago to us at school Maa ... https://t.co/QI1vyjsekg")</f>
        <v>@drfahrettinkoca disease spreads because of those who do not take measures 3 weeks ago to us at school Maa ... https://t.co/QI1vyjsekg</v>
      </c>
    </row>
    <row r="15668" spans="1:5" ht="15" customHeight="1" x14ac:dyDescent="0.2">
      <c r="A15668" s="1" t="s">
        <v>30892</v>
      </c>
      <c r="B15668" s="1">
        <v>5</v>
      </c>
      <c r="C15668" s="3">
        <v>44522.880439814813</v>
      </c>
      <c r="D15668" s="1" t="s">
        <v>30893</v>
      </c>
      <c r="E15668" s="1" t="str">
        <f ca="1">IFERROR(__xludf.DUMMYFUNCTION("GOOGLETRANSLATE(A12467 , ""tr"" , ""en"")"),"@drfahrettinkoca When we look at the comments at the bottom of the lower schools You are almost okay that the treasures of the treasures are ... https://t.co/nk1bjfvlmh")</f>
        <v>@drfahrettinkoca When we look at the comments at the bottom of the lower schools You are almost okay that the treasures of the treasures are ... https://t.co/nk1bjfvlmh</v>
      </c>
    </row>
    <row r="15669" spans="1:5" ht="15" customHeight="1" x14ac:dyDescent="0.2">
      <c r="A15669" s="1" t="s">
        <v>30894</v>
      </c>
      <c r="B15669" s="1">
        <v>0</v>
      </c>
      <c r="C15669" s="3">
        <v>44522.879571759258</v>
      </c>
      <c r="D15669" s="1" t="s">
        <v>30895</v>
      </c>
      <c r="E15669" s="1" t="str">
        <f ca="1">IFERROR(__xludf.DUMMYFUNCTION("GOOGLETRANSLATE(A12468 , ""tr"" , ""en"")"),"@drfahrettinkoca We will be a champion in 40 years AMAN HA Mr.")</f>
        <v>@drfahrettinkoca We will be a champion in 40 years AMAN HA Mr.</v>
      </c>
    </row>
    <row r="15670" spans="1:5" ht="15" customHeight="1" x14ac:dyDescent="0.2">
      <c r="A15670" s="1" t="s">
        <v>30896</v>
      </c>
      <c r="B15670" s="1">
        <v>1</v>
      </c>
      <c r="C15670" s="3">
        <v>44522.878807870373</v>
      </c>
      <c r="D15670" s="1" t="s">
        <v>30897</v>
      </c>
      <c r="E15670" s="1" t="str">
        <f ca="1">IFERROR(__xludf.DUMMYFUNCTION("GOOGLETRANSLATE(A12469 , ""tr"" , ""en"")"),"@drfahrettinkoca Schools and Unversities About Birseys")</f>
        <v>@drfahrettinkoca Schools and Unversities About Birseys</v>
      </c>
    </row>
    <row r="15671" spans="1:5" ht="15" customHeight="1" x14ac:dyDescent="0.2">
      <c r="A15671" s="1" t="s">
        <v>30898</v>
      </c>
      <c r="B15671" s="1">
        <v>0</v>
      </c>
      <c r="C15671" s="3">
        <v>44522.877893518518</v>
      </c>
      <c r="D15671" s="1" t="s">
        <v>30899</v>
      </c>
      <c r="E15671" s="1" t="str">
        <f ca="1">IFERROR(__xludf.DUMMYFUNCTION("GOOGLETRANSLATE(A12470 , ""tr"" , ""en"")"),"@drfahrettinkoca You have only introduced ineffective and useless without talking to the result of drugs you are using ... https://t.co/5fjfkhubwt")</f>
        <v>@drfahrettinkoca You have only introduced ineffective and useless without talking to the result of drugs you are using ... https://t.co/5fjfkhubwt</v>
      </c>
    </row>
    <row r="15672" spans="1:5" ht="15" customHeight="1" x14ac:dyDescent="0.2">
      <c r="A15672" s="1" t="s">
        <v>30900</v>
      </c>
      <c r="B15672" s="1">
        <v>0</v>
      </c>
      <c r="C15672" s="3">
        <v>44522.877696759257</v>
      </c>
      <c r="D15672" s="1" t="s">
        <v>30901</v>
      </c>
      <c r="E15672" s="1" t="str">
        <f ca="1">IFERROR(__xludf.DUMMYFUNCTION("GOOGLETRANSLATE(A12471 , ""tr"" , ""en"")"),"@drfahrettinkoca nation as you get plug in the vaccine you will attract you at @rterdogan's plug and we will calculate with you in the nitcher 😱")</f>
        <v>@drfahrettinkoca nation as you get plug in the vaccine you will attract you at @rterdogan's plug and we will calculate with you in the nitcher 😱</v>
      </c>
    </row>
    <row r="15673" spans="1:5" ht="15" customHeight="1" x14ac:dyDescent="0.2">
      <c r="A15673" s="1" t="s">
        <v>30902</v>
      </c>
      <c r="B15673" s="1">
        <v>0</v>
      </c>
      <c r="C15673" s="3">
        <v>44522.876956018517</v>
      </c>
      <c r="D15673" s="1" t="s">
        <v>30903</v>
      </c>
      <c r="E15673" s="1" t="str">
        <f ca="1">IFERROR(__xludf.DUMMYFUNCTION("GOOGLETRANSLATE(A12472 , ""tr"" , ""en"")"),"@drfahrettinkoca has plans to kill billions of people with fake fluids 3-5 years we will lose people in")</f>
        <v>@drfahrettinkoca has plans to kill billions of people with fake fluids 3-5 years we will lose people in</v>
      </c>
    </row>
    <row r="15674" spans="1:5" ht="15" customHeight="1" x14ac:dyDescent="0.2">
      <c r="A15674" s="1" t="s">
        <v>30904</v>
      </c>
      <c r="B15674" s="1">
        <v>27</v>
      </c>
      <c r="C15674" s="3">
        <v>44522.872303240743</v>
      </c>
      <c r="D15674" s="1" t="s">
        <v>30905</v>
      </c>
      <c r="E15674" s="1" t="str">
        <f ca="1">IFERROR(__xludf.DUMMYFUNCTION("GOOGLETRANSLATE(A12473 , ""tr"" , ""en"")"),"@drfahrettinkoca Who can think of my child's education better than me? What is this of the workspace? Acknowledgment you're an i ... https://t.co/xbdf4agqyd")</f>
        <v>@drfahrettinkoca Who can think of my child's education better than me? What is this of the workspace? Acknowledgment you're an i ... https://t.co/xbdf4agqyd</v>
      </c>
    </row>
    <row r="15675" spans="1:5" ht="15" customHeight="1" x14ac:dyDescent="0.2">
      <c r="A15675" s="1" t="s">
        <v>30906</v>
      </c>
      <c r="B15675" s="1">
        <v>1</v>
      </c>
      <c r="C15675" s="3">
        <v>44522.871539351851</v>
      </c>
      <c r="D15675" s="1" t="s">
        <v>30907</v>
      </c>
      <c r="E15675" s="1" t="str">
        <f ca="1">IFERROR(__xludf.DUMMYFUNCTION("GOOGLETRANSLATE(A12474 , ""tr"" , ""en"")"),"@drfahrettinka vaccine increases as increasing in the case is interesting really interesting. OK you can keep the vaccine positive ... https://t.co/zxunmv7dx1")</f>
        <v>@drfahrettinka vaccine increases as increasing in the case is interesting really interesting. OK you can keep the vaccine positive ... https://t.co/zxunmv7dx1</v>
      </c>
    </row>
    <row r="15676" spans="1:5" ht="15" customHeight="1" x14ac:dyDescent="0.2">
      <c r="A15676" s="1" t="s">
        <v>30908</v>
      </c>
      <c r="B15676" s="1">
        <v>1</v>
      </c>
      <c r="C15676" s="3">
        <v>44522.870497685188</v>
      </c>
      <c r="D15676" s="1" t="s">
        <v>30909</v>
      </c>
      <c r="E15676" s="1" t="str">
        <f ca="1">IFERROR(__xludf.DUMMYFUNCTION("GOOGLETRANSLATE(A12475 , ""tr"" , ""en"")"),"@drfahrettinkoca why do you even risk it even at risk Covid contacts for the AÖF Anodolu University examination Moon ... https://t.co/swgyvpnjuw")</f>
        <v>@drfahrettinkoca why do you even risk it even at risk Covid contacts for the AÖF Anodolu University examination Moon ... https://t.co/swgyvpnjuw</v>
      </c>
    </row>
    <row r="15677" spans="1:5" ht="15" customHeight="1" x14ac:dyDescent="0.2">
      <c r="A15677" s="1" t="s">
        <v>30910</v>
      </c>
      <c r="B15677" s="1">
        <v>13</v>
      </c>
      <c r="C15677" s="3">
        <v>44522.87027777778</v>
      </c>
      <c r="D15677" s="1" t="s">
        <v>30911</v>
      </c>
      <c r="E15677" s="1" t="str">
        <f ca="1">IFERROR(__xludf.DUMMYFUNCTION("GOOGLETRANSLATE(A12476 , ""tr"" , ""en"")"),"@drfahrettinkoca Mr. @drfahrettinka you say good beautiful vaccine but experts mention the distance next to vaccine s ... https://t.co/cc07qhdloy")</f>
        <v>@drfahrettinkoca Mr. @drfahrettinka you say good beautiful vaccine but experts mention the distance next to vaccine s ... https://t.co/cc07qhdloy</v>
      </c>
    </row>
    <row r="15678" spans="1:5" ht="15" customHeight="1" x14ac:dyDescent="0.2">
      <c r="A15678" s="1" t="s">
        <v>30912</v>
      </c>
      <c r="B15678" s="1">
        <v>0</v>
      </c>
      <c r="C15678" s="3">
        <v>44522.866828703707</v>
      </c>
      <c r="D15678" s="1" t="s">
        <v>30913</v>
      </c>
      <c r="E15678" s="1" t="str">
        <f ca="1">IFERROR(__xludf.DUMMYFUNCTION("GOOGLETRANSLATE(A12477 , ""tr"" , ""en"")"),"@drfahrettinkoca This virus has never undergoes 60 thousand kiosk of yesterdays, I guess the GS fb derby")</f>
        <v>@drfahrettinkoca This virus has never undergoes 60 thousand kiosk of yesterdays, I guess the GS fb derby</v>
      </c>
    </row>
    <row r="15679" spans="1:5" ht="15" customHeight="1" x14ac:dyDescent="0.2">
      <c r="A15679" s="1" t="s">
        <v>30914</v>
      </c>
      <c r="B15679" s="1">
        <v>4</v>
      </c>
      <c r="C15679" s="3">
        <v>44522.86681712963</v>
      </c>
      <c r="D15679" s="1" t="s">
        <v>30915</v>
      </c>
      <c r="E15679" s="1" t="str">
        <f ca="1">IFERROR(__xludf.DUMMYFUNCTION("GOOGLETRANSLATE(A12478 , ""tr"" , ""en"")"),"@drfahrettinkoca This map is turned to blue how many times. It is enough to turn and turn to the head is enough or fed up to the nation nation")</f>
        <v>@drfahrettinkoca This map is turned to blue how many times. It is enough to turn and turn to the head is enough or fed up to the nation nation</v>
      </c>
    </row>
    <row r="15680" spans="1:5" ht="15" customHeight="1" x14ac:dyDescent="0.2">
      <c r="A15680" s="1" t="s">
        <v>30916</v>
      </c>
      <c r="B15680" s="1">
        <v>1</v>
      </c>
      <c r="C15680" s="3">
        <v>44522.864224537036</v>
      </c>
      <c r="D15680" s="1" t="s">
        <v>30917</v>
      </c>
      <c r="E15680" s="1" t="str">
        <f ca="1">IFERROR(__xludf.DUMMYFUNCTION("GOOGLETRANSLATE(A12479 , ""tr"" , ""en"")"),"@drfahrettinka, let's be the vaccine where came to your mind or suddenly. You don't ever be robbing but at all")</f>
        <v>@drfahrettinka, let's be the vaccine where came to your mind or suddenly. You don't ever be robbing but at all</v>
      </c>
    </row>
    <row r="15681" spans="1:5" ht="15" customHeight="1" x14ac:dyDescent="0.2">
      <c r="A15681" s="1" t="s">
        <v>30918</v>
      </c>
      <c r="B15681" s="1">
        <v>0</v>
      </c>
      <c r="C15681" s="3">
        <v>44522.860937500001</v>
      </c>
      <c r="D15681" s="1" t="s">
        <v>30919</v>
      </c>
      <c r="E15681" s="1" t="str">
        <f ca="1">IFERROR(__xludf.DUMMYFUNCTION("GOOGLETRANSLATE(A12480 , ""tr"" , ""en"")"),"@drfahrettinkoca has no longer written nations even the comment of Tweets.")</f>
        <v>@drfahrettinkoca has no longer written nations even the comment of Tweets.</v>
      </c>
    </row>
    <row r="15682" spans="1:5" ht="15" customHeight="1" x14ac:dyDescent="0.2">
      <c r="A15682" s="1" t="s">
        <v>30920</v>
      </c>
      <c r="B15682" s="1">
        <v>1</v>
      </c>
      <c r="C15682" s="3">
        <v>44522.860729166663</v>
      </c>
      <c r="D15682" s="1" t="s">
        <v>30921</v>
      </c>
      <c r="E15682" s="1" t="str">
        <f ca="1">IFERROR(__xludf.DUMMYFUNCTION("GOOGLETRANSLATE(A12481 , ""tr"" , ""en"")"),"@drfahrettinkoca is a more accurate approach to publish the old color map instead of the number of cases instead of this map ... https://t.co/h8aepfst")</f>
        <v>@drfahrettinkoca is a more accurate approach to publish the old color map instead of the number of cases instead of this map ... https://t.co/h8aepfst</v>
      </c>
    </row>
    <row r="15683" spans="1:5" ht="15" customHeight="1" x14ac:dyDescent="0.2">
      <c r="A15683" s="1" t="s">
        <v>30922</v>
      </c>
      <c r="B15683" s="1">
        <v>0</v>
      </c>
      <c r="C15683" s="3">
        <v>44522.858946759261</v>
      </c>
      <c r="D15683" s="1" t="s">
        <v>30923</v>
      </c>
      <c r="E15683" s="1" t="str">
        <f ca="1">IFERROR(__xludf.DUMMYFUNCTION("GOOGLETRANSLATE(A12482 , ""tr"" , ""en"")"),"@drfahrettinkoca I'm not going to be.")</f>
        <v>@drfahrettinkoca I'm not going to be.</v>
      </c>
    </row>
    <row r="15684" spans="1:5" ht="15" customHeight="1" x14ac:dyDescent="0.2">
      <c r="A15684" s="1" t="s">
        <v>30924</v>
      </c>
      <c r="B15684" s="1">
        <v>2</v>
      </c>
      <c r="C15684" s="3">
        <v>44522.857673611114</v>
      </c>
      <c r="D15684" s="1" t="s">
        <v>30925</v>
      </c>
      <c r="E15684" s="1" t="str">
        <f ca="1">IFERROR(__xludf.DUMMYFUNCTION("GOOGLETRANSLATE(A12483 , ""tr"" , ""en"")"),"@drfahrettinkoca @drfahrettinkoca 👇👇👇👇 https://t.co/pdde5Iuo9v")</f>
        <v>@drfahrettinkoca @drfahrettinkoca 👇👇👇👇 https://t.co/pdde5Iuo9v</v>
      </c>
    </row>
    <row r="15685" spans="1:5" ht="15" customHeight="1" x14ac:dyDescent="0.2">
      <c r="A15685" s="1" t="s">
        <v>30926</v>
      </c>
      <c r="B15685" s="1">
        <v>1</v>
      </c>
      <c r="C15685" s="3">
        <v>44522.857673611114</v>
      </c>
      <c r="D15685" s="1" t="s">
        <v>30927</v>
      </c>
      <c r="E15685" s="1" t="str">
        <f ca="1">IFERROR(__xludf.DUMMYFUNCTION("GOOGLETRANSLATE(A12484 , ""tr"" , ""en"")"),"@drfahrettinkoca I wonder if this is an obsession? A lot of things in the world are going on your world just installed on that")</f>
        <v>@drfahrettinkoca I wonder if this is an obsession? A lot of things in the world are going on your world just installed on that</v>
      </c>
    </row>
    <row r="15686" spans="1:5" ht="15" customHeight="1" x14ac:dyDescent="0.2">
      <c r="A15686" s="1" t="s">
        <v>30928</v>
      </c>
      <c r="B15686" s="1">
        <v>4</v>
      </c>
      <c r="C15686" s="3">
        <v>44522.855555555558</v>
      </c>
      <c r="D15686" s="1" t="s">
        <v>30929</v>
      </c>
      <c r="E15686" s="1" t="str">
        <f ca="1">IFERROR(__xludf.DUMMYFUNCTION("GOOGLETRANSLATE(A12485 , ""tr"" , ""en"")"),"@drfahrettinkoca yoooooo We are not living in 20 months, 17 months we have kept ourselves in a nice way, only 3 months myself ... https://t.co/acrqqyqhr1")</f>
        <v>@drfahrettinkoca yoooooo We are not living in 20 months, 17 months we have kept ourselves in a nice way, only 3 months myself ... https://t.co/acrqqyqhr1</v>
      </c>
    </row>
    <row r="15687" spans="1:5" ht="15" customHeight="1" x14ac:dyDescent="0.2">
      <c r="A15687" s="1" t="s">
        <v>30930</v>
      </c>
      <c r="B15687" s="1">
        <v>11</v>
      </c>
      <c r="C15687" s="3">
        <v>44522.855196759258</v>
      </c>
      <c r="D15687" s="1" t="s">
        <v>30931</v>
      </c>
      <c r="E15687" s="1" t="str">
        <f ca="1">IFERROR(__xludf.DUMMYFUNCTION("GOOGLETRANSLATE(A12486 , ""tr"" , ""en"")"),"@drfahrettinkoca Could you show me a single person who has deceased with autopsy report? NO! Then ... https://t.co/gzibfgbsv9")</f>
        <v>@drfahrettinkoca Could you show me a single person who has deceased with autopsy report? NO! Then ... https://t.co/gzibfgbsv9</v>
      </c>
    </row>
    <row r="15688" spans="1:5" ht="15" customHeight="1" x14ac:dyDescent="0.2">
      <c r="A15688" s="1" t="s">
        <v>30932</v>
      </c>
      <c r="B15688" s="1">
        <v>0</v>
      </c>
      <c r="C15688" s="3">
        <v>44522.854375000003</v>
      </c>
      <c r="D15688" s="1" t="s">
        <v>30933</v>
      </c>
      <c r="E15688" s="1" t="str">
        <f ca="1">IFERROR(__xludf.DUMMYFUNCTION("GOOGLETRANSLATE(A12487 , ""tr"" , ""en"")"),"@drfahrettinkoca Every Allah is the day of the day who did this epidemic who do this epidemic don't see your trouble for the day he pray ... https://t.co/bdocxxrcgx")</f>
        <v>@drfahrettinkoca Every Allah is the day of the day who did this epidemic who do this epidemic don't see your trouble for the day he pray ... https://t.co/bdocxxrcgx</v>
      </c>
    </row>
    <row r="15689" spans="1:5" ht="15" customHeight="1" x14ac:dyDescent="0.2">
      <c r="A15689" s="1" t="s">
        <v>30934</v>
      </c>
      <c r="B15689" s="1">
        <v>0</v>
      </c>
      <c r="C15689" s="3">
        <v>44522.852870370371</v>
      </c>
      <c r="D15689" s="1" t="s">
        <v>30935</v>
      </c>
      <c r="E15689" s="1" t="str">
        <f ca="1">IFERROR(__xludf.DUMMYFUNCTION("GOOGLETRANSLATE(A12488 , ""tr"" , ""en"")"),"@drfahrettinkoca took the hospital to the hospital intubance and then try the useless medications over people ... HTTPS://T.CO/IN903XVQL2")</f>
        <v>@drfahrettinkoca took the hospital to the hospital intubance and then try the useless medications over people ... HTTPS://T.CO/IN903XVQL2</v>
      </c>
    </row>
    <row r="15690" spans="1:5" ht="15" customHeight="1" x14ac:dyDescent="0.2">
      <c r="A15690" s="1" t="s">
        <v>30936</v>
      </c>
      <c r="B15690" s="1">
        <v>18</v>
      </c>
      <c r="C15690" s="3">
        <v>44522.851504629631</v>
      </c>
      <c r="D15690" s="1" t="s">
        <v>30937</v>
      </c>
      <c r="E15690" s="1" t="str">
        <f ca="1">IFERROR(__xludf.DUMMYFUNCTION("GOOGLETRANSLATE(A12489 , ""tr"" , ""en"")"),"@drfahrettinkoca h a n g i t e d b i r # guardiansendelionline")</f>
        <v>@drfahrettinkoca h a n g i t e d b i r # guardiansendelionline</v>
      </c>
    </row>
    <row r="15691" spans="1:5" ht="15" customHeight="1" x14ac:dyDescent="0.2">
      <c r="A15691" s="1" t="s">
        <v>30938</v>
      </c>
      <c r="B15691" s="1">
        <v>3</v>
      </c>
      <c r="C15691" s="3">
        <v>44522.849745370368</v>
      </c>
      <c r="D15691" s="1" t="s">
        <v>30939</v>
      </c>
      <c r="E15691" s="1" t="str">
        <f ca="1">IFERROR(__xludf.DUMMYFUNCTION("GOOGLETRANSLATE(A12490 , ""tr"" , ""en"")"),"@drfahrettinkoca 1 year after 2 years after 3 years after 4 years after 4 years after ... post-less because he has deciphered that power is now small ... https://t.co/0qrczwvltg")</f>
        <v>@drfahrettinkoca 1 year after 2 years after 3 years after 4 years after 4 years after ... post-less because he has deciphered that power is now small ... https://t.co/0qrczwvltg</v>
      </c>
    </row>
    <row r="15692" spans="1:5" ht="15" customHeight="1" x14ac:dyDescent="0.2">
      <c r="A15692" s="1" t="s">
        <v>30940</v>
      </c>
      <c r="B15692" s="1">
        <v>0</v>
      </c>
      <c r="C15692" s="3">
        <v>44522.847870370373</v>
      </c>
      <c r="D15692" s="1" t="s">
        <v>30941</v>
      </c>
      <c r="E15692" s="1" t="str">
        <f ca="1">IFERROR(__xludf.DUMMYFUNCTION("GOOGLETRANSLATE(A12491 , ""tr"" , ""en"")"),"@drfahrettinkoca Mr. Minister Minister to the Saglıgı to the end of the 1st time to the end of the end to the remote education please.")</f>
        <v>@drfahrettinkoca Mr. Minister Minister to the Saglıgı to the end of the 1st time to the end of the end to the remote education please.</v>
      </c>
    </row>
    <row r="15693" spans="1:5" ht="15" customHeight="1" x14ac:dyDescent="0.2">
      <c r="A15693" s="1" t="s">
        <v>30942</v>
      </c>
      <c r="B15693" s="1">
        <v>0</v>
      </c>
      <c r="C15693" s="3">
        <v>44522.846805555557</v>
      </c>
      <c r="D15693" s="1" t="s">
        <v>30943</v>
      </c>
      <c r="E15693" s="1" t="str">
        <f ca="1">IFERROR(__xludf.DUMMYFUNCTION("GOOGLETRANSLATE(A12492 , ""tr"" , ""en"")"),"@drfahrettinkoca man answered a question.")</f>
        <v>@drfahrettinkoca man answered a question.</v>
      </c>
    </row>
    <row r="15694" spans="1:5" ht="15" customHeight="1" x14ac:dyDescent="0.2">
      <c r="A15694" s="1" t="s">
        <v>30944</v>
      </c>
      <c r="B15694" s="1">
        <v>0</v>
      </c>
      <c r="C15694" s="3">
        <v>44522.846539351849</v>
      </c>
      <c r="D15694" s="1" t="s">
        <v>30945</v>
      </c>
      <c r="E15694" s="1" t="str">
        <f ca="1">IFERROR(__xludf.DUMMYFUNCTION("GOOGLETRANSLATE(A12493 , ""tr"" , ""en"")"),"@drfahrettinka exactly the effects of we see straight ahead. Multiplied 4 deaths.")</f>
        <v>@drfahrettinka exactly the effects of we see straight ahead. Multiplied 4 deaths.</v>
      </c>
    </row>
    <row r="15695" spans="1:5" ht="15" customHeight="1" x14ac:dyDescent="0.2">
      <c r="A15695" s="1" t="s">
        <v>30946</v>
      </c>
      <c r="B15695" s="1">
        <v>0</v>
      </c>
      <c r="C15695" s="3">
        <v>44522.845243055555</v>
      </c>
      <c r="D15695" s="1" t="s">
        <v>30947</v>
      </c>
      <c r="E15695" s="1" t="str">
        <f ca="1">IFERROR(__xludf.DUMMYFUNCTION("GOOGLETRANSLATE(A12494 , ""tr"" , ""en"")"),"@drfahrettinkoca assignment! Assignment! Assignment!")</f>
        <v>@drfahrettinkoca assignment! Assignment! Assignment!</v>
      </c>
    </row>
    <row r="15696" spans="1:5" ht="15" customHeight="1" x14ac:dyDescent="0.2">
      <c r="A15696" s="1" t="s">
        <v>30948</v>
      </c>
      <c r="B15696" s="1">
        <v>0</v>
      </c>
      <c r="C15696" s="3">
        <v>44522.845011574071</v>
      </c>
      <c r="D15696" s="1" t="s">
        <v>30949</v>
      </c>
      <c r="E15696" s="1" t="str">
        <f ca="1">IFERROR(__xludf.DUMMYFUNCTION("GOOGLETRANSLATE(A12495 , ""tr"" , ""en"")"),"@drfahrettinkoca where words, descriptions. We have been waiting for 1 year")</f>
        <v>@drfahrettinkoca where words, descriptions. We have been waiting for 1 year</v>
      </c>
    </row>
    <row r="15697" spans="1:5" ht="15" customHeight="1" x14ac:dyDescent="0.2">
      <c r="A15697" s="1" t="s">
        <v>13402</v>
      </c>
      <c r="B15697" s="1">
        <v>0</v>
      </c>
      <c r="C15697" s="3">
        <v>44522.844733796293</v>
      </c>
      <c r="D15697" s="1" t="s">
        <v>30950</v>
      </c>
      <c r="E15697" s="1" t="str">
        <f ca="1">IFERROR(__xludf.DUMMYFUNCTION("GOOGLETRANSLATE(A12496 , ""tr"" , ""en"")"),"@drfahrettinkoca We want guide")</f>
        <v>@drfahrettinkoca We want guide</v>
      </c>
    </row>
    <row r="15698" spans="1:5" ht="15" customHeight="1" x14ac:dyDescent="0.2">
      <c r="A15698" s="1" t="s">
        <v>30951</v>
      </c>
      <c r="B15698" s="1">
        <v>0</v>
      </c>
      <c r="C15698" s="3">
        <v>44522.844386574077</v>
      </c>
      <c r="D15698" s="1" t="s">
        <v>30952</v>
      </c>
      <c r="E15698" s="1" t="str">
        <f ca="1">IFERROR(__xludf.DUMMYFUNCTION("GOOGLETRANSLATE(A12497 , ""tr"" , ""en"")"),"@drfahrettinkoca KPSS We live in 1 year as a health graduates that do not make health appointments. Bra ... https://t.co/kjcvwm8qg2")</f>
        <v>@drfahrettinkoca KPSS We live in 1 year as a health graduates that do not make health appointments. Bra ... https://t.co/kjcvwm8qg2</v>
      </c>
    </row>
    <row r="15699" spans="1:5" ht="15" customHeight="1" x14ac:dyDescent="0.2">
      <c r="A15699" s="1" t="s">
        <v>30953</v>
      </c>
      <c r="B15699" s="1">
        <v>0</v>
      </c>
      <c r="C15699" s="3">
        <v>44522.843993055554</v>
      </c>
      <c r="D15699" s="1" t="s">
        <v>30954</v>
      </c>
      <c r="E15699" s="1" t="str">
        <f ca="1">IFERROR(__xludf.DUMMYFUNCTION("GOOGLETRANSLATE(A12498 , ""tr"" , ""en"")"),"@drfahrettinkoca I felt the need to ask again, is this an order Mr @drfahrettinkoca")</f>
        <v>@drfahrettinkoca I felt the need to ask again, is this an order Mr @drfahrettinkoca</v>
      </c>
    </row>
    <row r="15700" spans="1:5" ht="15" customHeight="1" x14ac:dyDescent="0.2">
      <c r="A15700" s="1" t="s">
        <v>30955</v>
      </c>
      <c r="B15700" s="1">
        <v>0</v>
      </c>
      <c r="C15700" s="3">
        <v>44522.843854166669</v>
      </c>
      <c r="D15700" s="1" t="s">
        <v>30956</v>
      </c>
      <c r="E15700" s="1" t="str">
        <f ca="1">IFERROR(__xludf.DUMMYFUNCTION("GOOGLETRANSLATE(A12499 , ""tr"" , ""en"")"),"@drfahrettinkoca oaht Turkey m voe all European world breaks in Turkey as if the epidemic has nothing finished ... https://t.co/y8pmmsjkmb")</f>
        <v>@drfahrettinkoca oaht Turkey m voe all European world breaks in Turkey as if the epidemic has nothing finished ... https://t.co/y8pmmsjkmb</v>
      </c>
    </row>
    <row r="15701" spans="1:5" ht="15" customHeight="1" x14ac:dyDescent="0.2">
      <c r="A15701" s="1" t="s">
        <v>30957</v>
      </c>
      <c r="B15701" s="1">
        <v>0</v>
      </c>
      <c r="C15701" s="3">
        <v>44522.843194444446</v>
      </c>
      <c r="D15701" s="1" t="s">
        <v>30958</v>
      </c>
      <c r="E15701" s="1" t="str">
        <f ca="1">IFERROR(__xludf.DUMMYFUNCTION("GOOGLETRANSLATE(A12500 , ""tr"" , ""en"")"),"@drfahrettinka get an emergency measure less than the age of 12 please!")</f>
        <v>@drfahrettinka get an emergency measure less than the age of 12 please!</v>
      </c>
    </row>
    <row r="15702" spans="1:5" ht="15" customHeight="1" x14ac:dyDescent="0.2">
      <c r="A15702" s="1" t="s">
        <v>30959</v>
      </c>
      <c r="B15702" s="1">
        <v>0</v>
      </c>
      <c r="C15702" s="3">
        <v>44522.841840277775</v>
      </c>
      <c r="D15702" s="1" t="s">
        <v>30960</v>
      </c>
      <c r="E15702" s="1" t="str">
        <f ca="1">IFERROR(__xludf.DUMMYFUNCTION("GOOGLETRANSLATE(A12501 , ""tr"" , ""en"")"),"@drfahrettinka new generation family 🙂 https://t.co/fc0ks0ne09")</f>
        <v>@drfahrettinka new generation family 🙂 https://t.co/fc0ks0ne09</v>
      </c>
    </row>
    <row r="15703" spans="1:5" ht="15" customHeight="1" x14ac:dyDescent="0.2">
      <c r="A15703" s="1" t="s">
        <v>30961</v>
      </c>
      <c r="B15703" s="1">
        <v>0</v>
      </c>
      <c r="C15703" s="3">
        <v>44522.84107638889</v>
      </c>
      <c r="D15703" s="1" t="s">
        <v>30962</v>
      </c>
      <c r="E15703" s="1" t="str">
        <f ca="1">IFERROR(__xludf.DUMMYFUNCTION("GOOGLETRANSLATE(A12502 , ""tr"" , ""en"")"),"@drfahrettinkoca Mr. Minister This weekend exam has the test positive and themed to the future public transport ... https://t.co/ef5sdl5cab")</f>
        <v>@drfahrettinkoca Mr. Minister This weekend exam has the test positive and themed to the future public transport ... https://t.co/ef5sdl5cab</v>
      </c>
    </row>
    <row r="15704" spans="1:5" ht="15" customHeight="1" x14ac:dyDescent="0.2">
      <c r="A15704" s="1" t="s">
        <v>30963</v>
      </c>
      <c r="B15704" s="1">
        <v>4</v>
      </c>
      <c r="C15704" s="3">
        <v>44522.839791666665</v>
      </c>
      <c r="D15704" s="1" t="s">
        <v>30964</v>
      </c>
      <c r="E15704" s="1" t="str">
        <f ca="1">IFERROR(__xludf.DUMMYFUNCTION("GOOGLETRANSLATE(A12503 , ""tr"" , ""en"")"),"@drfahrettinkoca UK Official government data proves that full grapes are on the road to disaster and Covid-19 (AD ... https://t.co/ak2evflrk1")</f>
        <v>@drfahrettinkoca UK Official government data proves that full grapes are on the road to disaster and Covid-19 (AD ... https://t.co/ak2evflrk1</v>
      </c>
    </row>
    <row r="15705" spans="1:5" ht="15" customHeight="1" x14ac:dyDescent="0.2">
      <c r="A15705" s="1" t="s">
        <v>30965</v>
      </c>
      <c r="B15705" s="1">
        <v>0</v>
      </c>
      <c r="C15705" s="3">
        <v>44522.837893518517</v>
      </c>
      <c r="D15705" s="1" t="s">
        <v>30966</v>
      </c>
      <c r="E15705" s="1" t="str">
        <f ca="1">IFERROR(__xludf.DUMMYFUNCTION("GOOGLETRANSLATE(A12504 , ""tr"" , ""en"")"),"@drfahrettinka https://t.co/poxoynicf1")</f>
        <v>@drfahrettinka https://t.co/poxoynicf1</v>
      </c>
    </row>
    <row r="15706" spans="1:5" ht="15" customHeight="1" x14ac:dyDescent="0.2">
      <c r="A15706" s="1" t="s">
        <v>30967</v>
      </c>
      <c r="B15706" s="1">
        <v>0</v>
      </c>
      <c r="C15706" s="3">
        <v>44522.836377314816</v>
      </c>
      <c r="D15706" s="1" t="s">
        <v>30968</v>
      </c>
      <c r="E15706" s="1" t="str">
        <f ca="1">IFERROR(__xludf.DUMMYFUNCTION("GOOGLETRANSLATE(A12505 , ""tr"" , ""en"")"),"@drfahrettinkoca I don't believe in the Lies of the Health Minister. https://t.co/mudjenbjmb")</f>
        <v>@drfahrettinkoca I don't believe in the Lies of the Health Minister. https://t.co/mudjenbjmb</v>
      </c>
    </row>
    <row r="15707" spans="1:5" ht="15" customHeight="1" x14ac:dyDescent="0.2">
      <c r="A15707" s="1" t="s">
        <v>30969</v>
      </c>
      <c r="B15707" s="1">
        <v>2</v>
      </c>
      <c r="C15707" s="3">
        <v>44522.835844907408</v>
      </c>
      <c r="D15707" s="1" t="s">
        <v>30970</v>
      </c>
      <c r="E15707" s="1" t="str">
        <f ca="1">IFERROR(__xludf.DUMMYFUNCTION("GOOGLETRANSLATE(A12506 , ""tr"" , ""en"")"),"@drfahrettinkoca Mr. Minister, why, why to strengthen my life as much as this vaccine to strengthen natural immunity at a time ... https://t.co/yguvzewfif")</f>
        <v>@drfahrettinkoca Mr. Minister, why, why to strengthen my life as much as this vaccine to strengthen natural immunity at a time ... https://t.co/yguvzewfif</v>
      </c>
    </row>
    <row r="15708" spans="1:5" ht="15" customHeight="1" x14ac:dyDescent="0.2">
      <c r="A15708" s="1" t="s">
        <v>30971</v>
      </c>
      <c r="B15708" s="1">
        <v>1</v>
      </c>
      <c r="C15708" s="3">
        <v>44522.835034722222</v>
      </c>
      <c r="D15708" s="1" t="s">
        <v>30972</v>
      </c>
      <c r="E15708" s="1" t="str">
        <f ca="1">IFERROR(__xludf.DUMMYFUNCTION("GOOGLETRANSLATE(A12507 , ""tr"" , ""en"")"),"@drfahrettinkoca Kadir Believe How to wonder how?")</f>
        <v>@drfahrettinkoca Kadir Believe How to wonder how?</v>
      </c>
    </row>
    <row r="15709" spans="1:5" ht="15" customHeight="1" x14ac:dyDescent="0.2">
      <c r="A15709" s="1" t="s">
        <v>30973</v>
      </c>
      <c r="B15709" s="1">
        <v>16</v>
      </c>
      <c r="C15709" s="3">
        <v>44522.834004629629</v>
      </c>
      <c r="D15709" s="1" t="s">
        <v>30974</v>
      </c>
      <c r="E15709" s="1" t="str">
        <f ca="1">IFERROR(__xludf.DUMMYFUNCTION("GOOGLETRANSLATE(A12508 , ""tr"" , ""en"")"),"@drfahrettinkoca people used as subjects The crime you have committed Buddha is the proof of the crime you process https://t.co/5n3d9jpopy")</f>
        <v>@drfahrettinkoca people used as subjects The crime you have committed Buddha is the proof of the crime you process https://t.co/5n3d9jpopy</v>
      </c>
    </row>
    <row r="15710" spans="1:5" ht="15" customHeight="1" x14ac:dyDescent="0.2">
      <c r="A15710" s="1" t="s">
        <v>30975</v>
      </c>
      <c r="B15710" s="1">
        <v>0</v>
      </c>
      <c r="C15710" s="3">
        <v>44522.832743055558</v>
      </c>
      <c r="D15710" s="1" t="s">
        <v>30976</v>
      </c>
      <c r="E15710" s="1" t="str">
        <f ca="1">IFERROR(__xludf.DUMMYFUNCTION("GOOGLETRANSLATE(A12509 , ""tr"" , ""en"")"),"@drfahrettinkocaR Minister How Vaccination Daddy 3 Dose was Casual and COK HAVE HAVE HAVE IT WILL CLOSS WITH I DIE ... https://t.co/s6defxxh9l")</f>
        <v>@drfahrettinkocaR Minister How Vaccination Daddy 3 Dose was Casual and COK HAVE HAVE HAVE IT WILL CLOSS WITH I DIE ... https://t.co/s6defxxh9l</v>
      </c>
    </row>
    <row r="15711" spans="1:5" ht="15" customHeight="1" x14ac:dyDescent="0.2">
      <c r="A15711" s="1" t="s">
        <v>30977</v>
      </c>
      <c r="B15711" s="1">
        <v>0</v>
      </c>
      <c r="C15711" s="3">
        <v>44523.909432870372</v>
      </c>
      <c r="D15711" s="1" t="s">
        <v>30978</v>
      </c>
      <c r="E15711" s="1" t="str">
        <f ca="1">IFERROR(__xludf.DUMMYFUNCTION("GOOGLETRANSLATE(A12510 , ""tr"" , ""en"")"),"@drfahrettinkoca Devil What is the opposite of the lesson")</f>
        <v>@drfahrettinkoca Devil What is the opposite of the lesson</v>
      </c>
    </row>
    <row r="15712" spans="1:5" ht="15" customHeight="1" x14ac:dyDescent="0.2">
      <c r="A15712" s="1" t="s">
        <v>30979</v>
      </c>
      <c r="B15712" s="1">
        <v>1</v>
      </c>
      <c r="C15712" s="3">
        <v>44522.956631944442</v>
      </c>
      <c r="D15712" s="1" t="s">
        <v>30980</v>
      </c>
      <c r="E15712" s="1" t="str">
        <f ca="1">IFERROR(__xludf.DUMMYFUNCTION("GOOGLETRANSLATE(A12511 , ""tr"" , ""en"")"),"@drfahrettinkoca What is unscreptinking you are not paid 17 months of medicine to get the receivables in the face of foreign currency and effete ... https://t.co/rrnısncIML")</f>
        <v>@drfahrettinkoca What is unscreptinking you are not paid 17 months of medicine to get the receivables in the face of foreign currency and effete ... https://t.co/rrnısncIML</v>
      </c>
    </row>
    <row r="15713" spans="1:5" ht="15" customHeight="1" x14ac:dyDescent="0.2">
      <c r="A15713" s="1" t="s">
        <v>30981</v>
      </c>
      <c r="B15713" s="1">
        <v>0</v>
      </c>
      <c r="C15713" s="3">
        <v>44522.919594907406</v>
      </c>
      <c r="D15713" s="1" t="s">
        <v>30982</v>
      </c>
      <c r="E15713" s="1" t="str">
        <f ca="1">IFERROR(__xludf.DUMMYFUNCTION("GOOGLETRANSLATE(A12512 , ""tr"" , ""en"")"),"@drfahrettinkoca @saglikbakanligi Secured people, water suffering from children and agony in the agenda, see the families in https://t.co/d0zmwr91g6")</f>
        <v>@drfahrettinkoca @saglikbakanligi Secured people, water suffering from children and agony in the agenda, see the families in https://t.co/d0zmwr91g6</v>
      </c>
    </row>
    <row r="15714" spans="1:5" ht="15" customHeight="1" x14ac:dyDescent="0.2">
      <c r="A15714" s="1" t="s">
        <v>30983</v>
      </c>
      <c r="B15714" s="1">
        <v>0</v>
      </c>
      <c r="C15714" s="3">
        <v>44522.917696759258</v>
      </c>
      <c r="D15714" s="1" t="s">
        <v>30984</v>
      </c>
      <c r="E15714" s="1" t="str">
        <f ca="1">IFERROR(__xludf.DUMMYFUNCTION("GOOGLETRANSLATE(A12513 , ""tr"" , ""en"")"),"@drfahrettinka secured people, water suffering from children and aggravations in the agony how to see families ... https://t.co/eetccaastq")</f>
        <v>@drfahrettinka secured people, water suffering from children and aggravations in the agony how to see families ... https://t.co/eetccaastq</v>
      </c>
    </row>
    <row r="15715" spans="1:5" ht="15" customHeight="1" x14ac:dyDescent="0.2">
      <c r="A15715" s="1" t="s">
        <v>30985</v>
      </c>
      <c r="B15715" s="1">
        <v>0</v>
      </c>
      <c r="C15715" s="3">
        <v>44522.916886574072</v>
      </c>
      <c r="D15715" s="1" t="s">
        <v>30986</v>
      </c>
      <c r="E15715" s="1" t="str">
        <f ca="1">IFERROR(__xludf.DUMMYFUNCTION("GOOGLETRANSLATE(A12514 , ""tr"" , ""en"")"),"@drfahrettinka Mr. Minister I am a 52-year-old Turkish citizen ask you as a profession and a health minister ... https://t.co/uuj1rxfpqg")</f>
        <v>@drfahrettinka Mr. Minister I am a 52-year-old Turkish citizen ask you as a profession and a health minister ... https://t.co/uuj1rxfpqg</v>
      </c>
    </row>
    <row r="15716" spans="1:5" ht="15" customHeight="1" x14ac:dyDescent="0.2">
      <c r="A15716" s="1" t="s">
        <v>30987</v>
      </c>
      <c r="B15716" s="1">
        <v>0</v>
      </c>
      <c r="C15716" s="3">
        <v>44522.901631944442</v>
      </c>
      <c r="D15716" s="1" t="s">
        <v>30988</v>
      </c>
      <c r="E15716" s="1" t="str">
        <f ca="1">IFERROR(__xludf.DUMMYFUNCTION("GOOGLETRANSLATE(A12515 , ""tr"" , ""en"")"),"@drfahrettinkoca Mr. Ministry I guess I respectfully express a nuisance, I guess it is deliberate and conscious. ... https://t.co/0ddgycm7ty")</f>
        <v>@drfahrettinkoca Mr. Ministry I guess I respectfully express a nuisance, I guess it is deliberate and conscious. ... https://t.co/0ddgycm7ty</v>
      </c>
    </row>
    <row r="15717" spans="1:5" ht="15" customHeight="1" x14ac:dyDescent="0.2">
      <c r="A15717" s="1" t="s">
        <v>30989</v>
      </c>
      <c r="B15717" s="1">
        <v>0</v>
      </c>
      <c r="C15717" s="3">
        <v>44522.897581018522</v>
      </c>
      <c r="D15717" s="1" t="s">
        <v>30990</v>
      </c>
      <c r="E15717" s="1" t="str">
        <f ca="1">IFERROR(__xludf.DUMMYFUNCTION("GOOGLETRANSLATE(A12516 , ""tr"" , ""en"")"),"@drfahrettinkoca @saglikbakanligi I'm waiting for Türkovak vaccine How more I will wait for the volunteer ... https://t.co/buxkasysxb")</f>
        <v>@drfahrettinkoca @saglikbakanligi I'm waiting for Türkovak vaccine How more I will wait for the volunteer ... https://t.co/buxkasysxb</v>
      </c>
    </row>
    <row r="15718" spans="1:5" ht="15" customHeight="1" x14ac:dyDescent="0.2">
      <c r="A15718" s="1" t="s">
        <v>30991</v>
      </c>
      <c r="B15718" s="1">
        <v>0</v>
      </c>
      <c r="C15718" s="3">
        <v>44522.897233796299</v>
      </c>
      <c r="D15718" s="1" t="s">
        <v>30992</v>
      </c>
      <c r="E15718" s="1" t="str">
        <f ca="1">IFERROR(__xludf.DUMMYFUNCTION("GOOGLETRANSLATE(A12517 , ""tr"" , ""en"")"),"@drfahrettinkca I go in and stare once in a while, nothing changing is a liquid in liquid..Sayfana also don't need to look at")</f>
        <v>@drfahrettinkca I go in and stare once in a while, nothing changing is a liquid in liquid..Sayfana also don't need to look at</v>
      </c>
    </row>
    <row r="15719" spans="1:5" ht="15" customHeight="1" x14ac:dyDescent="0.2">
      <c r="A15719" s="1" t="s">
        <v>30993</v>
      </c>
      <c r="B15719" s="1">
        <v>0</v>
      </c>
      <c r="C15719" s="3">
        <v>44522.871319444443</v>
      </c>
      <c r="D15719" s="1" t="s">
        <v>30994</v>
      </c>
      <c r="E15719" s="1" t="str">
        <f ca="1">IFERROR(__xludf.DUMMYFUNCTION("GOOGLETRANSLATE(A12518 , ""tr"" , ""en"")"),"@drfahrettinkoca examine the numbers of cases and a $ i have not as you say the fluid you say that the liquid you say is ... https://t.co/rcctzdex8c")</f>
        <v>@drfahrettinkoca examine the numbers of cases and a $ i have not as you say the fluid you say that the liquid you say is ... https://t.co/rcctzdex8c</v>
      </c>
    </row>
    <row r="15720" spans="1:5" ht="15" customHeight="1" x14ac:dyDescent="0.2">
      <c r="A15720" s="1" t="s">
        <v>30995</v>
      </c>
      <c r="B15720" s="1">
        <v>0</v>
      </c>
      <c r="C15720" s="3">
        <v>44522.839953703704</v>
      </c>
      <c r="D15720" s="1" t="s">
        <v>30996</v>
      </c>
      <c r="E15720" s="1" t="str">
        <f ca="1">IFERROR(__xludf.DUMMYFUNCTION("GOOGLETRANSLATE(A12519 , ""tr"" , ""en"")"),"@drfahrettinkoca Mr. Minister You are 20 years I guess social immunity with this strategy and loose reckless policy ... https://t.co/hepfe0ex9w")</f>
        <v>@drfahrettinkoca Mr. Minister You are 20 years I guess social immunity with this strategy and loose reckless policy ... https://t.co/hepfe0ex9w</v>
      </c>
    </row>
    <row r="15721" spans="1:5" ht="15" customHeight="1" x14ac:dyDescent="0.2">
      <c r="A15721" s="1" t="s">
        <v>30997</v>
      </c>
      <c r="B15721" s="1">
        <v>0</v>
      </c>
      <c r="C15721" s="3">
        <v>44521.997175925928</v>
      </c>
      <c r="D15721" s="1" t="s">
        <v>30998</v>
      </c>
      <c r="E15721" s="1" t="str">
        <f ca="1">IFERROR(__xludf.DUMMYFUNCTION("GOOGLETRANSLATE(A12520 , ""tr"" , ""en"")"),"@drfahrettinkoca is wrong if you have the second dose of correct if you do 100% even how many months have passed since the first vaccination is ... https://t.co/ehnfn2by89")</f>
        <v>@drfahrettinkoca is wrong if you have the second dose of correct if you do 100% even how many months have passed since the first vaccination is ... https://t.co/ehnfn2by89</v>
      </c>
    </row>
    <row r="15722" spans="1:5" ht="15" customHeight="1" x14ac:dyDescent="0.2">
      <c r="A15722" s="1" t="s">
        <v>30999</v>
      </c>
      <c r="B15722" s="1">
        <v>0</v>
      </c>
      <c r="C15722" s="3">
        <v>44521.995833333334</v>
      </c>
      <c r="D15722" s="1" t="s">
        <v>31000</v>
      </c>
      <c r="E15722" s="1" t="str">
        <f ca="1">IFERROR(__xludf.DUMMYFUNCTION("GOOGLETRANSLATE(A12521 , ""tr"" , ""en"")"),"@drfahrettinkoca Mr. Minister Favorituravir medicine FOS output is how to give this account in the vaccination")</f>
        <v>@drfahrettinkoca Mr. Minister Favorituravir medicine FOS output is how to give this account in the vaccination</v>
      </c>
    </row>
    <row r="15723" spans="1:5" ht="15" customHeight="1" x14ac:dyDescent="0.2">
      <c r="A15723" s="1" t="s">
        <v>31001</v>
      </c>
      <c r="B15723" s="1">
        <v>0</v>
      </c>
      <c r="C15723" s="3">
        <v>44521.990740740737</v>
      </c>
      <c r="D15723" s="1" t="s">
        <v>31002</v>
      </c>
      <c r="E15723" s="1" t="str">
        <f ca="1">IFERROR(__xludf.DUMMYFUNCTION("GOOGLETRANSLATE(A12522 , ""tr"" , ""en"")"),"@drfahrettinkoca first dose has achieved success in a short time !! DON'T !!! His schools, works, things to go ... https://t.co/lturkhl8od")</f>
        <v>@drfahrettinkoca first dose has achieved success in a short time !! DON'T !!! His schools, works, things to go ... https://t.co/lturkhl8od</v>
      </c>
    </row>
    <row r="15724" spans="1:5" ht="15" customHeight="1" x14ac:dyDescent="0.2">
      <c r="A15724" s="1" t="s">
        <v>31003</v>
      </c>
      <c r="B15724" s="1">
        <v>0</v>
      </c>
      <c r="C15724" s="3">
        <v>44521.986284722225</v>
      </c>
      <c r="D15724" s="1" t="s">
        <v>31004</v>
      </c>
      <c r="E15724" s="1" t="str">
        <f ca="1">IFERROR(__xludf.DUMMYFUNCTION("GOOGLETRANSLATE(A12523 , ""tr"" , ""en"")"),"@drfahrettinkoca is a comprehension or aidy of my friend who is interested in my continued writing but is a comprehension or aidy ... https://t.co/f3IwblumXB")</f>
        <v>@drfahrettinkoca is a comprehension or aidy of my friend who is interested in my continued writing but is a comprehension or aidy ... https://t.co/f3IwblumXB</v>
      </c>
    </row>
    <row r="15725" spans="1:5" ht="15" customHeight="1" x14ac:dyDescent="0.2">
      <c r="A15725" s="1" t="s">
        <v>31005</v>
      </c>
      <c r="B15725" s="1">
        <v>6</v>
      </c>
      <c r="C15725" s="3">
        <v>44521.983460648145</v>
      </c>
      <c r="D15725" s="1" t="s">
        <v>31006</v>
      </c>
      <c r="E15725" s="1" t="str">
        <f ca="1">IFERROR(__xludf.DUMMYFUNCTION("GOOGLETRANSLATE(A12524 , ""tr"" , ""en"")"),"@drfahrettinkoca hi friends i hope you join the train on the train in twitter # guardiansendelionlineleli 👈👈👈 Hash ... https://t.co/uqbitfxosr")</f>
        <v>@drfahrettinkoca hi friends i hope you join the train on the train in twitter # guardiansendelionlineleli 👈👈👈 Hash ... https://t.co/uqbitfxosr</v>
      </c>
    </row>
    <row r="15726" spans="1:5" ht="15" customHeight="1" x14ac:dyDescent="0.2">
      <c r="A15726" s="1" t="s">
        <v>31007</v>
      </c>
      <c r="B15726" s="1">
        <v>0</v>
      </c>
      <c r="C15726" s="3">
        <v>44521.979884259257</v>
      </c>
      <c r="D15726" s="1" t="s">
        <v>31008</v>
      </c>
      <c r="E15726" s="1" t="str">
        <f ca="1">IFERROR(__xludf.DUMMYFUNCTION("GOOGLETRANSLATE(A12525 , ""tr"" , ""en"")"),"@drfahrettinkoca nobody is eagerly eager, you are fooling yourself, a lot of people died in your number ... https://t.co/ajzx974kcw")</f>
        <v>@drfahrettinkoca nobody is eagerly eager, you are fooling yourself, a lot of people died in your number ... https://t.co/ajzx974kcw</v>
      </c>
    </row>
    <row r="15727" spans="1:5" ht="15" customHeight="1" x14ac:dyDescent="0.2">
      <c r="A15727" s="1" t="s">
        <v>31009</v>
      </c>
      <c r="B15727" s="1">
        <v>0</v>
      </c>
      <c r="C15727" s="3">
        <v>44521.97451388889</v>
      </c>
      <c r="D15727" s="1" t="s">
        <v>31010</v>
      </c>
      <c r="E15727" s="1" t="str">
        <f ca="1">IFERROR(__xludf.DUMMYFUNCTION("GOOGLETRANSLATE(A12526 , ""tr"" , ""en"")"),"@drfahrettinkoca You don't have your bed.")</f>
        <v>@drfahrettinkoca You don't have your bed.</v>
      </c>
    </row>
    <row r="15728" spans="1:5" ht="15" customHeight="1" x14ac:dyDescent="0.2">
      <c r="A15728" s="1" t="s">
        <v>31011</v>
      </c>
      <c r="B15728" s="1">
        <v>0</v>
      </c>
      <c r="C15728" s="3">
        <v>44521.971087962964</v>
      </c>
      <c r="D15728" s="1" t="s">
        <v>31012</v>
      </c>
      <c r="E15728" s="1" t="str">
        <f ca="1">IFERROR(__xludf.DUMMYFUNCTION("GOOGLETRANSLATE(A12527 , ""tr"" , ""en"")"),"@drfahrettinkoca is still immune why I'm in the scientific statement help https://t.co/7mzgrsrlex")</f>
        <v>@drfahrettinkoca is still immune why I'm in the scientific statement help https://t.co/7mzgrsrlex</v>
      </c>
    </row>
    <row r="15729" spans="1:5" ht="15" customHeight="1" x14ac:dyDescent="0.2">
      <c r="A15729" s="1" t="s">
        <v>31013</v>
      </c>
      <c r="B15729" s="1">
        <v>1</v>
      </c>
      <c r="C15729" s="3">
        <v>44521.967847222222</v>
      </c>
      <c r="D15729" s="1" t="s">
        <v>31014</v>
      </c>
      <c r="E15729" s="1" t="str">
        <f ca="1">IFERROR(__xludf.DUMMYFUNCTION("GOOGLETRANSLATE(A12528 , ""tr"" , ""en"")"),"@drfahrettinka has dozens of vaccine on the following page, are all of them lying? Why remain silent to them❓ https://t.co/ktbp6n1uuj")</f>
        <v>@drfahrettinka has dozens of vaccine on the following page, are all of them lying? Why remain silent to them❓ https://t.co/ktbp6n1uuj</v>
      </c>
    </row>
    <row r="15730" spans="1:5" ht="15" customHeight="1" x14ac:dyDescent="0.2">
      <c r="A15730" s="1" t="s">
        <v>31015</v>
      </c>
      <c r="B15730" s="1">
        <v>0</v>
      </c>
      <c r="C15730" s="3">
        <v>44521.965821759259</v>
      </c>
      <c r="D15730" s="1" t="s">
        <v>31016</v>
      </c>
      <c r="E15730" s="1" t="str">
        <f ca="1">IFERROR(__xludf.DUMMYFUNCTION("GOOGLETRANSLATE(A12529 , ""tr"" , ""en"")"),"@drfahrettinka vaccine vaccine to call your house in your home there is a problem")</f>
        <v>@drfahrettinka vaccine vaccine to call your house in your home there is a problem</v>
      </c>
    </row>
    <row r="15731" spans="1:5" ht="15" customHeight="1" x14ac:dyDescent="0.2">
      <c r="A15731" s="1" t="s">
        <v>31017</v>
      </c>
      <c r="B15731" s="1">
        <v>0</v>
      </c>
      <c r="C15731" s="3">
        <v>44521.962268518517</v>
      </c>
      <c r="D15731" s="1" t="s">
        <v>31018</v>
      </c>
      <c r="E15731" s="1" t="str">
        <f ca="1">IFERROR(__xludf.DUMMYFUNCTION("GOOGLETRANSLATE(A12530 , ""tr"" , ""en"")"),"@drfahrettinka so why no immune is still")</f>
        <v>@drfahrettinka so why no immune is still</v>
      </c>
    </row>
    <row r="15732" spans="1:5" ht="15" customHeight="1" x14ac:dyDescent="0.2">
      <c r="A15732" s="1" t="s">
        <v>31019</v>
      </c>
      <c r="B15732" s="1">
        <v>0</v>
      </c>
      <c r="C15732" s="3">
        <v>44521.958877314813</v>
      </c>
      <c r="D15732" s="1" t="s">
        <v>31020</v>
      </c>
      <c r="E15732" s="1" t="str">
        <f ca="1">IFERROR(__xludf.DUMMYFUNCTION("GOOGLETRANSLATE(A12531 , ""tr"" , ""en"")"),"@drfahrettinka https://t.co/zuoa05mdql")</f>
        <v>@drfahrettinka https://t.co/zuoa05mdql</v>
      </c>
    </row>
    <row r="15733" spans="1:5" ht="15" customHeight="1" x14ac:dyDescent="0.2">
      <c r="A15733" s="1" t="s">
        <v>31021</v>
      </c>
      <c r="B15733" s="1">
        <v>0</v>
      </c>
      <c r="C15733" s="3">
        <v>44521.957754629628</v>
      </c>
      <c r="D15733" s="1" t="s">
        <v>31022</v>
      </c>
      <c r="E15733" s="1" t="str">
        <f ca="1">IFERROR(__xludf.DUMMYFUNCTION("GOOGLETRANSLATE(A12532 , ""tr"" , ""en"")"),"@drfahrettinka https://t.co/onqe5cvmeu")</f>
        <v>@drfahrettinka https://t.co/onqe5cvmeu</v>
      </c>
    </row>
    <row r="15734" spans="1:5" ht="15" customHeight="1" x14ac:dyDescent="0.2">
      <c r="A15734" s="1" t="s">
        <v>31023</v>
      </c>
      <c r="B15734" s="1">
        <v>0</v>
      </c>
      <c r="C15734" s="3">
        <v>44521.955196759256</v>
      </c>
      <c r="D15734" s="1" t="s">
        <v>31024</v>
      </c>
      <c r="E15734" s="1" t="str">
        <f ca="1">IFERROR(__xludf.DUMMYFUNCTION("GOOGLETRANSLATE(A12533 , ""tr"" , ""en"")"),"@drfahrettinkoca Durunnnnnnnnnnnnnnnnnnnnnnnnnnn")</f>
        <v>@drfahrettinkoca Durunnnnnnnnnnnnnnnnnnnnnnnnnnn</v>
      </c>
    </row>
    <row r="15735" spans="1:5" ht="15" customHeight="1" x14ac:dyDescent="0.2">
      <c r="A15735" s="1" t="s">
        <v>31025</v>
      </c>
      <c r="B15735" s="1">
        <v>4</v>
      </c>
      <c r="C15735" s="3">
        <v>44521.954432870371</v>
      </c>
      <c r="D15735" s="1" t="s">
        <v>31026</v>
      </c>
      <c r="E15735" s="1" t="str">
        <f ca="1">IFERROR(__xludf.DUMMYFUNCTION("GOOGLETRANSLATE(A12534 , ""tr"" , ""en"")"),"@drfahrettinka school no ventilation in schools! window open freezing flu we are getting new editing no masks hanger ... https://t.co/o8vol4ry4z")</f>
        <v>@drfahrettinka school no ventilation in schools! window open freezing flu we are getting new editing no masks hanger ... https://t.co/o8vol4ry4z</v>
      </c>
    </row>
    <row r="15736" spans="1:5" ht="15" customHeight="1" x14ac:dyDescent="0.2">
      <c r="A15736" s="1" t="s">
        <v>31027</v>
      </c>
      <c r="B15736" s="1">
        <v>2</v>
      </c>
      <c r="C15736" s="3">
        <v>44521.954351851855</v>
      </c>
      <c r="D15736" s="1" t="s">
        <v>31028</v>
      </c>
      <c r="E15736" s="1" t="str">
        <f ca="1">IFERROR(__xludf.DUMMYFUNCTION("GOOGLETRANSLATE(A12535 , ""tr"" , ""en"")"),"@drfahrettinkoca Ali Erbaş 15 Thousand Imam and 9 Thousand Qur'an Course Teacher says, so assignment says ... https://t.co/sx5slsdwcr")</f>
        <v>@drfahrettinkoca Ali Erbaş 15 Thousand Imam and 9 Thousand Qur'an Course Teacher says, so assignment says ... https://t.co/sx5slsdwcr</v>
      </c>
    </row>
    <row r="15737" spans="1:5" ht="15" customHeight="1" x14ac:dyDescent="0.2">
      <c r="A15737" s="1" t="s">
        <v>31029</v>
      </c>
      <c r="B15737" s="1">
        <v>0</v>
      </c>
      <c r="C15737" s="3">
        <v>44521.953946759262</v>
      </c>
      <c r="D15737" s="1" t="s">
        <v>31030</v>
      </c>
      <c r="E15737" s="1" t="str">
        <f ca="1">IFERROR(__xludf.DUMMYFUNCTION("GOOGLETRANSLATE(A12536 , ""tr"" , ""en"")"),"@drfahrettinkca release your religious leave this job")</f>
        <v>@drfahrettinkca release your religious leave this job</v>
      </c>
    </row>
    <row r="15738" spans="1:5" ht="15" customHeight="1" x14ac:dyDescent="0.2">
      <c r="A15738" s="1" t="s">
        <v>31031</v>
      </c>
      <c r="B15738" s="1">
        <v>0</v>
      </c>
      <c r="C15738" s="3">
        <v>44521.9530787037</v>
      </c>
      <c r="D15738" s="1" t="s">
        <v>31032</v>
      </c>
      <c r="E15738" s="1" t="str">
        <f ca="1">IFERROR(__xludf.DUMMYFUNCTION("GOOGLETRANSLATE(A12537 , ""tr"" , ""en"")"),"@drfahrettinkoca When do you cicek disease that gathering that? When will you kill us narrative ... https://t.co/olocemtso5")</f>
        <v>@drfahrettinkoca When do you cicek disease that gathering that? When will you kill us narrative ... https://t.co/olocemtso5</v>
      </c>
    </row>
    <row r="15739" spans="1:5" ht="15" customHeight="1" x14ac:dyDescent="0.2">
      <c r="A15739" s="1" t="s">
        <v>31033</v>
      </c>
      <c r="B15739" s="1">
        <v>0</v>
      </c>
      <c r="C15739" s="3">
        <v>44521.951956018522</v>
      </c>
      <c r="D15739" s="1" t="s">
        <v>31034</v>
      </c>
      <c r="E15739" s="1" t="str">
        <f ca="1">IFERROR(__xludf.DUMMYFUNCTION("GOOGLETRANSLATE(A12538 , ""tr"" , ""en"")"),"@drfahrettinkoca let me express it clear that no one can restrict me and my parents are not hit. Already SA ... https://t.co/y94h8a115q")</f>
        <v>@drfahrettinkoca let me express it clear that no one can restrict me and my parents are not hit. Already SA ... https://t.co/y94h8a115q</v>
      </c>
    </row>
    <row r="15740" spans="1:5" ht="15" customHeight="1" x14ac:dyDescent="0.2">
      <c r="A15740" s="1" t="s">
        <v>31035</v>
      </c>
      <c r="B15740" s="1">
        <v>1</v>
      </c>
      <c r="C15740" s="3">
        <v>44521.950092592589</v>
      </c>
      <c r="D15740" s="1" t="s">
        <v>31036</v>
      </c>
      <c r="E15740" s="1" t="str">
        <f ca="1">IFERROR(__xludf.DUMMYFUNCTION("GOOGLETRANSLATE(A12539 , ""tr"" , ""en"")"),"@drfahrettinkoca Mr. Ministry @drfahrettinkoca so we're so tired so we're so exhausted so. We waited for months of months. Ş ... https://t.co/pywv4s8l6c")</f>
        <v>@drfahrettinkoca Mr. Ministry @drfahrettinkoca so we're so tired so we're so exhausted so. We waited for months of months. Ş ... https://t.co/pywv4s8l6c</v>
      </c>
    </row>
    <row r="15741" spans="1:5" ht="15" customHeight="1" x14ac:dyDescent="0.2">
      <c r="A15741" s="1" t="s">
        <v>31037</v>
      </c>
      <c r="B15741" s="1">
        <v>0</v>
      </c>
      <c r="C15741" s="3">
        <v>44521.948784722219</v>
      </c>
      <c r="D15741" s="1" t="s">
        <v>31038</v>
      </c>
      <c r="E15741" s="1" t="str">
        <f ca="1">IFERROR(__xludf.DUMMYFUNCTION("GOOGLETRANSLATE(A12540 , ""tr"" , ""en"")"),"@drfahrettinkoca is not embarrassed by the lie that he said, and it doesn't find it to be able to tell him to believe it is human")</f>
        <v>@drfahrettinkoca is not embarrassed by the lie that he said, and it doesn't find it to be able to tell him to believe it is human</v>
      </c>
    </row>
    <row r="15742" spans="1:5" ht="15" customHeight="1" x14ac:dyDescent="0.2">
      <c r="A15742" s="1" t="s">
        <v>31039</v>
      </c>
      <c r="B15742" s="1">
        <v>1</v>
      </c>
      <c r="C15742" s="3">
        <v>44521.942337962966</v>
      </c>
      <c r="D15742" s="1" t="s">
        <v>31040</v>
      </c>
      <c r="E15742" s="1" t="str">
        <f ca="1">IFERROR(__xludf.DUMMYFUNCTION("GOOGLETRANSLATE(A12541 , ""tr"" , ""en"")"),"@drfahrettinkoca Ein Nicht Zugelassener Impfstoff Mit Tödlicher Nebenwirkung. Sie Mechten Eine Impfpflicht machen? ... https://t.co/ktwsa01ohp")</f>
        <v>@drfahrettinkoca Ein Nicht Zugelassener Impfstoff Mit Tödlicher Nebenwirkung. Sie Mechten Eine Impfpflicht machen? ... https://t.co/ktwsa01ohp</v>
      </c>
    </row>
    <row r="15743" spans="1:5" ht="15" customHeight="1" x14ac:dyDescent="0.2">
      <c r="A15743" s="1" t="s">
        <v>31041</v>
      </c>
      <c r="B15743" s="1">
        <v>1</v>
      </c>
      <c r="C15743" s="3">
        <v>44521.937141203707</v>
      </c>
      <c r="D15743" s="1" t="s">
        <v>31042</v>
      </c>
      <c r="E15743" s="1" t="str">
        <f ca="1">IFERROR(__xludf.DUMMYFUNCTION("GOOGLETRANSLATE(A12542 , ""tr"" , ""en"")"),"@drfahrettinkoca is the place of Germany but the situations are high in Germany.")</f>
        <v>@drfahrettinkoca is the place of Germany but the situations are high in Germany.</v>
      </c>
    </row>
    <row r="15744" spans="1:5" ht="15" customHeight="1" x14ac:dyDescent="0.2">
      <c r="A15744" s="1" t="s">
        <v>31043</v>
      </c>
      <c r="B15744" s="1">
        <v>0</v>
      </c>
      <c r="C15744" s="3">
        <v>44521.935358796298</v>
      </c>
      <c r="D15744" s="1" t="s">
        <v>31044</v>
      </c>
      <c r="E15744" s="1" t="str">
        <f ca="1">IFERROR(__xludf.DUMMYFUNCTION("GOOGLETRANSLATE(A12543 , ""tr"" , ""en"")"),"@drfahrettinkoca https://t.co/kcpkcsiij9 Yesterday four sides of the world against YDD slaves ... https://t.co/xovI3scc9u")</f>
        <v>@drfahrettinkoca https://t.co/kcpkcsiij9 Yesterday four sides of the world against YDD slaves ... https://t.co/xovI3scc9u</v>
      </c>
    </row>
    <row r="15745" spans="1:5" ht="15" customHeight="1" x14ac:dyDescent="0.2">
      <c r="A15745" s="1" t="s">
        <v>31045</v>
      </c>
      <c r="B15745" s="1">
        <v>15</v>
      </c>
      <c r="C15745" s="3">
        <v>44521.934687499997</v>
      </c>
      <c r="D15745" s="1" t="s">
        <v>31046</v>
      </c>
      <c r="E15745" s="1" t="str">
        <f ca="1">IFERROR(__xludf.DUMMYFUNCTION("GOOGLETRANSLATE(A12544 , ""tr"" , ""en"")"),"@drfahrettinkoca is determined to not make indefinite unlicensable things to myself. I'm not going to do it again if Hells are kits!")</f>
        <v>@drfahrettinkoca is determined to not make indefinite unlicensable things to myself. I'm not going to do it again if Hells are kits!</v>
      </c>
    </row>
    <row r="15746" spans="1:5" ht="15" customHeight="1" x14ac:dyDescent="0.2">
      <c r="A15746" s="1" t="s">
        <v>31047</v>
      </c>
      <c r="B15746" s="1">
        <v>0</v>
      </c>
      <c r="C15746" s="3">
        <v>44521.934560185182</v>
      </c>
      <c r="D15746" s="1" t="s">
        <v>31048</v>
      </c>
      <c r="E15746" s="1" t="str">
        <f ca="1">IFERROR(__xludf.DUMMYFUNCTION("GOOGLETRANSLATE(A12545 , ""tr"" , ""en"")"),"@drfahrettinkoca https://t.co/kcpkcsrthj Yesterday with Plantemi on the world and against YDD slavery of the world ... https://t.co/6kin0ykccer")</f>
        <v>@drfahrettinkoca https://t.co/kcpkcsrthj Yesterday with Plantemi on the world and against YDD slavery of the world ... https://t.co/6kin0ykccer</v>
      </c>
    </row>
    <row r="15747" spans="1:5" ht="15" customHeight="1" x14ac:dyDescent="0.2">
      <c r="A15747" s="1" t="s">
        <v>31049</v>
      </c>
      <c r="B15747" s="1">
        <v>0</v>
      </c>
      <c r="C15747" s="3">
        <v>44521.933518518519</v>
      </c>
      <c r="D15747" s="1" t="s">
        <v>31050</v>
      </c>
      <c r="E15747" s="1" t="str">
        <f ca="1">IFERROR(__xludf.DUMMYFUNCTION("GOOGLETRANSLATE(A12546 , ""tr"" , ""en"")"),"@drfahrettinkoca Either the Ministry of Health Minister Mother is the same environment if you have stopped the same medium if the test does not have tested, Nere ... https://t.co/xjovhz3ohk")</f>
        <v>@drfahrettinkoca Either the Ministry of Health Minister Mother is the same environment if you have stopped the same medium if the test does not have tested, Nere ... https://t.co/xjovhz3ohk</v>
      </c>
    </row>
    <row r="15748" spans="1:5" ht="15" customHeight="1" x14ac:dyDescent="0.2">
      <c r="A15748" s="1" t="s">
        <v>31051</v>
      </c>
      <c r="B15748" s="1">
        <v>0</v>
      </c>
      <c r="C15748" s="3">
        <v>44521.932974537034</v>
      </c>
      <c r="D15748" s="1" t="s">
        <v>31052</v>
      </c>
      <c r="E15748" s="1" t="str">
        <f ca="1">IFERROR(__xludf.DUMMYFUNCTION("GOOGLETRANSLATE(A12547 , ""tr"" , ""en"")"),"@drfahrettinkoca has an justice inahtiments to find the late punishment")</f>
        <v>@drfahrettinkoca has an justice inahtiments to find the late punishment</v>
      </c>
    </row>
    <row r="15749" spans="1:5" ht="15" customHeight="1" x14ac:dyDescent="0.2">
      <c r="A15749" s="1" t="s">
        <v>31053</v>
      </c>
      <c r="B15749" s="1">
        <v>0</v>
      </c>
      <c r="C15749" s="3">
        <v>44521.932928240742</v>
      </c>
      <c r="D15749" s="1" t="s">
        <v>31054</v>
      </c>
      <c r="E15749" s="1" t="str">
        <f ca="1">IFERROR(__xludf.DUMMYFUNCTION("GOOGLETRANSLATE(A12548 , ""tr"" , ""en"")"),"@drfahrettinkoca I wish you bother and answer in one. You write and run out.")</f>
        <v>@drfahrettinkoca I wish you bother and answer in one. You write and run out.</v>
      </c>
    </row>
    <row r="15750" spans="1:5" ht="15" customHeight="1" x14ac:dyDescent="0.2">
      <c r="A15750" s="1" t="s">
        <v>31055</v>
      </c>
      <c r="B15750" s="1">
        <v>2</v>
      </c>
      <c r="C15750" s="3">
        <v>44521.930335648147</v>
      </c>
      <c r="D15750" s="1" t="s">
        <v>31056</v>
      </c>
      <c r="E15750" s="1" t="str">
        <f ca="1">IFERROR(__xludf.DUMMYFUNCTION("GOOGLETRANSLATE(A12549 , ""tr"" , ""en"")"),"@drfahrettinkoca #the onlineEditude is a fan")</f>
        <v>@drfahrettinkoca #the onlineEditude is a fan</v>
      </c>
    </row>
    <row r="15751" spans="1:5" ht="15" customHeight="1" x14ac:dyDescent="0.2">
      <c r="A15751" s="1" t="s">
        <v>31057</v>
      </c>
      <c r="B15751" s="1">
        <v>0</v>
      </c>
      <c r="C15751" s="3">
        <v>44521.930127314816</v>
      </c>
      <c r="D15751" s="1" t="s">
        <v>31058</v>
      </c>
      <c r="E15751" s="1" t="str">
        <f ca="1">IFERROR(__xludf.DUMMYFUNCTION("GOOGLETRANSLATE(A12550 , ""tr"" , ""en"")"),"@drfahrettinkoca ""non-supply"" are not deleted from the map? You have even been down from the monkeys so it is thick")</f>
        <v>@drfahrettinkoca "non-supply" are not deleted from the map? You have even been down from the monkeys so it is thick</v>
      </c>
    </row>
    <row r="15752" spans="1:5" ht="15" customHeight="1" x14ac:dyDescent="0.2">
      <c r="A15752" s="1" t="s">
        <v>31059</v>
      </c>
      <c r="B15752" s="1">
        <v>4</v>
      </c>
      <c r="C15752" s="3">
        <v>44521.927314814813</v>
      </c>
      <c r="D15752" s="1" t="s">
        <v>31060</v>
      </c>
      <c r="E15752" s="1" t="str">
        <f ca="1">IFERROR(__xludf.DUMMYFUNCTION("GOOGLETRANSLATE(A12551 , ""tr"" , ""en"")"),"@drfahrettinkoca thinking continuously staring Bey Why do we have deaths? Why don't this shoot fall to your house? What is k ... https://t.co/ynb8s21DMI")</f>
        <v>@drfahrettinkoca thinking continuously staring Bey Why do we have deaths? Why don't this shoot fall to your house? What is k ... https://t.co/ynb8s21DMI</v>
      </c>
    </row>
    <row r="15753" spans="1:5" ht="15" customHeight="1" x14ac:dyDescent="0.2">
      <c r="A15753" s="1" t="s">
        <v>31061</v>
      </c>
      <c r="B15753" s="1">
        <v>0</v>
      </c>
      <c r="C15753" s="3">
        <v>44521.925775462965</v>
      </c>
      <c r="D15753" s="1" t="s">
        <v>31062</v>
      </c>
      <c r="E15753" s="1" t="str">
        <f ca="1">IFERROR(__xludf.DUMMYFUNCTION("GOOGLETRANSLATE(A12552 , ""tr"" , ""en"")"),"Why @drfahrettinkoca wants the rates of vaccination?")</f>
        <v>Why @drfahrettinkoca wants the rates of vaccination?</v>
      </c>
    </row>
    <row r="15754" spans="1:5" ht="15" customHeight="1" x14ac:dyDescent="0.2">
      <c r="A15754" s="1" t="s">
        <v>31063</v>
      </c>
      <c r="B15754" s="1">
        <v>0</v>
      </c>
      <c r="C15754" s="3">
        <v>44521.92359953704</v>
      </c>
      <c r="D15754" s="1" t="s">
        <v>31064</v>
      </c>
      <c r="E15754" s="1" t="str">
        <f ca="1">IFERROR(__xludf.DUMMYFUNCTION("GOOGLETRANSLATE(A12553 , ""tr"" , ""en"")"),"@drfahrettinkoca https://t.co/m4yjxdf6i Government A ... I ... S ... The scars will be jailed and in February 2022 ... I made ... HTTPS: // t.co/tn9rdzgskw")</f>
        <v>@drfahrettinkoca https://t.co/m4yjxdf6i Government A ... I ... S ... The scars will be jailed and in February 2022 ... I made ... HTTPS: // t.co/tn9rdzgskw</v>
      </c>
    </row>
    <row r="15755" spans="1:5" ht="15" customHeight="1" x14ac:dyDescent="0.2">
      <c r="A15755" s="1" t="s">
        <v>31065</v>
      </c>
      <c r="B15755" s="1">
        <v>0</v>
      </c>
      <c r="C15755" s="3">
        <v>44521.9221412037</v>
      </c>
      <c r="D15755" s="1" t="s">
        <v>31066</v>
      </c>
      <c r="E15755" s="1" t="str">
        <f ca="1">IFERROR(__xludf.DUMMYFUNCTION("GOOGLETRANSLATE(A12554 , ""tr"" , ""en"")"),"@drfahrettinkoca ohaaa fucker confessed to be 80% vaccine in Here is not working, keep immunity strong DIO. Just Death ... https://t.co/vdkq1zddeq")</f>
        <v>@drfahrettinkoca ohaaa fucker confessed to be 80% vaccine in Here is not working, keep immunity strong DIO. Just Death ... https://t.co/vdkq1zddeq</v>
      </c>
    </row>
    <row r="15756" spans="1:5" ht="15" customHeight="1" x14ac:dyDescent="0.2">
      <c r="A15756" s="1" t="s">
        <v>31067</v>
      </c>
      <c r="B15756" s="1">
        <v>1</v>
      </c>
      <c r="C15756" s="3">
        <v>44521.921099537038</v>
      </c>
      <c r="D15756" s="1" t="s">
        <v>31068</v>
      </c>
      <c r="E15756" s="1" t="str">
        <f ca="1">IFERROR(__xludf.DUMMYFUNCTION("GOOGLETRANSLATE(A12555 , ""tr"" , ""en"")"),"@drfahrettinkoca vaccination rate low countries, the people are more intelligent countries than our people.")</f>
        <v>@drfahrettinkoca vaccination rate low countries, the people are more intelligent countries than our people.</v>
      </c>
    </row>
    <row r="15757" spans="1:5" ht="15" customHeight="1" x14ac:dyDescent="0.2">
      <c r="A15757" s="1" t="s">
        <v>31069</v>
      </c>
      <c r="B15757" s="1">
        <v>0</v>
      </c>
      <c r="C15757" s="3">
        <v>44521.921087962961</v>
      </c>
      <c r="D15757" s="1" t="s">
        <v>31070</v>
      </c>
      <c r="E15757" s="1" t="str">
        <f ca="1">IFERROR(__xludf.DUMMYFUNCTION("GOOGLETRANSLATE(A12556 , ""tr"" , ""en"")"),"@drfahrettinkoca If you were oking the comments written to you, a minute would not occupy that seat. One of you ... https://t.co/ftxuth5n8s")</f>
        <v>@drfahrettinkoca If you were oking the comments written to you, a minute would not occupy that seat. One of you ... https://t.co/ftxuth5n8s</v>
      </c>
    </row>
    <row r="15758" spans="1:5" ht="15" customHeight="1" x14ac:dyDescent="0.2">
      <c r="A15758" s="1" t="s">
        <v>31071</v>
      </c>
      <c r="B15758" s="1">
        <v>0</v>
      </c>
      <c r="C15758" s="3">
        <v>44521.91878472222</v>
      </c>
      <c r="D15758" s="1" t="s">
        <v>31072</v>
      </c>
      <c r="E15758" s="1" t="str">
        <f ca="1">IFERROR(__xludf.DUMMYFUNCTION("GOOGLETRANSLATE(A12557 , ""tr"" , ""en"")"),"@drfahrettinka https://t.co/1zx1bkzocp")</f>
        <v>@drfahrettinka https://t.co/1zx1bkzocp</v>
      </c>
    </row>
    <row r="15759" spans="1:5" ht="15" customHeight="1" x14ac:dyDescent="0.2">
      <c r="A15759" s="1" t="s">
        <v>31073</v>
      </c>
      <c r="B15759" s="1">
        <v>0</v>
      </c>
      <c r="C15759" s="3">
        <v>44521.91746527778</v>
      </c>
      <c r="D15759" s="1" t="s">
        <v>31074</v>
      </c>
      <c r="E15759" s="1" t="str">
        <f ca="1">IFERROR(__xludf.DUMMYFUNCTION("GOOGLETRANSLATE(A12558 , ""tr"" , ""en"")"),"@drfahrettinka https://t.co/8xldlqvcef")</f>
        <v>@drfahrettinka https://t.co/8xldlqvcef</v>
      </c>
    </row>
    <row r="15760" spans="1:5" ht="15" customHeight="1" x14ac:dyDescent="0.2">
      <c r="A15760" s="1" t="s">
        <v>31075</v>
      </c>
      <c r="B15760" s="1">
        <v>0</v>
      </c>
      <c r="C15760" s="3">
        <v>44521.913611111115</v>
      </c>
      <c r="D15760" s="1" t="s">
        <v>31076</v>
      </c>
      <c r="E15760" s="1" t="str">
        <f ca="1">IFERROR(__xludf.DUMMYFUNCTION("GOOGLETRANSLATE(A12559 , ""tr"" , ""en"")"),"@drfahrettinkoca drug dealer honor of honor of honor, after the rest of the rest of her task does not matter us vaccination, i ... https://t.co/ztfupfcgbv")</f>
        <v>@drfahrettinkoca drug dealer honor of honor of honor, after the rest of the rest of her task does not matter us vaccination, i ... https://t.co/ztfupfcgbv</v>
      </c>
    </row>
    <row r="15761" spans="1:5" ht="15" customHeight="1" x14ac:dyDescent="0.2">
      <c r="A15761" s="1" t="s">
        <v>31077</v>
      </c>
      <c r="B15761" s="1">
        <v>0</v>
      </c>
      <c r="C15761" s="3">
        <v>44521.913425925923</v>
      </c>
      <c r="D15761" s="1" t="s">
        <v>31078</v>
      </c>
      <c r="E15761" s="1" t="str">
        <f ca="1">IFERROR(__xludf.DUMMYFUNCTION("GOOGLETRANSLATE(A12560 , ""tr"" , ""en"")"),"@drfahrettinkoca virus emitting schools and kids and kids and you don't do Hicbirsey on this")</f>
        <v>@drfahrettinkoca virus emitting schools and kids and kids and you don't do Hicbirsey on this</v>
      </c>
    </row>
    <row r="15762" spans="1:5" ht="15" customHeight="1" x14ac:dyDescent="0.2">
      <c r="A15762" s="1" t="s">
        <v>31079</v>
      </c>
      <c r="B15762" s="1">
        <v>0</v>
      </c>
      <c r="C15762" s="3">
        <v>44521.912743055553</v>
      </c>
      <c r="D15762" s="1" t="s">
        <v>31080</v>
      </c>
      <c r="E15762" s="1" t="str">
        <f ca="1">IFERROR(__xludf.DUMMYFUNCTION("GOOGLETRANSLATE(A12561 , ""tr"" , ""en"")"),"If @drfahrettinkoca is viewed on the table, the number of people who trust you are decreasing. 😄")</f>
        <v>If @drfahrettinkoca is viewed on the table, the number of people who trust you are decreasing. 😄</v>
      </c>
    </row>
    <row r="15763" spans="1:5" ht="15" customHeight="1" x14ac:dyDescent="0.2">
      <c r="A15763" s="1" t="s">
        <v>31081</v>
      </c>
      <c r="B15763" s="1">
        <v>0</v>
      </c>
      <c r="C15763" s="3">
        <v>44521.912557870368</v>
      </c>
      <c r="D15763" s="1" t="s">
        <v>31082</v>
      </c>
      <c r="E15763" s="1" t="str">
        <f ca="1">IFERROR(__xludf.DUMMYFUNCTION("GOOGLETRANSLATE(A12562 , ""tr"" , ""en"")"),"@drfahrettinka https://t.co/ah9xt6pgcn")</f>
        <v>@drfahrettinka https://t.co/ah9xt6pgcn</v>
      </c>
    </row>
    <row r="15764" spans="1:5" ht="15" customHeight="1" x14ac:dyDescent="0.2">
      <c r="A15764" s="1" t="s">
        <v>31083</v>
      </c>
      <c r="B15764" s="1">
        <v>3</v>
      </c>
      <c r="C15764" s="3">
        <v>44521.911678240744</v>
      </c>
      <c r="D15764" s="1" t="s">
        <v>31084</v>
      </c>
      <c r="E15764" s="1" t="str">
        <f ca="1">IFERROR(__xludf.DUMMYFUNCTION("GOOGLETRANSLATE(A12563 , ""tr"" , ""en"")"),"@drfahrettinkoca See what they have done to those who lower the world! https://t.co/cunrgovppj")</f>
        <v>@drfahrettinkoca See what they have done to those who lower the world! https://t.co/cunrgovppj</v>
      </c>
    </row>
    <row r="15765" spans="1:5" ht="15" customHeight="1" x14ac:dyDescent="0.2">
      <c r="A15765" s="1" t="s">
        <v>31085</v>
      </c>
      <c r="B15765" s="1">
        <v>0</v>
      </c>
      <c r="C15765" s="3">
        <v>44521.909456018519</v>
      </c>
      <c r="D15765" s="1" t="s">
        <v>31086</v>
      </c>
      <c r="E15765" s="1" t="str">
        <f ca="1">IFERROR(__xludf.DUMMYFUNCTION("GOOGLETRANSLATE(A12564 , ""tr"" , ""en"")"),"@drfahrettinkoca vaccination rates are increasing the case numbers of the case numbers will accept when there is an inverted")</f>
        <v>@drfahrettinkoca vaccination rates are increasing the case numbers of the case numbers will accept when there is an inverted</v>
      </c>
    </row>
    <row r="15766" spans="1:5" ht="15" customHeight="1" x14ac:dyDescent="0.2">
      <c r="A15766" s="1" t="s">
        <v>31087</v>
      </c>
      <c r="B15766" s="1">
        <v>1</v>
      </c>
      <c r="C15766" s="3">
        <v>44521.908993055556</v>
      </c>
      <c r="D15766" s="1" t="s">
        <v>31088</v>
      </c>
      <c r="E15766" s="1" t="str">
        <f ca="1">IFERROR(__xludf.DUMMYFUNCTION("GOOGLETRANSLATE(A12565 , ""tr"" , ""en"")"),"@drfahrettinkoca eee so what are you saying? :)) Don't you supply the vaccine, what? With vows, you will eat the head, ""Mr. Minister""")</f>
        <v>@drfahrettinkoca eee so what are you saying? :)) Don't you supply the vaccine, what? With vows, you will eat the head, "Mr. Minister"</v>
      </c>
    </row>
    <row r="15767" spans="1:5" ht="15" customHeight="1" x14ac:dyDescent="0.2">
      <c r="A15767" s="1" t="s">
        <v>31089</v>
      </c>
      <c r="B15767" s="1">
        <v>3</v>
      </c>
      <c r="C15767" s="3">
        <v>44521.906319444446</v>
      </c>
      <c r="D15767" s="1" t="s">
        <v>31090</v>
      </c>
      <c r="E15767" s="1" t="str">
        <f ca="1">IFERROR(__xludf.DUMMYFUNCTION("GOOGLETRANSLATE(A12566 , ""tr"" , ""en"")"),"@drfahrettinkoca Ministry, tomorrow is the first day of the week and I hope it happens in the last day of what we've ever had. You ar ... https://t.co/mahkmhr4le")</f>
        <v>@drfahrettinkoca Ministry, tomorrow is the first day of the week and I hope it happens in the last day of what we've ever had. You ar ... https://t.co/mahkmhr4le</v>
      </c>
    </row>
    <row r="15768" spans="1:5" ht="15" customHeight="1" x14ac:dyDescent="0.2">
      <c r="A15768" s="1" t="s">
        <v>31091</v>
      </c>
      <c r="B15768" s="1">
        <v>0</v>
      </c>
      <c r="C15768" s="3">
        <v>44521.904675925929</v>
      </c>
      <c r="D15768" s="1" t="s">
        <v>31092</v>
      </c>
      <c r="E15768" s="1" t="str">
        <f ca="1">IFERROR(__xludf.DUMMYFUNCTION("GOOGLETRANSLATE(A12567 , ""tr"" , ""en"")"),"@drfahrettinkoca closure or radical decisions essential! You can't mind the death of hundreds of people every day. Human Haya ... https://t.co/xzmklogmva")</f>
        <v>@drfahrettinkoca closure or radical decisions essential! You can't mind the death of hundreds of people every day. Human Haya ... https://t.co/xzmklogmva</v>
      </c>
    </row>
    <row r="15769" spans="1:5" ht="15" customHeight="1" x14ac:dyDescent="0.2">
      <c r="A15769" s="1" t="s">
        <v>31093</v>
      </c>
      <c r="B15769" s="1">
        <v>0</v>
      </c>
      <c r="C15769" s="3">
        <v>44521.904513888891</v>
      </c>
      <c r="D15769" s="1" t="s">
        <v>31094</v>
      </c>
      <c r="E15769" s="1" t="str">
        <f ca="1">IFERROR(__xludf.DUMMYFUNCTION("GOOGLETRANSLATE(A12568 , ""tr"" , ""en"")"),"@drfahrettinkoca Mom is the SNRA Dr Han7m, which was died, we have not received 2 months Route Death Rprundi Hast. BNs, Re ... https://t.co/hi0gd4Sifj")</f>
        <v>@drfahrettinkoca Mom is the SNRA Dr Han7m, which was died, we have not received 2 months Route Death Rprundi Hast. BNs, Re ... https://t.co/hi0gd4Sifj</v>
      </c>
    </row>
    <row r="15770" spans="1:5" ht="15" customHeight="1" x14ac:dyDescent="0.2">
      <c r="A15770" s="1" t="s">
        <v>28405</v>
      </c>
      <c r="B15770" s="1">
        <v>0</v>
      </c>
      <c r="C15770" s="3">
        <v>44521.903460648151</v>
      </c>
      <c r="D15770" s="1" t="s">
        <v>31095</v>
      </c>
      <c r="E15770" s="1" t="str">
        <f ca="1">IFERROR(__xludf.DUMMYFUNCTION("GOOGLETRANSLATE(A12569 , ""tr"" , ""en"")"),"@drfahrettinkoca dietitians are looking forward to assigning a large number of assignments to the minister 91 points are still agencies")</f>
        <v>@drfahrettinkoca dietitians are looking forward to assigning a large number of assignments to the minister 91 points are still agencies</v>
      </c>
    </row>
    <row r="15771" spans="1:5" ht="15" customHeight="1" x14ac:dyDescent="0.2">
      <c r="A15771" s="1" t="s">
        <v>31096</v>
      </c>
      <c r="B15771" s="1">
        <v>0</v>
      </c>
      <c r="C15771" s="3">
        <v>44521.902291666665</v>
      </c>
      <c r="D15771" s="1" t="s">
        <v>31097</v>
      </c>
      <c r="E15771" s="1" t="str">
        <f ca="1">IFERROR(__xludf.DUMMYFUNCTION("GOOGLETRANSLATE(A12570 , ""tr"" , ""en"")"),"@drfahrettinkoca Look at the Minister. If you don't respond to it, you and the authorities of the authors get you poison. Ank City Hast ... https://t.co/7vyplzldes")</f>
        <v>@drfahrettinkoca Look at the Minister. If you don't respond to it, you and the authorities of the authors get you poison. Ank City Hast ... https://t.co/7vyplzldes</v>
      </c>
    </row>
    <row r="15772" spans="1:5" ht="15" customHeight="1" x14ac:dyDescent="0.2">
      <c r="A15772" s="1" t="s">
        <v>31098</v>
      </c>
      <c r="B15772" s="1">
        <v>0</v>
      </c>
      <c r="C15772" s="3">
        <v>44521.901608796295</v>
      </c>
      <c r="D15772" s="1" t="s">
        <v>31099</v>
      </c>
      <c r="E15772" s="1" t="str">
        <f ca="1">IFERROR(__xludf.DUMMYFUNCTION("GOOGLETRANSLATE(A12571 , ""tr"" , ""en"")"),"@drfahrettinka https://t.co/jabej7x7ov")</f>
        <v>@drfahrettinka https://t.co/jabej7x7ov</v>
      </c>
    </row>
    <row r="15773" spans="1:5" ht="15" customHeight="1" x14ac:dyDescent="0.2">
      <c r="A15773" s="1" t="s">
        <v>31100</v>
      </c>
      <c r="B15773" s="1">
        <v>0</v>
      </c>
      <c r="C15773" s="3">
        <v>44521.900694444441</v>
      </c>
      <c r="D15773" s="1" t="s">
        <v>31101</v>
      </c>
      <c r="E15773" s="1" t="str">
        <f ca="1">IFERROR(__xludf.DUMMYFUNCTION("GOOGLETRANSLATE(A12572 , ""tr"" , ""en"")"),"@drfahrettinkoca @Zeynemetin willing humanity = vaccine manufacturer companies")</f>
        <v>@drfahrettinkoca @Zeynemetin willing humanity = vaccine manufacturer companies</v>
      </c>
    </row>
    <row r="15774" spans="1:5" ht="15" customHeight="1" x14ac:dyDescent="0.2">
      <c r="A15774" s="1" t="s">
        <v>31102</v>
      </c>
      <c r="B15774" s="1">
        <v>1</v>
      </c>
      <c r="C15774" s="3">
        <v>44521.899293981478</v>
      </c>
      <c r="D15774" s="1" t="s">
        <v>31103</v>
      </c>
      <c r="E15774" s="1" t="str">
        <f ca="1">IFERROR(__xludf.DUMMYFUNCTION("GOOGLETRANSLATE(A12573 , ""tr"" , ""en"")"),"@drfahrettinkoca is no longer in European countries, the restrictions of non-vaccines in our country are also available.")</f>
        <v>@drfahrettinkoca is no longer in European countries, the restrictions of non-vaccines in our country are also available.</v>
      </c>
    </row>
    <row r="15775" spans="1:5" ht="15" customHeight="1" x14ac:dyDescent="0.2">
      <c r="A15775" s="1" t="s">
        <v>31104</v>
      </c>
      <c r="B15775" s="1">
        <v>1</v>
      </c>
      <c r="C15775" s="3">
        <v>44521.899097222224</v>
      </c>
      <c r="D15775" s="1" t="s">
        <v>31105</v>
      </c>
      <c r="E15775" s="1" t="str">
        <f ca="1">IFERROR(__xludf.DUMMYFUNCTION("GOOGLETRANSLATE(A12574 , ""tr"" , ""en"")"),"@drfahrettinkoca has a message on this woman's vaccine fanatics that the first time post the COVID-19 vaccination is the first time ... https://t.co/jjdctpfbek")</f>
        <v>@drfahrettinkoca has a message on this woman's vaccine fanatics that the first time post the COVID-19 vaccination is the first time ... https://t.co/jjdctpfbek</v>
      </c>
    </row>
    <row r="15776" spans="1:5" ht="15" customHeight="1" x14ac:dyDescent="0.2">
      <c r="A15776" s="1" t="s">
        <v>31106</v>
      </c>
      <c r="B15776" s="1">
        <v>0</v>
      </c>
      <c r="C15776" s="3">
        <v>44521.898449074077</v>
      </c>
      <c r="D15776" s="1" t="s">
        <v>31107</v>
      </c>
      <c r="E15776" s="1" t="str">
        <f ca="1">IFERROR(__xludf.DUMMYFUNCTION("GOOGLETRANSLATE(A12575 , ""tr"" , ""en"")"),"@drfahrettinka Mr. Minister; Full overdose vaccines have been to the families, are the attention of all the precautions that you suggest ... https://t.co/qrmayffkwt")</f>
        <v>@drfahrettinka Mr. Minister; Full overdose vaccines have been to the families, are the attention of all the precautions that you suggest ... https://t.co/qrmayffkwt</v>
      </c>
    </row>
    <row r="15777" spans="1:5" ht="15" customHeight="1" x14ac:dyDescent="0.2">
      <c r="A15777" s="1" t="s">
        <v>31108</v>
      </c>
      <c r="B15777" s="1">
        <v>0</v>
      </c>
      <c r="C15777" s="3">
        <v>44521.897222222222</v>
      </c>
      <c r="D15777" s="1" t="s">
        <v>31109</v>
      </c>
      <c r="E15777" s="1" t="str">
        <f ca="1">IFERROR(__xludf.DUMMYFUNCTION("GOOGLETRANSLATE(A12576 , ""tr"" , ""en"")"),"@drfahrettinkoca number m. the minister. vaccine. saying. insist. You are in your way. Çanakkale. province. 0 / 80ated. why. still. red. ... https://t.co/bu1gtukdvw")</f>
        <v>@drfahrettinkoca number m. the minister. vaccine. saying. insist. You are in your way. Çanakkale. province. 0 / 80ated. why. still. red. ... https://t.co/bu1gtukdvw</v>
      </c>
    </row>
    <row r="15778" spans="1:5" ht="15" customHeight="1" x14ac:dyDescent="0.2">
      <c r="A15778" s="1" t="s">
        <v>31110</v>
      </c>
      <c r="B15778" s="1">
        <v>0</v>
      </c>
      <c r="C15778" s="3">
        <v>44521.895381944443</v>
      </c>
      <c r="D15778" s="1" t="s">
        <v>31111</v>
      </c>
      <c r="E15778" s="1" t="str">
        <f ca="1">IFERROR(__xludf.DUMMYFUNCTION("GOOGLETRANSLATE(A12577 , ""tr"" , ""en"")"),"@drfahrettinkoca you are dropped cases according to the school opening.")</f>
        <v>@drfahrettinkoca you are dropped cases according to the school opening.</v>
      </c>
    </row>
    <row r="15779" spans="1:5" ht="15" customHeight="1" x14ac:dyDescent="0.2">
      <c r="A15779" s="1" t="s">
        <v>31112</v>
      </c>
      <c r="B15779" s="1">
        <v>0</v>
      </c>
      <c r="C15779" s="3">
        <v>44521.893773148149</v>
      </c>
      <c r="D15779" s="1" t="s">
        <v>31113</v>
      </c>
      <c r="E15779" s="1" t="str">
        <f ca="1">IFERROR(__xludf.DUMMYFUNCTION("GOOGLETRANSLATE(A12578 , ""tr"" , ""en"")"),"@drfahrettinka we don't want the vaccine. * Updating from Israel - Incompatives are sick and dying in the world's highest grafts ... https://t.co/rk2miusjyh")</f>
        <v>@drfahrettinka we don't want the vaccine. * Updating from Israel - Incompatives are sick and dying in the world's highest grafts ... https://t.co/rk2miusjyh</v>
      </c>
    </row>
    <row r="15780" spans="1:5" ht="15" customHeight="1" x14ac:dyDescent="0.2">
      <c r="A15780" s="1" t="s">
        <v>31114</v>
      </c>
      <c r="B15780" s="1">
        <v>1</v>
      </c>
      <c r="C15780" s="3">
        <v>44521.893472222226</v>
      </c>
      <c r="D15780" s="1" t="s">
        <v>31115</v>
      </c>
      <c r="E15780" s="1" t="str">
        <f ca="1">IFERROR(__xludf.DUMMYFUNCTION("GOOGLETRANSLATE(A12579 , ""tr"" , ""en"")"),"@drfahrettinkoca Oath I'm not vaccinated Last Village Latest 5 We can't reduce cases from non-vaccines. The only ask ... https://t.co/xejtlwfh9h")</f>
        <v>@drfahrettinkoca Oath I'm not vaccinated Last Village Latest 5 We can't reduce cases from non-vaccines. The only ask ... https://t.co/xejtlwfh9h</v>
      </c>
    </row>
    <row r="15781" spans="1:5" ht="15" customHeight="1" x14ac:dyDescent="0.2">
      <c r="A15781" s="1" t="s">
        <v>31116</v>
      </c>
      <c r="B15781" s="1">
        <v>1</v>
      </c>
      <c r="C15781" s="3">
        <v>44521.892638888887</v>
      </c>
      <c r="D15781" s="1" t="s">
        <v>31117</v>
      </c>
      <c r="E15781" s="1" t="str">
        <f ca="1">IFERROR(__xludf.DUMMYFUNCTION("GOOGLETRANSLATE(A12580 , ""tr"" , ""en"")"),"@drfahrettinkoca I'm convinced from the very scientific distinctions I'm afraid of my arm's USUM. 🤣🤣🤣")</f>
        <v>@drfahrettinkoca I'm convinced from the very scientific distinctions I'm afraid of my arm's USUM. 🤣🤣🤣</v>
      </c>
    </row>
    <row r="15782" spans="1:5" ht="15" customHeight="1" x14ac:dyDescent="0.2">
      <c r="A15782" s="1" t="s">
        <v>31118</v>
      </c>
      <c r="B15782" s="1">
        <v>4</v>
      </c>
      <c r="C15782" s="3">
        <v>44521.8905787037</v>
      </c>
      <c r="D15782" s="1" t="s">
        <v>31119</v>
      </c>
      <c r="E15782" s="1" t="str">
        <f ca="1">IFERROR(__xludf.DUMMYFUNCTION("GOOGLETRANSLATE(A12581 , ""tr"" , ""en"")"),"@drfahrettinkoca does not want to get in human vaccination. Globalists, the vaccine industry is in the way to mankind. People die ... https://t.co/f43siejbe5")</f>
        <v>@drfahrettinkoca does not want to get in human vaccination. Globalists, the vaccine industry is in the way to mankind. People die ... https://t.co/f43siejbe5</v>
      </c>
    </row>
    <row r="15783" spans="1:5" ht="15" customHeight="1" x14ac:dyDescent="0.2">
      <c r="A15783" s="1" t="s">
        <v>31120</v>
      </c>
      <c r="B15783" s="1">
        <v>0</v>
      </c>
      <c r="C15783" s="3">
        <v>44521.889768518522</v>
      </c>
      <c r="D15783" s="1" t="s">
        <v>31121</v>
      </c>
      <c r="E15783" s="1" t="str">
        <f ca="1">IFERROR(__xludf.DUMMYFUNCTION("GOOGLETRANSLATE(A12582 , ""tr"" , ""en"")"),"@drfahrettinkoca 😆😆😆sansan as as as as as as as as as as as mikkkkkkkkkkkkkkkseksesesekksesekseksese you can't decide on my behalf! In our country and in the world, 2 years of late ... https://t.co/3fpvgtjjjz")</f>
        <v>@drfahrettinkoca 😆😆😆sansan as as as as as as as as as as as mikkkkkkkkkkkkkkkseksesesekksesekseksese you can't decide on my behalf! In our country and in the world, 2 years of late ... https://t.co/3fpvgtjjjz</v>
      </c>
    </row>
    <row r="15784" spans="1:5" ht="15" customHeight="1" x14ac:dyDescent="0.2">
      <c r="A15784" s="1" t="s">
        <v>31122</v>
      </c>
      <c r="B15784" s="1">
        <v>0</v>
      </c>
      <c r="C15784" s="3">
        <v>44521.88826388889</v>
      </c>
      <c r="D15784" s="1" t="s">
        <v>31123</v>
      </c>
      <c r="E15784" s="1" t="str">
        <f ca="1">IFERROR(__xludf.DUMMYFUNCTION("GOOGLETRANSLATE(A12583 , ""tr"" , ""en"")"),"@drfahrettinkoca Hear Our Voice Mr. Minister Emergency And Disaster Executives Waiting for Gorev Description")</f>
        <v>@drfahrettinkoca Hear Our Voice Mr. Minister Emergency And Disaster Executives Waiting for Gorev Description</v>
      </c>
    </row>
    <row r="15785" spans="1:5" ht="15" customHeight="1" x14ac:dyDescent="0.2">
      <c r="A15785" s="1" t="s">
        <v>31124</v>
      </c>
      <c r="B15785" s="1">
        <v>0</v>
      </c>
      <c r="C15785" s="3">
        <v>44521.886643518519</v>
      </c>
      <c r="D15785" s="1" t="s">
        <v>31125</v>
      </c>
      <c r="E15785" s="1" t="str">
        <f ca="1">IFERROR(__xludf.DUMMYFUNCTION("GOOGLETRANSLATE(A12584 , ""tr"" , ""en"")"),"@drfahrettinkoca We are fitted with the floor for the floor that is more difficult to establish these layouts. Https://t.co/cb6cmuzze")</f>
        <v>@drfahrettinkoca We are fitted with the floor for the floor that is more difficult to establish these layouts. Https://t.co/cb6cmuzze</v>
      </c>
    </row>
    <row r="15786" spans="1:5" ht="15" customHeight="1" x14ac:dyDescent="0.2">
      <c r="A15786" s="1" t="s">
        <v>31126</v>
      </c>
      <c r="B15786" s="1">
        <v>0</v>
      </c>
      <c r="C15786" s="3">
        <v>44521.886620370373</v>
      </c>
      <c r="D15786" s="1" t="s">
        <v>31127</v>
      </c>
      <c r="E15786" s="1" t="str">
        <f ca="1">IFERROR(__xludf.DUMMYFUNCTION("GOOGLETRANSLATE(A12585 , ""tr"" , ""en"")"),"@drfahrettinkoca staring Bey ... https://t.co/kv8sxrg2wm")</f>
        <v>@drfahrettinkoca staring Bey ... https://t.co/kv8sxrg2wm</v>
      </c>
    </row>
    <row r="15787" spans="1:5" ht="15" customHeight="1" x14ac:dyDescent="0.2">
      <c r="A15787" s="1" t="s">
        <v>10631</v>
      </c>
      <c r="B15787" s="1">
        <v>0</v>
      </c>
      <c r="C15787" s="3">
        <v>44521.886458333334</v>
      </c>
      <c r="D15787" s="1" t="s">
        <v>31128</v>
      </c>
      <c r="E15787" s="1" t="str">
        <f ca="1">IFERROR(__xludf.DUMMYFUNCTION("GOOGLETRANSLATE(A12586 , ""tr"" , ""en"")"),"@drfahrettinkoca what happened to the man experimenting with babies")</f>
        <v>@drfahrettinkoca what happened to the man experimenting with babies</v>
      </c>
    </row>
    <row r="15788" spans="1:5" ht="15" customHeight="1" x14ac:dyDescent="0.2">
      <c r="A15788" s="1" t="s">
        <v>31129</v>
      </c>
      <c r="B15788" s="1">
        <v>0</v>
      </c>
      <c r="C15788" s="3">
        <v>44521.885671296295</v>
      </c>
      <c r="D15788" s="1" t="s">
        <v>31130</v>
      </c>
      <c r="E15788" s="1" t="str">
        <f ca="1">IFERROR(__xludf.DUMMYFUNCTION("GOOGLETRANSLATE(A12587 , ""tr"" , ""en"")"),"@drfahrettinkoca is in the middle in myself with the actions in Europe in which it is reluctant to the vaccination of humanity, but you are still at ... https://t.co/gkqudqz4ez")</f>
        <v>@drfahrettinkoca is in the middle in myself with the actions in Europe in which it is reluctant to the vaccination of humanity, but you are still at ... https://t.co/gkqudqz4ez</v>
      </c>
    </row>
    <row r="15789" spans="1:5" ht="15" customHeight="1" x14ac:dyDescent="0.2">
      <c r="A15789" s="1" t="s">
        <v>31131</v>
      </c>
      <c r="B15789" s="1">
        <v>4</v>
      </c>
      <c r="C15789" s="3">
        <v>44521.885335648149</v>
      </c>
      <c r="D15789" s="1" t="s">
        <v>31132</v>
      </c>
      <c r="E15789" s="1" t="str">
        <f ca="1">IFERROR(__xludf.DUMMYFUNCTION("GOOGLETRANSLATE(A12588 , ""tr"" , ""en"")"),"@drfahrettinkoca Humanity says don't say people. Anyway there is no language of humanity, everyone speaks on his behalf ... https://t.co/ovmvheahyl")</f>
        <v>@drfahrettinkoca Humanity says don't say people. Anyway there is no language of humanity, everyone speaks on his behalf ... https://t.co/ovmvheahyl</v>
      </c>
    </row>
    <row r="15790" spans="1:5" ht="15" customHeight="1" x14ac:dyDescent="0.2">
      <c r="A15790" s="1" t="s">
        <v>31133</v>
      </c>
      <c r="B15790" s="1">
        <v>0</v>
      </c>
      <c r="C15790" s="3">
        <v>44521.884085648147</v>
      </c>
      <c r="D15790" s="1" t="s">
        <v>31134</v>
      </c>
      <c r="E15790" s="1" t="str">
        <f ca="1">IFERROR(__xludf.DUMMYFUNCTION("GOOGLETRANSLATE(A12589 , ""tr"" , ""en"")"),"@drfahrettinkoca population full inoculated gibraltar's status @drfahrettinka https://t.co/44g9dzrlps")</f>
        <v>@drfahrettinkoca population full inoculated gibraltar's status @drfahrettinka https://t.co/44g9dzrlps</v>
      </c>
    </row>
    <row r="15791" spans="1:5" ht="15" customHeight="1" x14ac:dyDescent="0.2">
      <c r="A15791" s="1" t="s">
        <v>31135</v>
      </c>
      <c r="B15791" s="1">
        <v>0</v>
      </c>
      <c r="C15791" s="3">
        <v>44521.882048611114</v>
      </c>
      <c r="D15791" s="1" t="s">
        <v>31136</v>
      </c>
      <c r="E15791" s="1" t="str">
        <f ca="1">IFERROR(__xludf.DUMMYFUNCTION("GOOGLETRANSLATE(A12590 , ""tr"" , ""en"")"),"@drfahrettinkoca ULA doesn't have my market")</f>
        <v>@drfahrettinkoca ULA doesn't have my market</v>
      </c>
    </row>
    <row r="15792" spans="1:5" ht="15" customHeight="1" x14ac:dyDescent="0.2">
      <c r="A15792" s="1" t="s">
        <v>31137</v>
      </c>
      <c r="B15792" s="1">
        <v>0</v>
      </c>
      <c r="C15792" s="3">
        <v>44521.880011574074</v>
      </c>
      <c r="D15792" s="1" t="s">
        <v>31138</v>
      </c>
      <c r="E15792" s="1" t="str">
        <f ca="1">IFERROR(__xludf.DUMMYFUNCTION("GOOGLETRANSLATE(A12591 , ""tr"" , ""en"")"),"@drfahrettinka https://t.co/mgq8nrmglr")</f>
        <v>@drfahrettinka https://t.co/mgq8nrmglr</v>
      </c>
    </row>
    <row r="15793" spans="1:5" ht="15" customHeight="1" x14ac:dyDescent="0.2">
      <c r="A15793" s="1" t="s">
        <v>31139</v>
      </c>
      <c r="B15793" s="1">
        <v>0</v>
      </c>
      <c r="C15793" s="3">
        <v>44521.879814814813</v>
      </c>
      <c r="D15793" s="1" t="s">
        <v>31140</v>
      </c>
      <c r="E15793" s="1" t="str">
        <f ca="1">IFERROR(__xludf.DUMMYFUNCTION("GOOGLETRANSLATE(A12592 , ""tr"" , ""en"")"),"@drfahrettinkoca Hoca is constantly going to go to someone you are going to go to someone you immediately refresh")</f>
        <v>@drfahrettinkoca Hoca is constantly going to go to someone you are going to go to someone you immediately refresh</v>
      </c>
    </row>
    <row r="15794" spans="1:5" ht="15" customHeight="1" x14ac:dyDescent="0.2">
      <c r="A15794" s="1" t="s">
        <v>31141</v>
      </c>
      <c r="B15794" s="1">
        <v>0</v>
      </c>
      <c r="C15794" s="3">
        <v>44521.878784722219</v>
      </c>
      <c r="D15794" s="1" t="s">
        <v>31142</v>
      </c>
      <c r="E15794" s="1" t="str">
        <f ca="1">IFERROR(__xludf.DUMMYFUNCTION("GOOGLETRANSLATE(A12593 , ""tr"" , ""en"")"),"@drfahrettinkoca then take the precaution quarantine close the schools everywhere!")</f>
        <v>@drfahrettinkoca then take the precaution quarantine close the schools everywhere!</v>
      </c>
    </row>
    <row r="15795" spans="1:5" ht="15" customHeight="1" x14ac:dyDescent="0.2">
      <c r="A15795" s="1" t="s">
        <v>31143</v>
      </c>
      <c r="B15795" s="1">
        <v>0</v>
      </c>
      <c r="C15795" s="3">
        <v>44521.878634259258</v>
      </c>
      <c r="D15795" s="1" t="s">
        <v>31144</v>
      </c>
      <c r="E15795" s="1" t="str">
        <f ca="1">IFERROR(__xludf.DUMMYFUNCTION("GOOGLETRANSLATE(A12594 , ""tr"" , ""en"")"),"@drfahrettinkoca No benefit of this vaccine The vaccines are caught in the virus. Sounds like a game is played me 🤔")</f>
        <v>@drfahrettinkoca No benefit of this vaccine The vaccines are caught in the virus. Sounds like a game is played me 🤔</v>
      </c>
    </row>
    <row r="15796" spans="1:5" ht="15" customHeight="1" x14ac:dyDescent="0.2">
      <c r="A15796" s="1" t="s">
        <v>31145</v>
      </c>
      <c r="B15796" s="1">
        <v>0</v>
      </c>
      <c r="C15796" s="3">
        <v>44521.877303240741</v>
      </c>
      <c r="D15796" s="1" t="s">
        <v>31146</v>
      </c>
      <c r="E15796" s="1" t="str">
        <f ca="1">IFERROR(__xludf.DUMMYFUNCTION("GOOGLETRANSLATE(A12595 , ""tr"" , ""en"")"),"@drfahrettinkoca you said that my part of my wife took my wife from us at the young age we have been orphan in my youth ... https://t.co/7v95meptlz")</f>
        <v>@drfahrettinkoca you said that my part of my wife took my wife from us at the young age we have been orphan in my youth ... https://t.co/7v95meptlz</v>
      </c>
    </row>
    <row r="15797" spans="1:5" ht="15" customHeight="1" x14ac:dyDescent="0.2">
      <c r="A15797" s="1" t="s">
        <v>31147</v>
      </c>
      <c r="B15797" s="1">
        <v>0</v>
      </c>
      <c r="C15797" s="3">
        <v>44521.876284722224</v>
      </c>
      <c r="D15797" s="1" t="s">
        <v>31148</v>
      </c>
      <c r="E15797" s="1" t="str">
        <f ca="1">IFERROR(__xludf.DUMMYFUNCTION("GOOGLETRANSLATE(A12596 , ""tr"" , ""en"")"),"@drfahrettinkoca says 80% already in 😁😁😁 😁😁😁 was acycopath")</f>
        <v>@drfahrettinkoca says 80% already in 😁😁😁 😁😁😁 was acycopath</v>
      </c>
    </row>
    <row r="15798" spans="1:5" ht="15" customHeight="1" x14ac:dyDescent="0.2">
      <c r="A15798" s="1" t="s">
        <v>31149</v>
      </c>
      <c r="B15798" s="1">
        <v>0</v>
      </c>
      <c r="C15798" s="3">
        <v>44521.876250000001</v>
      </c>
      <c r="D15798" s="1" t="s">
        <v>31150</v>
      </c>
      <c r="E15798" s="1" t="str">
        <f ca="1">IFERROR(__xludf.DUMMYFUNCTION("GOOGLETRANSLATE(A12597 , ""tr"" , ""en"")"),"@drfahrettinkoca We're not unstable I will not have made my mind. My grafted family corona right now. Schools outdoor ... https://t.co/ghcqdfwkkv")</f>
        <v>@drfahrettinkoca We're not unstable I will not have made my mind. My grafted family corona right now. Schools outdoor ... https://t.co/ghcqdfwkkv</v>
      </c>
    </row>
    <row r="15799" spans="1:5" ht="15" customHeight="1" x14ac:dyDescent="0.2">
      <c r="A15799" s="1" t="s">
        <v>31151</v>
      </c>
      <c r="B15799" s="1">
        <v>0</v>
      </c>
      <c r="C15799" s="3">
        <v>44521.875740740739</v>
      </c>
      <c r="D15799" s="1" t="s">
        <v>31152</v>
      </c>
      <c r="E15799" s="1" t="str">
        <f ca="1">IFERROR(__xludf.DUMMYFUNCTION("GOOGLETRANSLATE(A12598 , ""tr"" , ""en"")"),"@drfahrettinkoca Leave the following vaccination counting #Favipiravir Lay. If they didn't decide you too?")</f>
        <v>@drfahrettinkoca Leave the following vaccination counting #Favipiravir Lay. If they didn't decide you too?</v>
      </c>
    </row>
    <row r="15800" spans="1:5" ht="15" customHeight="1" x14ac:dyDescent="0.2">
      <c r="A15800" s="1" t="s">
        <v>31153</v>
      </c>
      <c r="B15800" s="1">
        <v>1</v>
      </c>
      <c r="C15800" s="3">
        <v>44521.874537037038</v>
      </c>
      <c r="D15800" s="1" t="s">
        <v>31154</v>
      </c>
      <c r="E15800" s="1" t="str">
        <f ca="1">IFERROR(__xludf.DUMMYFUNCTION("GOOGLETRANSLATE(A12599 , ""tr"" , ""en"")"),"@drfahrettinka vaccines quite work (!) https://t.co/aebjkx7evg")</f>
        <v>@drfahrettinka vaccines quite work (!) https://t.co/aebjkx7evg</v>
      </c>
    </row>
    <row r="15801" spans="1:5" ht="15" customHeight="1" x14ac:dyDescent="0.2">
      <c r="A15801" s="1" t="s">
        <v>31155</v>
      </c>
      <c r="B15801" s="1">
        <v>0</v>
      </c>
      <c r="C15801" s="3">
        <v>44521.873113425929</v>
      </c>
      <c r="D15801" s="1" t="s">
        <v>31156</v>
      </c>
      <c r="E15801" s="1" t="str">
        <f ca="1">IFERROR(__xludf.DUMMYFUNCTION("GOOGLETRANSLATE(A12600 , ""tr"" , ""en"")"),"@drfahrettinkoca nobody is eagerly not willing, MAZE human rights EZE MAZE to us, will make the day come and account")</f>
        <v>@drfahrettinkoca nobody is eagerly not willing, MAZE human rights EZE MAZE to us, will make the day come and account</v>
      </c>
    </row>
    <row r="15802" spans="1:5" ht="15" customHeight="1" x14ac:dyDescent="0.2">
      <c r="A15802" s="1" t="s">
        <v>31157</v>
      </c>
      <c r="B15802" s="1">
        <v>0</v>
      </c>
      <c r="C15802" s="3">
        <v>44521.872233796297</v>
      </c>
      <c r="D15802" s="1" t="s">
        <v>31158</v>
      </c>
      <c r="E15802" s="1" t="str">
        <f ca="1">IFERROR(__xludf.DUMMYFUNCTION("GOOGLETRANSLATE(A12601 , ""tr"" , ""en"")"),"@drfahrettinkoca I have over my rebellion to you")</f>
        <v>@drfahrettinkoca I have over my rebellion to you</v>
      </c>
    </row>
    <row r="15803" spans="1:5" ht="15" customHeight="1" x14ac:dyDescent="0.2">
      <c r="A15803" s="1" t="s">
        <v>31159</v>
      </c>
      <c r="B15803" s="1">
        <v>31</v>
      </c>
      <c r="C15803" s="3">
        <v>44521.871087962965</v>
      </c>
      <c r="D15803" s="1" t="s">
        <v>31160</v>
      </c>
      <c r="E15803" s="1" t="str">
        <f ca="1">IFERROR(__xludf.DUMMYFUNCTION("GOOGLETRANSLATE(A12602 , ""tr"" , ""en"")"),"@drfahrettinkoca is the most A $ in Europe in Europe.")</f>
        <v>@drfahrettinkoca is the most A $ in Europe in Europe.</v>
      </c>
    </row>
    <row r="15804" spans="1:5" ht="15" customHeight="1" x14ac:dyDescent="0.2">
      <c r="A15804" s="1" t="s">
        <v>31161</v>
      </c>
      <c r="B15804" s="1">
        <v>5</v>
      </c>
      <c r="C15804" s="3">
        <v>44521.870925925927</v>
      </c>
      <c r="D15804" s="1" t="s">
        <v>31162</v>
      </c>
      <c r="E15804" s="1" t="str">
        <f ca="1">IFERROR(__xludf.DUMMYFUNCTION("GOOGLETRANSLATE(A12603 , ""tr"" , ""en"")"),"@drfahrettinkoca folks awoke anymore. Are not eating the lies. Bearcase Beyki Bey. Enter or something on Chip job. Or do ... https://t.co/tlcvjy0kzv")</f>
        <v>@drfahrettinkoca folks awoke anymore. Are not eating the lies. Bearcase Beyki Bey. Enter or something on Chip job. Or do ... https://t.co/tlcvjy0kzv</v>
      </c>
    </row>
    <row r="15805" spans="1:5" ht="15" customHeight="1" x14ac:dyDescent="0.2">
      <c r="A15805" s="1" t="s">
        <v>31163</v>
      </c>
      <c r="B15805" s="1">
        <v>1</v>
      </c>
      <c r="C15805" s="3">
        <v>44521.869537037041</v>
      </c>
      <c r="D15805" s="1" t="s">
        <v>31164</v>
      </c>
      <c r="E15805" s="1" t="str">
        <f ca="1">IFERROR(__xludf.DUMMYFUNCTION("GOOGLETRANSLATE(A12604 , ""tr"" , ""en"")"),"@drfahrettinkoca liar mahfettin Bi day Foyan Orthyde will go out Bi day you also judge the Lord when you are in this world ... https://t.co/3lxmkqcqfr")</f>
        <v>@drfahrettinkoca liar mahfettin Bi day Foyan Orthyde will go out Bi day you also judge the Lord when you are in this world ... https://t.co/3lxmkqcqfr</v>
      </c>
    </row>
    <row r="15806" spans="1:5" ht="15" customHeight="1" x14ac:dyDescent="0.2">
      <c r="A15806" s="1" t="s">
        <v>31165</v>
      </c>
      <c r="B15806" s="1">
        <v>0</v>
      </c>
      <c r="C15806" s="3">
        <v>44521.868321759262</v>
      </c>
      <c r="D15806" s="1" t="s">
        <v>31166</v>
      </c>
      <c r="E15806" s="1" t="str">
        <f ca="1">IFERROR(__xludf.DUMMYFUNCTION("GOOGLETRANSLATE(A12605 , ""tr"" , ""en"")"),"@drfahrettinkoca Let's use our minds! Did the virus be infected with seniors? Or is the young people who are transmitted from the young people ... https://t.co/kagsyesfah")</f>
        <v>@drfahrettinkoca Let's use our minds! Did the virus be infected with seniors? Or is the young people who are transmitted from the young people ... https://t.co/kagsyesfah</v>
      </c>
    </row>
    <row r="15807" spans="1:5" ht="15" customHeight="1" x14ac:dyDescent="0.2">
      <c r="A15807" s="1" t="s">
        <v>31167</v>
      </c>
      <c r="B15807" s="1">
        <v>0</v>
      </c>
      <c r="C15807" s="3">
        <v>44521.865219907406</v>
      </c>
      <c r="D15807" s="1" t="s">
        <v>31168</v>
      </c>
      <c r="E15807" s="1" t="str">
        <f ca="1">IFERROR(__xludf.DUMMYFUNCTION("GOOGLETRANSLATE(A12606 , ""tr"" , ""en"")"),"@drfahrettinkoca #okullarvirueshane")</f>
        <v>@drfahrettinkoca #okullarvirueshane</v>
      </c>
    </row>
    <row r="15808" spans="1:5" ht="15" customHeight="1" x14ac:dyDescent="0.2">
      <c r="A15808" s="1" t="s">
        <v>31169</v>
      </c>
      <c r="B15808" s="1">
        <v>31</v>
      </c>
      <c r="C15808" s="3">
        <v>44521.864502314813</v>
      </c>
      <c r="D15808" s="1" t="s">
        <v>31170</v>
      </c>
      <c r="E15808" s="1" t="str">
        <f ca="1">IFERROR(__xludf.DUMMYFUNCTION("GOOGLETRANSLATE(A12607 , ""tr"" , ""en"")"),"Follow @drfahrettinkoca this teenager @saglikbakanligi @sagliklicozum! https://t.co/pbqiobzvwn")</f>
        <v>Follow @drfahrettinkoca this teenager @saglikbakanligi @sagliklicozum! https://t.co/pbqiobzvwn</v>
      </c>
    </row>
    <row r="15809" spans="1:5" ht="15" customHeight="1" x14ac:dyDescent="0.2">
      <c r="A15809" s="1" t="s">
        <v>31171</v>
      </c>
      <c r="B15809" s="1">
        <v>0</v>
      </c>
      <c r="C15809" s="3">
        <v>44521.864050925928</v>
      </c>
      <c r="D15809" s="1" t="s">
        <v>31172</v>
      </c>
      <c r="E15809" s="1" t="str">
        <f ca="1">IFERROR(__xludf.DUMMYFUNCTION("GOOGLETRANSLATE(A12608 , ""tr"" , ""en"")"),"@drfahrettinkoca Which humanity is? !!!")</f>
        <v>@drfahrettinkoca Which humanity is? !!!</v>
      </c>
    </row>
    <row r="15810" spans="1:5" ht="15" customHeight="1" x14ac:dyDescent="0.2">
      <c r="A15810" s="1" t="s">
        <v>31173</v>
      </c>
      <c r="B15810" s="1">
        <v>9</v>
      </c>
      <c r="C15810" s="3">
        <v>44521.863576388889</v>
      </c>
      <c r="D15810" s="1" t="s">
        <v>31174</v>
      </c>
      <c r="E15810" s="1" t="str">
        <f ca="1">IFERROR(__xludf.DUMMYFUNCTION("GOOGLETRANSLATE(A12609 , ""tr"" , ""en"")"),"@drfahrettinkoca We are our friendly Hicmi None of the Safety Minister Lutfen You do not do well you know good ... https://t.co/m47exdacwg")</f>
        <v>@drfahrettinkoca We are our friendly Hicmi None of the Safety Minister Lutfen You do not do well you know good ... https://t.co/m47exdacwg</v>
      </c>
    </row>
    <row r="15811" spans="1:5" ht="15" customHeight="1" x14ac:dyDescent="0.2">
      <c r="A15811" s="1" t="s">
        <v>31175</v>
      </c>
      <c r="B15811" s="1">
        <v>2</v>
      </c>
      <c r="C15811" s="3">
        <v>44521.862881944442</v>
      </c>
      <c r="D15811" s="1" t="s">
        <v>31176</v>
      </c>
      <c r="E15811" s="1" t="str">
        <f ca="1">IFERROR(__xludf.DUMMYFUNCTION("GOOGLETRANSLATE(A12610 , ""tr"" , ""en"")"),"@drfahrettinkoca you believe in these cases that we believe in these cases your own university has made us online ... https://t.co/an0rnpj05o")</f>
        <v>@drfahrettinkoca you believe in these cases that we believe in these cases your own university has made us online ... https://t.co/an0rnpj05o</v>
      </c>
    </row>
    <row r="15812" spans="1:5" ht="15" customHeight="1" x14ac:dyDescent="0.2">
      <c r="A15812" s="1" t="s">
        <v>31177</v>
      </c>
      <c r="B15812" s="1">
        <v>0</v>
      </c>
      <c r="C15812" s="3">
        <v>44521.862372685187</v>
      </c>
      <c r="D15812" s="1" t="s">
        <v>31178</v>
      </c>
      <c r="E15812" s="1" t="str">
        <f ca="1">IFERROR(__xludf.DUMMYFUNCTION("GOOGLETRANSLATE(A12611 , ""tr"" , ""en"")"),"@drfahrettinkoca A little bit of SMA patients I see I see the sin")</f>
        <v>@drfahrettinkoca A little bit of SMA patients I see I see the sin</v>
      </c>
    </row>
    <row r="15813" spans="1:5" ht="15" customHeight="1" x14ac:dyDescent="0.2">
      <c r="A15813" s="1" t="s">
        <v>31179</v>
      </c>
      <c r="B15813" s="1">
        <v>13</v>
      </c>
      <c r="C15813" s="3">
        <v>44521.860393518517</v>
      </c>
      <c r="D15813" s="1" t="s">
        <v>31180</v>
      </c>
      <c r="E15813" s="1" t="str">
        <f ca="1">IFERROR(__xludf.DUMMYFUNCTION("GOOGLETRANSLATE(A12612 , ""tr"" , ""en"")"),"@drfahrettinkoca Mr. Overhailing after that diseases scabs the scabies and flower disease, let's know the man ... https://t.co/c5t2wmxIDD")</f>
        <v>@drfahrettinkoca Mr. Overhailing after that diseases scabs the scabies and flower disease, let's know the man ... https://t.co/c5t2wmxIDD</v>
      </c>
    </row>
    <row r="15814" spans="1:5" ht="15" customHeight="1" x14ac:dyDescent="0.2">
      <c r="A15814" s="1" t="s">
        <v>31181</v>
      </c>
      <c r="B15814" s="1">
        <v>0</v>
      </c>
      <c r="C15814" s="3">
        <v>44521.859097222223</v>
      </c>
      <c r="D15814" s="1" t="s">
        <v>31182</v>
      </c>
      <c r="E15814" s="1" t="str">
        <f ca="1">IFERROR(__xludf.DUMMYFUNCTION("GOOGLETRANSLATE(A12613 , ""tr"" , ""en"")"),"@drfahrettinka Mr. Ministry of Vaccine If the rate is so high these dead is our pocket. Please the people of the people")</f>
        <v>@drfahrettinka Mr. Ministry of Vaccine If the rate is so high these dead is our pocket. Please the people of the people</v>
      </c>
    </row>
    <row r="15815" spans="1:5" ht="15" customHeight="1" x14ac:dyDescent="0.2">
      <c r="A15815" s="1" t="s">
        <v>31183</v>
      </c>
      <c r="B15815" s="1">
        <v>0</v>
      </c>
      <c r="C15815" s="3">
        <v>44521.858495370368</v>
      </c>
      <c r="D15815" s="1" t="s">
        <v>31184</v>
      </c>
      <c r="E15815" s="1" t="str">
        <f ca="1">IFERROR(__xludf.DUMMYFUNCTION("GOOGLETRANSLATE(A12614 , ""tr"" , ""en"")"),"@drfahrettinka you are more of the vaccine than fahrettin husband #tirihtitymbir")</f>
        <v>@drfahrettinka you are more of the vaccine than fahrettin husband #tirihtitymbir</v>
      </c>
    </row>
    <row r="15816" spans="1:5" ht="15" customHeight="1" x14ac:dyDescent="0.2">
      <c r="A15816" s="1" t="s">
        <v>31185</v>
      </c>
      <c r="B15816" s="1">
        <v>0</v>
      </c>
      <c r="C15816" s="3">
        <v>44521.857546296298</v>
      </c>
      <c r="D15816" s="1" t="s">
        <v>31186</v>
      </c>
      <c r="E15816" s="1" t="str">
        <f ca="1">IFERROR(__xludf.DUMMYFUNCTION("GOOGLETRANSLATE(A12615 , ""tr"" , ""en"")"),"If @drfahrettinkoca has not been damaged by the vaccine, why don't people do the 1st dose. Asking ger ... https://t.co/w5cgpdcdgm")</f>
        <v>If @drfahrettinkoca has not been damaged by the vaccine, why don't people do the 1st dose. Asking ger ... https://t.co/w5cgpdcdgm</v>
      </c>
    </row>
    <row r="15817" spans="1:5" ht="15" customHeight="1" x14ac:dyDescent="0.2">
      <c r="A15817" s="1" t="s">
        <v>31187</v>
      </c>
      <c r="B15817" s="1">
        <v>0</v>
      </c>
      <c r="C15817" s="3">
        <v>44521.857141203705</v>
      </c>
      <c r="D15817" s="1" t="s">
        <v>31188</v>
      </c>
      <c r="E15817" s="1" t="str">
        <f ca="1">IFERROR(__xludf.DUMMYFUNCTION("GOOGLETRANSLATE(A12616 , ""tr"" , ""en"")"),"@drfahrettinka schoolskn is a week holiday if the case numbers have been influenced by the decrease in the decline so I think")</f>
        <v>@drfahrettinka schoolskn is a week holiday if the case numbers have been influenced by the decrease in the decline so I think</v>
      </c>
    </row>
    <row r="15818" spans="1:5" ht="15" customHeight="1" x14ac:dyDescent="0.2">
      <c r="A15818" s="1" t="s">
        <v>31189</v>
      </c>
      <c r="B15818" s="1">
        <v>11</v>
      </c>
      <c r="C15818" s="3">
        <v>44521.856041666666</v>
      </c>
      <c r="D15818" s="1" t="s">
        <v>31190</v>
      </c>
      <c r="E15818" s="1" t="str">
        <f ca="1">IFERROR(__xludf.DUMMYFUNCTION("GOOGLETRANSLATE(A12617 , ""tr"" , ""en"")"),"@drfahrettinka dollar increased, poverty increased, before the cabinet meeting, the virus decreased. #VelerendiselionLineGel")</f>
        <v>@drfahrettinka dollar increased, poverty increased, before the cabinet meeting, the virus decreased. #VelerendiselionLineGel</v>
      </c>
    </row>
    <row r="15819" spans="1:5" ht="15" customHeight="1" x14ac:dyDescent="0.2">
      <c r="A15819" s="1" t="s">
        <v>31191</v>
      </c>
      <c r="B15819" s="1">
        <v>1</v>
      </c>
      <c r="C15819" s="3">
        <v>44521.855532407404</v>
      </c>
      <c r="D15819" s="1" t="s">
        <v>31192</v>
      </c>
      <c r="E15819" s="1" t="str">
        <f ca="1">IFERROR(__xludf.DUMMYFUNCTION("GOOGLETRANSLATE(A12618 , ""tr"" , ""en"")"),"@drfahrettinkoca is exploding cases in countries that don't overcome the entire population. Don't be vaccinated, you're done pandem. https://t.co/vjn6n49gkw")</f>
        <v>@drfahrettinkoca is exploding cases in countries that don't overcome the entire population. Don't be vaccinated, you're done pandem. https://t.co/vjn6n49gkw</v>
      </c>
    </row>
    <row r="15820" spans="1:5" ht="15" customHeight="1" x14ac:dyDescent="0.2">
      <c r="A15820" s="1" t="s">
        <v>31193</v>
      </c>
      <c r="B15820" s="1">
        <v>0</v>
      </c>
      <c r="C15820" s="3">
        <v>44521.851087962961</v>
      </c>
      <c r="D15820" s="1" t="s">
        <v>31194</v>
      </c>
      <c r="E15820" s="1" t="str">
        <f ca="1">IFERROR(__xludf.DUMMYFUNCTION("GOOGLETRANSLATE(A12619 , ""tr"" , ""en"")"),"@drfahrettinkoca @AristidebanceVu If you share a map from the top of the last vaccine, I wonder if you are now sharing a map?")</f>
        <v>@drfahrettinkoca @AristidebanceVu If you share a map from the top of the last vaccine, I wonder if you are now sharing a map?</v>
      </c>
    </row>
    <row r="15821" spans="1:5" ht="15" customHeight="1" x14ac:dyDescent="0.2">
      <c r="A15821" s="1" t="s">
        <v>31195</v>
      </c>
      <c r="B15821" s="1">
        <v>1</v>
      </c>
      <c r="C15821" s="3">
        <v>44521.850925925923</v>
      </c>
      <c r="D15821" s="1" t="s">
        <v>31196</v>
      </c>
      <c r="E15821" s="1" t="str">
        <f ca="1">IFERROR(__xludf.DUMMYFUNCTION("GOOGLETRANSLATE(A12620 , ""tr"" , ""en"")"),"@drfahrettinkoca Humanity Saying Globalists as well as we know who want to vaccinate Also I'm reminded me ... https://t.co/mhuhzkxy6l")</f>
        <v>@drfahrettinkoca Humanity Saying Globalists as well as we know who want to vaccinate Also I'm reminded me ... https://t.co/mhuhzkxy6l</v>
      </c>
    </row>
    <row r="15822" spans="1:5" ht="15" customHeight="1" x14ac:dyDescent="0.2">
      <c r="A15822" s="1" t="s">
        <v>31197</v>
      </c>
      <c r="B15822" s="1">
        <v>0</v>
      </c>
      <c r="C15822" s="3">
        <v>44521.84983796296</v>
      </c>
      <c r="D15822" s="1" t="s">
        <v>31198</v>
      </c>
      <c r="E15822" s="1" t="str">
        <f ca="1">IFERROR(__xludf.DUMMYFUNCTION("GOOGLETRANSLATE(A12621 , ""tr"" , ""en"")"),"@drfahrettinkoca Hocam State Hstnesine Night Testing We're Calling on His Hours Come in His Hours We Are Called In Contagious H ... https://t.co/btdelhgm33")</f>
        <v>@drfahrettinkoca Hocam State Hstnesine Night Testing We're Calling on His Hours Come in His Hours We Are Called In Contagious H ... https://t.co/btdelhgm33</v>
      </c>
    </row>
    <row r="15823" spans="1:5" ht="15" customHeight="1" x14ac:dyDescent="0.2">
      <c r="A15823" s="1" t="s">
        <v>31199</v>
      </c>
      <c r="B15823" s="1">
        <v>1</v>
      </c>
      <c r="C15823" s="3">
        <v>44521.849560185183</v>
      </c>
      <c r="D15823" s="1" t="s">
        <v>31200</v>
      </c>
      <c r="E15823" s="1" t="str">
        <f ca="1">IFERROR(__xludf.DUMMYFUNCTION("GOOGLETRANSLATE(A12622 , ""tr"" , ""en"")"),"@drfahrettinkoca is at least 10 times that says science people in the world. States hide, ... https://t.co/fdoqkv7mx9")</f>
        <v>@drfahrettinkoca is at least 10 times that says science people in the world. States hide, ... https://t.co/fdoqkv7mx9</v>
      </c>
    </row>
    <row r="15824" spans="1:5" ht="15" customHeight="1" x14ac:dyDescent="0.2">
      <c r="A15824" s="1" t="s">
        <v>28918</v>
      </c>
      <c r="B15824" s="1">
        <v>2</v>
      </c>
      <c r="C15824" s="3">
        <v>44521.849479166667</v>
      </c>
      <c r="D15824" s="1" t="s">
        <v>31201</v>
      </c>
      <c r="E15824" s="1" t="str">
        <f ca="1">IFERROR(__xludf.DUMMYFUNCTION("GOOGLETRANSLATE(A12623 , ""tr"" , ""en"")"),"@drfahrettinkoca #velilerendiselionlineline")</f>
        <v>@drfahrettinkoca #velilerendiselionlineline</v>
      </c>
    </row>
    <row r="15825" spans="1:5" ht="15" customHeight="1" x14ac:dyDescent="0.2">
      <c r="A15825" s="1" t="s">
        <v>31202</v>
      </c>
      <c r="B15825" s="1">
        <v>5</v>
      </c>
      <c r="C15825" s="3">
        <v>44521.847743055558</v>
      </c>
      <c r="D15825" s="1" t="s">
        <v>31203</v>
      </c>
      <c r="E15825" s="1" t="str">
        <f ca="1">IFERROR(__xludf.DUMMYFUNCTION("GOOGLETRANSLATE(A12624 , ""tr"" , ""en"")"),"@drfahrettinkoca is also the first to favipiravir as we have brought the stocks until they are finished.")</f>
        <v>@drfahrettinkoca is also the first to favipiravir as we have brought the stocks until they are finished.</v>
      </c>
    </row>
    <row r="15826" spans="1:5" ht="15" customHeight="1" x14ac:dyDescent="0.2">
      <c r="A15826" s="1" t="s">
        <v>31204</v>
      </c>
      <c r="B15826" s="1">
        <v>0</v>
      </c>
      <c r="C15826" s="3">
        <v>44521.847731481481</v>
      </c>
      <c r="D15826" s="1" t="s">
        <v>31205</v>
      </c>
      <c r="E15826" s="1" t="str">
        <f ca="1">IFERROR(__xludf.DUMMYFUNCTION("GOOGLETRANSLATE(A12625 , ""tr"" , ""en"")"),"@drfahrettinkoca When will you understand when the graphen discussion does not come to the opposite group of Inc.I ... https://t.co/voykeclznx")</f>
        <v>@drfahrettinkoca When will you understand when the graphen discussion does not come to the opposite group of Inc.I ... https://t.co/voykeclznx</v>
      </c>
    </row>
    <row r="15827" spans="1:5" ht="15" customHeight="1" x14ac:dyDescent="0.2">
      <c r="A15827" s="1" t="s">
        <v>31206</v>
      </c>
      <c r="B15827" s="1">
        <v>0</v>
      </c>
      <c r="C15827" s="3">
        <v>44521.847685185188</v>
      </c>
      <c r="D15827" s="1" t="s">
        <v>31207</v>
      </c>
      <c r="E15827" s="1" t="str">
        <f ca="1">IFERROR(__xludf.DUMMYFUNCTION("GOOGLETRANSLATE(A12626 , ""tr"" , ""en"")"),"@drfahrettinkoca AK Party and other blinds 29 You see and prejudices with your eye in your battle minds and prejudices ... https://t.co/88zcwlo7aw")</f>
        <v>@drfahrettinkoca AK Party and other blinds 29 You see and prejudices with your eye in your battle minds and prejudices ... https://t.co/88zcwlo7aw</v>
      </c>
    </row>
    <row r="15828" spans="1:5" ht="15" customHeight="1" x14ac:dyDescent="0.2">
      <c r="A15828" s="1" t="s">
        <v>31208</v>
      </c>
      <c r="B15828" s="1">
        <v>0</v>
      </c>
      <c r="C15828" s="3">
        <v>44521.847638888888</v>
      </c>
      <c r="D15828" s="1" t="s">
        <v>31209</v>
      </c>
      <c r="E15828" s="1" t="str">
        <f ca="1">IFERROR(__xludf.DUMMYFUNCTION("GOOGLETRANSLATE(A12627 , ""tr"" , ""en"")"),"Think of @drfahrettinkoca Friends, Covid 19 is the only one in the world that killed 5 million people by producing Rotschild ... https://t.co/jagnv1xucc")</f>
        <v>Think of @drfahrettinkoca Friends, Covid 19 is the only one in the world that killed 5 million people by producing Rotschild ... https://t.co/jagnv1xucc</v>
      </c>
    </row>
    <row r="15829" spans="1:5" ht="15" customHeight="1" x14ac:dyDescent="0.2">
      <c r="A15829" s="1" t="s">
        <v>31210</v>
      </c>
      <c r="B15829" s="1">
        <v>0</v>
      </c>
      <c r="C15829" s="3">
        <v>44521.847592592596</v>
      </c>
      <c r="D15829" s="1" t="s">
        <v>31211</v>
      </c>
      <c r="E15829" s="1" t="str">
        <f ca="1">IFERROR(__xludf.DUMMYFUNCTION("GOOGLETRANSLATE(A12628 , ""tr"" , ""en"")"),"@drfahrettinkoca AK Party Blinds 26 They are entering the Adam generation. Allah has merciled to us. Thinking, ... https://t.co/nvwggxdbbh")</f>
        <v>@drfahrettinkoca AK Party Blinds 26 They are entering the Adam generation. Allah has merciled to us. Thinking, ... https://t.co/nvwggxdbbh</v>
      </c>
    </row>
    <row r="15830" spans="1:5" ht="15" customHeight="1" x14ac:dyDescent="0.2">
      <c r="A15830" s="1" t="s">
        <v>31212</v>
      </c>
      <c r="B15830" s="1">
        <v>0</v>
      </c>
      <c r="C15830" s="3">
        <v>44521.847557870373</v>
      </c>
      <c r="D15830" s="1" t="s">
        <v>31213</v>
      </c>
      <c r="E15830" s="1" t="str">
        <f ca="1">IFERROR(__xludf.DUMMYFUNCTION("GOOGLETRANSLATE(A12629 , ""tr"" , ""en"")"),"@drfahrettinkoca they knew what on the date of the adam of allah would face in which date in the date ... https://t.co/8edpl6xc6j")</f>
        <v>@drfahrettinkoca they knew what on the date of the adam of allah would face in which date in the date ... https://t.co/8edpl6xc6j</v>
      </c>
    </row>
    <row r="15831" spans="1:5" ht="15" customHeight="1" x14ac:dyDescent="0.2">
      <c r="A15831" s="1" t="s">
        <v>31214</v>
      </c>
      <c r="B15831" s="1">
        <v>0</v>
      </c>
      <c r="C15831" s="3">
        <v>44521.84752314815</v>
      </c>
      <c r="D15831" s="1" t="s">
        <v>31215</v>
      </c>
      <c r="E15831" s="1" t="str">
        <f ca="1">IFERROR(__xludf.DUMMYFUNCTION("GOOGLETRANSLATE(A12630 , ""tr"" , ""en"")"),"@drfahrettinkoca Covid 19 Darkness of the evidence! Inc.'s detox! Personality Disorders The original and treatment of the lie ... https://t.co/5pcvxy9bes")</f>
        <v>@drfahrettinkoca Covid 19 Darkness of the evidence! Inc.'s detox! Personality Disorders The original and treatment of the lie ... https://t.co/5pcvxy9bes</v>
      </c>
    </row>
    <row r="15832" spans="1:5" ht="15" customHeight="1" x14ac:dyDescent="0.2">
      <c r="A15832" s="1" t="s">
        <v>31216</v>
      </c>
      <c r="B15832" s="1">
        <v>0</v>
      </c>
      <c r="C15832" s="3">
        <v>44521.847488425927</v>
      </c>
      <c r="D15832" s="1" t="s">
        <v>31217</v>
      </c>
      <c r="E15832" s="1" t="str">
        <f ca="1">IFERROR(__xludf.DUMMYFUNCTION("GOOGLETRANSLATE(A12631 , ""tr"" , ""en"")"),"@drfahrettinkoca I told you and those who can make Adnan Oktar connection with what I showed and showed, Allah's Verd ... https://t.co/dqkuypwfhb")</f>
        <v>@drfahrettinkoca I told you and those who can make Adnan Oktar connection with what I showed and showed, Allah's Verd ... https://t.co/dqkuypwfhb</v>
      </c>
    </row>
    <row r="15833" spans="1:5" ht="15" customHeight="1" x14ac:dyDescent="0.2">
      <c r="A15833" s="1" t="s">
        <v>31218</v>
      </c>
      <c r="B15833" s="1">
        <v>5</v>
      </c>
      <c r="C15833" s="3">
        <v>44521.846759259257</v>
      </c>
      <c r="D15833" s="1" t="s">
        <v>31219</v>
      </c>
      <c r="E15833" s="1" t="str">
        <f ca="1">IFERROR(__xludf.DUMMYFUNCTION("GOOGLETRANSLATE(A12632 , ""tr"" , ""en"")"),"@drfahrettinkoca that shouldn't be so hard you have no right to keep us like this was 1 year No purchase is a Koskocaman ... https://t.co/2nee4fuckm")</f>
        <v>@drfahrettinkoca that shouldn't be so hard you have no right to keep us like this was 1 year No purchase is a Koskocaman ... https://t.co/2nee4fuckm</v>
      </c>
    </row>
    <row r="15834" spans="1:5" ht="15" customHeight="1" x14ac:dyDescent="0.2">
      <c r="A15834" s="1" t="s">
        <v>31220</v>
      </c>
      <c r="B15834" s="1">
        <v>0</v>
      </c>
      <c r="C15834" s="3">
        <v>44521.846180555556</v>
      </c>
      <c r="D15834" s="1" t="s">
        <v>31221</v>
      </c>
      <c r="E15834" s="1" t="str">
        <f ca="1">IFERROR(__xludf.DUMMYFUNCTION("GOOGLETRANSLATE(A12633 , ""tr"" , ""en"")"),"@drfahrettinka Mr. Fahrettin Husband Your Science Board is connected to your Science Board Haberturk channel Favorituravir medicine ... https://t.co/32ji50sfsj")</f>
        <v>@drfahrettinka Mr. Fahrettin Husband Your Science Board is connected to your Science Board Haberturk channel Favorituravir medicine ... https://t.co/32ji50sfsj</v>
      </c>
    </row>
    <row r="15835" spans="1:5" ht="15" customHeight="1" x14ac:dyDescent="0.2">
      <c r="A15835" s="1" t="s">
        <v>31222</v>
      </c>
      <c r="B15835" s="1">
        <v>1</v>
      </c>
      <c r="C15835" s="3">
        <v>44521.845763888887</v>
      </c>
      <c r="D15835" s="1" t="s">
        <v>31223</v>
      </c>
      <c r="E15835" s="1" t="str">
        <f ca="1">IFERROR(__xludf.DUMMYFUNCTION("GOOGLETRANSLATE(A12634 , ""tr"" , ""en"")"),"@drfahrettinkoca that shouldn't be so hard you have no right to hold us there was no purchase 1 year")</f>
        <v>@drfahrettinkoca that shouldn't be so hard you have no right to hold us there was no purchase 1 year</v>
      </c>
    </row>
    <row r="15836" spans="1:5" ht="15" customHeight="1" x14ac:dyDescent="0.2">
      <c r="A15836" s="1" t="s">
        <v>31224</v>
      </c>
      <c r="B15836" s="1">
        <v>2</v>
      </c>
      <c r="C15836" s="3">
        <v>44521.844907407409</v>
      </c>
      <c r="D15836" s="1" t="s">
        <v>31225</v>
      </c>
      <c r="E15836" s="1" t="str">
        <f ca="1">IFERROR(__xludf.DUMMYFUNCTION("GOOGLETRANSLATE(A12635 , ""tr"" , ""en"")"),"@drfahrettinkoca Gibraltarı Everyone is grown and cases high. New homeland friends who have stopped and stopped believing ... HTTPS://T.CO/CS0STCZEPI")</f>
        <v>@drfahrettinkoca Gibraltarı Everyone is grown and cases high. New homeland friends who have stopped and stopped believing ... HTTPS://T.CO/CS0STCZEPI</v>
      </c>
    </row>
    <row r="15837" spans="1:5" ht="15" customHeight="1" x14ac:dyDescent="0.2">
      <c r="A15837" s="1" t="s">
        <v>31226</v>
      </c>
      <c r="B15837" s="1">
        <v>0</v>
      </c>
      <c r="C15837" s="3">
        <v>44521.844513888886</v>
      </c>
      <c r="D15837" s="1" t="s">
        <v>31227</v>
      </c>
      <c r="E15837" s="1" t="str">
        <f ca="1">IFERROR(__xludf.DUMMYFUNCTION("GOOGLETRANSLATE(A12636 , ""tr"" , ""en"")"),"@drfahrettinka https://t.co/nrwkge5q5s")</f>
        <v>@drfahrettinka https://t.co/nrwkge5q5s</v>
      </c>
    </row>
    <row r="15838" spans="1:5" ht="15" customHeight="1" x14ac:dyDescent="0.2">
      <c r="A15838" s="1" t="s">
        <v>31228</v>
      </c>
      <c r="B15838" s="1">
        <v>0</v>
      </c>
      <c r="C15838" s="3">
        <v>44521.843275462961</v>
      </c>
      <c r="D15838" s="1" t="s">
        <v>31229</v>
      </c>
      <c r="E15838" s="1" t="str">
        <f ca="1">IFERROR(__xludf.DUMMYFUNCTION("GOOGLETRANSLATE(A12637 , ""tr"" , ""en"")"),"@drfahrettinkoca @saglikbakanligi Allah save us from you. Health enemies. People Horror Panic Anxiety V ... https://t.co/gj4nsihst")</f>
        <v>@drfahrettinkoca @saglikbakanligi Allah save us from you. Health enemies. People Horror Panic Anxiety V ... https://t.co/gj4nsihst</v>
      </c>
    </row>
    <row r="15839" spans="1:5" ht="15" customHeight="1" x14ac:dyDescent="0.2">
      <c r="A15839" s="1" t="s">
        <v>31230</v>
      </c>
      <c r="B15839" s="1">
        <v>0</v>
      </c>
      <c r="C15839" s="3">
        <v>44521.842905092592</v>
      </c>
      <c r="D15839" s="1" t="s">
        <v>31231</v>
      </c>
      <c r="E15839" s="1" t="str">
        <f ca="1">IFERROR(__xludf.DUMMYFUNCTION("GOOGLETRANSLATE(A12638 , ""tr"" , ""en"")"),"@drfahrettinkoca pharmaceutical stock is fell snow")</f>
        <v>@drfahrettinkoca pharmaceutical stock is fell snow</v>
      </c>
    </row>
    <row r="15840" spans="1:5" ht="15" customHeight="1" x14ac:dyDescent="0.2">
      <c r="A15840" s="1" t="s">
        <v>31232</v>
      </c>
      <c r="B15840" s="1">
        <v>0</v>
      </c>
      <c r="C15840" s="3">
        <v>44521.84233796296</v>
      </c>
      <c r="D15840" s="1" t="s">
        <v>31233</v>
      </c>
      <c r="E15840" s="1" t="str">
        <f ca="1">IFERROR(__xludf.DUMMYFUNCTION("GOOGLETRANSLATE(A12639 , ""tr"" , ""en"")"),"@drfahrettinkoca Give our share of our share to those who are unable to supply, but if you use it yourself it passes more")</f>
        <v>@drfahrettinkoca Give our share of our share to those who are unable to supply, but if you use it yourself it passes more</v>
      </c>
    </row>
    <row r="15841" spans="1:5" ht="15" customHeight="1" x14ac:dyDescent="0.2">
      <c r="A15841" s="1" t="s">
        <v>31234</v>
      </c>
      <c r="B15841" s="1">
        <v>0</v>
      </c>
      <c r="C15841" s="3">
        <v>44521.840185185189</v>
      </c>
      <c r="D15841" s="1" t="s">
        <v>31235</v>
      </c>
      <c r="E15841" s="1" t="str">
        <f ca="1">IFERROR(__xludf.DUMMYFUNCTION("GOOGLETRANSLATE(A12640 , ""tr"" , ""en"")"),"@drfahrettinkoca Mr. Overlooking Dad Favicovirden I don't like you since the day he died")</f>
        <v>@drfahrettinkoca Mr. Overlooking Dad Favicovirden I don't like you since the day he died</v>
      </c>
    </row>
    <row r="15842" spans="1:5" ht="15" customHeight="1" x14ac:dyDescent="0.2">
      <c r="A15842" s="1" t="s">
        <v>31236</v>
      </c>
      <c r="B15842" s="1">
        <v>0</v>
      </c>
      <c r="C15842" s="3">
        <v>44521.839826388888</v>
      </c>
      <c r="D15842" s="1" t="s">
        <v>31237</v>
      </c>
      <c r="E15842" s="1" t="str">
        <f ca="1">IFERROR(__xludf.DUMMYFUNCTION("GOOGLETRANSLATE(A12641 , ""tr"" , ""en"")"),"@drfahrettinkoca mosques have been passed to pure layout before epidemic GS_FB Derbibi played, 50,000 people, Mask &amp; amp; Distance ... https://t.co/odsgmcqpqj")</f>
        <v>@drfahrettinkoca mosques have been passed to pure layout before epidemic GS_FB Derbibi played, 50,000 people, Mask &amp; amp; Distance ... https://t.co/odsgmcqpqj</v>
      </c>
    </row>
    <row r="15843" spans="1:5" ht="15" customHeight="1" x14ac:dyDescent="0.2">
      <c r="A15843" s="1" t="s">
        <v>31238</v>
      </c>
      <c r="B15843" s="1">
        <v>0</v>
      </c>
      <c r="C15843" s="3">
        <v>44521.837025462963</v>
      </c>
      <c r="D15843" s="1" t="s">
        <v>31239</v>
      </c>
      <c r="E15843" s="1" t="str">
        <f ca="1">IFERROR(__xludf.DUMMYFUNCTION("GOOGLETRANSLATE(A12642 , ""tr"" , ""en"")"),"@drfahrettinkoca send it to the rates then. Even if you do bi good, go to you.")</f>
        <v>@drfahrettinkoca send it to the rates then. Even if you do bi good, go to you.</v>
      </c>
    </row>
    <row r="15844" spans="1:5" ht="15" customHeight="1" x14ac:dyDescent="0.2">
      <c r="A15844" s="1" t="s">
        <v>31240</v>
      </c>
      <c r="B15844" s="1">
        <v>0</v>
      </c>
      <c r="C15844" s="3">
        <v>44521.835046296299</v>
      </c>
      <c r="D15844" s="1" t="s">
        <v>31241</v>
      </c>
      <c r="E15844" s="1" t="str">
        <f ca="1">IFERROR(__xludf.DUMMYFUNCTION("GOOGLETRANSLATE(A12643 , ""tr"" , ""en"")"),"@drfahrettinkoca why is it good for options or not online training will be good in two sides students two to b ... https://t.co/ccn9mdp0ep")</f>
        <v>@drfahrettinkoca why is it good for options or not online training will be good in two sides students two to b ... https://t.co/ccn9mdp0ep</v>
      </c>
    </row>
    <row r="15845" spans="1:5" ht="15" customHeight="1" x14ac:dyDescent="0.2">
      <c r="A15845" s="1" t="s">
        <v>31242</v>
      </c>
      <c r="B15845" s="1">
        <v>0</v>
      </c>
      <c r="C15845" s="3">
        <v>44521.834247685183</v>
      </c>
      <c r="D15845" s="1" t="s">
        <v>31243</v>
      </c>
      <c r="E15845" s="1" t="str">
        <f ca="1">IFERROR(__xludf.DUMMYFUNCTION("GOOGLETRANSLATE(A12644 , ""tr"" , ""en"")"),"@drfahrettinkoca my mother has kilonic disease and my 3 kids are going to school is enough to live with this fear ... https://t.co/l1yqpxxur2")</f>
        <v>@drfahrettinkoca my mother has kilonic disease and my 3 kids are going to school is enough to live with this fear ... https://t.co/l1yqpxxur2</v>
      </c>
    </row>
    <row r="15846" spans="1:5" ht="15" customHeight="1" x14ac:dyDescent="0.2">
      <c r="A15846" s="1" t="s">
        <v>31244</v>
      </c>
      <c r="B15846" s="1">
        <v>1</v>
      </c>
      <c r="C15846" s="3">
        <v>44521.833645833336</v>
      </c>
      <c r="D15846" s="1" t="s">
        <v>31245</v>
      </c>
      <c r="E15846" s="1" t="str">
        <f ca="1">IFERROR(__xludf.DUMMYFUNCTION("GOOGLETRANSLATE(A12645 , ""tr"" , ""en"")"),"@drfahrettinkoca Deaths Vebali on your neck, you forget the other side of that this world is wide on that side ... https://t.co/s7dxhzfjv8")</f>
        <v>@drfahrettinkoca Deaths Vebali on your neck, you forget the other side of that this world is wide on that side ... https://t.co/s7dxhzfjv8</v>
      </c>
    </row>
    <row r="15847" spans="1:5" ht="15" customHeight="1" x14ac:dyDescent="0.2">
      <c r="A15847" s="1" t="s">
        <v>31246</v>
      </c>
      <c r="B15847" s="1">
        <v>0</v>
      </c>
      <c r="C15847" s="3">
        <v>44521.833622685182</v>
      </c>
      <c r="D15847" s="1" t="s">
        <v>31247</v>
      </c>
      <c r="E15847" s="1" t="str">
        <f ca="1">IFERROR(__xludf.DUMMYFUNCTION("GOOGLETRANSLATE(A12646 , ""tr"" , ""en"")"),"@drfahrettinka https://t.co/tvdkxrxdku")</f>
        <v>@drfahrettinka https://t.co/tvdkxrxdku</v>
      </c>
    </row>
    <row r="15848" spans="1:5" ht="15" customHeight="1" x14ac:dyDescent="0.2">
      <c r="A15848" s="1" t="s">
        <v>28918</v>
      </c>
      <c r="B15848" s="1">
        <v>1</v>
      </c>
      <c r="C15848" s="3">
        <v>44521.833310185182</v>
      </c>
      <c r="D15848" s="1" t="s">
        <v>31248</v>
      </c>
      <c r="E15848" s="1" t="str">
        <f ca="1">IFERROR(__xludf.DUMMYFUNCTION("GOOGLETRANSLATE(A12647 , ""tr"" , ""en"")"),"@drfahrettinkoca #velilerendiselionlineline")</f>
        <v>@drfahrettinkoca #velilerendiselionlineline</v>
      </c>
    </row>
    <row r="15849" spans="1:5" ht="15" customHeight="1" x14ac:dyDescent="0.2">
      <c r="A15849" s="1" t="s">
        <v>31249</v>
      </c>
      <c r="B15849" s="1">
        <v>0</v>
      </c>
      <c r="C15849" s="3">
        <v>44521.833171296297</v>
      </c>
      <c r="D15849" s="1" t="s">
        <v>31250</v>
      </c>
      <c r="E15849" s="1" t="str">
        <f ca="1">IFERROR(__xludf.DUMMYFUNCTION("GOOGLETRANSLATE(A12648 , ""tr"" , ""en"")"),"@drfahrettinka https://t.co/jaxzvpvnax")</f>
        <v>@drfahrettinka https://t.co/jaxzvpvnax</v>
      </c>
    </row>
    <row r="15850" spans="1:5" ht="15" customHeight="1" x14ac:dyDescent="0.2">
      <c r="A15850" s="1" t="s">
        <v>31251</v>
      </c>
      <c r="B15850" s="1">
        <v>2</v>
      </c>
      <c r="C15850" s="3">
        <v>44521.832071759258</v>
      </c>
      <c r="D15850" s="1" t="s">
        <v>31252</v>
      </c>
      <c r="E15850" s="1" t="str">
        <f ca="1">IFERROR(__xludf.DUMMYFUNCTION("GOOGLETRANSLATE(A12649 , ""tr"" , ""en"")"),"@drfahrettinkoca guide looking forward to tomorrow")</f>
        <v>@drfahrettinkoca guide looking forward to tomorrow</v>
      </c>
    </row>
    <row r="15851" spans="1:5" ht="15" customHeight="1" x14ac:dyDescent="0.2">
      <c r="A15851" s="1" t="s">
        <v>31253</v>
      </c>
      <c r="B15851" s="1">
        <v>18</v>
      </c>
      <c r="C15851" s="3">
        <v>44521.830300925925</v>
      </c>
      <c r="D15851" s="1" t="s">
        <v>31254</v>
      </c>
      <c r="E15851" s="1" t="str">
        <f ca="1">IFERROR(__xludf.DUMMYFUNCTION("GOOGLETRANSLATE(A12650 , ""tr"" , ""en"")"),"@drfahrettinkoca Minister Bey ... https://t.co/bd3gtxv0lu")</f>
        <v>@drfahrettinkoca Minister Bey ... https://t.co/bd3gtxv0lu</v>
      </c>
    </row>
    <row r="15852" spans="1:5" ht="15" customHeight="1" x14ac:dyDescent="0.2">
      <c r="A15852" s="1" t="s">
        <v>31255</v>
      </c>
      <c r="B15852" s="1">
        <v>6</v>
      </c>
      <c r="C15852" s="3">
        <v>44521.830081018517</v>
      </c>
      <c r="D15852" s="1" t="s">
        <v>31256</v>
      </c>
      <c r="E15852" s="1" t="str">
        <f ca="1">IFERROR(__xludf.DUMMYFUNCTION("GOOGLETRANSLATE(A12651 , ""tr"" , ""en"")"),"@drfahrettinkoca We do not say something different, whatever they want to be willing to whatever they are willing to say, but we ... https://t.co/mggrolfbeh")</f>
        <v>@drfahrettinkoca We do not say something different, whatever they want to be willing to whatever they are willing to say, but we ... https://t.co/mggrolfbeh</v>
      </c>
    </row>
    <row r="15853" spans="1:5" ht="15" customHeight="1" x14ac:dyDescent="0.2">
      <c r="A15853" s="1" t="s">
        <v>31257</v>
      </c>
      <c r="B15853" s="1">
        <v>1</v>
      </c>
      <c r="C15853" s="3">
        <v>44521.829502314817</v>
      </c>
      <c r="D15853" s="1" t="s">
        <v>31258</v>
      </c>
      <c r="E15853" s="1" t="str">
        <f ca="1">IFERROR(__xludf.DUMMYFUNCTION("GOOGLETRANSLATE(A12652 , ""tr"" , ""en"")"),"@drfahrettinkoca liar liar No one believes anyone ...... had a boy song like that hay allah came to my mind ... https://t.co/bazcbzqfam")</f>
        <v>@drfahrettinkoca liar liar No one believes anyone ...... had a boy song like that hay allah came to my mind ... https://t.co/bazcbzqfam</v>
      </c>
    </row>
    <row r="15854" spans="1:5" ht="15" customHeight="1" x14ac:dyDescent="0.2">
      <c r="A15854" s="1" t="s">
        <v>31259</v>
      </c>
      <c r="B15854" s="1">
        <v>0</v>
      </c>
      <c r="C15854" s="3">
        <v>44521.829409722224</v>
      </c>
      <c r="D15854" s="1" t="s">
        <v>31260</v>
      </c>
      <c r="E15854" s="1" t="str">
        <f ca="1">IFERROR(__xludf.DUMMYFUNCTION("GOOGLETRANSLATE(A12653 , ""tr"" , ""en"")"),"@drfahrettinkoca #türkovac when doesn't it sound like something?")</f>
        <v>@drfahrettinkoca #türkovac when doesn't it sound like something?</v>
      </c>
    </row>
    <row r="15855" spans="1:5" ht="15" customHeight="1" x14ac:dyDescent="0.2">
      <c r="A15855" s="1" t="s">
        <v>16190</v>
      </c>
      <c r="B15855" s="1">
        <v>0</v>
      </c>
      <c r="C15855" s="3">
        <v>44521.828993055555</v>
      </c>
      <c r="D15855" s="1" t="s">
        <v>31261</v>
      </c>
      <c r="E15855" s="1" t="str">
        <f ca="1">IFERROR(__xludf.DUMMYFUNCTION("GOOGLETRANSLATE(A12654 , ""tr"" , ""en"")"),"@drfahrettinkoca defolup goes the country if you get rid of you vaccine merchant resign")</f>
        <v>@drfahrettinkoca defolup goes the country if you get rid of you vaccine merchant resign</v>
      </c>
    </row>
    <row r="15856" spans="1:5" ht="15" customHeight="1" x14ac:dyDescent="0.2">
      <c r="A15856" s="1" t="s">
        <v>31262</v>
      </c>
      <c r="B15856" s="1">
        <v>0</v>
      </c>
      <c r="C15856" s="3">
        <v>44521.826620370368</v>
      </c>
      <c r="D15856" s="1" t="s">
        <v>31263</v>
      </c>
      <c r="E15856" s="1" t="str">
        <f ca="1">IFERROR(__xludf.DUMMYFUNCTION("GOOGLETRANSLATE(A12655 , ""tr"" , ""en"")"),"@drfahrettinkoca humanity is willing! Go to those who are eager to liquid then, holding you on? Others ... https://t.co/uz7bepd0rh")</f>
        <v>@drfahrettinkoca humanity is willing! Go to those who are eager to liquid then, holding you on? Others ... https://t.co/uz7bepd0rh</v>
      </c>
    </row>
    <row r="15857" spans="1:5" ht="15" customHeight="1" x14ac:dyDescent="0.2">
      <c r="A15857" s="1" t="s">
        <v>31264</v>
      </c>
      <c r="B15857" s="1">
        <v>2</v>
      </c>
      <c r="C15857" s="3">
        <v>44521.826192129629</v>
      </c>
      <c r="D15857" s="1" t="s">
        <v>31265</v>
      </c>
      <c r="E15857" s="1" t="str">
        <f ca="1">IFERROR(__xludf.DUMMYFUNCTION("GOOGLETRANSLATE(A12656 , ""tr"" , ""en"")"),"@drfahrettinkoca Physiotherapists WESİSE A Fair Guide")</f>
        <v>@drfahrettinkoca Physiotherapists WESİSE A Fair Guide</v>
      </c>
    </row>
    <row r="15858" spans="1:5" ht="15" customHeight="1" x14ac:dyDescent="0.2">
      <c r="A15858" s="1" t="s">
        <v>31266</v>
      </c>
      <c r="B15858" s="1">
        <v>1</v>
      </c>
      <c r="C15858" s="3">
        <v>44521.82608796296</v>
      </c>
      <c r="D15858" s="1" t="s">
        <v>31267</v>
      </c>
      <c r="E15858" s="1" t="str">
        <f ca="1">IFERROR(__xludf.DUMMYFUNCTION("GOOGLETRANSLATE(A12657 , ""tr"" , ""en"")"),"@drfahrettinkoca Physiotherapists wanted the fair guide")</f>
        <v>@drfahrettinkoca Physiotherapists wanted the fair guide</v>
      </c>
    </row>
    <row r="15859" spans="1:5" ht="15" customHeight="1" x14ac:dyDescent="0.2">
      <c r="A15859" s="1" t="s">
        <v>31268</v>
      </c>
      <c r="B15859" s="1">
        <v>1</v>
      </c>
      <c r="C15859" s="3">
        <v>44521.825995370367</v>
      </c>
      <c r="D15859" s="1" t="s">
        <v>31269</v>
      </c>
      <c r="E15859" s="1" t="str">
        <f ca="1">IFERROR(__xludf.DUMMYFUNCTION("GOOGLETRANSLATE(A12658 , ""tr"" , ""en"")"),"@drfahrettinkoca Physiotherapists Want A Fair Guide")</f>
        <v>@drfahrettinkoca Physiotherapists Want A Fair Guide</v>
      </c>
    </row>
    <row r="15860" spans="1:5" ht="15" customHeight="1" x14ac:dyDescent="0.2">
      <c r="A15860" s="1" t="s">
        <v>31270</v>
      </c>
      <c r="B15860" s="1">
        <v>0</v>
      </c>
      <c r="C15860" s="3">
        <v>44521.825787037036</v>
      </c>
      <c r="D15860" s="1" t="s">
        <v>31271</v>
      </c>
      <c r="E15860" s="1" t="str">
        <f ca="1">IFERROR(__xludf.DUMMYFUNCTION("GOOGLETRANSLATE(A12659 , ""tr"" , ""en"")"),"@drfahrettinkoca physiotherapists wants fair guide")</f>
        <v>@drfahrettinkoca physiotherapists wants fair guide</v>
      </c>
    </row>
    <row r="15861" spans="1:5" ht="15" customHeight="1" x14ac:dyDescent="0.2">
      <c r="A15861" s="1" t="s">
        <v>31272</v>
      </c>
      <c r="B15861" s="1">
        <v>6</v>
      </c>
      <c r="C15861" s="3">
        <v>44521.825729166667</v>
      </c>
      <c r="D15861" s="1" t="s">
        <v>31273</v>
      </c>
      <c r="E15861" s="1" t="str">
        <f ca="1">IFERROR(__xludf.DUMMYFUNCTION("GOOGLETRANSLATE(A12660 , ""tr"" , ""en"")"),"@drfahrettinkoca Whose pocket with Favibravir is full of your account before you give his account the people in the whole country ... https://t.co/fkkwahycen")</f>
        <v>@drfahrettinkoca Whose pocket with Favibravir is full of your account before you give his account the people in the whole country ... https://t.co/fkkwahycen</v>
      </c>
    </row>
    <row r="15862" spans="1:5" ht="15" customHeight="1" x14ac:dyDescent="0.2">
      <c r="A15862" s="1" t="s">
        <v>31274</v>
      </c>
      <c r="B15862" s="1">
        <v>0</v>
      </c>
      <c r="C15862" s="3">
        <v>44521.824675925927</v>
      </c>
      <c r="D15862" s="1" t="s">
        <v>31275</v>
      </c>
      <c r="E15862" s="1" t="str">
        <f ca="1">IFERROR(__xludf.DUMMYFUNCTION("GOOGLETRANSLATE(A12661 , ""tr"" , ""en"")"),"@drfahrettinkoca 🧿")</f>
        <v>@drfahrettinkoca 🧿</v>
      </c>
    </row>
    <row r="15863" spans="1:5" ht="15" customHeight="1" x14ac:dyDescent="0.2">
      <c r="A15863" s="1" t="s">
        <v>31276</v>
      </c>
      <c r="B15863" s="1">
        <v>0</v>
      </c>
      <c r="C15863" s="3">
        <v>44521.824131944442</v>
      </c>
      <c r="D15863" s="1" t="s">
        <v>31277</v>
      </c>
      <c r="E15863" s="1" t="str">
        <f ca="1">IFERROR(__xludf.DUMMYFUNCTION("GOOGLETRANSLATE(A12662 , ""tr"" , ""en"")"),"@drfahrettinkoca 3 COVIDE CAVIDE CAVIDE CAVED AND RESTROPTIFICE CODEDIFUCK VULINE ... https://t.co/bmqr7tke9i")</f>
        <v>@drfahrettinkoca 3 COVIDE CAVIDE CAVIDE CAVED AND RESTROPTIFICE CODEDIFUCK VULINE ... https://t.co/bmqr7tke9i</v>
      </c>
    </row>
    <row r="15864" spans="1:5" ht="15" customHeight="1" x14ac:dyDescent="0.2">
      <c r="A15864" s="1" t="s">
        <v>31278</v>
      </c>
      <c r="B15864" s="1">
        <v>0</v>
      </c>
      <c r="C15864" s="3">
        <v>44521.824074074073</v>
      </c>
      <c r="D15864" s="1" t="s">
        <v>31279</v>
      </c>
      <c r="E15864" s="1" t="str">
        <f ca="1">IFERROR(__xludf.DUMMYFUNCTION("GOOGLETRANSLATE(A12663 , ""tr"" , ""en"")"),"@drfahrettinkoca These people are not subjects to experiment on your superiors, you have the right of what you have the right ... https://t.co/jktu8hb264")</f>
        <v>@drfahrettinkoca These people are not subjects to experiment on your superiors, you have the right of what you have the right ... https://t.co/jktu8hb264</v>
      </c>
    </row>
    <row r="15865" spans="1:5" ht="15" customHeight="1" x14ac:dyDescent="0.2">
      <c r="A15865" s="1" t="s">
        <v>31280</v>
      </c>
      <c r="B15865" s="1">
        <v>0</v>
      </c>
      <c r="C15865" s="3">
        <v>44521.823865740742</v>
      </c>
      <c r="D15865" s="1" t="s">
        <v>31281</v>
      </c>
      <c r="E15865" s="1" t="str">
        <f ca="1">IFERROR(__xludf.DUMMYFUNCTION("GOOGLETRANSLATE(A12664 , ""tr"" , ""en"")"),"@drfahrettinka Mr. Minister ..... Come two weeks ago 40 thousand.")</f>
        <v>@drfahrettinka Mr. Minister ..... Come two weeks ago 40 thousand.</v>
      </c>
    </row>
    <row r="15866" spans="1:5" ht="15" customHeight="1" x14ac:dyDescent="0.2">
      <c r="A15866" s="1" t="s">
        <v>31282</v>
      </c>
      <c r="B15866" s="1">
        <v>0</v>
      </c>
      <c r="C15866" s="3">
        <v>44521.823599537034</v>
      </c>
      <c r="D15866" s="1" t="s">
        <v>31283</v>
      </c>
      <c r="E15866" s="1" t="str">
        <f ca="1">IFERROR(__xludf.DUMMYFUNCTION("GOOGLETRANSLATE(A12665 , ""tr"" , ""en"")"),"@drfahrettinkoca yes Dear Minister Bey Germany Vaccine is unable to supply bi hand throw up")</f>
        <v>@drfahrettinkoca yes Dear Minister Bey Germany Vaccine is unable to supply bi hand throw up</v>
      </c>
    </row>
    <row r="15867" spans="1:5" ht="15" customHeight="1" x14ac:dyDescent="0.2">
      <c r="A15867" s="1" t="s">
        <v>31284</v>
      </c>
      <c r="B15867" s="1">
        <v>0</v>
      </c>
      <c r="C15867" s="3">
        <v>44521.823206018518</v>
      </c>
      <c r="D15867" s="1" t="s">
        <v>31285</v>
      </c>
      <c r="E15867" s="1" t="str">
        <f ca="1">IFERROR(__xludf.DUMMYFUNCTION("GOOGLETRANSLATE(A12666 , ""tr"" , ""en"")"),"@drfahrettinka https://t.co/zwgss1kmu7")</f>
        <v>@drfahrettinka https://t.co/zwgss1kmu7</v>
      </c>
    </row>
    <row r="15868" spans="1:5" ht="15" customHeight="1" x14ac:dyDescent="0.2">
      <c r="A15868" s="1" t="s">
        <v>31286</v>
      </c>
      <c r="B15868" s="1">
        <v>0</v>
      </c>
      <c r="C15868" s="3">
        <v>44521.821747685186</v>
      </c>
      <c r="D15868" s="1" t="s">
        <v>31287</v>
      </c>
      <c r="E15868" s="1" t="str">
        <f ca="1">IFERROR(__xludf.DUMMYFUNCTION("GOOGLETRANSLATE(A12667 , ""tr"" , ""en"")"),"@drfahrettinka https://t.co/srtn8r2yer")</f>
        <v>@drfahrettinka https://t.co/srtn8r2yer</v>
      </c>
    </row>
    <row r="15869" spans="1:5" ht="15" customHeight="1" x14ac:dyDescent="0.2">
      <c r="A15869" s="1" t="s">
        <v>31288</v>
      </c>
      <c r="B15869" s="1">
        <v>0</v>
      </c>
      <c r="C15869" s="3">
        <v>44521.821631944447</v>
      </c>
      <c r="D15869" s="1" t="s">
        <v>31289</v>
      </c>
      <c r="E15869" s="1" t="str">
        <f ca="1">IFERROR(__xludf.DUMMYFUNCTION("GOOGLETRANSLATE(A12668 , ""tr"" , ""en"")"),"@drfahrettinkoca inshallah These folks see the facts when they awaken in the thesis time, do not believe in liars like you, du ... https://t.co/rnkvzpkıf4")</f>
        <v>@drfahrettinkoca inshallah These folks see the facts when they awaken in the thesis time, do not believe in liars like you, du ... https://t.co/rnkvzpkıf4</v>
      </c>
    </row>
    <row r="15870" spans="1:5" ht="15" customHeight="1" x14ac:dyDescent="0.2">
      <c r="A15870" s="1" t="s">
        <v>31290</v>
      </c>
      <c r="B15870" s="1">
        <v>0</v>
      </c>
      <c r="C15870" s="3">
        <v>44521.821562500001</v>
      </c>
      <c r="D15870" s="1" t="s">
        <v>31291</v>
      </c>
      <c r="E15870" s="1" t="str">
        <f ca="1">IFERROR(__xludf.DUMMYFUNCTION("GOOGLETRANSLATE(A12669 , ""tr"" , ""en"")"),"@drfahrettinka https://t.co/cxqblx0lbw")</f>
        <v>@drfahrettinka https://t.co/cxqblx0lbw</v>
      </c>
    </row>
    <row r="15871" spans="1:5" ht="15" customHeight="1" x14ac:dyDescent="0.2">
      <c r="A15871" s="1" t="s">
        <v>31292</v>
      </c>
      <c r="B15871" s="1">
        <v>0</v>
      </c>
      <c r="C15871" s="3">
        <v>44521.821446759262</v>
      </c>
      <c r="D15871" s="1" t="s">
        <v>31293</v>
      </c>
      <c r="E15871" s="1" t="str">
        <f ca="1">IFERROR(__xludf.DUMMYFUNCTION("GOOGLETRANSLATE(A12670 , ""tr"" , ""en"")"),"@drfahrettinka https://t.co/ofxozkbbzb")</f>
        <v>@drfahrettinka https://t.co/ofxozkbbzb</v>
      </c>
    </row>
    <row r="15872" spans="1:5" ht="15" customHeight="1" x14ac:dyDescent="0.2">
      <c r="A15872" s="1" t="s">
        <v>31294</v>
      </c>
      <c r="B15872" s="1">
        <v>0</v>
      </c>
      <c r="C15872" s="3">
        <v>44521.820729166669</v>
      </c>
      <c r="D15872" s="1" t="s">
        <v>31295</v>
      </c>
      <c r="E15872" s="1" t="str">
        <f ca="1">IFERROR(__xludf.DUMMYFUNCTION("GOOGLETRANSLATE(A12671 , ""tr"" , ""en"")"),"@drfahrettinka No November 21 2020 Vaccine! Tests: 152,214 Case Number: No data Patients: 5.532 Death: 135 21 Ka ... https://t.co/rx90ru26df")</f>
        <v>@drfahrettinka No November 21 2020 Vaccine! Tests: 152,214 Case Number: No data Patients: 5.532 Death: 135 21 Ka ... https://t.co/rx90ru26df</v>
      </c>
    </row>
    <row r="15873" spans="1:5" ht="15" customHeight="1" x14ac:dyDescent="0.2">
      <c r="A15873" s="1" t="s">
        <v>31296</v>
      </c>
      <c r="B15873" s="1">
        <v>98</v>
      </c>
      <c r="C15873" s="3">
        <v>44521.8203587963</v>
      </c>
      <c r="D15873" s="1" t="s">
        <v>31297</v>
      </c>
      <c r="E15873" s="1" t="str">
        <f ca="1">IFERROR(__xludf.DUMMYFUNCTION("GOOGLETRANSLATE(A12672 , ""tr"" , ""en"")"),"@drfahrettinkoca What success is the Successful Successful Master!? Humanity is eager to vaccine! Citizen to you and licensed s ... https://t.co/3srneahswc")</f>
        <v>@drfahrettinkoca What success is the Successful Successful Master!? Humanity is eager to vaccine! Citizen to you and licensed s ... https://t.co/3srneahswc</v>
      </c>
    </row>
    <row r="15874" spans="1:5" ht="15" customHeight="1" x14ac:dyDescent="0.2">
      <c r="A15874" s="1" t="s">
        <v>31298</v>
      </c>
      <c r="B15874" s="1">
        <v>2</v>
      </c>
      <c r="C15874" s="3">
        <v>44521.818356481483</v>
      </c>
      <c r="D15874" s="1" t="s">
        <v>31299</v>
      </c>
      <c r="E15874" s="1" t="str">
        <f ca="1">IFERROR(__xludf.DUMMYFUNCTION("GOOGLETRANSLATE(A12673 , ""tr"" , ""en"")"),"@drfahrettinka you are dragging people to a cliff with no returns with vaccines and drugs")</f>
        <v>@drfahrettinka you are dragging people to a cliff with no returns with vaccines and drugs</v>
      </c>
    </row>
    <row r="15875" spans="1:5" ht="15" customHeight="1" x14ac:dyDescent="0.2">
      <c r="A15875" s="1" t="s">
        <v>31300</v>
      </c>
      <c r="B15875" s="1">
        <v>0</v>
      </c>
      <c r="C15875" s="3">
        <v>44521.818333333336</v>
      </c>
      <c r="D15875" s="1" t="s">
        <v>31301</v>
      </c>
      <c r="E15875" s="1" t="str">
        <f ca="1">IFERROR(__xludf.DUMMYFUNCTION("GOOGLETRANSLATE(A12674 , ""tr"" , ""en"")"),"@drfahrettinkoca enough enough enough Every day is that our hate prolifer is who manages this account?")</f>
        <v>@drfahrettinkoca enough enough enough Every day is that our hate prolifer is who manages this account?</v>
      </c>
    </row>
    <row r="15876" spans="1:5" ht="15" customHeight="1" x14ac:dyDescent="0.2">
      <c r="A15876" s="1" t="s">
        <v>31302</v>
      </c>
      <c r="B15876" s="1">
        <v>0</v>
      </c>
      <c r="C15876" s="3">
        <v>44521.818240740744</v>
      </c>
      <c r="D15876" s="1" t="s">
        <v>31303</v>
      </c>
      <c r="E15876" s="1" t="str">
        <f ca="1">IFERROR(__xludf.DUMMYFUNCTION("GOOGLETRANSLATE(A12675 , ""tr"" , ""en"")"),"@drfahrettinkoca 2 doses 1 month after 1 month has had a 34-year-old heart attack. Egmi Bi ... https://t.co/otqqcmoran")</f>
        <v>@drfahrettinkoca 2 doses 1 month after 1 month has had a 34-year-old heart attack. Egmi Bi ... https://t.co/otqqcmoran</v>
      </c>
    </row>
    <row r="15877" spans="1:5" ht="15" customHeight="1" x14ac:dyDescent="0.2">
      <c r="A15877" s="1" t="s">
        <v>31304</v>
      </c>
      <c r="B15877" s="1">
        <v>0</v>
      </c>
      <c r="C15877" s="3">
        <v>44521.818124999998</v>
      </c>
      <c r="D15877" s="1" t="s">
        <v>31305</v>
      </c>
      <c r="E15877" s="1" t="str">
        <f ca="1">IFERROR(__xludf.DUMMYFUNCTION("GOOGLETRANSLATE(A12676 , ""tr"" , ""en"")"),"@drfahrettinkoca Halal get you glorious urfa ...")</f>
        <v>@drfahrettinkoca Halal get you glorious urfa ...</v>
      </c>
    </row>
    <row r="15878" spans="1:5" ht="15" customHeight="1" x14ac:dyDescent="0.2">
      <c r="A15878" s="1" t="s">
        <v>31306</v>
      </c>
      <c r="B15878" s="1">
        <v>0</v>
      </c>
      <c r="C15878" s="3">
        <v>44521.816817129627</v>
      </c>
      <c r="D15878" s="1" t="s">
        <v>31307</v>
      </c>
      <c r="E15878" s="1" t="str">
        <f ca="1">IFERROR(__xludf.DUMMYFUNCTION("GOOGLETRANSLATE(A12677 , ""tr"" , ""en"")"),"@drfahrettinka vaccine PCR Please hear our voice now")</f>
        <v>@drfahrettinka vaccine PCR Please hear our voice now</v>
      </c>
    </row>
    <row r="15879" spans="1:5" ht="15" customHeight="1" x14ac:dyDescent="0.2">
      <c r="A15879" s="1" t="s">
        <v>31308</v>
      </c>
      <c r="B15879" s="1">
        <v>0</v>
      </c>
      <c r="C15879" s="3">
        <v>44521.81653935185</v>
      </c>
      <c r="D15879" s="1" t="s">
        <v>31309</v>
      </c>
      <c r="E15879" s="1" t="str">
        <f ca="1">IFERROR(__xludf.DUMMYFUNCTION("GOOGLETRANSLATE(A12678 , ""tr"" , ""en"")"),"@drfahrettinka https://t.co/padslhp6el")</f>
        <v>@drfahrettinka https://t.co/padslhp6el</v>
      </c>
    </row>
    <row r="15880" spans="1:5" ht="15" customHeight="1" x14ac:dyDescent="0.2">
      <c r="A15880" s="1" t="s">
        <v>31310</v>
      </c>
      <c r="B15880" s="1">
        <v>0</v>
      </c>
      <c r="C15880" s="3">
        <v>44521.816157407404</v>
      </c>
      <c r="D15880" s="1" t="s">
        <v>31311</v>
      </c>
      <c r="E15880" s="1" t="str">
        <f ca="1">IFERROR(__xludf.DUMMYFUNCTION("GOOGLETRANSLATE(A12679 , ""tr"" , ""en"")"),"@drfahrettinkoca turkovac when will be duties. I'm waiting for him @drfahrettinkoca")</f>
        <v>@drfahrettinkoca turkovac when will be duties. I'm waiting for him @drfahrettinkoca</v>
      </c>
    </row>
    <row r="15881" spans="1:5" ht="15" customHeight="1" x14ac:dyDescent="0.2">
      <c r="A15881" s="1" t="s">
        <v>31312</v>
      </c>
      <c r="B15881" s="1">
        <v>0</v>
      </c>
      <c r="C15881" s="3">
        <v>44521.814699074072</v>
      </c>
      <c r="D15881" s="1" t="s">
        <v>31313</v>
      </c>
      <c r="E15881" s="1" t="str">
        <f ca="1">IFERROR(__xludf.DUMMYFUNCTION("GOOGLETRANSLATE(A12680 , ""tr"" , ""en"")"),"@drfahrettinkoca eee is enough to be gross .. 80% over 18 years of age ?? This is what is the hardest ...")</f>
        <v>@drfahrettinkoca eee is enough to be gross .. 80% over 18 years of age ?? This is what is the hardest ...</v>
      </c>
    </row>
    <row r="15882" spans="1:5" ht="15" customHeight="1" x14ac:dyDescent="0.2">
      <c r="A15882" s="1" t="s">
        <v>31314</v>
      </c>
      <c r="B15882" s="1">
        <v>0</v>
      </c>
      <c r="C15882" s="3">
        <v>44522.917997685188</v>
      </c>
      <c r="D15882" s="1" t="s">
        <v>31315</v>
      </c>
      <c r="E15882" s="1" t="str">
        <f ca="1">IFERROR(__xludf.DUMMYFUNCTION("GOOGLETRANSLATE(A12681 , ""tr"" , ""en"")"),"@drfahrettinkoca Secured people, water suffering from children and the agony in the agony how to see families in the comfort ... https://t.co/eheqovvey")</f>
        <v>@drfahrettinkoca Secured people, water suffering from children and the agony in the agony how to see families in the comfort ... https://t.co/eheqovvey</v>
      </c>
    </row>
    <row r="15883" spans="1:5" ht="15" customHeight="1" x14ac:dyDescent="0.2">
      <c r="A15883" s="1" t="s">
        <v>31316</v>
      </c>
      <c r="B15883" s="1">
        <v>0</v>
      </c>
      <c r="C15883" s="3">
        <v>44521.928553240738</v>
      </c>
      <c r="D15883" s="1" t="s">
        <v>31317</v>
      </c>
      <c r="E15883" s="1" t="str">
        <f ca="1">IFERROR(__xludf.DUMMYFUNCTION("GOOGLETRANSLATE(A12682 , ""tr"" , ""en"")"),"@drfahrettinka all in the vaccine in the blue category. These data make a reduction in aside to increase the desire to be vaccinated. Province ... https://t.co/05rrcjc671")</f>
        <v>@drfahrettinka all in the vaccine in the blue category. These data make a reduction in aside to increase the desire to be vaccinated. Province ... https://t.co/05rrcjc671</v>
      </c>
    </row>
    <row r="15884" spans="1:5" ht="15" customHeight="1" x14ac:dyDescent="0.2">
      <c r="A15884" s="1" t="s">
        <v>31318</v>
      </c>
      <c r="B15884" s="1">
        <v>0</v>
      </c>
      <c r="C15884" s="3">
        <v>44521.904641203706</v>
      </c>
      <c r="D15884" s="1" t="s">
        <v>31319</v>
      </c>
      <c r="E15884" s="1" t="str">
        <f ca="1">IFERROR(__xludf.DUMMYFUNCTION("GOOGLETRANSLATE(A12683 , ""tr"" , ""en"")"),"@drfahrettinkoca BI Baksana In vaccination rates in these provinces is about 80% of the cases increasing. Inscription in one's ... https://t.co/up4xszzgo7")</f>
        <v>@drfahrettinkoca BI Baksana In vaccination rates in these provinces is about 80% of the cases increasing. Inscription in one's ... https://t.co/up4xszzgo7</v>
      </c>
    </row>
    <row r="15885" spans="1:5" ht="15" customHeight="1" x14ac:dyDescent="0.2">
      <c r="A15885" s="1" t="s">
        <v>28405</v>
      </c>
      <c r="B15885" s="1">
        <v>2</v>
      </c>
      <c r="C15885" s="3">
        <v>44521.90384259259</v>
      </c>
      <c r="D15885" s="1" t="s">
        <v>31320</v>
      </c>
      <c r="E15885" s="1" t="str">
        <f ca="1">IFERROR(__xludf.DUMMYFUNCTION("GOOGLETRANSLATE(A12684 , ""tr"" , ""en"")"),"@drfahrettinkoca dietitians are looking forward to assigning a large number of assignments to the minister 91 points are still agencies")</f>
        <v>@drfahrettinkoca dietitians are looking forward to assigning a large number of assignments to the minister 91 points are still agencies</v>
      </c>
    </row>
    <row r="15886" spans="1:5" ht="15" customHeight="1" x14ac:dyDescent="0.2">
      <c r="A15886" s="1" t="s">
        <v>31321</v>
      </c>
      <c r="B15886" s="1">
        <v>1</v>
      </c>
      <c r="C15886" s="3">
        <v>44521.893923611111</v>
      </c>
      <c r="D15886" s="1" t="s">
        <v>31322</v>
      </c>
      <c r="E15886" s="1" t="str">
        <f ca="1">IFERROR(__xludf.DUMMYFUNCTION("GOOGLETRANSLATE(A12685 , ""tr"" , ""en"")"),"@drfahrettinkoca eee what measures do you expect to buy")</f>
        <v>@drfahrettinkoca eee what measures do you expect to buy</v>
      </c>
    </row>
    <row r="15887" spans="1:5" ht="15" customHeight="1" x14ac:dyDescent="0.2">
      <c r="A15887" s="1" t="s">
        <v>31323</v>
      </c>
      <c r="B15887" s="1">
        <v>0</v>
      </c>
      <c r="C15887" s="3">
        <v>44521.887789351851</v>
      </c>
      <c r="D15887" s="1" t="s">
        <v>31324</v>
      </c>
      <c r="E15887" s="1" t="str">
        <f ca="1">IFERROR(__xludf.DUMMYFUNCTION("GOOGLETRANSLATE(A12686 , ""tr"" , ""en"")"),"@drfahrettinkoca Minister Bey One is better if you describe the vaccination rate in these provinces. Hani has been maintaining vaccine either violet")</f>
        <v>@drfahrettinkoca Minister Bey One is better if you describe the vaccination rate in these provinces. Hani has been maintaining vaccine either violet</v>
      </c>
    </row>
    <row r="15888" spans="1:5" ht="15" customHeight="1" x14ac:dyDescent="0.2">
      <c r="A15888" s="1" t="s">
        <v>31325</v>
      </c>
      <c r="B15888" s="1">
        <v>0</v>
      </c>
      <c r="C15888" s="3">
        <v>44521.884456018517</v>
      </c>
      <c r="D15888" s="1" t="s">
        <v>31326</v>
      </c>
      <c r="E15888" s="1" t="str">
        <f ca="1">IFERROR(__xludf.DUMMYFUNCTION("GOOGLETRANSLATE(A12687 , ""tr"" , ""en"")"),"@drfahrettinkoca If I have something to study the university then I'm in the World Ohiret Side 😠")</f>
        <v>@drfahrettinkoca If I have something to study the university then I'm in the World Ohiret Side 😠</v>
      </c>
    </row>
    <row r="15889" spans="1:5" ht="15" customHeight="1" x14ac:dyDescent="0.2">
      <c r="A15889" s="1" t="s">
        <v>31327</v>
      </c>
      <c r="B15889" s="1">
        <v>0</v>
      </c>
      <c r="C15889" s="3">
        <v>44521.877523148149</v>
      </c>
      <c r="D15889" s="1" t="s">
        <v>31328</v>
      </c>
      <c r="E15889" s="1" t="str">
        <f ca="1">IFERROR(__xludf.DUMMYFUNCTION("GOOGLETRANSLATE(A12688 , ""tr"" , ""en"")"),"@drfahrettinkoca These provinces shall be blue hedged whether we are a dose of a dose is no longer as the 3DOZ essential")</f>
        <v>@drfahrettinkoca These provinces shall be blue hedged whether we are a dose of a dose is no longer as the 3DOZ essential</v>
      </c>
    </row>
    <row r="15890" spans="1:5" ht="15" customHeight="1" x14ac:dyDescent="0.2">
      <c r="A15890" s="1" t="s">
        <v>31329</v>
      </c>
      <c r="B15890" s="1">
        <v>0</v>
      </c>
      <c r="C15890" s="3">
        <v>44521.875057870369</v>
      </c>
      <c r="D15890" s="1" t="s">
        <v>31330</v>
      </c>
      <c r="E15890" s="1" t="str">
        <f ca="1">IFERROR(__xludf.DUMMYFUNCTION("GOOGLETRANSLATE(A12689 , ""tr"" , ""en"")"),"@drfahrettinkoca Minister I'm the fact that I assigned two Double raki raki instead of Rebels If I don't have the nobly if I have no less than neasing ... https://t.co/tjiuyxhcy2")</f>
        <v>@drfahrettinkoca Minister I'm the fact that I assigned two Double raki raki instead of Rebels If I don't have the nobly if I have no less than neasing ... https://t.co/tjiuyxhcy2</v>
      </c>
    </row>
    <row r="15891" spans="1:5" ht="15" customHeight="1" x14ac:dyDescent="0.2">
      <c r="A15891" s="1" t="s">
        <v>31331</v>
      </c>
      <c r="B15891" s="1">
        <v>0</v>
      </c>
      <c r="C15891" s="3">
        <v>44521.858391203707</v>
      </c>
      <c r="D15891" s="1" t="s">
        <v>31332</v>
      </c>
      <c r="E15891" s="1" t="str">
        <f ca="1">IFERROR(__xludf.DUMMYFUNCTION("GOOGLETRANSLATE(A12690 , ""tr"" , ""en"")"),"@drfahrettinkoca vaccine There is no scam all. The Minister is officially talking to lies")</f>
        <v>@drfahrettinkoca vaccine There is no scam all. The Minister is officially talking to lies</v>
      </c>
    </row>
    <row r="15892" spans="1:5" ht="15" customHeight="1" x14ac:dyDescent="0.2">
      <c r="A15892" s="1" t="s">
        <v>31333</v>
      </c>
      <c r="B15892" s="1">
        <v>1</v>
      </c>
      <c r="C15892" s="3">
        <v>44521.853900462964</v>
      </c>
      <c r="D15892" s="1" t="s">
        <v>31334</v>
      </c>
      <c r="E15892" s="1" t="str">
        <f ca="1">IFERROR(__xludf.DUMMYFUNCTION("GOOGLETRANSLATE(A12691 , ""tr"" , ""en"")"),"@drfahrettinkoca This insensitive, dull, devoid of empathy, your commander's attitude is the stomach. I vote for 20 years ... https://t.co/fwfhakx7xy")</f>
        <v>@drfahrettinkoca This insensitive, dull, devoid of empathy, your commander's attitude is the stomach. I vote for 20 years ... https://t.co/fwfhakx7xy</v>
      </c>
    </row>
    <row r="15893" spans="1:5" ht="15" customHeight="1" x14ac:dyDescent="0.2">
      <c r="A15893" s="1" t="s">
        <v>31335</v>
      </c>
      <c r="B15893" s="1">
        <v>0</v>
      </c>
      <c r="C15893" s="3">
        <v>44521.841747685183</v>
      </c>
      <c r="D15893" s="1" t="s">
        <v>31336</v>
      </c>
      <c r="E15893" s="1" t="str">
        <f ca="1">IFERROR(__xludf.DUMMYFUNCTION("GOOGLETRANSLATE(A12692 , ""tr"" , ""en"")"),"@drfahrettinkoca advertising film")</f>
        <v>@drfahrettinkoca advertising film</v>
      </c>
    </row>
    <row r="15894" spans="1:5" ht="15" customHeight="1" x14ac:dyDescent="0.2">
      <c r="A15894" s="1" t="s">
        <v>31337</v>
      </c>
      <c r="B15894" s="1">
        <v>0</v>
      </c>
      <c r="C15894" s="3">
        <v>44521.837997685187</v>
      </c>
      <c r="D15894" s="1" t="s">
        <v>31338</v>
      </c>
      <c r="E15894" s="1" t="str">
        <f ca="1">IFERROR(__xludf.DUMMYFUNCTION("GOOGLETRANSLATE(A12693 , ""tr"" , ""en"")"),"What lookup is @drfahrettinkoca what do you think you are immortal .geber inward ks forget")</f>
        <v>What lookup is @drfahrettinkoca what do you think you are immortal .geber inward ks forget</v>
      </c>
    </row>
    <row r="15895" spans="1:5" ht="15" customHeight="1" x14ac:dyDescent="0.2">
      <c r="A15895" s="1" t="s">
        <v>31339</v>
      </c>
      <c r="B15895" s="1">
        <v>0</v>
      </c>
      <c r="C15895" s="3">
        <v>44521.824016203704</v>
      </c>
      <c r="D15895" s="1" t="s">
        <v>31340</v>
      </c>
      <c r="E15895" s="1" t="str">
        <f ca="1">IFERROR(__xludf.DUMMYFUNCTION("GOOGLETRANSLATE(A12694 , ""tr"" , ""en"")"),"@drfahrettinkoca Mr. Minister ..... Came 40K announcement two weeks ago.")</f>
        <v>@drfahrettinkoca Mr. Minister ..... Came 40K announcement two weeks ago.</v>
      </c>
    </row>
    <row r="15896" spans="1:5" ht="15" customHeight="1" x14ac:dyDescent="0.2">
      <c r="A15896" s="1" t="s">
        <v>31341</v>
      </c>
      <c r="B15896" s="1">
        <v>0</v>
      </c>
      <c r="C15896" s="3">
        <v>44521.823946759258</v>
      </c>
      <c r="D15896" s="1" t="s">
        <v>31342</v>
      </c>
      <c r="E15896" s="1" t="str">
        <f ca="1">IFERROR(__xludf.DUMMYFUNCTION("GOOGLETRANSLATE(A12695 , ""tr"" , ""en"")"),"@drfahrettinkoca Schools Virushane becomes at least 2 quadrants in classes")</f>
        <v>@drfahrettinkoca Schools Virushane becomes at least 2 quadrants in classes</v>
      </c>
    </row>
    <row r="15897" spans="1:5" ht="15" customHeight="1" x14ac:dyDescent="0.2">
      <c r="A15897" s="1" t="s">
        <v>31343</v>
      </c>
      <c r="B15897" s="1">
        <v>0</v>
      </c>
      <c r="C15897" s="3">
        <v>44521.817997685182</v>
      </c>
      <c r="D15897" s="1" t="s">
        <v>31344</v>
      </c>
      <c r="E15897" s="1" t="str">
        <f ca="1">IFERROR(__xludf.DUMMYFUNCTION("GOOGLETRANSLATE(A12696 , ""tr"" , ""en"")"),"@drfahrettinkoca for Allah sake of Allah Numbers of Case For Hundred-to-face training, why you are already 2 3 der ... https://t.co/lcwlcrolxg")</f>
        <v>@drfahrettinkoca for Allah sake of Allah Numbers of Case For Hundred-to-face training, why you are already 2 3 der ... https://t.co/lcwlcrolxg</v>
      </c>
    </row>
    <row r="15898" spans="1:5" ht="15" customHeight="1" x14ac:dyDescent="0.2">
      <c r="A15898" s="1" t="s">
        <v>31345</v>
      </c>
      <c r="B15898" s="1">
        <v>0</v>
      </c>
      <c r="C15898" s="3">
        <v>44521.817314814813</v>
      </c>
      <c r="D15898" s="1" t="s">
        <v>31346</v>
      </c>
      <c r="E15898" s="1" t="str">
        <f ca="1">IFERROR(__xludf.DUMMYFUNCTION("GOOGLETRANSLATE(A12697 , ""tr"" , ""en"")"),"@drfahrettinkoca 2022 will continue to share data on the day when it is over.")</f>
        <v>@drfahrettinkoca 2022 will continue to share data on the day when it is over.</v>
      </c>
    </row>
    <row r="15899" spans="1:5" ht="15" customHeight="1" x14ac:dyDescent="0.2">
      <c r="A15899" s="1" t="s">
        <v>31347</v>
      </c>
      <c r="B15899" s="1">
        <v>0</v>
      </c>
      <c r="C15899" s="3">
        <v>44521.959432870368</v>
      </c>
      <c r="D15899" s="1" t="s">
        <v>31348</v>
      </c>
      <c r="E15899" s="1" t="str">
        <f ca="1">IFERROR(__xludf.DUMMYFUNCTION("GOOGLETRANSLATE(A12698 , ""tr"" , ""en"")"),"@drfahrettinkoca Respect Derger Ministry of Education If you do not interrupt the education Regardlessly I'm welcome to your business Getting your business Hadd ... https://t.co/6pvvxfdqpr")</f>
        <v>@drfahrettinkoca Respect Derger Ministry of Education If you do not interrupt the education Regardlessly I'm welcome to your business Getting your business Hadd ... https://t.co/6pvvxfdqpr</v>
      </c>
    </row>
    <row r="15900" spans="1:5" ht="15" customHeight="1" x14ac:dyDescent="0.2">
      <c r="A15900" s="1" t="s">
        <v>31349</v>
      </c>
      <c r="B15900" s="1">
        <v>0</v>
      </c>
      <c r="C15900" s="3">
        <v>44521.929131944446</v>
      </c>
      <c r="D15900" s="1" t="s">
        <v>31350</v>
      </c>
      <c r="E15900" s="1" t="str">
        <f ca="1">IFERROR(__xludf.DUMMYFUNCTION("GOOGLETRANSLATE(A12699 , ""tr"" , ""en"")"),"@drfahrettinka https://t.co/sd89hyvci7 we are asked to biat in such a system Who is the idiot who is the smart goal right ... https://t.co/3ndph5xsej")</f>
        <v>@drfahrettinka https://t.co/sd89hyvci7 we are asked to biat in such a system Who is the idiot who is the smart goal right ... https://t.co/3ndph5xsej</v>
      </c>
    </row>
    <row r="15901" spans="1:5" ht="15" customHeight="1" x14ac:dyDescent="0.2">
      <c r="A15901" s="1" t="s">
        <v>31351</v>
      </c>
      <c r="B15901" s="1">
        <v>0</v>
      </c>
      <c r="C15901" s="3">
        <v>44521.92633101852</v>
      </c>
      <c r="D15901" s="1" t="s">
        <v>31352</v>
      </c>
      <c r="E15901" s="1" t="str">
        <f ca="1">IFERROR(__xludf.DUMMYFUNCTION("GOOGLETRANSLATE(A12700 , ""tr"" , ""en"")"),"@drfahrettinka Mr. Minister; Full-dose vaccines are families, just in time, notice all the precautions you suggest ... https://t.co/b5e5h3t6zw")</f>
        <v>@drfahrettinka Mr. Minister; Full-dose vaccines are families, just in time, notice all the precautions you suggest ... https://t.co/b5e5h3t6zw</v>
      </c>
    </row>
    <row r="15902" spans="1:5" ht="15" customHeight="1" x14ac:dyDescent="0.2">
      <c r="A15902" s="1" t="s">
        <v>28405</v>
      </c>
      <c r="B15902" s="1">
        <v>1</v>
      </c>
      <c r="C15902" s="3">
        <v>44521.903182870374</v>
      </c>
      <c r="D15902" s="1" t="s">
        <v>31353</v>
      </c>
      <c r="E15902" s="1" t="str">
        <f ca="1">IFERROR(__xludf.DUMMYFUNCTION("GOOGLETRANSLATE(A12701 , ""tr"" , ""en"")"),"@drfahrettinkoca dietitians are looking forward to assigning a large number of assignments to the minister 91 points are still agencies")</f>
        <v>@drfahrettinkoca dietitians are looking forward to assigning a large number of assignments to the minister 91 points are still agencies</v>
      </c>
    </row>
    <row r="15903" spans="1:5" ht="15" customHeight="1" x14ac:dyDescent="0.2">
      <c r="A15903" s="1" t="s">
        <v>31354</v>
      </c>
      <c r="B15903" s="1">
        <v>0</v>
      </c>
      <c r="C15903" s="3">
        <v>44521.893148148149</v>
      </c>
      <c r="D15903" s="1" t="s">
        <v>31355</v>
      </c>
      <c r="E15903" s="1" t="str">
        <f ca="1">IFERROR(__xludf.DUMMYFUNCTION("GOOGLETRANSLATE(A12702 , ""tr"" , ""en"")"),"@drfahrettinkoca Apparencies from the map, it does not affect the corona to the Kurds and Arabs.")</f>
        <v>@drfahrettinkoca Apparencies from the map, it does not affect the corona to the Kurds and Arabs.</v>
      </c>
    </row>
    <row r="15904" spans="1:5" ht="15" customHeight="1" x14ac:dyDescent="0.2">
      <c r="A15904" s="1" t="s">
        <v>31356</v>
      </c>
      <c r="B15904" s="1">
        <v>1</v>
      </c>
      <c r="C15904" s="3">
        <v>44521.891875000001</v>
      </c>
      <c r="D15904" s="1" t="s">
        <v>31357</v>
      </c>
      <c r="E15904" s="1" t="str">
        <f ca="1">IFERROR(__xludf.DUMMYFUNCTION("GOOGLETRANSLATE(A12703 , ""tr"" , ""en"")"),"@drfahrettinkoca 👇🏻 https://t.co/fcqhaon2yr")</f>
        <v>@drfahrettinkoca 👇🏻 https://t.co/fcqhaon2yr</v>
      </c>
    </row>
    <row r="15905" spans="1:5" ht="15" customHeight="1" x14ac:dyDescent="0.2">
      <c r="A15905" s="1" t="s">
        <v>31122</v>
      </c>
      <c r="B15905" s="1">
        <v>1</v>
      </c>
      <c r="C15905" s="3">
        <v>44521.888460648152</v>
      </c>
      <c r="D15905" s="1" t="s">
        <v>31358</v>
      </c>
      <c r="E15905" s="1" t="str">
        <f ca="1">IFERROR(__xludf.DUMMYFUNCTION("GOOGLETRANSLATE(A12704 , ""tr"" , ""en"")"),"@drfahrettinkoca Hear Our Voice Mr. Minister Emergency And Disaster Executives Waiting for Gorev Description")</f>
        <v>@drfahrettinkoca Hear Our Voice Mr. Minister Emergency And Disaster Executives Waiting for Gorev Description</v>
      </c>
    </row>
    <row r="15906" spans="1:5" ht="15" customHeight="1" x14ac:dyDescent="0.2">
      <c r="A15906" s="1" t="s">
        <v>31359</v>
      </c>
      <c r="B15906" s="1">
        <v>0</v>
      </c>
      <c r="C15906" s="3">
        <v>44521.881203703706</v>
      </c>
      <c r="D15906" s="1" t="s">
        <v>31360</v>
      </c>
      <c r="E15906" s="1" t="str">
        <f ca="1">IFERROR(__xludf.DUMMYFUNCTION("GOOGLETRANSLATE(A12705 , ""tr"" , ""en"")"),"@drfahrettinkoca is really very strange how to make this table make the rate of vaccination in our mind as they make fun of our mind ... https://t.co/xwinlkv8pu")</f>
        <v>@drfahrettinkoca is really very strange how to make this table make the rate of vaccination in our mind as they make fun of our mind ... https://t.co/xwinlkv8pu</v>
      </c>
    </row>
    <row r="15907" spans="1:5" ht="15" customHeight="1" x14ac:dyDescent="0.2">
      <c r="A15907" s="1" t="s">
        <v>31361</v>
      </c>
      <c r="B15907" s="1">
        <v>0</v>
      </c>
      <c r="C15907" s="3">
        <v>44521.872210648151</v>
      </c>
      <c r="D15907" s="1" t="s">
        <v>31362</v>
      </c>
      <c r="E15907" s="1" t="str">
        <f ca="1">IFERROR(__xludf.DUMMYFUNCTION("GOOGLETRANSLATE(A12706 , ""tr"" , ""en"")"),"@drfahrettinkoca no one is trusting you anymore")</f>
        <v>@drfahrettinkoca no one is trusting you anymore</v>
      </c>
    </row>
    <row r="15908" spans="1:5" ht="15" customHeight="1" x14ac:dyDescent="0.2">
      <c r="A15908" s="1" t="s">
        <v>31363</v>
      </c>
      <c r="B15908" s="1">
        <v>0</v>
      </c>
      <c r="C15908" s="3">
        <v>44521.856087962966</v>
      </c>
      <c r="D15908" s="1" t="s">
        <v>31364</v>
      </c>
      <c r="E15908" s="1" t="str">
        <f ca="1">IFERROR(__xludf.DUMMYFUNCTION("GOOGLETRANSLATE(A12707 , ""tr"" , ""en"")"),"@drfahrettinka Mr. Ministry I read such news. FDA, # Pfizer's Covid-19 Vaccine data to 2076 ... https://t.co/gas7wt8mlz")</f>
        <v>@drfahrettinka Mr. Ministry I read such news. FDA, # Pfizer's Covid-19 Vaccine data to 2076 ... https://t.co/gas7wt8mlz</v>
      </c>
    </row>
    <row r="15909" spans="1:5" ht="15" customHeight="1" x14ac:dyDescent="0.2">
      <c r="A15909" s="1" t="s">
        <v>31365</v>
      </c>
      <c r="B15909" s="1">
        <v>0</v>
      </c>
      <c r="C15909" s="3">
        <v>44521.838634259257</v>
      </c>
      <c r="D15909" s="1" t="s">
        <v>31366</v>
      </c>
      <c r="E15909" s="1" t="str">
        <f ca="1">IFERROR(__xludf.DUMMYFUNCTION("GOOGLETRANSLATE(A12708 , ""tr"" , ""en"")"),"@drfahrettinkoca is the most vaccinated military caused by the most 100000 people in 100000 people who are the most case is oluyo ... https://t.co/fswqilezej")</f>
        <v>@drfahrettinkoca is the most vaccinated military caused by the most 100000 people in 100000 people who are the most case is oluyo ... https://t.co/fswqilezej</v>
      </c>
    </row>
    <row r="15910" spans="1:5" ht="15" customHeight="1" x14ac:dyDescent="0.2">
      <c r="A15910" s="1" t="s">
        <v>31367</v>
      </c>
      <c r="B15910" s="1">
        <v>0</v>
      </c>
      <c r="C15910" s="3">
        <v>44521.835613425923</v>
      </c>
      <c r="D15910" s="1" t="s">
        <v>31368</v>
      </c>
      <c r="E15910" s="1" t="str">
        <f ca="1">IFERROR(__xludf.DUMMYFUNCTION("GOOGLETRANSLATE(A12709 , ""tr"" , ""en"")"),"@drfahrettinkoca How DIARS BODY DESTRESS DESTRESS IS DISSUFTURE DISSUALLY 😔")</f>
        <v>@drfahrettinkoca How DIARS BODY DESTRESS DESTRESS IS DISSUFTURE DISSUALLY 😔</v>
      </c>
    </row>
    <row r="15911" spans="1:5" ht="15" customHeight="1" x14ac:dyDescent="0.2">
      <c r="A15911" s="1" t="s">
        <v>31369</v>
      </c>
      <c r="B15911" s="1">
        <v>0</v>
      </c>
      <c r="C15911" s="3">
        <v>44521.823449074072</v>
      </c>
      <c r="D15911" s="1" t="s">
        <v>31370</v>
      </c>
      <c r="E15911" s="1" t="str">
        <f ca="1">IFERROR(__xludf.DUMMYFUNCTION("GOOGLETRANSLATE(A12710 , ""tr"" , ""en"")"),"@drfahrettinkoca Mr. Minister ..... Came 40 thousand announcements two weeks ago.")</f>
        <v>@drfahrettinkoca Mr. Minister ..... Came 40 thousand announcements two weeks ago.</v>
      </c>
    </row>
    <row r="15912" spans="1:5" ht="15" customHeight="1" x14ac:dyDescent="0.2">
      <c r="A15912" s="1" t="s">
        <v>31371</v>
      </c>
      <c r="B15912" s="1">
        <v>4</v>
      </c>
      <c r="C15912" s="3">
        <v>44521.816782407404</v>
      </c>
      <c r="D15912" s="1" t="s">
        <v>31372</v>
      </c>
      <c r="E15912" s="1" t="str">
        <f ca="1">IFERROR(__xludf.DUMMYFUNCTION("GOOGLETRANSLATE(A12711 , ""tr"" , ""en"")"),"See the Ministry of @drfahrettinkoca You are all the prisoners of the money to the schools to close the schools")</f>
        <v>See the Ministry of @drfahrettinkoca You are all the prisoners of the money to the schools to close the schools</v>
      </c>
    </row>
    <row r="15913" spans="1:5" ht="15" customHeight="1" x14ac:dyDescent="0.2">
      <c r="A15913" s="1" t="s">
        <v>31373</v>
      </c>
      <c r="B15913" s="1">
        <v>1</v>
      </c>
      <c r="C15913" s="3">
        <v>44521.906226851854</v>
      </c>
      <c r="D15913" s="1" t="s">
        <v>31374</v>
      </c>
      <c r="E15913" s="1" t="str">
        <f ca="1">IFERROR(__xludf.DUMMYFUNCTION("GOOGLETRANSLATE(A12712 , ""tr"" , ""en"")"),"@drfahrettinka vaccine will go 4doz after everyone will go 5doz because we are an experiment mouse")</f>
        <v>@drfahrettinka vaccine will go 4doz after everyone will go 5doz because we are an experiment mouse</v>
      </c>
    </row>
    <row r="15914" spans="1:5" ht="15" customHeight="1" x14ac:dyDescent="0.2">
      <c r="A15914" s="1" t="s">
        <v>31375</v>
      </c>
      <c r="B15914" s="1">
        <v>0</v>
      </c>
      <c r="C15914" s="3">
        <v>44520.99</v>
      </c>
      <c r="D15914" s="1" t="s">
        <v>31376</v>
      </c>
      <c r="E15914" s="1" t="str">
        <f ca="1">IFERROR(__xludf.DUMMYFUNCTION("GOOGLETRANSLATE(A12713 , ""tr"" , ""en"")"),"@drfahrettinkoca Valla is not possible.")</f>
        <v>@drfahrettinkoca Valla is not possible.</v>
      </c>
    </row>
    <row r="15915" spans="1:5" ht="15" customHeight="1" x14ac:dyDescent="0.2">
      <c r="A15915" s="1" t="s">
        <v>31377</v>
      </c>
      <c r="B15915" s="1">
        <v>0</v>
      </c>
      <c r="C15915" s="3">
        <v>44520.979386574072</v>
      </c>
      <c r="D15915" s="1" t="s">
        <v>31378</v>
      </c>
      <c r="E15915" s="1" t="str">
        <f ca="1">IFERROR(__xludf.DUMMYFUNCTION("GOOGLETRANSLATE(A12714 , ""tr"" , ""en"")"),"@drfahrettinkoca Fahrictin hubby quit !!!")</f>
        <v>@drfahrettinkoca Fahrictin hubby quit !!!</v>
      </c>
    </row>
    <row r="15916" spans="1:5" ht="15" customHeight="1" x14ac:dyDescent="0.2">
      <c r="A15916" s="1" t="s">
        <v>31379</v>
      </c>
      <c r="B15916" s="1">
        <v>0</v>
      </c>
      <c r="C15916" s="3">
        <v>44520.979108796295</v>
      </c>
      <c r="D15916" s="1" t="s">
        <v>31380</v>
      </c>
      <c r="E15916" s="1" t="str">
        <f ca="1">IFERROR(__xludf.DUMMYFUNCTION("GOOGLETRANSLATE(A12715 , ""tr"" , ""en"")"),"@drfahrettinkoca Number of total vaccines should be incorrect 117913662")</f>
        <v>@drfahrettinkoca Number of total vaccines should be incorrect 117913662</v>
      </c>
    </row>
    <row r="15917" spans="1:5" ht="15" customHeight="1" x14ac:dyDescent="0.2">
      <c r="A15917" s="1" t="s">
        <v>31381</v>
      </c>
      <c r="B15917" s="1">
        <v>0</v>
      </c>
      <c r="C15917" s="3">
        <v>44520.974363425928</v>
      </c>
      <c r="D15917" s="1" t="s">
        <v>31382</v>
      </c>
      <c r="E15917" s="1" t="str">
        <f ca="1">IFERROR(__xludf.DUMMYFUNCTION("GOOGLETRANSLATE(A12716 , ""tr"" , ""en"")"),"@drfahrettinka online education istigiruuuuuuzzzzz")</f>
        <v>@drfahrettinka online education istigiruuuuuuzzzzz</v>
      </c>
    </row>
    <row r="15918" spans="1:5" ht="15" customHeight="1" x14ac:dyDescent="0.2">
      <c r="A15918" s="1" t="s">
        <v>31383</v>
      </c>
      <c r="B15918" s="1">
        <v>1</v>
      </c>
      <c r="C15918" s="3">
        <v>44520.973877314813</v>
      </c>
      <c r="D15918" s="1" t="s">
        <v>31384</v>
      </c>
      <c r="E15918" s="1" t="str">
        <f ca="1">IFERROR(__xludf.DUMMYFUNCTION("GOOGLETRANSLATE(A12717 , ""tr"" , ""en"")"),"@drfahrettinkoca Distance Education. While your own medipol university is on-face training and distance education optional ... https://t.co/ymeo1rsrlk")</f>
        <v>@drfahrettinkoca Distance Education. While your own medipol university is on-face training and distance education optional ... https://t.co/ymeo1rsrlk</v>
      </c>
    </row>
    <row r="15919" spans="1:5" ht="15" customHeight="1" x14ac:dyDescent="0.2">
      <c r="A15919" s="1" t="s">
        <v>31385</v>
      </c>
      <c r="B15919" s="1">
        <v>3</v>
      </c>
      <c r="C15919" s="3">
        <v>44520.970925925925</v>
      </c>
      <c r="D15919" s="1" t="s">
        <v>31386</v>
      </c>
      <c r="E15919" s="1" t="str">
        <f ca="1">IFERROR(__xludf.DUMMYFUNCTION("GOOGLETRANSLATE(A12718 , ""tr"" , ""en"")"),"@drfahrettinkoca #mebyökonlineEducation")</f>
        <v>@drfahrettinkoca #mebyökonlineEducation</v>
      </c>
    </row>
    <row r="15920" spans="1:5" ht="15" customHeight="1" x14ac:dyDescent="0.2">
      <c r="A15920" s="1" t="s">
        <v>31387</v>
      </c>
      <c r="B15920" s="1">
        <v>0</v>
      </c>
      <c r="C15920" s="3">
        <v>44520.962592592594</v>
      </c>
      <c r="D15920" s="1" t="s">
        <v>31388</v>
      </c>
      <c r="E15920" s="1" t="str">
        <f ca="1">IFERROR(__xludf.DUMMYFUNCTION("GOOGLETRANSLATE(A12719 , ""tr"" , ""en"")"),"@drfahrettinkoca https://t.co/zmowmyrqjm You are the head architecture of this photo. Be proud of your works. Zolgensma ... https://t.co/wj2fhzq1dh")</f>
        <v>@drfahrettinkoca https://t.co/zmowmyrqjm You are the head architecture of this photo. Be proud of your works. Zolgensma ... https://t.co/wj2fhzq1dh</v>
      </c>
    </row>
    <row r="15921" spans="1:5" ht="15" customHeight="1" x14ac:dyDescent="0.2">
      <c r="A15921" s="1" t="s">
        <v>31389</v>
      </c>
      <c r="B15921" s="1">
        <v>0</v>
      </c>
      <c r="C15921" s="3">
        <v>44520.96166666667</v>
      </c>
      <c r="D15921" s="1" t="s">
        <v>31390</v>
      </c>
      <c r="E15921" s="1" t="str">
        <f ca="1">IFERROR(__xludf.DUMMYFUNCTION("GOOGLETRANSLATE(A12720 , ""tr"" , ""en"")"),"@drfahrettinkoca sec husband, she has the usual stream of life ""that the lawyers used in law, you are also Covid 19 Cavid ... https://t.co/1nlekdjttb")</f>
        <v>@drfahrettinkoca sec husband, she has the usual stream of life "that the lawyers used in law, you are also Covid 19 Cavid ... https://t.co/1nlekdjttb</v>
      </c>
    </row>
    <row r="15922" spans="1:5" ht="15" customHeight="1" x14ac:dyDescent="0.2">
      <c r="A15922" s="1" t="s">
        <v>31391</v>
      </c>
      <c r="B15922" s="1">
        <v>0</v>
      </c>
      <c r="C15922" s="3">
        <v>44520.953877314816</v>
      </c>
      <c r="D15922" s="1" t="s">
        <v>31392</v>
      </c>
      <c r="E15922" s="1" t="str">
        <f ca="1">IFERROR(__xludf.DUMMYFUNCTION("GOOGLETRANSLATE(A12721 , ""tr"" , ""en"")"),"@drfahrettinkoca ""vaccines"" injected trillions of nano particles injected underneath the nano particles, every day and overnight ... https://t.co/ddblb9eeld")</f>
        <v>@drfahrettinkoca "vaccines" injected trillions of nano particles injected underneath the nano particles, every day and overnight ... https://t.co/ddblb9eeld</v>
      </c>
    </row>
    <row r="15923" spans="1:5" ht="15" customHeight="1" x14ac:dyDescent="0.2">
      <c r="A15923" s="1" t="s">
        <v>31393</v>
      </c>
      <c r="B15923" s="1">
        <v>0</v>
      </c>
      <c r="C15923" s="3">
        <v>44520.952696759261</v>
      </c>
      <c r="D15923" s="1" t="s">
        <v>31394</v>
      </c>
      <c r="E15923" s="1" t="str">
        <f ca="1">IFERROR(__xludf.DUMMYFUNCTION("GOOGLETRANSLATE(A12722 , ""tr"" , ""en"")"),"@drfahrettinkoca hospitalized 60% of the hospitalized two dose grafts! What kind of work is that? This is a logical statement ... https://t.co/gsvnp96h9c")</f>
        <v>@drfahrettinkoca hospitalized 60% of the hospitalized two dose grafts! What kind of work is that? This is a logical statement ... https://t.co/gsvnp96h9c</v>
      </c>
    </row>
    <row r="15924" spans="1:5" ht="15" customHeight="1" x14ac:dyDescent="0.2">
      <c r="A15924" s="1" t="s">
        <v>31395</v>
      </c>
      <c r="B15924" s="1">
        <v>0</v>
      </c>
      <c r="C15924" s="3">
        <v>44520.950914351852</v>
      </c>
      <c r="D15924" s="1" t="s">
        <v>31396</v>
      </c>
      <c r="E15924" s="1" t="str">
        <f ca="1">IFERROR(__xludf.DUMMYFUNCTION("GOOGLETRANSLATE(A12723 , ""tr"" , ""en"")"),"@drfahrettinkoca Hocam Sincerely I am a Turkish citizen living in the Netherlands. I'm very curious, what as states ... https://t.co/c26akhtywc")</f>
        <v>@drfahrettinkoca Hocam Sincerely I am a Turkish citizen living in the Netherlands. I'm very curious, what as states ... https://t.co/c26akhtywc</v>
      </c>
    </row>
    <row r="15925" spans="1:5" ht="15" customHeight="1" x14ac:dyDescent="0.2">
      <c r="A15925" s="1" t="s">
        <v>31397</v>
      </c>
      <c r="B15925" s="1">
        <v>0</v>
      </c>
      <c r="C15925" s="3">
        <v>44520.949293981481</v>
      </c>
      <c r="D15925" s="1" t="s">
        <v>31398</v>
      </c>
      <c r="E15925" s="1" t="str">
        <f ca="1">IFERROR(__xludf.DUMMYFUNCTION("GOOGLETRANSLATE(A12724 , ""tr"" , ""en"")"),"@drfahrettinkoca is one of the positives in the table this day")</f>
        <v>@drfahrettinkoca is one of the positives in the table this day</v>
      </c>
    </row>
    <row r="15926" spans="1:5" ht="15" customHeight="1" x14ac:dyDescent="0.2">
      <c r="A15926" s="1" t="s">
        <v>31399</v>
      </c>
      <c r="B15926" s="1">
        <v>0</v>
      </c>
      <c r="C15926" s="3">
        <v>44520.949178240742</v>
      </c>
      <c r="D15926" s="1" t="s">
        <v>31400</v>
      </c>
      <c r="E15926" s="1" t="str">
        <f ca="1">IFERROR(__xludf.DUMMYFUNCTION("GOOGLETRANSLATE(A12725 , ""tr"" , ""en"")"),"@drfahrettinkoca hocam")</f>
        <v>@drfahrettinkoca hocam</v>
      </c>
    </row>
    <row r="15927" spans="1:5" ht="15" customHeight="1" x14ac:dyDescent="0.2">
      <c r="A15927" s="1" t="s">
        <v>31401</v>
      </c>
      <c r="B15927" s="1">
        <v>0</v>
      </c>
      <c r="C15927" s="3">
        <v>44520.948773148149</v>
      </c>
      <c r="D15927" s="1" t="s">
        <v>31402</v>
      </c>
      <c r="E15927" s="1" t="str">
        <f ca="1">IFERROR(__xludf.DUMMYFUNCTION("GOOGLETRANSLATE(A12726 , ""tr"" , ""en"")"),"@drfahrettinkoca @abdullaha_nefes @abdullaha_nefes")</f>
        <v>@drfahrettinkoca @abdullaha_nefes @abdullaha_nefes</v>
      </c>
    </row>
    <row r="15928" spans="1:5" ht="15" customHeight="1" x14ac:dyDescent="0.2">
      <c r="A15928" s="1" t="s">
        <v>31403</v>
      </c>
      <c r="B15928" s="1">
        <v>0</v>
      </c>
      <c r="C15928" s="3">
        <v>44520.947928240741</v>
      </c>
      <c r="D15928" s="1" t="s">
        <v>31404</v>
      </c>
      <c r="E15928" s="1" t="str">
        <f ca="1">IFERROR(__xludf.DUMMYFUNCTION("GOOGLETRANSLATE(A12727 , ""tr"" , ""en"")"),"@drfahrettinkoca Currently Asi Says Nobody Wake Up")</f>
        <v>@drfahrettinkoca Currently Asi Says Nobody Wake Up</v>
      </c>
    </row>
    <row r="15929" spans="1:5" ht="15" customHeight="1" x14ac:dyDescent="0.2">
      <c r="A15929" s="1" t="s">
        <v>31405</v>
      </c>
      <c r="B15929" s="1">
        <v>0</v>
      </c>
      <c r="C15929" s="3">
        <v>44520.94699074074</v>
      </c>
      <c r="D15929" s="1" t="s">
        <v>31406</v>
      </c>
      <c r="E15929" s="1" t="str">
        <f ca="1">IFERROR(__xludf.DUMMYFUNCTION("GOOGLETRANSLATE(A12728 , ""tr"" , ""en"")"),"@drfahrettinkoca #hssktr")</f>
        <v>@drfahrettinkoca #hssktr</v>
      </c>
    </row>
    <row r="15930" spans="1:5" ht="15" customHeight="1" x14ac:dyDescent="0.2">
      <c r="A15930" s="1" t="s">
        <v>31407</v>
      </c>
      <c r="B15930" s="1">
        <v>8</v>
      </c>
      <c r="C15930" s="3">
        <v>44520.945590277777</v>
      </c>
      <c r="D15930" s="1" t="s">
        <v>31408</v>
      </c>
      <c r="E15930" s="1" t="str">
        <f ca="1">IFERROR(__xludf.DUMMYFUNCTION("GOOGLETRANSLATE(A12729 , ""tr"" , ""en"")"),"@drfahrettinkoca hear your voice anymore #mebyoekonlineEducation")</f>
        <v>@drfahrettinkoca hear your voice anymore #mebyoekonlineEducation</v>
      </c>
    </row>
    <row r="15931" spans="1:5" ht="15" customHeight="1" x14ac:dyDescent="0.2">
      <c r="A15931" s="1" t="s">
        <v>31409</v>
      </c>
      <c r="B15931" s="1">
        <v>0</v>
      </c>
      <c r="C15931" s="3">
        <v>44520.945231481484</v>
      </c>
      <c r="D15931" s="1" t="s">
        <v>31410</v>
      </c>
      <c r="E15931" s="1" t="str">
        <f ca="1">IFERROR(__xludf.DUMMYFUNCTION("GOOGLETRANSLATE(A12730 , ""tr"" , ""en"")"),"@drfahrettinkoca how is this virus this is either 30 thoushers no night")</f>
        <v>@drfahrettinkoca how is this virus this is either 30 thoushers no night</v>
      </c>
    </row>
    <row r="15932" spans="1:5" ht="15" customHeight="1" x14ac:dyDescent="0.2">
      <c r="A15932" s="1" t="s">
        <v>31411</v>
      </c>
      <c r="B15932" s="1">
        <v>3</v>
      </c>
      <c r="C15932" s="3">
        <v>44520.941261574073</v>
      </c>
      <c r="D15932" s="1" t="s">
        <v>31412</v>
      </c>
      <c r="E15932" s="1" t="str">
        <f ca="1">IFERROR(__xludf.DUMMYFUNCTION("GOOGLETRANSLATE(A12731 , ""tr"" , ""en"")"),"@drfahrettinkoca you are playing in mind with people's health. A medicine that has ineffective even losses to people ... https://t.co/tvbc22kkt3")</f>
        <v>@drfahrettinkoca you are playing in mind with people's health. A medicine that has ineffective even losses to people ... https://t.co/tvbc22kkt3</v>
      </c>
    </row>
    <row r="15933" spans="1:5" ht="15" customHeight="1" x14ac:dyDescent="0.2">
      <c r="A15933" s="1" t="s">
        <v>31413</v>
      </c>
      <c r="B15933" s="1">
        <v>0</v>
      </c>
      <c r="C15933" s="3">
        <v>44520.941018518519</v>
      </c>
      <c r="D15933" s="1" t="s">
        <v>31414</v>
      </c>
      <c r="E15933" s="1" t="str">
        <f ca="1">IFERROR(__xludf.DUMMYFUNCTION("GOOGLETRANSLATE(A12732 , ""tr"" , ""en"")"),"@drfahrettinka you are the vaccine of yourself. Your life is precious. You only press the nation. Injector you are using ... https://t.co/gxcdyqj0zq")</f>
        <v>@drfahrettinka you are the vaccine of yourself. Your life is precious. You only press the nation. Injector you are using ... https://t.co/gxcdyqj0zq</v>
      </c>
    </row>
    <row r="15934" spans="1:5" ht="15" customHeight="1" x14ac:dyDescent="0.2">
      <c r="A15934" s="1" t="s">
        <v>31415</v>
      </c>
      <c r="B15934" s="1">
        <v>0</v>
      </c>
      <c r="C15934" s="3">
        <v>44520.940138888887</v>
      </c>
      <c r="D15934" s="1" t="s">
        <v>31416</v>
      </c>
      <c r="E15934" s="1" t="str">
        <f ca="1">IFERROR(__xludf.DUMMYFUNCTION("GOOGLETRANSLATE(A12733 , ""tr"" , ""en"")"),"@drfahrettinkoca Doymadinismi Slaying Vaccines Disabled Said Remarks Dying from Heart Crisis in Youth ... Https://t.co/dhnwm1ndlh")</f>
        <v>@drfahrettinkoca Doymadinismi Slaying Vaccines Disabled Said Remarks Dying from Heart Crisis in Youth ... Https://t.co/dhnwm1ndlh</v>
      </c>
    </row>
    <row r="15935" spans="1:5" ht="15" customHeight="1" x14ac:dyDescent="0.2">
      <c r="A15935" s="1" t="s">
        <v>31417</v>
      </c>
      <c r="B15935" s="1">
        <v>0</v>
      </c>
      <c r="C15935" s="3">
        <v>44520.933958333335</v>
      </c>
      <c r="D15935" s="1" t="s">
        <v>31418</v>
      </c>
      <c r="E15935" s="1" t="str">
        <f ca="1">IFERROR(__xludf.DUMMYFUNCTION("GOOGLETRANSLATE(A12734 , ""tr"" , ""en"")"),"@drfahrettinka https://t.co/jnvx8sieg5")</f>
        <v>@drfahrettinka https://t.co/jnvx8sieg5</v>
      </c>
    </row>
    <row r="15936" spans="1:5" ht="15" customHeight="1" x14ac:dyDescent="0.2">
      <c r="A15936" s="1" t="s">
        <v>31419</v>
      </c>
      <c r="B15936" s="1">
        <v>7</v>
      </c>
      <c r="C15936" s="3">
        <v>44520.933495370373</v>
      </c>
      <c r="D15936" s="1" t="s">
        <v>31420</v>
      </c>
      <c r="E15936" s="1" t="str">
        <f ca="1">IFERROR(__xludf.DUMMYFUNCTION("GOOGLETRANSLATE(A12735 , ""tr"" , ""en"")"),"@drfahrettinkoca We throw a cry of help for two months, our tags are settled in the top rows. What you see what you see ... https://t.co/6bcu5xuwrm")</f>
        <v>@drfahrettinkoca We throw a cry of help for two months, our tags are settled in the top rows. What you see what you see ... https://t.co/6bcu5xuwrm</v>
      </c>
    </row>
    <row r="15937" spans="1:5" ht="15" customHeight="1" x14ac:dyDescent="0.2">
      <c r="A15937" s="1" t="s">
        <v>31421</v>
      </c>
      <c r="B15937" s="1">
        <v>0</v>
      </c>
      <c r="C15937" s="3">
        <v>44520.933148148149</v>
      </c>
      <c r="D15937" s="1" t="s">
        <v>31422</v>
      </c>
      <c r="E15937" s="1" t="str">
        <f ca="1">IFERROR(__xludf.DUMMYFUNCTION("GOOGLETRANSLATE(A12736 , ""tr"" , ""en"")"),"@drfahrettinka https://t.co/akndw9rmf6")</f>
        <v>@drfahrettinka https://t.co/akndw9rmf6</v>
      </c>
    </row>
    <row r="15938" spans="1:5" ht="15" customHeight="1" x14ac:dyDescent="0.2">
      <c r="A15938" s="1" t="s">
        <v>31423</v>
      </c>
      <c r="B15938" s="1">
        <v>1</v>
      </c>
      <c r="C15938" s="3">
        <v>44520.931307870371</v>
      </c>
      <c r="D15938" s="1" t="s">
        <v>31424</v>
      </c>
      <c r="E15938" s="1" t="str">
        <f ca="1">IFERROR(__xludf.DUMMYFUNCTION("GOOGLETRANSLATE(A12737 , ""tr"" , ""en"")"),"@drfahrettinkoca Turkey What did he do? *** Global Bomb: US Government to the company by signing hidden agreement with Pfizer ... https://t.co/w7z7tfu0tp")</f>
        <v>@drfahrettinkoca Turkey What did he do? *** Global Bomb: US Government to the company by signing hidden agreement with Pfizer ... https://t.co/w7z7tfu0tp</v>
      </c>
    </row>
    <row r="15939" spans="1:5" ht="15" customHeight="1" x14ac:dyDescent="0.2">
      <c r="A15939" s="1" t="s">
        <v>31425</v>
      </c>
      <c r="B15939" s="1">
        <v>0</v>
      </c>
      <c r="C15939" s="3">
        <v>44520.928101851852</v>
      </c>
      <c r="D15939" s="1" t="s">
        <v>31426</v>
      </c>
      <c r="E15939" s="1" t="str">
        <f ca="1">IFERROR(__xludf.DUMMYFUNCTION("GOOGLETRANSLATE(A12738 , ""tr"" , ""en"")"),"@drfahrettinkoca vaccine Here's why this effort is killing this effort from the heart crisis. Your goal is what, intensive care ... https://t.co/qcbf2onh5x")</f>
        <v>@drfahrettinkoca vaccine Here's why this effort is killing this effort from the heart crisis. Your goal is what, intensive care ... https://t.co/qcbf2onh5x</v>
      </c>
    </row>
    <row r="15940" spans="1:5" ht="15" customHeight="1" x14ac:dyDescent="0.2">
      <c r="A15940" s="1" t="s">
        <v>31427</v>
      </c>
      <c r="B15940" s="1">
        <v>1</v>
      </c>
      <c r="C15940" s="3">
        <v>44520.923981481479</v>
      </c>
      <c r="D15940" s="1" t="s">
        <v>31428</v>
      </c>
      <c r="E15940" s="1" t="str">
        <f ca="1">IFERROR(__xludf.DUMMYFUNCTION("GOOGLETRANSLATE(A12739 , ""tr"" , ""en"")"),"@drfahrettinkoca teachers not only thinking on November 24 years we have begged for two months Teachers Students Virus Cap ... https://t.co/pfpdgl3kgk")</f>
        <v>@drfahrettinkoca teachers not only thinking on November 24 years we have begged for two months Teachers Students Virus Cap ... https://t.co/pfpdgl3kgk</v>
      </c>
    </row>
    <row r="15941" spans="1:5" ht="15" customHeight="1" x14ac:dyDescent="0.2">
      <c r="A15941" s="1" t="s">
        <v>31429</v>
      </c>
      <c r="B15941" s="1">
        <v>0</v>
      </c>
      <c r="C15941" s="3">
        <v>44520.923506944448</v>
      </c>
      <c r="D15941" s="1" t="s">
        <v>31430</v>
      </c>
      <c r="E15941" s="1" t="str">
        <f ca="1">IFERROR(__xludf.DUMMYFUNCTION("GOOGLETRANSLATE(A12740 , ""tr"" , ""en"")"),"@drfahrettinkoca you would do this explanation not today because of the most of the social media 'society's society's vaccine o ... https://t.co/9c0etjskt5")</f>
        <v>@drfahrettinkoca you would do this explanation not today because of the most of the social media 'society's society's vaccine o ... https://t.co/9c0etjskt5</v>
      </c>
    </row>
    <row r="15942" spans="1:5" ht="15" customHeight="1" x14ac:dyDescent="0.2">
      <c r="A15942" s="1" t="s">
        <v>31431</v>
      </c>
      <c r="B15942" s="1">
        <v>11</v>
      </c>
      <c r="C15942" s="3">
        <v>44520.921273148146</v>
      </c>
      <c r="D15942" s="1" t="s">
        <v>31432</v>
      </c>
      <c r="E15942" s="1" t="str">
        <f ca="1">IFERROR(__xludf.DUMMYFUNCTION("GOOGLETRANSLATE(A12741 , ""tr"" , ""en"")"),"@drfahrettinkoca Close schools #MebyoEkonlineEducation")</f>
        <v>@drfahrettinkoca Close schools #MebyoEkonlineEducation</v>
      </c>
    </row>
    <row r="15943" spans="1:5" ht="15" customHeight="1" x14ac:dyDescent="0.2">
      <c r="A15943" s="1" t="s">
        <v>31433</v>
      </c>
      <c r="B15943" s="1">
        <v>0</v>
      </c>
      <c r="C15943" s="3">
        <v>44520.91479166667</v>
      </c>
      <c r="D15943" s="1" t="s">
        <v>31434</v>
      </c>
      <c r="E15943" s="1" t="str">
        <f ca="1">IFERROR(__xludf.DUMMYFUNCTION("GOOGLETRANSLATE(A12742 , ""tr"" , ""en"")"),"@drfahrettinkoca 2 dose I wouldn't be biontech I would not have the possibility after that I don't have the possibility.")</f>
        <v>@drfahrettinkoca 2 dose I wouldn't be biontech I would not have the possibility after that I don't have the possibility.</v>
      </c>
    </row>
    <row r="15944" spans="1:5" ht="15" customHeight="1" x14ac:dyDescent="0.2">
      <c r="A15944" s="1" t="s">
        <v>31435</v>
      </c>
      <c r="B15944" s="1">
        <v>12</v>
      </c>
      <c r="C15944" s="3">
        <v>44520.913888888892</v>
      </c>
      <c r="D15944" s="1" t="s">
        <v>31436</v>
      </c>
      <c r="E15944" s="1" t="str">
        <f ca="1">IFERROR(__xludf.DUMMYFUNCTION("GOOGLETRANSLATE(A12743 , ""tr"" , ""en"")"),"@drfahrettinkoca Tagged Tag when students tell about 200 thousand people, teachers are exposed to virus in school ... https://t.co/yh5zml6wxv")</f>
        <v>@drfahrettinkoca Tagged Tag when students tell about 200 thousand people, teachers are exposed to virus in school ... https://t.co/yh5zml6wxv</v>
      </c>
    </row>
    <row r="15945" spans="1:5" ht="15" customHeight="1" x14ac:dyDescent="0.2">
      <c r="A15945" s="1" t="s">
        <v>31437</v>
      </c>
      <c r="B15945" s="1">
        <v>5</v>
      </c>
      <c r="C15945" s="3">
        <v>44520.913807870369</v>
      </c>
      <c r="D15945" s="1" t="s">
        <v>31438</v>
      </c>
      <c r="E15945" s="1" t="str">
        <f ca="1">IFERROR(__xludf.DUMMYFUNCTION("GOOGLETRANSLATE(A12744 , ""tr"" , ""en"")"),"@drfahrettinkoca Biktik goes from you or tardic")</f>
        <v>@drfahrettinkoca Biktik goes from you or tardic</v>
      </c>
    </row>
    <row r="15946" spans="1:5" ht="15" customHeight="1" x14ac:dyDescent="0.2">
      <c r="A15946" s="1" t="s">
        <v>31439</v>
      </c>
      <c r="B15946" s="1">
        <v>9</v>
      </c>
      <c r="C15946" s="3">
        <v>44520.913738425923</v>
      </c>
      <c r="D15946" s="1" t="s">
        <v>31440</v>
      </c>
      <c r="E15946" s="1" t="str">
        <f ca="1">IFERROR(__xludf.DUMMYFUNCTION("GOOGLETRANSLATE(A12745 , ""tr"" , ""en"")"),"@drfahrettinka Tagged Tag when students tell about 200 thousand people, teachers are exposed to virus in school ... https://t.co/bgdc4cxlod")</f>
        <v>@drfahrettinka Tagged Tag when students tell about 200 thousand people, teachers are exposed to virus in school ... https://t.co/bgdc4cxlod</v>
      </c>
    </row>
    <row r="15947" spans="1:5" ht="15" customHeight="1" x14ac:dyDescent="0.2">
      <c r="A15947" s="1" t="s">
        <v>31441</v>
      </c>
      <c r="B15947" s="1">
        <v>5</v>
      </c>
      <c r="C15947" s="3">
        <v>44520.911782407406</v>
      </c>
      <c r="D15947" s="1" t="s">
        <v>31442</v>
      </c>
      <c r="E15947" s="1" t="str">
        <f ca="1">IFERROR(__xludf.DUMMYFUNCTION("GOOGLETRANSLATE(A12746 , ""tr"" , ""en"")"),"@drfahrettinka Did you listen to the Tag opened to 200 thousand people? What measures have you taken? What did you do ... https://t.co/yq1rIC0n7x")</f>
        <v>@drfahrettinka Did you listen to the Tag opened to 200 thousand people? What measures have you taken? What did you do ... https://t.co/yq1rIC0n7x</v>
      </c>
    </row>
    <row r="15948" spans="1:5" ht="15" customHeight="1" x14ac:dyDescent="0.2">
      <c r="A15948" s="1" t="s">
        <v>31443</v>
      </c>
      <c r="B15948" s="1">
        <v>2</v>
      </c>
      <c r="C15948" s="3">
        <v>44520.911574074074</v>
      </c>
      <c r="D15948" s="1" t="s">
        <v>31444</v>
      </c>
      <c r="E15948" s="1" t="str">
        <f ca="1">IFERROR(__xludf.DUMMYFUNCTION("GOOGLETRANSLATE(A12747 , ""tr"" , ""en"")"),"@drfahrettinka Did you listen to the Tag opened to 200 thousand people? What measures have you taken? What did you do ... HTTPS://T.CO/YP2VT4IJGL")</f>
        <v>@drfahrettinka Did you listen to the Tag opened to 200 thousand people? What measures have you taken? What did you do ... HTTPS://T.CO/YP2VT4IJGL</v>
      </c>
    </row>
    <row r="15949" spans="1:5" ht="15" customHeight="1" x14ac:dyDescent="0.2">
      <c r="A15949" s="1" t="s">
        <v>31445</v>
      </c>
      <c r="B15949" s="1">
        <v>0</v>
      </c>
      <c r="C15949" s="3">
        <v>44520.907025462962</v>
      </c>
      <c r="D15949" s="1" t="s">
        <v>31446</v>
      </c>
      <c r="E15949" s="1" t="str">
        <f ca="1">IFERROR(__xludf.DUMMYFUNCTION("GOOGLETRANSLATE(A12748 , ""tr"" , ""en"")"),"@drfahrettinka Mr. Minister Universities and Schools Definitely continue face to face, whatever your decision is ... https://t.co/igvl9t0pre")</f>
        <v>@drfahrettinka Mr. Minister Universities and Schools Definitely continue face to face, whatever your decision is ... https://t.co/igvl9t0pre</v>
      </c>
    </row>
    <row r="15950" spans="1:5" ht="15" customHeight="1" x14ac:dyDescent="0.2">
      <c r="A15950" s="1" t="s">
        <v>31447</v>
      </c>
      <c r="B15950" s="1">
        <v>0</v>
      </c>
      <c r="C15950" s="3">
        <v>44520.906331018516</v>
      </c>
      <c r="D15950" s="1" t="s">
        <v>31448</v>
      </c>
      <c r="E15950" s="1" t="str">
        <f ca="1">IFERROR(__xludf.DUMMYFUNCTION("GOOGLETRANSLATE(A12749 , ""tr"" , ""en"")"),"@drfahrettinkoca Allah Seel you give mind")</f>
        <v>@drfahrettinkoca Allah Seel you give mind</v>
      </c>
    </row>
    <row r="15951" spans="1:5" ht="15" customHeight="1" x14ac:dyDescent="0.2">
      <c r="A15951" s="1" t="s">
        <v>31449</v>
      </c>
      <c r="B15951" s="1">
        <v>0</v>
      </c>
      <c r="C15951" s="3">
        <v>44520.906192129631</v>
      </c>
      <c r="D15951" s="1" t="s">
        <v>31450</v>
      </c>
      <c r="E15951" s="1" t="str">
        <f ca="1">IFERROR(__xludf.DUMMYFUNCTION("GOOGLETRANSLATE(A12750 , ""tr"" , ""en"")"),"Bring @drfahrettinkoca Zolgensma Medicine Fahrettin Bey !!! IT IS ENOUGH!!!!!")</f>
        <v>Bring @drfahrettinkoca Zolgensma Medicine Fahrettin Bey !!! IT IS ENOUGH!!!!!</v>
      </c>
    </row>
    <row r="15952" spans="1:5" ht="15" customHeight="1" x14ac:dyDescent="0.2">
      <c r="A15952" s="1" t="s">
        <v>31451</v>
      </c>
      <c r="B15952" s="1">
        <v>1</v>
      </c>
      <c r="C15952" s="3">
        <v>44520.903078703705</v>
      </c>
      <c r="D15952" s="1" t="s">
        <v>31452</v>
      </c>
      <c r="E15952" s="1" t="str">
        <f ca="1">IFERROR(__xludf.DUMMYFUNCTION("GOOGLETRANSLATE(A12751 , ""tr"" , ""en"")"),"Even @drfahrettinkoca parents don't want to send their children with school.")</f>
        <v>Even @drfahrettinkoca parents don't want to send their children with school.</v>
      </c>
    </row>
    <row r="15953" spans="1:5" ht="15" customHeight="1" x14ac:dyDescent="0.2">
      <c r="A15953" s="1" t="s">
        <v>31453</v>
      </c>
      <c r="B15953" s="1">
        <v>0</v>
      </c>
      <c r="C15953" s="3">
        <v>44520.90216435185</v>
      </c>
      <c r="D15953" s="1" t="s">
        <v>31454</v>
      </c>
      <c r="E15953" s="1" t="str">
        <f ca="1">IFERROR(__xludf.DUMMYFUNCTION("GOOGLETRANSLATE(A12752 , ""tr"" , ""en"")"),"@drfahrettinka vaccine is never a business why do you push so hard")</f>
        <v>@drfahrettinka vaccine is never a business why do you push so hard</v>
      </c>
    </row>
    <row r="15954" spans="1:5" ht="15" customHeight="1" x14ac:dyDescent="0.2">
      <c r="A15954" s="1" t="s">
        <v>31455</v>
      </c>
      <c r="B15954" s="1">
        <v>1</v>
      </c>
      <c r="C15954" s="3">
        <v>44520.901921296296</v>
      </c>
      <c r="D15954" s="1" t="s">
        <v>31456</v>
      </c>
      <c r="E15954" s="1" t="str">
        <f ca="1">IFERROR(__xludf.DUMMYFUNCTION("GOOGLETRANSLATE(A12753 , ""tr"" , ""en"")"),"@drfahrettinka No need to upset each other What is one of our faces and my family is neither my family head ... https://t.co/ren3otnvlc")</f>
        <v>@drfahrettinka No need to upset each other What is one of our faces and my family is neither my family head ... https://t.co/ren3otnvlc</v>
      </c>
    </row>
    <row r="15955" spans="1:5" ht="15" customHeight="1" x14ac:dyDescent="0.2">
      <c r="A15955" s="1" t="s">
        <v>31457</v>
      </c>
      <c r="B15955" s="1">
        <v>1</v>
      </c>
      <c r="C15955" s="3">
        <v>44520.90179398148</v>
      </c>
      <c r="D15955" s="1" t="s">
        <v>31458</v>
      </c>
      <c r="E15955" s="1" t="str">
        <f ca="1">IFERROR(__xludf.DUMMYFUNCTION("GOOGLETRANSLATE(A12754 , ""tr"" , ""en"")"),"@drfahrettinkoca Look at Allah's work 23wind and not outrrr")</f>
        <v>@drfahrettinkoca Look at Allah's work 23wind and not outrrr</v>
      </c>
    </row>
    <row r="15956" spans="1:5" ht="15" customHeight="1" x14ac:dyDescent="0.2">
      <c r="A15956" s="1" t="s">
        <v>31459</v>
      </c>
      <c r="B15956" s="1">
        <v>4</v>
      </c>
      <c r="C15956" s="3">
        <v>44520.901574074072</v>
      </c>
      <c r="D15956" s="1" t="s">
        <v>31460</v>
      </c>
      <c r="E15956" s="1" t="str">
        <f ca="1">IFERROR(__xludf.DUMMYFUNCTION("GOOGLETRANSLATE(A12755 , ""tr"" , ""en"")"),"@drfahrettinkoca mask can't breathe in casual breathing lessons that stress gold do not understand gold #meByokonlinEducationHand")</f>
        <v>@drfahrettinkoca mask can't breathe in casual breathing lessons that stress gold do not understand gold #meByokonlinEducationHand</v>
      </c>
    </row>
    <row r="15957" spans="1:5" ht="15" customHeight="1" x14ac:dyDescent="0.2">
      <c r="A15957" s="1" t="s">
        <v>31461</v>
      </c>
      <c r="B15957" s="1">
        <v>5</v>
      </c>
      <c r="C15957" s="3">
        <v>44520.901516203703</v>
      </c>
      <c r="D15957" s="1" t="s">
        <v>31462</v>
      </c>
      <c r="E15957" s="1" t="str">
        <f ca="1">IFERROR(__xludf.DUMMYFUNCTION("GOOGLETRANSLATE(A12756 , ""tr"" , ""en"")"),"@drfahrettinkoca my friend's mother off the friend of my friend and the child blaming himself should come online without the more house member is detracted")</f>
        <v>@drfahrettinkoca my friend's mother off the friend of my friend and the child blaming himself should come online without the more house member is detracted</v>
      </c>
    </row>
    <row r="15958" spans="1:5" ht="15" customHeight="1" x14ac:dyDescent="0.2">
      <c r="A15958" s="1" t="s">
        <v>31463</v>
      </c>
      <c r="B15958" s="1">
        <v>0</v>
      </c>
      <c r="C15958" s="3">
        <v>44520.900949074072</v>
      </c>
      <c r="D15958" s="1" t="s">
        <v>31464</v>
      </c>
      <c r="E15958" s="1" t="str">
        <f ca="1">IFERROR(__xludf.DUMMYFUNCTION("GOOGLETRANSLATE(A12757 , ""tr"" , ""en"")"),"@drfahrettinkoca Translate your digging digging. We are no longer eating Mr. Minister, give up no longer")</f>
        <v>@drfahrettinkoca Translate your digging digging. We are no longer eating Mr. Minister, give up no longer</v>
      </c>
    </row>
    <row r="15959" spans="1:5" ht="15" customHeight="1" x14ac:dyDescent="0.2">
      <c r="A15959" s="1" t="s">
        <v>31465</v>
      </c>
      <c r="B15959" s="1">
        <v>1</v>
      </c>
      <c r="C15959" s="3">
        <v>44520.900937500002</v>
      </c>
      <c r="D15959" s="1" t="s">
        <v>31466</v>
      </c>
      <c r="E15959" s="1" t="str">
        <f ca="1">IFERROR(__xludf.DUMMYFUNCTION("GOOGLETRANSLATE(A12758 , ""tr"" , ""en"")"),"@drfahrettinkoca We want online training for a healthy education #meByokonlineEducation")</f>
        <v>@drfahrettinkoca We want online training for a healthy education #meByokonlineEducation</v>
      </c>
    </row>
    <row r="15960" spans="1:5" ht="15" customHeight="1" x14ac:dyDescent="0.2">
      <c r="A15960" s="1" t="s">
        <v>31467</v>
      </c>
      <c r="B15960" s="1">
        <v>1</v>
      </c>
      <c r="C15960" s="3">
        <v>44520.90047453704</v>
      </c>
      <c r="D15960" s="1" t="s">
        <v>31468</v>
      </c>
      <c r="E15960" s="1" t="str">
        <f ca="1">IFERROR(__xludf.DUMMYFUNCTION("GOOGLETRANSLATE(A12759 , ""tr"" , ""en"")"),"@drfahrettinkoca ""Come on there"" Diddi Libi Erbakan Hoca in such cases")</f>
        <v>@drfahrettinkoca "Come on there" Diddi Libi Erbakan Hoca in such cases</v>
      </c>
    </row>
    <row r="15961" spans="1:5" ht="15" customHeight="1" x14ac:dyDescent="0.2">
      <c r="A15961" s="1" t="s">
        <v>31469</v>
      </c>
      <c r="B15961" s="1">
        <v>5</v>
      </c>
      <c r="C15961" s="3">
        <v>44520.900347222225</v>
      </c>
      <c r="D15961" s="1" t="s">
        <v>31470</v>
      </c>
      <c r="E15961" s="1" t="str">
        <f ca="1">IFERROR(__xludf.DUMMYFUNCTION("GOOGLETRANSLATE(A12760 , ""tr"" , ""en"")"),"@drfahrettinkoca has no coins to go to school to go to school, these students ride on clicks to click on clickown")</f>
        <v>@drfahrettinkoca has no coins to go to school to go to school, these students ride on clicks to click on clickown</v>
      </c>
    </row>
    <row r="15962" spans="1:5" ht="15" customHeight="1" x14ac:dyDescent="0.2">
      <c r="A15962" s="1" t="s">
        <v>31471</v>
      </c>
      <c r="B15962" s="1">
        <v>5</v>
      </c>
      <c r="C15962" s="3">
        <v>44520.900057870371</v>
      </c>
      <c r="D15962" s="1" t="s">
        <v>31472</v>
      </c>
      <c r="E15962" s="1" t="str">
        <f ca="1">IFERROR(__xludf.DUMMYFUNCTION("GOOGLETRANSLATE(A12761 , ""tr"" , ""en"")"),"@drfahrettinkoca 8 Course Reduce We are dying We are not breathing! Reduce 40 minutes Dying Mask Training System ... https://t.co/tb6f8meezesi")</f>
        <v>@drfahrettinkoca 8 Course Reduce We are dying We are not breathing! Reduce 40 minutes Dying Mask Training System ... https://t.co/tb6f8meezesi</v>
      </c>
    </row>
    <row r="15963" spans="1:5" ht="15" customHeight="1" x14ac:dyDescent="0.2">
      <c r="A15963" s="1" t="s">
        <v>31473</v>
      </c>
      <c r="B15963" s="1">
        <v>3</v>
      </c>
      <c r="C15963" s="3">
        <v>44520.900023148148</v>
      </c>
      <c r="D15963" s="1" t="s">
        <v>31474</v>
      </c>
      <c r="E15963" s="1" t="str">
        <f ca="1">IFERROR(__xludf.DUMMYFUNCTION("GOOGLETRANSLATE(A12762 , ""tr"" , ""en"")"),"@drfahrettinkoca water even on vacation, the number of cases and the number of passages did not fall on the number of cases and the clock prohibitions should come again")</f>
        <v>@drfahrettinkoca water even on vacation, the number of cases and the number of passages did not fall on the number of cases and the clock prohibitions should come again</v>
      </c>
    </row>
    <row r="15964" spans="1:5" ht="15" customHeight="1" x14ac:dyDescent="0.2">
      <c r="A15964" s="1" t="s">
        <v>31475</v>
      </c>
      <c r="B15964" s="1">
        <v>0</v>
      </c>
      <c r="C15964" s="3">
        <v>44520.899467592593</v>
      </c>
      <c r="D15964" s="1" t="s">
        <v>31476</v>
      </c>
      <c r="E15964" s="1" t="str">
        <f ca="1">IFERROR(__xludf.DUMMYFUNCTION("GOOGLETRANSLATE(A12763 , ""tr"" , ""en"")"),"@drfahrettinkoca Talkke Fell of Malesef Mr. Minister. Hi to those who see the dock.")</f>
        <v>@drfahrettinkoca Talkke Fell of Malesef Mr. Minister. Hi to those who see the dock.</v>
      </c>
    </row>
    <row r="15965" spans="1:5" ht="15" customHeight="1" x14ac:dyDescent="0.2">
      <c r="A15965" s="1" t="s">
        <v>31477</v>
      </c>
      <c r="B15965" s="1">
        <v>5</v>
      </c>
      <c r="C15965" s="3">
        <v>44520.89943287037</v>
      </c>
      <c r="D15965" s="1" t="s">
        <v>31478</v>
      </c>
      <c r="E15965" s="1" t="str">
        <f ca="1">IFERROR(__xludf.DUMMYFUNCTION("GOOGLETRANSLATE(A12764 , ""tr"" , ""en"")"),"@drfahrettinkoca 8 lesson reduce the lesson We are dying We are not breathing 40 minutes Reduce the mask with the mask training system ... https://t.co/netfmnvbgv")</f>
        <v>@drfahrettinkoca 8 lesson reduce the lesson We are dying We are not breathing 40 minutes Reduce the mask with the mask training system ... https://t.co/netfmnvbgv</v>
      </c>
    </row>
    <row r="15966" spans="1:5" ht="15" customHeight="1" x14ac:dyDescent="0.2">
      <c r="A15966" s="1" t="s">
        <v>31479</v>
      </c>
      <c r="B15966" s="1">
        <v>5</v>
      </c>
      <c r="C15966" s="3">
        <v>44520.899108796293</v>
      </c>
      <c r="D15966" s="1" t="s">
        <v>31480</v>
      </c>
      <c r="E15966" s="1" t="str">
        <f ca="1">IFERROR(__xludf.DUMMYFUNCTION("GOOGLETRANSLATE(A12765 , ""tr"" , ""en"")"),"@drfahrettinkoca 8 lesson Reduce the lesson We are dying We cannot breathe 40 minutes Decrease the mask with the mask Training system ... https://t.co/ciq35jcely")</f>
        <v>@drfahrettinkoca 8 lesson Reduce the lesson We are dying We cannot breathe 40 minutes Decrease the mask with the mask Training system ... https://t.co/ciq35jcely</v>
      </c>
    </row>
    <row r="15967" spans="1:5" ht="15" customHeight="1" x14ac:dyDescent="0.2">
      <c r="A15967" s="1" t="s">
        <v>31481</v>
      </c>
      <c r="B15967" s="1">
        <v>5</v>
      </c>
      <c r="C15967" s="3">
        <v>44520.892442129632</v>
      </c>
      <c r="D15967" s="1" t="s">
        <v>31482</v>
      </c>
      <c r="E15967" s="1" t="str">
        <f ca="1">IFERROR(__xludf.DUMMYFUNCTION("GOOGLETRANSLATE(A12766 , ""tr"" , ""en"")"),"@drfahrettinkoca Eveeet Started from the wing to the animal slaughter, which is the need for Paris Treaty. Big and younger ... https://t.co/z4gumpsrlu")</f>
        <v>@drfahrettinkoca Eveeet Started from the wing to the animal slaughter, which is the need for Paris Treaty. Big and younger ... https://t.co/z4gumpsrlu</v>
      </c>
    </row>
    <row r="15968" spans="1:5" ht="15" customHeight="1" x14ac:dyDescent="0.2">
      <c r="A15968" s="1" t="s">
        <v>31483</v>
      </c>
      <c r="B15968" s="1">
        <v>2</v>
      </c>
      <c r="C15968" s="3">
        <v>44520.892210648148</v>
      </c>
      <c r="D15968" s="1" t="s">
        <v>31484</v>
      </c>
      <c r="E15968" s="1" t="str">
        <f ca="1">IFERROR(__xludf.DUMMYFUNCTION("GOOGLETRANSLATE(A12767 , ""tr"" , ""en"")"),"@drfahrettinkoca Eveeet Started from the wing to the animal slaughter, which is the need for Paris Treaty. Big and Küçükb ... https://t.co/D2HTQDUIA4")</f>
        <v>@drfahrettinkoca Eveeet Started from the wing to the animal slaughter, which is the need for Paris Treaty. Big and Küçükb ... https://t.co/D2HTQDUIA4</v>
      </c>
    </row>
    <row r="15969" spans="1:5" ht="15" customHeight="1" x14ac:dyDescent="0.2">
      <c r="A15969" s="1" t="s">
        <v>31485</v>
      </c>
      <c r="B15969" s="1">
        <v>3</v>
      </c>
      <c r="C15969" s="3">
        <v>44520.891967592594</v>
      </c>
      <c r="D15969" s="1" t="s">
        <v>31486</v>
      </c>
      <c r="E15969" s="1" t="str">
        <f ca="1">IFERROR(__xludf.DUMMYFUNCTION("GOOGLETRANSLATE(A12768 , ""tr"" , ""en"")"),"@drfahrettinkoca Eveeet Started from the wing to the animal slaughter, which is the need for Paris Treaty. Big and Küçükb ... https://t.co/obdahtpauj")</f>
        <v>@drfahrettinkoca Eveeet Started from the wing to the animal slaughter, which is the need for Paris Treaty. Big and Küçükb ... https://t.co/obdahtpauj</v>
      </c>
    </row>
    <row r="15970" spans="1:5" ht="15" customHeight="1" x14ac:dyDescent="0.2">
      <c r="A15970" s="1" t="s">
        <v>31487</v>
      </c>
      <c r="B15970" s="1">
        <v>7</v>
      </c>
      <c r="C15970" s="3">
        <v>44520.890532407408</v>
      </c>
      <c r="D15970" s="1" t="s">
        <v>31488</v>
      </c>
      <c r="E15970" s="1" t="str">
        <f ca="1">IFERROR(__xludf.DUMMYFUNCTION("GOOGLETRANSLATE(A12769 , ""tr"" , ""en"")"),"@drfahrettinkoca all countries stood up ... Do not lie under 18 years of age breaking the Nation of Jahu !!! Vaccine ... https://t.co/vhj0fqjl4b")</f>
        <v>@drfahrettinkoca all countries stood up ... Do not lie under 18 years of age breaking the Nation of Jahu !!! Vaccine ... https://t.co/vhj0fqjl4b</v>
      </c>
    </row>
    <row r="15971" spans="1:5" ht="15" customHeight="1" x14ac:dyDescent="0.2">
      <c r="A15971" s="1" t="s">
        <v>31489</v>
      </c>
      <c r="B15971" s="1">
        <v>0</v>
      </c>
      <c r="C15971" s="3">
        <v>44520.889826388891</v>
      </c>
      <c r="D15971" s="1" t="s">
        <v>31490</v>
      </c>
      <c r="E15971" s="1" t="str">
        <f ca="1">IFERROR(__xludf.DUMMYFUNCTION("GOOGLETRANSLATE(A12770 , ""tr"" , ""en"")"),"@drfahrettinkoca Hello Hi We are a graduated vocational definition from Pathology Laboratory Technician Identity ... https://t.co/bqei7xcnoa")</f>
        <v>@drfahrettinkoca Hello Hi We are a graduated vocational definition from Pathology Laboratory Technician Identity ... https://t.co/bqei7xcnoa</v>
      </c>
    </row>
    <row r="15972" spans="1:5" ht="15" customHeight="1" x14ac:dyDescent="0.2">
      <c r="A15972" s="1" t="s">
        <v>31491</v>
      </c>
      <c r="B15972" s="1">
        <v>0</v>
      </c>
      <c r="C15972" s="3">
        <v>44520.888969907406</v>
      </c>
      <c r="D15972" s="1" t="s">
        <v>31492</v>
      </c>
      <c r="E15972" s="1" t="str">
        <f ca="1">IFERROR(__xludf.DUMMYFUNCTION("GOOGLETRANSLATE(A12771 , ""tr"" , ""en"")"),"@drfahrettinkoca experiment fluid and we are subjects !!!")</f>
        <v>@drfahrettinkoca experiment fluid and we are subjects !!!</v>
      </c>
    </row>
    <row r="15973" spans="1:5" ht="15" customHeight="1" x14ac:dyDescent="0.2">
      <c r="A15973" s="1" t="s">
        <v>31493</v>
      </c>
      <c r="B15973" s="1">
        <v>0</v>
      </c>
      <c r="C15973" s="3">
        <v>44520.886782407404</v>
      </c>
      <c r="D15973" s="1" t="s">
        <v>31494</v>
      </c>
      <c r="E15973" s="1" t="str">
        <f ca="1">IFERROR(__xludf.DUMMYFUNCTION("GOOGLETRANSLATE(A12772 , ""tr"" , ""en"")"),"@drfahrettinkoca Start vaccination on the age of 5 will arrive at least 7-8%")</f>
        <v>@drfahrettinkoca Start vaccination on the age of 5 will arrive at least 7-8%</v>
      </c>
    </row>
    <row r="15974" spans="1:5" ht="15" customHeight="1" x14ac:dyDescent="0.2">
      <c r="A15974" s="1" t="s">
        <v>31495</v>
      </c>
      <c r="B15974" s="1">
        <v>0</v>
      </c>
      <c r="C15974" s="3">
        <v>44520.884351851855</v>
      </c>
      <c r="D15974" s="1" t="s">
        <v>31496</v>
      </c>
      <c r="E15974" s="1" t="str">
        <f ca="1">IFERROR(__xludf.DUMMYFUNCTION("GOOGLETRANSLATE(A12773 , ""tr"" , ""en"")"),"@drfahrettinkoca is no one involved in these figures. Urgently need to be transmitted to online education. Mask wearing Zat ... https://t.co/18pj3trp46")</f>
        <v>@drfahrettinkoca is no one involved in these figures. Urgently need to be transmitted to online education. Mask wearing Zat ... https://t.co/18pj3trp46</v>
      </c>
    </row>
    <row r="15975" spans="1:5" ht="15" customHeight="1" x14ac:dyDescent="0.2">
      <c r="A15975" s="1" t="s">
        <v>31497</v>
      </c>
      <c r="B15975" s="1">
        <v>0</v>
      </c>
      <c r="C15975" s="3">
        <v>44520.884247685186</v>
      </c>
      <c r="D15975" s="1" t="s">
        <v>31498</v>
      </c>
      <c r="E15975" s="1" t="str">
        <f ca="1">IFERROR(__xludf.DUMMYFUNCTION("GOOGLETRANSLATE(A12774 , ""tr"" , ""en"")"),"@drfahrettinkoca is burning this nation. Drug kills vaccine crawls https://t.co/sqygd7bviz")</f>
        <v>@drfahrettinkoca is burning this nation. Drug kills vaccine crawls https://t.co/sqygd7bviz</v>
      </c>
    </row>
    <row r="15976" spans="1:5" ht="15" customHeight="1" x14ac:dyDescent="0.2">
      <c r="A15976" s="1" t="s">
        <v>31499</v>
      </c>
      <c r="B15976" s="1">
        <v>0</v>
      </c>
      <c r="C15976" s="3">
        <v>44520.884143518517</v>
      </c>
      <c r="D15976" s="1" t="s">
        <v>31500</v>
      </c>
      <c r="E15976" s="1" t="str">
        <f ca="1">IFERROR(__xludf.DUMMYFUNCTION("GOOGLETRANSLATE(A12775 , ""tr"" , ""en"")"),"@drfahrettinkoca l pnl ln m .kjkkkkkjş")</f>
        <v>@drfahrettinkoca l pnl ln m .kjkkkkkjş</v>
      </c>
    </row>
    <row r="15977" spans="1:5" ht="15" customHeight="1" x14ac:dyDescent="0.2">
      <c r="A15977" s="1" t="s">
        <v>31501</v>
      </c>
      <c r="B15977" s="1">
        <v>1</v>
      </c>
      <c r="C15977" s="3">
        <v>44520.883831018517</v>
      </c>
      <c r="D15977" s="1" t="s">
        <v>31502</v>
      </c>
      <c r="E15977" s="1" t="str">
        <f ca="1">IFERROR(__xludf.DUMMYFUNCTION("GOOGLETRANSLATE(A12776 , ""tr"" , ""en"")"),"@drfahrettinkoca #mebyökonlineElitime")</f>
        <v>@drfahrettinkoca #mebyökonlineElitime</v>
      </c>
    </row>
    <row r="15978" spans="1:5" ht="15" customHeight="1" x14ac:dyDescent="0.2">
      <c r="A15978" s="1" t="s">
        <v>31503</v>
      </c>
      <c r="B15978" s="1">
        <v>2</v>
      </c>
      <c r="C15978" s="3">
        <v>44520.883171296293</v>
      </c>
      <c r="D15978" s="1" t="s">
        <v>31504</v>
      </c>
      <c r="E15978" s="1" t="str">
        <f ca="1">IFERROR(__xludf.DUMMYFUNCTION("GOOGLETRANSLATE(A12777 , ""tr"" , ""en"")"),"@drfahrettinkoca Ministry of Kadir believers hanging (Allah gives emergency heals) Whether it gets to be the past lutfen vaccine ... https://t.co/6bbex8hwmc")</f>
        <v>@drfahrettinkoca Ministry of Kadir believers hanging (Allah gives emergency heals) Whether it gets to be the past lutfen vaccine ... https://t.co/6bbex8hwmc</v>
      </c>
    </row>
    <row r="15979" spans="1:5" ht="15" customHeight="1" x14ac:dyDescent="0.2">
      <c r="A15979" s="1" t="s">
        <v>31505</v>
      </c>
      <c r="B15979" s="1">
        <v>0</v>
      </c>
      <c r="C15979" s="3">
        <v>44520.882488425923</v>
      </c>
      <c r="D15979" s="1" t="s">
        <v>31506</v>
      </c>
      <c r="E15979" s="1" t="str">
        <f ca="1">IFERROR(__xludf.DUMMYFUNCTION("GOOGLETRANSLATE(A12778 , ""tr"" , ""en"")"),"@drfahrettinkoca I'm very internal AK Party Sirf I will not vote for imposing the vaccine Mr. Minister")</f>
        <v>@drfahrettinkoca I'm very internal AK Party Sirf I will not vote for imposing the vaccine Mr. Minister</v>
      </c>
    </row>
    <row r="15980" spans="1:5" ht="15" customHeight="1" x14ac:dyDescent="0.2">
      <c r="A15980" s="1" t="s">
        <v>31507</v>
      </c>
      <c r="B15980" s="1">
        <v>1</v>
      </c>
      <c r="C15980" s="3">
        <v>44520.882488425923</v>
      </c>
      <c r="D15980" s="1" t="s">
        <v>31508</v>
      </c>
      <c r="E15980" s="1" t="str">
        <f ca="1">IFERROR(__xludf.DUMMYFUNCTION("GOOGLETRANSLATE(A12779 , ""tr"" , ""en"")"),"@drfahrettinkoca Mr. Ministry 200 people die every day Why don't anything be done")</f>
        <v>@drfahrettinkoca Mr. Ministry 200 people die every day Why don't anything be done</v>
      </c>
    </row>
    <row r="15981" spans="1:5" ht="15" customHeight="1" x14ac:dyDescent="0.2">
      <c r="A15981" s="1" t="s">
        <v>31509</v>
      </c>
      <c r="B15981" s="1">
        <v>0</v>
      </c>
      <c r="C15981" s="3">
        <v>44520.88003472222</v>
      </c>
      <c r="D15981" s="1" t="s">
        <v>31510</v>
      </c>
      <c r="E15981" s="1" t="str">
        <f ca="1">IFERROR(__xludf.DUMMYFUNCTION("GOOGLETRANSLATE(A12780 , ""tr"" , ""en"")"),"@drfahrettinkoca d")</f>
        <v>@drfahrettinkoca d</v>
      </c>
    </row>
    <row r="15982" spans="1:5" ht="15" customHeight="1" x14ac:dyDescent="0.2">
      <c r="A15982" s="1" t="s">
        <v>31511</v>
      </c>
      <c r="B15982" s="1">
        <v>0</v>
      </c>
      <c r="C15982" s="3">
        <v>44520.877997685187</v>
      </c>
      <c r="D15982" s="1" t="s">
        <v>31512</v>
      </c>
      <c r="E15982" s="1" t="str">
        <f ca="1">IFERROR(__xludf.DUMMYFUNCTION("GOOGLETRANSLATE(A12781 , ""tr"" , ""en"")"),"@drfahrettinkoca When you are facing a hundred, no one will die?")</f>
        <v>@drfahrettinkoca When you are facing a hundred, no one will die?</v>
      </c>
    </row>
    <row r="15983" spans="1:5" ht="15" customHeight="1" x14ac:dyDescent="0.2">
      <c r="A15983" s="1" t="s">
        <v>31513</v>
      </c>
      <c r="B15983" s="1">
        <v>0</v>
      </c>
      <c r="C15983" s="3">
        <v>44520.876909722225</v>
      </c>
      <c r="D15983" s="1" t="s">
        <v>31514</v>
      </c>
      <c r="E15983" s="1" t="str">
        <f ca="1">IFERROR(__xludf.DUMMYFUNCTION("GOOGLETRANSLATE(A12782 , ""tr"" , ""en"")"),"@drfahrettinkoca we want online training without late")</f>
        <v>@drfahrettinkoca we want online training without late</v>
      </c>
    </row>
    <row r="15984" spans="1:5" ht="15" customHeight="1" x14ac:dyDescent="0.2">
      <c r="A15984" s="1" t="s">
        <v>31515</v>
      </c>
      <c r="B15984" s="1">
        <v>0</v>
      </c>
      <c r="C15984" s="3">
        <v>44520.87672453704</v>
      </c>
      <c r="D15984" s="1" t="s">
        <v>31516</v>
      </c>
      <c r="E15984" s="1" t="str">
        <f ca="1">IFERROR(__xludf.DUMMYFUNCTION("GOOGLETRANSLATE(A12783 , ""tr"" , ""en"")"),"@drfahrettinka Mr. Health Minister 2 dose Sinovac My aunt today andfat What will be now? Get to you vaccine ... https://t.co/ARICMV47YQ")</f>
        <v>@drfahrettinka Mr. Health Minister 2 dose Sinovac My aunt today andfat What will be now? Get to you vaccine ... https://t.co/ARICMV47YQ</v>
      </c>
    </row>
    <row r="15985" spans="1:5" ht="15" customHeight="1" x14ac:dyDescent="0.2">
      <c r="A15985" s="1" t="s">
        <v>31517</v>
      </c>
      <c r="B15985" s="1">
        <v>0</v>
      </c>
      <c r="C15985" s="3">
        <v>44520.875717592593</v>
      </c>
      <c r="D15985" s="1" t="s">
        <v>31518</v>
      </c>
      <c r="E15985" s="1" t="str">
        <f ca="1">IFERROR(__xludf.DUMMYFUNCTION("GOOGLETRANSLATE(A12784 , ""tr"" , ""en"")"),"@drfahrettinkoca @drfahrettinkoca sec. My Minister I would like to ask you a single question If schools are not closed all ... https://t.co/g73y7lu3tw")</f>
        <v>@drfahrettinkoca @drfahrettinkoca sec. My Minister I would like to ask you a single question If schools are not closed all ... https://t.co/g73y7lu3tw</v>
      </c>
    </row>
    <row r="15986" spans="1:5" ht="15" customHeight="1" x14ac:dyDescent="0.2">
      <c r="A15986" s="1" t="s">
        <v>31519</v>
      </c>
      <c r="B15986" s="1">
        <v>0</v>
      </c>
      <c r="C15986" s="3">
        <v>44520.875358796293</v>
      </c>
      <c r="D15986" s="1" t="s">
        <v>31520</v>
      </c>
      <c r="E15986" s="1" t="str">
        <f ca="1">IFERROR(__xludf.DUMMYFUNCTION("GOOGLETRANSLATE(A12785 , ""tr"" , ""en"")"),"@drfahrettinka https://t.co/redy5l4vad")</f>
        <v>@drfahrettinka https://t.co/redy5l4vad</v>
      </c>
    </row>
    <row r="15987" spans="1:5" ht="15" customHeight="1" x14ac:dyDescent="0.2">
      <c r="A15987" s="1" t="s">
        <v>31521</v>
      </c>
      <c r="B15987" s="1">
        <v>0</v>
      </c>
      <c r="C15987" s="3">
        <v>44520.872812499998</v>
      </c>
      <c r="D15987" s="1" t="s">
        <v>31522</v>
      </c>
      <c r="E15987" s="1" t="str">
        <f ca="1">IFERROR(__xludf.DUMMYFUNCTION("GOOGLETRANSLATE(A12786 , ""tr"" , ""en"")"),"@drfahrettinkoca Stay away from our specific children to kill us !!")</f>
        <v>@drfahrettinkoca Stay away from our specific children to kill us !!</v>
      </c>
    </row>
    <row r="15988" spans="1:5" ht="15" customHeight="1" x14ac:dyDescent="0.2">
      <c r="A15988" s="1" t="s">
        <v>31523</v>
      </c>
      <c r="B15988" s="1">
        <v>0</v>
      </c>
      <c r="C15988" s="3">
        <v>44520.871678240743</v>
      </c>
      <c r="D15988" s="1" t="s">
        <v>31524</v>
      </c>
      <c r="E15988" s="1" t="str">
        <f ca="1">IFERROR(__xludf.DUMMYFUNCTION("GOOGLETRANSLATE(A12787 , ""tr"" , ""en"")"),"@drfahrettinkca with numbers and persecution with persecution of humanity, while you play your puppetry game, while the Eskişehir is ... https://t.co/u1dyTIlc")</f>
        <v>@drfahrettinkca with numbers and persecution with persecution of humanity, while you play your puppetry game, while the Eskişehir is ... https://t.co/u1dyTIlc</v>
      </c>
    </row>
    <row r="15989" spans="1:5" ht="15" customHeight="1" x14ac:dyDescent="0.2">
      <c r="A15989" s="1" t="s">
        <v>31525</v>
      </c>
      <c r="B15989" s="1">
        <v>0</v>
      </c>
      <c r="C15989" s="3">
        <v>44520.869212962964</v>
      </c>
      <c r="D15989" s="1" t="s">
        <v>31526</v>
      </c>
      <c r="E15989" s="1" t="str">
        <f ca="1">IFERROR(__xludf.DUMMYFUNCTION("GOOGLETRANSLATE(A12788 , ""tr"" , ""en"")"),"@drfahrettinkoca Cebelitari 100% not overcommable So why are the daily cases and deaths are going on? Y ... https://t.co/vq9f3wbxbr")</f>
        <v>@drfahrettinkoca Cebelitari 100% not overcommable So why are the daily cases and deaths are going on? Y ... https://t.co/vq9f3wbxbr</v>
      </c>
    </row>
    <row r="15990" spans="1:5" ht="15" customHeight="1" x14ac:dyDescent="0.2">
      <c r="A15990" s="1" t="s">
        <v>31527</v>
      </c>
      <c r="B15990" s="1">
        <v>0</v>
      </c>
      <c r="C15990" s="3">
        <v>44520.869039351855</v>
      </c>
      <c r="D15990" s="1" t="s">
        <v>31528</v>
      </c>
      <c r="E15990" s="1" t="str">
        <f ca="1">IFERROR(__xludf.DUMMYFUNCTION("GOOGLETRANSLATE(A12789 , ""tr"" , ""en"")"),"@drfahrettinkoca daily 20-23 thousand cases daily, death of 200-230, such as months, this is such a bench full balance,")</f>
        <v>@drfahrettinkoca daily 20-23 thousand cases daily, death of 200-230, such as months, this is such a bench full balance,</v>
      </c>
    </row>
    <row r="15991" spans="1:5" ht="15" customHeight="1" x14ac:dyDescent="0.2">
      <c r="A15991" s="1" t="s">
        <v>31529</v>
      </c>
      <c r="B15991" s="1">
        <v>1</v>
      </c>
      <c r="C15991" s="3">
        <v>44520.861284722225</v>
      </c>
      <c r="D15991" s="1" t="s">
        <v>31530</v>
      </c>
      <c r="E15991" s="1" t="str">
        <f ca="1">IFERROR(__xludf.DUMMYFUNCTION("GOOGLETRANSLATE(A12790 , ""tr"" , ""en"")"),"@drfahrettinkoca vaccine When it is immortal, what will be immortal and the full-time is working in the mask when you are working in the mask ... https://t.co/h5tipnn59c")</f>
        <v>@drfahrettinkoca vaccine When it is immortal, what will be immortal and the full-time is working in the mask when you are working in the mask ... https://t.co/h5tipnn59c</v>
      </c>
    </row>
    <row r="15992" spans="1:5" ht="15" customHeight="1" x14ac:dyDescent="0.2">
      <c r="A15992" s="1" t="s">
        <v>31531</v>
      </c>
      <c r="B15992" s="1">
        <v>0</v>
      </c>
      <c r="C15992" s="3">
        <v>44520.86105324074</v>
      </c>
      <c r="D15992" s="1" t="s">
        <v>31532</v>
      </c>
      <c r="E15992" s="1" t="str">
        <f ca="1">IFERROR(__xludf.DUMMYFUNCTION("GOOGLETRANSLATE(A12791 , ""tr"" , ""en"")"),"@drfahrettinkoca doesn't happen to be with such a credi")</f>
        <v>@drfahrettinkoca doesn't happen to be with such a credi</v>
      </c>
    </row>
    <row r="15993" spans="1:5" ht="15" customHeight="1" x14ac:dyDescent="0.2">
      <c r="A15993" s="1" t="s">
        <v>31533</v>
      </c>
      <c r="B15993" s="1">
        <v>0</v>
      </c>
      <c r="C15993" s="3">
        <v>44520.99491898148</v>
      </c>
      <c r="D15993" s="1" t="s">
        <v>31534</v>
      </c>
      <c r="E15993" s="1" t="str">
        <f ca="1">IFERROR(__xludf.DUMMYFUNCTION("GOOGLETRANSLATE(A12792 , ""tr"" , ""en"")"),"@drfahrettinkoca Süfyan!")</f>
        <v>@drfahrettinkoca Süfyan!</v>
      </c>
    </row>
    <row r="15994" spans="1:5" ht="15" customHeight="1" x14ac:dyDescent="0.2">
      <c r="A15994" s="1" t="s">
        <v>31535</v>
      </c>
      <c r="B15994" s="1">
        <v>0</v>
      </c>
      <c r="C15994" s="3">
        <v>44520.994837962964</v>
      </c>
      <c r="D15994" s="1" t="s">
        <v>31536</v>
      </c>
      <c r="E15994" s="1" t="str">
        <f ca="1">IFERROR(__xludf.DUMMYFUNCTION("GOOGLETRANSLATE(A12793 , ""tr"" , ""en"")"),"@drfahrettinkoca come on ya please turn off")</f>
        <v>@drfahrettinkoca come on ya please turn off</v>
      </c>
    </row>
    <row r="15995" spans="1:5" ht="15" customHeight="1" x14ac:dyDescent="0.2">
      <c r="A15995" s="1" t="s">
        <v>31537</v>
      </c>
      <c r="B15995" s="1">
        <v>0</v>
      </c>
      <c r="C15995" s="3">
        <v>44520.993252314816</v>
      </c>
      <c r="D15995" s="1" t="s">
        <v>31538</v>
      </c>
      <c r="E15995" s="1" t="str">
        <f ca="1">IFERROR(__xludf.DUMMYFUNCTION("GOOGLETRANSLATE(A12794 , ""tr"" , ""en"")"),"@drfahrettinkoca lan no-dred pattern suit the best i think i think schools close up the school in the class ran out of the following lesson after school")</f>
        <v>@drfahrettinkoca lan no-dred pattern suit the best i think i think schools close up the school in the class ran out of the following lesson after school</v>
      </c>
    </row>
    <row r="15996" spans="1:5" ht="15" customHeight="1" x14ac:dyDescent="0.2">
      <c r="A15996" s="1" t="s">
        <v>31539</v>
      </c>
      <c r="B15996" s="1">
        <v>0</v>
      </c>
      <c r="C15996" s="3">
        <v>44520.858402777776</v>
      </c>
      <c r="D15996" s="1" t="s">
        <v>31540</v>
      </c>
      <c r="E15996" s="1" t="str">
        <f ca="1">IFERROR(__xludf.DUMMYFUNCTION("GOOGLETRANSLATE(A12795 , ""tr"" , ""en"")"),"@drfahrettinka you believe that the vaccines work .. !! You are a very pure pity ..")</f>
        <v>@drfahrettinka you believe that the vaccines work .. !! You are a very pure pity ..</v>
      </c>
    </row>
    <row r="15997" spans="1:5" ht="15" customHeight="1" x14ac:dyDescent="0.2">
      <c r="A15997" s="1" t="s">
        <v>31541</v>
      </c>
      <c r="B15997" s="1">
        <v>0</v>
      </c>
      <c r="C15997" s="3">
        <v>44520.857233796298</v>
      </c>
      <c r="D15997" s="1" t="s">
        <v>31542</v>
      </c>
      <c r="E15997" s="1" t="str">
        <f ca="1">IFERROR(__xludf.DUMMYFUNCTION("GOOGLETRANSLATE(A12796 , ""tr"" , ""en"")"),"@drfahrettinkoca SMA Patient Support Babies Hear Your Sounds Now HTTPS://T.CO/QDCWW1CZFP")</f>
        <v>@drfahrettinkoca SMA Patient Support Babies Hear Your Sounds Now HTTPS://T.CO/QDCWW1CZFP</v>
      </c>
    </row>
    <row r="15998" spans="1:5" ht="15" customHeight="1" x14ac:dyDescent="0.2">
      <c r="A15998" s="1" t="s">
        <v>31543</v>
      </c>
      <c r="B15998" s="1">
        <v>0</v>
      </c>
      <c r="C15998" s="3">
        <v>44520.855717592596</v>
      </c>
      <c r="D15998" s="1" t="s">
        <v>31544</v>
      </c>
      <c r="E15998" s="1" t="str">
        <f ca="1">IFERROR(__xludf.DUMMYFUNCTION("GOOGLETRANSLATE(A12797 , ""tr"" , ""en"")"),"@drfahrettinkoca DSÖ is the love of the terrorist organization or fear or fear ?? !!! You go terrorist people who go to you .. ... https://t.co/ypjq1r81au")</f>
        <v>@drfahrettinkoca DSÖ is the love of the terrorist organization or fear or fear ?? !!! You go terrorist people who go to you .. ... https://t.co/ypjq1r81au</v>
      </c>
    </row>
    <row r="15999" spans="1:5" ht="15" customHeight="1" x14ac:dyDescent="0.2">
      <c r="A15999" s="1" t="s">
        <v>31545</v>
      </c>
      <c r="B15999" s="1">
        <v>0</v>
      </c>
      <c r="C15999" s="3">
        <v>44520.850624999999</v>
      </c>
      <c r="D15999" s="1" t="s">
        <v>31546</v>
      </c>
      <c r="E15999" s="1" t="str">
        <f ca="1">IFERROR(__xludf.DUMMYFUNCTION("GOOGLETRANSLATE(A12798 , ""tr"" , ""en"")"),"@drfahrettinkoca we are running out as you pay off.")</f>
        <v>@drfahrettinkoca we are running out as you pay off.</v>
      </c>
    </row>
    <row r="16000" spans="1:5" ht="15" customHeight="1" x14ac:dyDescent="0.2">
      <c r="A16000" s="1" t="s">
        <v>31547</v>
      </c>
      <c r="B16000" s="1">
        <v>9</v>
      </c>
      <c r="C16000" s="3">
        <v>44520.848449074074</v>
      </c>
      <c r="D16000" s="1" t="s">
        <v>31548</v>
      </c>
      <c r="E16000" s="1" t="str">
        <f ca="1">IFERROR(__xludf.DUMMYFUNCTION("GOOGLETRANSLATE(A12799 , ""tr"" , ""en"")"),"@drfahrettinkoca bi sus no longer. Because of you, nationality was from his or her health.")</f>
        <v>@drfahrettinkoca bi sus no longer. Because of you, nationality was from his or her health.</v>
      </c>
    </row>
    <row r="16001" spans="1:5" ht="15" customHeight="1" x14ac:dyDescent="0.2">
      <c r="A16001" s="1" t="s">
        <v>31549</v>
      </c>
      <c r="B16001" s="1">
        <v>1</v>
      </c>
      <c r="C16001" s="3">
        <v>44520.84814814815</v>
      </c>
      <c r="D16001" s="1" t="s">
        <v>31550</v>
      </c>
      <c r="E16001" s="1" t="str">
        <f ca="1">IFERROR(__xludf.DUMMYFUNCTION("GOOGLETRANSLATE(A12800 , ""tr"" , ""en"")"),"@drfahrettinkoca Your Asi Mumessiligi is a Baska Destruction of Baska Destruction SMA LI A Bebegin Mother Life from your Face ... https://t.co/nbahexydyh")</f>
        <v>@drfahrettinkoca Your Asi Mumessiligi is a Baska Destruction of Baska Destruction SMA LI A Bebegin Mother Life from your Face ... https://t.co/nbahexydyh</v>
      </c>
    </row>
    <row r="16002" spans="1:5" ht="15" customHeight="1" x14ac:dyDescent="0.2">
      <c r="A16002" s="1" t="s">
        <v>31551</v>
      </c>
      <c r="B16002" s="1">
        <v>1</v>
      </c>
      <c r="C16002" s="3">
        <v>44520.848101851851</v>
      </c>
      <c r="D16002" s="1" t="s">
        <v>31552</v>
      </c>
      <c r="E16002" s="1" t="str">
        <f ca="1">IFERROR(__xludf.DUMMYFUNCTION("GOOGLETRANSLATE(A12801 , ""tr"" , ""en"")"),"@drfahrettinkoca No November 20 2020 Vaccine! Tests: 156,642 Case Number: No data Patients: 5.103 Death: 141 20 ka ... https://t.co/sj9oahfqrd")</f>
        <v>@drfahrettinkoca No November 20 2020 Vaccine! Tests: 156,642 Case Number: No data Patients: 5.103 Death: 141 20 ka ... https://t.co/sj9oahfqrd</v>
      </c>
    </row>
    <row r="16003" spans="1:5" ht="15" customHeight="1" x14ac:dyDescent="0.2">
      <c r="A16003" s="1" t="s">
        <v>31553</v>
      </c>
      <c r="B16003" s="1">
        <v>0</v>
      </c>
      <c r="C16003" s="3">
        <v>44520.847384259258</v>
      </c>
      <c r="D16003" s="1" t="s">
        <v>31554</v>
      </c>
      <c r="E16003" s="1" t="str">
        <f ca="1">IFERROR(__xludf.DUMMYFUNCTION("GOOGLETRANSLATE(A12802 , ""tr"" , ""en"")"),"@drfahrettinkoca not out of puddles fear of vaccination https://t.co/raj0nmanu1")</f>
        <v>@drfahrettinkoca not out of puddles fear of vaccination https://t.co/raj0nmanu1</v>
      </c>
    </row>
    <row r="16004" spans="1:5" ht="15" customHeight="1" x14ac:dyDescent="0.2">
      <c r="A16004" s="1" t="s">
        <v>31555</v>
      </c>
      <c r="B16004" s="1">
        <v>0</v>
      </c>
      <c r="C16004" s="3">
        <v>44520.84710648148</v>
      </c>
      <c r="D16004" s="1" t="s">
        <v>31556</v>
      </c>
      <c r="E16004" s="1" t="str">
        <f ca="1">IFERROR(__xludf.DUMMYFUNCTION("GOOGLETRANSLATE(A12803 , ""tr"" , ""en"")"),"@drfahrettinka https://t.co/f9ju8MIKO1")</f>
        <v>@drfahrettinka https://t.co/f9ju8MIKO1</v>
      </c>
    </row>
    <row r="16005" spans="1:5" ht="15" customHeight="1" x14ac:dyDescent="0.2">
      <c r="A16005" s="1" t="s">
        <v>31557</v>
      </c>
      <c r="B16005" s="1">
        <v>0</v>
      </c>
      <c r="C16005" s="3">
        <v>44520.846354166664</v>
      </c>
      <c r="D16005" s="1" t="s">
        <v>31558</v>
      </c>
      <c r="E16005" s="1" t="str">
        <f ca="1">IFERROR(__xludf.DUMMYFUNCTION("GOOGLETRANSLATE(A12804 , ""tr"" , ""en"")"),"@drfahrettinkoca vajinismus what")</f>
        <v>@drfahrettinkoca vajinismus what</v>
      </c>
    </row>
    <row r="16006" spans="1:5" ht="15" customHeight="1" x14ac:dyDescent="0.2">
      <c r="A16006" s="1" t="s">
        <v>31559</v>
      </c>
      <c r="B16006" s="1">
        <v>0</v>
      </c>
      <c r="C16006" s="3">
        <v>44520.846331018518</v>
      </c>
      <c r="D16006" s="1" t="s">
        <v>31560</v>
      </c>
      <c r="E16006" s="1" t="str">
        <f ca="1">IFERROR(__xludf.DUMMYFUNCTION("GOOGLETRANSLATE(A12805 , ""tr"" , ""en"")"),"@drfahrettinka Mr. Ministry Exams get ONLINE get ONLINE in schools Please get in the middle of the cases are increasing ... https://t.co/ofxjqz4bl4")</f>
        <v>@drfahrettinka Mr. Ministry Exams get ONLINE get ONLINE in schools Please get in the middle of the cases are increasing ... https://t.co/ofxjqz4bl4</v>
      </c>
    </row>
    <row r="16007" spans="1:5" ht="15" customHeight="1" x14ac:dyDescent="0.2">
      <c r="A16007" s="1" t="s">
        <v>31561</v>
      </c>
      <c r="B16007" s="1">
        <v>0</v>
      </c>
      <c r="C16007" s="3">
        <v>44520.845185185186</v>
      </c>
      <c r="D16007" s="1" t="s">
        <v>31562</v>
      </c>
      <c r="E16007" s="1" t="str">
        <f ca="1">IFERROR(__xludf.DUMMYFUNCTION("GOOGLETRANSLATE(A12806 , ""tr"" , ""en"")"),"@drfahrettinka Under 18 years of children I guess I guess you don't take into account. World's most ridiculous stat ... https://t.co/glo963yyfq")</f>
        <v>@drfahrettinka Under 18 years of children I guess I guess you don't take into account. World's most ridiculous stat ... https://t.co/glo963yyfq</v>
      </c>
    </row>
    <row r="16008" spans="1:5" ht="15" customHeight="1" x14ac:dyDescent="0.2">
      <c r="A16008" s="1" t="s">
        <v>31563</v>
      </c>
      <c r="B16008" s="1">
        <v>0</v>
      </c>
      <c r="C16008" s="3">
        <v>44520.844351851854</v>
      </c>
      <c r="D16008" s="1" t="s">
        <v>31564</v>
      </c>
      <c r="E16008" s="1" t="str">
        <f ca="1">IFERROR(__xludf.DUMMYFUNCTION("GOOGLETRANSLATE(A12807 , ""tr"" , ""en"")"),"@drfahrettinka Who are you guy?")</f>
        <v>@drfahrettinka Who are you guy?</v>
      </c>
    </row>
    <row r="16009" spans="1:5" ht="15" customHeight="1" x14ac:dyDescent="0.2">
      <c r="A16009" s="1" t="s">
        <v>31565</v>
      </c>
      <c r="B16009" s="1">
        <v>0</v>
      </c>
      <c r="C16009" s="3">
        <v>44520.84337962963</v>
      </c>
      <c r="D16009" s="1" t="s">
        <v>31566</v>
      </c>
      <c r="E16009" s="1" t="str">
        <f ca="1">IFERROR(__xludf.DUMMYFUNCTION("GOOGLETRANSLATE(A12808 , ""tr"" , ""en"")"),"Go @drfahrettinkoca walk.")</f>
        <v>Go @drfahrettinkoca walk.</v>
      </c>
    </row>
    <row r="16010" spans="1:5" ht="15" customHeight="1" x14ac:dyDescent="0.2">
      <c r="A16010" s="1" t="s">
        <v>31567</v>
      </c>
      <c r="B16010" s="1">
        <v>5</v>
      </c>
      <c r="C16010" s="3">
        <v>44520.841527777775</v>
      </c>
      <c r="D16010" s="1" t="s">
        <v>31568</v>
      </c>
      <c r="E16010" s="1" t="str">
        <f ca="1">IFERROR(__xludf.DUMMYFUNCTION("GOOGLETRANSLATE(A12809 , ""tr"" , ""en"")"),"@drfahrettinka Soon I'm looking at the exact eye to what the pardon vaccines didn't work .. !!!")</f>
        <v>@drfahrettinka Soon I'm looking at the exact eye to what the pardon vaccines didn't work .. !!!</v>
      </c>
    </row>
    <row r="16011" spans="1:5" ht="15" customHeight="1" x14ac:dyDescent="0.2">
      <c r="A16011" s="1" t="s">
        <v>31569</v>
      </c>
      <c r="B16011" s="1">
        <v>7</v>
      </c>
      <c r="C16011" s="3">
        <v>44520.841134259259</v>
      </c>
      <c r="D16011" s="1" t="s">
        <v>31570</v>
      </c>
      <c r="E16011" s="1" t="str">
        <f ca="1">IFERROR(__xludf.DUMMYFUNCTION("GOOGLETRANSLATE(A12810 , ""tr"" , ""en"")"),"@drfahrettinkoca The owner of the company Bülent Atabay ... was founded in 1939. Well-known as pharmaceutical firm. ... https://t.co/4x38m7d4un")</f>
        <v>@drfahrettinkoca The owner of the company Bülent Atabay ... was founded in 1939. Well-known as pharmaceutical firm. ... https://t.co/4x38m7d4un</v>
      </c>
    </row>
    <row r="16012" spans="1:5" ht="15" customHeight="1" x14ac:dyDescent="0.2">
      <c r="A16012" s="1" t="s">
        <v>31571</v>
      </c>
      <c r="B16012" s="1">
        <v>0</v>
      </c>
      <c r="C16012" s="3">
        <v>44520.838703703703</v>
      </c>
      <c r="D16012" s="1" t="s">
        <v>31572</v>
      </c>
      <c r="E16012" s="1" t="str">
        <f ca="1">IFERROR(__xludf.DUMMYFUNCTION("GOOGLETRANSLATE(A12811 , ""tr"" , ""en"")"),"@drfahrettinkoca is an accountless, bookless vaccine that you are imposing vaccines or more to yesterday that you give 8 + 8 nations ... https://t.co/ql4lr2pjos")</f>
        <v>@drfahrettinkoca is an accountless, bookless vaccine that you are imposing vaccines or more to yesterday that you give 8 + 8 nations ... https://t.co/ql4lr2pjos</v>
      </c>
    </row>
    <row r="16013" spans="1:5" ht="15" customHeight="1" x14ac:dyDescent="0.2">
      <c r="A16013" s="1" t="s">
        <v>31573</v>
      </c>
      <c r="B16013" s="1">
        <v>1</v>
      </c>
      <c r="C16013" s="3">
        <v>44520.836828703701</v>
      </c>
      <c r="D16013" s="1" t="s">
        <v>31574</v>
      </c>
      <c r="E16013" s="1" t="str">
        <f ca="1">IFERROR(__xludf.DUMMYFUNCTION("GOOGLETRANSLATE(A12812 , ""tr"" , ""en"")"),"@drfahrettinka Mr. Minister The prospect of SMA patient babies are the prospect of the zolgensma treatment is now covered by the state ... https://t.co/ggbokw2gh1")</f>
        <v>@drfahrettinka Mr. Minister The prospect of SMA patient babies are the prospect of the zolgensma treatment is now covered by the state ... https://t.co/ggbokw2gh1</v>
      </c>
    </row>
    <row r="16014" spans="1:5" ht="15" customHeight="1" x14ac:dyDescent="0.2">
      <c r="A16014" s="1" t="s">
        <v>31575</v>
      </c>
      <c r="B16014" s="1">
        <v>1</v>
      </c>
      <c r="C16014" s="3">
        <v>44520.834745370368</v>
      </c>
      <c r="D16014" s="1" t="s">
        <v>31576</v>
      </c>
      <c r="E16014" s="1" t="str">
        <f ca="1">IFERROR(__xludf.DUMMYFUNCTION("GOOGLETRANSLATE(A12813 , ""tr"" , ""en"")"),"@drfahrettinkoca manager You are the vaccination-verte eight eight drugs and talk to the people of the people killed. Becomes such d ... https://t.co/1mho35rjje")</f>
        <v>@drfahrettinkoca manager You are the vaccination-verte eight eight drugs and talk to the people of the people killed. Becomes such d ... https://t.co/1mho35rjje</v>
      </c>
    </row>
    <row r="16015" spans="1:5" ht="15" customHeight="1" x14ac:dyDescent="0.2">
      <c r="A16015" s="1" t="s">
        <v>31577</v>
      </c>
      <c r="B16015" s="1">
        <v>18</v>
      </c>
      <c r="C16015" s="3">
        <v>44520.834710648145</v>
      </c>
      <c r="D16015" s="1" t="s">
        <v>31578</v>
      </c>
      <c r="E16015" s="1" t="str">
        <f ca="1">IFERROR(__xludf.DUMMYFUNCTION("GOOGLETRANSLATE(A12814 , ""tr"" , ""en"")"),"@drfahrettinkoca Valla Halal gets in 23 thousand in our virus at this time.")</f>
        <v>@drfahrettinkoca Valla Halal gets in 23 thousand in our virus at this time.</v>
      </c>
    </row>
    <row r="16016" spans="1:5" ht="15" customHeight="1" x14ac:dyDescent="0.2">
      <c r="A16016" s="1" t="s">
        <v>31579</v>
      </c>
      <c r="B16016" s="1">
        <v>8</v>
      </c>
      <c r="C16016" s="3">
        <v>44520.834201388891</v>
      </c>
      <c r="D16016" s="1" t="s">
        <v>31580</v>
      </c>
      <c r="E16016" s="1" t="str">
        <f ca="1">IFERROR(__xludf.DUMMYFUNCTION("GOOGLETRANSLATE(A12815 , ""tr"" , ""en"")"),"@drfahrettinkoca #mebyokonlinEducationAkk Our teenagers are in abandoned case in the dirt of asshole")</f>
        <v>@drfahrettinkoca #mebyokonlinEducationAkk Our teenagers are in abandoned case in the dirt of asshole</v>
      </c>
    </row>
    <row r="16017" spans="1:5" ht="15" customHeight="1" x14ac:dyDescent="0.2">
      <c r="A16017" s="1" t="s">
        <v>31581</v>
      </c>
      <c r="B16017" s="1">
        <v>3</v>
      </c>
      <c r="C16017" s="3">
        <v>44520.833912037036</v>
      </c>
      <c r="D16017" s="1" t="s">
        <v>31582</v>
      </c>
      <c r="E16017" s="1" t="str">
        <f ca="1">IFERROR(__xludf.DUMMYFUNCTION("GOOGLETRANSLATE(A12816 , ""tr"" , ""en"")"),"@drfahrettinkoca Allah you give our state to our Government.")</f>
        <v>@drfahrettinkoca Allah you give our state to our Government.</v>
      </c>
    </row>
    <row r="16018" spans="1:5" ht="15" customHeight="1" x14ac:dyDescent="0.2">
      <c r="A16018" s="1" t="s">
        <v>31583</v>
      </c>
      <c r="B16018" s="1">
        <v>4</v>
      </c>
      <c r="C16018" s="3">
        <v>44520.832268518519</v>
      </c>
      <c r="D16018" s="1" t="s">
        <v>31584</v>
      </c>
      <c r="E16018" s="1" t="str">
        <f ca="1">IFERROR(__xludf.DUMMYFUNCTION("GOOGLETRANSLATE(A12817 , ""tr"" , ""en"")"),"@drfahrettinkoca #meByokonlineEducation is no longer vaccines. Because a God's Kulu doesn't believe you ... https://t.co/1z0qmssdhc")</f>
        <v>@drfahrettinkoca #meByokonlineEducation is no longer vaccines. Because a God's Kulu doesn't believe you ... https://t.co/1z0qmssdhc</v>
      </c>
    </row>
    <row r="16019" spans="1:5" ht="15" customHeight="1" x14ac:dyDescent="0.2">
      <c r="A16019" s="1" t="s">
        <v>31585</v>
      </c>
      <c r="B16019" s="1">
        <v>0</v>
      </c>
      <c r="C16019" s="3">
        <v>44520.832129629627</v>
      </c>
      <c r="D16019" s="1" t="s">
        <v>31586</v>
      </c>
      <c r="E16019" s="1" t="str">
        <f ca="1">IFERROR(__xludf.DUMMYFUNCTION("GOOGLETRANSLATE(A12818 , ""tr"" , ""en"")"),"@drfahrettinkoca has so corona school online better")</f>
        <v>@drfahrettinkoca has so corona school online better</v>
      </c>
    </row>
    <row r="16020" spans="1:5" ht="15" customHeight="1" x14ac:dyDescent="0.2">
      <c r="A16020" s="1" t="s">
        <v>31587</v>
      </c>
      <c r="B16020" s="1">
        <v>3</v>
      </c>
      <c r="C16020" s="3">
        <v>44520.83084490741</v>
      </c>
      <c r="D16020" s="1" t="s">
        <v>31588</v>
      </c>
      <c r="E16020" s="1" t="str">
        <f ca="1">IFERROR(__xludf.DUMMYFUNCTION("GOOGLETRANSLATE(A12819 , ""tr"" , ""en"")"),"@drfahrettinkoca #meByokonlineEducation What is our measure? @drfahrettinka @tcmeb @saglikbakanligi @ tcbestepe ... https://t.co/7hjaqhınbz")</f>
        <v>@drfahrettinkoca #meByokonlineEducation What is our measure? @drfahrettinka @tcmeb @saglikbakanligi @ tcbestepe ... https://t.co/7hjaqhınbz</v>
      </c>
    </row>
    <row r="16021" spans="1:5" ht="15" customHeight="1" x14ac:dyDescent="0.2">
      <c r="A16021" s="1" t="s">
        <v>31589</v>
      </c>
      <c r="B16021" s="1">
        <v>0</v>
      </c>
      <c r="C16021" s="3">
        <v>44520.830694444441</v>
      </c>
      <c r="D16021" s="1" t="s">
        <v>31590</v>
      </c>
      <c r="E16021" s="1" t="str">
        <f ca="1">IFERROR(__xludf.DUMMYFUNCTION("GOOGLETRANSLATE(A12820 , ""tr"" , ""en"")"),"@drfahrettinkoca manager vaccine doesn't work. In the last year, 250 people died daily this year 230. The eeee vaccine is where Getti is the manager.")</f>
        <v>@drfahrettinkoca manager vaccine doesn't work. In the last year, 250 people died daily this year 230. The eeee vaccine is where Getti is the manager.</v>
      </c>
    </row>
    <row r="16022" spans="1:5" ht="15" customHeight="1" x14ac:dyDescent="0.2">
      <c r="A16022" s="1" t="s">
        <v>31591</v>
      </c>
      <c r="B16022" s="1">
        <v>0</v>
      </c>
      <c r="C16022" s="3">
        <v>44520.830428240741</v>
      </c>
      <c r="D16022" s="1" t="s">
        <v>31592</v>
      </c>
      <c r="E16022" s="1" t="str">
        <f ca="1">IFERROR(__xludf.DUMMYFUNCTION("GOOGLETRANSLATE(A12821 , ""tr"" , ""en"")"),"@drfahrettinkoca pity is a million to the largest horror empire in the world history until today ... https://t.co/phgktazw1n")</f>
        <v>@drfahrettinkoca pity is a million to the largest horror empire in the world history until today ... https://t.co/phgktazw1n</v>
      </c>
    </row>
    <row r="16023" spans="1:5" ht="15" customHeight="1" x14ac:dyDescent="0.2">
      <c r="A16023" s="1" t="s">
        <v>31593</v>
      </c>
      <c r="B16023" s="1">
        <v>0</v>
      </c>
      <c r="C16023" s="3">
        <v>44520.826006944444</v>
      </c>
      <c r="D16023" s="1" t="s">
        <v>31594</v>
      </c>
      <c r="E16023" s="1" t="str">
        <f ca="1">IFERROR(__xludf.DUMMYFUNCTION("GOOGLETRANSLATE(A12822 , ""tr"" , ""en"")"),"@drfahrettinkoca no need to come out every day 😉 😉")</f>
        <v>@drfahrettinkoca no need to come out every day 😉 😉</v>
      </c>
    </row>
    <row r="16024" spans="1:5" ht="15" customHeight="1" x14ac:dyDescent="0.2">
      <c r="A16024" s="1" t="s">
        <v>31595</v>
      </c>
      <c r="B16024" s="1">
        <v>0</v>
      </c>
      <c r="C16024" s="3">
        <v>44520.825937499998</v>
      </c>
      <c r="D16024" s="1" t="s">
        <v>31596</v>
      </c>
      <c r="E16024" s="1" t="str">
        <f ca="1">IFERROR(__xludf.DUMMYFUNCTION("GOOGLETRANSLATE(A12823 , ""tr"" , ""en"")"),"@drfahrettinkoca @saglikbakanligi Refer to the week after the ATAAOF exam today NAS NUMBALLY NUMBER ... https://t.co/ktg9dli5lz")</f>
        <v>@drfahrettinkoca @saglikbakanligi Refer to the week after the ATAAOF exam today NAS NUMBALLY NUMBER ... https://t.co/ktg9dli5lz</v>
      </c>
    </row>
    <row r="16025" spans="1:5" ht="15" customHeight="1" x14ac:dyDescent="0.2">
      <c r="A16025" s="1" t="s">
        <v>31597</v>
      </c>
      <c r="B16025" s="1">
        <v>4</v>
      </c>
      <c r="C16025" s="3">
        <v>44520.822893518518</v>
      </c>
      <c r="D16025" s="1" t="s">
        <v>31598</v>
      </c>
      <c r="E16025" s="1" t="str">
        <f ca="1">IFERROR(__xludf.DUMMYFUNCTION("GOOGLETRANSLATE(A12824 , ""tr"" , ""en"")"),"@drfahrettinkoca For 1 year assigning the number of people who wait for the 740 thousand manual still not arrived 40 thousand")</f>
        <v>@drfahrettinkoca For 1 year assigning the number of people who wait for the 740 thousand manual still not arrived 40 thousand</v>
      </c>
    </row>
    <row r="16026" spans="1:5" ht="15" customHeight="1" x14ac:dyDescent="0.2">
      <c r="A16026" s="1" t="s">
        <v>25789</v>
      </c>
      <c r="B16026" s="1">
        <v>0</v>
      </c>
      <c r="C16026" s="3">
        <v>44520.822314814817</v>
      </c>
      <c r="D16026" s="1" t="s">
        <v>31599</v>
      </c>
      <c r="E16026" s="1" t="str">
        <f ca="1">IFERROR(__xludf.DUMMYFUNCTION("GOOGLETRANSLATE(A12825 , ""tr"" , ""en"")"),"@drfahrettinkoca Healthparts Guide is not a two weeks a husband for a year waiting for a year")</f>
        <v>@drfahrettinkoca Healthparts Guide is not a two weeks a husband for a year waiting for a year</v>
      </c>
    </row>
    <row r="16027" spans="1:5" ht="15" customHeight="1" x14ac:dyDescent="0.2">
      <c r="A16027" s="1" t="s">
        <v>25791</v>
      </c>
      <c r="B16027" s="1">
        <v>0</v>
      </c>
      <c r="C16027" s="3">
        <v>44520.822256944448</v>
      </c>
      <c r="D16027" s="1" t="s">
        <v>31600</v>
      </c>
      <c r="E16027" s="1" t="str">
        <f ca="1">IFERROR(__xludf.DUMMYFUNCTION("GOOGLETRANSLATE(A12826 , ""tr"" , ""en"")"),"@drfahrettinkoca healthcare guide is not a two-week husband waiting for a year")</f>
        <v>@drfahrettinkoca healthcare guide is not a two-week husband waiting for a year</v>
      </c>
    </row>
    <row r="16028" spans="1:5" ht="15" customHeight="1" x14ac:dyDescent="0.2">
      <c r="A16028" s="1" t="s">
        <v>31601</v>
      </c>
      <c r="B16028" s="1">
        <v>0</v>
      </c>
      <c r="C16028" s="3">
        <v>44520.822222222225</v>
      </c>
      <c r="D16028" s="1" t="s">
        <v>31602</v>
      </c>
      <c r="E16028" s="1" t="str">
        <f ca="1">IFERROR(__xludf.DUMMYFUNCTION("GOOGLETRANSLATE(A12827 , ""tr"" , ""en"")"),"@drfahrettinkoca healthcare guide is a week not a husband waiting for a year")</f>
        <v>@drfahrettinkoca healthcare guide is a week not a husband waiting for a year</v>
      </c>
    </row>
    <row r="16029" spans="1:5" ht="15" customHeight="1" x14ac:dyDescent="0.2">
      <c r="A16029" s="1" t="s">
        <v>25795</v>
      </c>
      <c r="B16029" s="1">
        <v>0</v>
      </c>
      <c r="C16029" s="3">
        <v>44520.822175925925</v>
      </c>
      <c r="D16029" s="1" t="s">
        <v>31603</v>
      </c>
      <c r="E16029" s="1" t="str">
        <f ca="1">IFERROR(__xludf.DUMMYFUNCTION("GOOGLETRANSLATE(A12828 , ""tr"" , ""en"")"),"@drfahrettinkoca healthcare guide is not a two-week of husband for a year")</f>
        <v>@drfahrettinkoca healthcare guide is not a two-week of husband for a year</v>
      </c>
    </row>
    <row r="16030" spans="1:5" ht="15" customHeight="1" x14ac:dyDescent="0.2">
      <c r="A16030" s="1" t="s">
        <v>25797</v>
      </c>
      <c r="B16030" s="1">
        <v>0</v>
      </c>
      <c r="C16030" s="3">
        <v>44520.822129629632</v>
      </c>
      <c r="D16030" s="1" t="s">
        <v>31604</v>
      </c>
      <c r="E16030" s="1" t="str">
        <f ca="1">IFERROR(__xludf.DUMMYFUNCTION("GOOGLETRANSLATE(A12829 , ""tr"" , ""en"")"),"@drfahrettinkoca healthcare guide is not a two-week husband for a year waiting for")</f>
        <v>@drfahrettinkoca healthcare guide is not a two-week husband for a year waiting for</v>
      </c>
    </row>
    <row r="16031" spans="1:5" ht="15" customHeight="1" x14ac:dyDescent="0.2">
      <c r="A16031" s="1" t="s">
        <v>25803</v>
      </c>
      <c r="B16031" s="1">
        <v>0</v>
      </c>
      <c r="C16031" s="3">
        <v>44520.822094907409</v>
      </c>
      <c r="D16031" s="1" t="s">
        <v>31605</v>
      </c>
      <c r="E16031" s="1" t="str">
        <f ca="1">IFERROR(__xludf.DUMMYFUNCTION("GOOGLETRANSLATE(A12830 , ""tr"" , ""en"")"),"@drfahrettinkoca healthcare guide is not a two-week husband waiting for a year")</f>
        <v>@drfahrettinkoca healthcare guide is not a two-week husband waiting for a year</v>
      </c>
    </row>
    <row r="16032" spans="1:5" ht="15" customHeight="1" x14ac:dyDescent="0.2">
      <c r="A16032" s="1" t="s">
        <v>25805</v>
      </c>
      <c r="B16032" s="1">
        <v>0</v>
      </c>
      <c r="C16032" s="3">
        <v>44520.822048611109</v>
      </c>
      <c r="D16032" s="1" t="s">
        <v>31606</v>
      </c>
      <c r="E16032" s="1" t="str">
        <f ca="1">IFERROR(__xludf.DUMMYFUNCTION("GOOGLETRANSLATE(A12831 , ""tr"" , ""en"")"),"@drfahrettinkoca healthcare guide is a week not a husband waiting for a year")</f>
        <v>@drfahrettinkoca healthcare guide is a week not a husband waiting for a year</v>
      </c>
    </row>
    <row r="16033" spans="1:5" ht="15" customHeight="1" x14ac:dyDescent="0.2">
      <c r="A16033" s="1" t="s">
        <v>25807</v>
      </c>
      <c r="B16033" s="1">
        <v>0</v>
      </c>
      <c r="C16033" s="3">
        <v>44520.822002314817</v>
      </c>
      <c r="D16033" s="1" t="s">
        <v>31607</v>
      </c>
      <c r="E16033" s="1" t="str">
        <f ca="1">IFERROR(__xludf.DUMMYFUNCTION("GOOGLETRANSLATE(A12832 , ""tr"" , ""en"")"),"@drfahrettinkoca healthcare guide is a week not a husband waiting for a year")</f>
        <v>@drfahrettinkoca healthcare guide is a week not a husband waiting for a year</v>
      </c>
    </row>
    <row r="16034" spans="1:5" ht="15" customHeight="1" x14ac:dyDescent="0.2">
      <c r="A16034" s="1" t="s">
        <v>31608</v>
      </c>
      <c r="B16034" s="1">
        <v>0</v>
      </c>
      <c r="C16034" s="3">
        <v>44520.821967592594</v>
      </c>
      <c r="D16034" s="1" t="s">
        <v>31609</v>
      </c>
      <c r="E16034" s="1" t="str">
        <f ca="1">IFERROR(__xludf.DUMMYFUNCTION("GOOGLETRANSLATE(A12833 , ""tr"" , ""en"")"),"@drfahrettinkoca After 120 million dose vaccines, cases and deaths X10 are still saying the vaccine.")</f>
        <v>@drfahrettinkoca After 120 million dose vaccines, cases and deaths X10 are still saying the vaccine.</v>
      </c>
    </row>
    <row r="16035" spans="1:5" ht="15" customHeight="1" x14ac:dyDescent="0.2">
      <c r="A16035" s="1" t="s">
        <v>25809</v>
      </c>
      <c r="B16035" s="1">
        <v>0</v>
      </c>
      <c r="C16035" s="3">
        <v>44520.821967592594</v>
      </c>
      <c r="D16035" s="1" t="s">
        <v>31610</v>
      </c>
      <c r="E16035" s="1" t="str">
        <f ca="1">IFERROR(__xludf.DUMMYFUNCTION("GOOGLETRANSLATE(A12834 , ""tr"" , ""en"")"),"@drfahrettinkoca healthcare guide is a week not a husband waiting for a year")</f>
        <v>@drfahrettinkoca healthcare guide is a week not a husband waiting for a year</v>
      </c>
    </row>
    <row r="16036" spans="1:5" ht="15" customHeight="1" x14ac:dyDescent="0.2">
      <c r="A16036" s="1" t="s">
        <v>21200</v>
      </c>
      <c r="B16036" s="1">
        <v>0</v>
      </c>
      <c r="C16036" s="3">
        <v>44520.821921296294</v>
      </c>
      <c r="D16036" s="1" t="s">
        <v>31611</v>
      </c>
      <c r="E16036" s="1" t="str">
        <f ca="1">IFERROR(__xludf.DUMMYFUNCTION("GOOGLETRANSLATE(A12835 , ""tr"" , ""en"")"),"@drfahrettinkoca healthcare guide is a week not a husband waiting for a year")</f>
        <v>@drfahrettinkoca healthcare guide is a week not a husband waiting for a year</v>
      </c>
    </row>
    <row r="16037" spans="1:5" ht="15" customHeight="1" x14ac:dyDescent="0.2">
      <c r="A16037" s="1" t="s">
        <v>21202</v>
      </c>
      <c r="B16037" s="1">
        <v>0</v>
      </c>
      <c r="C16037" s="3">
        <v>44520.821886574071</v>
      </c>
      <c r="D16037" s="1" t="s">
        <v>31612</v>
      </c>
      <c r="E16037" s="1" t="str">
        <f ca="1">IFERROR(__xludf.DUMMYFUNCTION("GOOGLETRANSLATE(A12836 , ""tr"" , ""en"")"),"@drfahrettinkoca healthcare guide is not a two-week of husband waiting for a year")</f>
        <v>@drfahrettinkoca healthcare guide is not a two-week of husband waiting for a year</v>
      </c>
    </row>
    <row r="16038" spans="1:5" ht="15" customHeight="1" x14ac:dyDescent="0.2">
      <c r="A16038" s="1" t="s">
        <v>21204</v>
      </c>
      <c r="B16038" s="1">
        <v>0</v>
      </c>
      <c r="C16038" s="3">
        <v>44520.821840277778</v>
      </c>
      <c r="D16038" s="1" t="s">
        <v>31613</v>
      </c>
      <c r="E16038" s="1" t="str">
        <f ca="1">IFERROR(__xludf.DUMMYFUNCTION("GOOGLETRANSLATE(A12837 , ""tr"" , ""en"")"),"@drfahrettinkoca healthcare guide is not a two-week husband for a year")</f>
        <v>@drfahrettinkoca healthcare guide is not a two-week husband for a year</v>
      </c>
    </row>
    <row r="16039" spans="1:5" ht="15" customHeight="1" x14ac:dyDescent="0.2">
      <c r="A16039" s="1" t="s">
        <v>21212</v>
      </c>
      <c r="B16039" s="1">
        <v>0</v>
      </c>
      <c r="C16039" s="3">
        <v>44520.821805555555</v>
      </c>
      <c r="D16039" s="1" t="s">
        <v>31614</v>
      </c>
      <c r="E16039" s="1" t="str">
        <f ca="1">IFERROR(__xludf.DUMMYFUNCTION("GOOGLETRANSLATE(A12838 , ""tr"" , ""en"")"),"@drfahrettinkoca healthcare guide is not a two-week husband waiting for a year")</f>
        <v>@drfahrettinkoca healthcare guide is not a two-week husband waiting for a year</v>
      </c>
    </row>
    <row r="16040" spans="1:5" ht="15" customHeight="1" x14ac:dyDescent="0.2">
      <c r="A16040" s="1" t="s">
        <v>21218</v>
      </c>
      <c r="B16040" s="1">
        <v>0</v>
      </c>
      <c r="C16040" s="3">
        <v>44520.821770833332</v>
      </c>
      <c r="D16040" s="1" t="s">
        <v>31615</v>
      </c>
      <c r="E16040" s="1" t="str">
        <f ca="1">IFERROR(__xludf.DUMMYFUNCTION("GOOGLETRANSLATE(A12839 , ""tr"" , ""en"")"),"@drfahrettinkoca healthcare guide is a week not a husband waiting for a year")</f>
        <v>@drfahrettinkoca healthcare guide is a week not a husband waiting for a year</v>
      </c>
    </row>
    <row r="16041" spans="1:5" ht="15" customHeight="1" x14ac:dyDescent="0.2">
      <c r="A16041" s="1" t="s">
        <v>21226</v>
      </c>
      <c r="B16041" s="1">
        <v>0</v>
      </c>
      <c r="C16041" s="3">
        <v>44520.821701388886</v>
      </c>
      <c r="D16041" s="1" t="s">
        <v>31616</v>
      </c>
      <c r="E16041" s="1" t="str">
        <f ca="1">IFERROR(__xludf.DUMMYFUNCTION("GOOGLETRANSLATE(A12840 , ""tr"" , ""en"")"),"@drfahrettinkoca healthcare guide is not a two-week husband waiting for a year")</f>
        <v>@drfahrettinkoca healthcare guide is not a two-week husband waiting for a year</v>
      </c>
    </row>
    <row r="16042" spans="1:5" ht="15" customHeight="1" x14ac:dyDescent="0.2">
      <c r="A16042" s="1" t="s">
        <v>25823</v>
      </c>
      <c r="B16042" s="1">
        <v>0</v>
      </c>
      <c r="C16042" s="3">
        <v>44520.821666666663</v>
      </c>
      <c r="D16042" s="1" t="s">
        <v>31617</v>
      </c>
      <c r="E16042" s="1" t="str">
        <f ca="1">IFERROR(__xludf.DUMMYFUNCTION("GOOGLETRANSLATE(A12841 , ""tr"" , ""en"")"),"@drfahrettinkoca healthcare guide is not a two weeks a husband waiting for a year")</f>
        <v>@drfahrettinkoca healthcare guide is not a two weeks a husband waiting for a year</v>
      </c>
    </row>
    <row r="16043" spans="1:5" ht="15" customHeight="1" x14ac:dyDescent="0.2">
      <c r="A16043" s="1" t="s">
        <v>31618</v>
      </c>
      <c r="B16043" s="1">
        <v>0</v>
      </c>
      <c r="C16043" s="3">
        <v>44520.821643518517</v>
      </c>
      <c r="D16043" s="1" t="s">
        <v>31619</v>
      </c>
      <c r="E16043" s="1" t="str">
        <f ca="1">IFERROR(__xludf.DUMMYFUNCTION("GOOGLETRANSLATE(A12842 , ""tr"" , ""en"")"),"@drfahrettinkoca 1 2 3 4 You are revising a dosage Surely, some of the Side Effects Some Surfed Dose ... https://t.co/fcvjusxn1t")</f>
        <v>@drfahrettinkoca 1 2 3 4 You are revising a dosage Surely, some of the Side Effects Some Surfed Dose ... https://t.co/fcvjusxn1t</v>
      </c>
    </row>
    <row r="16044" spans="1:5" ht="15" customHeight="1" x14ac:dyDescent="0.2">
      <c r="A16044" s="1" t="s">
        <v>21230</v>
      </c>
      <c r="B16044" s="1">
        <v>0</v>
      </c>
      <c r="C16044" s="3">
        <v>44520.821620370371</v>
      </c>
      <c r="D16044" s="1" t="s">
        <v>31620</v>
      </c>
      <c r="E16044" s="1" t="str">
        <f ca="1">IFERROR(__xludf.DUMMYFUNCTION("GOOGLETRANSLATE(A12843 , ""tr"" , ""en"")"),"@drfahrettinkoca healthcare guide is not a two-week husband waiting for a year")</f>
        <v>@drfahrettinkoca healthcare guide is not a two-week husband waiting for a year</v>
      </c>
    </row>
    <row r="16045" spans="1:5" ht="15" customHeight="1" x14ac:dyDescent="0.2">
      <c r="A16045" s="1" t="s">
        <v>25828</v>
      </c>
      <c r="B16045" s="1">
        <v>0</v>
      </c>
      <c r="C16045" s="3">
        <v>44520.821574074071</v>
      </c>
      <c r="D16045" s="1" t="s">
        <v>31621</v>
      </c>
      <c r="E16045" s="1" t="str">
        <f ca="1">IFERROR(__xludf.DUMMYFUNCTION("GOOGLETRANSLATE(A12844 , ""tr"" , ""en"")"),"@drfahrettinkoca healthcare guide is not a two-week husband waiting for a year")</f>
        <v>@drfahrettinkoca healthcare guide is not a two-week husband waiting for a year</v>
      </c>
    </row>
    <row r="16046" spans="1:5" ht="15" customHeight="1" x14ac:dyDescent="0.2">
      <c r="A16046" s="1" t="s">
        <v>21237</v>
      </c>
      <c r="B16046" s="1">
        <v>0</v>
      </c>
      <c r="C16046" s="3">
        <v>44520.821527777778</v>
      </c>
      <c r="D16046" s="1" t="s">
        <v>31622</v>
      </c>
      <c r="E16046" s="1" t="str">
        <f ca="1">IFERROR(__xludf.DUMMYFUNCTION("GOOGLETRANSLATE(A12845 , ""tr"" , ""en"")"),"@drfahrettinkoca healthcare guide is a week not a husband waiting for a year")</f>
        <v>@drfahrettinkoca healthcare guide is a week not a husband waiting for a year</v>
      </c>
    </row>
    <row r="16047" spans="1:5" ht="15" customHeight="1" x14ac:dyDescent="0.2">
      <c r="A16047" s="1" t="s">
        <v>31623</v>
      </c>
      <c r="B16047" s="1">
        <v>0</v>
      </c>
      <c r="C16047" s="3">
        <v>44520.821504629632</v>
      </c>
      <c r="D16047" s="1" t="s">
        <v>31624</v>
      </c>
      <c r="E16047" s="1" t="str">
        <f ca="1">IFERROR(__xludf.DUMMYFUNCTION("GOOGLETRANSLATE(A12846 , ""tr"" , ""en"")"),"@drfahrettinkoca Turkey in these days in these days")</f>
        <v>@drfahrettinkoca Turkey in these days in these days</v>
      </c>
    </row>
    <row r="16048" spans="1:5" ht="15" customHeight="1" x14ac:dyDescent="0.2">
      <c r="A16048" s="1" t="s">
        <v>21241</v>
      </c>
      <c r="B16048" s="1">
        <v>0</v>
      </c>
      <c r="C16048" s="3">
        <v>44520.821493055555</v>
      </c>
      <c r="D16048" s="1" t="s">
        <v>31625</v>
      </c>
      <c r="E16048" s="1" t="str">
        <f ca="1">IFERROR(__xludf.DUMMYFUNCTION("GOOGLETRANSLATE(A12847 , ""tr"" , ""en"")"),"@drfahrettinkoca healthcare guide is not a two-week husband waiting for a year")</f>
        <v>@drfahrettinkoca healthcare guide is not a two-week husband waiting for a year</v>
      </c>
    </row>
    <row r="16049" spans="1:5" ht="15" customHeight="1" x14ac:dyDescent="0.2">
      <c r="A16049" s="1" t="s">
        <v>21245</v>
      </c>
      <c r="B16049" s="1">
        <v>0</v>
      </c>
      <c r="C16049" s="3">
        <v>44520.821446759262</v>
      </c>
      <c r="D16049" s="1" t="s">
        <v>31626</v>
      </c>
      <c r="E16049" s="1" t="str">
        <f ca="1">IFERROR(__xludf.DUMMYFUNCTION("GOOGLETRANSLATE(A12848 , ""tr"" , ""en"")"),"@drfahrettinkoca Healthparts Guide is not a two-week husband waiting for a year")</f>
        <v>@drfahrettinkoca Healthparts Guide is not a two-week husband waiting for a year</v>
      </c>
    </row>
    <row r="16050" spans="1:5" ht="15" customHeight="1" x14ac:dyDescent="0.2">
      <c r="A16050" s="1" t="s">
        <v>21249</v>
      </c>
      <c r="B16050" s="1">
        <v>0</v>
      </c>
      <c r="C16050" s="3">
        <v>44520.821412037039</v>
      </c>
      <c r="D16050" s="1" t="s">
        <v>31627</v>
      </c>
      <c r="E16050" s="1" t="str">
        <f ca="1">IFERROR(__xludf.DUMMYFUNCTION("GOOGLETRANSLATE(A12849 , ""tr"" , ""en"")"),"@drfahrettinkoca healthcare guide is not a two-week husband waiting for a year")</f>
        <v>@drfahrettinkoca healthcare guide is not a two-week husband waiting for a year</v>
      </c>
    </row>
    <row r="16051" spans="1:5" ht="15" customHeight="1" x14ac:dyDescent="0.2">
      <c r="A16051" s="1" t="s">
        <v>21255</v>
      </c>
      <c r="B16051" s="1">
        <v>0</v>
      </c>
      <c r="C16051" s="3">
        <v>44520.82136574074</v>
      </c>
      <c r="D16051" s="1" t="s">
        <v>31628</v>
      </c>
      <c r="E16051" s="1" t="str">
        <f ca="1">IFERROR(__xludf.DUMMYFUNCTION("GOOGLETRANSLATE(A12850 , ""tr"" , ""en"")"),"@drfahrettinkoca healthcare guide is not a two weeks in a husband waiting for a year")</f>
        <v>@drfahrettinkoca healthcare guide is not a two weeks in a husband waiting for a year</v>
      </c>
    </row>
    <row r="16052" spans="1:5" ht="15" customHeight="1" x14ac:dyDescent="0.2">
      <c r="A16052" s="1" t="s">
        <v>21261</v>
      </c>
      <c r="B16052" s="1">
        <v>0</v>
      </c>
      <c r="C16052" s="3">
        <v>44520.821319444447</v>
      </c>
      <c r="D16052" s="1" t="s">
        <v>31629</v>
      </c>
      <c r="E16052" s="1" t="str">
        <f ca="1">IFERROR(__xludf.DUMMYFUNCTION("GOOGLETRANSLATE(A12851 , ""tr"" , ""en"")"),"@drfahrettinkoca healthcare guide is not a two-week husband waiting for a year")</f>
        <v>@drfahrettinkoca healthcare guide is not a two-week husband waiting for a year</v>
      </c>
    </row>
    <row r="16053" spans="1:5" ht="15" customHeight="1" x14ac:dyDescent="0.2">
      <c r="A16053" s="1" t="s">
        <v>22726</v>
      </c>
      <c r="B16053" s="1">
        <v>0</v>
      </c>
      <c r="C16053" s="3">
        <v>44520.821284722224</v>
      </c>
      <c r="D16053" s="1" t="s">
        <v>31630</v>
      </c>
      <c r="E16053" s="1" t="str">
        <f ca="1">IFERROR(__xludf.DUMMYFUNCTION("GOOGLETRANSLATE(A12852 , ""tr"" , ""en"")"),"@drfahrettinkoca healthcare guide is not a two-week husband waiting for a year")</f>
        <v>@drfahrettinkoca healthcare guide is not a two-week husband waiting for a year</v>
      </c>
    </row>
    <row r="16054" spans="1:5" ht="15" customHeight="1" x14ac:dyDescent="0.2">
      <c r="A16054" s="1" t="s">
        <v>21267</v>
      </c>
      <c r="B16054" s="1">
        <v>0</v>
      </c>
      <c r="C16054" s="3">
        <v>44520.821238425924</v>
      </c>
      <c r="D16054" s="1" t="s">
        <v>31631</v>
      </c>
      <c r="E16054" s="1" t="str">
        <f ca="1">IFERROR(__xludf.DUMMYFUNCTION("GOOGLETRANSLATE(A12853 , ""tr"" , ""en"")"),"@drfahrettinkoca healthcare guide is a week not a husband waiting for a year")</f>
        <v>@drfahrettinkoca healthcare guide is a week not a husband waiting for a year</v>
      </c>
    </row>
    <row r="16055" spans="1:5" ht="15" customHeight="1" x14ac:dyDescent="0.2">
      <c r="A16055" s="1" t="s">
        <v>21271</v>
      </c>
      <c r="B16055" s="1">
        <v>0</v>
      </c>
      <c r="C16055" s="3">
        <v>44520.821203703701</v>
      </c>
      <c r="D16055" s="1" t="s">
        <v>31632</v>
      </c>
      <c r="E16055" s="1" t="str">
        <f ca="1">IFERROR(__xludf.DUMMYFUNCTION("GOOGLETRANSLATE(A12854 , ""tr"" , ""en"")"),"@drfahrettinkoca healthcare guide is not a two-week husband waiting for a year")</f>
        <v>@drfahrettinkoca healthcare guide is not a two-week husband waiting for a year</v>
      </c>
    </row>
    <row r="16056" spans="1:5" ht="15" customHeight="1" x14ac:dyDescent="0.2">
      <c r="A16056" s="1" t="s">
        <v>21273</v>
      </c>
      <c r="B16056" s="1">
        <v>0</v>
      </c>
      <c r="C16056" s="3">
        <v>44520.821157407408</v>
      </c>
      <c r="D16056" s="1" t="s">
        <v>31633</v>
      </c>
      <c r="E16056" s="1" t="str">
        <f ca="1">IFERROR(__xludf.DUMMYFUNCTION("GOOGLETRANSLATE(A12855 , ""tr"" , ""en"")"),"@drfahrettinkoca healthcare guide is not a two-week husband waiting for a year")</f>
        <v>@drfahrettinkoca healthcare guide is not a two-week husband waiting for a year</v>
      </c>
    </row>
    <row r="16057" spans="1:5" ht="15" customHeight="1" x14ac:dyDescent="0.2">
      <c r="A16057" s="1" t="s">
        <v>21281</v>
      </c>
      <c r="B16057" s="1">
        <v>0</v>
      </c>
      <c r="C16057" s="3">
        <v>44520.821111111109</v>
      </c>
      <c r="D16057" s="1" t="s">
        <v>31634</v>
      </c>
      <c r="E16057" s="1" t="str">
        <f ca="1">IFERROR(__xludf.DUMMYFUNCTION("GOOGLETRANSLATE(A12856 , ""tr"" , ""en"")"),"@drfahrettinkoca healthcare guide is a week not a husband waiting for a year")</f>
        <v>@drfahrettinkoca healthcare guide is a week not a husband waiting for a year</v>
      </c>
    </row>
    <row r="16058" spans="1:5" ht="15" customHeight="1" x14ac:dyDescent="0.2">
      <c r="A16058" s="1" t="s">
        <v>21285</v>
      </c>
      <c r="B16058" s="1">
        <v>0</v>
      </c>
      <c r="C16058" s="3">
        <v>44520.821064814816</v>
      </c>
      <c r="D16058" s="1" t="s">
        <v>31635</v>
      </c>
      <c r="E16058" s="1" t="str">
        <f ca="1">IFERROR(__xludf.DUMMYFUNCTION("GOOGLETRANSLATE(A12857 , ""tr"" , ""en"")"),"@drfahrettinkoca healthcare guide is not a two-week husband waiting for a year")</f>
        <v>@drfahrettinkoca healthcare guide is not a two-week husband waiting for a year</v>
      </c>
    </row>
    <row r="16059" spans="1:5" ht="15" customHeight="1" x14ac:dyDescent="0.2">
      <c r="A16059" s="1" t="s">
        <v>21287</v>
      </c>
      <c r="B16059" s="1">
        <v>0</v>
      </c>
      <c r="C16059" s="3">
        <v>44520.821018518516</v>
      </c>
      <c r="D16059" s="1" t="s">
        <v>31636</v>
      </c>
      <c r="E16059" s="1" t="str">
        <f ca="1">IFERROR(__xludf.DUMMYFUNCTION("GOOGLETRANSLATE(A12858 , ""tr"" , ""en"")"),"@drfahrettinkoca healthcare guide is not a two-week husband waiting for a year")</f>
        <v>@drfahrettinkoca healthcare guide is not a two-week husband waiting for a year</v>
      </c>
    </row>
    <row r="16060" spans="1:5" ht="15" customHeight="1" x14ac:dyDescent="0.2">
      <c r="A16060" s="1" t="s">
        <v>21289</v>
      </c>
      <c r="B16060" s="1">
        <v>0</v>
      </c>
      <c r="C16060" s="3">
        <v>44520.820972222224</v>
      </c>
      <c r="D16060" s="1" t="s">
        <v>31637</v>
      </c>
      <c r="E16060" s="1" t="str">
        <f ca="1">IFERROR(__xludf.DUMMYFUNCTION("GOOGLETRANSLATE(A12859 , ""tr"" , ""en"")"),"@drfahrettinkoca healthcare guide is a week not a husband waiting for a year")</f>
        <v>@drfahrettinkoca healthcare guide is a week not a husband waiting for a year</v>
      </c>
    </row>
    <row r="16061" spans="1:5" ht="15" customHeight="1" x14ac:dyDescent="0.2">
      <c r="A16061" s="1" t="s">
        <v>19722</v>
      </c>
      <c r="B16061" s="1">
        <v>0</v>
      </c>
      <c r="C16061" s="3">
        <v>44520.820925925924</v>
      </c>
      <c r="D16061" s="1" t="s">
        <v>31638</v>
      </c>
      <c r="E16061" s="1" t="str">
        <f ca="1">IFERROR(__xludf.DUMMYFUNCTION("GOOGLETRANSLATE(A12860 , ""tr"" , ""en"")"),"@drfahrettinkoca Healthcare Shops Guide is not a two-week husband waiting for a year,")</f>
        <v>@drfahrettinkoca Healthcare Shops Guide is not a two-week husband waiting for a year,</v>
      </c>
    </row>
    <row r="16062" spans="1:5" ht="15" customHeight="1" x14ac:dyDescent="0.2">
      <c r="A16062" s="1" t="s">
        <v>19726</v>
      </c>
      <c r="B16062" s="1">
        <v>0</v>
      </c>
      <c r="C16062" s="3">
        <v>44520.820879629631</v>
      </c>
      <c r="D16062" s="1" t="s">
        <v>31639</v>
      </c>
      <c r="E16062" s="1" t="str">
        <f ca="1">IFERROR(__xludf.DUMMYFUNCTION("GOOGLETRANSLATE(A12861 , ""tr"" , ""en"")"),"@drfahrettinkoca Healthparts Guide is a week, not a husband waiting for a year.")</f>
        <v>@drfahrettinkoca Healthparts Guide is a week, not a husband waiting for a year.</v>
      </c>
    </row>
    <row r="16063" spans="1:5" ht="15" customHeight="1" x14ac:dyDescent="0.2">
      <c r="A16063" s="1" t="s">
        <v>19732</v>
      </c>
      <c r="B16063" s="1">
        <v>0</v>
      </c>
      <c r="C16063" s="3">
        <v>44520.820740740739</v>
      </c>
      <c r="D16063" s="1" t="s">
        <v>31640</v>
      </c>
      <c r="E16063" s="1" t="str">
        <f ca="1">IFERROR(__xludf.DUMMYFUNCTION("GOOGLETRANSLATE(A12862 , ""tr"" , ""en"")"),"@drfahrettinkoca healthcare guide is a week not for a husband waiting for a year")</f>
        <v>@drfahrettinkoca healthcare guide is a week not for a husband waiting for a year</v>
      </c>
    </row>
    <row r="16064" spans="1:5" ht="15" customHeight="1" x14ac:dyDescent="0.2">
      <c r="A16064" s="1" t="s">
        <v>31641</v>
      </c>
      <c r="B16064" s="1">
        <v>0</v>
      </c>
      <c r="C16064" s="3">
        <v>44520.819953703707</v>
      </c>
      <c r="D16064" s="1" t="s">
        <v>31642</v>
      </c>
      <c r="E16064" s="1" t="str">
        <f ca="1">IFERROR(__xludf.DUMMYFUNCTION("GOOGLETRANSLATE(A12863 , ""tr"" , ""en"")"),"@drfahrettinkoca are waiting for the month of months! Why are the promises not held?")</f>
        <v>@drfahrettinkoca are waiting for the month of months! Why are the promises not held?</v>
      </c>
    </row>
    <row r="16065" spans="1:5" ht="15" customHeight="1" x14ac:dyDescent="0.2">
      <c r="A16065" s="1" t="s">
        <v>31643</v>
      </c>
      <c r="B16065" s="1">
        <v>0</v>
      </c>
      <c r="C16065" s="3">
        <v>44520.819236111114</v>
      </c>
      <c r="D16065" s="1" t="s">
        <v>31644</v>
      </c>
      <c r="E16065" s="1" t="str">
        <f ca="1">IFERROR(__xludf.DUMMYFUNCTION("GOOGLETRANSLATE(A12864 , ""tr"" , ""en"")"),"@drfahrettinkoca is built in the metaverse while anyone fits anyone whispering that the ministry as non-vision is non-vision ...")</f>
        <v>@drfahrettinkoca is built in the metaverse while anyone fits anyone whispering that the ministry as non-vision is non-vision ...</v>
      </c>
    </row>
    <row r="16066" spans="1:5" ht="15" customHeight="1" x14ac:dyDescent="0.2">
      <c r="A16066" s="1" t="s">
        <v>31645</v>
      </c>
      <c r="B16066" s="1">
        <v>0</v>
      </c>
      <c r="C16066" s="3">
        <v>44520.816874999997</v>
      </c>
      <c r="D16066" s="1" t="s">
        <v>31646</v>
      </c>
      <c r="E16066" s="1" t="str">
        <f ca="1">IFERROR(__xludf.DUMMYFUNCTION("GOOGLETRANSLATE(A12865 , ""tr"" , ""en"")"),"@drfahrettinka Keep vaccines in place of the mongue.")</f>
        <v>@drfahrettinka Keep vaccines in place of the mongue.</v>
      </c>
    </row>
    <row r="16067" spans="1:5" ht="15" customHeight="1" x14ac:dyDescent="0.2">
      <c r="A16067" s="1" t="s">
        <v>31647</v>
      </c>
      <c r="B16067" s="1">
        <v>0</v>
      </c>
      <c r="C16067" s="3">
        <v>44520.816736111112</v>
      </c>
      <c r="D16067" s="1" t="s">
        <v>31648</v>
      </c>
      <c r="E16067" s="1" t="str">
        <f ca="1">IFERROR(__xludf.DUMMYFUNCTION("GOOGLETRANSLATE(A12866 , ""tr"" , ""en"")"),"@drfahrettinkoca Conscience has something he is only found in people https://t.co/isc8hcov0i")</f>
        <v>@drfahrettinkoca Conscience has something he is only found in people https://t.co/isc8hcov0i</v>
      </c>
    </row>
    <row r="16068" spans="1:5" ht="15" customHeight="1" x14ac:dyDescent="0.2">
      <c r="A16068" s="1" t="s">
        <v>31649</v>
      </c>
      <c r="B16068" s="1">
        <v>0</v>
      </c>
      <c r="C16068" s="3">
        <v>44520.81621527778</v>
      </c>
      <c r="D16068" s="1" t="s">
        <v>31650</v>
      </c>
      <c r="E16068" s="1" t="str">
        <f ca="1">IFERROR(__xludf.DUMMYFUNCTION("GOOGLETRANSLATE(A12867 , ""tr"" , ""en"")"),"@drfahrettinkoca Europe is going on, virus recording breaks in turn, Israeli 3 dose full grown virus zyrved ... https://t.co/5ngjj5p4sp")</f>
        <v>@drfahrettinkoca Europe is going on, virus recording breaks in turn, Israeli 3 dose full grown virus zyrved ... https://t.co/5ngjj5p4sp</v>
      </c>
    </row>
    <row r="16069" spans="1:5" ht="15" customHeight="1" x14ac:dyDescent="0.2">
      <c r="A16069" s="1" t="s">
        <v>31651</v>
      </c>
      <c r="B16069" s="1">
        <v>0</v>
      </c>
      <c r="C16069" s="3">
        <v>44520.815949074073</v>
      </c>
      <c r="D16069" s="1" t="s">
        <v>31652</v>
      </c>
      <c r="E16069" s="1" t="str">
        <f ca="1">IFERROR(__xludf.DUMMYFUNCTION("GOOGLETRANSLATE(A12868 , ""tr"" , ""en"")"),"@drfahrettinkoca Mr. Ministry If the truck is not vaccines without rollover. Either incentive or restraint, the state of the European is in the middle.")</f>
        <v>@drfahrettinkoca Mr. Ministry If the truck is not vaccines without rollover. Either incentive or restraint, the state of the European is in the middle.</v>
      </c>
    </row>
    <row r="16070" spans="1:5" ht="15" customHeight="1" x14ac:dyDescent="0.2">
      <c r="A16070" s="1" t="s">
        <v>31653</v>
      </c>
      <c r="B16070" s="1">
        <v>0</v>
      </c>
      <c r="C16070" s="3">
        <v>44520.815104166664</v>
      </c>
      <c r="D16070" s="1" t="s">
        <v>31654</v>
      </c>
      <c r="E16070" s="1" t="str">
        <f ca="1">IFERROR(__xludf.DUMMYFUNCTION("GOOGLETRANSLATE(A12869 , ""tr"" , ""en"")"),"@drfahrettinkoca vaccine is produced and the vaccine rate is breaking from the highest Germany ... You sit down the country ... Https://t.co/hcu6tbvjr3")</f>
        <v>@drfahrettinkoca vaccine is produced and the vaccine rate is breaking from the highest Germany ... You sit down the country ... Https://t.co/hcu6tbvjr3</v>
      </c>
    </row>
    <row r="16071" spans="1:5" ht="15" customHeight="1" x14ac:dyDescent="0.2">
      <c r="A16071" s="1" t="s">
        <v>31655</v>
      </c>
      <c r="B16071" s="1">
        <v>0</v>
      </c>
      <c r="C16071" s="3">
        <v>44520.81490740741</v>
      </c>
      <c r="D16071" s="1" t="s">
        <v>31656</v>
      </c>
      <c r="E16071" s="1" t="str">
        <f ca="1">IFERROR(__xludf.DUMMYFUNCTION("GOOGLETRANSLATE(A12870 , ""tr"" , ""en"")"),"@drfahrettinkoca Drop this corona Do something to DMM to babies today is a mother suicide you have perhaps")</f>
        <v>@drfahrettinkoca Drop this corona Do something to DMM to babies today is a mother suicide you have perhaps</v>
      </c>
    </row>
    <row r="16072" spans="1:5" ht="15" customHeight="1" x14ac:dyDescent="0.2">
      <c r="A16072" s="1" t="s">
        <v>31657</v>
      </c>
      <c r="B16072" s="1">
        <v>0</v>
      </c>
      <c r="C16072" s="3">
        <v>44520.814386574071</v>
      </c>
      <c r="D16072" s="1" t="s">
        <v>31658</v>
      </c>
      <c r="E16072" s="1" t="str">
        <f ca="1">IFERROR(__xludf.DUMMYFUNCTION("GOOGLETRANSLATE(A12871 , ""tr"" , ""en"")"),"@drfahrettinkoca you are not tired of telling the same lie for 1 year. As the vaccination increases, it is not finished out of epidemic. Liberty mind ...")</f>
        <v>@drfahrettinkoca you are not tired of telling the same lie for 1 year. As the vaccination increases, it is not finished out of epidemic. Liberty mind ...</v>
      </c>
    </row>
    <row r="16073" spans="1:5" ht="15" customHeight="1" x14ac:dyDescent="0.2">
      <c r="A16073" s="1" t="s">
        <v>31659</v>
      </c>
      <c r="B16073" s="1">
        <v>0</v>
      </c>
      <c r="C16073" s="3">
        <v>44520.814282407409</v>
      </c>
      <c r="D16073" s="1" t="s">
        <v>31660</v>
      </c>
      <c r="E16073" s="1" t="str">
        <f ca="1">IFERROR(__xludf.DUMMYFUNCTION("GOOGLETRANSLATE(A12872 , ""tr"" , ""en"")"),"@drfahrettinkoca get comfortable after that.Virus arrived in the Banada. I'm like a monster. The Turkish mutation ...")</f>
        <v>@drfahrettinkoca get comfortable after that.Virus arrived in the Banada. I'm like a monster. The Turkish mutation ...</v>
      </c>
    </row>
    <row r="16074" spans="1:5" ht="15" customHeight="1" x14ac:dyDescent="0.2">
      <c r="A16074" s="1" t="s">
        <v>31661</v>
      </c>
      <c r="B16074" s="1">
        <v>1</v>
      </c>
      <c r="C16074" s="3">
        <v>44520.814097222225</v>
      </c>
      <c r="D16074" s="1" t="s">
        <v>31662</v>
      </c>
      <c r="E16074" s="1" t="str">
        <f ca="1">IFERROR(__xludf.DUMMYFUNCTION("GOOGLETRANSLATE(A12873 , ""tr"" , ""en"")"),"@drfahrettinkoca #mebyoekonlineElitime")</f>
        <v>@drfahrettinkoca #mebyoekonlineElitime</v>
      </c>
    </row>
    <row r="16075" spans="1:5" ht="15" customHeight="1" x14ac:dyDescent="0.2">
      <c r="A16075" s="1" t="s">
        <v>31663</v>
      </c>
      <c r="B16075" s="1">
        <v>0</v>
      </c>
      <c r="C16075" s="3">
        <v>44520.813854166663</v>
      </c>
      <c r="D16075" s="1" t="s">
        <v>31664</v>
      </c>
      <c r="E16075" s="1" t="str">
        <f ca="1">IFERROR(__xludf.DUMMYFUNCTION("GOOGLETRANSLATE(A12874 , ""tr"" , ""en"")"),"@drfahrettinkoca I follow you for six months There are more than 200 deaths daily to reduce this to lower only ... https://t.co/q99phmle2a")</f>
        <v>@drfahrettinkoca I follow you for six months There are more than 200 deaths daily to reduce this to lower only ... https://t.co/q99phmle2a</v>
      </c>
    </row>
    <row r="16076" spans="1:5" ht="15" customHeight="1" x14ac:dyDescent="0.2">
      <c r="A16076" s="1" t="s">
        <v>31665</v>
      </c>
      <c r="B16076" s="1">
        <v>0</v>
      </c>
      <c r="C16076" s="3">
        <v>44520.811249999999</v>
      </c>
      <c r="D16076" s="1" t="s">
        <v>31666</v>
      </c>
      <c r="E16076" s="1" t="str">
        <f ca="1">IFERROR(__xludf.DUMMYFUNCTION("GOOGLETRANSLATE(A12875 , ""tr"" , ""en"")"),"@drfahrettinkoca 12 years of age and underneath families who hit the children and deliberate children to the family ... HTTPS://T.CO/GTI3EW5Y9R")</f>
        <v>@drfahrettinkoca 12 years of age and underneath families who hit the children and deliberate children to the family ... HTTPS://T.CO/GTI3EW5Y9R</v>
      </c>
    </row>
    <row r="16077" spans="1:5" ht="15" customHeight="1" x14ac:dyDescent="0.2">
      <c r="A16077" s="1" t="s">
        <v>31667</v>
      </c>
      <c r="B16077" s="1">
        <v>0</v>
      </c>
      <c r="C16077" s="3">
        <v>44520.811145833337</v>
      </c>
      <c r="D16077" s="1" t="s">
        <v>31668</v>
      </c>
      <c r="E16077" s="1" t="str">
        <f ca="1">IFERROR(__xludf.DUMMYFUNCTION("GOOGLETRANSLATE(A12876 , ""tr"" , ""en"")"),"@drfahrettinkoca your sick you !! Your brain your heart is sick !!! #fahrettinkocatutlan you're sciencekurulutlan ... https://t.co/Ixhsdn2wyt")</f>
        <v>@drfahrettinkoca your sick you !! Your brain your heart is sick !!! #fahrettinkocatutlan you're sciencekurulutlan ... https://t.co/Ixhsdn2wyt</v>
      </c>
    </row>
    <row r="16078" spans="1:5" ht="15" customHeight="1" x14ac:dyDescent="0.2">
      <c r="A16078" s="1" t="s">
        <v>31669</v>
      </c>
      <c r="B16078" s="1">
        <v>0</v>
      </c>
      <c r="C16078" s="3">
        <v>44520.811122685183</v>
      </c>
      <c r="D16078" s="1" t="s">
        <v>31670</v>
      </c>
      <c r="E16078" s="1" t="str">
        <f ca="1">IFERROR(__xludf.DUMMYFUNCTION("GOOGLETRANSLATE(A12877 , ""tr"" , ""en"")"),"@drfahrettinkoca vaccine protecting the husband lying on our teacher tested whig's corona these teachers are grafted")</f>
        <v>@drfahrettinkoca vaccine protecting the husband lying on our teacher tested whig's corona these teachers are grafted</v>
      </c>
    </row>
    <row r="16079" spans="1:5" ht="15" customHeight="1" x14ac:dyDescent="0.2">
      <c r="A16079" s="1" t="s">
        <v>31671</v>
      </c>
      <c r="B16079" s="1">
        <v>0</v>
      </c>
      <c r="C16079" s="3">
        <v>44520.808125000003</v>
      </c>
      <c r="D16079" s="1" t="s">
        <v>31672</v>
      </c>
      <c r="E16079" s="1" t="str">
        <f ca="1">IFERROR(__xludf.DUMMYFUNCTION("GOOGLETRANSLATE(A12878 , ""tr"" , ""en"")"),"@drfahrettinkoca Koskoca Government, in our state, Allah C.c to be afraid of the Health, the Ministry of Health, President ... https://t.co/ok1abilz46")</f>
        <v>@drfahrettinkoca Koskoca Government, in our state, Allah C.c to be afraid of the Health, the Ministry of Health, President ... https://t.co/ok1abilz46</v>
      </c>
    </row>
    <row r="16080" spans="1:5" ht="15" customHeight="1" x14ac:dyDescent="0.2">
      <c r="A16080" s="1" t="s">
        <v>31673</v>
      </c>
      <c r="B16080" s="1">
        <v>0</v>
      </c>
      <c r="C16080" s="3">
        <v>44520.808125000003</v>
      </c>
      <c r="D16080" s="1" t="s">
        <v>31674</v>
      </c>
      <c r="E16080" s="1" t="str">
        <f ca="1">IFERROR(__xludf.DUMMYFUNCTION("GOOGLETRANSLATE(A12879 , ""tr"" , ""en"")"),"@drfahrettinka https://t.co/xvgl8aqkx7")</f>
        <v>@drfahrettinka https://t.co/xvgl8aqkx7</v>
      </c>
    </row>
    <row r="16081" spans="1:5" ht="15" customHeight="1" x14ac:dyDescent="0.2">
      <c r="A16081" s="1" t="s">
        <v>31675</v>
      </c>
      <c r="B16081" s="1">
        <v>2</v>
      </c>
      <c r="C16081" s="3">
        <v>44520.806192129632</v>
      </c>
      <c r="D16081" s="1" t="s">
        <v>31676</v>
      </c>
      <c r="E16081" s="1" t="str">
        <f ca="1">IFERROR(__xludf.DUMMYFUNCTION("GOOGLETRANSLATE(A12880 , ""tr"" , ""en"")"),"@drfahrettinkoca Bonibon Is this? Single-type WHO Corona is meant to be with the treatment protocol. ... https://t.co/h9lz0dshn5")</f>
        <v>@drfahrettinkoca Bonibon Is this? Single-type WHO Corona is meant to be with the treatment protocol. ... https://t.co/h9lz0dshn5</v>
      </c>
    </row>
    <row r="16082" spans="1:5" ht="15" customHeight="1" x14ac:dyDescent="0.2">
      <c r="A16082" s="1" t="s">
        <v>31677</v>
      </c>
      <c r="B16082" s="1">
        <v>0</v>
      </c>
      <c r="C16082" s="3">
        <v>44520.804664351854</v>
      </c>
      <c r="D16082" s="1" t="s">
        <v>31678</v>
      </c>
      <c r="E16082" s="1" t="str">
        <f ca="1">IFERROR(__xludf.DUMMYFUNCTION("GOOGLETRANSLATE(A12881 , ""tr"" , ""en"")"),"@drfahrettinkoca Mr. Ministry Do you hear the sound of SMA LI babies' Mummy Mummy Mummy Mummed ... https://t.co/BPMFYCIR0V")</f>
        <v>@drfahrettinkoca Mr. Ministry Do you hear the sound of SMA LI babies' Mummy Mummy Mummy Mummed ... https://t.co/BPMFYCIR0V</v>
      </c>
    </row>
    <row r="16083" spans="1:5" ht="15" customHeight="1" x14ac:dyDescent="0.2">
      <c r="A16083" s="1" t="s">
        <v>31679</v>
      </c>
      <c r="B16083" s="1">
        <v>1</v>
      </c>
      <c r="C16083" s="3">
        <v>44520.804618055554</v>
      </c>
      <c r="D16083" s="1" t="s">
        <v>31680</v>
      </c>
      <c r="E16083" s="1" t="str">
        <f ca="1">IFERROR(__xludf.DUMMYFUNCTION("GOOGLETRANSLATE(A12882 , ""tr"" , ""en"")"),"@drfahrettinkoca does not have a vaccination of the kodin (flu). Each year is a new one. Professor Dr. Canan Karatay 2020 Planemia ... https://t.co/jwics7mybb")</f>
        <v>@drfahrettinkoca does not have a vaccination of the kodin (flu). Each year is a new one. Professor Dr. Canan Karatay 2020 Planemia ... https://t.co/jwics7mybb</v>
      </c>
    </row>
    <row r="16084" spans="1:5" ht="15" customHeight="1" x14ac:dyDescent="0.2">
      <c r="A16084" s="1" t="s">
        <v>31681</v>
      </c>
      <c r="B16084" s="1">
        <v>1</v>
      </c>
      <c r="C16084" s="3">
        <v>44520.803831018522</v>
      </c>
      <c r="D16084" s="1" t="s">
        <v>31682</v>
      </c>
      <c r="E16084" s="1" t="str">
        <f ca="1">IFERROR(__xludf.DUMMYFUNCTION("GOOGLETRANSLATE(A12883 , ""tr"" , ""en"")"),"@drfahrettinkoca what happened to do not receive the fact that you are still attacking the nation again we will meet the court in Kübür of the")</f>
        <v>@drfahrettinkoca what happened to do not receive the fact that you are still attacking the nation again we will meet the court in Kübür of the</v>
      </c>
    </row>
    <row r="16085" spans="1:5" ht="15" customHeight="1" x14ac:dyDescent="0.2">
      <c r="A16085" s="1" t="s">
        <v>31683</v>
      </c>
      <c r="B16085" s="1">
        <v>0</v>
      </c>
      <c r="C16085" s="3">
        <v>44520.803506944445</v>
      </c>
      <c r="D16085" s="1" t="s">
        <v>31684</v>
      </c>
      <c r="E16085" s="1" t="str">
        <f ca="1">IFERROR(__xludf.DUMMYFUNCTION("GOOGLETRANSLATE(A12884 , ""tr"" , ""en"")"),"@drfahrettinkoca precaution Social Distance VS You say vs. Bagcilar State Hospital No system in the Ortapte section HEKES KA ... HTTPS://T.CO/6MIQ9T3VP4")</f>
        <v>@drfahrettinkoca precaution Social Distance VS You say vs. Bagcilar State Hospital No system in the Ortapte section HEKES KA ... HTTPS://T.CO/6MIQ9T3VP4</v>
      </c>
    </row>
    <row r="16086" spans="1:5" ht="15" customHeight="1" x14ac:dyDescent="0.2">
      <c r="A16086" s="1" t="s">
        <v>31685</v>
      </c>
      <c r="B16086" s="1">
        <v>2</v>
      </c>
      <c r="C16086" s="3">
        <v>44520.803344907406</v>
      </c>
      <c r="D16086" s="1" t="s">
        <v>31686</v>
      </c>
      <c r="E16086" s="1" t="str">
        <f ca="1">IFERROR(__xludf.DUMMYFUNCTION("GOOGLETRANSLATE(A12885 , ""tr"" , ""en"")"),"@drfahrettinkoca Publish the Guide Publish Your Minister Our Eye Waiting Your Senior Please Provide Sound to Our Cuts Now")</f>
        <v>@drfahrettinkoca Publish the Guide Publish Your Minister Our Eye Waiting Your Senior Please Provide Sound to Our Cuts Now</v>
      </c>
    </row>
    <row r="16087" spans="1:5" ht="15" customHeight="1" x14ac:dyDescent="0.2">
      <c r="A16087" s="1" t="s">
        <v>31687</v>
      </c>
      <c r="B16087" s="1">
        <v>1</v>
      </c>
      <c r="C16087" s="3">
        <v>44520.803298611114</v>
      </c>
      <c r="D16087" s="1" t="s">
        <v>31688</v>
      </c>
      <c r="E16087" s="1" t="str">
        <f ca="1">IFERROR(__xludf.DUMMYFUNCTION("GOOGLETRANSLATE(A12886 , ""tr"" , ""en"")"),"@drfahrettinkoca Hope you give these news on Monday Emergency Online Education! ği ... https://t.co/mbc203cz9e")</f>
        <v>@drfahrettinkoca Hope you give these news on Monday Emergency Online Education! ği ... https://t.co/mbc203cz9e</v>
      </c>
    </row>
    <row r="16088" spans="1:5" ht="15" customHeight="1" x14ac:dyDescent="0.2">
      <c r="A16088" s="1" t="s">
        <v>31689</v>
      </c>
      <c r="B16088" s="1">
        <v>0</v>
      </c>
      <c r="C16088" s="3">
        <v>44520.803182870368</v>
      </c>
      <c r="D16088" s="1" t="s">
        <v>31690</v>
      </c>
      <c r="E16088" s="1" t="str">
        <f ca="1">IFERROR(__xludf.DUMMYFUNCTION("GOOGLETRANSLATE(A12887 , ""tr"" , ""en"")"),"@drfahrettinka https://t.co/bzoalrwgck")</f>
        <v>@drfahrettinka https://t.co/bzoalrwgck</v>
      </c>
    </row>
    <row r="16089" spans="1:5" ht="15" customHeight="1" x14ac:dyDescent="0.2">
      <c r="A16089" s="1" t="s">
        <v>31691</v>
      </c>
      <c r="B16089" s="1">
        <v>0</v>
      </c>
      <c r="C16089" s="3">
        <v>44520.80269675926</v>
      </c>
      <c r="D16089" s="1" t="s">
        <v>31692</v>
      </c>
      <c r="E16089" s="1" t="str">
        <f ca="1">IFERROR(__xludf.DUMMYFUNCTION("GOOGLETRANSLATE(A12888 , ""tr"" , ""en"")"),"@drfahrettinkoca you don't see these garbesties that you will have been cared without stopping. What kind of health is the Ministry of Health ... https://t.co/qs505jqnfk")</f>
        <v>@drfahrettinkoca you don't see these garbesties that you will have been cared without stopping. What kind of health is the Ministry of Health ... https://t.co/qs505jqnfk</v>
      </c>
    </row>
    <row r="16090" spans="1:5" ht="15" customHeight="1" x14ac:dyDescent="0.2">
      <c r="A16090" s="1" t="s">
        <v>31693</v>
      </c>
      <c r="B16090" s="1">
        <v>0</v>
      </c>
      <c r="C16090" s="3">
        <v>44520.80196759259</v>
      </c>
      <c r="D16090" s="1" t="s">
        <v>31694</v>
      </c>
      <c r="E16090" s="1" t="str">
        <f ca="1">IFERROR(__xludf.DUMMYFUNCTION("GOOGLETRANSLATE(A12889 , ""tr"" , ""en"")"),"@drfahrettinkoca I laughed so much to you")</f>
        <v>@drfahrettinkoca I laughed so much to you</v>
      </c>
    </row>
    <row r="16091" spans="1:5" ht="15" customHeight="1" x14ac:dyDescent="0.2">
      <c r="A16091" s="1" t="s">
        <v>31695</v>
      </c>
      <c r="B16091" s="1">
        <v>0</v>
      </c>
      <c r="C16091" s="3">
        <v>44520.80159722222</v>
      </c>
      <c r="D16091" s="1" t="s">
        <v>31696</v>
      </c>
      <c r="E16091" s="1" t="str">
        <f ca="1">IFERROR(__xludf.DUMMYFUNCTION("GOOGLETRANSLATE(A12890 , ""tr"" , ""en"")"),"@drfahrettinkoca NUMANTYNNN NEWSHIP SHIPPING WE Don't look at our Tweets Even though it doesn't even Catlar were no scratches.")</f>
        <v>@drfahrettinkoca NUMANTYNNN NEWSHIP SHIPPING WE Don't look at our Tweets Even though it doesn't even Catlar were no scratches.</v>
      </c>
    </row>
    <row r="16092" spans="1:5" ht="15" customHeight="1" x14ac:dyDescent="0.2">
      <c r="A16092" s="1" t="s">
        <v>31697</v>
      </c>
      <c r="B16092" s="1">
        <v>29</v>
      </c>
      <c r="C16092" s="3">
        <v>44520.801400462966</v>
      </c>
      <c r="D16092" s="1" t="s">
        <v>31698</v>
      </c>
      <c r="E16092" s="1" t="str">
        <f ca="1">IFERROR(__xludf.DUMMYFUNCTION("GOOGLETRANSLATE(A12891 , ""tr"" , ""en"")"),"@drfahrettinkoca breaks up on the break holiday all families are restless, weather conditions bad, please ... https://t.co/s1ysf9tax8")</f>
        <v>@drfahrettinkoca breaks up on the break holiday all families are restless, weather conditions bad, please ... https://t.co/s1ysf9tax8</v>
      </c>
    </row>
    <row r="16093" spans="1:5" ht="15" customHeight="1" x14ac:dyDescent="0.2">
      <c r="A16093" s="1" t="s">
        <v>31699</v>
      </c>
      <c r="B16093" s="1">
        <v>0</v>
      </c>
      <c r="C16093" s="3">
        <v>44520.801122685189</v>
      </c>
      <c r="D16093" s="1" t="s">
        <v>31700</v>
      </c>
      <c r="E16093" s="1" t="str">
        <f ca="1">IFERROR(__xludf.DUMMYFUNCTION("GOOGLETRANSLATE(A12892 , ""tr"" , ""en"")"),"@drfahrettinkoca where is this going? #Smiths https://t.co/vqw5m0vzpy")</f>
        <v>@drfahrettinkoca where is this going? #Smiths https://t.co/vqw5m0vzpy</v>
      </c>
    </row>
    <row r="16094" spans="1:5" ht="15" customHeight="1" x14ac:dyDescent="0.2">
      <c r="A16094" s="1" t="s">
        <v>31701</v>
      </c>
      <c r="B16094" s="1">
        <v>0</v>
      </c>
      <c r="C16094" s="3">
        <v>44520.801076388889</v>
      </c>
      <c r="D16094" s="1" t="s">
        <v>31702</v>
      </c>
      <c r="E16094" s="1" t="str">
        <f ca="1">IFERROR(__xludf.DUMMYFUNCTION("GOOGLETRANSLATE(A12893 , ""tr"" , ""en"")"),"@drfahrettinkoca @drfahrettinkoca ...")</f>
        <v>@drfahrettinkoca @drfahrettinkoca ...</v>
      </c>
    </row>
    <row r="16095" spans="1:5" ht="15" customHeight="1" x14ac:dyDescent="0.2">
      <c r="A16095" s="1" t="s">
        <v>31703</v>
      </c>
      <c r="B16095" s="1">
        <v>1</v>
      </c>
      <c r="C16095" s="3">
        <v>44520.800173611111</v>
      </c>
      <c r="D16095" s="1" t="s">
        <v>31704</v>
      </c>
      <c r="E16095" s="1" t="str">
        <f ca="1">IFERROR(__xludf.DUMMYFUNCTION("GOOGLETRANSLATE(A12894 , ""tr"" , ""en"")"),"@drfahrettinkoca Allah, let you write you in the book I hope. Tavistock un Turkey consul, liar! ...")</f>
        <v>@drfahrettinkoca Allah, let you write you in the book I hope. Tavistock un Turkey consul, liar! ...</v>
      </c>
    </row>
    <row r="16096" spans="1:5" ht="15" customHeight="1" x14ac:dyDescent="0.2">
      <c r="A16096" s="1" t="s">
        <v>31705</v>
      </c>
      <c r="B16096" s="1">
        <v>0</v>
      </c>
      <c r="C16096" s="3">
        <v>44520.799502314818</v>
      </c>
      <c r="D16096" s="1" t="s">
        <v>31706</v>
      </c>
      <c r="E16096" s="1" t="str">
        <f ca="1">IFERROR(__xludf.DUMMYFUNCTION("GOOGLETRANSLATE(A12895 , ""tr"" , ""en"")"),"@drfahrettinkoca Very Emergency Online Training! ️")</f>
        <v>@drfahrettinkoca Very Emergency Online Training! ️</v>
      </c>
    </row>
    <row r="16097" spans="1:5" ht="15" customHeight="1" x14ac:dyDescent="0.2">
      <c r="A16097" s="1" t="s">
        <v>31707</v>
      </c>
      <c r="B16097" s="1">
        <v>0</v>
      </c>
      <c r="C16097" s="3">
        <v>44520.79928240741</v>
      </c>
      <c r="D16097" s="1" t="s">
        <v>31708</v>
      </c>
      <c r="E16097" s="1" t="str">
        <f ca="1">IFERROR(__xludf.DUMMYFUNCTION("GOOGLETRANSLATE(A12896 , ""tr"" , ""en"")"),"@drfahrettinkoca Ministry of Expert Doctors Don't Rotate. The physician salary working with pension is the same. To doctors ... https://t.co/I1yba1ot8h")</f>
        <v>@drfahrettinkoca Ministry of Expert Doctors Don't Rotate. The physician salary working with pension is the same. To doctors ... https://t.co/I1yba1ot8h</v>
      </c>
    </row>
    <row r="16098" spans="1:5" ht="15" customHeight="1" x14ac:dyDescent="0.2">
      <c r="A16098" s="1" t="s">
        <v>31709</v>
      </c>
      <c r="B16098" s="1">
        <v>1</v>
      </c>
      <c r="C16098" s="3">
        <v>44520.795312499999</v>
      </c>
      <c r="D16098" s="1" t="s">
        <v>31710</v>
      </c>
      <c r="E16098" s="1" t="str">
        <f ca="1">IFERROR(__xludf.DUMMYFUNCTION("GOOGLETRANSLATE(A12897 , ""tr"" , ""en"")"),"@drfahrettinkoca if you write to the internet if you are on the hot heart in the news made in the news, the news is made in winter ... https://t.co/vtzcc1kokh")</f>
        <v>@drfahrettinkoca if you write to the internet if you are on the hot heart in the news made in the news, the news is made in winter ... https://t.co/vtzcc1kokh</v>
      </c>
    </row>
    <row r="16099" spans="1:5" ht="15" customHeight="1" x14ac:dyDescent="0.2">
      <c r="A16099" s="1" t="s">
        <v>31711</v>
      </c>
      <c r="B16099" s="1">
        <v>43</v>
      </c>
      <c r="C16099" s="3">
        <v>44520.794224537036</v>
      </c>
      <c r="D16099" s="1" t="s">
        <v>31712</v>
      </c>
      <c r="E16099" s="1" t="str">
        <f ca="1">IFERROR(__xludf.DUMMYFUNCTION("GOOGLETRANSLATE(A12898 , ""tr"" , ""en"")"),"@drfahrettinkoca we have been relaxed for a week we would like to continue to continue #mebyökonlinelitiitimhakkk")</f>
        <v>@drfahrettinkoca we have been relaxed for a week we would like to continue to continue #mebyökonlinelitiitimhakkk</v>
      </c>
    </row>
    <row r="16100" spans="1:5" ht="15" customHeight="1" x14ac:dyDescent="0.2">
      <c r="A16100" s="1" t="s">
        <v>31713</v>
      </c>
      <c r="B16100" s="1">
        <v>8</v>
      </c>
      <c r="C16100" s="3">
        <v>44520.794224537036</v>
      </c>
      <c r="D16100" s="1" t="s">
        <v>31714</v>
      </c>
      <c r="E16100" s="1" t="str">
        <f ca="1">IFERROR(__xludf.DUMMYFUNCTION("GOOGLETRANSLATE(A12899 , ""tr"" , ""en"")"),"@drfahrettinkoca How many children is 12-18 years old, how many dose did, explain!")</f>
        <v>@drfahrettinkoca How many children is 12-18 years old, how many dose did, explain!</v>
      </c>
    </row>
    <row r="16101" spans="1:5" ht="15" customHeight="1" x14ac:dyDescent="0.2">
      <c r="A16101" s="1" t="s">
        <v>31715</v>
      </c>
      <c r="B16101" s="1">
        <v>0</v>
      </c>
      <c r="C16101" s="3">
        <v>44520.793923611112</v>
      </c>
      <c r="D16101" s="1" t="s">
        <v>31716</v>
      </c>
      <c r="E16101" s="1" t="str">
        <f ca="1">IFERROR(__xludf.DUMMYFUNCTION("GOOGLETRANSLATE(A12900 , ""tr"" , ""en"")"),"@drfahrettinkoca Get this vulnerable here")</f>
        <v>@drfahrettinkoca Get this vulnerable here</v>
      </c>
    </row>
    <row r="16102" spans="1:5" ht="15" customHeight="1" x14ac:dyDescent="0.2">
      <c r="A16102" s="1" t="s">
        <v>31717</v>
      </c>
      <c r="B16102" s="1">
        <v>18</v>
      </c>
      <c r="C16102" s="3">
        <v>44520.793888888889</v>
      </c>
      <c r="D16102" s="1" t="s">
        <v>31718</v>
      </c>
      <c r="E16102" s="1" t="str">
        <f ca="1">IFERROR(__xludf.DUMMYFUNCTION("GOOGLETRANSLATE(A12901 , ""tr"" , ""en"")"),"@drfahrettinkoca Dear @drfahrettinkoca Do you think it's time to increase the precautions Is the conditions weighed heavy Der ... https://t.co/gn4dqhvchn")</f>
        <v>@drfahrettinkoca Dear @drfahrettinkoca Do you think it's time to increase the precautions Is the conditions weighed heavy Der ... https://t.co/gn4dqhvchn</v>
      </c>
    </row>
    <row r="16103" spans="1:5" ht="15" customHeight="1" x14ac:dyDescent="0.2">
      <c r="A16103" s="1" t="s">
        <v>31719</v>
      </c>
      <c r="B16103" s="1">
        <v>49</v>
      </c>
      <c r="C16103" s="3">
        <v>44520.793171296296</v>
      </c>
      <c r="D16103" s="1" t="s">
        <v>31720</v>
      </c>
      <c r="E16103" s="1" t="str">
        <f ca="1">IFERROR(__xludf.DUMMYFUNCTION("GOOGLETRANSLATE(A12902 , ""tr"" , ""en"")"),"@drfahrettinkoca hocam I think let's not fool each other. #Mebyökonlineegitimhakkk")</f>
        <v>@drfahrettinkoca hocam I think let's not fool each other. #Mebyökonlineegitimhakkk</v>
      </c>
    </row>
    <row r="16104" spans="1:5" ht="15" customHeight="1" x14ac:dyDescent="0.2">
      <c r="A16104" s="1" t="s">
        <v>31721</v>
      </c>
      <c r="B16104" s="1">
        <v>1</v>
      </c>
      <c r="C16104" s="3">
        <v>44520.792997685188</v>
      </c>
      <c r="D16104" s="1" t="s">
        <v>31722</v>
      </c>
      <c r="E16104" s="1" t="str">
        <f ca="1">IFERROR(__xludf.DUMMYFUNCTION("GOOGLETRANSLATE(A12903 , ""tr"" , ""en"")"),"@drfahrettinka World countries Pandemis rulers take measures for the people's health, bring restraints ... https://t.co/v56ooenw4y")</f>
        <v>@drfahrettinka World countries Pandemis rulers take measures for the people's health, bring restraints ... https://t.co/v56ooenw4y</v>
      </c>
    </row>
    <row r="16105" spans="1:5" ht="15" customHeight="1" x14ac:dyDescent="0.2">
      <c r="A16105" s="1" t="s">
        <v>31723</v>
      </c>
      <c r="B16105" s="1">
        <v>0</v>
      </c>
      <c r="C16105" s="3">
        <v>44520.792337962965</v>
      </c>
      <c r="D16105" s="1" t="s">
        <v>31724</v>
      </c>
      <c r="E16105" s="1" t="str">
        <f ca="1">IFERROR(__xludf.DUMMYFUNCTION("GOOGLETRANSLATE(A12904 , ""tr"" , ""en"")"),"@drfahrettinkoca # 🅱🅱🅰️🅰️🧿🧿🧿🧿🧿🧿🧿🧿️🧿🧿🧿🧿🧿🧿🧿🧿️ⓜ️ⓜ️ⓜ️ⓜ️ⓜ️")</f>
        <v>@drfahrettinkoca # 🅱🅱🅰️🅰️🧿🧿🧿🧿🧿🧿🧿🧿️🧿🧿🧿🧿🧿🧿🧿🧿️ⓜ️ⓜ️ⓜ️ⓜ️ⓜ️</v>
      </c>
    </row>
    <row r="16106" spans="1:5" ht="15" customHeight="1" x14ac:dyDescent="0.2">
      <c r="A16106" s="1" t="s">
        <v>31725</v>
      </c>
      <c r="B16106" s="1">
        <v>0</v>
      </c>
      <c r="C16106" s="3">
        <v>44520.791145833333</v>
      </c>
      <c r="D16106" s="1" t="s">
        <v>31726</v>
      </c>
      <c r="E16106" s="1" t="str">
        <f ca="1">IFERROR(__xludf.DUMMYFUNCTION("GOOGLETRANSLATE(A12905 , ""tr"" , ""en"")"),"@drfahrettinkoca has to increase the under 18 years of age not at risk. Or 3-5 dose of 18 years of age ... https://t.co/m4ngazuqeb")</f>
        <v>@drfahrettinkoca has to increase the under 18 years of age not at risk. Or 3-5 dose of 18 years of age ... https://t.co/m4ngazuqeb</v>
      </c>
    </row>
    <row r="16107" spans="1:5" ht="15" customHeight="1" x14ac:dyDescent="0.2">
      <c r="A16107" s="1" t="s">
        <v>31727</v>
      </c>
      <c r="B16107" s="1">
        <v>1</v>
      </c>
      <c r="C16107" s="3">
        <v>44520.789502314816</v>
      </c>
      <c r="D16107" s="1" t="s">
        <v>31728</v>
      </c>
      <c r="E16107" s="1" t="str">
        <f ca="1">IFERROR(__xludf.DUMMYFUNCTION("GOOGLETRANSLATE(A12906 , ""tr"" , ""en"")"),"@drfahrettinkoca Pastor: ""Don't have a heart-hearted person to lift the head and say rights!"" ""Leave (Jewish) ... https://t.co/brnlomexx3")</f>
        <v>@drfahrettinkoca Pastor: "Don't have a heart-hearted person to lift the head and say rights!" "Leave (Jewish) ... https://t.co/brnlomexx3</v>
      </c>
    </row>
    <row r="16108" spans="1:5" ht="15" customHeight="1" x14ac:dyDescent="0.2">
      <c r="A16108" s="1" t="s">
        <v>31729</v>
      </c>
      <c r="B16108" s="1">
        <v>5</v>
      </c>
      <c r="C16108" s="3">
        <v>44520.786053240743</v>
      </c>
      <c r="D16108" s="1" t="s">
        <v>31730</v>
      </c>
      <c r="E16108" s="1" t="str">
        <f ca="1">IFERROR(__xludf.DUMMYFUNCTION("GOOGLETRANSLATE(A12907 , ""tr"" , ""en"")"),"@drfahrettinkoca WHO Protocol When there are dozens of treatment methods, caused by 8 ER 8 ER drugs that do not work ... https://t.co/swn9rqqyld")</f>
        <v>@drfahrettinkoca WHO Protocol When there are dozens of treatment methods, caused by 8 ER 8 ER drugs that do not work ... https://t.co/swn9rqqyld</v>
      </c>
    </row>
    <row r="16109" spans="1:5" ht="15" customHeight="1" x14ac:dyDescent="0.2">
      <c r="A16109" s="1" t="s">
        <v>31731</v>
      </c>
      <c r="B16109" s="1">
        <v>0</v>
      </c>
      <c r="C16109" s="3">
        <v>44520.786053240743</v>
      </c>
      <c r="D16109" s="1" t="s">
        <v>31732</v>
      </c>
      <c r="E16109" s="1" t="str">
        <f ca="1">IFERROR(__xludf.DUMMYFUNCTION("GOOGLETRANSLATE(A12908 , ""tr"" , ""en"")"),"@drfahrettinkoca We would like the most urgent guide @drfahrettinkoca")</f>
        <v>@drfahrettinkoca We would like the most urgent guide @drfahrettinkoca</v>
      </c>
    </row>
    <row r="16110" spans="1:5" ht="15" customHeight="1" x14ac:dyDescent="0.2">
      <c r="A16110" s="1" t="s">
        <v>31733</v>
      </c>
      <c r="B16110" s="1">
        <v>0</v>
      </c>
      <c r="C16110" s="3">
        <v>44520.785821759258</v>
      </c>
      <c r="D16110" s="1" t="s">
        <v>31734</v>
      </c>
      <c r="E16110" s="1" t="str">
        <f ca="1">IFERROR(__xludf.DUMMYFUNCTION("GOOGLETRANSLATE(A12909 , ""tr"" , ""en"")"),"@drfahrettinkoca last week 60 people have entered the same amphide intermediate test today I'm in the corona I'm lying at home still Saht ... https://t.co/siuamrddg2")</f>
        <v>@drfahrettinkoca last week 60 people have entered the same amphide intermediate test today I'm in the corona I'm lying at home still Saht ... https://t.co/siuamrddg2</v>
      </c>
    </row>
    <row r="16111" spans="1:5" ht="15" customHeight="1" x14ac:dyDescent="0.2">
      <c r="A16111" s="1" t="s">
        <v>31735</v>
      </c>
      <c r="B16111" s="1">
        <v>13</v>
      </c>
      <c r="C16111" s="3">
        <v>44520.785810185182</v>
      </c>
      <c r="D16111" s="1" t="s">
        <v>31736</v>
      </c>
      <c r="E16111" s="1" t="str">
        <f ca="1">IFERROR(__xludf.DUMMYFUNCTION("GOOGLETRANSLATE(A12910 , ""tr"" , ""en"")"),"@drfahrettinka you won't be able to make it! Running Running A $ .I don't even believe you to be!")</f>
        <v>@drfahrettinka you won't be able to make it! Running Running A $ .I don't even believe you to be!</v>
      </c>
    </row>
    <row r="16112" spans="1:5" ht="15" customHeight="1" x14ac:dyDescent="0.2">
      <c r="A16112" s="1" t="s">
        <v>31737</v>
      </c>
      <c r="B16112" s="1">
        <v>0</v>
      </c>
      <c r="C16112" s="3">
        <v>44520.785752314812</v>
      </c>
      <c r="D16112" s="1" t="s">
        <v>31738</v>
      </c>
      <c r="E16112" s="1" t="str">
        <f ca="1">IFERROR(__xludf.DUMMYFUNCTION("GOOGLETRANSLATE(A12911 , ""tr"" , ""en"")"),"@drfahrettinkoca people dragging the economic depression .. Play your last trump by increasing the vaccine or epidemic ...")</f>
        <v>@drfahrettinkoca people dragging the economic depression .. Play your last trump by increasing the vaccine or epidemic ...</v>
      </c>
    </row>
    <row r="16113" spans="1:5" ht="15" customHeight="1" x14ac:dyDescent="0.2">
      <c r="A16113" s="1" t="s">
        <v>31739</v>
      </c>
      <c r="B16113" s="1">
        <v>0</v>
      </c>
      <c r="C16113" s="3">
        <v>44520.785115740742</v>
      </c>
      <c r="D16113" s="1" t="s">
        <v>31740</v>
      </c>
      <c r="E16113" s="1" t="str">
        <f ca="1">IFERROR(__xludf.DUMMYFUNCTION("GOOGLETRANSLATE(A12912 , ""tr"" , ""en"")"),"@drfahrettinkoca How much liquid isn't the more death? Do not hurry. We will cut another watermelon.")</f>
        <v>@drfahrettinkoca How much liquid isn't the more death? Do not hurry. We will cut another watermelon.</v>
      </c>
    </row>
    <row r="16114" spans="1:5" ht="15" customHeight="1" x14ac:dyDescent="0.2">
      <c r="A16114" s="1" t="s">
        <v>31741</v>
      </c>
      <c r="B16114" s="1">
        <v>0</v>
      </c>
      <c r="C16114" s="3">
        <v>44520.784884259258</v>
      </c>
      <c r="D16114" s="1" t="s">
        <v>31742</v>
      </c>
      <c r="E16114" s="1" t="str">
        <f ca="1">IFERROR(__xludf.DUMMYFUNCTION("GOOGLETRANSLATE(A12913 , ""tr"" , ""en"")"),"@drfahrettinkoca Others are the child because it is ... Is that something trying to wait ???")</f>
        <v>@drfahrettinkoca Others are the child because it is ... Is that something trying to wait ???</v>
      </c>
    </row>
    <row r="16115" spans="1:5" ht="15" customHeight="1" x14ac:dyDescent="0.2">
      <c r="A16115" s="1" t="s">
        <v>31385</v>
      </c>
      <c r="B16115" s="1">
        <v>8</v>
      </c>
      <c r="C16115" s="3">
        <v>44520.784178240741</v>
      </c>
      <c r="D16115" s="1" t="s">
        <v>31743</v>
      </c>
      <c r="E16115" s="1" t="str">
        <f ca="1">IFERROR(__xludf.DUMMYFUNCTION("GOOGLETRANSLATE(A12914 , ""tr"" , ""en"")"),"@drfahrettinkoca #mebyökonlineEducation")</f>
        <v>@drfahrettinkoca #mebyökonlineEducation</v>
      </c>
    </row>
    <row r="16116" spans="1:5" ht="15" customHeight="1" x14ac:dyDescent="0.2">
      <c r="A16116" s="1" t="s">
        <v>31744</v>
      </c>
      <c r="B16116" s="1">
        <v>0</v>
      </c>
      <c r="C16116" s="3">
        <v>44520.784004629626</v>
      </c>
      <c r="D16116" s="1" t="s">
        <v>31745</v>
      </c>
      <c r="E16116" s="1" t="str">
        <f ca="1">IFERROR(__xludf.DUMMYFUNCTION("GOOGLETRANSLATE(A12915 , ""tr"" , ""en"")"),"@drfahrettinka you are the people of the public? If you don't have Bill Gates's Sultan (!?). My citizens you kill ... https://t.co/nofailtzmt")</f>
        <v>@drfahrettinka you are the people of the public? If you don't have Bill Gates's Sultan (!?). My citizens you kill ... https://t.co/nofailtzmt</v>
      </c>
    </row>
    <row r="16117" spans="1:5" ht="15" customHeight="1" x14ac:dyDescent="0.2">
      <c r="A16117" s="1" t="s">
        <v>31746</v>
      </c>
      <c r="B16117" s="1">
        <v>0</v>
      </c>
      <c r="C16117" s="3">
        <v>44520.782997685186</v>
      </c>
      <c r="D16117" s="1" t="s">
        <v>31747</v>
      </c>
      <c r="E16117" s="1" t="str">
        <f ca="1">IFERROR(__xludf.DUMMYFUNCTION("GOOGLETRANSLATE(A12916 , ""tr"" , ""en"")"),"@drfahrettinkoca husband husband husband alla you quit meat husband")</f>
        <v>@drfahrettinkoca husband husband husband alla you quit meat husband</v>
      </c>
    </row>
    <row r="16118" spans="1:5" ht="15" customHeight="1" x14ac:dyDescent="0.2">
      <c r="A16118" s="1" t="s">
        <v>31748</v>
      </c>
      <c r="B16118" s="1">
        <v>0</v>
      </c>
      <c r="C16118" s="3">
        <v>44520.782094907408</v>
      </c>
      <c r="D16118" s="1" t="s">
        <v>31749</v>
      </c>
      <c r="E16118" s="1" t="str">
        <f ca="1">IFERROR(__xludf.DUMMYFUNCTION("GOOGLETRANSLATE(A12917 , ""tr"" , ""en"")"),"@drfahrettinka you are the representative of the experimental fluid?")</f>
        <v>@drfahrettinka you are the representative of the experimental fluid?</v>
      </c>
    </row>
    <row r="16119" spans="1:5" ht="15" customHeight="1" x14ac:dyDescent="0.2">
      <c r="A16119" s="1" t="s">
        <v>31750</v>
      </c>
      <c r="B16119" s="1">
        <v>3</v>
      </c>
      <c r="C16119" s="3">
        <v>44520.782025462962</v>
      </c>
      <c r="D16119" s="1" t="s">
        <v>31751</v>
      </c>
      <c r="E16119" s="1" t="str">
        <f ca="1">IFERROR(__xludf.DUMMYFUNCTION("GOOGLETRANSLATE(A12918 , ""tr"" , ""en"")"),"@drfahrettinkoca right now the progressive police lawyer prosecutor judge in your hands is the power of your power is now .. But please note the global orga ... https://t.co/dngovjjkio")</f>
        <v>@drfahrettinkoca right now the progressive police lawyer prosecutor judge in your hands is the power of your power is now .. But please note the global orga ... https://t.co/dngovjjkio</v>
      </c>
    </row>
    <row r="16120" spans="1:5" ht="15" customHeight="1" x14ac:dyDescent="0.2">
      <c r="A16120" s="1" t="s">
        <v>31752</v>
      </c>
      <c r="B16120" s="1">
        <v>0</v>
      </c>
      <c r="C16120" s="3">
        <v>44520.780798611115</v>
      </c>
      <c r="D16120" s="1" t="s">
        <v>31753</v>
      </c>
      <c r="E16120" s="1" t="str">
        <f ca="1">IFERROR(__xludf.DUMMYFUNCTION("GOOGLETRANSLATE(A12919 , ""tr"" , ""en"")"),"@drfahrettinkoca husband, give the account of the bully the bully procedure of thief. Return the money you stole from our people. https://t.co/slaxo376ql")</f>
        <v>@drfahrettinkoca husband, give the account of the bully the bully procedure of thief. Return the money you stole from our people. https://t.co/slaxo376ql</v>
      </c>
    </row>
    <row r="16121" spans="1:5" ht="15" customHeight="1" x14ac:dyDescent="0.2">
      <c r="A16121" s="1" t="s">
        <v>31754</v>
      </c>
      <c r="B16121" s="1">
        <v>1</v>
      </c>
      <c r="C16121" s="3">
        <v>44520.779502314814</v>
      </c>
      <c r="D16121" s="1" t="s">
        <v>31755</v>
      </c>
      <c r="E16121" s="1" t="str">
        <f ca="1">IFERROR(__xludf.DUMMYFUNCTION("GOOGLETRANSLATE(A12920 , ""tr"" , ""en"")"),"@drfahrettinkoca I'm telling you something .. Whatever you do, you will lose .. Whatever you do .. Necessary ...")</f>
        <v>@drfahrettinkoca I'm telling you something .. Whatever you do, you will lose .. Whatever you do .. Necessary ...</v>
      </c>
    </row>
    <row r="16122" spans="1:5" ht="15" customHeight="1" x14ac:dyDescent="0.2">
      <c r="A16122" s="1" t="s">
        <v>31756</v>
      </c>
      <c r="B16122" s="1">
        <v>2</v>
      </c>
      <c r="C16122" s="3">
        <v>44520.779178240744</v>
      </c>
      <c r="D16122" s="1" t="s">
        <v>31757</v>
      </c>
      <c r="E16122" s="1" t="str">
        <f ca="1">IFERROR(__xludf.DUMMYFUNCTION("GOOGLETRANSLATE(A12921 , ""tr"" , ""en"")"),"@drfahrettinka https://t.co/uooc9kzecd")</f>
        <v>@drfahrettinka https://t.co/uooc9kzecd</v>
      </c>
    </row>
    <row r="16123" spans="1:5" ht="15" customHeight="1" x14ac:dyDescent="0.2">
      <c r="A16123" s="1" t="s">
        <v>31758</v>
      </c>
      <c r="B16123" s="1">
        <v>0</v>
      </c>
      <c r="C16123" s="3">
        <v>44520.778032407405</v>
      </c>
      <c r="D16123" s="1" t="s">
        <v>31759</v>
      </c>
      <c r="E16123" s="1" t="str">
        <f ca="1">IFERROR(__xludf.DUMMYFUNCTION("GOOGLETRANSLATE(A12922 , ""tr"" , ""en"")"),"@drfahrettinkoca Mr. Minister Your Standed His Nutuk to People Every Day Nutuk is no longer usual We are not herd us g ... https://t.co/t1x54lm1yl")</f>
        <v>@drfahrettinkoca Mr. Minister Your Standed His Nutuk to People Every Day Nutuk is no longer usual We are not herd us g ... https://t.co/t1x54lm1yl</v>
      </c>
    </row>
    <row r="16124" spans="1:5" ht="15" customHeight="1" x14ac:dyDescent="0.2">
      <c r="A16124" s="1" t="s">
        <v>31760</v>
      </c>
      <c r="B16124" s="1">
        <v>0</v>
      </c>
      <c r="C16124" s="3">
        <v>44520.777083333334</v>
      </c>
      <c r="D16124" s="1" t="s">
        <v>31761</v>
      </c>
      <c r="E16124" s="1" t="str">
        <f ca="1">IFERROR(__xludf.DUMMYFUNCTION("GOOGLETRANSLATE(A12923 , ""tr"" , ""en"")"),"@drfahrettinkoca information about recent developments and geese on geese https://t.co/8mtadl4kyu")</f>
        <v>@drfahrettinkoca information about recent developments and geese on geese https://t.co/8mtadl4kyu</v>
      </c>
    </row>
    <row r="16125" spans="1:5" ht="15" customHeight="1" x14ac:dyDescent="0.2">
      <c r="A16125" s="1" t="s">
        <v>31762</v>
      </c>
      <c r="B16125" s="1">
        <v>0</v>
      </c>
      <c r="C16125" s="3">
        <v>44520.776701388888</v>
      </c>
      <c r="D16125" s="1" t="s">
        <v>31763</v>
      </c>
      <c r="E16125" s="1" t="str">
        <f ca="1">IFERROR(__xludf.DUMMYFUNCTION("GOOGLETRANSLATE(A12924 , ""tr"" , ""en"")"),"@drfahrettinkoca Your Buckle has not been able to remain Economic release .. AK Party MV. Cikip Japan Eko ... https://t.co/6ekom4h6rh")</f>
        <v>@drfahrettinkoca Your Buckle has not been able to remain Economic release .. AK Party MV. Cikip Japan Eko ... https://t.co/6ekom4h6rh</v>
      </c>
    </row>
    <row r="16126" spans="1:5" ht="15" customHeight="1" x14ac:dyDescent="0.2">
      <c r="A16126" s="1" t="s">
        <v>31764</v>
      </c>
      <c r="B16126" s="1">
        <v>0</v>
      </c>
      <c r="C16126" s="3">
        <v>44520.776446759257</v>
      </c>
      <c r="D16126" s="1" t="s">
        <v>31765</v>
      </c>
      <c r="E16126" s="1" t="str">
        <f ca="1">IFERROR(__xludf.DUMMYFUNCTION("GOOGLETRANSLATE(A12925 , ""tr"" , ""en"")"),"@drfahrettinka online training should come")</f>
        <v>@drfahrettinka online training should come</v>
      </c>
    </row>
    <row r="16127" spans="1:5" ht="15" customHeight="1" x14ac:dyDescent="0.2">
      <c r="A16127" s="1" t="s">
        <v>31766</v>
      </c>
      <c r="B16127" s="1">
        <v>0</v>
      </c>
      <c r="C16127" s="3">
        <v>44520.776435185187</v>
      </c>
      <c r="D16127" s="1" t="s">
        <v>31767</v>
      </c>
      <c r="E16127" s="1" t="str">
        <f ca="1">IFERROR(__xludf.DUMMYFUNCTION("GOOGLETRANSLATE(A12926 , ""tr"" , ""en"")"),"@drfahrettinka https://t.co/54l3j8osie")</f>
        <v>@drfahrettinka https://t.co/54l3j8osie</v>
      </c>
    </row>
    <row r="16128" spans="1:5" ht="15" customHeight="1" x14ac:dyDescent="0.2">
      <c r="A16128" s="1" t="s">
        <v>31768</v>
      </c>
      <c r="B16128" s="1">
        <v>0</v>
      </c>
      <c r="C16128" s="3">
        <v>44520.775347222225</v>
      </c>
      <c r="D16128" s="1" t="s">
        <v>31769</v>
      </c>
      <c r="E16128" s="1" t="str">
        <f ca="1">IFERROR(__xludf.DUMMYFUNCTION("GOOGLETRANSLATE(A12927 , ""tr"" , ""en"")"),"@drfahrettinkoca congregation has a contract to foundations. https://t.co/jdjcqbsqno https://t.co/nqvvsaxbey")</f>
        <v>@drfahrettinkoca congregation has a contract to foundations. https://t.co/jdjcqbsqno https://t.co/nqvvsaxbey</v>
      </c>
    </row>
    <row r="16129" spans="1:5" ht="15" customHeight="1" x14ac:dyDescent="0.2">
      <c r="A16129" s="1" t="s">
        <v>31770</v>
      </c>
      <c r="B16129" s="1">
        <v>0</v>
      </c>
      <c r="C16129" s="3">
        <v>44520.774513888886</v>
      </c>
      <c r="D16129" s="1" t="s">
        <v>31771</v>
      </c>
      <c r="E16129" s="1" t="str">
        <f ca="1">IFERROR(__xludf.DUMMYFUNCTION("GOOGLETRANSLATE(A12928 , ""tr"" , ""en"")"),"@drfahrettinkoca you are embarrassed in your arlanman ... wasters get the haram ... https://t.co/ychyoz4zhp")</f>
        <v>@drfahrettinkoca you are embarrassed in your arlanman ... wasters get the haram ... https://t.co/ychyoz4zhp</v>
      </c>
    </row>
    <row r="16130" spans="1:5" ht="15" customHeight="1" x14ac:dyDescent="0.2">
      <c r="A16130" s="1" t="s">
        <v>31772</v>
      </c>
      <c r="B16130" s="1">
        <v>2</v>
      </c>
      <c r="C16130" s="3">
        <v>44520.773414351854</v>
      </c>
      <c r="D16130" s="1" t="s">
        <v>31773</v>
      </c>
      <c r="E16130" s="1" t="str">
        <f ca="1">IFERROR(__xludf.DUMMYFUNCTION("GOOGLETRANSLATE(A12929 , ""tr"" , ""en"")"),"@drfahrettinkoca #mebyökonlineEducationAkkk We are our # Mebyökonlinelititimakk")</f>
        <v>@drfahrettinkoca #mebyökonlineEducationAkkk We are our # Mebyökonlinelititimakk</v>
      </c>
    </row>
    <row r="16131" spans="1:5" ht="15" customHeight="1" x14ac:dyDescent="0.2">
      <c r="A16131" s="1" t="s">
        <v>31385</v>
      </c>
      <c r="B16131" s="1">
        <v>2</v>
      </c>
      <c r="C16131" s="3">
        <v>44520.773356481484</v>
      </c>
      <c r="D16131" s="1" t="s">
        <v>31774</v>
      </c>
      <c r="E16131" s="1" t="str">
        <f ca="1">IFERROR(__xludf.DUMMYFUNCTION("GOOGLETRANSLATE(A12930 , ""tr"" , ""en"")"),"@drfahrettinkoca #mebyökonlineEducation")</f>
        <v>@drfahrettinkoca #mebyökonlineEducation</v>
      </c>
    </row>
    <row r="16132" spans="1:5" ht="15" customHeight="1" x14ac:dyDescent="0.2">
      <c r="A16132" s="1" t="s">
        <v>30127</v>
      </c>
      <c r="B16132" s="1">
        <v>0</v>
      </c>
      <c r="C16132" s="3">
        <v>44520.773229166669</v>
      </c>
      <c r="D16132" s="1" t="s">
        <v>31775</v>
      </c>
      <c r="E16132" s="1" t="str">
        <f ca="1">IFERROR(__xludf.DUMMYFUNCTION("GOOGLETRANSLATE(A12931 , ""tr"" , ""en"")"),"@drfahrettinka online education")</f>
        <v>@drfahrettinka online education</v>
      </c>
    </row>
    <row r="16133" spans="1:5" ht="15" customHeight="1" x14ac:dyDescent="0.2">
      <c r="A16133" s="1" t="s">
        <v>31776</v>
      </c>
      <c r="B16133" s="1">
        <v>0</v>
      </c>
      <c r="C16133" s="3">
        <v>44520.772581018522</v>
      </c>
      <c r="D16133" s="1" t="s">
        <v>31777</v>
      </c>
      <c r="E16133" s="1" t="str">
        <f ca="1">IFERROR(__xludf.DUMMYFUNCTION("GOOGLETRANSLATE(A12932 , ""tr"" , ""en"")"),"@drfahrettinkoca sec. The minister is that 80.5% are not effective, it will make us strongly against the epidemic of us ... https://t.co/7zbpujtvn5")</f>
        <v>@drfahrettinkoca sec. The minister is that 80.5% are not effective, it will make us strongly against the epidemic of us ... https://t.co/7zbpujtvn5</v>
      </c>
    </row>
    <row r="16134" spans="1:5" ht="15" customHeight="1" x14ac:dyDescent="0.2">
      <c r="A16134" s="1" t="s">
        <v>31778</v>
      </c>
      <c r="B16134" s="1">
        <v>0</v>
      </c>
      <c r="C16134" s="3">
        <v>44520.772569444445</v>
      </c>
      <c r="D16134" s="1" t="s">
        <v>31779</v>
      </c>
      <c r="E16134" s="1" t="str">
        <f ca="1">IFERROR(__xludf.DUMMYFUNCTION("GOOGLETRANSLATE(A12933 , ""tr"" , ""en"")"),"@drfahrettinkoca vaccination is going very slow, please, you are prompted to be a vaccine certificate in the entrances to the shopping centers restorants")</f>
        <v>@drfahrettinkoca vaccination is going very slow, please, you are prompted to be a vaccine certificate in the entrances to the shopping centers restorants</v>
      </c>
    </row>
    <row r="16135" spans="1:5" ht="15" customHeight="1" x14ac:dyDescent="0.2">
      <c r="A16135" s="1" t="s">
        <v>31780</v>
      </c>
      <c r="B16135" s="1">
        <v>1</v>
      </c>
      <c r="C16135" s="3">
        <v>44520.772222222222</v>
      </c>
      <c r="D16135" s="1" t="s">
        <v>31781</v>
      </c>
      <c r="E16135" s="1" t="str">
        <f ca="1">IFERROR(__xludf.DUMMYFUNCTION("GOOGLETRANSLATE(A12934 , ""tr"" , ""en"")"),"@drfahrettinkoca you are in favipiravir you are silent on the unsatisfied")</f>
        <v>@drfahrettinkoca you are in favipiravir you are silent on the unsatisfied</v>
      </c>
    </row>
    <row r="16136" spans="1:5" ht="15" customHeight="1" x14ac:dyDescent="0.2">
      <c r="A16136" s="1" t="s">
        <v>31782</v>
      </c>
      <c r="B16136" s="1">
        <v>0</v>
      </c>
      <c r="C16136" s="3">
        <v>44520.771724537037</v>
      </c>
      <c r="D16136" s="1" t="s">
        <v>31783</v>
      </c>
      <c r="E16136" s="1" t="str">
        <f ca="1">IFERROR(__xludf.DUMMYFUNCTION("GOOGLETRANSLATE(A12935 , ""tr"" , ""en"")"),"@drfahrettinkoca Turkey is 27% of the population under 18 years. About 22 million. So your little children, your babies ... https://t.co/jxp5kpc7tl")</f>
        <v>@drfahrettinkoca Turkey is 27% of the population under 18 years. About 22 million. So your little children, your babies ... https://t.co/jxp5kpc7tl</v>
      </c>
    </row>
    <row r="16137" spans="1:5" ht="15" customHeight="1" x14ac:dyDescent="0.2">
      <c r="A16137" s="1" t="s">
        <v>31784</v>
      </c>
      <c r="B16137" s="1">
        <v>17</v>
      </c>
      <c r="C16137" s="3">
        <v>44520.769988425927</v>
      </c>
      <c r="D16137" s="1" t="s">
        <v>31785</v>
      </c>
      <c r="E16137" s="1" t="str">
        <f ca="1">IFERROR(__xludf.DUMMYFUNCTION("GOOGLETRANSLATE(A12936 , ""tr"" , ""en"")"),"@drfahrettinkoca Human Viri is immoracterous is the vaccine is whether the person is the one's own preference to citizens that are ... https://t.co/jw0v5x4pl1")</f>
        <v>@drfahrettinkoca Human Viri is immoracterous is the vaccine is whether the person is the one's own preference to citizens that are ... https://t.co/jw0v5x4pl1</v>
      </c>
    </row>
    <row r="16138" spans="1:5" ht="15" customHeight="1" x14ac:dyDescent="0.2">
      <c r="A16138" s="1" t="s">
        <v>31786</v>
      </c>
      <c r="B16138" s="1">
        <v>0</v>
      </c>
      <c r="C16138" s="3">
        <v>44520.76939814815</v>
      </c>
      <c r="D16138" s="1" t="s">
        <v>31787</v>
      </c>
      <c r="E16138" s="1" t="str">
        <f ca="1">IFERROR(__xludf.DUMMYFUNCTION("GOOGLETRANSLATE(A12937 , ""tr"" , ""en"")"),"@drfahrettinkoca nation's AUH will burn you")</f>
        <v>@drfahrettinkoca nation's AUH will burn you</v>
      </c>
    </row>
    <row r="16139" spans="1:5" ht="15" customHeight="1" x14ac:dyDescent="0.2">
      <c r="A16139" s="1" t="s">
        <v>31788</v>
      </c>
      <c r="B16139" s="1">
        <v>7</v>
      </c>
      <c r="C16139" s="3">
        <v>44520.768773148149</v>
      </c>
      <c r="D16139" s="1" t="s">
        <v>31789</v>
      </c>
      <c r="E16139" s="1" t="str">
        <f ca="1">IFERROR(__xludf.DUMMYFUNCTION("GOOGLETRANSLATE(A12938 , ""tr"" , ""en"")"),"@drfahrettinkoca we are not the fight we are. We are struggling to live you continue to ignore ... https://t.co/7Q6NGAIJX1")</f>
        <v>@drfahrettinkoca we are not the fight we are. We are struggling to live you continue to ignore ... https://t.co/7Q6NGAIJX1</v>
      </c>
    </row>
    <row r="16140" spans="1:5" ht="15" customHeight="1" x14ac:dyDescent="0.2">
      <c r="A16140" s="1" t="s">
        <v>31790</v>
      </c>
      <c r="B16140" s="1">
        <v>0</v>
      </c>
      <c r="C16140" s="3">
        <v>44520.768750000003</v>
      </c>
      <c r="D16140" s="1" t="s">
        <v>31791</v>
      </c>
      <c r="E16140" s="1" t="str">
        <f ca="1">IFERROR(__xludf.DUMMYFUNCTION("GOOGLETRANSLATE(A12939 , ""tr"" , ""en"")"),"@drfahrettinkoca has stayed at 70%, let's see what will be, 70i what you will say when you caught it ... Norbsey ... https://t.co/j3pywbtzgo")</f>
        <v>@drfahrettinkoca has stayed at 70%, let's see what will be, 70i what you will say when you caught it ... Norbsey ... https://t.co/j3pywbtzgo</v>
      </c>
    </row>
    <row r="16141" spans="1:5" ht="15" customHeight="1" x14ac:dyDescent="0.2">
      <c r="A16141" s="1" t="s">
        <v>31792</v>
      </c>
      <c r="B16141" s="1">
        <v>6</v>
      </c>
      <c r="C16141" s="3">
        <v>44520.768287037034</v>
      </c>
      <c r="D16141" s="1" t="s">
        <v>31793</v>
      </c>
      <c r="E16141" s="1" t="str">
        <f ca="1">IFERROR(__xludf.DUMMYFUNCTION("GOOGLETRANSLATE(A12940 , ""tr"" , ""en"")"),"@drfahrettinkoca Buyuk Hakyis Baslasi Fahrettin Bey.InsaAllah he has made the coguni hard in our roused cords ... https://t.co/phnkbscdpy")</f>
        <v>@drfahrettinkoca Buyuk Hakyis Baslasi Fahrettin Bey.InsaAllah he has made the coguni hard in our roused cords ... https://t.co/phnkbscdpy</v>
      </c>
    </row>
    <row r="16142" spans="1:5" ht="15" customHeight="1" x14ac:dyDescent="0.2">
      <c r="A16142" s="1" t="s">
        <v>31794</v>
      </c>
      <c r="B16142" s="1">
        <v>0</v>
      </c>
      <c r="C16142" s="3">
        <v>44520.767418981479</v>
      </c>
      <c r="D16142" s="1" t="s">
        <v>31795</v>
      </c>
      <c r="E16142" s="1" t="str">
        <f ca="1">IFERROR(__xludf.DUMMYFUNCTION("GOOGLETRANSLATE(A12941 , ""tr"" , ""en"")"),"@drfahrettinkoca Really what you're up to is the rate you want to achieve? To get results ... https://t.co/5gyw8ev0fv")</f>
        <v>@drfahrettinkoca Really what you're up to is the rate you want to achieve? To get results ... https://t.co/5gyw8ev0fv</v>
      </c>
    </row>
    <row r="16143" spans="1:5" ht="15" customHeight="1" x14ac:dyDescent="0.2">
      <c r="A16143" s="1" t="s">
        <v>31796</v>
      </c>
      <c r="B16143" s="1">
        <v>19</v>
      </c>
      <c r="C16143" s="3">
        <v>44520.765428240738</v>
      </c>
      <c r="D16143" s="1" t="s">
        <v>31797</v>
      </c>
      <c r="E16143" s="1" t="str">
        <f ca="1">IFERROR(__xludf.DUMMYFUNCTION("GOOGLETRANSLATE(A12942 , ""tr"" , ""en"")"),"@drfahrettinkoca Winter Arrived Mr. Overlooking These are your last demes! Ya Bed before you do the need or we are parents y ... https://t.co/px0gxj3e3a")</f>
        <v>@drfahrettinkoca Winter Arrived Mr. Overlooking These are your last demes! Ya Bed before you do the need or we are parents y ... https://t.co/px0gxj3e3a</v>
      </c>
    </row>
    <row r="16144" spans="1:5" ht="15" customHeight="1" x14ac:dyDescent="0.2">
      <c r="A16144" s="1" t="s">
        <v>31798</v>
      </c>
      <c r="B16144" s="1">
        <v>1</v>
      </c>
      <c r="C16144" s="3">
        <v>44520.765150462961</v>
      </c>
      <c r="D16144" s="1" t="s">
        <v>31799</v>
      </c>
      <c r="E16144" s="1" t="str">
        <f ca="1">IFERROR(__xludf.DUMMYFUNCTION("GOOGLETRANSLATE(A12943 , ""tr"" , ""en"")"),"@drfahrettinkoca fahrettin husband's results of mRNA vaccines are not ascending to the Turkish nation to the Turkish nation D ... https://t.co/tbobhlızci")</f>
        <v>@drfahrettinkoca fahrettin husband's results of mRNA vaccines are not ascending to the Turkish nation to the Turkish nation D ... https://t.co/tbobhlızci</v>
      </c>
    </row>
    <row r="16145" spans="1:5" ht="15" customHeight="1" x14ac:dyDescent="0.2">
      <c r="A16145" s="1" t="s">
        <v>31800</v>
      </c>
      <c r="B16145" s="1">
        <v>1</v>
      </c>
      <c r="C16145" s="3">
        <v>44520.764351851853</v>
      </c>
      <c r="D16145" s="1" t="s">
        <v>31801</v>
      </c>
      <c r="E16145" s="1" t="str">
        <f ca="1">IFERROR(__xludf.DUMMYFUNCTION("GOOGLETRANSLATE(A12944 , ""tr"" , ""en"")"),"@drfahrettinkoca started on the top of 65 years of age, now the rate of the population continues. How many dose of the population is ... https://t.co/mi7x8ypirj")</f>
        <v>@drfahrettinkoca started on the top of 65 years of age, now the rate of the population continues. How many dose of the population is ... https://t.co/mi7x8ypirj</v>
      </c>
    </row>
    <row r="16146" spans="1:5" ht="15" customHeight="1" x14ac:dyDescent="0.2">
      <c r="A16146" s="1" t="s">
        <v>31802</v>
      </c>
      <c r="B16146" s="1">
        <v>5</v>
      </c>
      <c r="C16146" s="3">
        <v>44520.763645833336</v>
      </c>
      <c r="D16146" s="1" t="s">
        <v>31803</v>
      </c>
      <c r="E16146" s="1" t="str">
        <f ca="1">IFERROR(__xludf.DUMMYFUNCTION("GOOGLETRANSLATE(A12945 , ""tr"" , ""en"")"),"@drfahrettinkoca bi times Stop in your word like either man. !!!! 80% of them were 80% regardless. Bi Dream ... https://t.co/1buqtlhood")</f>
        <v>@drfahrettinkoca bi times Stop in your word like either man. !!!! 80% of them were 80% regardless. Bi Dream ... https://t.co/1buqtlhood</v>
      </c>
    </row>
    <row r="16147" spans="1:5" ht="15" customHeight="1" x14ac:dyDescent="0.2">
      <c r="A16147" s="1" t="s">
        <v>31804</v>
      </c>
      <c r="B16147" s="1">
        <v>0</v>
      </c>
      <c r="C16147" s="3">
        <v>44520.759131944447</v>
      </c>
      <c r="D16147" s="1" t="s">
        <v>31805</v>
      </c>
      <c r="E16147" s="1" t="str">
        <f ca="1">IFERROR(__xludf.DUMMYFUNCTION("GOOGLETRANSLATE(A12946 , ""tr"" , ""en"")"),"@drfahrettinka Mr. Minister, Mr. @drnecmettinunal teacher. We rely on the information of you. Only 1 week ... https://t.co/ab9snlp7gp")</f>
        <v>@drfahrettinka Mr. Minister, Mr. @drnecmettinunal teacher. We rely on the information of you. Only 1 week ... https://t.co/ab9snlp7gp</v>
      </c>
    </row>
    <row r="16148" spans="1:5" ht="15" customHeight="1" x14ac:dyDescent="0.2">
      <c r="A16148" s="1" t="s">
        <v>31806</v>
      </c>
      <c r="B16148" s="1">
        <v>2</v>
      </c>
      <c r="C16148" s="3">
        <v>44520.757997685185</v>
      </c>
      <c r="D16148" s="1" t="s">
        <v>31807</v>
      </c>
      <c r="E16148" s="1" t="str">
        <f ca="1">IFERROR(__xludf.DUMMYFUNCTION("GOOGLETRANSLATE(A12947 , ""tr"" , ""en"")"),"@drfahrettinkoca No going to the hospital for different disturbances If you don't have an appointment, no one cares but the rebel interior ... https://t.co/apyhrs1l1c")</f>
        <v>@drfahrettinkoca No going to the hospital for different disturbances If you don't have an appointment, no one cares but the rebel interior ... https://t.co/apyhrs1l1c</v>
      </c>
    </row>
    <row r="16149" spans="1:5" ht="15" customHeight="1" x14ac:dyDescent="0.2">
      <c r="A16149" s="1" t="s">
        <v>31808</v>
      </c>
      <c r="B16149" s="1">
        <v>0</v>
      </c>
      <c r="C16149" s="3">
        <v>44520.757719907408</v>
      </c>
      <c r="D16149" s="1" t="s">
        <v>31809</v>
      </c>
      <c r="E16149" s="1" t="str">
        <f ca="1">IFERROR(__xludf.DUMMYFUNCTION("GOOGLETRANSLATE(A12948 , ""tr"" , ""en"")"),"@drfahrettinkoca andfat numbers are unfortunately not falling. I was Covid of the virus from school. Schools can continue but sey ... https://t.co/fdqpihj3dm")</f>
        <v>@drfahrettinkoca andfat numbers are unfortunately not falling. I was Covid of the virus from school. Schools can continue but sey ... https://t.co/fdqpihj3dm</v>
      </c>
    </row>
    <row r="16150" spans="1:5" ht="15" customHeight="1" x14ac:dyDescent="0.2">
      <c r="A16150" s="1" t="s">
        <v>31810</v>
      </c>
      <c r="B16150" s="1">
        <v>0</v>
      </c>
      <c r="C16150" s="3">
        <v>44520.75675925926</v>
      </c>
      <c r="D16150" s="1" t="s">
        <v>31811</v>
      </c>
      <c r="E16150" s="1" t="str">
        <f ca="1">IFERROR(__xludf.DUMMYFUNCTION("GOOGLETRANSLATE(A12949 , ""tr"" , ""en"")"),"@drfahrettinkoca What is the destination")</f>
        <v>@drfahrettinkoca What is the destination</v>
      </c>
    </row>
    <row r="16151" spans="1:5" ht="15" customHeight="1" x14ac:dyDescent="0.2">
      <c r="A16151" s="1" t="s">
        <v>31812</v>
      </c>
      <c r="B16151" s="1">
        <v>0</v>
      </c>
      <c r="C16151" s="3">
        <v>44520.756388888891</v>
      </c>
      <c r="D16151" s="1" t="s">
        <v>31813</v>
      </c>
      <c r="E16151" s="1" t="str">
        <f ca="1">IFERROR(__xludf.DUMMYFUNCTION("GOOGLETRANSLATE(A12950 , ""tr"" , ""en"")"),"@drfahrettinkoca allah will be willing ... thousands of hearts grateful to you ... Mr. Minister ..")</f>
        <v>@drfahrettinkoca allah will be willing ... thousands of hearts grateful to you ... Mr. Minister ..</v>
      </c>
    </row>
    <row r="16152" spans="1:5" ht="15" customHeight="1" x14ac:dyDescent="0.2">
      <c r="A16152" s="1" t="s">
        <v>31814</v>
      </c>
      <c r="B16152" s="1">
        <v>0</v>
      </c>
      <c r="C16152" s="3">
        <v>44520.756099537037</v>
      </c>
      <c r="D16152" s="1" t="s">
        <v>31815</v>
      </c>
      <c r="E16152" s="1" t="str">
        <f ca="1">IFERROR(__xludf.DUMMYFUNCTION("GOOGLETRANSLATE(A12951 , ""tr"" , ""en"")"),"@drfahrettinka @drfahrettinka @drfahrettinkoca Mr. Minister Ankarada I would like to circumcise my child but which hospital look ... https://t.co/hw6brwuqsn")</f>
        <v>@drfahrettinka @drfahrettinka @drfahrettinkoca Mr. Minister Ankarada I would like to circumcise my child but which hospital look ... https://t.co/hw6brwuqsn</v>
      </c>
    </row>
    <row r="16153" spans="1:5" ht="15" customHeight="1" x14ac:dyDescent="0.2">
      <c r="A16153" s="1" t="s">
        <v>31816</v>
      </c>
      <c r="B16153" s="1">
        <v>0</v>
      </c>
      <c r="C16153" s="3">
        <v>44520.754270833335</v>
      </c>
      <c r="D16153" s="1" t="s">
        <v>31817</v>
      </c>
      <c r="E16153" s="1" t="str">
        <f ca="1">IFERROR(__xludf.DUMMYFUNCTION("GOOGLETRANSLATE(A12952 , ""tr"" , ""en"")"),"@drfahrettinkoca Sharing the following maps of the time you killed one thousand of your time to SMA LI ... HTTPS://T.CO/QHVDJWIRGB")</f>
        <v>@drfahrettinkoca Sharing the following maps of the time you killed one thousand of your time to SMA LI ... HTTPS://T.CO/QHVDJWIRGB</v>
      </c>
    </row>
    <row r="16154" spans="1:5" ht="15" customHeight="1" x14ac:dyDescent="0.2">
      <c r="A16154" s="1" t="s">
        <v>31818</v>
      </c>
      <c r="B16154" s="1">
        <v>0</v>
      </c>
      <c r="C16154" s="3">
        <v>44520.752280092594</v>
      </c>
      <c r="D16154" s="1" t="s">
        <v>31819</v>
      </c>
      <c r="E16154" s="1" t="str">
        <f ca="1">IFERROR(__xludf.DUMMYFUNCTION("GOOGLETRANSLATE(A12953 , ""tr"" , ""en"")"),"@drfahrettinkoca distance education is essential @drfahrettinkoca")</f>
        <v>@drfahrettinkoca distance education is essential @drfahrettinkoca</v>
      </c>
    </row>
    <row r="16155" spans="1:5" ht="15" customHeight="1" x14ac:dyDescent="0.2">
      <c r="A16155" s="1" t="s">
        <v>31820</v>
      </c>
      <c r="B16155" s="1">
        <v>1</v>
      </c>
      <c r="C16155" s="3">
        <v>44520.750752314816</v>
      </c>
      <c r="D16155" s="1" t="s">
        <v>31821</v>
      </c>
      <c r="E16155" s="1" t="str">
        <f ca="1">IFERROR(__xludf.DUMMYFUNCTION("GOOGLETRANSLATE(A12954 , ""tr"" , ""en"")"),"@drfahrettinkoca to keep schools open our health doesn't care about")</f>
        <v>@drfahrettinkoca to keep schools open our health doesn't care about</v>
      </c>
    </row>
    <row r="16156" spans="1:5" ht="15" customHeight="1" x14ac:dyDescent="0.2">
      <c r="A16156" s="1" t="s">
        <v>31822</v>
      </c>
      <c r="B16156" s="1">
        <v>3</v>
      </c>
      <c r="C16156" s="3">
        <v>44520.749560185184</v>
      </c>
      <c r="D16156" s="1" t="s">
        <v>31823</v>
      </c>
      <c r="E16156" s="1" t="str">
        <f ca="1">IFERROR(__xludf.DUMMYFUNCTION("GOOGLETRANSLATE(A12955 , ""tr"" , ""en"")"),"@drfahrettinka https://t.co/ocwy9glvku")</f>
        <v>@drfahrettinka https://t.co/ocwy9glvku</v>
      </c>
    </row>
    <row r="16157" spans="1:5" ht="15" customHeight="1" x14ac:dyDescent="0.2">
      <c r="A16157" s="1" t="s">
        <v>31824</v>
      </c>
      <c r="B16157" s="1">
        <v>0</v>
      </c>
      <c r="C16157" s="3">
        <v>44520.747152777774</v>
      </c>
      <c r="D16157" s="1" t="s">
        <v>31825</v>
      </c>
      <c r="E16157" s="1" t="str">
        <f ca="1">IFERROR(__xludf.DUMMYFUNCTION("GOOGLETRANSLATE(A12956 , ""tr"" , ""en"")"),"As @drfahrettinkoca vaccination rate increases, there is no decrease in case numbers caused by the number of cases ??")</f>
        <v>As @drfahrettinkoca vaccination rate increases, there is no decrease in case numbers caused by the number of cases ??</v>
      </c>
    </row>
    <row r="16158" spans="1:5" ht="15" customHeight="1" x14ac:dyDescent="0.2">
      <c r="A16158" s="1" t="s">
        <v>31826</v>
      </c>
      <c r="B16158" s="1">
        <v>0</v>
      </c>
      <c r="C16158" s="3">
        <v>44520.746157407404</v>
      </c>
      <c r="D16158" s="1" t="s">
        <v>31827</v>
      </c>
      <c r="E16158" s="1" t="str">
        <f ca="1">IFERROR(__xludf.DUMMYFUNCTION("GOOGLETRANSLATE(A12957 , ""tr"" , ""en"")"),"@drfahrettinkoca Ministry of Statistics As for the center assignment as @saglikbakanligi @rterdogan @tccbiko @tccbiko @iletisim")</f>
        <v>@drfahrettinkoca Ministry of Statistics As for the center assignment as @saglikbakanligi @rterdogan @tccbiko @tccbiko @iletisim</v>
      </c>
    </row>
    <row r="16159" spans="1:5" ht="15" customHeight="1" x14ac:dyDescent="0.2">
      <c r="A16159" s="1" t="s">
        <v>31828</v>
      </c>
      <c r="B16159" s="1">
        <v>47</v>
      </c>
      <c r="C16159" s="3">
        <v>44520.745983796296</v>
      </c>
      <c r="D16159" s="1" t="s">
        <v>31829</v>
      </c>
      <c r="E16159" s="1" t="str">
        <f ca="1">IFERROR(__xludf.DUMMYFUNCTION("GOOGLETRANSLATE(A12958 , ""tr"" , ""en"")"),"@drfahrettinkoca very thankful everyone understood the truth and doesn't get vaccinated, the only dose of the second, two dose of two dose ... https://t.co/0vu8j2f5dt")</f>
        <v>@drfahrettinkoca very thankful everyone understood the truth and doesn't get vaccinated, the only dose of the second, two dose of two dose ... https://t.co/0vu8j2f5dt</v>
      </c>
    </row>
    <row r="16160" spans="1:5" ht="15" customHeight="1" x14ac:dyDescent="0.2">
      <c r="A16160" s="1" t="s">
        <v>31830</v>
      </c>
      <c r="B16160" s="1">
        <v>0</v>
      </c>
      <c r="C16160" s="3">
        <v>44520.745057870372</v>
      </c>
      <c r="D16160" s="1" t="s">
        <v>31831</v>
      </c>
      <c r="E16160" s="1" t="str">
        <f ca="1">IFERROR(__xludf.DUMMYFUNCTION("GOOGLETRANSLATE(A12959 , ""tr"" , ""en"")"),"@drfahrettinkoca, if you love God, still keep yourself fooling.")</f>
        <v>@drfahrettinkoca, if you love God, still keep yourself fooling.</v>
      </c>
    </row>
    <row r="16161" spans="1:5" ht="15" customHeight="1" x14ac:dyDescent="0.2">
      <c r="A16161" s="1" t="s">
        <v>31832</v>
      </c>
      <c r="B16161" s="1">
        <v>1</v>
      </c>
      <c r="C16161" s="3">
        <v>44520.743171296293</v>
      </c>
      <c r="D16161" s="1" t="s">
        <v>31833</v>
      </c>
      <c r="E16161" s="1" t="str">
        <f ca="1">IFERROR(__xludf.DUMMYFUNCTION("GOOGLETRANSLATE(A12960 , ""tr"" , ""en"")"),"@drfahrettinka online education requirement")</f>
        <v>@drfahrettinka online education requirement</v>
      </c>
    </row>
    <row r="16162" spans="1:5" ht="15" customHeight="1" x14ac:dyDescent="0.2">
      <c r="A16162" s="1" t="s">
        <v>31834</v>
      </c>
      <c r="B16162" s="1">
        <v>2</v>
      </c>
      <c r="C16162" s="3">
        <v>44520.741828703707</v>
      </c>
      <c r="D16162" s="1" t="s">
        <v>31835</v>
      </c>
      <c r="E16162" s="1" t="str">
        <f ca="1">IFERROR(__xludf.DUMMYFUNCTION("GOOGLETRANSLATE(A12961 , ""tr"" , ""en"")"),"@drfahrettinkoca you raise the ratio do you rise the host you don't know but! You are upgrading with death and patient ... https://t.co/uprcttvvak")</f>
        <v>@drfahrettinkoca you raise the ratio do you rise the host you don't know but! You are upgrading with death and patient ... https://t.co/uprcttvvak</v>
      </c>
    </row>
    <row r="16163" spans="1:5" ht="15" customHeight="1" x14ac:dyDescent="0.2">
      <c r="A16163" s="1" t="s">
        <v>31836</v>
      </c>
      <c r="B16163" s="1">
        <v>14</v>
      </c>
      <c r="C16163" s="3">
        <v>44520.739131944443</v>
      </c>
      <c r="D16163" s="1" t="s">
        <v>31837</v>
      </c>
      <c r="E16163" s="1" t="str">
        <f ca="1">IFERROR(__xludf.DUMMYFUNCTION("GOOGLETRANSLATE(A12962 , ""tr"" , ""en"")"),"@drfahrettinkoca Why don't you take precautions in schools to fight out? Ist request because there is no right to education ... https://t.co/otnorrpd5u")</f>
        <v>@drfahrettinkoca Why don't you take precautions in schools to fight out? Ist request because there is no right to education ... https://t.co/otnorrpd5u</v>
      </c>
    </row>
    <row r="16164" spans="1:5" ht="15" customHeight="1" x14ac:dyDescent="0.2">
      <c r="A16164" s="1" t="s">
        <v>31838</v>
      </c>
      <c r="B16164" s="1">
        <v>0</v>
      </c>
      <c r="C16164" s="3">
        <v>44520.738900462966</v>
      </c>
      <c r="D16164" s="1" t="s">
        <v>31839</v>
      </c>
      <c r="E16164" s="1" t="str">
        <f ca="1">IFERROR(__xludf.DUMMYFUNCTION("GOOGLETRANSLATE(A12963 , ""tr"" , ""en"")"),"@drfahrettinkoca is normal every day for a plane full of people die?")</f>
        <v>@drfahrettinkoca is normal every day for a plane full of people die?</v>
      </c>
    </row>
    <row r="16165" spans="1:5" ht="15" customHeight="1" x14ac:dyDescent="0.2">
      <c r="A16165" s="1" t="s">
        <v>28405</v>
      </c>
      <c r="B16165" s="1">
        <v>1</v>
      </c>
      <c r="C16165" s="3">
        <v>44520.738402777781</v>
      </c>
      <c r="D16165" s="1" t="s">
        <v>31840</v>
      </c>
      <c r="E16165" s="1" t="str">
        <f ca="1">IFERROR(__xludf.DUMMYFUNCTION("GOOGLETRANSLATE(A12964 , ""tr"" , ""en"")"),"@drfahrettinkoca dietitians are looking forward to assigning a large number of assignments to the minister 91 points are still agencies")</f>
        <v>@drfahrettinkoca dietitians are looking forward to assigning a large number of assignments to the minister 91 points are still agencies</v>
      </c>
    </row>
    <row r="16166" spans="1:5" ht="15" customHeight="1" x14ac:dyDescent="0.2">
      <c r="A16166" s="1" t="s">
        <v>31841</v>
      </c>
      <c r="B16166" s="1">
        <v>0</v>
      </c>
      <c r="C16166" s="3">
        <v>44520.738043981481</v>
      </c>
      <c r="D16166" s="1" t="s">
        <v>31842</v>
      </c>
      <c r="E16166" s="1" t="str">
        <f ca="1">IFERROR(__xludf.DUMMYFUNCTION("GOOGLETRANSLATE(A12965 , ""tr"" , ""en"")"),"@drfahrettinka how much will you ignore more? Online Training requirement.")</f>
        <v>@drfahrettinka how much will you ignore more? Online Training requirement.</v>
      </c>
    </row>
    <row r="16167" spans="1:5" ht="15" customHeight="1" x14ac:dyDescent="0.2">
      <c r="A16167" s="1" t="s">
        <v>31843</v>
      </c>
      <c r="B16167" s="1">
        <v>1</v>
      </c>
      <c r="C16167" s="3">
        <v>44520.737743055557</v>
      </c>
      <c r="D16167" s="1" t="s">
        <v>31844</v>
      </c>
      <c r="E16167" s="1" t="str">
        <f ca="1">IFERROR(__xludf.DUMMYFUNCTION("GOOGLETRANSLATE(A12966 , ""tr"" , ""en"")"),"@drfahrettinkoca is such a nicer, like this. What a day is to die 200 people. Even the news issue ... https://t.co/a7vpoezyaf")</f>
        <v>@drfahrettinkoca is such a nicer, like this. What a day is to die 200 people. Even the news issue ... https://t.co/a7vpoezyaf</v>
      </c>
    </row>
    <row r="16168" spans="1:5" ht="15" customHeight="1" x14ac:dyDescent="0.2">
      <c r="A16168" s="1" t="s">
        <v>31845</v>
      </c>
      <c r="B16168" s="1">
        <v>9</v>
      </c>
      <c r="C16168" s="3">
        <v>44520.737638888888</v>
      </c>
      <c r="D16168" s="1" t="s">
        <v>31846</v>
      </c>
      <c r="E16168" s="1" t="str">
        <f ca="1">IFERROR(__xludf.DUMMYFUNCTION("GOOGLETRANSLATE(A12967 , ""tr"" , ""en"")"),"@drfahrettinkoca is not very much in mind but #mebyökonlinelitimhakk")</f>
        <v>@drfahrettinkoca is not very much in mind but #mebyökonlinelitimhakk</v>
      </c>
    </row>
    <row r="16169" spans="1:5" ht="15" customHeight="1" x14ac:dyDescent="0.2">
      <c r="A16169" s="1" t="s">
        <v>31847</v>
      </c>
      <c r="B16169" s="1">
        <v>0</v>
      </c>
      <c r="C16169" s="3">
        <v>44520.737280092595</v>
      </c>
      <c r="D16169" s="1" t="s">
        <v>31848</v>
      </c>
      <c r="E16169" s="1" t="str">
        <f ca="1">IFERROR(__xludf.DUMMYFUNCTION("GOOGLETRANSLATE(A12968 , ""tr"" , ""en"")"),"@drfahrettinkoca How many of these two dose of grafts are 2 Sinovaclı because we know the Sinovac vaccine protection is less and meat ... https://t.co/gr9ynob1sf")</f>
        <v>@drfahrettinkoca How many of these two dose of grafts are 2 Sinovaclı because we know the Sinovac vaccine protection is less and meat ... https://t.co/gr9ynob1sf</v>
      </c>
    </row>
    <row r="16170" spans="1:5" ht="15" customHeight="1" x14ac:dyDescent="0.2">
      <c r="A16170" s="1" t="s">
        <v>31849</v>
      </c>
      <c r="B16170" s="1">
        <v>0</v>
      </c>
      <c r="C16170" s="3">
        <v>44520.736944444441</v>
      </c>
      <c r="D16170" s="1" t="s">
        <v>31850</v>
      </c>
      <c r="E16170" s="1" t="str">
        <f ca="1">IFERROR(__xludf.DUMMYFUNCTION("GOOGLETRANSLATE(A12969 , ""tr"" , ""en"")"),"@drfahrettinkoca Either enough I'm tired of Vallahi Old health minister 20 years after you play your 3 monkey ... https://t.co/9cejmg5o6d")</f>
        <v>@drfahrettinkoca Either enough I'm tired of Vallahi Old health minister 20 years after you play your 3 monkey ... https://t.co/9cejmg5o6d</v>
      </c>
    </row>
    <row r="16171" spans="1:5" ht="15" customHeight="1" x14ac:dyDescent="0.2">
      <c r="A16171" s="1" t="s">
        <v>31851</v>
      </c>
      <c r="B16171" s="1">
        <v>7</v>
      </c>
      <c r="C16171" s="3">
        <v>44520.73541666667</v>
      </c>
      <c r="D16171" s="1" t="s">
        <v>31852</v>
      </c>
      <c r="E16171" s="1" t="str">
        <f ca="1">IFERROR(__xludf.DUMMYFUNCTION("GOOGLETRANSLATE(A12970 , ""tr"" , ""en"")"),"@drfahrettinkoca Bill Gates has been documented to flow million dollars in the global press. Well, Bill Gates Which Press KU ... https://t.co/ueb0mfvgs9")</f>
        <v>@drfahrettinkoca Bill Gates has been documented to flow million dollars in the global press. Well, Bill Gates Which Press KU ... https://t.co/ueb0mfvgs9</v>
      </c>
    </row>
    <row r="16172" spans="1:5" ht="15" customHeight="1" x14ac:dyDescent="0.2">
      <c r="A16172" s="1" t="s">
        <v>31853</v>
      </c>
      <c r="B16172" s="1">
        <v>2</v>
      </c>
      <c r="C16172" s="3">
        <v>44520.734988425924</v>
      </c>
      <c r="D16172" s="1" t="s">
        <v>31854</v>
      </c>
      <c r="E16172" s="1" t="str">
        <f ca="1">IFERROR(__xludf.DUMMYFUNCTION("GOOGLETRANSLATE(A12971 , ""tr"" , ""en"")"),"@drfahrettinkoca snow can we prefer to choose without suppressing winter? Certainty and continuously negative talking ... https://t.co/5bz57w2pen")</f>
        <v>@drfahrettinkoca snow can we prefer to choose without suppressing winter? Certainty and continuously negative talking ... https://t.co/5bz57w2pen</v>
      </c>
    </row>
    <row r="16173" spans="1:5" ht="15" customHeight="1" x14ac:dyDescent="0.2">
      <c r="A16173" s="1" t="s">
        <v>31855</v>
      </c>
      <c r="B16173" s="1">
        <v>0</v>
      </c>
      <c r="C16173" s="3">
        <v>44520.734861111108</v>
      </c>
      <c r="D16173" s="1" t="s">
        <v>31856</v>
      </c>
      <c r="E16173" s="1" t="str">
        <f ca="1">IFERROR(__xludf.DUMMYFUNCTION("GOOGLETRANSLATE(A12972 , ""tr"" , ""en"")"),"@drfahrettinkoca morning morning morning why don't we get a guide, I'm getting an event or opposition to the Illa @drfahrettinkoca")</f>
        <v>@drfahrettinkoca morning morning morning why don't we get a guide, I'm getting an event or opposition to the Illa @drfahrettinkoca</v>
      </c>
    </row>
    <row r="16174" spans="1:5" ht="15" customHeight="1" x14ac:dyDescent="0.2">
      <c r="A16174" s="1" t="s">
        <v>31857</v>
      </c>
      <c r="B16174" s="1">
        <v>0</v>
      </c>
      <c r="C16174" s="3">
        <v>44520.734849537039</v>
      </c>
      <c r="D16174" s="1" t="s">
        <v>31858</v>
      </c>
      <c r="E16174" s="1" t="str">
        <f ca="1">IFERROR(__xludf.DUMMYFUNCTION("GOOGLETRANSLATE(A12973 , ""tr"" , ""en"")"),"@drfahrettinka vaccine fascism ine end. This fascism is nothing else.")</f>
        <v>@drfahrettinka vaccine fascism ine end. This fascism is nothing else.</v>
      </c>
    </row>
    <row r="16175" spans="1:5" ht="15" customHeight="1" x14ac:dyDescent="0.2">
      <c r="A16175" s="1" t="s">
        <v>31859</v>
      </c>
      <c r="B16175" s="1">
        <v>2</v>
      </c>
      <c r="C16175" s="3">
        <v>44520.734837962962</v>
      </c>
      <c r="D16175" s="1" t="s">
        <v>31860</v>
      </c>
      <c r="E16175" s="1" t="str">
        <f ca="1">IFERROR(__xludf.DUMMYFUNCTION("GOOGLETRANSLATE(A12974 , ""tr"" , ""en"")"),"@drfahrettinka Don't get out of vaccination with Ali Cengiz games ... Under 18 years of Covid19 Risk of 18 years of Covid19 1 / 100,000 ... https://t.co/er5joriuy")</f>
        <v>@drfahrettinka Don't get out of vaccination with Ali Cengiz games ... Under 18 years of Covid19 Risk of 18 years of Covid19 1 / 100,000 ... https://t.co/er5joriuy</v>
      </c>
    </row>
    <row r="16176" spans="1:5" ht="15" customHeight="1" x14ac:dyDescent="0.2">
      <c r="A16176" s="1" t="s">
        <v>31861</v>
      </c>
      <c r="B16176" s="1">
        <v>3</v>
      </c>
      <c r="C16176" s="3">
        <v>44520.73474537037</v>
      </c>
      <c r="D16176" s="1" t="s">
        <v>31862</v>
      </c>
      <c r="E16176" s="1" t="str">
        <f ca="1">IFERROR(__xludf.DUMMYFUNCTION("GOOGLETRANSLATE(A12975 , ""tr"" , ""en"")"),"@drfahrettinkoca sec @saglikbakanli Employees Enter Associate KPSS in full 388 days, assignment 355 ... https://t.co/djy0cl6xfr")</f>
        <v>@drfahrettinkoca sec @saglikbakanli Employees Enter Associate KPSS in full 388 days, assignment 355 ... https://t.co/djy0cl6xfr</v>
      </c>
    </row>
    <row r="16177" spans="1:5" ht="15" customHeight="1" x14ac:dyDescent="0.2">
      <c r="A16177" s="1" t="s">
        <v>31863</v>
      </c>
      <c r="B16177" s="1">
        <v>0</v>
      </c>
      <c r="C16177" s="3">
        <v>44520.734629629631</v>
      </c>
      <c r="D16177" s="1" t="s">
        <v>31864</v>
      </c>
      <c r="E16177" s="1" t="str">
        <f ca="1">IFERROR(__xludf.DUMMYFUNCTION("GOOGLETRANSLATE(A12976 , ""tr"" , ""en"")"),"@drfahrettinkoca I don't get it really why we have no explanation We have an expectation for 11 months when will last @drfahrettinkoca")</f>
        <v>@drfahrettinkoca I don't get it really why we have no explanation We have an expectation for 11 months when will last @drfahrettinkoca</v>
      </c>
    </row>
    <row r="16178" spans="1:5" ht="15" customHeight="1" x14ac:dyDescent="0.2">
      <c r="A16178" s="1" t="s">
        <v>31865</v>
      </c>
      <c r="B16178" s="1">
        <v>0</v>
      </c>
      <c r="C16178" s="3">
        <v>44520.734525462962</v>
      </c>
      <c r="D16178" s="1" t="s">
        <v>31866</v>
      </c>
      <c r="E16178" s="1" t="str">
        <f ca="1">IFERROR(__xludf.DUMMYFUNCTION("GOOGLETRANSLATE(A12977 , ""tr"" , ""en"")"),"@drfahrettinkoca Ministry 10 days is not more than you don't want to be victimized more today is the worst today ... https://t.co/vopxwojjj8y")</f>
        <v>@drfahrettinkoca Ministry 10 days is not more than you don't want to be victimized more today is the worst today ... https://t.co/vopxwojjj8y</v>
      </c>
    </row>
    <row r="16179" spans="1:5" ht="15" customHeight="1" x14ac:dyDescent="0.2">
      <c r="A16179" s="1" t="s">
        <v>31867</v>
      </c>
      <c r="B16179" s="1">
        <v>0</v>
      </c>
      <c r="C16179" s="3">
        <v>44520.7344212963</v>
      </c>
      <c r="D16179" s="1" t="s">
        <v>31868</v>
      </c>
      <c r="E16179" s="1" t="str">
        <f ca="1">IFERROR(__xludf.DUMMYFUNCTION("GOOGLETRANSLATE(A12978 , ""tr"" , ""en"")"),"@drfahrettinkoca Dear CB; 740 thousand health care are waiting for 11 months. You have made 40K announcements. Will now wait ... https://t.co/uivz6cc8te")</f>
        <v>@drfahrettinkoca Dear CB; 740 thousand health care are waiting for 11 months. You have made 40K announcements. Will now wait ... https://t.co/uivz6cc8te</v>
      </c>
    </row>
    <row r="16180" spans="1:5" ht="15" customHeight="1" x14ac:dyDescent="0.2">
      <c r="A16180" s="1" t="s">
        <v>31869</v>
      </c>
      <c r="B16180" s="1">
        <v>7</v>
      </c>
      <c r="C16180" s="3">
        <v>44520.734351851854</v>
      </c>
      <c r="D16180" s="1" t="s">
        <v>31870</v>
      </c>
      <c r="E16180" s="1" t="str">
        <f ca="1">IFERROR(__xludf.DUMMYFUNCTION("GOOGLETRANSLATE(A12979 , ""tr"" , ""en"")"),"@drfahrettinkoca This is exactly 1 year's numbers before. So when the vaccine is not yet. Our new patient number 5.103 is now 4 ka ... https://t.co/nuIx1td1tp")</f>
        <v>@drfahrettinkoca This is exactly 1 year's numbers before. So when the vaccine is not yet. Our new patient number 5.103 is now 4 ka ... https://t.co/nuIx1td1tp</v>
      </c>
    </row>
    <row r="16181" spans="1:5" ht="15" customHeight="1" x14ac:dyDescent="0.2">
      <c r="A16181" s="1" t="s">
        <v>31871</v>
      </c>
      <c r="B16181" s="1">
        <v>1</v>
      </c>
      <c r="C16181" s="3">
        <v>44520.734317129631</v>
      </c>
      <c r="D16181" s="1" t="s">
        <v>31872</v>
      </c>
      <c r="E16181" s="1" t="str">
        <f ca="1">IFERROR(__xludf.DUMMYFUNCTION("GOOGLETRANSLATE(A12980 , ""tr"" , ""en"")"),"@drfahrettinkoca last year these times at these times my experiencing experiencing experiencing experienced to myself, this time to myself ... https://t.co/m7jmdjoh6l")</f>
        <v>@drfahrettinkoca last year these times at these times my experiencing experiencing experiencing experienced to myself, this time to myself ... https://t.co/m7jmdjoh6l</v>
      </c>
    </row>
    <row r="16182" spans="1:5" ht="15" customHeight="1" x14ac:dyDescent="0.2">
      <c r="A16182" s="1" t="s">
        <v>31873</v>
      </c>
      <c r="B16182" s="1">
        <v>1</v>
      </c>
      <c r="C16182" s="3">
        <v>44520.734293981484</v>
      </c>
      <c r="D16182" s="1" t="s">
        <v>31874</v>
      </c>
      <c r="E16182" s="1" t="str">
        <f ca="1">IFERROR(__xludf.DUMMYFUNCTION("GOOGLETRANSLATE(A12981 , ""tr"" , ""en"")"),"@drfahrettinka yes we raise this conclusion. https://t.co/x8kbgfzob8")</f>
        <v>@drfahrettinka yes we raise this conclusion. https://t.co/x8kbgfzob8</v>
      </c>
    </row>
    <row r="16183" spans="1:5" ht="15" customHeight="1" x14ac:dyDescent="0.2">
      <c r="A16183" s="1" t="s">
        <v>31875</v>
      </c>
      <c r="B16183" s="1">
        <v>1</v>
      </c>
      <c r="C16183" s="3">
        <v>44520.734224537038</v>
      </c>
      <c r="D16183" s="1" t="s">
        <v>31876</v>
      </c>
      <c r="E16183" s="1" t="str">
        <f ca="1">IFERROR(__xludf.DUMMYFUNCTION("GOOGLETRANSLATE(A12982 , ""tr"" , ""en"")"),"@drfahrettinkoca assignment wait Description Wait for branch breakdown wait guide wait .. wait allah pity sin real ... https://t.co/klzk7df7u5")</f>
        <v>@drfahrettinkoca assignment wait Description Wait for branch breakdown wait guide wait .. wait allah pity sin real ... https://t.co/klzk7df7u5</v>
      </c>
    </row>
    <row r="16184" spans="1:5" ht="15" customHeight="1" x14ac:dyDescent="0.2">
      <c r="A16184" s="1" t="s">
        <v>31877</v>
      </c>
      <c r="B16184" s="1">
        <v>1</v>
      </c>
      <c r="C16184" s="3">
        <v>44520.734131944446</v>
      </c>
      <c r="D16184" s="1" t="s">
        <v>31878</v>
      </c>
      <c r="E16184" s="1" t="str">
        <f ca="1">IFERROR(__xludf.DUMMYFUNCTION("GOOGLETRANSLATE(A12983 , ""tr"" , ""en"")"),"@drfahrettinkoca we were to be assigned the underside of what is not ended in the cottage for 1 year, we did not finish the check checks we did this ... https://t.co/sm7anbarlk")</f>
        <v>@drfahrettinkoca we were to be assigned the underside of what is not ended in the cottage for 1 year, we did not finish the check checks we did this ... https://t.co/sm7anbarlk</v>
      </c>
    </row>
    <row r="16185" spans="1:5" ht="15" customHeight="1" x14ac:dyDescent="0.2">
      <c r="A16185" s="1" t="s">
        <v>31879</v>
      </c>
      <c r="B16185" s="1">
        <v>0</v>
      </c>
      <c r="C16185" s="3">
        <v>44520.734039351853</v>
      </c>
      <c r="D16185" s="1" t="s">
        <v>31880</v>
      </c>
      <c r="E16185" s="1" t="str">
        <f ca="1">IFERROR(__xludf.DUMMYFUNCTION("GOOGLETRANSLATE(A12984 , ""tr"" , ""en"")"),"@drfahrettinkoca is the question of the day ?? We expect the 4th of the healthier gosphoma 12ay.")</f>
        <v>@drfahrettinkoca is the question of the day ?? We expect the 4th of the healthier gosphoma 12ay.</v>
      </c>
    </row>
    <row r="16186" spans="1:5" ht="15" customHeight="1" x14ac:dyDescent="0.2">
      <c r="A16186" s="1" t="s">
        <v>31881</v>
      </c>
      <c r="B16186" s="1">
        <v>1</v>
      </c>
      <c r="C16186" s="3">
        <v>44520.733946759261</v>
      </c>
      <c r="D16186" s="1" t="s">
        <v>31882</v>
      </c>
      <c r="E16186" s="1" t="str">
        <f ca="1">IFERROR(__xludf.DUMMYFUNCTION("GOOGLETRANSLATE(A12985 , ""tr"" , ""en"")"),"@drfahrettinkoca has a husband silence today in our country. When will I assign to health where is this guide left? Mr. @drfahrettinkoca")</f>
        <v>@drfahrettinkoca has a husband silence today in our country. When will I assign to health where is this guide left? Mr. @drfahrettinkoca</v>
      </c>
    </row>
    <row r="16187" spans="1:5" ht="15" customHeight="1" x14ac:dyDescent="0.2">
      <c r="A16187" s="1" t="s">
        <v>31883</v>
      </c>
      <c r="B16187" s="1">
        <v>0</v>
      </c>
      <c r="C16187" s="3">
        <v>44520.733854166669</v>
      </c>
      <c r="D16187" s="1" t="s">
        <v>31884</v>
      </c>
      <c r="E16187" s="1" t="str">
        <f ca="1">IFERROR(__xludf.DUMMYFUNCTION("GOOGLETRANSLATE(A12986 , ""tr"" , ""en"")"),"@drfahrettinkoca is now the guide in our language in our language. How much will we expect to be appointed? ... https://t.co/rk1jcfboag")</f>
        <v>@drfahrettinkoca is now the guide in our language in our language. How much will we expect to be appointed? ... https://t.co/rk1jcfboag</v>
      </c>
    </row>
    <row r="16188" spans="1:5" ht="15" customHeight="1" x14ac:dyDescent="0.2">
      <c r="A16188" s="1" t="s">
        <v>31885</v>
      </c>
      <c r="B16188" s="1">
        <v>0</v>
      </c>
      <c r="C16188" s="3">
        <v>44520.733715277776</v>
      </c>
      <c r="D16188" s="1" t="s">
        <v>31886</v>
      </c>
      <c r="E16188" s="1" t="str">
        <f ca="1">IFERROR(__xludf.DUMMYFUNCTION("GOOGLETRANSLATE(A12987 , ""tr"" , ""en"")"),"@drfahrettinkoca This call is a manual call This is a callius call This is a manual call ... https://t.co/n48qs3zlyt")</f>
        <v>@drfahrettinkoca This call is a manual call This is a callius call This is a manual call ... https://t.co/n48qs3zlyt</v>
      </c>
    </row>
    <row r="16189" spans="1:5" ht="15" customHeight="1" x14ac:dyDescent="0.2">
      <c r="A16189" s="1" t="s">
        <v>31887</v>
      </c>
      <c r="B16189" s="1">
        <v>0</v>
      </c>
      <c r="C16189" s="3">
        <v>44520.733599537038</v>
      </c>
      <c r="D16189" s="1" t="s">
        <v>31888</v>
      </c>
      <c r="E16189" s="1" t="str">
        <f ca="1">IFERROR(__xludf.DUMMYFUNCTION("GOOGLETRANSLATE(A12988 , ""tr"" , ""en"")"),"@drfahrettinkoca When we are not assigned with +85 points, we have no education, and the examination of the examinations ... https://t.co/hy9zajyh0d")</f>
        <v>@drfahrettinkoca When we are not assigned with +85 points, we have no education, and the examination of the examinations ... https://t.co/hy9zajyh0d</v>
      </c>
    </row>
    <row r="16190" spans="1:5" ht="15" customHeight="1" x14ac:dyDescent="0.2">
      <c r="A16190" s="1" t="s">
        <v>31889</v>
      </c>
      <c r="B16190" s="1">
        <v>0</v>
      </c>
      <c r="C16190" s="3">
        <v>44520.733506944445</v>
      </c>
      <c r="D16190" s="1" t="s">
        <v>31890</v>
      </c>
      <c r="E16190" s="1" t="str">
        <f ca="1">IFERROR(__xludf.DUMMYFUNCTION("GOOGLETRANSLATE(A12989 , ""tr"" , ""en"")"),"@drfahrettinka Multi-precious Snorum Although the secondary nurses are given a beautiful number to secondary nurses, if we are blue ... https://t.co/yuqlkqmghn")</f>
        <v>@drfahrettinka Multi-precious Snorum Although the secondary nurses are given a beautiful number to secondary nurses, if we are blue ... https://t.co/yuqlkqmghn</v>
      </c>
    </row>
    <row r="16191" spans="1:5" ht="15" customHeight="1" x14ac:dyDescent="0.2">
      <c r="A16191" s="1" t="s">
        <v>31891</v>
      </c>
      <c r="B16191" s="1">
        <v>0</v>
      </c>
      <c r="C16191" s="3">
        <v>44520.733344907407</v>
      </c>
      <c r="D16191" s="1" t="s">
        <v>31892</v>
      </c>
      <c r="E16191" s="1" t="str">
        <f ca="1">IFERROR(__xludf.DUMMYFUNCTION("GOOGLETRANSLATE(A12990 , ""tr"" , ""en"")"),"@drfahrettinkoca Why do you do every time you make it hard to explain? Why is it so hard to share clear information? + 4 ... https://t.co/gg8grbvnwl")</f>
        <v>@drfahrettinkoca Why do you do every time you make it hard to explain? Why is it so hard to share clear information? + 4 ... https://t.co/gg8grbvnwl</v>
      </c>
    </row>
    <row r="16192" spans="1:5" ht="15" customHeight="1" x14ac:dyDescent="0.2">
      <c r="A16192" s="1" t="s">
        <v>31893</v>
      </c>
      <c r="B16192" s="1">
        <v>0</v>
      </c>
      <c r="C16192" s="3">
        <v>44520.733252314814</v>
      </c>
      <c r="D16192" s="1" t="s">
        <v>31894</v>
      </c>
      <c r="E16192" s="1" t="str">
        <f ca="1">IFERROR(__xludf.DUMMYFUNCTION("GOOGLETRANSLATE(A12991 , ""tr"" , ""en"")"),"@drfahrettinka so are you the only wisest of the world? Why do you try to fool the nation by doing perception? You ... https://t.co/08fku7i693")</f>
        <v>@drfahrettinka so are you the only wisest of the world? Why do you try to fool the nation by doing perception? You ... https://t.co/08fku7i693</v>
      </c>
    </row>
    <row r="16193" spans="1:5" ht="15" customHeight="1" x14ac:dyDescent="0.2">
      <c r="A16193" s="1" t="s">
        <v>31895</v>
      </c>
      <c r="B16193" s="1">
        <v>1</v>
      </c>
      <c r="C16193" s="3">
        <v>44520.732349537036</v>
      </c>
      <c r="D16193" s="1" t="s">
        <v>31896</v>
      </c>
      <c r="E16193" s="1" t="str">
        <f ca="1">IFERROR(__xludf.DUMMYFUNCTION("GOOGLETRANSLATE(A12992 , ""tr"" , ""en"")"),"@drfahrettinkoca #the university isLineolsun")</f>
        <v>@drfahrettinkoca #the university isLineolsun</v>
      </c>
    </row>
    <row r="16194" spans="1:5" ht="15" customHeight="1" x14ac:dyDescent="0.2">
      <c r="A16194" s="1" t="s">
        <v>31897</v>
      </c>
      <c r="B16194" s="1">
        <v>0</v>
      </c>
      <c r="C16194" s="3">
        <v>44520.73196759259</v>
      </c>
      <c r="D16194" s="1" t="s">
        <v>31898</v>
      </c>
      <c r="E16194" s="1" t="str">
        <f ca="1">IFERROR(__xludf.DUMMYFUNCTION("GOOGLETRANSLATE(A12993 , ""tr"" , ""en"")"),"@drfahrettinkoca cases fallen anymore deaths decrease")</f>
        <v>@drfahrettinkoca cases fallen anymore deaths decrease</v>
      </c>
    </row>
    <row r="16195" spans="1:5" ht="15" customHeight="1" x14ac:dyDescent="0.2">
      <c r="A16195" s="1" t="s">
        <v>31899</v>
      </c>
      <c r="B16195" s="1">
        <v>0</v>
      </c>
      <c r="C16195" s="3">
        <v>44520.731678240743</v>
      </c>
      <c r="D16195" s="1" t="s">
        <v>31900</v>
      </c>
      <c r="E16195" s="1" t="str">
        <f ca="1">IFERROR(__xludf.DUMMYFUNCTION("GOOGLETRANSLATE(A12994 , ""tr"" , ""en"")"),"@drfahrettinkoca I had yesterday news! Dr. Thomas Jendges Chemnitz Clinical Director Talk to Today ... https://t.co/rah6ntv3bw")</f>
        <v>@drfahrettinkoca I had yesterday news! Dr. Thomas Jendges Chemnitz Clinical Director Talk to Today ... https://t.co/rah6ntv3bw</v>
      </c>
    </row>
    <row r="16196" spans="1:5" ht="15" customHeight="1" x14ac:dyDescent="0.2">
      <c r="A16196" s="1" t="s">
        <v>31901</v>
      </c>
      <c r="B16196" s="1">
        <v>0</v>
      </c>
      <c r="C16196" s="3">
        <v>44520.731469907405</v>
      </c>
      <c r="D16196" s="1" t="s">
        <v>31902</v>
      </c>
      <c r="E16196" s="1" t="str">
        <f ca="1">IFERROR(__xludf.DUMMYFUNCTION("GOOGLETRANSLATE(A12995 , ""tr"" , ""en"")"),"@drfahrettinkoca well Kazan Prepare yourself. What you sow, you will reap what you sow, what you sow ... Number ... Https://t.co/rimihv9kj7")</f>
        <v>@drfahrettinkoca well Kazan Prepare yourself. What you sow, you will reap what you sow, what you sow ... Number ... Https://t.co/rimihv9kj7</v>
      </c>
    </row>
    <row r="16197" spans="1:5" ht="15" customHeight="1" x14ac:dyDescent="0.2">
      <c r="A16197" s="1" t="s">
        <v>31903</v>
      </c>
      <c r="B16197" s="1">
        <v>4</v>
      </c>
      <c r="C16197" s="3">
        <v>44520.731423611112</v>
      </c>
      <c r="D16197" s="1" t="s">
        <v>31904</v>
      </c>
      <c r="E16197" s="1" t="str">
        <f ca="1">IFERROR(__xludf.DUMMYFUNCTION("GOOGLETRANSLATE(A12996 , ""tr"" , ""en"")"),"@drfahrettinka 80% grappled ie 10 in 10 people. Now you are waiting for us to say that and believe that: 8 people ... https://t.co/drdj4gjfko")</f>
        <v>@drfahrettinka 80% grappled ie 10 in 10 people. Now you are waiting for us to say that and believe that: 8 people ... https://t.co/drdj4gjfko</v>
      </c>
    </row>
    <row r="16198" spans="1:5" ht="15" customHeight="1" x14ac:dyDescent="0.2">
      <c r="A16198" s="1" t="s">
        <v>31905</v>
      </c>
      <c r="B16198" s="1">
        <v>0</v>
      </c>
      <c r="C16198" s="3">
        <v>44520.730729166666</v>
      </c>
      <c r="D16198" s="1" t="s">
        <v>31906</v>
      </c>
      <c r="E16198" s="1" t="str">
        <f ca="1">IFERROR(__xludf.DUMMYFUNCTION("GOOGLETRANSLATE(A12997 , ""tr"" , ""en"")"),"@drfahrettinkoca Hocam is involved in the world. You are still the vaccination. Objectives This is already the public existing direction ... https://t.co/ecnurroggn")</f>
        <v>@drfahrettinkoca Hocam is involved in the world. You are still the vaccination. Objectives This is already the public existing direction ... https://t.co/ecnurroggn</v>
      </c>
    </row>
    <row r="16199" spans="1:5" ht="15" customHeight="1" x14ac:dyDescent="0.2">
      <c r="A16199" s="1" t="s">
        <v>31907</v>
      </c>
      <c r="B16199" s="1">
        <v>0</v>
      </c>
      <c r="C16199" s="3">
        <v>44520.729120370372</v>
      </c>
      <c r="D16199" s="1" t="s">
        <v>31908</v>
      </c>
      <c r="E16199" s="1" t="str">
        <f ca="1">IFERROR(__xludf.DUMMYFUNCTION("GOOGLETRANSLATE(A12998 , ""tr"" , ""en"")"),"@drfahrettinkoca If we have a bit of the guide you speak Mr.")</f>
        <v>@drfahrettinkoca If we have a bit of the guide you speak Mr.</v>
      </c>
    </row>
    <row r="16200" spans="1:5" ht="15" customHeight="1" x14ac:dyDescent="0.2">
      <c r="A16200" s="1" t="s">
        <v>31909</v>
      </c>
      <c r="B16200" s="1">
        <v>2</v>
      </c>
      <c r="C16200" s="3">
        <v>44520.727569444447</v>
      </c>
      <c r="D16200" s="1" t="s">
        <v>31910</v>
      </c>
      <c r="E16200" s="1" t="str">
        <f ca="1">IFERROR(__xludf.DUMMYFUNCTION("GOOGLETRANSLATE(A12999 , ""tr"" , ""en"")"),"@drfahrettinkoca We want online training #mebyoEkonlineEducation")</f>
        <v>@drfahrettinkoca We want online training #mebyoEkonlineEducation</v>
      </c>
    </row>
    <row r="16201" spans="1:5" ht="15" customHeight="1" x14ac:dyDescent="0.2">
      <c r="A16201" s="1" t="s">
        <v>31911</v>
      </c>
      <c r="B16201" s="1">
        <v>0</v>
      </c>
      <c r="C16201" s="3">
        <v>44520.727280092593</v>
      </c>
      <c r="D16201" s="1" t="s">
        <v>31912</v>
      </c>
      <c r="E16201" s="1" t="str">
        <f ca="1">IFERROR(__xludf.DUMMYFUNCTION("GOOGLETRANSLATE(A13000 , ""tr"" , ""en"")"),"@drfahrettinkoca assignment is waiting for 1 year is also passing")</f>
        <v>@drfahrettinkoca assignment is waiting for 1 year is also passing</v>
      </c>
    </row>
    <row r="16202" spans="1:5" ht="15" customHeight="1" x14ac:dyDescent="0.2">
      <c r="A16202" s="1" t="s">
        <v>31913</v>
      </c>
      <c r="B16202" s="1">
        <v>0</v>
      </c>
      <c r="C16202" s="3">
        <v>44520.726689814815</v>
      </c>
      <c r="D16202" s="1" t="s">
        <v>31914</v>
      </c>
      <c r="E16202" s="1" t="str">
        <f ca="1">IFERROR(__xludf.DUMMYFUNCTION("GOOGLETRANSLATE(A13001 , ""tr"" , ""en"")"),"@drfahrettinkoca sn facing hubby why did you delay assignments so you are still waiting so many people are your promise ... https://t.co/adgjq8b1qp")</f>
        <v>@drfahrettinkoca sn facing hubby why did you delay assignments so you are still waiting so many people are your promise ... https://t.co/adgjq8b1qp</v>
      </c>
    </row>
    <row r="16203" spans="1:5" ht="15" customHeight="1" x14ac:dyDescent="0.2">
      <c r="A16203" s="1" t="s">
        <v>31385</v>
      </c>
      <c r="B16203" s="1">
        <v>2</v>
      </c>
      <c r="C16203" s="3">
        <v>44520.726273148146</v>
      </c>
      <c r="D16203" s="1" t="s">
        <v>31915</v>
      </c>
      <c r="E16203" s="1" t="str">
        <f ca="1">IFERROR(__xludf.DUMMYFUNCTION("GOOGLETRANSLATE(A13002 , ""tr"" , ""en"")"),"@drfahrettinkoca #mebyökonlineEducation")</f>
        <v>@drfahrettinkoca #mebyökonlineEducation</v>
      </c>
    </row>
    <row r="16204" spans="1:5" ht="15" customHeight="1" x14ac:dyDescent="0.2">
      <c r="A16204" s="1" t="s">
        <v>31916</v>
      </c>
      <c r="B16204" s="1">
        <v>4</v>
      </c>
      <c r="C16204" s="3">
        <v>44520.726099537038</v>
      </c>
      <c r="D16204" s="1" t="s">
        <v>31917</v>
      </c>
      <c r="E16204" s="1" t="str">
        <f ca="1">IFERROR(__xludf.DUMMYFUNCTION("GOOGLETRANSLATE(A13003 , ""tr"" , ""en"")"),"@drfahrettinkoca Case number can be the same as yesterday? #Mebyökonlinelitimhakkk")</f>
        <v>@drfahrettinkoca Case number can be the same as yesterday? #Mebyökonlinelitimhakkk</v>
      </c>
    </row>
    <row r="16205" spans="1:5" ht="15" customHeight="1" x14ac:dyDescent="0.2">
      <c r="A16205" s="1" t="s">
        <v>31918</v>
      </c>
      <c r="B16205" s="1">
        <v>1</v>
      </c>
      <c r="C16205" s="3">
        <v>44520.726006944446</v>
      </c>
      <c r="D16205" s="1" t="s">
        <v>31919</v>
      </c>
      <c r="E16205" s="1" t="str">
        <f ca="1">IFERROR(__xludf.DUMMYFUNCTION("GOOGLETRANSLATE(A13004 , ""tr"" , ""en"")"),"@drfahrettinkoca you had to struggle in Haadi Ordann you had seriously considered struggling Since the beginning of Taa ... https://t.co/jhowsagbaw")</f>
        <v>@drfahrettinkoca you had to struggle in Haadi Ordann you had seriously considered struggling Since the beginning of Taa ... https://t.co/jhowsagbaw</v>
      </c>
    </row>
    <row r="16206" spans="1:5" ht="15" customHeight="1" x14ac:dyDescent="0.2">
      <c r="A16206" s="1" t="s">
        <v>31920</v>
      </c>
      <c r="B16206" s="1">
        <v>1</v>
      </c>
      <c r="C16206" s="3">
        <v>44520.724282407406</v>
      </c>
      <c r="D16206" s="1" t="s">
        <v>31921</v>
      </c>
      <c r="E16206" s="1" t="str">
        <f ca="1">IFERROR(__xludf.DUMMYFUNCTION("GOOGLETRANSLATE(A13005 , ""tr"" , ""en"")"),"@drfahrettinkoca @saglikbakanligi vaccine from other troubles, people have not suppressed more winter than in winter ... https://t.co/u1pyu4pbui")</f>
        <v>@drfahrettinkoca @saglikbakanligi vaccine from other troubles, people have not suppressed more winter than in winter ... https://t.co/u1pyu4pbui</v>
      </c>
    </row>
    <row r="16207" spans="1:5" ht="15" customHeight="1" x14ac:dyDescent="0.2">
      <c r="A16207" s="1" t="s">
        <v>31922</v>
      </c>
      <c r="B16207" s="1">
        <v>0</v>
      </c>
      <c r="C16207" s="3">
        <v>44520.724108796298</v>
      </c>
      <c r="D16207" s="1" t="s">
        <v>31923</v>
      </c>
      <c r="E16207" s="1" t="str">
        <f ca="1">IFERROR(__xludf.DUMMYFUNCTION("GOOGLETRANSLATE(A13006 , ""tr"" , ""en"")"),"@drfahrettinkoca OTA Shit Money Did SMA Patient Children Don't Subicide Boy Mothers Mothers 90 million dollars ?? ... https://t.co/v4v1gmrrwv")</f>
        <v>@drfahrettinkoca OTA Shit Money Did SMA Patient Children Don't Subicide Boy Mothers Mothers 90 million dollars ?? ... https://t.co/v4v1gmrrwv</v>
      </c>
    </row>
    <row r="16208" spans="1:5" ht="15" customHeight="1" x14ac:dyDescent="0.2">
      <c r="A16208" s="1" t="s">
        <v>31924</v>
      </c>
      <c r="B16208" s="1">
        <v>0</v>
      </c>
      <c r="C16208" s="3">
        <v>44520.723287037035</v>
      </c>
      <c r="D16208" s="1" t="s">
        <v>31925</v>
      </c>
      <c r="E16208" s="1" t="str">
        <f ca="1">IFERROR(__xludf.DUMMYFUNCTION("GOOGLETRANSLATE(A13007 , ""tr"" , ""en"")"),"@drfahrettinkoca #kronikhastalaridariizin @sagliklicozum @saglikbakanligi @mebimdestek @tcmeb @tc_icisleri")</f>
        <v>@drfahrettinkoca #kronikhastalaridariizin @sagliklicozum @saglikbakanligi @mebimdestek @tcmeb @tc_icisleri</v>
      </c>
    </row>
    <row r="16209" spans="1:5" ht="15" customHeight="1" x14ac:dyDescent="0.2">
      <c r="A16209" s="1" t="s">
        <v>31926</v>
      </c>
      <c r="B16209" s="1">
        <v>1</v>
      </c>
      <c r="C16209" s="3">
        <v>44520.723043981481</v>
      </c>
      <c r="D16209" s="1" t="s">
        <v>31927</v>
      </c>
      <c r="E16209" s="1" t="str">
        <f ca="1">IFERROR(__xludf.DUMMYFUNCTION("GOOGLETRANSLATE(A13008 , ""tr"" , ""en"")"),"@drfahrettinkoca has homeland traitors that still have online education. Schools won't turn off - be restraint ... https://t.co/hmyuon4jwz")</f>
        <v>@drfahrettinkoca has homeland traitors that still have online education. Schools won't turn off - be restraint ... https://t.co/hmyuon4jwz</v>
      </c>
    </row>
    <row r="16210" spans="1:5" ht="15" customHeight="1" x14ac:dyDescent="0.2">
      <c r="A16210" s="1" t="s">
        <v>31928</v>
      </c>
      <c r="B16210" s="1">
        <v>2</v>
      </c>
      <c r="C16210" s="3">
        <v>44520.722638888888</v>
      </c>
      <c r="D16210" s="1" t="s">
        <v>31929</v>
      </c>
      <c r="E16210" s="1" t="str">
        <f ca="1">IFERROR(__xludf.DUMMYFUNCTION("GOOGLETRANSLATE(A13009 , ""tr"" , ""en"")"),"@drfahrettinkoca sec. Minister; The best goodness you will do to this country will be quitting. But as Faviripair i ... https://t.co/4vknl3kvmf")</f>
        <v>@drfahrettinkoca sec. Minister; The best goodness you will do to this country will be quitting. But as Faviripair i ... https://t.co/4vknl3kvmf</v>
      </c>
    </row>
    <row r="16211" spans="1:5" ht="15" customHeight="1" x14ac:dyDescent="0.2">
      <c r="A16211" s="1" t="s">
        <v>31930</v>
      </c>
      <c r="B16211" s="1">
        <v>2</v>
      </c>
      <c r="C16211" s="3">
        <v>44520.721388888887</v>
      </c>
      <c r="D16211" s="1" t="s">
        <v>31931</v>
      </c>
      <c r="E16211" s="1" t="str">
        <f ca="1">IFERROR(__xludf.DUMMYFUNCTION("GOOGLETRANSLATE(A13010 , ""tr"" , ""en"")"),"@drfahrettinkoca @saglikbakanligi's close to my friend is going to the patient and go to the patient when the doctor is going to bionte ... https://t.co/etwoyqmxu4")</f>
        <v>@drfahrettinkoca @saglikbakanligi's close to my friend is going to the patient and go to the patient when the doctor is going to bionte ... https://t.co/etwoyqmxu4</v>
      </c>
    </row>
    <row r="16212" spans="1:5" ht="15" customHeight="1" x14ac:dyDescent="0.2">
      <c r="A16212" s="1" t="s">
        <v>31932</v>
      </c>
      <c r="B16212" s="1">
        <v>0</v>
      </c>
      <c r="C16212" s="3">
        <v>44520.719687500001</v>
      </c>
      <c r="D16212" s="1" t="s">
        <v>31933</v>
      </c>
      <c r="E16212" s="1" t="str">
        <f ca="1">IFERROR(__xludf.DUMMYFUNCTION("GOOGLETRANSLATE(A13011 , ""tr"" , ""en"")"),"@drfahrettinkoca Our folks figure 11 figure LOVED AK Party, even when he fives dogs, 11 does 11, ma ... https://t.co/dzuctcw5pv")</f>
        <v>@drfahrettinkoca Our folks figure 11 figure LOVED AK Party, even when he fives dogs, 11 does 11, ma ... https://t.co/dzuctcw5pv</v>
      </c>
    </row>
    <row r="16213" spans="1:5" ht="15" customHeight="1" x14ac:dyDescent="0.2">
      <c r="A16213" s="1" t="s">
        <v>31934</v>
      </c>
      <c r="B16213" s="1">
        <v>1</v>
      </c>
      <c r="C16213" s="3">
        <v>44520.719421296293</v>
      </c>
      <c r="D16213" s="1" t="s">
        <v>31935</v>
      </c>
      <c r="E16213" s="1" t="str">
        <f ca="1">IFERROR(__xludf.DUMMYFUNCTION("GOOGLETRANSLATE(A13012 , ""tr"" , ""en"")"),"@drfahrettinkoca With so late please bring Online Training without more people die")</f>
        <v>@drfahrettinkoca With so late please bring Online Training without more people die</v>
      </c>
    </row>
    <row r="16214" spans="1:5" ht="15" customHeight="1" x14ac:dyDescent="0.2">
      <c r="A16214" s="1" t="s">
        <v>31936</v>
      </c>
      <c r="B16214" s="1">
        <v>7</v>
      </c>
      <c r="C16214" s="3">
        <v>44520.719155092593</v>
      </c>
      <c r="D16214" s="1" t="s">
        <v>31937</v>
      </c>
      <c r="E16214" s="1" t="str">
        <f ca="1">IFERROR(__xludf.DUMMYFUNCTION("GOOGLETRANSLATE(A13013 , ""tr"" , ""en"")"),"@drfahrettinkoca @saglikbakanligi 5 ER dose at the same time, make it a wonderful rise, after drugs that don't work ... https://t.co/jh0ppanki1")</f>
        <v>@drfahrettinkoca @saglikbakanligi 5 ER dose at the same time, make it a wonderful rise, after drugs that don't work ... https://t.co/jh0ppanki1</v>
      </c>
    </row>
    <row r="16215" spans="1:5" ht="15" customHeight="1" x14ac:dyDescent="0.2">
      <c r="A16215" s="1" t="s">
        <v>31938</v>
      </c>
      <c r="B16215" s="1">
        <v>1</v>
      </c>
      <c r="C16215" s="3">
        <v>44520.719074074077</v>
      </c>
      <c r="D16215" s="1" t="s">
        <v>31939</v>
      </c>
      <c r="E16215" s="1" t="str">
        <f ca="1">IFERROR(__xludf.DUMMYFUNCTION("GOOGLETRANSLATE(A13014 , ""tr"" , ""en"")"),"@drfahrettinkoca me an AK-party friend who is attitudes to me. Know that with the reverse corner that tricks you ... https://t.co/5recrgpeum")</f>
        <v>@drfahrettinkoca me an AK-party friend who is attitudes to me. Know that with the reverse corner that tricks you ... https://t.co/5recrgpeum</v>
      </c>
    </row>
    <row r="16216" spans="1:5" ht="15" customHeight="1" x14ac:dyDescent="0.2">
      <c r="A16216" s="1" t="s">
        <v>31940</v>
      </c>
      <c r="B16216" s="1">
        <v>1</v>
      </c>
      <c r="C16216" s="3">
        <v>44520.718993055554</v>
      </c>
      <c r="D16216" s="1" t="s">
        <v>31941</v>
      </c>
      <c r="E16216" s="1" t="str">
        <f ca="1">IFERROR(__xludf.DUMMYFUNCTION("GOOGLETRANSLATE(A13015 , ""tr"" , ""en"")"),"Don't forget @drfahrettinkoca Friends, ResulLah is the future of a very dangerous time and Muslims in the inhir ... https://t.co/u8t49el8ht")</f>
        <v>Don't forget @drfahrettinkoca Friends, ResulLah is the future of a very dangerous time and Muslims in the inhir ... https://t.co/u8t49el8ht</v>
      </c>
    </row>
    <row r="16217" spans="1:5" ht="15" customHeight="1" x14ac:dyDescent="0.2">
      <c r="A16217" s="1" t="s">
        <v>31942</v>
      </c>
      <c r="B16217" s="1">
        <v>0</v>
      </c>
      <c r="C16217" s="3">
        <v>44520.718877314815</v>
      </c>
      <c r="D16217" s="1" t="s">
        <v>31943</v>
      </c>
      <c r="E16217" s="1" t="str">
        <f ca="1">IFERROR(__xludf.DUMMYFUNCTION("GOOGLETRANSLATE(A13016 , ""tr"" , ""en"")"),"@drfahrettinkoca If you don't want to believe you show you what you don't see, let you know and take you ... https://t.co/wfqvqhifvh")</f>
        <v>@drfahrettinkoca If you don't want to believe you show you what you don't see, let you know and take you ... https://t.co/wfqvqhifvh</v>
      </c>
    </row>
    <row r="16218" spans="1:5" ht="15" customHeight="1" x14ac:dyDescent="0.2">
      <c r="A16218" s="1" t="s">
        <v>31944</v>
      </c>
      <c r="B16218" s="1">
        <v>0</v>
      </c>
      <c r="C16218" s="3">
        <v>44520.718865740739</v>
      </c>
      <c r="D16218" s="1" t="s">
        <v>31945</v>
      </c>
      <c r="E16218" s="1" t="str">
        <f ca="1">IFERROR(__xludf.DUMMYFUNCTION("GOOGLETRANSLATE(A13017 , ""tr"" , ""en"")"),"@drfahrettinka we don't get an appointment for inspection ..! For; needs to find a chamber ..! Out of exterior of appointment works ... https://t.co/c3xh2kze4v")</f>
        <v>@drfahrettinka we don't get an appointment for inspection ..! For; needs to find a chamber ..! Out of exterior of appointment works ... https://t.co/c3xh2kze4v</v>
      </c>
    </row>
    <row r="16219" spans="1:5" ht="15" customHeight="1" x14ac:dyDescent="0.2">
      <c r="A16219" s="1" t="s">
        <v>31946</v>
      </c>
      <c r="B16219" s="1">
        <v>0</v>
      </c>
      <c r="C16219" s="3">
        <v>44520.718657407408</v>
      </c>
      <c r="D16219" s="1" t="s">
        <v>31947</v>
      </c>
      <c r="E16219" s="1" t="str">
        <f ca="1">IFERROR(__xludf.DUMMYFUNCTION("GOOGLETRANSLATE(A13018 , ""tr"" , ""en"")"),"@drfahrettinka I just show you the facts! My narrators for the salvation of humanity to us from Allah ... HTTPS://T.CO/DNE0NZULIH")</f>
        <v>@drfahrettinka I just show you the facts! My narrators for the salvation of humanity to us from Allah ... HTTPS://T.CO/DNE0NZULIH</v>
      </c>
    </row>
    <row r="16220" spans="1:5" ht="15" customHeight="1" x14ac:dyDescent="0.2">
      <c r="A16220" s="1" t="s">
        <v>31948</v>
      </c>
      <c r="B16220" s="1">
        <v>0</v>
      </c>
      <c r="C16220" s="3">
        <v>44520.718425925923</v>
      </c>
      <c r="D16220" s="1" t="s">
        <v>31949</v>
      </c>
      <c r="E16220" s="1" t="str">
        <f ca="1">IFERROR(__xludf.DUMMYFUNCTION("GOOGLETRANSLATE(A13019 , ""tr"" , ""en"")"),"@drfahrettinka says' Covid 19 on the neck of humanity, 'he wants to say.' Https://t.co/5fxh5osltq")</f>
        <v>@drfahrettinka says' Covid 19 on the neck of humanity, 'he wants to say.' Https://t.co/5fxh5osltq</v>
      </c>
    </row>
    <row r="16221" spans="1:5" ht="15" customHeight="1" x14ac:dyDescent="0.2">
      <c r="A16221" s="1" t="s">
        <v>31950</v>
      </c>
      <c r="B16221" s="1">
        <v>1</v>
      </c>
      <c r="C16221" s="3">
        <v>44520.717858796299</v>
      </c>
      <c r="D16221" s="1" t="s">
        <v>31951</v>
      </c>
      <c r="E16221" s="1" t="str">
        <f ca="1">IFERROR(__xludf.DUMMYFUNCTION("GOOGLETRANSLATE(A13020 , ""tr"" , ""en"")"),"@drfahrettinkoca This female's Vebali World Hesire get to your neck !!!! @Rterdogan billions of dollars tax debt ... https://t.co/eadzkpgzwd")</f>
        <v>@drfahrettinkoca This female's Vebali World Hesire get to your neck !!!! @Rterdogan billions of dollars tax debt ... https://t.co/eadzkpgzwd</v>
      </c>
    </row>
    <row r="16222" spans="1:5" ht="15" customHeight="1" x14ac:dyDescent="0.2">
      <c r="A16222" s="1" t="s">
        <v>31952</v>
      </c>
      <c r="B16222" s="1">
        <v>0</v>
      </c>
      <c r="C16222" s="3">
        <v>44520.717662037037</v>
      </c>
      <c r="D16222" s="1" t="s">
        <v>31953</v>
      </c>
      <c r="E16222" s="1" t="str">
        <f ca="1">IFERROR(__xludf.DUMMYFUNCTION("GOOGLETRANSLATE(A13021 , ""tr"" , ""en"")"),"@drfahrettinkoca Hani 60% of Society 60% of Asilaninci Social Bagicyclic OLACIGE PLEASE PLAYS PLAYS HTTPS://T.CO/2RBLILWMPX")</f>
        <v>@drfahrettinkoca Hani 60% of Society 60% of Asilaninci Social Bagicyclic OLACIGE PLEASE PLAYS PLAYS HTTPS://T.CO/2RBLILWMPX</v>
      </c>
    </row>
    <row r="16223" spans="1:5" ht="15" customHeight="1" x14ac:dyDescent="0.2">
      <c r="A16223" s="1" t="s">
        <v>31954</v>
      </c>
      <c r="B16223" s="1">
        <v>0</v>
      </c>
      <c r="C16223" s="3">
        <v>44520.716770833336</v>
      </c>
      <c r="D16223" s="1" t="s">
        <v>31955</v>
      </c>
      <c r="E16223" s="1" t="str">
        <f ca="1">IFERROR(__xludf.DUMMYFUNCTION("GOOGLETRANSLATE(A13022 , ""tr"" , ""en"")"),"@drfahrettinkoca Country in the country HEMSIRE Doctor Doctor HAVE ARIO OCSURGUGUGE with the phone AGRINE COIR COIR ... https://t.co/a4adwxsqkn")</f>
        <v>@drfahrettinkoca Country in the country HEMSIRE Doctor Doctor HAVE ARIO OCSURGUGUGE with the phone AGRINE COIR COIR ... https://t.co/a4adwxsqkn</v>
      </c>
    </row>
    <row r="16224" spans="1:5" ht="15" customHeight="1" x14ac:dyDescent="0.2">
      <c r="A16224" s="1" t="s">
        <v>31956</v>
      </c>
      <c r="B16224" s="1">
        <v>0</v>
      </c>
      <c r="C16224" s="3">
        <v>44520.716643518521</v>
      </c>
      <c r="D16224" s="1" t="s">
        <v>31957</v>
      </c>
      <c r="E16224" s="1" t="str">
        <f ca="1">IFERROR(__xludf.DUMMYFUNCTION("GOOGLETRANSLATE(A13023 , ""tr"" , ""en"")"),"@drfahrettinkoca allah give your trouble ... we will not be the vaccine sarcasm we are not slaves will make this nation account this h ... https://t.co/knmttnrb4l")</f>
        <v>@drfahrettinkoca allah give your trouble ... we will not be the vaccine sarcasm we are not slaves will make this nation account this h ... https://t.co/knmttnrb4l</v>
      </c>
    </row>
    <row r="16225" spans="1:5" ht="15" customHeight="1" x14ac:dyDescent="0.2">
      <c r="A16225" s="1" t="s">
        <v>31958</v>
      </c>
      <c r="B16225" s="1">
        <v>0</v>
      </c>
      <c r="C16225" s="3">
        <v>44520.716168981482</v>
      </c>
      <c r="D16225" s="1" t="s">
        <v>31959</v>
      </c>
      <c r="E16225" s="1" t="str">
        <f ca="1">IFERROR(__xludf.DUMMYFUNCTION("GOOGLETRANSLATE(A13024 , ""tr"" , ""en"")"),"@drfahrettinka how much you need to strengthen the rating verine")</f>
        <v>@drfahrettinka how much you need to strengthen the rating verine</v>
      </c>
    </row>
    <row r="16226" spans="1:5" ht="15" customHeight="1" x14ac:dyDescent="0.2">
      <c r="A16226" s="1" t="s">
        <v>31960</v>
      </c>
      <c r="B16226" s="1">
        <v>0</v>
      </c>
      <c r="C16226" s="3">
        <v>44520.715856481482</v>
      </c>
      <c r="D16226" s="1" t="s">
        <v>31961</v>
      </c>
      <c r="E16226" s="1" t="str">
        <f ca="1">IFERROR(__xludf.DUMMYFUNCTION("GOOGLETRANSLATE(A13025 , ""tr"" , ""en"")"),"@drfahrettinkoca you are riding at the dose of your acin or maskless cars without masking cars are still asi asi ... https://t.co/9ogujqgxez")</f>
        <v>@drfahrettinkoca you are riding at the dose of your acin or maskless cars without masking cars are still asi asi ... https://t.co/9ogujqgxez</v>
      </c>
    </row>
    <row r="16227" spans="1:5" ht="15" customHeight="1" x14ac:dyDescent="0.2">
      <c r="A16227" s="1" t="s">
        <v>31962</v>
      </c>
      <c r="B16227" s="1">
        <v>0</v>
      </c>
      <c r="C16227" s="3">
        <v>44520.715405092589</v>
      </c>
      <c r="D16227" s="1" t="s">
        <v>31963</v>
      </c>
      <c r="E16227" s="1" t="str">
        <f ca="1">IFERROR(__xludf.DUMMYFUNCTION("GOOGLETRANSLATE(A13026 , ""tr"" , ""en"")"),"@drfahrettinkoca 2 Dose Sinovac How many people were applied to ???")</f>
        <v>@drfahrettinkoca 2 Dose Sinovac How many people were applied to ???</v>
      </c>
    </row>
    <row r="16228" spans="1:5" ht="15" customHeight="1" x14ac:dyDescent="0.2">
      <c r="A16228" s="1" t="s">
        <v>31964</v>
      </c>
      <c r="B16228" s="1">
        <v>0</v>
      </c>
      <c r="C16228" s="3">
        <v>44520.715266203704</v>
      </c>
      <c r="D16228" s="1" t="s">
        <v>31965</v>
      </c>
      <c r="E16228" s="1" t="str">
        <f ca="1">IFERROR(__xludf.DUMMYFUNCTION("GOOGLETRANSLATE(A13027 , ""tr"" , ""en"")"),"@drfahrettinkoca allah give you fahrettin")</f>
        <v>@drfahrettinkoca allah give you fahrettin</v>
      </c>
    </row>
    <row r="16229" spans="1:5" ht="15" customHeight="1" x14ac:dyDescent="0.2">
      <c r="A16229" s="1" t="s">
        <v>31966</v>
      </c>
      <c r="B16229" s="1">
        <v>0</v>
      </c>
      <c r="C16229" s="3">
        <v>44520.714942129627</v>
      </c>
      <c r="D16229" s="1" t="s">
        <v>31967</v>
      </c>
      <c r="E16229" s="1" t="str">
        <f ca="1">IFERROR(__xludf.DUMMYFUNCTION("GOOGLETRANSLATE(A13028 , ""tr"" , ""en"")"),"@drfahrettinkoca with outlets and high-dose antiviral drugs with the nation with the guinea pigs but finishes your honor ... https://t.co/bj6I0qnxpj")</f>
        <v>@drfahrettinkoca with outlets and high-dose antiviral drugs with the nation with the guinea pigs but finishes your honor ... https://t.co/bj6I0qnxpj</v>
      </c>
    </row>
    <row r="16230" spans="1:5" ht="15" customHeight="1" x14ac:dyDescent="0.2">
      <c r="A16230" s="1" t="s">
        <v>31968</v>
      </c>
      <c r="B16230" s="1">
        <v>0</v>
      </c>
      <c r="C16230" s="3">
        <v>44520.714918981481</v>
      </c>
      <c r="D16230" s="1" t="s">
        <v>31969</v>
      </c>
      <c r="E16230" s="1" t="str">
        <f ca="1">IFERROR(__xludf.DUMMYFUNCTION("GOOGLETRANSLATE(A13029 , ""tr"" , ""en"")"),"@drfahrettinka Mr. Minister of MEDIPOL University is online whether they are the other reputations face to face they are the other eggplant")</f>
        <v>@drfahrettinka Mr. Minister of MEDIPOL University is online whether they are the other reputations face to face they are the other eggplant</v>
      </c>
    </row>
    <row r="16231" spans="1:5" ht="15" customHeight="1" x14ac:dyDescent="0.2">
      <c r="A16231" s="1" t="s">
        <v>31970</v>
      </c>
      <c r="B16231" s="1">
        <v>13</v>
      </c>
      <c r="C16231" s="3">
        <v>44520.714212962965</v>
      </c>
      <c r="D16231" s="1" t="s">
        <v>31971</v>
      </c>
      <c r="E16231" s="1" t="str">
        <f ca="1">IFERROR(__xludf.DUMMYFUNCTION("GOOGLETRANSLATE(A13030 , ""tr"" , ""en"")"),"@drfahrettinkoca you cannot force us to those schools #mebyoekonlinelitimhakkk")</f>
        <v>@drfahrettinkoca you cannot force us to those schools #mebyoekonlinelitimhakkk</v>
      </c>
    </row>
    <row r="16232" spans="1:5" ht="15" customHeight="1" x14ac:dyDescent="0.2">
      <c r="A16232" s="1" t="s">
        <v>31972</v>
      </c>
      <c r="B16232" s="1">
        <v>0</v>
      </c>
      <c r="C16232" s="3">
        <v>44520.71398148148</v>
      </c>
      <c r="D16232" s="1" t="s">
        <v>31973</v>
      </c>
      <c r="E16232" s="1" t="str">
        <f ca="1">IFERROR(__xludf.DUMMYFUNCTION("GOOGLETRANSLATE(A13031 , ""tr"" , ""en"")"),"@drfahrettinkoca is not the only trouble? What can't be found are what I have not found my son's asthma drugs today ... https://t.co/l9swszd2vv")</f>
        <v>@drfahrettinkoca is not the only trouble? What can't be found are what I have not found my son's asthma drugs today ... https://t.co/l9swszd2vv</v>
      </c>
    </row>
    <row r="16233" spans="1:5" ht="15" customHeight="1" x14ac:dyDescent="0.2">
      <c r="A16233" s="1" t="s">
        <v>31974</v>
      </c>
      <c r="B16233" s="1">
        <v>0</v>
      </c>
      <c r="C16233" s="3">
        <v>44520.713946759257</v>
      </c>
      <c r="D16233" s="1" t="s">
        <v>31975</v>
      </c>
      <c r="E16233" s="1" t="str">
        <f ca="1">IFERROR(__xludf.DUMMYFUNCTION("GOOGLETRANSLATE(A13032 , ""tr"" , ""en"")"),"@drfahrettinkoca you must remove HEPP completely. Life does not fit home, we won't fit in fit people, robot ... https://t.coayjzu2z3")</f>
        <v>@drfahrettinkoca you must remove HEPP completely. Life does not fit home, we won't fit in fit people, robot ... https://t.coayjzu2z3</v>
      </c>
    </row>
    <row r="16234" spans="1:5" ht="15" customHeight="1" x14ac:dyDescent="0.2">
      <c r="A16234" s="1" t="s">
        <v>31976</v>
      </c>
      <c r="B16234" s="1">
        <v>0</v>
      </c>
      <c r="C16234" s="3">
        <v>44520.713726851849</v>
      </c>
      <c r="D16234" s="1" t="s">
        <v>31977</v>
      </c>
      <c r="E16234" s="1" t="str">
        <f ca="1">IFERROR(__xludf.DUMMYFUNCTION("GOOGLETRANSLATE(A13033 , ""tr"" , ""en"")"),"@drfahrettinkoca ulan mason what vaccine betrayer bethane pinokyo")</f>
        <v>@drfahrettinkoca ulan mason what vaccine betrayer bethane pinokyo</v>
      </c>
    </row>
    <row r="16235" spans="1:5" ht="15" customHeight="1" x14ac:dyDescent="0.2">
      <c r="A16235" s="1" t="s">
        <v>31978</v>
      </c>
      <c r="B16235" s="1">
        <v>0</v>
      </c>
      <c r="C16235" s="3">
        <v>44520.71371527778</v>
      </c>
      <c r="D16235" s="1" t="s">
        <v>31979</v>
      </c>
      <c r="E16235" s="1" t="str">
        <f ca="1">IFERROR(__xludf.DUMMYFUNCTION("GOOGLETRANSLATE(A13034 , ""tr"" , ""en"")"),"@drfahrettinkoca What is a work to work")</f>
        <v>@drfahrettinkoca What is a work to work</v>
      </c>
    </row>
    <row r="16236" spans="1:5" ht="15" customHeight="1" x14ac:dyDescent="0.2">
      <c r="A16236" s="1" t="s">
        <v>31980</v>
      </c>
      <c r="B16236" s="1">
        <v>7</v>
      </c>
      <c r="C16236" s="3">
        <v>44520.71334490741</v>
      </c>
      <c r="D16236" s="1" t="s">
        <v>31981</v>
      </c>
      <c r="E16236" s="1" t="str">
        <f ca="1">IFERROR(__xludf.DUMMYFUNCTION("GOOGLETRANSLATE(A13035 , ""tr"" , ""en"")"),"@drfahrettinkoca Minister Some Make Some People You Don't Meminate The Husband Husband Human Country Please Consider Some People Https://t.co/lq4cm1tn6i")</f>
        <v>@drfahrettinkoca Minister Some Make Some People You Don't Meminate The Husband Husband Human Country Please Consider Some People Https://t.co/lq4cm1tn6i</v>
      </c>
    </row>
    <row r="16237" spans="1:5" ht="15" customHeight="1" x14ac:dyDescent="0.2">
      <c r="A16237" s="1" t="s">
        <v>31982</v>
      </c>
      <c r="B16237" s="1">
        <v>1</v>
      </c>
      <c r="C16237" s="3">
        <v>44520.713159722225</v>
      </c>
      <c r="D16237" s="1" t="s">
        <v>31983</v>
      </c>
      <c r="E16237" s="1" t="str">
        <f ca="1">IFERROR(__xludf.DUMMYFUNCTION("GOOGLETRANSLATE(A13036 , ""tr"" , ""en"")"),"@drfahrettinkoca Ministry This drug has been inventory who has been in stock forcible to death in this medicine how to death in this drug ... https://t.co/hun5nkg6gf")</f>
        <v>@drfahrettinkoca Ministry This drug has been inventory who has been in stock forcible to death in this medicine how to death in this drug ... https://t.co/hun5nkg6gf</v>
      </c>
    </row>
    <row r="16238" spans="1:5" ht="15" customHeight="1" x14ac:dyDescent="0.2">
      <c r="A16238" s="1" t="s">
        <v>31984</v>
      </c>
      <c r="B16238" s="1">
        <v>0</v>
      </c>
      <c r="C16238" s="3">
        <v>44520.712083333332</v>
      </c>
      <c r="D16238" s="1" t="s">
        <v>31985</v>
      </c>
      <c r="E16238" s="1" t="str">
        <f ca="1">IFERROR(__xludf.DUMMYFUNCTION("GOOGLETRANSLATE(A13037 , ""tr"" , ""en"")"),"@drfahrettinkoca What is the #shi #shirtum $ SHI for those who don't know? Only 3 months in 3 months #ronaldinho and #rakitic is on head ... https://t.co/dpplnxzuug")</f>
        <v>@drfahrettinkoca What is the #shi #shirtum $ SHI for those who don't know? Only 3 months in 3 months #ronaldinho and #rakitic is on head ... https://t.co/dpplnxzuug</v>
      </c>
    </row>
    <row r="16239" spans="1:5" ht="15" customHeight="1" x14ac:dyDescent="0.2">
      <c r="A16239" s="1" t="s">
        <v>31986</v>
      </c>
      <c r="B16239" s="1">
        <v>0</v>
      </c>
      <c r="C16239" s="3">
        <v>44520.711805555555</v>
      </c>
      <c r="D16239" s="1" t="s">
        <v>31987</v>
      </c>
      <c r="E16239" s="1" t="str">
        <f ca="1">IFERROR(__xludf.DUMMYFUNCTION("GOOGLETRANSLATE(A13038 , ""tr"" , ""en"")"),"@drfahrettinkoca @saglikbakanligi 80% of the social immunity was beginning. What happened??? What is this harassment ??? Baby already ... https://t.co/yoqtadatar")</f>
        <v>@drfahrettinkoca @saglikbakanligi 80% of the social immunity was beginning. What happened??? What is this harassment ??? Baby already ... https://t.co/yoqtadatar</v>
      </c>
    </row>
    <row r="16240" spans="1:5" ht="15" customHeight="1" x14ac:dyDescent="0.2">
      <c r="A16240" s="1" t="s">
        <v>31988</v>
      </c>
      <c r="B16240" s="1">
        <v>0</v>
      </c>
      <c r="C16240" s="3">
        <v>44520.711701388886</v>
      </c>
      <c r="D16240" s="1" t="s">
        <v>31989</v>
      </c>
      <c r="E16240" s="1" t="str">
        <f ca="1">IFERROR(__xludf.DUMMYFUNCTION("GOOGLETRANSLATE(A13039 , ""tr"" , ""en"")"),"@drfahrettinka news is again in the Halisha Heart Crisis, we watched the news. Do you study reviews?")</f>
        <v>@drfahrettinka news is again in the Halisha Heart Crisis, we watched the news. Do you study reviews?</v>
      </c>
    </row>
    <row r="16241" spans="1:5" ht="15" customHeight="1" x14ac:dyDescent="0.2">
      <c r="A16241" s="1" t="s">
        <v>31990</v>
      </c>
      <c r="B16241" s="1">
        <v>0</v>
      </c>
      <c r="C16241" s="3">
        <v>44520.71162037037</v>
      </c>
      <c r="D16241" s="1" t="s">
        <v>31991</v>
      </c>
      <c r="E16241" s="1" t="str">
        <f ca="1">IFERROR(__xludf.DUMMYFUNCTION("GOOGLETRANSLATE(A13040 , ""tr"" , ""en"")"),"@drfahrettinkoca mosques in the mosques pure frequency full capacity concerts in matches to everyone outdoor public transport Hinch on the dent of Https://t.co/4t7zl3ofp0")</f>
        <v>@drfahrettinkoca mosques in the mosques pure frequency full capacity concerts in matches to everyone outdoor public transport Hinch on the dent of Https://t.co/4t7zl3ofp0</v>
      </c>
    </row>
    <row r="16242" spans="1:5" ht="15" customHeight="1" x14ac:dyDescent="0.2">
      <c r="A16242" s="1" t="s">
        <v>31992</v>
      </c>
      <c r="B16242" s="1">
        <v>3</v>
      </c>
      <c r="C16242" s="3">
        <v>44520.710960648146</v>
      </c>
      <c r="D16242" s="1" t="s">
        <v>31993</v>
      </c>
      <c r="E16242" s="1" t="str">
        <f ca="1">IFERROR(__xludf.DUMMYFUNCTION("GOOGLETRANSLATE(A13041 , ""tr"" , ""en"")"),"@drfahrettinkoca When will the guide come? We are very tired now so much")</f>
        <v>@drfahrettinkoca When will the guide come? We are very tired now so much</v>
      </c>
    </row>
    <row r="16243" spans="1:5" ht="15" customHeight="1" x14ac:dyDescent="0.2">
      <c r="A16243" s="1" t="s">
        <v>31994</v>
      </c>
      <c r="B16243" s="1">
        <v>1</v>
      </c>
      <c r="C16243" s="3">
        <v>44520.710775462961</v>
      </c>
      <c r="D16243" s="1" t="s">
        <v>31995</v>
      </c>
      <c r="E16243" s="1" t="str">
        <f ca="1">IFERROR(__xludf.DUMMYFUNCTION("GOOGLETRANSLATE(A13042 , ""tr"" , ""en"")"),"@drfahrettinkoca @ muratay64455651 #mebyoekonlineEducationHand")</f>
        <v>@drfahrettinkoca @ muratay64455651 #mebyoekonlineEducationHand</v>
      </c>
    </row>
    <row r="16244" spans="1:5" ht="15" customHeight="1" x14ac:dyDescent="0.2">
      <c r="A16244" s="1" t="s">
        <v>31996</v>
      </c>
      <c r="B16244" s="1">
        <v>1</v>
      </c>
      <c r="C16244" s="3">
        <v>44520.71020833333</v>
      </c>
      <c r="D16244" s="1" t="s">
        <v>31997</v>
      </c>
      <c r="E16244" s="1" t="str">
        <f ca="1">IFERROR(__xludf.DUMMYFUNCTION("GOOGLETRANSLATE(A13043 , ""tr"" , ""en"")"),"@drfahrettinkoca Your only goal is to kill us #MebyoEkonlineEducationHand")</f>
        <v>@drfahrettinkoca Your only goal is to kill us #MebyoEkonlineEducationHand</v>
      </c>
    </row>
    <row r="16245" spans="1:5" ht="15" customHeight="1" x14ac:dyDescent="0.2">
      <c r="A16245" s="1" t="s">
        <v>31998</v>
      </c>
      <c r="B16245" s="1">
        <v>1</v>
      </c>
      <c r="C16245" s="3">
        <v>44520.709930555553</v>
      </c>
      <c r="D16245" s="1" t="s">
        <v>31999</v>
      </c>
      <c r="E16245" s="1" t="str">
        <f ca="1">IFERROR(__xludf.DUMMYFUNCTION("GOOGLETRANSLATE(A13044 , ""tr"" , ""en"")"),"@drfahrettinkoca you don't treat you understand we could not take tests to everyone who married do you ever do any conscience #eminekiraz")</f>
        <v>@drfahrettinkoca you don't treat you understand we could not take tests to everyone who married do you ever do any conscience #eminekiraz</v>
      </c>
    </row>
    <row r="16246" spans="1:5" ht="15" customHeight="1" x14ac:dyDescent="0.2">
      <c r="A16246" s="1" t="s">
        <v>32000</v>
      </c>
      <c r="B16246" s="1">
        <v>0</v>
      </c>
      <c r="C16246" s="3">
        <v>44520.70989583333</v>
      </c>
      <c r="D16246" s="1" t="s">
        <v>32001</v>
      </c>
      <c r="E16246" s="1" t="str">
        <f ca="1">IFERROR(__xludf.DUMMYFUNCTION("GOOGLETRANSLATE(A13045 , ""tr"" , ""en"")"),"@drfahrettinkoca Come on, let's see the new map auspicious. Based on the entire population to the map began. Vaccination to Bite ... https://t.co/dvr0ypoeyo")</f>
        <v>@drfahrettinkoca Come on, let's see the new map auspicious. Based on the entire population to the map began. Vaccination to Bite ... https://t.co/dvr0ypoeyo</v>
      </c>
    </row>
    <row r="16247" spans="1:5" ht="15" customHeight="1" x14ac:dyDescent="0.2">
      <c r="A16247" s="1" t="s">
        <v>32002</v>
      </c>
      <c r="B16247" s="1">
        <v>2</v>
      </c>
      <c r="C16247" s="3">
        <v>44520.709398148145</v>
      </c>
      <c r="D16247" s="1" t="s">
        <v>32003</v>
      </c>
      <c r="E16247" s="1" t="str">
        <f ca="1">IFERROR(__xludf.DUMMYFUNCTION("GOOGLETRANSLATE(A13046 , ""tr"" , ""en"")"),"@drfahrettinkoca everyday 200 people die and all they do is the vaccine call hic a measure #ebyoEkonlineLineEducation")</f>
        <v>@drfahrettinkoca everyday 200 people die and all they do is the vaccine call hic a measure #ebyoEkonlineLineEducation</v>
      </c>
    </row>
    <row r="16248" spans="1:5" ht="15" customHeight="1" x14ac:dyDescent="0.2">
      <c r="A16248" s="1" t="s">
        <v>32004</v>
      </c>
      <c r="B16248" s="1">
        <v>0</v>
      </c>
      <c r="C16248" s="3">
        <v>44520.709027777775</v>
      </c>
      <c r="D16248" s="1" t="s">
        <v>32005</v>
      </c>
      <c r="E16248" s="1" t="str">
        <f ca="1">IFERROR(__xludf.DUMMYFUNCTION("GOOGLETRANSLATE(A13047 , ""tr"" , ""en"")"),"@drfahrettinka has to rise more nexads 80.5%. 60-70% of community immunity to form ... https://t.co/yof4el2ukc")</f>
        <v>@drfahrettinka has to rise more nexads 80.5%. 60-70% of community immunity to form ... https://t.co/yof4el2ukc</v>
      </c>
    </row>
    <row r="16249" spans="1:5" ht="15" customHeight="1" x14ac:dyDescent="0.2">
      <c r="A16249" s="1" t="s">
        <v>32006</v>
      </c>
      <c r="B16249" s="1">
        <v>0</v>
      </c>
      <c r="C16249" s="3">
        <v>44520.708796296298</v>
      </c>
      <c r="D16249" s="1" t="s">
        <v>32007</v>
      </c>
      <c r="E16249" s="1" t="str">
        <f ca="1">IFERROR(__xludf.DUMMYFUNCTION("GOOGLETRANSLATE(A13048 , ""tr"" , ""en"")"),"@drfahrettinkoca is no longer the vaccine table if you share the Covid table Mr. Ministry Online Training Of the Eye ... https://t.co/fevcsk6eci")</f>
        <v>@drfahrettinkoca is no longer the vaccine table if you share the Covid table Mr. Ministry Online Training Of the Eye ... https://t.co/fevcsk6eci</v>
      </c>
    </row>
    <row r="16250" spans="1:5" ht="15" customHeight="1" x14ac:dyDescent="0.2">
      <c r="A16250" s="1" t="s">
        <v>32008</v>
      </c>
      <c r="B16250" s="1">
        <v>5</v>
      </c>
      <c r="C16250" s="3">
        <v>44520.708726851852</v>
      </c>
      <c r="D16250" s="1" t="s">
        <v>32009</v>
      </c>
      <c r="E16250" s="1" t="str">
        <f ca="1">IFERROR(__xludf.DUMMYFUNCTION("GOOGLETRANSLATE(A13049 , ""tr"" , ""en"")"),"@drfahrettinkoca 1 month almost 6000 people deceased due to coronis, so that they are shown, so that they are not shown ... https://t.co/ovuqenn17t")</f>
        <v>@drfahrettinkoca 1 month almost 6000 people deceased due to coronis, so that they are shown, so that they are not shown ... https://t.co/ovuqenn17t</v>
      </c>
    </row>
    <row r="16251" spans="1:5" ht="15" customHeight="1" x14ac:dyDescent="0.2">
      <c r="A16251" s="1" t="s">
        <v>32010</v>
      </c>
      <c r="B16251" s="1">
        <v>0</v>
      </c>
      <c r="C16251" s="3">
        <v>44520.708645833336</v>
      </c>
      <c r="D16251" s="1" t="s">
        <v>32011</v>
      </c>
      <c r="E16251" s="1" t="str">
        <f ca="1">IFERROR(__xludf.DUMMYFUNCTION("GOOGLETRANSLATE(A13050 , ""tr"" , ""en"")"),"@drfahrettinkoca fahrettin husband's school caused by distance education")</f>
        <v>@drfahrettinkoca fahrettin husband's school caused by distance education</v>
      </c>
    </row>
    <row r="16252" spans="1:5" ht="15" customHeight="1" x14ac:dyDescent="0.2">
      <c r="A16252" s="1" t="s">
        <v>32012</v>
      </c>
      <c r="B16252" s="1">
        <v>19</v>
      </c>
      <c r="C16252" s="3">
        <v>44520.708645833336</v>
      </c>
      <c r="D16252" s="1" t="s">
        <v>32013</v>
      </c>
      <c r="E16252" s="1" t="str">
        <f ca="1">IFERROR(__xludf.DUMMYFUNCTION("GOOGLETRANSLATE(A13051 , ""tr"" , ""en"")"),"@drfahrettinkoca vaccine you don't get any work don't understand #mebyoekonlinelitimhakkk")</f>
        <v>@drfahrettinkoca vaccine you don't get any work don't understand #mebyoekonlinelitimhakkk</v>
      </c>
    </row>
    <row r="16253" spans="1:5" ht="15" customHeight="1" x14ac:dyDescent="0.2">
      <c r="A16253" s="1" t="s">
        <v>32014</v>
      </c>
      <c r="B16253" s="1">
        <v>0</v>
      </c>
      <c r="C16253" s="3">
        <v>44520.70853009259</v>
      </c>
      <c r="D16253" s="1" t="s">
        <v>32015</v>
      </c>
      <c r="E16253" s="1" t="str">
        <f ca="1">IFERROR(__xludf.DUMMYFUNCTION("GOOGLETRANSLATE(A13052 , ""tr"" , ""en"")"),"@drfahrettinka Dear Minister How many% of the dies are double dose grafted?")</f>
        <v>@drfahrettinka Dear Minister How many% of the dies are double dose grafted?</v>
      </c>
    </row>
    <row r="16254" spans="1:5" ht="15" customHeight="1" x14ac:dyDescent="0.2">
      <c r="A16254" s="1" t="s">
        <v>32016</v>
      </c>
      <c r="B16254" s="1">
        <v>0</v>
      </c>
      <c r="C16254" s="3">
        <v>44520.707986111112</v>
      </c>
      <c r="D16254" s="1" t="s">
        <v>32017</v>
      </c>
      <c r="E16254" s="1" t="str">
        <f ca="1">IFERROR(__xludf.DUMMYFUNCTION("GOOGLETRANSLATE(A13053 , ""tr"" , ""en"")"),"@drfahrettinkoca said at first doses, when you have 70% when you are 70%, now the pandema has now been 80% in the 2.Doza ... HTTPS://T.CO/YKGYG9C53I")</f>
        <v>@drfahrettinkoca said at first doses, when you have 70% when you are 70%, now the pandema has now been 80% in the 2.Doza ... HTTPS://T.CO/YKGYG9C53I</v>
      </c>
    </row>
    <row r="16255" spans="1:5" ht="15" customHeight="1" x14ac:dyDescent="0.2">
      <c r="A16255" s="1" t="s">
        <v>32018</v>
      </c>
      <c r="B16255" s="1">
        <v>0</v>
      </c>
      <c r="C16255" s="3">
        <v>44520.707962962966</v>
      </c>
      <c r="D16255" s="1" t="s">
        <v>32019</v>
      </c>
      <c r="E16255" s="1" t="str">
        <f ca="1">IFERROR(__xludf.DUMMYFUNCTION("GOOGLETRANSLATE(A13054 , ""tr"" , ""en"")"),"@drfahrettinkoca PCR has no rush correlation between kodid and liquids. https://t.co/axwxg3tpyb is the number of so-called cases k ... https://t.co/ua7c12a9a3")</f>
        <v>@drfahrettinkoca PCR has no rush correlation between kodid and liquids. https://t.co/axwxg3tpyb is the number of so-called cases k ... https://t.co/ua7c12a9a3</v>
      </c>
    </row>
    <row r="16256" spans="1:5" ht="15" customHeight="1" x14ac:dyDescent="0.2">
      <c r="A16256" s="1" t="s">
        <v>31661</v>
      </c>
      <c r="B16256" s="1">
        <v>10</v>
      </c>
      <c r="C16256" s="3">
        <v>44520.706828703704</v>
      </c>
      <c r="D16256" s="1" t="s">
        <v>32020</v>
      </c>
      <c r="E16256" s="1" t="str">
        <f ca="1">IFERROR(__xludf.DUMMYFUNCTION("GOOGLETRANSLATE(A13055 , ""tr"" , ""en"")"),"@drfahrettinkoca #mebyoekonlineElitime")</f>
        <v>@drfahrettinkoca #mebyoekonlineElitime</v>
      </c>
    </row>
    <row r="16257" spans="1:5" ht="15" customHeight="1" x14ac:dyDescent="0.2">
      <c r="A16257" s="1" t="s">
        <v>32021</v>
      </c>
      <c r="B16257" s="1">
        <v>22</v>
      </c>
      <c r="C16257" s="3">
        <v>44520.706759259258</v>
      </c>
      <c r="D16257" s="1" t="s">
        <v>32022</v>
      </c>
      <c r="E16257" s="1" t="str">
        <f ca="1">IFERROR(__xludf.DUMMYFUNCTION("GOOGLETRANSLATE(A13056 , ""tr"" , ""en"")"),"@drfahrettinkoca hear our health is now at risk, we now want our voice online training @Fahrettinaltun @ erolozvar ... https://t.co/8gopeiyyxr")</f>
        <v>@drfahrettinkoca hear our health is now at risk, we now want our voice online training @Fahrettinaltun @ erolozvar ... https://t.co/8gopeiyyxr</v>
      </c>
    </row>
    <row r="16258" spans="1:5" ht="15" customHeight="1" x14ac:dyDescent="0.2">
      <c r="A16258" s="1" t="s">
        <v>32023</v>
      </c>
      <c r="B16258" s="1">
        <v>55</v>
      </c>
      <c r="C16258" s="3">
        <v>44520.706643518519</v>
      </c>
      <c r="D16258" s="1" t="s">
        <v>32024</v>
      </c>
      <c r="E16258" s="1" t="str">
        <f ca="1">IFERROR(__xludf.DUMMYFUNCTION("GOOGLETRANSLATE(A13057 , ""tr"" , ""en"")"),"@drfahrettinkoca pendemine since the beginning of the pendemine I didn't come out of the house I didn't contact anyone I have isolated myself and no shape ... https://t.co/nx472wf1vb")</f>
        <v>@drfahrettinkoca pendemine since the beginning of the pendemine I didn't come out of the house I didn't contact anyone I have isolated myself and no shape ... https://t.co/nx472wf1vb</v>
      </c>
    </row>
    <row r="16259" spans="1:5" ht="15" customHeight="1" x14ac:dyDescent="0.2">
      <c r="A16259" s="1" t="s">
        <v>32025</v>
      </c>
      <c r="B16259" s="1">
        <v>38</v>
      </c>
      <c r="C16259" s="3">
        <v>44520.706550925926</v>
      </c>
      <c r="D16259" s="1" t="s">
        <v>32026</v>
      </c>
      <c r="E16259" s="1" t="str">
        <f ca="1">IFERROR(__xludf.DUMMYFUNCTION("GOOGLETRANSLATE(A13058 , ""tr"" , ""en"")"),"@drfahrettinkoca Our health is in danger The disease is increasing winter The weather came the weather like ice more cases more than https://t.co/ayhp2houvr")</f>
        <v>@drfahrettinkoca Our health is in danger The disease is increasing winter The weather came the weather like ice more cases more than https://t.co/ayhp2houvr</v>
      </c>
    </row>
    <row r="16260" spans="1:5" ht="15" customHeight="1" x14ac:dyDescent="0.2">
      <c r="A16260" s="1" t="s">
        <v>32027</v>
      </c>
      <c r="B16260" s="1">
        <v>0</v>
      </c>
      <c r="C16260" s="3">
        <v>44520.706504629627</v>
      </c>
      <c r="D16260" s="1" t="s">
        <v>32028</v>
      </c>
      <c r="E16260" s="1" t="str">
        <f ca="1">IFERROR(__xludf.DUMMYFUNCTION("GOOGLETRANSLATE(A13059 , ""tr"" , ""en"")"),"@drfahrettinkoca impatience is a day I have expected a day in your Covit Politics We have wrongful treatment of wrong treatment ... https://t.co/3tjnbjo2If")</f>
        <v>@drfahrettinkoca impatience is a day I have expected a day in your Covit Politics We have wrongful treatment of wrong treatment ... https://t.co/3tjnbjo2If</v>
      </c>
    </row>
    <row r="16261" spans="1:5" ht="15" customHeight="1" x14ac:dyDescent="0.2">
      <c r="A16261" s="1" t="s">
        <v>32029</v>
      </c>
      <c r="B16261" s="1">
        <v>6</v>
      </c>
      <c r="C16261" s="3">
        <v>44520.706319444442</v>
      </c>
      <c r="D16261" s="1" t="s">
        <v>32030</v>
      </c>
      <c r="E16261" s="1" t="str">
        <f ca="1">IFERROR(__xludf.DUMMYFUNCTION("GOOGLETRANSLATE(A13060 , ""tr"" , ""en"")"),"@drfahrettinkoca Rica is not with gratitude this is not this job? Sankiiii supervision and check if applicable ... HTTPS://T.CO/9TXZXDI2DD")</f>
        <v>@drfahrettinkoca Rica is not with gratitude this is not this job? Sankiiii supervision and check if applicable ... HTTPS://T.CO/9TXZXDI2DD</v>
      </c>
    </row>
    <row r="16262" spans="1:5" ht="15" customHeight="1" x14ac:dyDescent="0.2">
      <c r="A16262" s="1" t="s">
        <v>32031</v>
      </c>
      <c r="B16262" s="1">
        <v>66</v>
      </c>
      <c r="C16262" s="3">
        <v>44520.706284722219</v>
      </c>
      <c r="D16262" s="1" t="s">
        <v>32032</v>
      </c>
      <c r="E16262" s="1" t="str">
        <f ca="1">IFERROR(__xludf.DUMMYFUNCTION("GOOGLETRANSLATE(A13061 , ""tr"" , ""en"")"),"@drfahrettinkoca all the world is giving red alarms We have no measures taken in the world NO MEANS CONDITIONS WITHOUT ERCH ... HTTPS://T.CO/NYUUCVIOKO")</f>
        <v>@drfahrettinkoca all the world is giving red alarms We have no measures taken in the world NO MEANS CONDITIONS WITHOUT ERCH ... HTTPS://T.CO/NYUUCVIOKO</v>
      </c>
    </row>
    <row r="16263" spans="1:5" ht="15" customHeight="1" x14ac:dyDescent="0.2">
      <c r="A16263" s="1" t="s">
        <v>32033</v>
      </c>
      <c r="B16263" s="1">
        <v>32</v>
      </c>
      <c r="C16263" s="3">
        <v>44520.705648148149</v>
      </c>
      <c r="D16263" s="1" t="s">
        <v>32034</v>
      </c>
      <c r="E16263" s="1" t="str">
        <f ca="1">IFERROR(__xludf.DUMMYFUNCTION("GOOGLETRANSLATE(A13062 , ""tr"" , ""en"")"),"@drfahrettinka We remain in the dorms to listen to the lessons described from the slide and our health is at risk at risk ... https://t.co/oxcqmxaflx")</f>
        <v>@drfahrettinka We remain in the dorms to listen to the lessons described from the slide and our health is at risk at risk ... https://t.co/oxcqmxaflx</v>
      </c>
    </row>
    <row r="16264" spans="1:5" ht="15" customHeight="1" x14ac:dyDescent="0.2">
      <c r="A16264" s="1" t="s">
        <v>32035</v>
      </c>
      <c r="B16264" s="1">
        <v>6</v>
      </c>
      <c r="C16264" s="3">
        <v>44520.705509259256</v>
      </c>
      <c r="D16264" s="1" t="s">
        <v>32036</v>
      </c>
      <c r="E16264" s="1" t="str">
        <f ca="1">IFERROR(__xludf.DUMMYFUNCTION("GOOGLETRANSLATE(A13063 , ""tr"" , ""en"")"),"@drfahrettinkoca Our situation is getting worse to improve. Will get worse if the measure is not taken. The virus is most ... https://t.co/D8O47BIBVR")</f>
        <v>@drfahrettinkoca Our situation is getting worse to improve. Will get worse if the measure is not taken. The virus is most ... https://t.co/D8O47BIBVR</v>
      </c>
    </row>
    <row r="16265" spans="1:5" ht="15" customHeight="1" x14ac:dyDescent="0.2">
      <c r="A16265" s="1" t="s">
        <v>32037</v>
      </c>
      <c r="B16265" s="1">
        <v>31</v>
      </c>
      <c r="C16265" s="3">
        <v>44520.705381944441</v>
      </c>
      <c r="D16265" s="1" t="s">
        <v>32038</v>
      </c>
      <c r="E16265" s="1" t="str">
        <f ca="1">IFERROR(__xludf.DUMMYFUNCTION("GOOGLETRANSLATE(A13064 , ""tr"" , ""en"")"),"@drfahrettinkoca school infrastructure available for 1.5 years we want to finish the online education that you have not finished Öve Öve Health R ... https://t.co/ymq4tktgjz")</f>
        <v>@drfahrettinkoca school infrastructure available for 1.5 years we want to finish the online education that you have not finished Öve Öve Health R ... https://t.co/ymq4tktgjz</v>
      </c>
    </row>
    <row r="16266" spans="1:5" ht="15" customHeight="1" x14ac:dyDescent="0.2">
      <c r="A16266" s="1" t="s">
        <v>32039</v>
      </c>
      <c r="B16266" s="1">
        <v>0</v>
      </c>
      <c r="C16266" s="3">
        <v>44520.705324074072</v>
      </c>
      <c r="D16266" s="1" t="s">
        <v>32040</v>
      </c>
      <c r="E16266" s="1" t="str">
        <f ca="1">IFERROR(__xludf.DUMMYFUNCTION("GOOGLETRANSLATE(A13065 , ""tr"" , ""en"")"),"@drfahrettinkoca 3.doz map Boyamasina When nurtures")</f>
        <v>@drfahrettinkoca 3.doz map Boyamasina When nurtures</v>
      </c>
    </row>
    <row r="16267" spans="1:5" ht="15" customHeight="1" x14ac:dyDescent="0.2">
      <c r="A16267" s="1" t="s">
        <v>32041</v>
      </c>
      <c r="B16267" s="1">
        <v>6</v>
      </c>
      <c r="C16267" s="3">
        <v>44520.705138888887</v>
      </c>
      <c r="D16267" s="1" t="s">
        <v>32042</v>
      </c>
      <c r="E16267" s="1" t="str">
        <f ca="1">IFERROR(__xludf.DUMMYFUNCTION("GOOGLETRANSLATE(A13066 , ""tr"" , ""en"")"),"@drfahrettinkoca Black Winter Emergency Online Education Without Emergency Danger Under Danger Fully Protector ... HTTPS://T.CO/A0VLIO9TTS")</f>
        <v>@drfahrettinkoca Black Winter Emergency Online Education Without Emergency Danger Under Danger Fully Protector ... HTTPS://T.CO/A0VLIO9TTS</v>
      </c>
    </row>
    <row r="16268" spans="1:5" ht="15" customHeight="1" x14ac:dyDescent="0.2">
      <c r="A16268" s="1" t="s">
        <v>32043</v>
      </c>
      <c r="B16268" s="1">
        <v>0</v>
      </c>
      <c r="C16268" s="3">
        <v>44520.704942129632</v>
      </c>
      <c r="D16268" s="1" t="s">
        <v>32044</v>
      </c>
      <c r="E16268" s="1" t="str">
        <f ca="1">IFERROR(__xludf.DUMMYFUNCTION("GOOGLETRANSLATE(A13067 , ""tr"" , ""en"")"),"@drfahrettinkoca I was vaccinating in my dream ... Sounds like, thank goodness dream")</f>
        <v>@drfahrettinkoca I was vaccinating in my dream ... Sounds like, thank goodness dream</v>
      </c>
    </row>
    <row r="16269" spans="1:5" ht="15" customHeight="1" x14ac:dyDescent="0.2">
      <c r="A16269" s="1" t="s">
        <v>32045</v>
      </c>
      <c r="B16269" s="1">
        <v>1</v>
      </c>
      <c r="C16269" s="3">
        <v>44520.704282407409</v>
      </c>
      <c r="D16269" s="1" t="s">
        <v>32046</v>
      </c>
      <c r="E16269" s="1" t="str">
        <f ca="1">IFERROR(__xludf.DUMMYFUNCTION("GOOGLETRANSLATE(A13068 , ""tr"" , ""en"")"),"@drfahrettinkoca is also large from 83 million government 5 tiders")</f>
        <v>@drfahrettinkoca is also large from 83 million government 5 tiders</v>
      </c>
    </row>
    <row r="16270" spans="1:5" ht="15" customHeight="1" x14ac:dyDescent="0.2">
      <c r="A16270" s="1" t="s">
        <v>32047</v>
      </c>
      <c r="B16270" s="1">
        <v>4</v>
      </c>
      <c r="C16270" s="3">
        <v>44520.703680555554</v>
      </c>
      <c r="D16270" s="1" t="s">
        <v>32048</v>
      </c>
      <c r="E16270" s="1" t="str">
        <f ca="1">IFERROR(__xludf.DUMMYFUNCTION("GOOGLETRANSLATE(A13069 , ""tr"" , ""en"")"),"Don't make @drfahrettinkoca schools mandatory or online A is no size")</f>
        <v>Don't make @drfahrettinkoca schools mandatory or online A is no size</v>
      </c>
    </row>
    <row r="16271" spans="1:5" ht="15" customHeight="1" x14ac:dyDescent="0.2">
      <c r="A16271" s="1" t="s">
        <v>32049</v>
      </c>
      <c r="B16271" s="1">
        <v>0</v>
      </c>
      <c r="C16271" s="3">
        <v>44520.703668981485</v>
      </c>
      <c r="D16271" s="1" t="s">
        <v>32050</v>
      </c>
      <c r="E16271" s="1" t="str">
        <f ca="1">IFERROR(__xludf.DUMMYFUNCTION("GOOGLETRANSLATE(A13070 , ""tr"" , ""en"")"),"@drfahrettinkoca https://t.co/19nsfuyss I'm going to watch. There is no Turkce incentive for water moment. Sorganad ... https://t.co/ellıofnrhs")</f>
        <v>@drfahrettinkoca https://t.co/19nsfuyss I'm going to watch. There is no Turkce incentive for water moment. Sorganad ... https://t.co/ellıofnrhs</v>
      </c>
    </row>
    <row r="16272" spans="1:5" ht="15" customHeight="1" x14ac:dyDescent="0.2">
      <c r="A16272" s="1" t="s">
        <v>32051</v>
      </c>
      <c r="B16272" s="1">
        <v>0</v>
      </c>
      <c r="C16272" s="3">
        <v>44520.703553240739</v>
      </c>
      <c r="D16272" s="1" t="s">
        <v>32052</v>
      </c>
      <c r="E16272" s="1" t="str">
        <f ca="1">IFERROR(__xludf.DUMMYFUNCTION("GOOGLETRANSLATE(A13071 , ""tr"" , ""en"")"),"@drfahrettinkoca flu vaccine. What happened flu vaccine. The flu vaccine.")</f>
        <v>@drfahrettinkoca flu vaccine. What happened flu vaccine. The flu vaccine.</v>
      </c>
    </row>
    <row r="16273" spans="1:5" ht="15" customHeight="1" x14ac:dyDescent="0.2">
      <c r="A16273" s="1" t="s">
        <v>32053</v>
      </c>
      <c r="B16273" s="1">
        <v>0</v>
      </c>
      <c r="C16273" s="3">
        <v>44520.7033912037</v>
      </c>
      <c r="D16273" s="1" t="s">
        <v>32054</v>
      </c>
      <c r="E16273" s="1" t="str">
        <f ca="1">IFERROR(__xludf.DUMMYFUNCTION("GOOGLETRANSLATE(A13072 , ""tr"" , ""en"")"),"@drfahrettinkoca Look at the Lancet what does it say? Leave now this grafted outlawed distinction and bring the society together ... https://t.co/qbfs0xs7MI")</f>
        <v>@drfahrettinkoca Look at the Lancet what does it say? Leave now this grafted outlawed distinction and bring the society together ... https://t.co/qbfs0xs7MI</v>
      </c>
    </row>
    <row r="16274" spans="1:5" ht="15" customHeight="1" x14ac:dyDescent="0.2">
      <c r="A16274" s="1" t="s">
        <v>32055</v>
      </c>
      <c r="B16274" s="1">
        <v>4</v>
      </c>
      <c r="C16274" s="3">
        <v>44520.702743055554</v>
      </c>
      <c r="D16274" s="1" t="s">
        <v>32056</v>
      </c>
      <c r="E16274" s="1" t="str">
        <f ca="1">IFERROR(__xludf.DUMMYFUNCTION("GOOGLETRANSLATE(A13073 , ""tr"" , ""en"")"),"@drfahrettinkoca When will you consider the tangi and spiritually worn students? @ erolozvar ... https://t.co/oww0xogrbd")</f>
        <v>@drfahrettinkoca When will you consider the tangi and spiritually worn students? @ erolozvar ... https://t.co/oww0xogrbd</v>
      </c>
    </row>
    <row r="16275" spans="1:5" ht="15" customHeight="1" x14ac:dyDescent="0.2">
      <c r="A16275" s="1" t="s">
        <v>32057</v>
      </c>
      <c r="B16275" s="1">
        <v>0</v>
      </c>
      <c r="C16275" s="3">
        <v>44520.70239583333</v>
      </c>
      <c r="D16275" s="1" t="s">
        <v>32058</v>
      </c>
      <c r="E16275" s="1" t="str">
        <f ca="1">IFERROR(__xludf.DUMMYFUNCTION("GOOGLETRANSLATE(A13074 , ""tr"" , ""en"")"),"@drfahrettinkoca lies I'm yours. We want online training. Immediately")</f>
        <v>@drfahrettinkoca lies I'm yours. We want online training. Immediately</v>
      </c>
    </row>
    <row r="16276" spans="1:5" ht="15" customHeight="1" x14ac:dyDescent="0.2">
      <c r="A16276" s="1" t="s">
        <v>32059</v>
      </c>
      <c r="B16276" s="1">
        <v>0</v>
      </c>
      <c r="C16276" s="3">
        <v>44520.701921296299</v>
      </c>
      <c r="D16276" s="1" t="s">
        <v>32060</v>
      </c>
      <c r="E16276" s="1" t="str">
        <f ca="1">IFERROR(__xludf.DUMMYFUNCTION("GOOGLETRANSLATE(A13075 , ""tr"" , ""en"")"),"@drfahrettinka Wasn't 80% enough before? I am wrong with me.")</f>
        <v>@drfahrettinka Wasn't 80% enough before? I am wrong with me.</v>
      </c>
    </row>
    <row r="16277" spans="1:5" ht="15" customHeight="1" x14ac:dyDescent="0.2">
      <c r="A16277" s="1" t="s">
        <v>32061</v>
      </c>
      <c r="B16277" s="1">
        <v>2</v>
      </c>
      <c r="C16277" s="3">
        <v>44520.701666666668</v>
      </c>
      <c r="D16277" s="1" t="s">
        <v>32062</v>
      </c>
      <c r="E16277" s="1" t="str">
        <f ca="1">IFERROR(__xludf.DUMMYFUNCTION("GOOGLETRANSLATE(A13076 , ""tr"" , ""en"")"),"@drfahrettinkoca yahu don't you see any work? !!! https://t.co/j0fitntdyx")</f>
        <v>@drfahrettinkoca yahu don't you see any work? !!! https://t.co/j0fitntdyx</v>
      </c>
    </row>
    <row r="16278" spans="1:5" ht="15" customHeight="1" x14ac:dyDescent="0.2">
      <c r="A16278" s="1" t="s">
        <v>32063</v>
      </c>
      <c r="B16278" s="1">
        <v>10</v>
      </c>
      <c r="C16278" s="3">
        <v>44520.701226851852</v>
      </c>
      <c r="D16278" s="1" t="s">
        <v>32064</v>
      </c>
      <c r="E16278" s="1" t="str">
        <f ca="1">IFERROR(__xludf.DUMMYFUNCTION("GOOGLETRANSLATE(A13077 , ""tr"" , ""en"")"),"@drfahrettinkoca When will you consider the tangi and spiritually worn students? #Mebyökonlinelitimhakkk")</f>
        <v>@drfahrettinkoca When will you consider the tangi and spiritually worn students? #Mebyökonlinelitimhakkk</v>
      </c>
    </row>
    <row r="16279" spans="1:5" ht="15" customHeight="1" x14ac:dyDescent="0.2">
      <c r="A16279" s="1" t="s">
        <v>32065</v>
      </c>
      <c r="B16279" s="1">
        <v>0</v>
      </c>
      <c r="C16279" s="3">
        <v>44520.699259259258</v>
      </c>
      <c r="D16279" s="1" t="s">
        <v>32066</v>
      </c>
      <c r="E16279" s="1" t="str">
        <f ca="1">IFERROR(__xludf.DUMMYFUNCTION("GOOGLETRANSLATE(A13078 , ""tr"" , ""en"")"),"@drfahrettinkoca Healthparts Guide is a week not husband waiting for a year")</f>
        <v>@drfahrettinkoca Healthparts Guide is a week not husband waiting for a year</v>
      </c>
    </row>
    <row r="16280" spans="1:5" ht="15" customHeight="1" x14ac:dyDescent="0.2">
      <c r="A16280" s="1" t="s">
        <v>32067</v>
      </c>
      <c r="B16280" s="1">
        <v>59</v>
      </c>
      <c r="C16280" s="3">
        <v>44520.698969907404</v>
      </c>
      <c r="D16280" s="1" t="s">
        <v>32068</v>
      </c>
      <c r="E16280" s="1" t="str">
        <f ca="1">IFERROR(__xludf.DUMMYFUNCTION("GOOGLETRANSLATE(A13079 , ""tr"" , ""en"")"),"@drfahrettinkoca matter is not health ... https://t.co/rrbefylkkb")</f>
        <v>@drfahrettinkoca matter is not health ... https://t.co/rrbefylkkb</v>
      </c>
    </row>
    <row r="16281" spans="1:5" ht="15" customHeight="1" x14ac:dyDescent="0.2">
      <c r="A16281" s="1" t="s">
        <v>32069</v>
      </c>
      <c r="B16281" s="1">
        <v>29</v>
      </c>
      <c r="C16281" s="3">
        <v>44520.698692129627</v>
      </c>
      <c r="D16281" s="1" t="s">
        <v>32070</v>
      </c>
      <c r="E16281" s="1" t="str">
        <f ca="1">IFERROR(__xludf.DUMMYFUNCTION("GOOGLETRANSLATE(A13080 , ""tr"" , ""en"")"),"@drfahrettinka The Pandemis Administrators of World Countries are taking measures for the health of the people !! We're in ???? Bol Bool ... https://t.co/jcvg2elhce")</f>
        <v>@drfahrettinka The Pandemis Administrators of World Countries are taking measures for the health of the people !! We're in ???? Bol Bool ... https://t.co/jcvg2elhce</v>
      </c>
    </row>
    <row r="16282" spans="1:5" ht="15" customHeight="1" x14ac:dyDescent="0.2">
      <c r="A16282" s="1" t="s">
        <v>32071</v>
      </c>
      <c r="B16282" s="1">
        <v>0</v>
      </c>
      <c r="C16282" s="3">
        <v>44520.698634259257</v>
      </c>
      <c r="D16282" s="1" t="s">
        <v>32072</v>
      </c>
      <c r="E16282" s="1" t="str">
        <f ca="1">IFERROR(__xludf.DUMMYFUNCTION("GOOGLETRANSLATE(A13081 , ""tr"" , ""en"")"),"@drfahrettinka Mr. Minister, don't you have any other job.")</f>
        <v>@drfahrettinka Mr. Minister, don't you have any other job.</v>
      </c>
    </row>
    <row r="16283" spans="1:5" ht="15" customHeight="1" x14ac:dyDescent="0.2">
      <c r="A16283" s="1" t="s">
        <v>32073</v>
      </c>
      <c r="B16283" s="1">
        <v>0</v>
      </c>
      <c r="C16283" s="3">
        <v>44520.698587962965</v>
      </c>
      <c r="D16283" s="1" t="s">
        <v>32074</v>
      </c>
      <c r="E16283" s="1" t="str">
        <f ca="1">IFERROR(__xludf.DUMMYFUNCTION("GOOGLETRANSLATE(A13082 , ""tr"" , ""en"")"),"@drfahrettinkoca 5 We want 11 years of age")</f>
        <v>@drfahrettinkoca 5 We want 11 years of age</v>
      </c>
    </row>
    <row r="16284" spans="1:5" ht="15" customHeight="1" x14ac:dyDescent="0.2">
      <c r="A16284" s="1" t="s">
        <v>32075</v>
      </c>
      <c r="B16284" s="1">
        <v>83</v>
      </c>
      <c r="C16284" s="3">
        <v>44520.698344907411</v>
      </c>
      <c r="D16284" s="1" t="s">
        <v>32076</v>
      </c>
      <c r="E16284" s="1" t="str">
        <f ca="1">IFERROR(__xludf.DUMMYFUNCTION("GOOGLETRANSLATE(A13083 , ""tr"" , ""en"")"),"@drfahrettinkoca What's the struggle? You are struggling that our children who are struggling! Fast tes in the country ... https://t.co/jaswxdlemo")</f>
        <v>@drfahrettinkoca What's the struggle? You are struggling that our children who are struggling! Fast tes in the country ... https://t.co/jaswxdlemo</v>
      </c>
    </row>
    <row r="16285" spans="1:5" ht="15" customHeight="1" x14ac:dyDescent="0.2">
      <c r="A16285" s="1" t="s">
        <v>32077</v>
      </c>
      <c r="B16285" s="1">
        <v>0</v>
      </c>
      <c r="C16285" s="3">
        <v>44520.698333333334</v>
      </c>
      <c r="D16285" s="1" t="s">
        <v>32078</v>
      </c>
      <c r="E16285" s="1" t="str">
        <f ca="1">IFERROR(__xludf.DUMMYFUNCTION("GOOGLETRANSLATE(A13084 , ""tr"" , ""en"")"),"@drfahrettinkoca partial restraint is sufficient anymore")</f>
        <v>@drfahrettinkoca partial restraint is sufficient anymore</v>
      </c>
    </row>
    <row r="16286" spans="1:5" ht="15" customHeight="1" x14ac:dyDescent="0.2">
      <c r="A16286" s="1" t="s">
        <v>32079</v>
      </c>
      <c r="B16286" s="1">
        <v>0</v>
      </c>
      <c r="C16286" s="3">
        <v>44520.697835648149</v>
      </c>
      <c r="D16286" s="1" t="s">
        <v>32080</v>
      </c>
      <c r="E16286" s="1" t="str">
        <f ca="1">IFERROR(__xludf.DUMMYFUNCTION("GOOGLETRANSLATE(A13085 , ""tr"" , ""en"")"),"@drfahrettinkoca Notifications We are looking at every Twite excitedly from you I wonder if the clavuz has been published @drfahrettinkoca")</f>
        <v>@drfahrettinkoca Notifications We are looking at every Twite excitedly from you I wonder if the clavuz has been published @drfahrettinkoca</v>
      </c>
    </row>
    <row r="16287" spans="1:5" ht="15" customHeight="1" x14ac:dyDescent="0.2">
      <c r="A16287" s="1" t="s">
        <v>32081</v>
      </c>
      <c r="B16287" s="1">
        <v>0</v>
      </c>
      <c r="C16287" s="3">
        <v>44520.697430555556</v>
      </c>
      <c r="D16287" s="1" t="s">
        <v>32082</v>
      </c>
      <c r="E16287" s="1" t="str">
        <f ca="1">IFERROR(__xludf.DUMMYFUNCTION("GOOGLETRANSLATE(A13086 , ""tr"" , ""en"")"),"@drfahrettinkoca min overlooking your heart If you are transparent if you are transparent if you are transparent 1 dose of those who died if you are justice 1 dose ... https://t.co/kahwI9z3eu")</f>
        <v>@drfahrettinkoca min overlooking your heart If you are transparent if you are transparent if you are transparent 1 dose of those who died if you are justice 1 dose ... https://t.co/kahwI9z3eu</v>
      </c>
    </row>
    <row r="16288" spans="1:5" ht="15" customHeight="1" x14ac:dyDescent="0.2">
      <c r="A16288" s="1" t="s">
        <v>32083</v>
      </c>
      <c r="B16288" s="1">
        <v>0</v>
      </c>
      <c r="C16288" s="3">
        <v>44520.697141203702</v>
      </c>
      <c r="D16288" s="1" t="s">
        <v>32084</v>
      </c>
      <c r="E16288" s="1" t="str">
        <f ca="1">IFERROR(__xludf.DUMMYFUNCTION("GOOGLETRANSLATE(A13087 , ""tr"" , ""en"")"),"@drfahrettinkoca deaths fixed to 200 250 I guess")</f>
        <v>@drfahrettinkoca deaths fixed to 200 250 I guess</v>
      </c>
    </row>
    <row r="16289" spans="1:5" ht="15" customHeight="1" x14ac:dyDescent="0.2">
      <c r="A16289" s="1" t="s">
        <v>32085</v>
      </c>
      <c r="B16289" s="1">
        <v>3</v>
      </c>
      <c r="C16289" s="3">
        <v>44520.696782407409</v>
      </c>
      <c r="D16289" s="1" t="s">
        <v>32086</v>
      </c>
      <c r="E16289" s="1" t="str">
        <f ca="1">IFERROR(__xludf.DUMMYFUNCTION("GOOGLETRANSLATE(A13088 , ""tr"" , ""en"")"),"@drfahrettinkoca guide Give the Looking Bey What are you waiting for. Don't we go wild and eat the head?")</f>
        <v>@drfahrettinkoca guide Give the Looking Bey What are you waiting for. Don't we go wild and eat the head?</v>
      </c>
    </row>
    <row r="16290" spans="1:5" ht="15" customHeight="1" x14ac:dyDescent="0.2">
      <c r="A16290" s="1" t="s">
        <v>32087</v>
      </c>
      <c r="B16290" s="1">
        <v>0</v>
      </c>
      <c r="C16290" s="3">
        <v>44520.696770833332</v>
      </c>
      <c r="D16290" s="1" t="s">
        <v>32088</v>
      </c>
      <c r="E16290" s="1" t="str">
        <f ca="1">IFERROR(__xludf.DUMMYFUNCTION("GOOGLETRANSLATE(A13089 , ""tr"" , ""en"")"),"@drfahrettinkoca Hani 75% When the two dose would be masks?")</f>
        <v>@drfahrettinkoca Hani 75% When the two dose would be masks?</v>
      </c>
    </row>
    <row r="16291" spans="1:5" ht="15" customHeight="1" x14ac:dyDescent="0.2">
      <c r="A16291" s="1" t="s">
        <v>32089</v>
      </c>
      <c r="B16291" s="1">
        <v>4</v>
      </c>
      <c r="C16291" s="3">
        <v>44520.696527777778</v>
      </c>
      <c r="D16291" s="1" t="s">
        <v>32090</v>
      </c>
      <c r="E16291" s="1" t="str">
        <f ca="1">IFERROR(__xludf.DUMMYFUNCTION("GOOGLETRANSLATE(A13090 , ""tr"" , ""en"")"),"@drfahrettinkoca Measure No Universities Online Now Charter #MebyökonlineEducation")</f>
        <v>@drfahrettinkoca Measure No Universities Online Now Charter #MebyökonlineEducation</v>
      </c>
    </row>
    <row r="16292" spans="1:5" ht="15" customHeight="1" x14ac:dyDescent="0.2">
      <c r="A16292" s="1" t="s">
        <v>32091</v>
      </c>
      <c r="B16292" s="1">
        <v>5</v>
      </c>
      <c r="C16292" s="3">
        <v>44520.695497685185</v>
      </c>
      <c r="D16292" s="1" t="s">
        <v>32092</v>
      </c>
      <c r="E16292" s="1" t="str">
        <f ca="1">IFERROR(__xludf.DUMMYFUNCTION("GOOGLETRANSLATE(A13091 , ""tr"" , ""en"")"),"@drfahrettinkoca is waiting for 12 months is enough to hear anymore health care please clavuzzzzzzzzzzzzzz")</f>
        <v>@drfahrettinkoca is waiting for 12 months is enough to hear anymore health care please clavuzzzzzzzzzzzzzz</v>
      </c>
    </row>
    <row r="16293" spans="1:5" ht="15" customHeight="1" x14ac:dyDescent="0.2">
      <c r="A16293" s="1" t="s">
        <v>32093</v>
      </c>
      <c r="B16293" s="1">
        <v>8</v>
      </c>
      <c r="C16293" s="3">
        <v>44520.695243055554</v>
      </c>
      <c r="D16293" s="1" t="s">
        <v>32094</v>
      </c>
      <c r="E16293" s="1" t="str">
        <f ca="1">IFERROR(__xludf.DUMMYFUNCTION("GOOGLETRANSLATE(A13092 , ""tr"" , ""en"")"),"@drfahrettinkoca is waiting for 12 months enough to hear more than anymore health care please guesszzzzzzzzzzzz")</f>
        <v>@drfahrettinkoca is waiting for 12 months enough to hear more than anymore health care please guesszzzzzzzzzzzz</v>
      </c>
    </row>
    <row r="16294" spans="1:5" ht="15" customHeight="1" x14ac:dyDescent="0.2">
      <c r="A16294" s="1" t="s">
        <v>32095</v>
      </c>
      <c r="B16294" s="1">
        <v>36</v>
      </c>
      <c r="C16294" s="3">
        <v>44520.6950462963</v>
      </c>
      <c r="D16294" s="1" t="s">
        <v>32096</v>
      </c>
      <c r="E16294" s="1" t="str">
        <f ca="1">IFERROR(__xludf.DUMMYFUNCTION("GOOGLETRANSLATE(A13093 , ""tr"" , ""en"")"),"@drfahrettinkoca Science Board Member Professor Dr. Serap Şimşek Yavuz: ""Coronavirus in Turkey in the course of the secretary ... https://t.co/5bx0levvrg")</f>
        <v>@drfahrettinkoca Science Board Member Professor Dr. Serap Şimşek Yavuz: "Coronavirus in Turkey in the course of the secretary ... https://t.co/5bx0levvrg</v>
      </c>
    </row>
    <row r="16295" spans="1:5" ht="15" customHeight="1" x14ac:dyDescent="0.2">
      <c r="A16295" s="1" t="s">
        <v>32091</v>
      </c>
      <c r="B16295" s="1">
        <v>10</v>
      </c>
      <c r="C16295" s="3">
        <v>44520.694861111115</v>
      </c>
      <c r="D16295" s="1" t="s">
        <v>32097</v>
      </c>
      <c r="E16295" s="1" t="str">
        <f ca="1">IFERROR(__xludf.DUMMYFUNCTION("GOOGLETRANSLATE(A13094 , ""tr"" , ""en"")"),"@drfahrettinkoca is waiting for 12 months is enough to hear anymore health care please clavuzzzzzzzzzzzzzz")</f>
        <v>@drfahrettinkoca is waiting for 12 months is enough to hear anymore health care please clavuzzzzzzzzzzzzzz</v>
      </c>
    </row>
    <row r="16296" spans="1:5" ht="15" customHeight="1" x14ac:dyDescent="0.2">
      <c r="A16296" s="1" t="s">
        <v>32098</v>
      </c>
      <c r="B16296" s="1">
        <v>0</v>
      </c>
      <c r="C16296" s="3">
        <v>44520.694641203707</v>
      </c>
      <c r="D16296" s="1" t="s">
        <v>32099</v>
      </c>
      <c r="E16296" s="1" t="str">
        <f ca="1">IFERROR(__xludf.DUMMYFUNCTION("GOOGLETRANSLATE(A13095 , ""tr"" , ""en"")"),"I don't say @drfahrettinkoca bishey ....")</f>
        <v>I don't say @drfahrettinkoca bishey ....</v>
      </c>
    </row>
    <row r="16297" spans="1:5" ht="15" customHeight="1" x14ac:dyDescent="0.2">
      <c r="A16297" s="1" t="s">
        <v>32100</v>
      </c>
      <c r="B16297" s="1">
        <v>32</v>
      </c>
      <c r="C16297" s="3">
        <v>44520.69458333333</v>
      </c>
      <c r="D16297" s="1" t="s">
        <v>32101</v>
      </c>
      <c r="E16297" s="1" t="str">
        <f ca="1">IFERROR(__xludf.DUMMYFUNCTION("GOOGLETRANSLATE(A13096 , ""tr"" , ""en"")"),"@drfahrettinkoca Mr. Minister We want online education To hear our voice Your ears Tickness is enough no longer")</f>
        <v>@drfahrettinkoca Mr. Minister We want online education To hear our voice Your ears Tickness is enough no longer</v>
      </c>
    </row>
    <row r="16298" spans="1:5" ht="15" customHeight="1" x14ac:dyDescent="0.2">
      <c r="A16298" s="1" t="s">
        <v>32102</v>
      </c>
      <c r="B16298" s="1">
        <v>1</v>
      </c>
      <c r="C16298" s="3">
        <v>44520.694513888891</v>
      </c>
      <c r="D16298" s="1" t="s">
        <v>32103</v>
      </c>
      <c r="E16298" s="1" t="str">
        <f ca="1">IFERROR(__xludf.DUMMYFUNCTION("GOOGLETRANSLATE(A13097 , ""tr"" , ""en"")"),"@drfahrettinka Mr. Ministry 2 dose Snovac 1 dose biontec we were to be vaccinated again")</f>
        <v>@drfahrettinka Mr. Ministry 2 dose Snovac 1 dose biontec we were to be vaccinated again</v>
      </c>
    </row>
    <row r="16299" spans="1:5" ht="15" customHeight="1" x14ac:dyDescent="0.2">
      <c r="A16299" s="1" t="s">
        <v>32104</v>
      </c>
      <c r="B16299" s="1">
        <v>0</v>
      </c>
      <c r="C16299" s="3">
        <v>44520.694479166668</v>
      </c>
      <c r="D16299" s="1" t="s">
        <v>32105</v>
      </c>
      <c r="E16299" s="1" t="str">
        <f ca="1">IFERROR(__xludf.DUMMYFUNCTION("GOOGLETRANSLATE(A13098 , ""tr"" , ""en"")"),"@drfahrettinkoca Vallahi Billahi I don't believe in your hicbir.")</f>
        <v>@drfahrettinkoca Vallahi Billahi I don't believe in your hicbir.</v>
      </c>
    </row>
    <row r="16300" spans="1:5" ht="15" customHeight="1" x14ac:dyDescent="0.2">
      <c r="A16300" s="1" t="s">
        <v>32106</v>
      </c>
      <c r="B16300" s="1">
        <v>0</v>
      </c>
      <c r="C16300" s="3">
        <v>44520.694328703707</v>
      </c>
      <c r="D16300" s="1" t="s">
        <v>32107</v>
      </c>
      <c r="E16300" s="1" t="str">
        <f ca="1">IFERROR(__xludf.DUMMYFUNCTION("GOOGLETRANSLATE(A13099 , ""tr"" , ""en"")"),"@drfahrettinkoca Clasized Waiting for urgent")</f>
        <v>@drfahrettinkoca Clasized Waiting for urgent</v>
      </c>
    </row>
    <row r="16301" spans="1:5" ht="15" customHeight="1" x14ac:dyDescent="0.2">
      <c r="A16301" s="1" t="s">
        <v>32108</v>
      </c>
      <c r="B16301" s="1">
        <v>0</v>
      </c>
      <c r="C16301" s="3">
        <v>44520.694293981483</v>
      </c>
      <c r="D16301" s="1" t="s">
        <v>32109</v>
      </c>
      <c r="E16301" s="1" t="str">
        <f ca="1">IFERROR(__xludf.DUMMYFUNCTION("GOOGLETRANSLATE(A13100 , ""tr"" , ""en"")"),"@drfahrettinkoca Mr. @drfahrettinkoca Where is the guide?")</f>
        <v>@drfahrettinkoca Mr. @drfahrettinkoca Where is the guide?</v>
      </c>
    </row>
    <row r="16302" spans="1:5" ht="15" customHeight="1" x14ac:dyDescent="0.2">
      <c r="A16302" s="1" t="s">
        <v>32110</v>
      </c>
      <c r="B16302" s="1">
        <v>0</v>
      </c>
      <c r="C16302" s="3">
        <v>44520.694236111114</v>
      </c>
      <c r="D16302" s="1" t="s">
        <v>32111</v>
      </c>
      <c r="E16302" s="1" t="str">
        <f ca="1">IFERROR(__xludf.DUMMYFUNCTION("GOOGLETRANSLATE(A13101 , ""tr"" , ""en"")"),"As @drfahrettinkoca ratio, as the rate increases, at least they must have a withdraw in the deaths.")</f>
        <v>As @drfahrettinkoca ratio, as the rate increases, at least they must have a withdraw in the deaths.</v>
      </c>
    </row>
    <row r="16303" spans="1:5" ht="15" customHeight="1" x14ac:dyDescent="0.2">
      <c r="A16303" s="1" t="s">
        <v>32112</v>
      </c>
      <c r="B16303" s="1">
        <v>0</v>
      </c>
      <c r="C16303" s="3">
        <v>44520.694097222222</v>
      </c>
      <c r="D16303" s="1" t="s">
        <v>32113</v>
      </c>
      <c r="E16303" s="1" t="str">
        <f ca="1">IFERROR(__xludf.DUMMYFUNCTION("GOOGLETRANSLATE(A13102 , ""tr"" , ""en"")"),"@drfahrettinkoca Request Cayyium, Fahreddin ... Hard Vallahi in your work.")</f>
        <v>@drfahrettinkoca Request Cayyium, Fahreddin ... Hard Vallahi in your work.</v>
      </c>
    </row>
    <row r="16304" spans="1:5" ht="15" customHeight="1" x14ac:dyDescent="0.2">
      <c r="A16304" s="1" t="s">
        <v>32114</v>
      </c>
      <c r="B16304" s="1">
        <v>7</v>
      </c>
      <c r="C16304" s="3">
        <v>44520.693888888891</v>
      </c>
      <c r="D16304" s="1" t="s">
        <v>32115</v>
      </c>
      <c r="E16304" s="1" t="str">
        <f ca="1">IFERROR(__xludf.DUMMYFUNCTION("GOOGLETRANSLATE(A13103 , ""tr"" , ""en"")"),"@drfahrettinkoca Please read again in six months, increasing numbers ""a"". https://t.co/yuvblqtyzt")</f>
        <v>@drfahrettinkoca Please read again in six months, increasing numbers "a". https://t.co/yuvblqtyzt</v>
      </c>
    </row>
    <row r="16305" spans="1:5" ht="15" customHeight="1" x14ac:dyDescent="0.2">
      <c r="A16305" s="1" t="s">
        <v>32116</v>
      </c>
      <c r="B16305" s="1">
        <v>9</v>
      </c>
      <c r="C16305" s="3">
        <v>44520.693831018521</v>
      </c>
      <c r="D16305" s="1" t="s">
        <v>32117</v>
      </c>
      <c r="E16305" s="1" t="str">
        <f ca="1">IFERROR(__xludf.DUMMYFUNCTION("GOOGLETRANSLATE(A13104 , ""tr"" , ""en"")"),"@drfahrettinkoca Mr. Minister until the end of my 1st time 👉 # SchoolsAktanıkTimeMegecsin👈 # AlludationsAducation")</f>
        <v>@drfahrettinkoca Mr. Minister until the end of my 1st time 👉 # SchoolsAktanıkTimeMegecsin👈 # AlludationsAducation</v>
      </c>
    </row>
    <row r="16306" spans="1:5" ht="15" customHeight="1" x14ac:dyDescent="0.2">
      <c r="A16306" s="1" t="s">
        <v>32118</v>
      </c>
      <c r="B16306" s="1">
        <v>37</v>
      </c>
      <c r="C16306" s="3">
        <v>44520.693761574075</v>
      </c>
      <c r="D16306" s="1" t="s">
        <v>32119</v>
      </c>
      <c r="E16306" s="1" t="str">
        <f ca="1">IFERROR(__xludf.DUMMYFUNCTION("GOOGLETRANSLATE(A13105 , ""tr"" , ""en"")"),"@drfahrettinka we were right on November to be assignment in November 10 days After November ends Still the guide is not published")</f>
        <v>@drfahrettinka we were right on November to be assignment in November 10 days After November ends Still the guide is not published</v>
      </c>
    </row>
    <row r="16307" spans="1:5" ht="15" customHeight="1" x14ac:dyDescent="0.2">
      <c r="A16307" s="1" t="s">
        <v>32120</v>
      </c>
      <c r="B16307" s="1">
        <v>0</v>
      </c>
      <c r="C16307" s="3">
        <v>44520.693738425929</v>
      </c>
      <c r="D16307" s="1" t="s">
        <v>32121</v>
      </c>
      <c r="E16307" s="1" t="str">
        <f ca="1">IFERROR(__xludf.DUMMYFUNCTION("GOOGLETRANSLATE(A13106 , ""tr"" , ""en"")"),"@drfahrettinkoca vaccines you know that you don't have a groovy, you want to vaccinate everyone, the vaccines y ... https://t.co/fzh14kndyi")</f>
        <v>@drfahrettinkoca vaccines you know that you don't have a groovy, you want to vaccinate everyone, the vaccines y ... https://t.co/fzh14kndyi</v>
      </c>
    </row>
    <row r="16308" spans="1:5" ht="15" customHeight="1" x14ac:dyDescent="0.2">
      <c r="A16308" s="1" t="s">
        <v>32122</v>
      </c>
      <c r="B16308" s="1">
        <v>1</v>
      </c>
      <c r="C16308" s="3">
        <v>44520.693206018521</v>
      </c>
      <c r="D16308" s="1" t="s">
        <v>32123</v>
      </c>
      <c r="E16308" s="1" t="str">
        <f ca="1">IFERROR(__xludf.DUMMYFUNCTION("GOOGLETRANSLATE(A13107 , ""tr"" , ""en"")"),"@drfahrettinkoca Run Citizen No Blank .. https://t.co/cdogf5hvuo")</f>
        <v>@drfahrettinkoca Run Citizen No Blank .. https://t.co/cdogf5hvuo</v>
      </c>
    </row>
    <row r="16309" spans="1:5" ht="15" customHeight="1" x14ac:dyDescent="0.2">
      <c r="A16309" s="1" t="s">
        <v>32124</v>
      </c>
      <c r="B16309" s="1">
        <v>2</v>
      </c>
      <c r="C16309" s="3">
        <v>44520.692812499998</v>
      </c>
      <c r="D16309" s="1" t="s">
        <v>32125</v>
      </c>
      <c r="E16309" s="1" t="str">
        <f ca="1">IFERROR(__xludf.DUMMYFUNCTION("GOOGLETRANSLATE(A13108 , ""tr"" , ""en"")"),"@drfahrettinkoca epidemic knowing how do you end the date https://t.co/xvmafsxuzr")</f>
        <v>@drfahrettinkoca epidemic knowing how do you end the date https://t.co/xvmafsxuzr</v>
      </c>
    </row>
    <row r="16310" spans="1:5" ht="15" customHeight="1" x14ac:dyDescent="0.2">
      <c r="A16310" s="1" t="s">
        <v>32126</v>
      </c>
      <c r="B16310" s="1">
        <v>97</v>
      </c>
      <c r="C16310" s="3">
        <v>44520.692789351851</v>
      </c>
      <c r="D16310" s="1" t="s">
        <v>32127</v>
      </c>
      <c r="E16310" s="1" t="str">
        <f ca="1">IFERROR(__xludf.DUMMYFUNCTION("GOOGLETRANSLATE(A13109 , ""tr"" , ""en"")"),"@drfahrettinkoca Monday Schools will open sec. But no improvement news is interested in schools with interests #mebyökonlinelitimhakk")</f>
        <v>@drfahrettinkoca Monday Schools will open sec. But no improvement news is interested in schools with interests #mebyökonlinelitimhakk</v>
      </c>
    </row>
    <row r="16311" spans="1:5" ht="15" customHeight="1" x14ac:dyDescent="0.2">
      <c r="A16311" s="1" t="s">
        <v>32128</v>
      </c>
      <c r="B16311" s="1">
        <v>8</v>
      </c>
      <c r="C16311" s="3">
        <v>44520.692499999997</v>
      </c>
      <c r="D16311" s="1" t="s">
        <v>32129</v>
      </c>
      <c r="E16311" s="1" t="str">
        <f ca="1">IFERROR(__xludf.DUMMYFUNCTION("GOOGLETRANSLATE(A13110 , ""tr"" , ""en"")"),"@drfahrettinka https://t.co/8nveieuefh")</f>
        <v>@drfahrettinka https://t.co/8nveieuefh</v>
      </c>
    </row>
    <row r="16312" spans="1:5" ht="15" customHeight="1" x14ac:dyDescent="0.2">
      <c r="A16312" s="1" t="s">
        <v>32130</v>
      </c>
      <c r="B16312" s="1">
        <v>6</v>
      </c>
      <c r="C16312" s="3">
        <v>44520.69226851852</v>
      </c>
      <c r="D16312" s="1" t="s">
        <v>32131</v>
      </c>
      <c r="E16312" s="1" t="str">
        <f ca="1">IFERROR(__xludf.DUMMYFUNCTION("GOOGLETRANSLATE(A13111 , ""tr"" , ""en"")"),"@drfahrettinkoca hydroxyclorakin and favipiravir after how do you still make advice to nation without blushing your face?")</f>
        <v>@drfahrettinkoca hydroxyclorakin and favipiravir after how do you still make advice to nation without blushing your face?</v>
      </c>
    </row>
    <row r="16313" spans="1:5" ht="15" customHeight="1" x14ac:dyDescent="0.2">
      <c r="A16313" s="1" t="s">
        <v>32132</v>
      </c>
      <c r="B16313" s="1">
        <v>0</v>
      </c>
      <c r="C16313" s="3">
        <v>44520.692141203705</v>
      </c>
      <c r="D16313" s="1" t="s">
        <v>32133</v>
      </c>
      <c r="E16313" s="1" t="str">
        <f ca="1">IFERROR(__xludf.DUMMYFUNCTION("GOOGLETRANSLATE(A13112 , ""tr"" , ""en"")"),"@drfahrettinkoca masallah either the shaft")</f>
        <v>@drfahrettinkoca masallah either the shaft</v>
      </c>
    </row>
    <row r="16314" spans="1:5" ht="15" customHeight="1" x14ac:dyDescent="0.2">
      <c r="A16314" s="1" t="s">
        <v>32134</v>
      </c>
      <c r="B16314" s="1">
        <v>59</v>
      </c>
      <c r="C16314" s="3">
        <v>44520.692141203705</v>
      </c>
      <c r="D16314" s="1" t="s">
        <v>32135</v>
      </c>
      <c r="E16314" s="1" t="str">
        <f ca="1">IFERROR(__xludf.DUMMYFUNCTION("GOOGLETRANSLATE(A13113 , ""tr"" , ""en"")"),"@drfahrettinkoca still have 200 spindle passurely if you pay attention to health, you will continue their school online school ... https://t.co/bfscl324q6")</f>
        <v>@drfahrettinkoca still have 200 spindle passurely if you pay attention to health, you will continue their school online school ... https://t.co/bfscl324q6</v>
      </c>
    </row>
    <row r="16315" spans="1:5" ht="15" customHeight="1" x14ac:dyDescent="0.2">
      <c r="A16315" s="1" t="s">
        <v>32136</v>
      </c>
      <c r="B16315" s="1">
        <v>15</v>
      </c>
      <c r="C16315" s="3">
        <v>44520.691458333335</v>
      </c>
      <c r="D16315" s="1" t="s">
        <v>32137</v>
      </c>
      <c r="E16315" s="1" t="str">
        <f ca="1">IFERROR(__xludf.DUMMYFUNCTION("GOOGLETRANSLATE(A13114 , ""tr"" , ""en"")"),"@drfahrettinkoca Monday We will be waiting for the guide Mr. Minister")</f>
        <v>@drfahrettinkoca Monday We will be waiting for the guide Mr. Minister</v>
      </c>
    </row>
    <row r="16316" spans="1:5" ht="15" customHeight="1" x14ac:dyDescent="0.2">
      <c r="A16316" s="1" t="s">
        <v>32138</v>
      </c>
      <c r="B16316" s="1">
        <v>0</v>
      </c>
      <c r="C16316" s="3">
        <v>44520.691400462965</v>
      </c>
      <c r="D16316" s="1" t="s">
        <v>32139</v>
      </c>
      <c r="E16316" s="1" t="str">
        <f ca="1">IFERROR(__xludf.DUMMYFUNCTION("GOOGLETRANSLATE(A13115 , ""tr"" , ""en"")"),"@drfahrettinkoca ya kahkhar")</f>
        <v>@drfahrettinkoca ya kahkhar</v>
      </c>
    </row>
    <row r="16317" spans="1:5" ht="15" customHeight="1" x14ac:dyDescent="0.2">
      <c r="A16317" s="1" t="s">
        <v>32140</v>
      </c>
      <c r="B16317" s="1">
        <v>0</v>
      </c>
      <c r="C16317" s="3">
        <v>44520.69122685185</v>
      </c>
      <c r="D16317" s="1" t="s">
        <v>32141</v>
      </c>
      <c r="E16317" s="1" t="str">
        <f ca="1">IFERROR(__xludf.DUMMYFUNCTION("GOOGLETRANSLATE(A13116 , ""tr"" , ""en"")"),"@drfahrettinkoca cause? 60% were enough. When the millions of people in the winner of the natural capbits are also OOO! We have passed the ant ... https://t.co/ytp45fb2um")</f>
        <v>@drfahrettinkoca cause? 60% were enough. When the millions of people in the winner of the natural capbits are also OOO! We have passed the ant ... https://t.co/ytp45fb2um</v>
      </c>
    </row>
    <row r="16318" spans="1:5" ht="15" customHeight="1" x14ac:dyDescent="0.2">
      <c r="A16318" s="1" t="s">
        <v>32142</v>
      </c>
      <c r="B16318" s="1">
        <v>1</v>
      </c>
      <c r="C16318" s="3">
        <v>44520.691064814811</v>
      </c>
      <c r="D16318" s="1" t="s">
        <v>32143</v>
      </c>
      <c r="E16318" s="1" t="str">
        <f ca="1">IFERROR(__xludf.DUMMYFUNCTION("GOOGLETRANSLATE(A13117 , ""tr"" , ""en"")"),"@drfahrettinkoca Karabük in vaccination in first rows but in the first rankings in case. 🧐")</f>
        <v>@drfahrettinkoca Karabük in vaccination in first rows but in the first rankings in case. 🧐</v>
      </c>
    </row>
    <row r="16319" spans="1:5" ht="15" customHeight="1" x14ac:dyDescent="0.2">
      <c r="A16319" s="1" t="s">
        <v>32144</v>
      </c>
      <c r="B16319" s="1">
        <v>0</v>
      </c>
      <c r="C16319" s="3">
        <v>44520.690949074073</v>
      </c>
      <c r="D16319" s="1" t="s">
        <v>32145</v>
      </c>
      <c r="E16319" s="1" t="str">
        <f ca="1">IFERROR(__xludf.DUMMYFUNCTION("GOOGLETRANSLATE(A13118 , ""tr"" , ""en"")"),"@drfahrettinkoca Talk to the prisoners in one time Sayin President 42 Kisi stays in 13-person wards every ... https://t.co/o5cqfvgt8v")</f>
        <v>@drfahrettinkoca Talk to the prisoners in one time Sayin President 42 Kisi stays in 13-person wards every ... https://t.co/o5cqfvgt8v</v>
      </c>
    </row>
    <row r="16320" spans="1:5" ht="15" customHeight="1" x14ac:dyDescent="0.2">
      <c r="A16320" s="1" t="s">
        <v>32146</v>
      </c>
      <c r="B16320" s="1">
        <v>105</v>
      </c>
      <c r="C16320" s="3">
        <v>44520.690925925926</v>
      </c>
      <c r="D16320" s="1" t="s">
        <v>32147</v>
      </c>
      <c r="E16320" s="1" t="str">
        <f ca="1">IFERROR(__xludf.DUMMYFUNCTION("GOOGLETRANSLATE(A13119 , ""tr"" , ""en"")"),"@drfahrettinkoca ⭕ Online training before it's too late! ⚠ #MebyoEkonLineEducationHand @tcmeb")</f>
        <v>@drfahrettinkoca ⭕ Online training before it's too late! ⚠ #MebyoEkonLineEducationHand @tcmeb</v>
      </c>
    </row>
    <row r="16321" spans="1:5" ht="15" customHeight="1" x14ac:dyDescent="0.2">
      <c r="A16321" s="1" t="s">
        <v>32148</v>
      </c>
      <c r="B16321" s="1">
        <v>0</v>
      </c>
      <c r="C16321" s="3">
        <v>44520.690925925926</v>
      </c>
      <c r="D16321" s="1" t="s">
        <v>32149</v>
      </c>
      <c r="E16321" s="1" t="str">
        <f ca="1">IFERROR(__xludf.DUMMYFUNCTION("GOOGLETRANSLATE(A13120 , ""tr"" , ""en"")"),"@drfahrettinkoca stop judging the genocharmm, even from that seat Almiaos this WHO Power to be vain ... https://t.co/b9sdubdpkd")</f>
        <v>@drfahrettinkoca stop judging the genocharmm, even from that seat Almiaos this WHO Power to be vain ... https://t.co/b9sdubdpkd</v>
      </c>
    </row>
    <row r="16322" spans="1:5" ht="15" customHeight="1" x14ac:dyDescent="0.2">
      <c r="A16322" s="1" t="s">
        <v>32150</v>
      </c>
      <c r="B16322" s="1">
        <v>0</v>
      </c>
      <c r="C16322" s="3">
        <v>44520.690717592595</v>
      </c>
      <c r="D16322" s="1" t="s">
        <v>32151</v>
      </c>
      <c r="E16322" s="1" t="str">
        <f ca="1">IFERROR(__xludf.DUMMYFUNCTION("GOOGLETRANSLATE(A13121 , ""tr"" , ""en"")"),"@drfahrettinkoca Cebelitarik is a 100% rebel rate of ragmen situation asagida. What are you doing on this Say ... https://t.co/a4zpqnym6m")</f>
        <v>@drfahrettinkoca Cebelitarik is a 100% rebel rate of ragmen situation asagida. What are you doing on this Say ... https://t.co/a4zpqnym6m</v>
      </c>
    </row>
    <row r="16323" spans="1:5" ht="15" customHeight="1" x14ac:dyDescent="0.2">
      <c r="A16323" s="1" t="s">
        <v>32152</v>
      </c>
      <c r="B16323" s="1">
        <v>17</v>
      </c>
      <c r="C16323" s="3">
        <v>44520.690717592595</v>
      </c>
      <c r="D16323" s="1" t="s">
        <v>32153</v>
      </c>
      <c r="E16323" s="1" t="str">
        <f ca="1">IFERROR(__xludf.DUMMYFUNCTION("GOOGLETRANSLATE(A13122 , ""tr"" , ""en"")"),"@drfahrettinkoca Snacing is one of this medicine is money gaining money? If you insist on using the inert medication ... https://t.co/csqblntr4j")</f>
        <v>@drfahrettinkoca Snacing is one of this medicine is money gaining money? If you insist on using the inert medication ... https://t.co/csqblntr4j</v>
      </c>
    </row>
    <row r="16324" spans="1:5" ht="15" customHeight="1" x14ac:dyDescent="0.2">
      <c r="A16324" s="1" t="s">
        <v>31661</v>
      </c>
      <c r="B16324" s="1">
        <v>3</v>
      </c>
      <c r="C16324" s="3">
        <v>44520.690567129626</v>
      </c>
      <c r="D16324" s="1" t="s">
        <v>32154</v>
      </c>
      <c r="E16324" s="1" t="str">
        <f ca="1">IFERROR(__xludf.DUMMYFUNCTION("GOOGLETRANSLATE(A13123 , ""tr"" , ""en"")"),"@drfahrettinkoca #mebyoekonlineElitime")</f>
        <v>@drfahrettinkoca #mebyoekonlineElitime</v>
      </c>
    </row>
    <row r="16325" spans="1:5" ht="15" customHeight="1" x14ac:dyDescent="0.2">
      <c r="A16325" s="1" t="s">
        <v>32155</v>
      </c>
      <c r="B16325" s="1">
        <v>1</v>
      </c>
      <c r="C16325" s="3">
        <v>44520.690451388888</v>
      </c>
      <c r="D16325" s="1" t="s">
        <v>32156</v>
      </c>
      <c r="E16325" s="1" t="str">
        <f ca="1">IFERROR(__xludf.DUMMYFUNCTION("GOOGLETRANSLATE(A13124 , ""tr"" , ""en"")"),"@drfahrettinkoca I'm waiting for the flower virus (labarautuar version) Maybe es accident I get his vaccine. Me y ... https://t.co/mkjrugzmqi")</f>
        <v>@drfahrettinkoca I'm waiting for the flower virus (labarautuar version) Maybe es accident I get his vaccine. Me y ... https://t.co/mkjrugzmqi</v>
      </c>
    </row>
    <row r="16326" spans="1:5" ht="15" customHeight="1" x14ac:dyDescent="0.2">
      <c r="A16326" s="1" t="s">
        <v>32157</v>
      </c>
      <c r="B16326" s="1">
        <v>0</v>
      </c>
      <c r="C16326" s="3">
        <v>44520.690300925926</v>
      </c>
      <c r="D16326" s="1" t="s">
        <v>32158</v>
      </c>
      <c r="E16326" s="1" t="str">
        <f ca="1">IFERROR(__xludf.DUMMYFUNCTION("GOOGLETRANSLATE(A13125 , ""tr"" , ""en"")"),"@drfahrettinkoca # türkovac")</f>
        <v>@drfahrettinkoca # türkovac</v>
      </c>
    </row>
    <row r="16327" spans="1:5" ht="15" customHeight="1" x14ac:dyDescent="0.2">
      <c r="A16327" s="1" t="s">
        <v>32159</v>
      </c>
      <c r="B16327" s="1">
        <v>11</v>
      </c>
      <c r="C16327" s="3">
        <v>44520.689918981479</v>
      </c>
      <c r="D16327" s="1" t="s">
        <v>32160</v>
      </c>
      <c r="E16327" s="1" t="str">
        <f ca="1">IFERROR(__xludf.DUMMYFUNCTION("GOOGLETRANSLATE(A13126 , ""tr"" , ""en"")"),"@drfahrettinkoca daily hundreds of people lose their lives, while Europe and the world pass quickly to shut down ... https://t.co/4fsef4j6kg")</f>
        <v>@drfahrettinkoca daily hundreds of people lose their lives, while Europe and the world pass quickly to shut down ... https://t.co/4fsef4j6kg</v>
      </c>
    </row>
    <row r="16328" spans="1:5" ht="15" customHeight="1" x14ac:dyDescent="0.2">
      <c r="A16328" s="1" t="s">
        <v>32161</v>
      </c>
      <c r="B16328" s="1">
        <v>0</v>
      </c>
      <c r="C16328" s="3">
        <v>44520.689745370371</v>
      </c>
      <c r="D16328" s="1" t="s">
        <v>32162</v>
      </c>
      <c r="E16328" s="1" t="str">
        <f ca="1">IFERROR(__xludf.DUMMYFUNCTION("GOOGLETRANSLATE(A13127 , ""tr"" , ""en"")"),"@drfahrettinkca claims to correspond to 60%; I guess you don't count 10 million refugees.")</f>
        <v>@drfahrettinkca claims to correspond to 60%; I guess you don't count 10 million refugees.</v>
      </c>
    </row>
    <row r="16329" spans="1:5" ht="15" customHeight="1" x14ac:dyDescent="0.2">
      <c r="A16329" s="1" t="s">
        <v>32163</v>
      </c>
      <c r="B16329" s="1">
        <v>0</v>
      </c>
      <c r="C16329" s="3">
        <v>44520.689745370371</v>
      </c>
      <c r="D16329" s="1" t="s">
        <v>32164</v>
      </c>
      <c r="E16329" s="1" t="str">
        <f ca="1">IFERROR(__xludf.DUMMYFUNCTION("GOOGLETRANSLATE(A13128 , ""tr"" , ""en"")"),"@drfahrettinkoca Mr. Ministry Depending on your account This rate has to finish the epidemic, what didn't end in the army? Bird ... https://t.co/w1nhpsx683")</f>
        <v>@drfahrettinkoca Mr. Ministry Depending on your account This rate has to finish the epidemic, what didn't end in the army? Bird ... https://t.co/w1nhpsx683</v>
      </c>
    </row>
    <row r="16330" spans="1:5" ht="15" customHeight="1" x14ac:dyDescent="0.2">
      <c r="A16330" s="1" t="s">
        <v>32165</v>
      </c>
      <c r="B16330" s="1">
        <v>0</v>
      </c>
      <c r="C16330" s="3">
        <v>44520.689699074072</v>
      </c>
      <c r="D16330" s="1" t="s">
        <v>32166</v>
      </c>
      <c r="E16330" s="1" t="str">
        <f ca="1">IFERROR(__xludf.DUMMYFUNCTION("GOOGLETRANSLATE(A13129 , ""tr"" , ""en"")"),"@drfahrettinkoca LAN is writing 80 on the table My brain has burned AQ If someone will rejoice")</f>
        <v>@drfahrettinkoca LAN is writing 80 on the table My brain has burned AQ If someone will rejoice</v>
      </c>
    </row>
    <row r="16331" spans="1:5" ht="15" customHeight="1" x14ac:dyDescent="0.2">
      <c r="A16331" s="1" t="s">
        <v>32167</v>
      </c>
      <c r="B16331" s="1">
        <v>5</v>
      </c>
      <c r="C16331" s="3">
        <v>44520.689421296294</v>
      </c>
      <c r="D16331" s="1" t="s">
        <v>32168</v>
      </c>
      <c r="E16331" s="1" t="str">
        <f ca="1">IFERROR(__xludf.DUMMYFUNCTION("GOOGLETRANSLATE(A13130 , ""tr"" , ""en"")"),"@drfahrettinka Divine Fahrrettin, you kill the man")</f>
        <v>@drfahrettinka Divine Fahrrettin, you kill the man</v>
      </c>
    </row>
    <row r="16332" spans="1:5" ht="15" customHeight="1" x14ac:dyDescent="0.2">
      <c r="A16332" s="1" t="s">
        <v>32169</v>
      </c>
      <c r="B16332" s="1">
        <v>3</v>
      </c>
      <c r="C16332" s="3">
        <v>44520.689386574071</v>
      </c>
      <c r="D16332" s="1" t="s">
        <v>32170</v>
      </c>
      <c r="E16332" s="1" t="str">
        <f ca="1">IFERROR(__xludf.DUMMYFUNCTION("GOOGLETRANSLATE(A13131 , ""tr"" , ""en"")"),"@drfahrettinkoca Enough Hear the Sound of Aim Ogrencin #mebyökonlineEducation")</f>
        <v>@drfahrettinkoca Enough Hear the Sound of Aim Ogrencin #mebyökonlineEducation</v>
      </c>
    </row>
    <row r="16333" spans="1:5" ht="15" customHeight="1" x14ac:dyDescent="0.2">
      <c r="A16333" s="1" t="s">
        <v>32171</v>
      </c>
      <c r="B16333" s="1">
        <v>0</v>
      </c>
      <c r="C16333" s="3">
        <v>44525.984293981484</v>
      </c>
      <c r="D16333" s="1" t="s">
        <v>32172</v>
      </c>
      <c r="E16333" s="1" t="str">
        <f ca="1">IFERROR(__xludf.DUMMYFUNCTION("GOOGLETRANSLATE(A13132 , ""tr"" , ""en"")"),"@drfahrettinkoca Dry beans More useful than this vaccine Steel Kelle Kelle Besides")</f>
        <v>@drfahrettinkoca Dry beans More useful than this vaccine Steel Kelle Kelle Besides</v>
      </c>
    </row>
    <row r="16334" spans="1:5" ht="15" customHeight="1" x14ac:dyDescent="0.2">
      <c r="A16334" s="1" t="s">
        <v>32173</v>
      </c>
      <c r="B16334" s="1">
        <v>0</v>
      </c>
      <c r="C16334" s="3">
        <v>44530.935925925929</v>
      </c>
      <c r="D16334" s="1" t="s">
        <v>32174</v>
      </c>
      <c r="E16334" s="1" t="str">
        <f ca="1">IFERROR(__xludf.DUMMYFUNCTION("GOOGLETRANSLATE(A13133 , ""tr"" , ""en"")"),"@drfahrettinkoca is enough or asi vaccine you are fucking asi. When we see the benefit of the Bi, it is akayyet. Allah im ... https://t.co/akudkvtbb7")</f>
        <v>@drfahrettinkoca is enough or asi vaccine you are fucking asi. When we see the benefit of the Bi, it is akayyet. Allah im ... https://t.co/akudkvtbb7</v>
      </c>
    </row>
    <row r="16335" spans="1:5" ht="15" customHeight="1" x14ac:dyDescent="0.2">
      <c r="A16335" s="1" t="s">
        <v>32175</v>
      </c>
      <c r="B16335" s="1">
        <v>0</v>
      </c>
      <c r="C16335" s="3">
        <v>44522.978773148148</v>
      </c>
      <c r="D16335" s="1" t="s">
        <v>32176</v>
      </c>
      <c r="E16335" s="1" t="str">
        <f ca="1">IFERROR(__xludf.DUMMYFUNCTION("GOOGLETRANSLATE(A13134 , ""tr"" , ""en"")"),"@drfahrettinkoca has hit the vaccine, he wanted to Dorm to Dorm to the 500 TL PCR test, you can't go to the Sittin year. ... https://t.co/qzjtpb0ycp")</f>
        <v>@drfahrettinkoca has hit the vaccine, he wanted to Dorm to Dorm to the 500 TL PCR test, you can't go to the Sittin year. ... https://t.co/qzjtpb0ycp</v>
      </c>
    </row>
    <row r="16336" spans="1:5" ht="15" customHeight="1" x14ac:dyDescent="0.2">
      <c r="A16336" s="1" t="s">
        <v>32177</v>
      </c>
      <c r="B16336" s="1">
        <v>0</v>
      </c>
      <c r="C16336" s="3">
        <v>44522.94767361111</v>
      </c>
      <c r="D16336" s="1" t="s">
        <v>32178</v>
      </c>
      <c r="E16336" s="1" t="str">
        <f ca="1">IFERROR(__xludf.DUMMYFUNCTION("GOOGLETRANSLATE(A13135 , ""tr"" , ""en"")"),"@drfahrettinkoca o I take the drugs and dying 🤔 🤔")</f>
        <v>@drfahrettinkoca o I take the drugs and dying 🤔 🤔</v>
      </c>
    </row>
    <row r="16337" spans="1:5" ht="15" customHeight="1" x14ac:dyDescent="0.2">
      <c r="A16337" s="1" t="s">
        <v>32179</v>
      </c>
      <c r="B16337" s="1">
        <v>0</v>
      </c>
      <c r="C16337" s="3">
        <v>44521.961921296293</v>
      </c>
      <c r="D16337" s="1" t="s">
        <v>32180</v>
      </c>
      <c r="E16337" s="1" t="str">
        <f ca="1">IFERROR(__xludf.DUMMYFUNCTION("GOOGLETRANSLATE(A13136 , ""tr"" , ""en"")"),"@drfahrettinka I was Covid + before. I've learned that I was a little before https://t.co/ynvzzteueh. my two biontec vaccine ... https://t.co/4xavfn7lrk")</f>
        <v>@drfahrettinka I was Covid + before. I've learned that I was a little before https://t.co/ynvzzteueh. my two biontec vaccine ... https://t.co/4xavfn7lrk</v>
      </c>
    </row>
    <row r="16338" spans="1:5" ht="15" customHeight="1" x14ac:dyDescent="0.2">
      <c r="A16338" s="1" t="s">
        <v>32181</v>
      </c>
      <c r="B16338" s="1">
        <v>0</v>
      </c>
      <c r="C16338" s="3">
        <v>44521.954398148147</v>
      </c>
      <c r="D16338" s="1" t="s">
        <v>32182</v>
      </c>
      <c r="E16338" s="1" t="str">
        <f ca="1">IFERROR(__xludf.DUMMYFUNCTION("GOOGLETRANSLATE(A13137 , ""tr"" , ""en"")"),"Why @drfahrettinkoca will get the sample. You are showing sticks from the bottom of the ABA you are others' users ... https://t.co/uofvuvkbuo")</f>
        <v>Why @drfahrettinkoca will get the sample. You are showing sticks from the bottom of the ABA you are others' users ... https://t.co/uofvuvkbuo</v>
      </c>
    </row>
    <row r="16339" spans="1:5" ht="15" customHeight="1" x14ac:dyDescent="0.2">
      <c r="A16339" s="1" t="s">
        <v>32183</v>
      </c>
      <c r="B16339" s="1">
        <v>0</v>
      </c>
      <c r="C16339" s="3">
        <v>44521.92765046296</v>
      </c>
      <c r="D16339" s="1" t="s">
        <v>32184</v>
      </c>
      <c r="E16339" s="1" t="str">
        <f ca="1">IFERROR(__xludf.DUMMYFUNCTION("GOOGLETRANSLATE(A13138 , ""tr"" , ""en"")"),"@drfahrettinkoca nurses do you know in what case")</f>
        <v>@drfahrettinkoca nurses do you know in what case</v>
      </c>
    </row>
    <row r="16340" spans="1:5" ht="15" customHeight="1" x14ac:dyDescent="0.2">
      <c r="A16340" s="1" t="s">
        <v>32185</v>
      </c>
      <c r="B16340" s="1">
        <v>0</v>
      </c>
      <c r="C16340" s="3">
        <v>44521.916689814818</v>
      </c>
      <c r="D16340" s="1" t="s">
        <v>32186</v>
      </c>
      <c r="E16340" s="1" t="str">
        <f ca="1">IFERROR(__xludf.DUMMYFUNCTION("GOOGLETRANSLATE(A13139 , ""tr"" , ""en"")"),"@drfahrettinkoca I think you should come in distance education ...")</f>
        <v>@drfahrettinkoca I think you should come in distance education ...</v>
      </c>
    </row>
    <row r="16341" spans="1:5" ht="15" customHeight="1" x14ac:dyDescent="0.2">
      <c r="A16341" s="1" t="s">
        <v>32187</v>
      </c>
      <c r="B16341" s="1">
        <v>0</v>
      </c>
      <c r="C16341" s="3">
        <v>44521.909166666665</v>
      </c>
      <c r="D16341" s="1" t="s">
        <v>32188</v>
      </c>
      <c r="E16341" s="1" t="str">
        <f ca="1">IFERROR(__xludf.DUMMYFUNCTION("GOOGLETRANSLATE(A13140 , ""tr"" , ""en"")"),"@drfahrettinkoca Respect RESPONSE DEVERE CORRECT COMPARE POWER is 2 dose biyontek vaccine but Covite is captured and Daddy ... https://t.co/vigftm7nao")</f>
        <v>@drfahrettinkoca Respect RESPONSE DEVERE CORRECT COMPARE POWER is 2 dose biyontek vaccine but Covite is captured and Daddy ... https://t.co/vigftm7nao</v>
      </c>
    </row>
    <row r="16342" spans="1:5" ht="15" customHeight="1" x14ac:dyDescent="0.2">
      <c r="A16342" s="1" t="s">
        <v>32189</v>
      </c>
      <c r="B16342" s="1">
        <v>0</v>
      </c>
      <c r="C16342" s="3">
        <v>44521.897523148145</v>
      </c>
      <c r="D16342" s="1" t="s">
        <v>32190</v>
      </c>
      <c r="E16342" s="1" t="str">
        <f ca="1">IFERROR(__xludf.DUMMYFUNCTION("GOOGLETRANSLATE(A13141 , ""tr"" , ""en"")"),"@drfahrettinka Appointments Nolcak Health Ages Attacked City Hospitals Made Result Zero Old Vintage ... https://t.co/yfqubaosob")</f>
        <v>@drfahrettinka Appointments Nolcak Health Ages Attacked City Hospitals Made Result Zero Old Vintage ... https://t.co/yfqubaosob</v>
      </c>
    </row>
    <row r="16343" spans="1:5" ht="15" customHeight="1" x14ac:dyDescent="0.2">
      <c r="A16343" s="1" t="s">
        <v>32191</v>
      </c>
      <c r="B16343" s="1">
        <v>0</v>
      </c>
      <c r="C16343" s="3">
        <v>44521.888055555559</v>
      </c>
      <c r="D16343" s="1" t="s">
        <v>32192</v>
      </c>
      <c r="E16343" s="1" t="str">
        <f ca="1">IFERROR(__xludf.DUMMYFUNCTION("GOOGLETRANSLATE(A13142 , ""tr"" , ""en"")"),"@drfahrettinkoca Mr. Ministry of emergency and disaster managers expect Gorev's definition")</f>
        <v>@drfahrettinkoca Mr. Ministry of emergency and disaster managers expect Gorev's definition</v>
      </c>
    </row>
    <row r="16344" spans="1:5" ht="15" customHeight="1" x14ac:dyDescent="0.2">
      <c r="A16344" s="1" t="s">
        <v>32193</v>
      </c>
      <c r="B16344" s="1">
        <v>0</v>
      </c>
      <c r="C16344" s="3">
        <v>44521.840682870374</v>
      </c>
      <c r="D16344" s="1" t="s">
        <v>32194</v>
      </c>
      <c r="E16344" s="1" t="str">
        <f ca="1">IFERROR(__xludf.DUMMYFUNCTION("GOOGLETRANSLATE(A13143 , ""tr"" , ""en"")"),"@drfahrettinkoca How many people have followed in 50 million how many side effects have you had? No one's faith in you ... https://t.co/a5kmjizarh")</f>
        <v>@drfahrettinkoca How many people have followed in 50 million how many side effects have you had? No one's faith in you ... https://t.co/a5kmjizarh</v>
      </c>
    </row>
    <row r="16345" spans="1:5" ht="15" customHeight="1" x14ac:dyDescent="0.2">
      <c r="A16345" s="1" t="s">
        <v>32195</v>
      </c>
      <c r="B16345" s="1">
        <v>1</v>
      </c>
      <c r="C16345" s="3">
        <v>44521.81422453704</v>
      </c>
      <c r="D16345" s="1" t="s">
        <v>32196</v>
      </c>
      <c r="E16345" s="1" t="str">
        <f ca="1">IFERROR(__xludf.DUMMYFUNCTION("GOOGLETRANSLATE(A13144 , ""tr"" , ""en"")"),"@drfahrettinkoca Koran I get samples, avoid coffegation Der, triumph's minority")</f>
        <v>@drfahrettinkoca Koran I get samples, avoid coffegation Der, triumph's minority</v>
      </c>
    </row>
    <row r="16346" spans="1:5" ht="15" customHeight="1" x14ac:dyDescent="0.2">
      <c r="A16346" s="1" t="s">
        <v>32197</v>
      </c>
      <c r="B16346" s="1">
        <v>1</v>
      </c>
      <c r="C16346" s="3">
        <v>44521.81422453704</v>
      </c>
      <c r="D16346" s="1" t="s">
        <v>32198</v>
      </c>
      <c r="E16346" s="1" t="str">
        <f ca="1">IFERROR(__xludf.DUMMYFUNCTION("GOOGLETRANSLATE(A13145 , ""tr"" , ""en"")"),"@drfahrettinkoca bi 50 million people who do not have an affected vaccine will affect 8 million")</f>
        <v>@drfahrettinkoca bi 50 million people who do not have an affected vaccine will affect 8 million</v>
      </c>
    </row>
    <row r="16347" spans="1:5" ht="15" customHeight="1" x14ac:dyDescent="0.2">
      <c r="A16347" s="1" t="s">
        <v>32199</v>
      </c>
      <c r="B16347" s="1">
        <v>29</v>
      </c>
      <c r="C16347" s="3">
        <v>44520.987291666665</v>
      </c>
      <c r="D16347" s="1" t="s">
        <v>32200</v>
      </c>
      <c r="E16347" s="1" t="str">
        <f ca="1">IFERROR(__xludf.DUMMYFUNCTION("GOOGLETRANSLATE(A13146 , ""tr"" , ""en"")"),"@drfahrettinkoca We're not unstable Yahu.is-te-mi-yo-ruz !!! Give comfortable anymore !! It may be per country ... https://t.co/mojparch8a")</f>
        <v>@drfahrettinkoca We're not unstable Yahu.is-te-mi-yo-ruz !!! Give comfortable anymore !! It may be per country ... https://t.co/mojparch8a</v>
      </c>
    </row>
    <row r="16348" spans="1:5" ht="15" customHeight="1" x14ac:dyDescent="0.2">
      <c r="A16348" s="1" t="s">
        <v>32201</v>
      </c>
      <c r="B16348" s="1">
        <v>0</v>
      </c>
      <c r="C16348" s="3">
        <v>44520.986527777779</v>
      </c>
      <c r="D16348" s="1" t="s">
        <v>32202</v>
      </c>
      <c r="E16348" s="1" t="str">
        <f ca="1">IFERROR(__xludf.DUMMYFUNCTION("GOOGLETRANSLATE(A13147 , ""tr"" , ""en"")"),"@drfahrettinkoca I dreamed sometime in my dreams; Someone says something to a person in the high authority ... https://t.co/0un9ejobek")</f>
        <v>@drfahrettinkoca I dreamed sometime in my dreams; Someone says something to a person in the high authority ... https://t.co/0un9ejobek</v>
      </c>
    </row>
    <row r="16349" spans="1:5" ht="15" customHeight="1" x14ac:dyDescent="0.2">
      <c r="A16349" s="1" t="s">
        <v>32203</v>
      </c>
      <c r="B16349" s="1">
        <v>0</v>
      </c>
      <c r="C16349" s="3">
        <v>44520.983402777776</v>
      </c>
      <c r="D16349" s="1" t="s">
        <v>32204</v>
      </c>
      <c r="E16349" s="1" t="str">
        <f ca="1">IFERROR(__xludf.DUMMYFUNCTION("GOOGLETRANSLATE(A13148 , ""tr"" , ""en"")"),"@drfahrettinkoca Ahkam No need to cut. The health system in Turkey is one of the most robust systems. A BA ... https://t.co/y4z3epdhxb")</f>
        <v>@drfahrettinkoca Ahkam No need to cut. The health system in Turkey is one of the most robust systems. A BA ... https://t.co/y4z3epdhxb</v>
      </c>
    </row>
    <row r="16350" spans="1:5" ht="15" customHeight="1" x14ac:dyDescent="0.2">
      <c r="A16350" s="1" t="s">
        <v>32205</v>
      </c>
      <c r="B16350" s="1">
        <v>0</v>
      </c>
      <c r="C16350" s="3">
        <v>44520.982766203706</v>
      </c>
      <c r="D16350" s="1" t="s">
        <v>32206</v>
      </c>
      <c r="E16350" s="1" t="str">
        <f ca="1">IFERROR(__xludf.DUMMYFUNCTION("GOOGLETRANSLATE(A13149 , ""tr"" , ""en"")"),"@drfahrettinkoca reis you hit the goosted family came on the dweller that has hit the cev in the cevtentunmu I have a fucker of me ... https://t.co/zrbz2abvtw")</f>
        <v>@drfahrettinkoca reis you hit the goosted family came on the dweller that has hit the cev in the cevtentunmu I have a fucker of me ... https://t.co/zrbz2abvtw</v>
      </c>
    </row>
    <row r="16351" spans="1:5" ht="15" customHeight="1" x14ac:dyDescent="0.2">
      <c r="A16351" s="1" t="s">
        <v>32207</v>
      </c>
      <c r="B16351" s="1">
        <v>0</v>
      </c>
      <c r="C16351" s="3">
        <v>44520.978935185187</v>
      </c>
      <c r="D16351" s="1" t="s">
        <v>32208</v>
      </c>
      <c r="E16351" s="1" t="str">
        <f ca="1">IFERROR(__xludf.DUMMYFUNCTION("GOOGLETRANSLATE(A13150 , ""tr"" , ""en"")"),"@drfahrettinkoca is not proportional to the mortality rate in the rate of vaccination. The patient / mortality rate was 0.6 at no extreme period.")</f>
        <v>@drfahrettinkoca is not proportional to the mortality rate in the rate of vaccination. The patient / mortality rate was 0.6 at no extreme period.</v>
      </c>
    </row>
    <row r="16352" spans="1:5" ht="15" customHeight="1" x14ac:dyDescent="0.2">
      <c r="A16352" s="1" t="s">
        <v>32209</v>
      </c>
      <c r="B16352" s="1">
        <v>0</v>
      </c>
      <c r="C16352" s="3">
        <v>44520.978113425925</v>
      </c>
      <c r="D16352" s="1" t="s">
        <v>32210</v>
      </c>
      <c r="E16352" s="1" t="str">
        <f ca="1">IFERROR(__xludf.DUMMYFUNCTION("GOOGLETRANSLATE(A13151 , ""tr"" , ""en"")"),"@drfahrettinkoca If you want to remove the domestic vaccine immediately 2000, but you don't. I wonder what is the true reason?")</f>
        <v>@drfahrettinkoca If you want to remove the domestic vaccine immediately 2000, but you don't. I wonder what is the true reason?</v>
      </c>
    </row>
    <row r="16353" spans="1:5" ht="15" customHeight="1" x14ac:dyDescent="0.2">
      <c r="A16353" s="1" t="s">
        <v>32211</v>
      </c>
      <c r="B16353" s="1">
        <v>0</v>
      </c>
      <c r="C16353" s="3">
        <v>44520.9765625</v>
      </c>
      <c r="D16353" s="1" t="s">
        <v>32212</v>
      </c>
      <c r="E16353" s="1" t="str">
        <f ca="1">IFERROR(__xludf.DUMMYFUNCTION("GOOGLETRANSLATE(A13152 , ""tr"" , ""en"")"),"@drfahrettinkoca you say 50 million's decision, you also oblige the Minister people today give the figure today ... https://t.co/y5bn5t58cg")</f>
        <v>@drfahrettinkoca you say 50 million's decision, you also oblige the Minister people today give the figure today ... https://t.co/y5bn5t58cg</v>
      </c>
    </row>
    <row r="16354" spans="1:5" ht="15" customHeight="1" x14ac:dyDescent="0.2">
      <c r="A16354" s="1" t="s">
        <v>32213</v>
      </c>
      <c r="B16354" s="1">
        <v>1</v>
      </c>
      <c r="C16354" s="3">
        <v>44520.974756944444</v>
      </c>
      <c r="D16354" s="1" t="s">
        <v>32214</v>
      </c>
      <c r="E16354" s="1" t="str">
        <f ca="1">IFERROR(__xludf.DUMMYFUNCTION("GOOGLETRANSLATE(A13153 , ""tr"" , ""en"")"),"@drfahrettinkoca Emine cherry suicide SMA Li Hear Son's voice When you hear Fahrettin Ağa Annes ... https://t.co/mwheoqcytb")</f>
        <v>@drfahrettinkoca Emine cherry suicide SMA Li Hear Son's voice When you hear Fahrettin Ağa Annes ... https://t.co/mwheoqcytb</v>
      </c>
    </row>
    <row r="16355" spans="1:5" ht="15" customHeight="1" x14ac:dyDescent="0.2">
      <c r="A16355" s="1" t="s">
        <v>32215</v>
      </c>
      <c r="B16355" s="1">
        <v>0</v>
      </c>
      <c r="C16355" s="3">
        <v>44520.97084490741</v>
      </c>
      <c r="D16355" s="1" t="s">
        <v>32216</v>
      </c>
      <c r="E16355" s="1" t="str">
        <f ca="1">IFERROR(__xludf.DUMMYFUNCTION("GOOGLETRANSLATE(A13154 , ""tr"" , ""en"")"),"@drfahrettinkoca Net Description for Favicovir Expect Deli Lokum Deployment As Distributed You Distributed That Drugs Perhaps Y ... https://t.co/qpvhaltqbv")</f>
        <v>@drfahrettinkoca Net Description for Favicovir Expect Deli Lokum Deployment As Distributed You Distributed That Drugs Perhaps Y ... https://t.co/qpvhaltqbv</v>
      </c>
    </row>
    <row r="16356" spans="1:5" ht="15" customHeight="1" x14ac:dyDescent="0.2">
      <c r="A16356" s="1" t="s">
        <v>32217</v>
      </c>
      <c r="B16356" s="1">
        <v>0</v>
      </c>
      <c r="C16356" s="3">
        <v>44520.962905092594</v>
      </c>
      <c r="D16356" s="1" t="s">
        <v>32218</v>
      </c>
      <c r="E16356" s="1" t="str">
        <f ca="1">IFERROR(__xludf.DUMMYFUNCTION("GOOGLETRANSLATE(A13155 , ""tr"" , ""en"")"),"@drfahrettinka https://t.co/zmowmyrqjm")</f>
        <v>@drfahrettinka https://t.co/zmowmyrqjm</v>
      </c>
    </row>
    <row r="16357" spans="1:5" ht="15" customHeight="1" x14ac:dyDescent="0.2">
      <c r="A16357" s="1" t="s">
        <v>32219</v>
      </c>
      <c r="B16357" s="1">
        <v>0</v>
      </c>
      <c r="C16357" s="3">
        <v>44520.961504629631</v>
      </c>
      <c r="D16357" s="1" t="s">
        <v>32220</v>
      </c>
      <c r="E16357" s="1" t="str">
        <f ca="1">IFERROR(__xludf.DUMMYFUNCTION("GOOGLETRANSLATE(A13156 , ""tr"" , ""en"")"),"@drfahrettinkoca is just a single thing you say we will do our best to maintain the correct output output output Demi ... https://t.co/vnmclbslmb")</f>
        <v>@drfahrettinkoca is just a single thing you say we will do our best to maintain the correct output output output Demi ... https://t.co/vnmclbslmb</v>
      </c>
    </row>
    <row r="16358" spans="1:5" ht="15" customHeight="1" x14ac:dyDescent="0.2">
      <c r="A16358" s="1" t="s">
        <v>32221</v>
      </c>
      <c r="B16358" s="1">
        <v>0</v>
      </c>
      <c r="C16358" s="3">
        <v>44520.960902777777</v>
      </c>
      <c r="D16358" s="1" t="s">
        <v>32222</v>
      </c>
      <c r="E16358" s="1" t="str">
        <f ca="1">IFERROR(__xludf.DUMMYFUNCTION("GOOGLETRANSLATE(A13157 , ""tr"" , ""en"")"),"@drfahrettinkoca when our population was 100 million since")</f>
        <v>@drfahrettinkoca when our population was 100 million since</v>
      </c>
    </row>
    <row r="16359" spans="1:5" ht="15" customHeight="1" x14ac:dyDescent="0.2">
      <c r="A16359" s="1" t="s">
        <v>32223</v>
      </c>
      <c r="B16359" s="1">
        <v>0</v>
      </c>
      <c r="C16359" s="3">
        <v>44520.958935185183</v>
      </c>
      <c r="D16359" s="1" t="s">
        <v>32224</v>
      </c>
      <c r="E16359" s="1" t="str">
        <f ca="1">IFERROR(__xludf.DUMMYFUNCTION("GOOGLETRANSLATE(A13158 , ""tr"" , ""en"")"),"@drfahrettinka you have said the same things for medicines is a haste half that is also showing up on their foya ... https://t.co/pmbu6pu0xt")</f>
        <v>@drfahrettinka you have said the same things for medicines is a haste half that is also showing up on their foya ... https://t.co/pmbu6pu0xt</v>
      </c>
    </row>
    <row r="16360" spans="1:5" ht="15" customHeight="1" x14ac:dyDescent="0.2">
      <c r="A16360" s="1" t="s">
        <v>32225</v>
      </c>
      <c r="B16360" s="1">
        <v>0</v>
      </c>
      <c r="C16360" s="3">
        <v>44520.954918981479</v>
      </c>
      <c r="D16360" s="1" t="s">
        <v>32226</v>
      </c>
      <c r="E16360" s="1" t="str">
        <f ca="1">IFERROR(__xludf.DUMMYFUNCTION("GOOGLETRANSLATE(A13159 , ""tr"" , ""en"")"),"@drfahrettinkoca o 50 million percent of the people's vaccine due to workplace, education, travel etc pressures?")</f>
        <v>@drfahrettinkoca o 50 million percent of the people's vaccine due to workplace, education, travel etc pressures?</v>
      </c>
    </row>
    <row r="16361" spans="1:5" ht="15" customHeight="1" x14ac:dyDescent="0.2">
      <c r="A16361" s="1" t="s">
        <v>32227</v>
      </c>
      <c r="B16361" s="1">
        <v>0</v>
      </c>
      <c r="C16361" s="3">
        <v>44520.954236111109</v>
      </c>
      <c r="D16361" s="1" t="s">
        <v>32228</v>
      </c>
      <c r="E16361" s="1" t="str">
        <f ca="1">IFERROR(__xludf.DUMMYFUNCTION("GOOGLETRANSLATE(A13160 , ""tr"" , ""en"")"),"@drfahrettinkoca 2.doz vaccines that are counted in no longer than inaccurate 75 million, there are 75 million noots .. and this paradox every 6 months ... https://t.co/ichs7ml1gc")</f>
        <v>@drfahrettinkoca 2.doz vaccines that are counted in no longer than inaccurate 75 million, there are 75 million noots .. and this paradox every 6 months ... https://t.co/ichs7ml1gc</v>
      </c>
    </row>
    <row r="16362" spans="1:5" ht="15" customHeight="1" x14ac:dyDescent="0.2">
      <c r="A16362" s="1" t="s">
        <v>32229</v>
      </c>
      <c r="B16362" s="1">
        <v>0</v>
      </c>
      <c r="C16362" s="3">
        <v>44520.952025462961</v>
      </c>
      <c r="D16362" s="1" t="s">
        <v>32230</v>
      </c>
      <c r="E16362" s="1" t="str">
        <f ca="1">IFERROR(__xludf.DUMMYFUNCTION("GOOGLETRANSLATE(A13161 , ""tr"" , ""en"")"),"@drfahrettinkoca is 100 flours of 50 million you oblige")</f>
        <v>@drfahrettinkoca is 100 flours of 50 million you oblige</v>
      </c>
    </row>
    <row r="16363" spans="1:5" ht="15" customHeight="1" x14ac:dyDescent="0.2">
      <c r="A16363" s="1" t="s">
        <v>32231</v>
      </c>
      <c r="B16363" s="1">
        <v>0</v>
      </c>
      <c r="C16363" s="3">
        <v>44520.947245370371</v>
      </c>
      <c r="D16363" s="1" t="s">
        <v>32232</v>
      </c>
      <c r="E16363" s="1" t="str">
        <f ca="1">IFERROR(__xludf.DUMMYFUNCTION("GOOGLETRANSLATE(A13162 , ""tr"" , ""en"")"),"@drfahrettinkoca 50 million would not be something called us samples ..")</f>
        <v>@drfahrettinkoca 50 million would not be something called us samples ..</v>
      </c>
    </row>
    <row r="16364" spans="1:5" ht="15" customHeight="1" x14ac:dyDescent="0.2">
      <c r="A16364" s="1" t="s">
        <v>32233</v>
      </c>
      <c r="B16364" s="1">
        <v>2</v>
      </c>
      <c r="C16364" s="3">
        <v>44520.946597222224</v>
      </c>
      <c r="D16364" s="1" t="s">
        <v>32234</v>
      </c>
      <c r="E16364" s="1" t="str">
        <f ca="1">IFERROR(__xludf.DUMMYFUNCTION("GOOGLETRANSLATE(A13163 , ""tr"" , ""en"")"),"@drfahrettinkoca not 50 million, I will not be vaccinated again though everyone else has been vaccinated.")</f>
        <v>@drfahrettinkoca not 50 million, I will not be vaccinated again though everyone else has been vaccinated.</v>
      </c>
    </row>
    <row r="16365" spans="1:5" ht="15" customHeight="1" x14ac:dyDescent="0.2">
      <c r="A16365" s="1" t="s">
        <v>32235</v>
      </c>
      <c r="B16365" s="1">
        <v>7</v>
      </c>
      <c r="C16365" s="3">
        <v>44520.945486111108</v>
      </c>
      <c r="D16365" s="1" t="s">
        <v>32236</v>
      </c>
      <c r="E16365" s="1" t="str">
        <f ca="1">IFERROR(__xludf.DUMMYFUNCTION("GOOGLETRANSLATE(A13164 , ""tr"" , ""en"")"),"@drfahrettinka Majorly wake up the majority Https://t.co/gpa1bov2bv")</f>
        <v>@drfahrettinka Majorly wake up the majority Https://t.co/gpa1bov2bv</v>
      </c>
    </row>
    <row r="16366" spans="1:5" ht="15" customHeight="1" x14ac:dyDescent="0.2">
      <c r="A16366" s="1" t="s">
        <v>32237</v>
      </c>
      <c r="B16366" s="1">
        <v>0</v>
      </c>
      <c r="C16366" s="3">
        <v>44520.944965277777</v>
      </c>
      <c r="D16366" s="1" t="s">
        <v>32238</v>
      </c>
      <c r="E16366" s="1" t="str">
        <f ca="1">IFERROR(__xludf.DUMMYFUNCTION("GOOGLETRANSLATE(A13165 , ""tr"" , ""en"")"),"@drfahrettinkoca if you are not in your business if you are not vaccinated if you are not vaccinated if you are not going to travel to the aircraft building bus bizure ... https://t.co/qwjyk4i3za")</f>
        <v>@drfahrettinkoca if you are not in your business if you are not vaccinated if you are not vaccinated if you are not going to travel to the aircraft building bus bizure ... https://t.co/qwjyk4i3za</v>
      </c>
    </row>
    <row r="16367" spans="1:5" ht="15" customHeight="1" x14ac:dyDescent="0.2">
      <c r="A16367" s="1" t="s">
        <v>32239</v>
      </c>
      <c r="B16367" s="1">
        <v>0</v>
      </c>
      <c r="C16367" s="3">
        <v>44520.943055555559</v>
      </c>
      <c r="D16367" s="1" t="s">
        <v>32240</v>
      </c>
      <c r="E16367" s="1" t="str">
        <f ca="1">IFERROR(__xludf.DUMMYFUNCTION("GOOGLETRANSLATE(A13166 , ""tr"" , ""en"")"),"@drfahrettinka 3.doz Sinovac 1 Dose influenza vaccine and I will be tinonosis vaccine with pneumonia. This facilities are ... https://t.co/ikqxzkifz1")</f>
        <v>@drfahrettinka 3.doz Sinovac 1 Dose influenza vaccine and I will be tinonosis vaccine with pneumonia. This facilities are ... https://t.co/ikqxzkifz1</v>
      </c>
    </row>
    <row r="16368" spans="1:5" ht="15" customHeight="1" x14ac:dyDescent="0.2">
      <c r="A16368" s="1" t="s">
        <v>32241</v>
      </c>
      <c r="B16368" s="1">
        <v>0</v>
      </c>
      <c r="C16368" s="3">
        <v>44520.941678240742</v>
      </c>
      <c r="D16368" s="1" t="s">
        <v>32242</v>
      </c>
      <c r="E16368" s="1" t="str">
        <f ca="1">IFERROR(__xludf.DUMMYFUNCTION("GOOGLETRANSLATE(A13167 , ""tr"" , ""en"")"),"@drfahrettinkoca @rterdogan President Why is your Stop Demiyoc")</f>
        <v>@drfahrettinkoca @rterdogan President Why is your Stop Demiyoc</v>
      </c>
    </row>
    <row r="16369" spans="1:5" ht="15" customHeight="1" x14ac:dyDescent="0.2">
      <c r="A16369" s="1" t="s">
        <v>32243</v>
      </c>
      <c r="B16369" s="1">
        <v>26</v>
      </c>
      <c r="C16369" s="3">
        <v>44520.938020833331</v>
      </c>
      <c r="D16369" s="1" t="s">
        <v>32244</v>
      </c>
      <c r="E16369" s="1" t="str">
        <f ca="1">IFERROR(__xludf.DUMMYFUNCTION("GOOGLETRANSLATE(A13168 , ""tr"" , ""en"")"),"@drfahrettinkoca Who is your math teacher?")</f>
        <v>@drfahrettinkoca Who is your math teacher?</v>
      </c>
    </row>
    <row r="16370" spans="1:5" ht="15" customHeight="1" x14ac:dyDescent="0.2">
      <c r="A16370" s="1" t="s">
        <v>32245</v>
      </c>
      <c r="B16370" s="1">
        <v>0</v>
      </c>
      <c r="C16370" s="3">
        <v>44520.938009259262</v>
      </c>
      <c r="D16370" s="1" t="s">
        <v>32246</v>
      </c>
      <c r="E16370" s="1" t="str">
        <f ca="1">IFERROR(__xludf.DUMMYFUNCTION("GOOGLETRANSLATE(A13169 , ""tr"" , ""en"")"),"@drfahrettinkoca Mr. Mr. The total population of the Minister are you based on? Now the vaccine is done on the age of 16 in this case vaccine ... https://t.co/l6x2ugpw1w")</f>
        <v>@drfahrettinkoca Mr. Mr. The total population of the Minister are you based on? Now the vaccine is done on the age of 16 in this case vaccine ... https://t.co/l6x2ugpw1w</v>
      </c>
    </row>
    <row r="16371" spans="1:5" ht="15" customHeight="1" x14ac:dyDescent="0.2">
      <c r="A16371" s="1" t="s">
        <v>32247</v>
      </c>
      <c r="B16371" s="1">
        <v>0</v>
      </c>
      <c r="C16371" s="3">
        <v>44520.937523148146</v>
      </c>
      <c r="D16371" s="1" t="s">
        <v>32248</v>
      </c>
      <c r="E16371" s="1" t="str">
        <f ca="1">IFERROR(__xludf.DUMMYFUNCTION("GOOGLETRANSLATE(A13170 , ""tr"" , ""en"")"),"@drfahrettinkoca Most of the majority you have overcome the threat with bullying all regrets")</f>
        <v>@drfahrettinkoca Most of the majority you have overcome the threat with bullying all regrets</v>
      </c>
    </row>
    <row r="16372" spans="1:5" ht="15" customHeight="1" x14ac:dyDescent="0.2">
      <c r="A16372" s="1" t="s">
        <v>32249</v>
      </c>
      <c r="B16372" s="1">
        <v>1</v>
      </c>
      <c r="C16372" s="3">
        <v>44520.937361111108</v>
      </c>
      <c r="D16372" s="1" t="s">
        <v>32250</v>
      </c>
      <c r="E16372" s="1" t="str">
        <f ca="1">IFERROR(__xludf.DUMMYFUNCTION("GOOGLETRANSLATE(A13171 , ""tr"" , ""en"")"),"@drfahrettinkoca 50 million pairs of dose rips was not to be removed from 30-35 million and to avoid unemployment. So ... https://t.co/7vkbyqwms8")</f>
        <v>@drfahrettinkoca 50 million pairs of dose rips was not to be removed from 30-35 million and to avoid unemployment. So ... https://t.co/7vkbyqwms8</v>
      </c>
    </row>
    <row r="16373" spans="1:5" ht="15" customHeight="1" x14ac:dyDescent="0.2">
      <c r="A16373" s="1" t="s">
        <v>32251</v>
      </c>
      <c r="B16373" s="1">
        <v>0</v>
      </c>
      <c r="C16373" s="3">
        <v>44520.937361111108</v>
      </c>
      <c r="D16373" s="1" t="s">
        <v>32252</v>
      </c>
      <c r="E16373" s="1" t="str">
        <f ca="1">IFERROR(__xludf.DUMMYFUNCTION("GOOGLETRANSLATE(A13172 , ""tr"" , ""en"")"),"@drfahrettinkoca Your shares are seeing the comments under under the Basbayada! You are your cruel! People in this poison ... https://t.co/e65xojyzvI")</f>
        <v>@drfahrettinkoca Your shares are seeing the comments under under the Basbayada! You are your cruel! People in this poison ... https://t.co/e65xojyzvI</v>
      </c>
    </row>
    <row r="16374" spans="1:5" ht="15" customHeight="1" x14ac:dyDescent="0.2">
      <c r="A16374" s="1" t="s">
        <v>32253</v>
      </c>
      <c r="B16374" s="1">
        <v>0</v>
      </c>
      <c r="C16374" s="3">
        <v>44520.936828703707</v>
      </c>
      <c r="D16374" s="1" t="s">
        <v>32254</v>
      </c>
      <c r="E16374" s="1" t="str">
        <f ca="1">IFERROR(__xludf.DUMMYFUNCTION("GOOGLETRANSLATE(A13173 , ""tr"" , ""en"")"),"@drfahrettinkoca 1. I've been to the overdose 2. The dose of the first week of November Family pressure and government pressure ... https://t.co/kzdd2marqp")</f>
        <v>@drfahrettinkoca 1. I've been to the overdose 2. The dose of the first week of November Family pressure and government pressure ... https://t.co/kzdd2marqp</v>
      </c>
    </row>
    <row r="16375" spans="1:5" ht="15" customHeight="1" x14ac:dyDescent="0.2">
      <c r="A16375" s="1" t="s">
        <v>32255</v>
      </c>
      <c r="B16375" s="1">
        <v>0</v>
      </c>
      <c r="C16375" s="3">
        <v>44520.932222222225</v>
      </c>
      <c r="D16375" s="1" t="s">
        <v>32256</v>
      </c>
      <c r="E16375" s="1" t="str">
        <f ca="1">IFERROR(__xludf.DUMMYFUNCTION("GOOGLETRANSLATE(A13174 , ""tr"" , ""en"")"),"@drfahrettinkoca vaccines are all sick and heart patient what vaccine lovin 'of the nation have been eaten in the nation ... https://t.co/snkayy7vln")</f>
        <v>@drfahrettinkoca vaccines are all sick and heart patient what vaccine lovin 'of the nation have been eaten in the nation ... https://t.co/snkayy7vln</v>
      </c>
    </row>
    <row r="16376" spans="1:5" ht="15" customHeight="1" x14ac:dyDescent="0.2">
      <c r="A16376" s="1" t="s">
        <v>32257</v>
      </c>
      <c r="B16376" s="1">
        <v>0</v>
      </c>
      <c r="C16376" s="3">
        <v>44520.931458333333</v>
      </c>
      <c r="D16376" s="1" t="s">
        <v>32258</v>
      </c>
      <c r="E16376" s="1" t="str">
        <f ca="1">IFERROR(__xludf.DUMMYFUNCTION("GOOGLETRANSLATE(A13175 , ""tr"" , ""en"")"),"@drfahrettinkoca If you fitting most of your found on earth, they deflect you from God's path. * They, Zandan ... https://t.co/nc8yuhlmod")</f>
        <v>@drfahrettinkoca If you fitting most of your found on earth, they deflect you from God's path. * They, Zandan ... https://t.co/nc8yuhlmod</v>
      </c>
    </row>
    <row r="16377" spans="1:5" ht="15" customHeight="1" x14ac:dyDescent="0.2">
      <c r="A16377" s="1" t="s">
        <v>32259</v>
      </c>
      <c r="B16377" s="1">
        <v>0</v>
      </c>
      <c r="C16377" s="3">
        <v>44520.929965277777</v>
      </c>
      <c r="D16377" s="1" t="s">
        <v>32260</v>
      </c>
      <c r="E16377" s="1" t="str">
        <f ca="1">IFERROR(__xludf.DUMMYFUNCTION("GOOGLETRANSLATE(A13176 , ""tr"" , ""en"")"),"@drfahrettinkoca Minister Please Please Come Now Guide Please !!!")</f>
        <v>@drfahrettinkoca Minister Please Please Come Now Guide Please !!!</v>
      </c>
    </row>
    <row r="16378" spans="1:5" ht="15" customHeight="1" x14ac:dyDescent="0.2">
      <c r="A16378" s="1" t="s">
        <v>32261</v>
      </c>
      <c r="B16378" s="1">
        <v>1</v>
      </c>
      <c r="C16378" s="3">
        <v>44520.928969907407</v>
      </c>
      <c r="D16378" s="1" t="s">
        <v>32262</v>
      </c>
      <c r="E16378" s="1" t="str">
        <f ca="1">IFERROR(__xludf.DUMMYFUNCTION("GOOGLETRANSLATE(A13177 , ""tr"" , ""en"")"),"@drfahrettinkoca What is the vaccination in vaccination in vaccination in vaccination in vaccination")</f>
        <v>@drfahrettinkoca What is the vaccination in vaccination in vaccination in vaccination in vaccination</v>
      </c>
    </row>
    <row r="16379" spans="1:5" ht="15" customHeight="1" x14ac:dyDescent="0.2">
      <c r="A16379" s="1" t="s">
        <v>32263</v>
      </c>
      <c r="B16379" s="1">
        <v>0</v>
      </c>
      <c r="C16379" s="3">
        <v>44520.927164351851</v>
      </c>
      <c r="D16379" s="1" t="s">
        <v>32264</v>
      </c>
      <c r="E16379" s="1" t="str">
        <f ca="1">IFERROR(__xludf.DUMMYFUNCTION("GOOGLETRANSLATE(A13178 , ""tr"" , ""en"")"),"@drfahrettinka vaccine not vaccination is the short or long-term side effects that the manufacturer does not take responsibility ... https://t.co/puhhmnxbto")</f>
        <v>@drfahrettinka vaccine not vaccination is the short or long-term side effects that the manufacturer does not take responsibility ... https://t.co/puhhmnxbto</v>
      </c>
    </row>
    <row r="16380" spans="1:5" ht="15" customHeight="1" x14ac:dyDescent="0.2">
      <c r="A16380" s="1" t="s">
        <v>32265</v>
      </c>
      <c r="B16380" s="1">
        <v>0</v>
      </c>
      <c r="C16380" s="3">
        <v>44520.924340277779</v>
      </c>
      <c r="D16380" s="1" t="s">
        <v>32266</v>
      </c>
      <c r="E16380" s="1" t="str">
        <f ca="1">IFERROR(__xludf.DUMMYFUNCTION("GOOGLETRANSLATE(A13179 , ""tr"" , ""en"")"),"@drfahrettinka @drfahrettinkoca is more than vaccinated more disease risk? Why don't you explain? https://t.co/aw7cj67qoc")</f>
        <v>@drfahrettinka @drfahrettinkoca is more than vaccinated more disease risk? Why don't you explain? https://t.co/aw7cj67qoc</v>
      </c>
    </row>
    <row r="16381" spans="1:5" ht="15" customHeight="1" x14ac:dyDescent="0.2">
      <c r="A16381" s="1" t="s">
        <v>32267</v>
      </c>
      <c r="B16381" s="1">
        <v>0</v>
      </c>
      <c r="C16381" s="3">
        <v>44520.920254629629</v>
      </c>
      <c r="D16381" s="1" t="s">
        <v>32268</v>
      </c>
      <c r="E16381" s="1" t="str">
        <f ca="1">IFERROR(__xludf.DUMMYFUNCTION("GOOGLETRANSLATE(A13180 , ""tr"" , ""en"")"),"@drfahrettinkoca hocam is the empty probe on again")</f>
        <v>@drfahrettinkoca hocam is the empty probe on again</v>
      </c>
    </row>
    <row r="16382" spans="1:5" ht="15" customHeight="1" x14ac:dyDescent="0.2">
      <c r="A16382" s="1" t="s">
        <v>32269</v>
      </c>
      <c r="B16382" s="1">
        <v>0</v>
      </c>
      <c r="C16382" s="3">
        <v>44520.919803240744</v>
      </c>
      <c r="D16382" s="1" t="s">
        <v>32270</v>
      </c>
      <c r="E16382" s="1" t="str">
        <f ca="1">IFERROR(__xludf.DUMMYFUNCTION("GOOGLETRANSLATE(A13181 , ""tr"" , ""en"")"),"@drfahrettinka https://t.co/b9krcgzkqg")</f>
        <v>@drfahrettinka https://t.co/b9krcgzkqg</v>
      </c>
    </row>
    <row r="16383" spans="1:5" ht="15" customHeight="1" x14ac:dyDescent="0.2">
      <c r="A16383" s="1" t="s">
        <v>32271</v>
      </c>
      <c r="B16383" s="1">
        <v>0</v>
      </c>
      <c r="C16383" s="3">
        <v>44520.919687499998</v>
      </c>
      <c r="D16383" s="1" t="s">
        <v>32272</v>
      </c>
      <c r="E16383" s="1" t="str">
        <f ca="1">IFERROR(__xludf.DUMMYFUNCTION("GOOGLETRANSLATE(A13182 , ""tr"" , ""en"")"),"@drfahrettinka https://t.co/1t16kdxja4")</f>
        <v>@drfahrettinka https://t.co/1t16kdxja4</v>
      </c>
    </row>
    <row r="16384" spans="1:5" ht="15" customHeight="1" x14ac:dyDescent="0.2">
      <c r="A16384" s="1" t="s">
        <v>32273</v>
      </c>
      <c r="B16384" s="1">
        <v>0</v>
      </c>
      <c r="C16384" s="3">
        <v>44520.919675925928</v>
      </c>
      <c r="D16384" s="1" t="s">
        <v>32274</v>
      </c>
      <c r="E16384" s="1" t="str">
        <f ca="1">IFERROR(__xludf.DUMMYFUNCTION("GOOGLETRANSLATE(A13183 , ""tr"" , ""en"")"),"@drfahrettinkoca hasn't been enough ?? Should be 100%?! We arrive at the beginning of the most vaccinated countries in Europe")</f>
        <v>@drfahrettinkoca hasn't been enough ?? Should be 100%?! We arrive at the beginning of the most vaccinated countries in Europe</v>
      </c>
    </row>
    <row r="16385" spans="1:5" ht="15" customHeight="1" x14ac:dyDescent="0.2">
      <c r="A16385" s="1" t="s">
        <v>32275</v>
      </c>
      <c r="B16385" s="1">
        <v>2</v>
      </c>
      <c r="C16385" s="3">
        <v>44520.918171296296</v>
      </c>
      <c r="D16385" s="1" t="s">
        <v>32276</v>
      </c>
      <c r="E16385" s="1" t="str">
        <f ca="1">IFERROR(__xludf.DUMMYFUNCTION("GOOGLETRANSLATE(A13184 , ""tr"" , ""en"")"),"@drfahrettinkoca We have taken the decision of 50 million decisions and we have seen the vaccine increased their deaths. So we won't be that liquid.")</f>
        <v>@drfahrettinkoca We have taken the decision of 50 million decisions and we have seen the vaccine increased their deaths. So we won't be that liquid.</v>
      </c>
    </row>
    <row r="16386" spans="1:5" ht="15" customHeight="1" x14ac:dyDescent="0.2">
      <c r="A16386" s="1" t="s">
        <v>32277</v>
      </c>
      <c r="B16386" s="1">
        <v>3</v>
      </c>
      <c r="C16386" s="3">
        <v>44520.917766203704</v>
      </c>
      <c r="D16386" s="1" t="s">
        <v>32278</v>
      </c>
      <c r="E16386" s="1" t="str">
        <f ca="1">IFERROR(__xludf.DUMMYFUNCTION("GOOGLETRANSLATE(A13185 , ""tr"" , ""en"")"),"@drfahrettinkoca is the vaccine and the sample of the sample of the heart crisis.")</f>
        <v>@drfahrettinkoca is the vaccine and the sample of the sample of the heart crisis.</v>
      </c>
    </row>
    <row r="16387" spans="1:5" ht="15" customHeight="1" x14ac:dyDescent="0.2">
      <c r="A16387" s="1" t="s">
        <v>32279</v>
      </c>
      <c r="B16387" s="1">
        <v>0</v>
      </c>
      <c r="C16387" s="3">
        <v>44520.916412037041</v>
      </c>
      <c r="D16387" s="1" t="s">
        <v>32280</v>
      </c>
      <c r="E16387" s="1" t="str">
        <f ca="1">IFERROR(__xludf.DUMMYFUNCTION("GOOGLETRANSLATE(A13186 , ""tr"" , ""en"")"),"@drfahrettinkoca what vaccines you don't keep anyone, you are boring the nation bi clinky, you squeeze, b ... https://t.co/wbethf8s2z")</f>
        <v>@drfahrettinkoca what vaccines you don't keep anyone, you are boring the nation bi clinky, you squeeze, b ... https://t.co/wbethf8s2z</v>
      </c>
    </row>
    <row r="16388" spans="1:5" ht="15" customHeight="1" x14ac:dyDescent="0.2">
      <c r="A16388" s="1" t="s">
        <v>32281</v>
      </c>
      <c r="B16388" s="1">
        <v>0</v>
      </c>
      <c r="C16388" s="3">
        <v>44520.914768518516</v>
      </c>
      <c r="D16388" s="1" t="s">
        <v>32282</v>
      </c>
      <c r="E16388" s="1" t="str">
        <f ca="1">IFERROR(__xludf.DUMMYFUNCTION("GOOGLETRANSLATE(A13187 , ""tr"" , ""en"")"),"@drfahrettinkoca I can understand that all the lies are common. An intermediate medications ... https://t.co/0gwxuotzcn")</f>
        <v>@drfahrettinkoca I can understand that all the lies are common. An intermediate medications ... https://t.co/0gwxuotzcn</v>
      </c>
    </row>
    <row r="16389" spans="1:5" ht="15" customHeight="1" x14ac:dyDescent="0.2">
      <c r="A16389" s="1" t="s">
        <v>32283</v>
      </c>
      <c r="B16389" s="1">
        <v>4</v>
      </c>
      <c r="C16389" s="3">
        <v>44520.91474537037</v>
      </c>
      <c r="D16389" s="1" t="s">
        <v>32284</v>
      </c>
      <c r="E16389" s="1" t="str">
        <f ca="1">IFERROR(__xludf.DUMMYFUNCTION("GOOGLETRANSLATE(A13188 , ""tr"" , ""en"")"),"Why @drfahrettinka is still the same cases? Why are school families that are infected by viruses? You have asked you missed Nere ... https://t.co/axcedukvsf")</f>
        <v>Why @drfahrettinka is still the same cases? Why are school families that are infected by viruses? You have asked you missed Nere ... https://t.co/axcedukvsf</v>
      </c>
    </row>
    <row r="16390" spans="1:5" ht="15" customHeight="1" x14ac:dyDescent="0.2">
      <c r="A16390" s="1" t="s">
        <v>32285</v>
      </c>
      <c r="B16390" s="1">
        <v>18</v>
      </c>
      <c r="C16390" s="3">
        <v>44520.913541666669</v>
      </c>
      <c r="D16390" s="1" t="s">
        <v>32286</v>
      </c>
      <c r="E16390" s="1" t="str">
        <f ca="1">IFERROR(__xludf.DUMMYFUNCTION("GOOGLETRANSLATE(A13189 , ""tr"" , ""en"")"),"@drfahrettinkoca vaccine and PCR results in 3 children's father's family owner as a family owner ... https://t.co/3dkqu90kpn")</f>
        <v>@drfahrettinkoca vaccine and PCR results in 3 children's father's family owner as a family owner ... https://t.co/3dkqu90kpn</v>
      </c>
    </row>
    <row r="16391" spans="1:5" ht="15" customHeight="1" x14ac:dyDescent="0.2">
      <c r="A16391" s="1" t="s">
        <v>32287</v>
      </c>
      <c r="B16391" s="1">
        <v>6</v>
      </c>
      <c r="C16391" s="3">
        <v>44520.911909722221</v>
      </c>
      <c r="D16391" s="1" t="s">
        <v>32288</v>
      </c>
      <c r="E16391" s="1" t="str">
        <f ca="1">IFERROR(__xludf.DUMMYFUNCTION("GOOGLETRANSLATE(A13190 , ""tr"" , ""en"")"),"@drfahrettinka Did you listen to the Tag opened to 200 thousand people? What measures have you taken? What did you do ... HTTPS://T.CO/YP4GOPGUY8")</f>
        <v>@drfahrettinka Did you listen to the Tag opened to 200 thousand people? What measures have you taken? What did you do ... HTTPS://T.CO/YP4GOPGUY8</v>
      </c>
    </row>
    <row r="16392" spans="1:5" ht="15" customHeight="1" x14ac:dyDescent="0.2">
      <c r="A16392" s="1" t="s">
        <v>32289</v>
      </c>
      <c r="B16392" s="1">
        <v>0</v>
      </c>
      <c r="C16392" s="3">
        <v>44520.911770833336</v>
      </c>
      <c r="D16392" s="1" t="s">
        <v>32290</v>
      </c>
      <c r="E16392" s="1" t="str">
        <f ca="1">IFERROR(__xludf.DUMMYFUNCTION("GOOGLETRANSLATE(A13191 , ""tr"" , ""en"")"),"@drfahrettinkoca Simdiye Until Sukur Virus Bulati. If I die the Virus I'm fadder. Cunku Acin is a blind ... https://t.co/TDCAHJUIXR")</f>
        <v>@drfahrettinkoca Simdiye Until Sukur Virus Bulati. If I die the Virus I'm fadder. Cunku Acin is a blind ... https://t.co/TDCAHJUIXR</v>
      </c>
    </row>
    <row r="16393" spans="1:5" ht="15" customHeight="1" x14ac:dyDescent="0.2">
      <c r="A16393" s="1" t="s">
        <v>32291</v>
      </c>
      <c r="B16393" s="1">
        <v>0</v>
      </c>
      <c r="C16393" s="3">
        <v>44520.910462962966</v>
      </c>
      <c r="D16393" s="1" t="s">
        <v>32292</v>
      </c>
      <c r="E16393" s="1" t="str">
        <f ca="1">IFERROR(__xludf.DUMMYFUNCTION("GOOGLETRANSLATE(A13192 , ""tr"" , ""en"")"),"@drfahrettinkoca Valla I'm not guiful in the scientists in the company of urethet I'm not guvened in the company. The company is yourself ... https://t.co/bturvdexlg")</f>
        <v>@drfahrettinkoca Valla I'm not guiful in the scientists in the company of urethet I'm not guvened in the company. The company is yourself ... https://t.co/bturvdexlg</v>
      </c>
    </row>
    <row r="16394" spans="1:5" ht="15" customHeight="1" x14ac:dyDescent="0.2">
      <c r="A16394" s="1" t="s">
        <v>32293</v>
      </c>
      <c r="B16394" s="1">
        <v>4</v>
      </c>
      <c r="C16394" s="3">
        <v>44520.908645833333</v>
      </c>
      <c r="D16394" s="1" t="s">
        <v>32294</v>
      </c>
      <c r="E16394" s="1" t="str">
        <f ca="1">IFERROR(__xludf.DUMMYFUNCTION("GOOGLETRANSLATE(A13193 , ""tr"" , ""en"")"),"@drfahrettinkoca 2 was not to go to reminding of doses and lose effect? Don't I remember wrong or forgot you ... https://t.co/z1gcht6qdh")</f>
        <v>@drfahrettinkoca 2 was not to go to reminding of doses and lose effect? Don't I remember wrong or forgot you ... https://t.co/z1gcht6qdh</v>
      </c>
    </row>
    <row r="16395" spans="1:5" ht="15" customHeight="1" x14ac:dyDescent="0.2">
      <c r="A16395" s="1" t="s">
        <v>32295</v>
      </c>
      <c r="B16395" s="1">
        <v>0</v>
      </c>
      <c r="C16395" s="3">
        <v>44520.908148148148</v>
      </c>
      <c r="D16395" s="1" t="s">
        <v>32296</v>
      </c>
      <c r="E16395" s="1" t="str">
        <f ca="1">IFERROR(__xludf.DUMMYFUNCTION("GOOGLETRANSLATE(A13194 , ""tr"" , ""en"")"),"@drfahrettinkoca I'm not unstable.")</f>
        <v>@drfahrettinkoca I'm not unstable.</v>
      </c>
    </row>
    <row r="16396" spans="1:5" ht="15" customHeight="1" x14ac:dyDescent="0.2">
      <c r="A16396" s="1" t="s">
        <v>32297</v>
      </c>
      <c r="B16396" s="1">
        <v>1</v>
      </c>
      <c r="C16396" s="3">
        <v>44520.907581018517</v>
      </c>
      <c r="D16396" s="1" t="s">
        <v>32298</v>
      </c>
      <c r="E16396" s="1" t="str">
        <f ca="1">IFERROR(__xludf.DUMMYFUNCTION("GOOGLETRANSLATE(A13195 , ""tr"" , ""en"")"),"@drfahrettinkoca 🤔ora will never be obvious we will see the results of the following times, and advancing science site ... https://t.co/fcytnebhpv")</f>
        <v>@drfahrettinkoca 🤔ora will never be obvious we will see the results of the following times, and advancing science site ... https://t.co/fcytnebhpv</v>
      </c>
    </row>
    <row r="16397" spans="1:5" ht="15" customHeight="1" x14ac:dyDescent="0.2">
      <c r="A16397" s="1" t="s">
        <v>32299</v>
      </c>
      <c r="B16397" s="1">
        <v>0</v>
      </c>
      <c r="C16397" s="3">
        <v>44520.906539351854</v>
      </c>
      <c r="D16397" s="1" t="s">
        <v>32300</v>
      </c>
      <c r="E16397" s="1" t="str">
        <f ca="1">IFERROR(__xludf.DUMMYFUNCTION("GOOGLETRANSLATE(A13196 , ""tr"" , ""en"")"),"@drfahrettinkoca when are you going to do binels for kids? Playing three monkeys come to your work?")</f>
        <v>@drfahrettinkoca when are you going to do binels for kids? Playing three monkeys come to your work?</v>
      </c>
    </row>
    <row r="16398" spans="1:5" ht="15" customHeight="1" x14ac:dyDescent="0.2">
      <c r="A16398" s="1" t="s">
        <v>32301</v>
      </c>
      <c r="B16398" s="1">
        <v>0</v>
      </c>
      <c r="C16398" s="3">
        <v>44520.905740740738</v>
      </c>
      <c r="D16398" s="1" t="s">
        <v>32302</v>
      </c>
      <c r="E16398" s="1" t="str">
        <f ca="1">IFERROR(__xludf.DUMMYFUNCTION("GOOGLETRANSLATE(A13197 , ""tr"" , ""en"")"),"Find Hospital Randewularina Solution Before @drfahrettinkca You are the Minister of DSCE Doctor in Urkede Doctor, months waiting for the order of examination ..")</f>
        <v>Find Hospital Randewularina Solution Before @drfahrettinkca You are the Minister of DSCE Doctor in Urkede Doctor, months waiting for the order of examination ..</v>
      </c>
    </row>
    <row r="16399" spans="1:5" ht="15" customHeight="1" x14ac:dyDescent="0.2">
      <c r="A16399" s="1" t="s">
        <v>32303</v>
      </c>
      <c r="B16399" s="1">
        <v>0</v>
      </c>
      <c r="C16399" s="3">
        <v>44520.904687499999</v>
      </c>
      <c r="D16399" s="1" t="s">
        <v>32304</v>
      </c>
      <c r="E16399" s="1" t="str">
        <f ca="1">IFERROR(__xludf.DUMMYFUNCTION("GOOGLETRANSLATE(A13198 , ""tr"" , ""en"")"),"@drfahrettinka you couldn't have their vaccinations when you were toddled in uhte in you how you have a health minister ... https://t.co/vrrzhtyfow")</f>
        <v>@drfahrettinka you couldn't have their vaccinations when you were toddled in uhte in you how you have a health minister ... https://t.co/vrrzhtyfow</v>
      </c>
    </row>
    <row r="16400" spans="1:5" ht="15" customHeight="1" x14ac:dyDescent="0.2">
      <c r="A16400" s="1" t="s">
        <v>32305</v>
      </c>
      <c r="B16400" s="1">
        <v>2</v>
      </c>
      <c r="C16400" s="3">
        <v>44520.903668981482</v>
      </c>
      <c r="D16400" s="1" t="s">
        <v>32306</v>
      </c>
      <c r="E16400" s="1" t="str">
        <f ca="1">IFERROR(__xludf.DUMMYFUNCTION("GOOGLETRANSLATE(A13199 , ""tr"" , ""en"")"),"@drfahrettinkoca is not to be my decision vaccinations and get some examples of this resolution")</f>
        <v>@drfahrettinkoca is not to be my decision vaccinations and get some examples of this resolution</v>
      </c>
    </row>
    <row r="16401" spans="1:5" ht="15" customHeight="1" x14ac:dyDescent="0.2">
      <c r="A16401" s="1" t="s">
        <v>32307</v>
      </c>
      <c r="B16401" s="1">
        <v>0</v>
      </c>
      <c r="C16401" s="3">
        <v>44520.903252314813</v>
      </c>
      <c r="D16401" s="1" t="s">
        <v>32308</v>
      </c>
      <c r="E16401" s="1" t="str">
        <f ca="1">IFERROR(__xludf.DUMMYFUNCTION("GOOGLETRANSLATE(A13200 , ""tr"" , ""en"")"),"@drfahrettinkoca you confidence. Quit unshaved.")</f>
        <v>@drfahrettinkoca you confidence. Quit unshaved.</v>
      </c>
    </row>
    <row r="16402" spans="1:5" ht="15" customHeight="1" x14ac:dyDescent="0.2">
      <c r="A16402" s="1" t="s">
        <v>32309</v>
      </c>
      <c r="B16402" s="1">
        <v>0</v>
      </c>
      <c r="C16402" s="3">
        <v>44520.902731481481</v>
      </c>
      <c r="D16402" s="1" t="s">
        <v>32310</v>
      </c>
      <c r="E16402" s="1" t="str">
        <f ca="1">IFERROR(__xludf.DUMMYFUNCTION("GOOGLETRANSLATE(A13201 , ""tr"" , ""en"")"),"@drfahrettinka how much money you have received from vaccine firms ...")</f>
        <v>@drfahrettinka how much money you have received from vaccine firms ...</v>
      </c>
    </row>
    <row r="16403" spans="1:5" ht="15" customHeight="1" x14ac:dyDescent="0.2">
      <c r="A16403" s="1" t="s">
        <v>32311</v>
      </c>
      <c r="B16403" s="1">
        <v>0</v>
      </c>
      <c r="C16403" s="3">
        <v>44520.902708333335</v>
      </c>
      <c r="D16403" s="1" t="s">
        <v>32312</v>
      </c>
      <c r="E16403" s="1" t="str">
        <f ca="1">IFERROR(__xludf.DUMMYFUNCTION("GOOGLETRANSLATE(A13202 , ""tr"" , ""en"")"),"@drfahrettinkoca 2 I've been overdose yes but my own decision is not my own regards")</f>
        <v>@drfahrettinkoca 2 I've been overdose yes but my own decision is not my own regards</v>
      </c>
    </row>
    <row r="16404" spans="1:5" ht="15" customHeight="1" x14ac:dyDescent="0.2">
      <c r="A16404" s="1" t="s">
        <v>32313</v>
      </c>
      <c r="B16404" s="1">
        <v>0</v>
      </c>
      <c r="C16404" s="3">
        <v>44520.901631944442</v>
      </c>
      <c r="D16404" s="1" t="s">
        <v>32314</v>
      </c>
      <c r="E16404" s="1" t="str">
        <f ca="1">IFERROR(__xludf.DUMMYFUNCTION("GOOGLETRANSLATE(A13203 , ""tr"" , ""en"")"),"@drfahrettinka Eyyy @rterdogan halti stop, enough means your responsibility !!!!! Hes with codes, zorb ... https://t.co/2rtymkk63g")</f>
        <v>@drfahrettinka Eyyy @rterdogan halti stop, enough means your responsibility !!!!! Hes with codes, zorb ... https://t.co/2rtymkk63g</v>
      </c>
    </row>
    <row r="16405" spans="1:5" ht="15" customHeight="1" x14ac:dyDescent="0.2">
      <c r="A16405" s="1" t="s">
        <v>32315</v>
      </c>
      <c r="B16405" s="1">
        <v>0</v>
      </c>
      <c r="C16405" s="3">
        <v>44520.901504629626</v>
      </c>
      <c r="D16405" s="1" t="s">
        <v>32316</v>
      </c>
      <c r="E16405" s="1" t="str">
        <f ca="1">IFERROR(__xludf.DUMMYFUNCTION("GOOGLETRANSLATE(A13204 , ""tr"" , ""en"")"),"@drfahrettinkoca I included, everyone around me was 3 dose vaccines, everyone is very healthy. Covid did not have died or intensely habitual.")</f>
        <v>@drfahrettinkoca I included, everyone around me was 3 dose vaccines, everyone is very healthy. Covid did not have died or intensely habitual.</v>
      </c>
    </row>
    <row r="16406" spans="1:5" ht="15" customHeight="1" x14ac:dyDescent="0.2">
      <c r="A16406" s="1" t="s">
        <v>32317</v>
      </c>
      <c r="B16406" s="1">
        <v>0</v>
      </c>
      <c r="C16406" s="3">
        <v>44520.901342592595</v>
      </c>
      <c r="D16406" s="1" t="s">
        <v>32318</v>
      </c>
      <c r="E16406" s="1" t="str">
        <f ca="1">IFERROR(__xludf.DUMMYFUNCTION("GOOGLETRANSLATE(A13205 , ""tr"" , ""en"")"),"@drfahrettinkoca with outsourcing, mouth open, mask-free navigations should be introduced to")</f>
        <v>@drfahrettinkoca with outsourcing, mouth open, mask-free navigations should be introduced to</v>
      </c>
    </row>
    <row r="16407" spans="1:5" ht="15" customHeight="1" x14ac:dyDescent="0.2">
      <c r="A16407" s="1" t="s">
        <v>32319</v>
      </c>
      <c r="B16407" s="1">
        <v>0</v>
      </c>
      <c r="C16407" s="3">
        <v>44520.901053240741</v>
      </c>
      <c r="D16407" s="1" t="s">
        <v>32320</v>
      </c>
      <c r="E16407" s="1" t="str">
        <f ca="1">IFERROR(__xludf.DUMMYFUNCTION("GOOGLETRANSLATE(A13206 , ""tr"" , ""en"")"),"@drfahrettinkoca Yaa Yes I have the beneficial of Madem Also why the Case number is too much vaccination rate is less than Sanliurfa et ... https://t.co/cde71scagx")</f>
        <v>@drfahrettinkoca Yaa Yes I have the beneficial of Madem Also why the Case number is too much vaccination rate is less than Sanliurfa et ... https://t.co/cde71scagx</v>
      </c>
    </row>
    <row r="16408" spans="1:5" ht="15" customHeight="1" x14ac:dyDescent="0.2">
      <c r="A16408" s="1" t="s">
        <v>32321</v>
      </c>
      <c r="B16408" s="1">
        <v>0</v>
      </c>
      <c r="C16408" s="3">
        <v>44520.900289351855</v>
      </c>
      <c r="D16408" s="1" t="s">
        <v>32322</v>
      </c>
      <c r="E16408" s="1" t="str">
        <f ca="1">IFERROR(__xludf.DUMMYFUNCTION("GOOGLETRANSLATE(A13207 , ""tr"" , ""en"")"),"@drfahrettinkoca I have become my vaccinations, but if I was dissent, the majority of the Ministry of Health, the majority of the parliament is ... https://t.co/54noqeoftq")</f>
        <v>@drfahrettinkoca I have become my vaccinations, but if I was dissent, the majority of the Ministry of Health, the majority of the parliament is ... https://t.co/54noqeoftq</v>
      </c>
    </row>
    <row r="16409" spans="1:5" ht="15" customHeight="1" x14ac:dyDescent="0.2">
      <c r="A16409" s="1" t="s">
        <v>32323</v>
      </c>
      <c r="B16409" s="1">
        <v>0</v>
      </c>
      <c r="C16409" s="3">
        <v>44520.899768518517</v>
      </c>
      <c r="D16409" s="1" t="s">
        <v>32324</v>
      </c>
      <c r="E16409" s="1" t="str">
        <f ca="1">IFERROR(__xludf.DUMMYFUNCTION("GOOGLETRANSLATE(A13208 , ""tr"" , ""en"")"),"@drfahrettinkoca is no need to be 6 months between 2 and 3 ...")</f>
        <v>@drfahrettinkoca is no need to be 6 months between 2 and 3 ...</v>
      </c>
    </row>
    <row r="16410" spans="1:5" ht="15" customHeight="1" x14ac:dyDescent="0.2">
      <c r="A16410" s="1" t="s">
        <v>32325</v>
      </c>
      <c r="B16410" s="1">
        <v>6</v>
      </c>
      <c r="C16410" s="3">
        <v>44520.899525462963</v>
      </c>
      <c r="D16410" s="1" t="s">
        <v>32326</v>
      </c>
      <c r="E16410" s="1" t="str">
        <f ca="1">IFERROR(__xludf.DUMMYFUNCTION("GOOGLETRANSLATE(A13209 , ""tr"" , ""en"")"),"@drfahrettinkoca nest do the state breaks down the state nest never? # HOBBAHILLERS @ FAHrettinaltun ... https://t.co/5bamrzelvn")</f>
        <v>@drfahrettinkoca nest do the state breaks down the state nest never? # HOBBAHILLERS @ FAHrettinaltun ... https://t.co/5bamrzelvn</v>
      </c>
    </row>
    <row r="16411" spans="1:5" ht="15" customHeight="1" x14ac:dyDescent="0.2">
      <c r="A16411" s="1" t="s">
        <v>32327</v>
      </c>
      <c r="B16411" s="1">
        <v>1</v>
      </c>
      <c r="C16411" s="3">
        <v>44520.898136574076</v>
      </c>
      <c r="D16411" s="1" t="s">
        <v>32328</v>
      </c>
      <c r="E16411" s="1" t="str">
        <f ca="1">IFERROR(__xludf.DUMMYFUNCTION("GOOGLETRANSLATE(A13210 , ""tr"" , ""en"")"),"@drfahrettinkoca 😏 If the majority was the mind-heba that would not be the pursuit of war removing world war.")</f>
        <v>@drfahrettinkoca 😏 If the majority was the mind-heba that would not be the pursuit of war removing world war.</v>
      </c>
    </row>
    <row r="16412" spans="1:5" ht="15" customHeight="1" x14ac:dyDescent="0.2">
      <c r="A16412" s="1" t="s">
        <v>32329</v>
      </c>
      <c r="B16412" s="1">
        <v>1</v>
      </c>
      <c r="C16412" s="3">
        <v>44520.896921296298</v>
      </c>
      <c r="D16412" s="1" t="s">
        <v>32330</v>
      </c>
      <c r="E16412" s="1" t="str">
        <f ca="1">IFERROR(__xludf.DUMMYFUNCTION("GOOGLETRANSLATE(A13211 , ""tr"" , ""en"")"),"@drfahrettinkoca has finally finally lets you finally have the cullive ...")</f>
        <v>@drfahrettinkoca has finally finally lets you finally have the cullive ...</v>
      </c>
    </row>
    <row r="16413" spans="1:5" ht="15" customHeight="1" x14ac:dyDescent="0.2">
      <c r="A16413" s="1" t="s">
        <v>32331</v>
      </c>
      <c r="B16413" s="1">
        <v>0</v>
      </c>
      <c r="C16413" s="3">
        <v>44520.894479166665</v>
      </c>
      <c r="D16413" s="1" t="s">
        <v>32332</v>
      </c>
      <c r="E16413" s="1" t="str">
        <f ca="1">IFERROR(__xludf.DUMMYFUNCTION("GOOGLETRANSLATE(A13212 , ""tr"" , ""en"")"),"@drfahrettinkoca I don't have to comply with anyone's decision. Old with those who try to hit chain to our independence ... https://t.co/5g2rzq0nr7")</f>
        <v>@drfahrettinkoca I don't have to comply with anyone's decision. Old with those who try to hit chain to our independence ... https://t.co/5g2rzq0nr7</v>
      </c>
    </row>
    <row r="16414" spans="1:5" ht="15" customHeight="1" x14ac:dyDescent="0.2">
      <c r="A16414" s="1" t="s">
        <v>32333</v>
      </c>
      <c r="B16414" s="1">
        <v>3</v>
      </c>
      <c r="C16414" s="3">
        <v>44520.894074074073</v>
      </c>
      <c r="D16414" s="1" t="s">
        <v>32334</v>
      </c>
      <c r="E16414" s="1" t="str">
        <f ca="1">IFERROR(__xludf.DUMMYFUNCTION("GOOGLETRANSLATE(A13213 , ""tr"" , ""en"")"),"@drfahrettinkoca Favoritini is not inactivated with Turkish subjects We are not proven only in vaccines: Https://t.co/8qqvtdwmov")</f>
        <v>@drfahrettinkoca Favoritini is not inactivated with Turkish subjects We are not proven only in vaccines: Https://t.co/8qqvtdwmov</v>
      </c>
    </row>
    <row r="16415" spans="1:5" ht="15" customHeight="1" x14ac:dyDescent="0.2">
      <c r="A16415" s="1" t="s">
        <v>32335</v>
      </c>
      <c r="B16415" s="1">
        <v>0</v>
      </c>
      <c r="C16415" s="3">
        <v>44520.893506944441</v>
      </c>
      <c r="D16415" s="1" t="s">
        <v>32336</v>
      </c>
      <c r="E16415" s="1" t="str">
        <f ca="1">IFERROR(__xludf.DUMMYFUNCTION("GOOGLETRANSLATE(A13214 , ""tr"" , ""en"")"),"@drfahrettinkoca Don't say the vaccine no longer use the experimental fluid as a guinea pig")</f>
        <v>@drfahrettinkoca Don't say the vaccine no longer use the experimental fluid as a guinea pig</v>
      </c>
    </row>
    <row r="16416" spans="1:5" ht="15" customHeight="1" x14ac:dyDescent="0.2">
      <c r="A16416" s="1" t="s">
        <v>32337</v>
      </c>
      <c r="B16416" s="1">
        <v>0</v>
      </c>
      <c r="C16416" s="3">
        <v>44520.893125000002</v>
      </c>
      <c r="D16416" s="1" t="s">
        <v>32338</v>
      </c>
      <c r="E16416" s="1" t="str">
        <f ca="1">IFERROR(__xludf.DUMMYFUNCTION("GOOGLETRANSLATE(A13215 , ""tr"" , ""en"")"),"@drfahrettinkoca Hoca, as the doses came from Germany.")</f>
        <v>@drfahrettinkoca Hoca, as the doses came from Germany.</v>
      </c>
    </row>
    <row r="16417" spans="1:5" ht="15" customHeight="1" x14ac:dyDescent="0.2">
      <c r="A16417" s="1" t="s">
        <v>32339</v>
      </c>
      <c r="B16417" s="1">
        <v>0</v>
      </c>
      <c r="C16417" s="3">
        <v>44520.891643518517</v>
      </c>
      <c r="D16417" s="1" t="s">
        <v>32340</v>
      </c>
      <c r="E16417" s="1" t="str">
        <f ca="1">IFERROR(__xludf.DUMMYFUNCTION("GOOGLETRANSLATE(A13216 , ""tr"" , ""en"")"),"@drfahrettinkoca I trust you and believe what my child is the college.")</f>
        <v>@drfahrettinkoca I trust you and believe what my child is the college.</v>
      </c>
    </row>
    <row r="16418" spans="1:5" ht="15" customHeight="1" x14ac:dyDescent="0.2">
      <c r="A16418" s="1" t="s">
        <v>32341</v>
      </c>
      <c r="B16418" s="1">
        <v>0</v>
      </c>
      <c r="C16418" s="3">
        <v>44520.891192129631</v>
      </c>
      <c r="D16418" s="1" t="s">
        <v>32342</v>
      </c>
      <c r="E16418" s="1" t="str">
        <f ca="1">IFERROR(__xludf.DUMMYFUNCTION("GOOGLETRANSLATE(A13217 , ""tr"" , ""en"")"),"@drfahrettinka https://t.co/2vt1tmpoof would you fix the worry of #fauci @drfahrettinkoca?")</f>
        <v>@drfahrettinka https://t.co/2vt1tmpoof would you fix the worry of #fauci @drfahrettinkoca?</v>
      </c>
    </row>
    <row r="16419" spans="1:5" ht="15" customHeight="1" x14ac:dyDescent="0.2">
      <c r="A16419" s="1" t="s">
        <v>32343</v>
      </c>
      <c r="B16419" s="1">
        <v>0</v>
      </c>
      <c r="C16419" s="3">
        <v>44520.890949074077</v>
      </c>
      <c r="D16419" s="1" t="s">
        <v>32344</v>
      </c>
      <c r="E16419" s="1" t="str">
        <f ca="1">IFERROR(__xludf.DUMMYFUNCTION("GOOGLETRANSLATE(A13218 , ""tr"" , ""en"")"),"@drfahrettinkoca Ministry of Favipiravir Ineffective with so high doses of people who can see what damages ??? ... https://t.co/qnljjkdppd")</f>
        <v>@drfahrettinkoca Ministry of Favipiravir Ineffective with so high doses of people who can see what damages ??? ... https://t.co/qnljjkdppd</v>
      </c>
    </row>
    <row r="16420" spans="1:5" ht="15" customHeight="1" x14ac:dyDescent="0.2">
      <c r="A16420" s="1" t="s">
        <v>32345</v>
      </c>
      <c r="B16420" s="1">
        <v>0</v>
      </c>
      <c r="C16420" s="3">
        <v>44520.890393518515</v>
      </c>
      <c r="D16420" s="1" t="s">
        <v>32346</v>
      </c>
      <c r="E16420" s="1" t="str">
        <f ca="1">IFERROR(__xludf.DUMMYFUNCTION("GOOGLETRANSLATE(A13219 , ""tr"" , ""en"")"),"@drfahrettinkoca 3dosto vaccination We have a lot of my uncle we lost Covidden today who would take some example")</f>
        <v>@drfahrettinkoca 3dosto vaccination We have a lot of my uncle we lost Covidden today who would take some example</v>
      </c>
    </row>
    <row r="16421" spans="1:5" ht="15" customHeight="1" x14ac:dyDescent="0.2">
      <c r="A16421" s="1" t="s">
        <v>32347</v>
      </c>
      <c r="B16421" s="1">
        <v>3</v>
      </c>
      <c r="C16421" s="3">
        <v>44520.889282407406</v>
      </c>
      <c r="D16421" s="1" t="s">
        <v>32348</v>
      </c>
      <c r="E16421" s="1" t="str">
        <f ca="1">IFERROR(__xludf.DUMMYFUNCTION("GOOGLETRANSLATE(A13220 , ""tr"" , ""en"")"),"@drfahrettinkoca corona medicines are ineffective for vaccines when you are eliminated for vaccines, when you can tell the vaccine ... https://t.co/t8vk4kne1t")</f>
        <v>@drfahrettinkoca corona medicines are ineffective for vaccines when you are eliminated for vaccines, when you can tell the vaccine ... https://t.co/t8vk4kne1t</v>
      </c>
    </row>
    <row r="16422" spans="1:5" ht="15" customHeight="1" x14ac:dyDescent="0.2">
      <c r="A16422" s="1" t="s">
        <v>32349</v>
      </c>
      <c r="B16422" s="1">
        <v>5</v>
      </c>
      <c r="C16422" s="3">
        <v>44520.888726851852</v>
      </c>
      <c r="D16422" s="1" t="s">
        <v>32350</v>
      </c>
      <c r="E16422" s="1" t="str">
        <f ca="1">IFERROR(__xludf.DUMMYFUNCTION("GOOGLETRANSLATE(A13221 , ""tr"" , ""en"")"),"@drfahrettinkoca Favibravirs ineffective GIP., so it was no use! Let's talk to the damage if it didn't benefit! With this drug ... https://t.co/xcsannmjxc")</f>
        <v>@drfahrettinkoca Favibravirs ineffective GIP., so it was no use! Let's talk to the damage if it didn't benefit! With this drug ... https://t.co/xcsannmjxc</v>
      </c>
    </row>
    <row r="16423" spans="1:5" ht="15" customHeight="1" x14ac:dyDescent="0.2">
      <c r="A16423" s="1" t="s">
        <v>32351</v>
      </c>
      <c r="B16423" s="1">
        <v>0</v>
      </c>
      <c r="C16423" s="3">
        <v>44520.887696759259</v>
      </c>
      <c r="D16423" s="1" t="s">
        <v>32352</v>
      </c>
      <c r="E16423" s="1" t="str">
        <f ca="1">IFERROR(__xludf.DUMMYFUNCTION("GOOGLETRANSLATE(A13222 , ""tr"" , ""en"")"),"What was the @drfahrettinkoca baby for people who make Covid vaccine? Say him to tell him, the Bey who is looking for. A Baby ... HTTPS://T.CO/CEITDFOCXT")</f>
        <v>What was the @drfahrettinkoca baby for people who make Covid vaccine? Say him to tell him, the Bey who is looking for. A Baby ... HTTPS://T.CO/CEITDFOCXT</v>
      </c>
    </row>
    <row r="16424" spans="1:5" ht="15" customHeight="1" x14ac:dyDescent="0.2">
      <c r="A16424" s="1" t="s">
        <v>32353</v>
      </c>
      <c r="B16424" s="1">
        <v>0</v>
      </c>
      <c r="C16424" s="3">
        <v>44520.887256944443</v>
      </c>
      <c r="D16424" s="1" t="s">
        <v>32354</v>
      </c>
      <c r="E16424" s="1" t="str">
        <f ca="1">IFERROR(__xludf.DUMMYFUNCTION("GOOGLETRANSLATE(A13223 , ""tr"" , ""en"")"),"@drfahrettinkoca becomes the vaccination of you.")</f>
        <v>@drfahrettinkoca becomes the vaccination of you.</v>
      </c>
    </row>
    <row r="16425" spans="1:5" ht="15" customHeight="1" x14ac:dyDescent="0.2">
      <c r="A16425" s="1" t="s">
        <v>32355</v>
      </c>
      <c r="B16425" s="1">
        <v>1</v>
      </c>
      <c r="C16425" s="3">
        <v>44520.88690972222</v>
      </c>
      <c r="D16425" s="1" t="s">
        <v>32356</v>
      </c>
      <c r="E16425" s="1" t="str">
        <f ca="1">IFERROR(__xludf.DUMMYFUNCTION("GOOGLETRANSLATE(A13224 , ""tr"" , ""en"")"),"@drfahrettinkoca nationality with the job, you can threaten and have the needle to be the needle.")</f>
        <v>@drfahrettinkoca nationality with the job, you can threaten and have the needle to be the needle.</v>
      </c>
    </row>
    <row r="16426" spans="1:5" ht="15" customHeight="1" x14ac:dyDescent="0.2">
      <c r="A16426" s="1" t="s">
        <v>32357</v>
      </c>
      <c r="B16426" s="1">
        <v>0</v>
      </c>
      <c r="C16426" s="3">
        <v>44520.886481481481</v>
      </c>
      <c r="D16426" s="1" t="s">
        <v>32358</v>
      </c>
      <c r="E16426" s="1" t="str">
        <f ca="1">IFERROR(__xludf.DUMMYFUNCTION("GOOGLETRANSLATE(A13225 , ""tr"" , ""en"")"),"@drfahrettinkoca 50 million potential patients and living dead 🙄🤔")</f>
        <v>@drfahrettinkoca 50 million potential patients and living dead 🙄🤔</v>
      </c>
    </row>
    <row r="16427" spans="1:5" ht="15" customHeight="1" x14ac:dyDescent="0.2">
      <c r="A16427" s="1" t="s">
        <v>32359</v>
      </c>
      <c r="B16427" s="1">
        <v>7</v>
      </c>
      <c r="C16427" s="3">
        <v>44520.886435185188</v>
      </c>
      <c r="D16427" s="1" t="s">
        <v>32360</v>
      </c>
      <c r="E16427" s="1" t="str">
        <f ca="1">IFERROR(__xludf.DUMMYFUNCTION("GOOGLETRANSLATE(A13226 , ""tr"" , ""en"")"),"@drfahrettinkoca 2 was 6 months from the east of most of the ones who have families. So the simd is the same. Now Sende Everybody G ... https://t.co/w3b0emoxld")</f>
        <v>@drfahrettinkoca 2 was 6 months from the east of most of the ones who have families. So the simd is the same. Now Sende Everybody G ... https://t.co/w3b0emoxld</v>
      </c>
    </row>
    <row r="16428" spans="1:5" ht="15" customHeight="1" x14ac:dyDescent="0.2">
      <c r="A16428" s="1" t="s">
        <v>32361</v>
      </c>
      <c r="B16428" s="1">
        <v>0</v>
      </c>
      <c r="C16428" s="3">
        <v>44520.885717592595</v>
      </c>
      <c r="D16428" s="1" t="s">
        <v>32362</v>
      </c>
      <c r="E16428" s="1" t="str">
        <f ca="1">IFERROR(__xludf.DUMMYFUNCTION("GOOGLETRANSLATE(A13227 , ""tr"" , ""en"")"),"@drfahrettinkoca chest varrr. You will be drowned in your fancy cruelty. There is allah beyond. The realms have the wound. Hasbün ... https://t.co/aAnMI2EQUI")</f>
        <v>@drfahrettinkoca chest varrr. You will be drowned in your fancy cruelty. There is allah beyond. The realms have the wound. Hasbün ... https://t.co/aAnMI2EQUI</v>
      </c>
    </row>
    <row r="16429" spans="1:5" ht="15" customHeight="1" x14ac:dyDescent="0.2">
      <c r="A16429" s="1" t="s">
        <v>32363</v>
      </c>
      <c r="B16429" s="1">
        <v>5</v>
      </c>
      <c r="C16429" s="3">
        <v>44520.884768518517</v>
      </c>
      <c r="D16429" s="1" t="s">
        <v>32364</v>
      </c>
      <c r="E16429" s="1" t="str">
        <f ca="1">IFERROR(__xludf.DUMMYFUNCTION("GOOGLETRANSLATE(A13228 , ""tr"" , ""en"")"),"@drfahrettinkoca Çine Git Ya Valla Look more than 50% Pattern in 2 billion people more than 2 billion clean quotes ... https://t.co/shdwdfq3ig")</f>
        <v>@drfahrettinkoca Çine Git Ya Valla Look more than 50% Pattern in 2 billion people more than 2 billion clean quotes ... https://t.co/shdwdfq3ig</v>
      </c>
    </row>
    <row r="16430" spans="1:5" ht="15" customHeight="1" x14ac:dyDescent="0.2">
      <c r="A16430" s="1" t="s">
        <v>32365</v>
      </c>
      <c r="B16430" s="1">
        <v>0</v>
      </c>
      <c r="C16430" s="3">
        <v>44520.883946759262</v>
      </c>
      <c r="D16430" s="1" t="s">
        <v>32366</v>
      </c>
      <c r="E16430" s="1" t="str">
        <f ca="1">IFERROR(__xludf.DUMMYFUNCTION("GOOGLETRANSLATE(A13229 , ""tr"" , ""en"")"),"@drfahrettinkoca I want to be the fifth where can I get an appointment ???")</f>
        <v>@drfahrettinkoca I want to be the fifth where can I get an appointment ???</v>
      </c>
    </row>
    <row r="16431" spans="1:5" ht="15" customHeight="1" x14ac:dyDescent="0.2">
      <c r="A16431" s="1" t="s">
        <v>32367</v>
      </c>
      <c r="B16431" s="1">
        <v>0</v>
      </c>
      <c r="C16431" s="3">
        <v>44520.883634259262</v>
      </c>
      <c r="D16431" s="1" t="s">
        <v>32368</v>
      </c>
      <c r="E16431" s="1" t="str">
        <f ca="1">IFERROR(__xludf.DUMMYFUNCTION("GOOGLETRANSLATE(A13230 , ""tr"" , ""en"")"),"@drfahrettinkoca BI git yaw.jimse doesn't rope you no vain talk, BI shit won't wire you still atmate.")</f>
        <v>@drfahrettinkoca BI git yaw.jimse doesn't rope you no vain talk, BI shit won't wire you still atmate.</v>
      </c>
    </row>
    <row r="16432" spans="1:5" ht="15" customHeight="1" x14ac:dyDescent="0.2">
      <c r="A16432" s="1" t="s">
        <v>32369</v>
      </c>
      <c r="B16432" s="1">
        <v>28</v>
      </c>
      <c r="C16432" s="3">
        <v>44520.883321759262</v>
      </c>
      <c r="D16432" s="1" t="s">
        <v>32370</v>
      </c>
      <c r="E16432" s="1" t="str">
        <f ca="1">IFERROR(__xludf.DUMMYFUNCTION("GOOGLETRANSLATE(A13231 , ""tr"" , ""en"")"),"@drfahrettinkoca forcing people with imposition, by restricting their lives, if there are no vaccines, 2 times per week ... https://t.co/ivqkgffmou")</f>
        <v>@drfahrettinkoca forcing people with imposition, by restricting their lives, if there are no vaccines, 2 times per week ... https://t.co/ivqkgffmou</v>
      </c>
    </row>
    <row r="16433" spans="1:5" ht="15" customHeight="1" x14ac:dyDescent="0.2">
      <c r="A16433" s="1" t="s">
        <v>32371</v>
      </c>
      <c r="B16433" s="1">
        <v>0</v>
      </c>
      <c r="C16433" s="3">
        <v>44520.883321759262</v>
      </c>
      <c r="D16433" s="1" t="s">
        <v>32372</v>
      </c>
      <c r="E16433" s="1" t="str">
        <f ca="1">IFERROR(__xludf.DUMMYFUNCTION("GOOGLETRANSLATE(A13232 , ""tr"" , ""en"")"),"@drfahrettinkoca tell me for Allah right, have you been vaccinated, how many dose you have been? Why is this cruelty? Kamala Ha ... https://t.co/qs3h8gz4ou")</f>
        <v>@drfahrettinkoca tell me for Allah right, have you been vaccinated, how many dose you have been? Why is this cruelty? Kamala Ha ... https://t.co/qs3h8gz4ou</v>
      </c>
    </row>
    <row r="16434" spans="1:5" ht="15" customHeight="1" x14ac:dyDescent="0.2">
      <c r="A16434" s="1" t="s">
        <v>32373</v>
      </c>
      <c r="B16434" s="1">
        <v>0</v>
      </c>
      <c r="C16434" s="3">
        <v>44520.883229166669</v>
      </c>
      <c r="D16434" s="1" t="s">
        <v>32374</v>
      </c>
      <c r="E16434" s="1" t="str">
        <f ca="1">IFERROR(__xludf.DUMMYFUNCTION("GOOGLETRANSLATE(A13233 , ""tr"" , ""en"")"),"@drfahrettinkoca https://t.co/tqd7qphf0z What do you say about it #atabay and #Medipol as partners .. ... HTTPS://T.CO/OBFR042P1K")</f>
        <v>@drfahrettinkoca https://t.co/tqd7qphf0z What do you say about it #atabay and #Medipol as partners .. ... HTTPS://T.CO/OBFR042P1K</v>
      </c>
    </row>
    <row r="16435" spans="1:5" ht="15" customHeight="1" x14ac:dyDescent="0.2">
      <c r="A16435" s="1" t="s">
        <v>32375</v>
      </c>
      <c r="B16435" s="1">
        <v>0</v>
      </c>
      <c r="C16435" s="3">
        <v>44520.881967592592</v>
      </c>
      <c r="D16435" s="1" t="s">
        <v>32376</v>
      </c>
      <c r="E16435" s="1" t="str">
        <f ca="1">IFERROR(__xludf.DUMMYFUNCTION("GOOGLETRANSLATE(A13234 , ""tr"" , ""en"")"),"@drfahrettinkoca This transfer will return necessarily. I wonder what happens then? I'm very curious about those days ...")</f>
        <v>@drfahrettinkoca This transfer will return necessarily. I wonder what happens then? I'm very curious about those days ...</v>
      </c>
    </row>
    <row r="16436" spans="1:5" ht="15" customHeight="1" x14ac:dyDescent="0.2">
      <c r="A16436" s="1" t="s">
        <v>32377</v>
      </c>
      <c r="B16436" s="1">
        <v>0</v>
      </c>
      <c r="C16436" s="3">
        <v>44520.879594907405</v>
      </c>
      <c r="D16436" s="1" t="s">
        <v>32378</v>
      </c>
      <c r="E16436" s="1" t="str">
        <f ca="1">IFERROR(__xludf.DUMMYFUNCTION("GOOGLETRANSLATE(A13235 , ""tr"" , ""en"")"),"@drfahrettinkoca is not the only one in the world in Turkey in the world he is also known in Graphene Oxide known to take the liquid ... https://t.co/f66q4a3djl")</f>
        <v>@drfahrettinkoca is not the only one in the world in Turkey in the world he is also known in Graphene Oxide known to take the liquid ... https://t.co/f66q4a3djl</v>
      </c>
    </row>
    <row r="16437" spans="1:5" ht="15" customHeight="1" x14ac:dyDescent="0.2">
      <c r="A16437" s="1" t="s">
        <v>32379</v>
      </c>
      <c r="B16437" s="1">
        <v>1</v>
      </c>
      <c r="C16437" s="3">
        <v>44520.87835648148</v>
      </c>
      <c r="D16437" s="1" t="s">
        <v>32380</v>
      </c>
      <c r="E16437" s="1" t="str">
        <f ca="1">IFERROR(__xludf.DUMMYFUNCTION("GOOGLETRANSLATE(A13236 , ""tr"" , ""en"")"),"@drfahrettinkoca We have fulfilled our responsibility I have 3 dose, my wife 4doz.")</f>
        <v>@drfahrettinkoca We have fulfilled our responsibility I have 3 dose, my wife 4doz.</v>
      </c>
    </row>
    <row r="16438" spans="1:5" ht="15" customHeight="1" x14ac:dyDescent="0.2">
      <c r="A16438" s="1" t="s">
        <v>32381</v>
      </c>
      <c r="B16438" s="1">
        <v>0</v>
      </c>
      <c r="C16438" s="3">
        <v>44520.877465277779</v>
      </c>
      <c r="D16438" s="1" t="s">
        <v>32382</v>
      </c>
      <c r="E16438" s="1" t="str">
        <f ca="1">IFERROR(__xludf.DUMMYFUNCTION("GOOGLETRANSLATE(A13237 , ""tr"" , ""en"")"),"@drfahrettinkoca I won't say to you for SN or a vaccine in the vaccine.")</f>
        <v>@drfahrettinkoca I won't say to you for SN or a vaccine in the vaccine.</v>
      </c>
    </row>
    <row r="16439" spans="1:5" ht="15" customHeight="1" x14ac:dyDescent="0.2">
      <c r="A16439" s="1" t="s">
        <v>32383</v>
      </c>
      <c r="B16439" s="1">
        <v>8</v>
      </c>
      <c r="C16439" s="3">
        <v>44520.875335648147</v>
      </c>
      <c r="D16439" s="1" t="s">
        <v>32384</v>
      </c>
      <c r="E16439" s="1" t="str">
        <f ca="1">IFERROR(__xludf.DUMMYFUNCTION("GOOGLETRANSLATE(A13238 , ""tr"" , ""en"")"),"@drfahrettinka universities should be taken in universities #mebyoEkonlineEducation")</f>
        <v>@drfahrettinka universities should be taken in universities #mebyoEkonlineEducation</v>
      </c>
    </row>
    <row r="16440" spans="1:5" ht="15" customHeight="1" x14ac:dyDescent="0.2">
      <c r="A16440" s="1" t="s">
        <v>32385</v>
      </c>
      <c r="B16440" s="1">
        <v>0</v>
      </c>
      <c r="C16440" s="3">
        <v>44520.872511574074</v>
      </c>
      <c r="D16440" s="1" t="s">
        <v>32386</v>
      </c>
      <c r="E16440" s="1" t="str">
        <f ca="1">IFERROR(__xludf.DUMMYFUNCTION("GOOGLETRANSLATE(A13239 , ""tr"" , ""en"")"),"@drfahrettinkoca has not been bored of the minister who has been the agenda for 2 years. 60-70% of vaccines ... https://t.co/0ywcblWGQI")</f>
        <v>@drfahrettinkoca has not been bored of the minister who has been the agenda for 2 years. 60-70% of vaccines ... https://t.co/0ywcblWGQI</v>
      </c>
    </row>
    <row r="16441" spans="1:5" ht="15" customHeight="1" x14ac:dyDescent="0.2">
      <c r="A16441" s="1" t="s">
        <v>32387</v>
      </c>
      <c r="B16441" s="1">
        <v>0</v>
      </c>
      <c r="C16441" s="3">
        <v>44520.871562499997</v>
      </c>
      <c r="D16441" s="1" t="s">
        <v>32388</v>
      </c>
      <c r="E16441" s="1" t="str">
        <f ca="1">IFERROR(__xludf.DUMMYFUNCTION("GOOGLETRANSLATE(A13240 , ""tr"" , ""en"")"),"Think about @drfahrettinkoca God's sake I have been in a year of people in a year to people giving false pills and then i ... https://t.co/ddveplm0hq")</f>
        <v>Think about @drfahrettinkoca God's sake I have been in a year of people in a year to people giving false pills and then i ... https://t.co/ddveplm0hq</v>
      </c>
    </row>
    <row r="16442" spans="1:5" ht="15" customHeight="1" x14ac:dyDescent="0.2">
      <c r="A16442" s="1" t="s">
        <v>32389</v>
      </c>
      <c r="B16442" s="1">
        <v>0</v>
      </c>
      <c r="C16442" s="3">
        <v>44520.871354166666</v>
      </c>
      <c r="D16442" s="1" t="s">
        <v>32390</v>
      </c>
      <c r="E16442" s="1" t="str">
        <f ca="1">IFERROR(__xludf.DUMMYFUNCTION("GOOGLETRANSLATE(A13241 , ""tr"" , ""en"")"),"@drfahrettinkoca exams get online")</f>
        <v>@drfahrettinkoca exams get online</v>
      </c>
    </row>
    <row r="16443" spans="1:5" ht="15" customHeight="1" x14ac:dyDescent="0.2">
      <c r="A16443" s="1" t="s">
        <v>32391</v>
      </c>
      <c r="B16443" s="1">
        <v>1</v>
      </c>
      <c r="C16443" s="3">
        <v>44520.869837962964</v>
      </c>
      <c r="D16443" s="1" t="s">
        <v>32392</v>
      </c>
      <c r="E16443" s="1" t="str">
        <f ca="1">IFERROR(__xludf.DUMMYFUNCTION("GOOGLETRANSLATE(A13242 , ""tr"" , ""en"")"),"@drfahrettinkoca What is more than no vaccines waiting for?")</f>
        <v>@drfahrettinkoca What is more than no vaccines waiting for?</v>
      </c>
    </row>
    <row r="16444" spans="1:5" ht="15" customHeight="1" x14ac:dyDescent="0.2">
      <c r="A16444" s="1" t="s">
        <v>32393</v>
      </c>
      <c r="B16444" s="1">
        <v>1</v>
      </c>
      <c r="C16444" s="3">
        <v>44520.867743055554</v>
      </c>
      <c r="D16444" s="1" t="s">
        <v>32394</v>
      </c>
      <c r="E16444" s="1" t="str">
        <f ca="1">IFERROR(__xludf.DUMMYFUNCTION("GOOGLETRANSLATE(A13243 , ""tr"" , ""en"")"),"@drfahrettinka says Sinovac yesterday says useless today. 3rd dose of biontech yesterdays today 3. dose ... https://t.co/6wnljc9x2z")</f>
        <v>@drfahrettinka says Sinovac yesterday says useless today. 3rd dose of biontech yesterdays today 3. dose ... https://t.co/6wnljc9x2z</v>
      </c>
    </row>
    <row r="16445" spans="1:5" ht="15" customHeight="1" x14ac:dyDescent="0.2">
      <c r="A16445" s="1" t="s">
        <v>32395</v>
      </c>
      <c r="B16445" s="1">
        <v>0</v>
      </c>
      <c r="C16445" s="3">
        <v>44520.867291666669</v>
      </c>
      <c r="D16445" s="1" t="s">
        <v>32396</v>
      </c>
      <c r="E16445" s="1" t="str">
        <f ca="1">IFERROR(__xludf.DUMMYFUNCTION("GOOGLETRANSLATE(A13244 , ""tr"" , ""en"")"),"@drfahrettinkoca vaccine does not block contamination, does not block disease, does not prevent the disease in intensive care, death, DEA E ... https://t.co/gnwomuiewl")</f>
        <v>@drfahrettinkoca vaccine does not block contamination, does not block disease, does not prevent the disease in intensive care, death, DEA E ... https://t.co/gnwomuiewl</v>
      </c>
    </row>
    <row r="16446" spans="1:5" ht="15" customHeight="1" x14ac:dyDescent="0.2">
      <c r="A16446" s="1" t="s">
        <v>32397</v>
      </c>
      <c r="B16446" s="1">
        <v>0</v>
      </c>
      <c r="C16446" s="3">
        <v>44520.865520833337</v>
      </c>
      <c r="D16446" s="1" t="s">
        <v>32398</v>
      </c>
      <c r="E16446" s="1" t="str">
        <f ca="1">IFERROR(__xludf.DUMMYFUNCTION("GOOGLETRANSLATE(A13245 , ""tr"" , ""en"")"),"@drfahrettinka Mr. Fahrettin husband, Mom, Mother 3 dose synovak + pneumonized vaccines, Current Covid Reason for Special Adana Ha ... https://t.co/cnhaglrjzy")</f>
        <v>@drfahrettinka Mr. Fahrettin husband, Mom, Mother 3 dose synovak + pneumonized vaccines, Current Covid Reason for Special Adana Ha ... https://t.co/cnhaglrjzy</v>
      </c>
    </row>
    <row r="16447" spans="1:5" ht="15" customHeight="1" x14ac:dyDescent="0.2">
      <c r="A16447" s="1" t="s">
        <v>32399</v>
      </c>
      <c r="B16447" s="1">
        <v>0</v>
      </c>
      <c r="C16447" s="3">
        <v>44520.865393518521</v>
      </c>
      <c r="D16447" s="1" t="s">
        <v>32400</v>
      </c>
      <c r="E16447" s="1" t="str">
        <f ca="1">IFERROR(__xludf.DUMMYFUNCTION("GOOGLETRANSLATE(A13246 , ""tr"" , ""en"")"),"@drfahrettinkoca 16 pieces you will apologize for drinking medications?")</f>
        <v>@drfahrettinkoca 16 pieces you will apologize for drinking medications?</v>
      </c>
    </row>
    <row r="16448" spans="1:5" ht="15" customHeight="1" x14ac:dyDescent="0.2">
      <c r="A16448" s="1" t="s">
        <v>32401</v>
      </c>
      <c r="B16448" s="1">
        <v>1</v>
      </c>
      <c r="C16448" s="3">
        <v>44520.865219907406</v>
      </c>
      <c r="D16448" s="1" t="s">
        <v>32402</v>
      </c>
      <c r="E16448" s="1" t="str">
        <f ca="1">IFERROR(__xludf.DUMMYFUNCTION("GOOGLETRANSLATE(A13247 , ""tr"" , ""en"")"),"@drfahrettinkoca o Let's see 50 million problems are they pleased with the vaccine?")</f>
        <v>@drfahrettinkoca o Let's see 50 million problems are they pleased with the vaccine?</v>
      </c>
    </row>
    <row r="16449" spans="1:5" ht="15" customHeight="1" x14ac:dyDescent="0.2">
      <c r="A16449" s="1" t="s">
        <v>32403</v>
      </c>
      <c r="B16449" s="1">
        <v>0</v>
      </c>
      <c r="C16449" s="3">
        <v>44520.864629629628</v>
      </c>
      <c r="D16449" s="1" t="s">
        <v>32404</v>
      </c>
      <c r="E16449" s="1" t="str">
        <f ca="1">IFERROR(__xludf.DUMMYFUNCTION("GOOGLETRANSLATE(A13248 , ""tr"" , ""en"")"),"@drfahrettinkoca 4 is a grafted person, I do what you need.")</f>
        <v>@drfahrettinkoca 4 is a grafted person, I do what you need.</v>
      </c>
    </row>
    <row r="16450" spans="1:5" ht="15" customHeight="1" x14ac:dyDescent="0.2">
      <c r="A16450" s="1" t="s">
        <v>32405</v>
      </c>
      <c r="B16450" s="1">
        <v>0</v>
      </c>
      <c r="C16450" s="3">
        <v>44520.864571759259</v>
      </c>
      <c r="D16450" s="1" t="s">
        <v>32406</v>
      </c>
      <c r="E16450" s="1" t="str">
        <f ca="1">IFERROR(__xludf.DUMMYFUNCTION("GOOGLETRANSLATE(A13249 , ""tr"" , ""en"")"),"If you are also a comment on @drfahrettinkoca hclsin and 8+ 8 pill")</f>
        <v>If you are also a comment on @drfahrettinkoca hclsin and 8+ 8 pill</v>
      </c>
    </row>
    <row r="16451" spans="1:5" ht="15" customHeight="1" x14ac:dyDescent="0.2">
      <c r="A16451" s="1" t="s">
        <v>32407</v>
      </c>
      <c r="B16451" s="1">
        <v>0</v>
      </c>
      <c r="C16451" s="3">
        <v>44520.862719907411</v>
      </c>
      <c r="D16451" s="1" t="s">
        <v>32408</v>
      </c>
      <c r="E16451" s="1" t="str">
        <f ca="1">IFERROR(__xludf.DUMMYFUNCTION("GOOGLETRANSLATE(A13250 , ""tr"" , ""en"")"),"@drfahrettinkoca 2 dose of overdose Why are the Eyyyy in intensive care ??")</f>
        <v>@drfahrettinkoca 2 dose of overdose Why are the Eyyyy in intensive care ??</v>
      </c>
    </row>
    <row r="16452" spans="1:5" ht="15" customHeight="1" x14ac:dyDescent="0.2">
      <c r="A16452" s="1" t="s">
        <v>32409</v>
      </c>
      <c r="B16452" s="1">
        <v>190</v>
      </c>
      <c r="C16452" s="3">
        <v>44520.862581018519</v>
      </c>
      <c r="D16452" s="1" t="s">
        <v>32410</v>
      </c>
      <c r="E16452" s="1" t="str">
        <f ca="1">IFERROR(__xludf.DUMMYFUNCTION("GOOGLETRANSLATE(A13251 , ""tr"" , ""en"")"),"@drfahrettinkoca How many people were sick from 50 million? How many people have been taken in intensive care? And Either How many people after vaccine ... https://t.co/kekedz1bxg")</f>
        <v>@drfahrettinkoca How many people were sick from 50 million? How many people have been taken in intensive care? And Either How many people after vaccine ... https://t.co/kekedz1bxg</v>
      </c>
    </row>
    <row r="16453" spans="1:5" ht="15" customHeight="1" x14ac:dyDescent="0.2">
      <c r="A16453" s="1" t="s">
        <v>32411</v>
      </c>
      <c r="B16453" s="1">
        <v>0</v>
      </c>
      <c r="C16453" s="3">
        <v>44520.862453703703</v>
      </c>
      <c r="D16453" s="1" t="s">
        <v>32412</v>
      </c>
      <c r="E16453" s="1" t="str">
        <f ca="1">IFERROR(__xludf.DUMMYFUNCTION("GOOGLETRANSLATE(A13252 , ""tr"" , ""en"")"),"@drfahrettinka is not the mind profit to hit vaccines that are uneven to what the heck is. So far used in treatment ... https://t.co/fz1ogg6mul")</f>
        <v>@drfahrettinka is not the mind profit to hit vaccines that are uneven to what the heck is. So far used in treatment ... https://t.co/fz1ogg6mul</v>
      </c>
    </row>
    <row r="16454" spans="1:5" ht="15" customHeight="1" x14ac:dyDescent="0.2">
      <c r="A16454" s="1" t="s">
        <v>32413</v>
      </c>
      <c r="B16454" s="1">
        <v>0</v>
      </c>
      <c r="C16454" s="3">
        <v>44520.998888888891</v>
      </c>
      <c r="D16454" s="1" t="s">
        <v>32414</v>
      </c>
      <c r="E16454" s="1" t="str">
        <f ca="1">IFERROR(__xludf.DUMMYFUNCTION("GOOGLETRANSLATE(A13253 , ""tr"" , ""en"")"),"@drfahrettinka 18 years of age think that overall population")</f>
        <v>@drfahrettinka 18 years of age think that overall population</v>
      </c>
    </row>
    <row r="16455" spans="1:5" ht="15" customHeight="1" x14ac:dyDescent="0.2">
      <c r="A16455" s="1" t="s">
        <v>32415</v>
      </c>
      <c r="B16455" s="1">
        <v>1</v>
      </c>
      <c r="C16455" s="3">
        <v>44520.997986111113</v>
      </c>
      <c r="D16455" s="1" t="s">
        <v>32416</v>
      </c>
      <c r="E16455" s="1" t="str">
        <f ca="1">IFERROR(__xludf.DUMMYFUNCTION("GOOGLETRANSLATE(A13254 , ""tr"" , ""en"")"),"@drfahrettinka https://t.co/hyfewv2rwt")</f>
        <v>@drfahrettinka https://t.co/hyfewv2rwt</v>
      </c>
    </row>
    <row r="16456" spans="1:5" ht="15" customHeight="1" x14ac:dyDescent="0.2">
      <c r="A16456" s="1" t="s">
        <v>32417</v>
      </c>
      <c r="B16456" s="1">
        <v>1</v>
      </c>
      <c r="C16456" s="3">
        <v>44520.859803240739</v>
      </c>
      <c r="D16456" s="1" t="s">
        <v>32418</v>
      </c>
      <c r="E16456" s="1" t="str">
        <f ca="1">IFERROR(__xludf.DUMMYFUNCTION("GOOGLETRANSLATE(A13255 , ""tr"" , ""en"")"),"@drfahrettinka vaccine minister")</f>
        <v>@drfahrettinka vaccine minister</v>
      </c>
    </row>
    <row r="16457" spans="1:5" ht="15" customHeight="1" x14ac:dyDescent="0.2">
      <c r="A16457" s="1" t="s">
        <v>32419</v>
      </c>
      <c r="B16457" s="1">
        <v>0</v>
      </c>
      <c r="C16457" s="3">
        <v>44520.859259259261</v>
      </c>
      <c r="D16457" s="1" t="s">
        <v>32420</v>
      </c>
      <c r="E16457" s="1" t="str">
        <f ca="1">IFERROR(__xludf.DUMMYFUNCTION("GOOGLETRANSLATE(A13256 , ""tr"" , ""en"")"),"@drfahrettinkoca you make responsibility for the wrong treatment and what time you will resend.")</f>
        <v>@drfahrettinkoca you make responsibility for the wrong treatment and what time you will resend.</v>
      </c>
    </row>
    <row r="16458" spans="1:5" ht="15" customHeight="1" x14ac:dyDescent="0.2">
      <c r="A16458" s="1" t="s">
        <v>32421</v>
      </c>
      <c r="B16458" s="1">
        <v>0</v>
      </c>
      <c r="C16458" s="3">
        <v>44520.857939814814</v>
      </c>
      <c r="D16458" s="1" t="s">
        <v>32422</v>
      </c>
      <c r="E16458" s="1" t="str">
        <f ca="1">IFERROR(__xludf.DUMMYFUNCTION("GOOGLETRANSLATE(A13257 , ""tr"" , ""en"")"),"@drfahrettinka after being vaccine, do you have statistics of the heart attack within 1 month, Mr. Minister ???")</f>
        <v>@drfahrettinka after being vaccine, do you have statistics of the heart attack within 1 month, Mr. Minister ???</v>
      </c>
    </row>
    <row r="16459" spans="1:5" ht="15" customHeight="1" x14ac:dyDescent="0.2">
      <c r="A16459" s="1" t="s">
        <v>32423</v>
      </c>
      <c r="B16459" s="1">
        <v>0</v>
      </c>
      <c r="C16459" s="3">
        <v>44520.857569444444</v>
      </c>
      <c r="D16459" s="1" t="s">
        <v>32424</v>
      </c>
      <c r="E16459" s="1" t="str">
        <f ca="1">IFERROR(__xludf.DUMMYFUNCTION("GOOGLETRANSLATE(A13258 , ""tr"" , ""en"")"),"@drfahrettinkoca is not definitely if it would not be definitely as a citizen like a citizen like the dosage ... https://t.co/ul7pchq7t7")</f>
        <v>@drfahrettinkoca is not definitely if it would not be definitely as a citizen like a citizen like the dosage ... https://t.co/ul7pchq7t7</v>
      </c>
    </row>
    <row r="16460" spans="1:5" ht="15" customHeight="1" x14ac:dyDescent="0.2">
      <c r="A16460" s="1" t="s">
        <v>32425</v>
      </c>
      <c r="B16460" s="1">
        <v>0</v>
      </c>
      <c r="C16460" s="3">
        <v>44520.856435185182</v>
      </c>
      <c r="D16460" s="1" t="s">
        <v>32426</v>
      </c>
      <c r="E16460" s="1" t="str">
        <f ca="1">IFERROR(__xludf.DUMMYFUNCTION("GOOGLETRANSLATE(A13259 , ""tr"" , ""en"")"),"See @drfahrettinka See 100% of the population, these will do something in illegion. So in the world and my country is ... https://t.co/peelauxpxw")</f>
        <v>See @drfahrettinka See 100% of the population, these will do something in illegion. So in the world and my country is ... https://t.co/peelauxpxw</v>
      </c>
    </row>
    <row r="16461" spans="1:5" ht="15" customHeight="1" x14ac:dyDescent="0.2">
      <c r="A16461" s="1" t="s">
        <v>32427</v>
      </c>
      <c r="B16461" s="1">
        <v>0</v>
      </c>
      <c r="C16461" s="3">
        <v>44520.855196759258</v>
      </c>
      <c r="D16461" s="1" t="s">
        <v>32428</v>
      </c>
      <c r="E16461" s="1" t="str">
        <f ca="1">IFERROR(__xludf.DUMMYFUNCTION("GOOGLETRANSLATE(A13260 , ""tr"" , ""en"")"),"@drfahrettinka give confirmation first, then ask the decision, 50 million of the plague of you are above you.")</f>
        <v>@drfahrettinka give confirmation first, then ask the decision, 50 million of the plague of you are above you.</v>
      </c>
    </row>
    <row r="16462" spans="1:5" ht="15" customHeight="1" x14ac:dyDescent="0.2">
      <c r="A16462" s="1" t="s">
        <v>32429</v>
      </c>
      <c r="B16462" s="1">
        <v>5</v>
      </c>
      <c r="C16462" s="3">
        <v>44520.855150462965</v>
      </c>
      <c r="D16462" s="1" t="s">
        <v>32430</v>
      </c>
      <c r="E16462" s="1" t="str">
        <f ca="1">IFERROR(__xludf.DUMMYFUNCTION("GOOGLETRANSLATE(A13261 , ""tr"" , ""en"")"),"@drfahrettinkoca # Familizeseliralırı # rideNafaka Lifetime Debt Living debt is not to know when it is to be finished ... https://t.co/g3bs://t.co/g3bs://t.co/g3bs://t.co/g3bs://t.co/g3bs://t.co/g3bs://t.co/g3bs://t.co/g3bs://t.co/g3bs://t.co/g3bs://t.co/"&amp;"g3bs://t.co/g3bs://t.co/g3bs://t.co/g3bs://t.co/g3bs://t.co/g3bs://t.co/g3bs://t.co/g3bs://t.co/g3bs://t.co/g3bs://t.co/g3bs://t.co/g3bs://t.co/g3bs://")</f>
        <v>@drfahrettinkoca # Familizeseliralırı # rideNafaka Lifetime Debt Living debt is not to know when it is to be finished ... https://t.co/g3bs://t.co/g3bs://t.co/g3bs://t.co/g3bs://t.co/g3bs://t.co/g3bs://t.co/g3bs://t.co/g3bs://t.co/g3bs://t.co/g3bs://t.co/g3bs://t.co/g3bs://t.co/g3bs://t.co/g3bs://t.co/g3bs://t.co/g3bs://t.co/g3bs://t.co/g3bs://t.co/g3bs://t.co/g3bs://t.co/g3bs://t.co/g3bs://t.co/g3bs://</v>
      </c>
    </row>
    <row r="16463" spans="1:5" ht="15" customHeight="1" x14ac:dyDescent="0.2">
      <c r="A16463" s="1" t="s">
        <v>32431</v>
      </c>
      <c r="B16463" s="1">
        <v>0</v>
      </c>
      <c r="C16463" s="3">
        <v>44520.854363425926</v>
      </c>
      <c r="D16463" s="1" t="s">
        <v>32432</v>
      </c>
      <c r="E16463" s="1" t="str">
        <f ca="1">IFERROR(__xludf.DUMMYFUNCTION("GOOGLETRANSLATE(A13262 , ""tr"" , ""en"")"),"@drfahrettinkoca If you have gram mind I don't know if I don't know. It's a person that becomes so blind. Is it so hard ... https://t.co/u1bezxeys4")</f>
        <v>@drfahrettinkoca If you have gram mind I don't know if I don't know. It's a person that becomes so blind. Is it so hard ... https://t.co/u1bezxeys4</v>
      </c>
    </row>
    <row r="16464" spans="1:5" ht="15" customHeight="1" x14ac:dyDescent="0.2">
      <c r="A16464" s="1" t="s">
        <v>32433</v>
      </c>
      <c r="B16464" s="1">
        <v>0</v>
      </c>
      <c r="C16464" s="3">
        <v>44520.853842592594</v>
      </c>
      <c r="D16464" s="1" t="s">
        <v>32434</v>
      </c>
      <c r="E16464" s="1" t="str">
        <f ca="1">IFERROR(__xludf.DUMMYFUNCTION("GOOGLETRANSLATE(A13263 , ""tr"" , ""en"")"),"@drfahrettinkoca is 50 millennial population% of age than 50 million vaccines? PCR Error Share In Baked Grip Virus -Covid Ya ... https://t.co/13lovtjjps")</f>
        <v>@drfahrettinkoca is 50 millennial population% of age than 50 million vaccines? PCR Error Share In Baked Grip Virus -Covid Ya ... https://t.co/13lovtjjps</v>
      </c>
    </row>
    <row r="16465" spans="1:5" ht="15" customHeight="1" x14ac:dyDescent="0.2">
      <c r="A16465" s="1" t="s">
        <v>32435</v>
      </c>
      <c r="B16465" s="1">
        <v>6</v>
      </c>
      <c r="C16465" s="3">
        <v>44520.852013888885</v>
      </c>
      <c r="D16465" s="1" t="s">
        <v>32436</v>
      </c>
      <c r="E16465" s="1" t="str">
        <f ca="1">IFERROR(__xludf.DUMMYFUNCTION("GOOGLETRANSLATE(A13264 , ""tr"" , ""en"")"),"@drfahrettinkoca 21 million critical boundaries of Bil's Board! You have captured up 60% of unequipped! Think no longer ... https://t.co/umkycyhbp6")</f>
        <v>@drfahrettinkoca 21 million critical boundaries of Bil's Board! You have captured up 60% of unequipped! Think no longer ... https://t.co/umkycyhbp6</v>
      </c>
    </row>
    <row r="16466" spans="1:5" ht="15" customHeight="1" x14ac:dyDescent="0.2">
      <c r="A16466" s="1" t="s">
        <v>32437</v>
      </c>
      <c r="B16466" s="1">
        <v>0</v>
      </c>
      <c r="C16466" s="3">
        <v>44520.850636574076</v>
      </c>
      <c r="D16466" s="1" t="s">
        <v>32438</v>
      </c>
      <c r="E16466" s="1" t="str">
        <f ca="1">IFERROR(__xludf.DUMMYFUNCTION("GOOGLETRANSLATE(A13265 , ""tr"" , ""en"")"),"@drfahrettinkoca children and 20 years of age, 80 percent of the society is vaccinated. Over the general population ... https://t.co/t7yr1tkran")</f>
        <v>@drfahrettinkoca children and 20 years of age, 80 percent of the society is vaccinated. Over the general population ... https://t.co/t7yr1tkran</v>
      </c>
    </row>
    <row r="16467" spans="1:5" ht="15" customHeight="1" x14ac:dyDescent="0.2">
      <c r="A16467" s="1" t="s">
        <v>32439</v>
      </c>
      <c r="B16467" s="1">
        <v>0</v>
      </c>
      <c r="C16467" s="3">
        <v>44520.850486111114</v>
      </c>
      <c r="D16467" s="1" t="s">
        <v>32440</v>
      </c>
      <c r="E16467" s="1" t="str">
        <f ca="1">IFERROR(__xludf.DUMMYFUNCTION("GOOGLETRANSLATE(A13266 , ""tr"" , ""en"")"),"@drfahrettinkoca You are doing this cruelty to the WHO, but remember that there is great Allah from the WHO and the account of them will ask you.")</f>
        <v>@drfahrettinkoca You are doing this cruelty to the WHO, but remember that there is great Allah from the WHO and the account of them will ask you.</v>
      </c>
    </row>
    <row r="16468" spans="1:5" ht="15" customHeight="1" x14ac:dyDescent="0.2">
      <c r="A16468" s="1" t="s">
        <v>32441</v>
      </c>
      <c r="B16468" s="1">
        <v>1</v>
      </c>
      <c r="C16468" s="3">
        <v>44520.849560185183</v>
      </c>
      <c r="D16468" s="1" t="s">
        <v>32442</v>
      </c>
      <c r="E16468" s="1" t="str">
        <f ca="1">IFERROR(__xludf.DUMMYFUNCTION("GOOGLETRANSLATE(A13267 , ""tr"" , ""en"")"),"@drfahrettinkoca is very ridiculous! If I wasn't a single 'culture queen vaccine in the world, I'm still! I to you o makam v ... https://t.co/rig2y1vjp7")</f>
        <v>@drfahrettinkoca is very ridiculous! If I wasn't a single 'culture queen vaccine in the world, I'm still! I to you o makam v ... https://t.co/rig2y1vjp7</v>
      </c>
    </row>
    <row r="16469" spans="1:5" ht="15" customHeight="1" x14ac:dyDescent="0.2">
      <c r="A16469" s="1" t="s">
        <v>32443</v>
      </c>
      <c r="B16469" s="1">
        <v>0</v>
      </c>
      <c r="C16469" s="3">
        <v>44520.849409722221</v>
      </c>
      <c r="D16469" s="1" t="s">
        <v>32444</v>
      </c>
      <c r="E16469" s="1" t="str">
        <f ca="1">IFERROR(__xludf.DUMMYFUNCTION("GOOGLETRANSLATE(A13268 , ""tr"" , ""en"")"),"@drfahrettinkoca truths occur when the facts are experienced to treat vaccines and I give my pocket on my pocket ... https://t.co/o2v3qkkjd9")</f>
        <v>@drfahrettinkoca truths occur when the facts are experienced to treat vaccines and I give my pocket on my pocket ... https://t.co/o2v3qkkjd9</v>
      </c>
    </row>
    <row r="16470" spans="1:5" ht="15" customHeight="1" x14ac:dyDescent="0.2">
      <c r="A16470" s="1" t="s">
        <v>32445</v>
      </c>
      <c r="B16470" s="1">
        <v>0</v>
      </c>
      <c r="C16470" s="3">
        <v>44520.848101851851</v>
      </c>
      <c r="D16470" s="1" t="s">
        <v>32446</v>
      </c>
      <c r="E16470" s="1" t="str">
        <f ca="1">IFERROR(__xludf.DUMMYFUNCTION("GOOGLETRANSLATE(A13269 , ""tr"" , ""en"")"),"@drfahrettinkoca SMA patient to see your dealers for children")</f>
        <v>@drfahrettinkoca SMA patient to see your dealers for children</v>
      </c>
    </row>
    <row r="16471" spans="1:5" ht="15" customHeight="1" x14ac:dyDescent="0.2">
      <c r="A16471" s="1" t="s">
        <v>32447</v>
      </c>
      <c r="B16471" s="1">
        <v>0</v>
      </c>
      <c r="C16471" s="3">
        <v>44520.847951388889</v>
      </c>
      <c r="D16471" s="1" t="s">
        <v>32448</v>
      </c>
      <c r="E16471" s="1" t="str">
        <f ca="1">IFERROR(__xludf.DUMMYFUNCTION("GOOGLETRANSLATE(A13270 , ""tr"" , ""en"")"),"@drfahrettinkoca Heralde global gang of Turkey, you become the foot of Turkey.")</f>
        <v>@drfahrettinkoca Heralde global gang of Turkey, you become the foot of Turkey.</v>
      </c>
    </row>
    <row r="16472" spans="1:5" ht="15" customHeight="1" x14ac:dyDescent="0.2">
      <c r="A16472" s="1" t="s">
        <v>32449</v>
      </c>
      <c r="B16472" s="1">
        <v>1</v>
      </c>
      <c r="C16472" s="3">
        <v>44520.847581018519</v>
      </c>
      <c r="D16472" s="1" t="s">
        <v>32450</v>
      </c>
      <c r="E16472" s="1" t="str">
        <f ca="1">IFERROR(__xludf.DUMMYFUNCTION("GOOGLETRANSLATE(A13271 , ""tr"" , ""en"")"),"@drfahrettinkoca 🤔e OK, at 60% this job was running out.")</f>
        <v>@drfahrettinkoca 🤔e OK, at 60% this job was running out.</v>
      </c>
    </row>
    <row r="16473" spans="1:5" ht="15" customHeight="1" x14ac:dyDescent="0.2">
      <c r="A16473" s="1" t="s">
        <v>32451</v>
      </c>
      <c r="B16473" s="1">
        <v>0</v>
      </c>
      <c r="C16473" s="3">
        <v>44520.846828703703</v>
      </c>
      <c r="D16473" s="1" t="s">
        <v>32452</v>
      </c>
      <c r="E16473" s="1" t="str">
        <f ca="1">IFERROR(__xludf.DUMMYFUNCTION("GOOGLETRANSLATE(A13272 , ""tr"" , ""en"")"),"@drfahrettinkoca I'm dumped out of my work, the AUI of the Liquid of the Liquid of the Liquid, the virus naturally, the Society ... https://t.co/meji8pxg3l")</f>
        <v>@drfahrettinkoca I'm dumped out of my work, the AUI of the Liquid of the Liquid of the Liquid, the virus naturally, the Society ... https://t.co/meji8pxg3l</v>
      </c>
    </row>
    <row r="16474" spans="1:5" ht="15" customHeight="1" x14ac:dyDescent="0.2">
      <c r="A16474" s="1" t="s">
        <v>32453</v>
      </c>
      <c r="B16474" s="1">
        <v>1</v>
      </c>
      <c r="C16474" s="3">
        <v>44520.845208333332</v>
      </c>
      <c r="D16474" s="1" t="s">
        <v>32454</v>
      </c>
      <c r="E16474" s="1" t="str">
        <f ca="1">IFERROR(__xludf.DUMMYFUNCTION("GOOGLETRANSLATE(A13273 , ""tr"" , ""en"")"),"@drfahrettinkoca Post the following guide for Allah consent")</f>
        <v>@drfahrettinkoca Post the following guide for Allah consent</v>
      </c>
    </row>
    <row r="16475" spans="1:5" ht="15" customHeight="1" x14ac:dyDescent="0.2">
      <c r="A16475" s="1" t="s">
        <v>32455</v>
      </c>
      <c r="B16475" s="1">
        <v>0</v>
      </c>
      <c r="C16475" s="3">
        <v>44520.845057870371</v>
      </c>
      <c r="D16475" s="1" t="s">
        <v>32456</v>
      </c>
      <c r="E16475" s="1" t="str">
        <f ca="1">IFERROR(__xludf.DUMMYFUNCTION("GOOGLETRANSLATE(A13274 , ""tr"" , ""en"")"),"@drfahrettinkoca #fahrettinkocaistifa #fahrettinkocaistifa #fahrettinkocaistifa")</f>
        <v>@drfahrettinkoca #fahrettinkocaistifa #fahrettinkocaistifa #fahrettinkocaistifa</v>
      </c>
    </row>
    <row r="16476" spans="1:5" ht="15" customHeight="1" x14ac:dyDescent="0.2">
      <c r="A16476" s="1" t="s">
        <v>32457</v>
      </c>
      <c r="B16476" s="1">
        <v>0</v>
      </c>
      <c r="C16476" s="3">
        <v>44520.844953703701</v>
      </c>
      <c r="D16476" s="1" t="s">
        <v>32458</v>
      </c>
      <c r="E16476" s="1" t="str">
        <f ca="1">IFERROR(__xludf.DUMMYFUNCTION("GOOGLETRANSLATE(A13275 , ""tr"" , ""en"")"),"@drfahrettinkoca is either we hungry with the arms immediately can I have another request")</f>
        <v>@drfahrettinkoca is either we hungry with the arms immediately can I have another request</v>
      </c>
    </row>
    <row r="16477" spans="1:5" ht="15" customHeight="1" x14ac:dyDescent="0.2">
      <c r="A16477" s="1" t="s">
        <v>32459</v>
      </c>
      <c r="B16477" s="1">
        <v>0</v>
      </c>
      <c r="C16477" s="3">
        <v>44520.844710648147</v>
      </c>
      <c r="D16477" s="1" t="s">
        <v>32460</v>
      </c>
      <c r="E16477" s="1" t="str">
        <f ca="1">IFERROR(__xludf.DUMMYFUNCTION("GOOGLETRANSLATE(A13276 , ""tr"" , ""en"")"),"@drfahrettinkoca ey If you are facing you my right to poison zikkım.")</f>
        <v>@drfahrettinkoca ey If you are facing you my right to poison zikkım.</v>
      </c>
    </row>
    <row r="16478" spans="1:5" ht="15" customHeight="1" x14ac:dyDescent="0.2">
      <c r="A16478" s="1" t="s">
        <v>32461</v>
      </c>
      <c r="B16478" s="1">
        <v>0</v>
      </c>
      <c r="C16478" s="3">
        <v>44520.844351851854</v>
      </c>
      <c r="D16478" s="1" t="s">
        <v>32462</v>
      </c>
      <c r="E16478" s="1" t="str">
        <f ca="1">IFERROR(__xludf.DUMMYFUNCTION("GOOGLETRANSLATE(A13277 , ""tr"" , ""en"")"),"@drfahrettinkoca Mr. Minister, I think I cannot fall in 3-5 thousand cases unless there are restrictions. Weekend Restricted ... https://t.co/x36QA1IBQT")</f>
        <v>@drfahrettinkoca Mr. Minister, I think I cannot fall in 3-5 thousand cases unless there are restrictions. Weekend Restricted ... https://t.co/x36QA1IBQT</v>
      </c>
    </row>
    <row r="16479" spans="1:5" ht="15" customHeight="1" x14ac:dyDescent="0.2">
      <c r="A16479" s="1" t="s">
        <v>32463</v>
      </c>
      <c r="B16479" s="1">
        <v>31</v>
      </c>
      <c r="C16479" s="3">
        <v>44520.843761574077</v>
      </c>
      <c r="D16479" s="1" t="s">
        <v>32464</v>
      </c>
      <c r="E16479" s="1" t="str">
        <f ca="1">IFERROR(__xludf.DUMMYFUNCTION("GOOGLETRANSLATE(A13278 , ""tr"" , ""en"")"),"@drfahrettinkoca vaccines Full AKP MARAŞ Deputy Basan Kılık Covidden passed the Covidden. Rest in peace. A ... https://t.co/xkwc7vz2qh")</f>
        <v>@drfahrettinkoca vaccines Full AKP MARAŞ Deputy Basan Kılık Covidden passed the Covidden. Rest in peace. A ... https://t.co/xkwc7vz2qh</v>
      </c>
    </row>
    <row r="16480" spans="1:5" ht="15" customHeight="1" x14ac:dyDescent="0.2">
      <c r="A16480" s="1" t="s">
        <v>32465</v>
      </c>
      <c r="B16480" s="1">
        <v>0</v>
      </c>
      <c r="C16480" s="3">
        <v>44520.843564814815</v>
      </c>
      <c r="D16480" s="1" t="s">
        <v>32466</v>
      </c>
      <c r="E16480" s="1" t="str">
        <f ca="1">IFERROR(__xludf.DUMMYFUNCTION("GOOGLETRANSLATE(A13279 , ""tr"" , ""en"")"),"@drfahrettinkoca he went to be 60 percent of the jogging to be jogging to be jogged ??")</f>
        <v>@drfahrettinkoca he went to be 60 percent of the jogging to be jogging to be jogged ??</v>
      </c>
    </row>
    <row r="16481" spans="1:5" ht="15" customHeight="1" x14ac:dyDescent="0.2">
      <c r="A16481" s="1" t="s">
        <v>32467</v>
      </c>
      <c r="B16481" s="1">
        <v>0</v>
      </c>
      <c r="C16481" s="3">
        <v>44520.843113425923</v>
      </c>
      <c r="D16481" s="1" t="s">
        <v>32468</v>
      </c>
      <c r="E16481" s="1" t="str">
        <f ca="1">IFERROR(__xludf.DUMMYFUNCTION("GOOGLETRANSLATE(A13280 , ""tr"" , ""en"")"),"@drfahrettinkoca Respect our decision from our fall burn")</f>
        <v>@drfahrettinkoca Respect our decision from our fall burn</v>
      </c>
    </row>
    <row r="16482" spans="1:5" ht="15" customHeight="1" x14ac:dyDescent="0.2">
      <c r="A16482" s="1" t="s">
        <v>32469</v>
      </c>
      <c r="B16482" s="1">
        <v>0</v>
      </c>
      <c r="C16482" s="3">
        <v>44520.842835648145</v>
      </c>
      <c r="D16482" s="1" t="s">
        <v>32470</v>
      </c>
      <c r="E16482" s="1" t="str">
        <f ca="1">IFERROR(__xludf.DUMMYFUNCTION("GOOGLETRANSLATE(A13281 , ""tr"" , ""en"")"),"@drfahrettinkoca This folks will never forget what you do")</f>
        <v>@drfahrettinkoca This folks will never forget what you do</v>
      </c>
    </row>
    <row r="16483" spans="1:5" ht="15" customHeight="1" x14ac:dyDescent="0.2">
      <c r="A16483" s="1" t="s">
        <v>32471</v>
      </c>
      <c r="B16483" s="1">
        <v>0</v>
      </c>
      <c r="C16483" s="3">
        <v>44520.842789351853</v>
      </c>
      <c r="D16483" s="1" t="s">
        <v>32472</v>
      </c>
      <c r="E16483" s="1" t="str">
        <f ca="1">IFERROR(__xludf.DUMMYFUNCTION("GOOGLETRANSLATE(A13282 , ""tr"" , ""en"")"),"@drfahrettinkoca GO BOARD HIGHLY DATA ACITIALS, People who are decided to be decided in people, people, people ... https://t.co/vv2uzfesrt")</f>
        <v>@drfahrettinkoca GO BOARD HIGHLY DATA ACITIALS, People who are decided to be decided in people, people, people ... https://t.co/vv2uzfesrt</v>
      </c>
    </row>
    <row r="16484" spans="1:5" ht="15" customHeight="1" x14ac:dyDescent="0.2">
      <c r="A16484" s="1" t="s">
        <v>32473</v>
      </c>
      <c r="B16484" s="1">
        <v>0</v>
      </c>
      <c r="C16484" s="3">
        <v>44520.841805555552</v>
      </c>
      <c r="D16484" s="1" t="s">
        <v>32474</v>
      </c>
      <c r="E16484" s="1" t="str">
        <f ca="1">IFERROR(__xludf.DUMMYFUNCTION("GOOGLETRANSLATE(A13283 , ""tr"" , ""en"")"),"@drfahrettinkoca is being devalated in the country folks crying blood crying you are still in the vaccine all the politician get all politician ... https://t.co/xw76ul7xhp")</f>
        <v>@drfahrettinkoca is being devalated in the country folks crying blood crying you are still in the vaccine all the politician get all politician ... https://t.co/xw76ul7xhp</v>
      </c>
    </row>
    <row r="16485" spans="1:5" ht="15" customHeight="1" x14ac:dyDescent="0.2">
      <c r="A16485" s="1" t="s">
        <v>32475</v>
      </c>
      <c r="B16485" s="1">
        <v>0</v>
      </c>
      <c r="C16485" s="3">
        <v>44520.84175925926</v>
      </c>
      <c r="D16485" s="1" t="s">
        <v>32476</v>
      </c>
      <c r="E16485" s="1" t="str">
        <f ca="1">IFERROR(__xludf.DUMMYFUNCTION("GOOGLETRANSLATE(A13284 , ""tr"" , ""en"")"),"@drfahrettinkoca guide The arm of the honor is not relieved from the needle fluid.")</f>
        <v>@drfahrettinkoca guide The arm of the honor is not relieved from the needle fluid.</v>
      </c>
    </row>
    <row r="16486" spans="1:5" ht="15" customHeight="1" x14ac:dyDescent="0.2">
      <c r="A16486" s="1" t="s">
        <v>32477</v>
      </c>
      <c r="B16486" s="1">
        <v>2</v>
      </c>
      <c r="C16486" s="3">
        <v>44520.83965277778</v>
      </c>
      <c r="D16486" s="1" t="s">
        <v>32478</v>
      </c>
      <c r="E16486" s="1" t="str">
        <f ca="1">IFERROR(__xludf.DUMMYFUNCTION("GOOGLETRANSLATE(A13285 , ""tr"" , ""en"")"),"@drfahrettinkoca Miriac Emir SMA Type 1 Patient Whole SMA Kids Death Abandoned In the abandoned condition Both Cihana ... https://t.co/26ftfcxpav")</f>
        <v>@drfahrettinkoca Miriac Emir SMA Type 1 Patient Whole SMA Kids Death Abandoned In the abandoned condition Both Cihana ... https://t.co/26ftfcxpav</v>
      </c>
    </row>
    <row r="16487" spans="1:5" ht="15" customHeight="1" x14ac:dyDescent="0.2">
      <c r="A16487" s="1" t="s">
        <v>32479</v>
      </c>
      <c r="B16487" s="1">
        <v>0</v>
      </c>
      <c r="C16487" s="3">
        <v>44520.839247685188</v>
      </c>
      <c r="D16487" s="1" t="s">
        <v>32480</v>
      </c>
      <c r="E16487" s="1" t="str">
        <f ca="1">IFERROR(__xludf.DUMMYFUNCTION("GOOGLETRANSLATE(A13286 , ""tr"" , ""en"")"),"@drfahrettinkoca you need to be diagnosed with schizophrenia you are self-denying.")</f>
        <v>@drfahrettinkoca you need to be diagnosed with schizophrenia you are self-denying.</v>
      </c>
    </row>
    <row r="16488" spans="1:5" ht="15" customHeight="1" x14ac:dyDescent="0.2">
      <c r="A16488" s="1" t="s">
        <v>32481</v>
      </c>
      <c r="B16488" s="1">
        <v>0</v>
      </c>
      <c r="C16488" s="3">
        <v>44520.836145833331</v>
      </c>
      <c r="D16488" s="1" t="s">
        <v>32482</v>
      </c>
      <c r="E16488" s="1" t="str">
        <f ca="1">IFERROR(__xludf.DUMMYFUNCTION("GOOGLETRANSLATE(A13287 , ""tr"" , ""en"")"),"@drfahrettinkoca ullan also says ashamed of the madem so why there is a case burst is immoral lying wind")</f>
        <v>@drfahrettinkoca ullan also says ashamed of the madem so why there is a case burst is immoral lying wind</v>
      </c>
    </row>
    <row r="16489" spans="1:5" ht="15" customHeight="1" x14ac:dyDescent="0.2">
      <c r="A16489" s="1" t="s">
        <v>32483</v>
      </c>
      <c r="B16489" s="1">
        <v>0</v>
      </c>
      <c r="C16489" s="3">
        <v>44520.835358796299</v>
      </c>
      <c r="D16489" s="1" t="s">
        <v>32484</v>
      </c>
      <c r="E16489" s="1" t="str">
        <f ca="1">IFERROR(__xludf.DUMMYFUNCTION("GOOGLETRANSLATE(A13288 , ""tr"" , ""en"")"),"@drfahrettinkoca but it doesn't work. In contrast, you have owned the psychological disease.")</f>
        <v>@drfahrettinkoca but it doesn't work. In contrast, you have owned the psychological disease.</v>
      </c>
    </row>
    <row r="16490" spans="1:5" ht="15" customHeight="1" x14ac:dyDescent="0.2">
      <c r="A16490" s="1" t="s">
        <v>32485</v>
      </c>
      <c r="B16490" s="1">
        <v>1</v>
      </c>
      <c r="C16490" s="3">
        <v>44520.834293981483</v>
      </c>
      <c r="D16490" s="1" t="s">
        <v>32486</v>
      </c>
      <c r="E16490" s="1" t="str">
        <f ca="1">IFERROR(__xludf.DUMMYFUNCTION("GOOGLETRANSLATE(A13289 , ""tr"" , ""en"")"),"@drfahrettinkoca 30% La Hani would be immunized in the community? #Compensively")</f>
        <v>@drfahrettinkoca 30% La Hani would be immunized in the community? #Compensively</v>
      </c>
    </row>
    <row r="16491" spans="1:5" ht="15" customHeight="1" x14ac:dyDescent="0.2">
      <c r="A16491" s="1" t="s">
        <v>32487</v>
      </c>
      <c r="B16491" s="1">
        <v>0</v>
      </c>
      <c r="C16491" s="3">
        <v>44520.830474537041</v>
      </c>
      <c r="D16491" s="1" t="s">
        <v>32488</v>
      </c>
      <c r="E16491" s="1" t="str">
        <f ca="1">IFERROR(__xludf.DUMMYFUNCTION("GOOGLETRANSLATE(A13290 , ""tr"" , ""en"")"),"@drfahrettinkoca in the other world you give the account of the drugs that give the drugs that are applied to the drugs that are applied to the PCR ... https://t.co/69ftvhba80")</f>
        <v>@drfahrettinkoca in the other world you give the account of the drugs that give the drugs that are applied to the drugs that are applied to the PCR ... https://t.co/69ftvhba80</v>
      </c>
    </row>
    <row r="16492" spans="1:5" ht="15" customHeight="1" x14ac:dyDescent="0.2">
      <c r="A16492" s="1" t="s">
        <v>32489</v>
      </c>
      <c r="B16492" s="1">
        <v>0</v>
      </c>
      <c r="C16492" s="3">
        <v>44520.82916666667</v>
      </c>
      <c r="D16492" s="1" t="s">
        <v>32490</v>
      </c>
      <c r="E16492" s="1" t="str">
        <f ca="1">IFERROR(__xludf.DUMMYFUNCTION("GOOGLETRANSLATE(A13291 , ""tr"" , ""en"")"),"@drfahrettinkoca Do not misinterpret the statistic Mr. Minister. Children and 12 years of age are added to that percentage v ... https://t.co/aqefe0mb9x")</f>
        <v>@drfahrettinkoca Do not misinterpret the statistic Mr. Minister. Children and 12 years of age are added to that percentage v ... https://t.co/aqefe0mb9x</v>
      </c>
    </row>
    <row r="16493" spans="1:5" ht="15" customHeight="1" x14ac:dyDescent="0.2">
      <c r="A16493" s="1" t="s">
        <v>32491</v>
      </c>
      <c r="B16493" s="1">
        <v>0</v>
      </c>
      <c r="C16493" s="3">
        <v>44520.826226851852</v>
      </c>
      <c r="D16493" s="1" t="s">
        <v>32492</v>
      </c>
      <c r="E16493" s="1" t="str">
        <f ca="1">IFERROR(__xludf.DUMMYFUNCTION("GOOGLETRANSLATE(A13292 , ""tr"" , ""en"")"),"@drfahrettinkoca Covid, two of the drugs you give to the nation (Hydroxycrookin Favessravir) in your hand PE ... https://t.co/09buipagix")</f>
        <v>@drfahrettinkoca Covid, two of the drugs you give to the nation (Hydroxycrookin Favessravir) in your hand PE ... https://t.co/09buipagix</v>
      </c>
    </row>
    <row r="16494" spans="1:5" ht="15" customHeight="1" x14ac:dyDescent="0.2">
      <c r="A16494" s="1" t="s">
        <v>32493</v>
      </c>
      <c r="B16494" s="1">
        <v>1</v>
      </c>
      <c r="C16494" s="3">
        <v>44520.826215277775</v>
      </c>
      <c r="D16494" s="1" t="s">
        <v>32494</v>
      </c>
      <c r="E16494" s="1" t="str">
        <f ca="1">IFERROR(__xludf.DUMMYFUNCTION("GOOGLETRANSLATE(A13293 , ""tr"" , ""en"")"),"@drfahrettinka We have become our families.")</f>
        <v>@drfahrettinka We have become our families.</v>
      </c>
    </row>
    <row r="16495" spans="1:5" ht="15" customHeight="1" x14ac:dyDescent="0.2">
      <c r="A16495" s="1" t="s">
        <v>32495</v>
      </c>
      <c r="B16495" s="1">
        <v>0</v>
      </c>
      <c r="C16495" s="3">
        <v>44520.826203703706</v>
      </c>
      <c r="D16495" s="1" t="s">
        <v>32496</v>
      </c>
      <c r="E16495" s="1" t="str">
        <f ca="1">IFERROR(__xludf.DUMMYFUNCTION("GOOGLETRANSLATE(A13294 , ""tr"" , ""en"")"),"@drfahrettinka vaccine meoooooorrrrrrrrrrrrrrrrrrrrrrrrrrrrrrrrrrrrrrrrrrrrrrrrrrrrrrrrrrrrrrrrrrrrrrrrrrrrrrrrrrrrrrrrrrrrrrrrRrr")</f>
        <v>@drfahrettinka vaccine meoooooorrrrrrrrrrrrrrrrrrrrrrrrrrrrrrrrrrrrrrrrrrrrrrrrrrrrrrrrrrrrrrrrrrrrrrrrrrrrrrrrrrrrrrrrrrrrrrrrRrr</v>
      </c>
    </row>
    <row r="16496" spans="1:5" ht="15" customHeight="1" x14ac:dyDescent="0.2">
      <c r="A16496" s="1" t="s">
        <v>32497</v>
      </c>
      <c r="B16496" s="1">
        <v>0</v>
      </c>
      <c r="C16496" s="3">
        <v>44520.82603009259</v>
      </c>
      <c r="D16496" s="1" t="s">
        <v>32498</v>
      </c>
      <c r="E16496" s="1" t="str">
        <f ca="1">IFERROR(__xludf.DUMMYFUNCTION("GOOGLETRANSLATE(A13295 , ""tr"" , ""en"")"),"@drfahrettinkoca 2 Sinovac 1 Biontek ones 2 dose of biontek when will be.! There is a while the WHO is approved by the subject.!")</f>
        <v>@drfahrettinkoca 2 Sinovac 1 Biontek ones 2 dose of biontek when will be.! There is a while the WHO is approved by the subject.!</v>
      </c>
    </row>
    <row r="16497" spans="1:5" ht="15" customHeight="1" x14ac:dyDescent="0.2">
      <c r="A16497" s="1" t="s">
        <v>32499</v>
      </c>
      <c r="B16497" s="1">
        <v>1</v>
      </c>
      <c r="C16497" s="3">
        <v>44520.825995370367</v>
      </c>
      <c r="D16497" s="1" t="s">
        <v>32500</v>
      </c>
      <c r="E16497" s="1" t="str">
        <f ca="1">IFERROR(__xludf.DUMMYFUNCTION("GOOGLETRANSLATE(A13296 , ""tr"" , ""en"")"),"@drfahrettinka Mr. Minister I understand your sensitivity. But in this Friday Prayer Imam, Due to the Instruction of Religious ... https://t.co/9k86omkyut")</f>
        <v>@drfahrettinka Mr. Minister I understand your sensitivity. But in this Friday Prayer Imam, Due to the Instruction of Religious ... https://t.co/9k86omkyut</v>
      </c>
    </row>
    <row r="16498" spans="1:5" ht="15" customHeight="1" x14ac:dyDescent="0.2">
      <c r="A16498" s="1" t="s">
        <v>32501</v>
      </c>
      <c r="B16498" s="1">
        <v>0</v>
      </c>
      <c r="C16498" s="3">
        <v>44520.82340277778</v>
      </c>
      <c r="D16498" s="1" t="s">
        <v>32502</v>
      </c>
      <c r="E16498" s="1" t="str">
        <f ca="1">IFERROR(__xludf.DUMMYFUNCTION("GOOGLETRANSLATE(A13297 , ""tr"" , ""en"")"),"@drfahrettinkoca Mr. Overlooking the Turkish vaccine in Konya, even though I don't believe as a nationalist citizen ... https://t.co/teabddddıpt")</f>
        <v>@drfahrettinkoca Mr. Overlooking the Turkish vaccine in Konya, even though I don't believe as a nationalist citizen ... https://t.co/teabddddıpt</v>
      </c>
    </row>
    <row r="16499" spans="1:5" ht="15" customHeight="1" x14ac:dyDescent="0.2">
      <c r="A16499" s="1" t="s">
        <v>32503</v>
      </c>
      <c r="B16499" s="1">
        <v>0</v>
      </c>
      <c r="C16499" s="3">
        <v>44520.822870370372</v>
      </c>
      <c r="D16499" s="1" t="s">
        <v>32504</v>
      </c>
      <c r="E16499" s="1" t="str">
        <f ca="1">IFERROR(__xludf.DUMMYFUNCTION("GOOGLETRANSLATE(A13298 , ""tr"" , ""en"")"),"@drfahrettinkoca Right road right, left road false left 10 people, SAGA 1 person does not show that left road is correct")</f>
        <v>@drfahrettinkoca Right road right, left road false left 10 people, SAGA 1 person does not show that left road is correct</v>
      </c>
    </row>
    <row r="16500" spans="1:5" ht="15" customHeight="1" x14ac:dyDescent="0.2">
      <c r="A16500" s="1" t="s">
        <v>32505</v>
      </c>
      <c r="B16500" s="1">
        <v>0</v>
      </c>
      <c r="C16500" s="3">
        <v>44520.822280092594</v>
      </c>
      <c r="D16500" s="1" t="s">
        <v>32506</v>
      </c>
      <c r="E16500" s="1" t="str">
        <f ca="1">IFERROR(__xludf.DUMMYFUNCTION("GOOGLETRANSLATE(A13299 , ""tr"" , ""en"")"),"@drfahrettinka https://t.co/zrfw6erdom")</f>
        <v>@drfahrettinka https://t.co/zrfw6erdom</v>
      </c>
    </row>
    <row r="16501" spans="1:5" ht="15" customHeight="1" x14ac:dyDescent="0.2">
      <c r="A16501" s="1" t="s">
        <v>32507</v>
      </c>
      <c r="B16501" s="1">
        <v>0</v>
      </c>
      <c r="C16501" s="3">
        <v>44520.821527777778</v>
      </c>
      <c r="D16501" s="1" t="s">
        <v>32508</v>
      </c>
      <c r="E16501" s="1" t="str">
        <f ca="1">IFERROR(__xludf.DUMMYFUNCTION("GOOGLETRANSLATE(A13300 , ""tr"" , ""en"")"),"@drfahrettinkoca is sufficient, call out on one of the tomorrows are worried about tomorrow, sufferer sufferer, peace is corrupted, assurance be ... https://t.co/hx8qxudqtu")</f>
        <v>@drfahrettinkoca is sufficient, call out on one of the tomorrows are worried about tomorrow, sufferer sufferer, peace is corrupted, assurance be ... https://t.co/hx8qxudqtu</v>
      </c>
    </row>
    <row r="16502" spans="1:5" ht="15" customHeight="1" x14ac:dyDescent="0.2">
      <c r="A16502" s="1" t="s">
        <v>32509</v>
      </c>
      <c r="B16502" s="1">
        <v>0</v>
      </c>
      <c r="C16502" s="3">
        <v>44520.820254629631</v>
      </c>
      <c r="D16502" s="1" t="s">
        <v>32510</v>
      </c>
      <c r="E16502" s="1" t="str">
        <f ca="1">IFERROR(__xludf.DUMMYFUNCTION("GOOGLETRANSLATE(A13301 , ""tr"" , ""en"")"),"@drfahrettinkoca 50 million subjects not easy to tongue easy and almost immediately complain of the mold of my mold ... https://t.co/wn3leu08zy")</f>
        <v>@drfahrettinkoca 50 million subjects not easy to tongue easy and almost immediately complain of the mold of my mold ... https://t.co/wn3leu08zy</v>
      </c>
    </row>
    <row r="16503" spans="1:5" ht="15" customHeight="1" x14ac:dyDescent="0.2">
      <c r="A16503" s="1" t="s">
        <v>32511</v>
      </c>
      <c r="B16503" s="1">
        <v>0</v>
      </c>
      <c r="C16503" s="3">
        <v>44520.820243055554</v>
      </c>
      <c r="D16503" s="1" t="s">
        <v>32512</v>
      </c>
      <c r="E16503" s="1" t="str">
        <f ca="1">IFERROR(__xludf.DUMMYFUNCTION("GOOGLETRANSLATE(A13302 , ""tr"" , ""en"")"),"@drfahrettinka you no longer sussssssss for allah sussssssss voice of allah and the patient tweet from the tweet atmosphere to look ... https://t.co/veodgxwI9f")</f>
        <v>@drfahrettinka you no longer sussssssss for allah sussssssss voice of allah and the patient tweet from the tweet atmosphere to look ... https://t.co/veodgxwI9f</v>
      </c>
    </row>
    <row r="16504" spans="1:5" ht="15" customHeight="1" x14ac:dyDescent="0.2">
      <c r="A16504" s="1" t="s">
        <v>32513</v>
      </c>
      <c r="B16504" s="1">
        <v>0</v>
      </c>
      <c r="C16504" s="3">
        <v>44520.819953703707</v>
      </c>
      <c r="D16504" s="1" t="s">
        <v>32514</v>
      </c>
      <c r="E16504" s="1" t="str">
        <f ca="1">IFERROR(__xludf.DUMMYFUNCTION("GOOGLETRANSLATE(A13303 , ""tr"" , ""en"")"),"@drfahrettinkoca sheep is like a bride, so Covit is already an intelligence test, in the middle, and not in the middle.")</f>
        <v>@drfahrettinkoca sheep is like a bride, so Covit is already an intelligence test, in the middle, and not in the middle.</v>
      </c>
    </row>
    <row r="16505" spans="1:5" ht="15" customHeight="1" x14ac:dyDescent="0.2">
      <c r="A16505" s="1" t="s">
        <v>32515</v>
      </c>
      <c r="B16505" s="1">
        <v>1</v>
      </c>
      <c r="C16505" s="3">
        <v>44520.819537037038</v>
      </c>
      <c r="D16505" s="1" t="s">
        <v>32516</v>
      </c>
      <c r="E16505" s="1" t="str">
        <f ca="1">IFERROR(__xludf.DUMMYFUNCTION("GOOGLETRANSLATE(A13304 , ""tr"" , ""en"")"),"@drfahrettinkoca Hani After the following two dose D-dimer test is the sample of my father that is highly removed. It is also your hardware ... https://t.co/dyfdquh5mz")</f>
        <v>@drfahrettinkoca Hani After the following two dose D-dimer test is the sample of my father that is highly removed. It is also your hardware ... https://t.co/dyfdquh5mz</v>
      </c>
    </row>
    <row r="16506" spans="1:5" ht="15" customHeight="1" x14ac:dyDescent="0.2">
      <c r="A16506" s="1" t="s">
        <v>32517</v>
      </c>
      <c r="B16506" s="1">
        <v>1</v>
      </c>
      <c r="C16506" s="3">
        <v>44520.818067129629</v>
      </c>
      <c r="D16506" s="1" t="s">
        <v>32518</v>
      </c>
      <c r="E16506" s="1" t="str">
        <f ca="1">IFERROR(__xludf.DUMMYFUNCTION("GOOGLETRANSLATE(A13305 , ""tr"" , ""en"")"),"@drfahrettinkoca we are not receiving, liquid countries are not aware that they are all lives, but your business is already so called s ... https ://t.co/ulvgswm0me")</f>
        <v>@drfahrettinkoca we are not receiving, liquid countries are not aware that they are all lives, but your business is already so called s ... https ://t.co/ulvgswm0me</v>
      </c>
    </row>
    <row r="16507" spans="1:5" ht="15" customHeight="1" x14ac:dyDescent="0.2">
      <c r="A16507" s="1" t="s">
        <v>32519</v>
      </c>
      <c r="B16507" s="1">
        <v>0</v>
      </c>
      <c r="C16507" s="3">
        <v>44520.817777777775</v>
      </c>
      <c r="D16507" s="1" t="s">
        <v>32520</v>
      </c>
      <c r="E16507" s="1" t="str">
        <f ca="1">IFERROR(__xludf.DUMMYFUNCTION("GOOGLETRANSLATE(A13306 , ""tr"" , ""en"")"),"@drfahrettinkoca No, they get my decision sample. Globalists' leash your dogs are not going to zickle the Dear Minister.")</f>
        <v>@drfahrettinkoca No, they get my decision sample. Globalists' leash your dogs are not going to zickle the Dear Minister.</v>
      </c>
    </row>
    <row r="16508" spans="1:5" ht="15" customHeight="1" x14ac:dyDescent="0.2">
      <c r="A16508" s="1" t="s">
        <v>32521</v>
      </c>
      <c r="B16508" s="1">
        <v>0</v>
      </c>
      <c r="C16508" s="3">
        <v>44520.814988425926</v>
      </c>
      <c r="D16508" s="1" t="s">
        <v>32522</v>
      </c>
      <c r="E16508" s="1" t="str">
        <f ca="1">IFERROR(__xludf.DUMMYFUNCTION("GOOGLETRANSLATE(A13307 , ""tr"" , ""en"")"),"@drfahrettinkoca matter when money is done, look at the account, more than this incorrect treatment, the account of damaged damaged ... https://t.co/sddw5wz0pv")</f>
        <v>@drfahrettinkoca matter when money is done, look at the account, more than this incorrect treatment, the account of damaged damaged ... https://t.co/sddw5wz0pv</v>
      </c>
    </row>
    <row r="16509" spans="1:5" ht="15" customHeight="1" x14ac:dyDescent="0.2">
      <c r="A16509" s="1" t="s">
        <v>32523</v>
      </c>
      <c r="B16509" s="1">
        <v>10</v>
      </c>
      <c r="C16509" s="3">
        <v>44520.812708333331</v>
      </c>
      <c r="D16509" s="1" t="s">
        <v>32524</v>
      </c>
      <c r="E16509" s="1" t="str">
        <f ca="1">IFERROR(__xludf.DUMMYFUNCTION("GOOGLETRANSLATE(A13308 , ""tr"" , ""en"")"),"@drfahrettinkoca Minister When the pandem is still in progress, you don't fault this process wrongly ... https://t.co/ti5cbzı9ja")</f>
        <v>@drfahrettinkoca Minister When the pandem is still in progress, you don't fault this process wrongly ... https://t.co/ti5cbzı9ja</v>
      </c>
    </row>
    <row r="16510" spans="1:5" ht="15" customHeight="1" x14ac:dyDescent="0.2">
      <c r="A16510" s="1" t="s">
        <v>32525</v>
      </c>
      <c r="B16510" s="1">
        <v>0</v>
      </c>
      <c r="C16510" s="3">
        <v>44520.8125462963</v>
      </c>
      <c r="D16510" s="1" t="s">
        <v>32526</v>
      </c>
      <c r="E16510" s="1" t="str">
        <f ca="1">IFERROR(__xludf.DUMMYFUNCTION("GOOGLETRANSLATE(A13309 , ""tr"" , ""en"")"),"@drfahrettinkoca let me tell you when you get through the supposed vaccine crap. Someday Western countries vaccine ... https://t.co/xqIofz0dan")</f>
        <v>@drfahrettinkoca let me tell you when you get through the supposed vaccine crap. Someday Western countries vaccine ... https://t.co/xqIofz0dan</v>
      </c>
    </row>
    <row r="16511" spans="1:5" ht="15" customHeight="1" x14ac:dyDescent="0.2">
      <c r="A16511" s="1" t="s">
        <v>32527</v>
      </c>
      <c r="B16511" s="1">
        <v>0</v>
      </c>
      <c r="C16511" s="3">
        <v>44520.812256944446</v>
      </c>
      <c r="D16511" s="1" t="s">
        <v>32528</v>
      </c>
      <c r="E16511" s="1" t="str">
        <f ca="1">IFERROR(__xludf.DUMMYFUNCTION("GOOGLETRANSLATE(A13310 , ""tr"" , ""en"")"),"@drfahrettinkoca have over 50 millions of research on two dose of overdose? Follow-ups are being done? What GOOK ... HTTPS://T.CO/9IQQNCGXYU")</f>
        <v>@drfahrettinkoca have over 50 millions of research on two dose of overdose? Follow-ups are being done? What GOOK ... HTTPS://T.CO/9IQQNCGXYU</v>
      </c>
    </row>
    <row r="16512" spans="1:5" ht="15" customHeight="1" x14ac:dyDescent="0.2">
      <c r="A16512" s="1" t="s">
        <v>32529</v>
      </c>
      <c r="B16512" s="1">
        <v>0</v>
      </c>
      <c r="C16512" s="3">
        <v>44520.810879629629</v>
      </c>
      <c r="D16512" s="1" t="s">
        <v>32530</v>
      </c>
      <c r="E16512" s="1" t="str">
        <f ca="1">IFERROR(__xludf.DUMMYFUNCTION("GOOGLETRANSLATE(A13311 , ""tr"" , ""en"")"),"@drfahrettinkoca This is how ridiculous is a vaccination by taking samples. As shows the sample of the neighbor's child")</f>
        <v>@drfahrettinkoca This is how ridiculous is a vaccination by taking samples. As shows the sample of the neighbor's child</v>
      </c>
    </row>
    <row r="16513" spans="1:5" ht="15" customHeight="1" x14ac:dyDescent="0.2">
      <c r="A16513" s="1" t="s">
        <v>32531</v>
      </c>
      <c r="B16513" s="1">
        <v>0</v>
      </c>
      <c r="C16513" s="3">
        <v>44520.80976851852</v>
      </c>
      <c r="D16513" s="1" t="s">
        <v>32532</v>
      </c>
      <c r="E16513" s="1" t="str">
        <f ca="1">IFERROR(__xludf.DUMMYFUNCTION("GOOGLETRANSLATE(A13312 , ""tr"" , ""en"")"),"@drfahrettinkoca hani vaccine to be individual decided Erdogan Lunch said that the vaccines that you say to the examples who say ... https://t.co/ovasijhblw")</f>
        <v>@drfahrettinkoca hani vaccine to be individual decided Erdogan Lunch said that the vaccines that you say to the examples who say ... https://t.co/ovasijhblw</v>
      </c>
    </row>
    <row r="16514" spans="1:5" ht="15" customHeight="1" x14ac:dyDescent="0.2">
      <c r="A16514" s="1" t="s">
        <v>32533</v>
      </c>
      <c r="B16514" s="1">
        <v>0</v>
      </c>
      <c r="C16514" s="3">
        <v>44520.806504629632</v>
      </c>
      <c r="D16514" s="1" t="s">
        <v>32534</v>
      </c>
      <c r="E16514" s="1" t="str">
        <f ca="1">IFERROR(__xludf.DUMMYFUNCTION("GOOGLETRANSLATE(A13313 , ""tr"" , ""en"")"),"@drfahrettinkoca is the best in the guide.")</f>
        <v>@drfahrettinkoca is the best in the guide.</v>
      </c>
    </row>
    <row r="16515" spans="1:5" ht="15" customHeight="1" x14ac:dyDescent="0.2">
      <c r="A16515" s="1" t="s">
        <v>32535</v>
      </c>
      <c r="B16515" s="1">
        <v>0</v>
      </c>
      <c r="C16515" s="3">
        <v>44520.805358796293</v>
      </c>
      <c r="D16515" s="1" t="s">
        <v>32536</v>
      </c>
      <c r="E16515" s="1" t="str">
        <f ca="1">IFERROR(__xludf.DUMMYFUNCTION("GOOGLETRANSLATE(A13314 , ""tr"" , ""en"")"),"@drfahrettinkoca 3. We have done the body 4 4 4")</f>
        <v>@drfahrettinkoca 3. We have done the body 4 4 4</v>
      </c>
    </row>
    <row r="16516" spans="1:5" ht="15" customHeight="1" x14ac:dyDescent="0.2">
      <c r="A16516" s="1" t="s">
        <v>32537</v>
      </c>
      <c r="B16516" s="1">
        <v>0</v>
      </c>
      <c r="C16516" s="3">
        <v>44520.804375</v>
      </c>
      <c r="D16516" s="1" t="s">
        <v>32538</v>
      </c>
      <c r="E16516" s="1" t="str">
        <f ca="1">IFERROR(__xludf.DUMMYFUNCTION("GOOGLETRANSLATE(A13315 , ""tr"" , ""en"")"),"@drfahrettinkoca I think the vaccines are anymore dose dose dose and give the examples of those who dose")</f>
        <v>@drfahrettinkoca I think the vaccines are anymore dose dose dose and give the examples of those who dose</v>
      </c>
    </row>
    <row r="16517" spans="1:5" ht="15" customHeight="1" x14ac:dyDescent="0.2">
      <c r="A16517" s="1" t="s">
        <v>32539</v>
      </c>
      <c r="B16517" s="1">
        <v>2</v>
      </c>
      <c r="C16517" s="3">
        <v>44520.803854166668</v>
      </c>
      <c r="D16517" s="1" t="s">
        <v>32540</v>
      </c>
      <c r="E16517" s="1" t="str">
        <f ca="1">IFERROR(__xludf.DUMMYFUNCTION("GOOGLETRANSLATE(A13316 , ""tr"" , ""en"")"),"@drfahrettinkoca you don't see these garbesties that you will have been cared without stopping. What format health minister ... https://t.co/mqcmeskjof")</f>
        <v>@drfahrettinkoca you don't see these garbesties that you will have been cared without stopping. What format health minister ... https://t.co/mqcmeskjof</v>
      </c>
    </row>
    <row r="16518" spans="1:5" ht="15" customHeight="1" x14ac:dyDescent="0.2">
      <c r="A16518" s="1" t="s">
        <v>32541</v>
      </c>
      <c r="B16518" s="1">
        <v>22</v>
      </c>
      <c r="C16518" s="3">
        <v>44520.803298611114</v>
      </c>
      <c r="D16518" s="1" t="s">
        <v>32542</v>
      </c>
      <c r="E16518" s="1" t="str">
        <f ca="1">IFERROR(__xludf.DUMMYFUNCTION("GOOGLETRANSLATE(A13317 , ""tr"" , ""en"")"),"@drfahrettinkoca country is in the country of alcohol and smoking more than 70% of the population ... profit in using alcohol and cigarette ... https://t.co/2roi7h6xur")</f>
        <v>@drfahrettinkoca country is in the country of alcohol and smoking more than 70% of the population ... profit in using alcohol and cigarette ... https://t.co/2roi7h6xur</v>
      </c>
    </row>
    <row r="16519" spans="1:5" ht="15" customHeight="1" x14ac:dyDescent="0.2">
      <c r="A16519" s="1" t="s">
        <v>32543</v>
      </c>
      <c r="B16519" s="1">
        <v>0</v>
      </c>
      <c r="C16519" s="3">
        <v>44520.801249999997</v>
      </c>
      <c r="D16519" s="1" t="s">
        <v>32544</v>
      </c>
      <c r="E16519" s="1" t="str">
        <f ca="1">IFERROR(__xludf.DUMMYFUNCTION("GOOGLETRANSLATE(A13318 , ""tr"" , ""en"")"),"@drfahrettinkoca Can you also explain the medicine that doesn't work")</f>
        <v>@drfahrettinkoca Can you also explain the medicine that doesn't work</v>
      </c>
    </row>
    <row r="16520" spans="1:5" ht="15" customHeight="1" x14ac:dyDescent="0.2">
      <c r="A16520" s="1" t="s">
        <v>32545</v>
      </c>
      <c r="B16520" s="1">
        <v>0</v>
      </c>
      <c r="C16520" s="3">
        <v>44520.80096064815</v>
      </c>
      <c r="D16520" s="1" t="s">
        <v>32546</v>
      </c>
      <c r="E16520" s="1" t="str">
        <f ca="1">IFERROR(__xludf.DUMMYFUNCTION("GOOGLETRANSLATE(A13319 , ""tr"" , ""en"")"),"@drfahrettinka fell to 60 percent now too")</f>
        <v>@drfahrettinka fell to 60 percent now too</v>
      </c>
    </row>
    <row r="16521" spans="1:5" ht="15" customHeight="1" x14ac:dyDescent="0.2">
      <c r="A16521" s="1" t="s">
        <v>31693</v>
      </c>
      <c r="B16521" s="1">
        <v>0</v>
      </c>
      <c r="C16521" s="3">
        <v>44520.800763888888</v>
      </c>
      <c r="D16521" s="1" t="s">
        <v>32547</v>
      </c>
      <c r="E16521" s="1" t="str">
        <f ca="1">IFERROR(__xludf.DUMMYFUNCTION("GOOGLETRANSLATE(A13320 , ""tr"" , ""en"")"),"@drfahrettinkoca I laughed so much to you")</f>
        <v>@drfahrettinkoca I laughed so much to you</v>
      </c>
    </row>
    <row r="16522" spans="1:5" ht="15" customHeight="1" x14ac:dyDescent="0.2">
      <c r="A16522" s="1" t="s">
        <v>32548</v>
      </c>
      <c r="B16522" s="1">
        <v>0</v>
      </c>
      <c r="C16522" s="3">
        <v>44520.799895833334</v>
      </c>
      <c r="D16522" s="1" t="s">
        <v>32549</v>
      </c>
      <c r="E16522" s="1" t="str">
        <f ca="1">IFERROR(__xludf.DUMMYFUNCTION("GOOGLETRANSLATE(A13321 , ""tr"" , ""en"")"),"@drfahrettinka vaccine not experiment fluid")</f>
        <v>@drfahrettinka vaccine not experiment fluid</v>
      </c>
    </row>
    <row r="16523" spans="1:5" ht="15" customHeight="1" x14ac:dyDescent="0.2">
      <c r="A16523" s="1" t="s">
        <v>32550</v>
      </c>
      <c r="B16523" s="1">
        <v>0</v>
      </c>
      <c r="C16523" s="3">
        <v>44520.798946759256</v>
      </c>
      <c r="D16523" s="1" t="s">
        <v>32551</v>
      </c>
      <c r="E16523" s="1" t="str">
        <f ca="1">IFERROR(__xludf.DUMMYFUNCTION("GOOGLETRANSLATE(A13322 , ""tr"" , ""en"")"),"@drfahrettinka 2018 data daily to die 1700 people daily, normal, the grip from the grip before the corona 3 ... https://t.co/VHIBWPUIBV")</f>
        <v>@drfahrettinka 2018 data daily to die 1700 people daily, normal, the grip from the grip before the corona 3 ... https://t.co/VHIBWPUIBV</v>
      </c>
    </row>
    <row r="16524" spans="1:5" ht="15" customHeight="1" x14ac:dyDescent="0.2">
      <c r="A16524" s="1" t="s">
        <v>32552</v>
      </c>
      <c r="B16524" s="1">
        <v>0</v>
      </c>
      <c r="C16524" s="3">
        <v>44520.798483796294</v>
      </c>
      <c r="D16524" s="1" t="s">
        <v>32553</v>
      </c>
      <c r="E16524" s="1" t="str">
        <f ca="1">IFERROR(__xludf.DUMMYFUNCTION("GOOGLETRANSLATE(A13323 , ""tr"" , ""en"")"),"@drfahrettinkoca Double Dose You said it is maintaining a $. But the original lining is not. Faviplavy is also ineffective. Couple Mask de K ... https://t.co/M7D4UIRPAG")</f>
        <v>@drfahrettinkoca Double Dose You said it is maintaining a $. But the original lining is not. Faviplavy is also ineffective. Couple Mask de K ... https://t.co/M7D4UIRPAG</v>
      </c>
    </row>
    <row r="16525" spans="1:5" ht="15" customHeight="1" x14ac:dyDescent="0.2">
      <c r="A16525" s="1" t="s">
        <v>32554</v>
      </c>
      <c r="B16525" s="1">
        <v>0</v>
      </c>
      <c r="C16525" s="3">
        <v>44520.798032407409</v>
      </c>
      <c r="D16525" s="1" t="s">
        <v>32555</v>
      </c>
      <c r="E16525" s="1" t="str">
        <f ca="1">IFERROR(__xludf.DUMMYFUNCTION("GOOGLETRANSLATE(A13324 , ""tr"" , ""en"")"),"@drfahrettinkoca was counted in two dose of two dose of vaccines then 60% of the country is the only dose in a single dose of the country ... https://t.co/elm9ipf493")</f>
        <v>@drfahrettinkoca was counted in two dose of two dose of vaccines then 60% of the country is the only dose in a single dose of the country ... https://t.co/elm9ipf493</v>
      </c>
    </row>
    <row r="16526" spans="1:5" ht="15" customHeight="1" x14ac:dyDescent="0.2">
      <c r="A16526" s="1" t="s">
        <v>32556</v>
      </c>
      <c r="B16526" s="1">
        <v>1</v>
      </c>
      <c r="C16526" s="3">
        <v>44520.797824074078</v>
      </c>
      <c r="D16526" s="1" t="s">
        <v>32557</v>
      </c>
      <c r="E16526" s="1" t="str">
        <f ca="1">IFERROR(__xludf.DUMMYFUNCTION("GOOGLETRANSLATE(A13325 , ""tr"" , ""en"")"),"@drfahrettinka https://t.co/D4M9Z9JKJI")</f>
        <v>@drfahrettinka https://t.co/D4M9Z9JKJI</v>
      </c>
    </row>
    <row r="16527" spans="1:5" ht="15" customHeight="1" x14ac:dyDescent="0.2">
      <c r="A16527" s="1" t="s">
        <v>32558</v>
      </c>
      <c r="B16527" s="1">
        <v>172</v>
      </c>
      <c r="C16527" s="3">
        <v>44520.797766203701</v>
      </c>
      <c r="D16527" s="1" t="s">
        <v>32559</v>
      </c>
      <c r="E16527" s="1" t="str">
        <f ca="1">IFERROR(__xludf.DUMMYFUNCTION("GOOGLETRANSLATE(A13326 , ""tr"" , ""en"")"),"@drfahrettinkoca 4-dose of the dose of Kadir, threw the clot in the brain of Kadir. Hydrosicloroquin and favipiravir giving up b ... https://t.co/fm6kdrnc4d")</f>
        <v>@drfahrettinkoca 4-dose of the dose of Kadir, threw the clot in the brain of Kadir. Hydrosicloroquin and favipiravir giving up b ... https://t.co/fm6kdrnc4d</v>
      </c>
    </row>
    <row r="16528" spans="1:5" ht="15" customHeight="1" x14ac:dyDescent="0.2">
      <c r="A16528" s="1" t="s">
        <v>32560</v>
      </c>
      <c r="B16528" s="1">
        <v>0</v>
      </c>
      <c r="C16528" s="3">
        <v>44520.797129629631</v>
      </c>
      <c r="D16528" s="1" t="s">
        <v>32561</v>
      </c>
      <c r="E16528" s="1" t="str">
        <f ca="1">IFERROR(__xludf.DUMMYFUNCTION("GOOGLETRANSLATE(A13327 , ""tr"" , ""en"")"),"@drfahrettinkoca two dose of cascades of the cases were counted on the mordant, then the country is 60% of the country is the only DO ... HTTPS://t.co/2su0o3mgzt")</f>
        <v>@drfahrettinkoca two dose of cascades of the cases were counted on the mordant, then the country is 60% of the country is the only DO ... HTTPS://t.co/2su0o3mgzt</v>
      </c>
    </row>
    <row r="16529" spans="1:5" ht="15" customHeight="1" x14ac:dyDescent="0.2">
      <c r="A16529" s="1" t="s">
        <v>32562</v>
      </c>
      <c r="B16529" s="1">
        <v>2</v>
      </c>
      <c r="C16529" s="3">
        <v>44520.795011574075</v>
      </c>
      <c r="D16529" s="1" t="s">
        <v>32563</v>
      </c>
      <c r="E16529" s="1" t="str">
        <f ca="1">IFERROR(__xludf.DUMMYFUNCTION("GOOGLETRANSLATE(A13328 , ""tr"" , ""en"")"),"@drfahrettinkoca people are threatened to be threatened to dismiss, the factory I work on Monday head ... https://t.co/jjzofahuud")</f>
        <v>@drfahrettinkoca people are threatened to be threatened to dismiss, the factory I work on Monday head ... https://t.co/jjzofahuud</v>
      </c>
    </row>
    <row r="16530" spans="1:5" ht="15" customHeight="1" x14ac:dyDescent="0.2">
      <c r="A16530" s="1" t="s">
        <v>32564</v>
      </c>
      <c r="B16530" s="1">
        <v>1</v>
      </c>
      <c r="C16530" s="3">
        <v>44520.793981481482</v>
      </c>
      <c r="D16530" s="1" t="s">
        <v>32565</v>
      </c>
      <c r="E16530" s="1" t="str">
        <f ca="1">IFERROR(__xludf.DUMMYFUNCTION("GOOGLETRANSLATE(A13329 , ""tr"" , ""en"")"),"@drfahrettinkoca https://t.co/nceotx4yvo #fahrettinkocatutlan")</f>
        <v>@drfahrettinkoca https://t.co/nceotx4yvo #fahrettinkocatutlan</v>
      </c>
    </row>
    <row r="16531" spans="1:5" ht="15" customHeight="1" x14ac:dyDescent="0.2">
      <c r="A16531" s="1" t="s">
        <v>32566</v>
      </c>
      <c r="B16531" s="1">
        <v>0</v>
      </c>
      <c r="C16531" s="3">
        <v>44520.793900462966</v>
      </c>
      <c r="D16531" s="1" t="s">
        <v>32567</v>
      </c>
      <c r="E16531" s="1" t="str">
        <f ca="1">IFERROR(__xludf.DUMMYFUNCTION("GOOGLETRANSLATE(A13330 , ""tr"" , ""en"")"),"@drfahrettinkoca We are paying the same 50-55 of the sin of 50-55 of the sin of Vebalin for 12 years already !!! BAKING WHAT SAMPLE ... https://t.co/ruyi0ILSUT")</f>
        <v>@drfahrettinkoca We are paying the same 50-55 of the sin of 50-55 of the sin of Vebalin for 12 years already !!! BAKING WHAT SAMPLE ... https://t.co/ruyi0ILSUT</v>
      </c>
    </row>
    <row r="16532" spans="1:5" ht="15" customHeight="1" x14ac:dyDescent="0.2">
      <c r="A16532" s="1" t="s">
        <v>32568</v>
      </c>
      <c r="B16532" s="1">
        <v>1</v>
      </c>
      <c r="C16532" s="3">
        <v>44520.793657407405</v>
      </c>
      <c r="D16532" s="1" t="s">
        <v>32569</v>
      </c>
      <c r="E16532" s="1" t="str">
        <f ca="1">IFERROR(__xludf.DUMMYFUNCTION("GOOGLETRANSLATE(A13331 , ""tr"" , ""en"")"),"@drfahrettinkoca We're not unstable either we have given our decision :)")</f>
        <v>@drfahrettinkoca We're not unstable either we have given our decision :)</v>
      </c>
    </row>
    <row r="16533" spans="1:5" ht="15" customHeight="1" x14ac:dyDescent="0.2">
      <c r="A16533" s="1" t="s">
        <v>32570</v>
      </c>
      <c r="B16533" s="1">
        <v>0</v>
      </c>
      <c r="C16533" s="3">
        <v>44520.792685185188</v>
      </c>
      <c r="D16533" s="1" t="s">
        <v>32571</v>
      </c>
      <c r="E16533" s="1" t="str">
        <f ca="1">IFERROR(__xludf.DUMMYFUNCTION("GOOGLETRANSLATE(A13332 , ""tr"" , ""en"")"),"@drfahrettinkoca or BI are you susarin anymore 😒")</f>
        <v>@drfahrettinkoca or BI are you susarin anymore 😒</v>
      </c>
    </row>
    <row r="16534" spans="1:5" ht="15" customHeight="1" x14ac:dyDescent="0.2">
      <c r="A16534" s="1" t="s">
        <v>32572</v>
      </c>
      <c r="B16534" s="1">
        <v>0</v>
      </c>
      <c r="C16534" s="3">
        <v>44520.791875000003</v>
      </c>
      <c r="D16534" s="1" t="s">
        <v>32573</v>
      </c>
      <c r="E16534" s="1" t="str">
        <f ca="1">IFERROR(__xludf.DUMMYFUNCTION("GOOGLETRANSLATE(A13333 , ""tr"" , ""en"")"),"@drfahrettinkoca Then the social immunity is in realized. Remove all measures. Come on!")</f>
        <v>@drfahrettinkoca Then the social immunity is in realized. Remove all measures. Come on!</v>
      </c>
    </row>
    <row r="16535" spans="1:5" ht="15" customHeight="1" x14ac:dyDescent="0.2">
      <c r="A16535" s="1" t="s">
        <v>32574</v>
      </c>
      <c r="B16535" s="1">
        <v>0</v>
      </c>
      <c r="C16535" s="3">
        <v>44520.791516203702</v>
      </c>
      <c r="D16535" s="1" t="s">
        <v>32575</v>
      </c>
      <c r="E16535" s="1" t="str">
        <f ca="1">IFERROR(__xludf.DUMMYFUNCTION("GOOGLETRANSLATE(A13334 , ""tr"" , ""en"")"),"@drfahrettinkoca @ mehmetcek06 What is the border? How much rates will end up")</f>
        <v>@drfahrettinkoca @ mehmetcek06 What is the border? How much rates will end up</v>
      </c>
    </row>
    <row r="16536" spans="1:5" ht="15" customHeight="1" x14ac:dyDescent="0.2">
      <c r="A16536" s="1" t="s">
        <v>32576</v>
      </c>
      <c r="B16536" s="1">
        <v>0</v>
      </c>
      <c r="C16536" s="3">
        <v>44520.790405092594</v>
      </c>
      <c r="D16536" s="1" t="s">
        <v>32577</v>
      </c>
      <c r="E16536" s="1" t="str">
        <f ca="1">IFERROR(__xludf.DUMMYFUNCTION("GOOGLETRANSLATE(A13335 , ""tr"" , ""en"")"),"@drfahrettinkoca what is this mr.koca? I think you should be ashamed of that as all doctors! We are Doctor like you ... https://t.co/hoqqzhqycz")</f>
        <v>@drfahrettinkoca what is this mr.koca? I think you should be ashamed of that as all doctors! We are Doctor like you ... https://t.co/hoqqzhqycz</v>
      </c>
    </row>
    <row r="16537" spans="1:5" ht="15" customHeight="1" x14ac:dyDescent="0.2">
      <c r="A16537" s="1" t="s">
        <v>32578</v>
      </c>
      <c r="B16537" s="1">
        <v>0</v>
      </c>
      <c r="C16537" s="3">
        <v>44520.790219907409</v>
      </c>
      <c r="D16537" s="1" t="s">
        <v>32579</v>
      </c>
      <c r="E16537" s="1" t="str">
        <f ca="1">IFERROR(__xludf.DUMMYFUNCTION("GOOGLETRANSLATE(A13336 , ""tr"" , ""en"")"),"Why @drfahrettinkoca 50% will be taken? * You have frightened a portion of gorgeous * You threatened a portion * ... https://t.co/xdxhkpzzcw")</f>
        <v>Why @drfahrettinkoca 50% will be taken? * You have frightened a portion of gorgeous * You threatened a portion * ... https://t.co/xdxhkpzzcw</v>
      </c>
    </row>
    <row r="16538" spans="1:5" ht="15" customHeight="1" x14ac:dyDescent="0.2">
      <c r="A16538" s="1" t="s">
        <v>32580</v>
      </c>
      <c r="B16538" s="1">
        <v>0</v>
      </c>
      <c r="C16538" s="3">
        <v>44520.790092592593</v>
      </c>
      <c r="D16538" s="1" t="s">
        <v>32581</v>
      </c>
      <c r="E16538" s="1" t="str">
        <f ca="1">IFERROR(__xludf.DUMMYFUNCTION("GOOGLETRANSLATE(A13337 , ""tr"" , ""en"")"),"@drfahrettinkoca whatever you will do in the sake of allah whatever you will be in your daily syringe proaganda place to your place too ... https://t.co/s8Ixxvtgpp")</f>
        <v>@drfahrettinkoca whatever you will do in the sake of allah whatever you will be in your daily syringe proaganda place to your place too ... https://t.co/s8Ixxvtgpp</v>
      </c>
    </row>
    <row r="16539" spans="1:5" ht="15" customHeight="1" x14ac:dyDescent="0.2">
      <c r="A16539" s="1" t="s">
        <v>32582</v>
      </c>
      <c r="B16539" s="1">
        <v>1</v>
      </c>
      <c r="C16539" s="3">
        <v>44520.790011574078</v>
      </c>
      <c r="D16539" s="1" t="s">
        <v>32583</v>
      </c>
      <c r="E16539" s="1" t="str">
        <f ca="1">IFERROR(__xludf.DUMMYFUNCTION("GOOGLETRANSLATE(A13338 , ""tr"" , ""en"")"),"@drfahrettinkoca Nuh As in asha was ten million. Those who believe in him are 100, those who ride on their ship were 80 people. The majority is all ... https://t.co/d6jfazacbe")</f>
        <v>@drfahrettinkoca Nuh As in asha was ten million. Those who believe in him are 100, those who ride on their ship were 80 people. The majority is all ... https://t.co/d6jfazacbe</v>
      </c>
    </row>
    <row r="16540" spans="1:5" ht="15" customHeight="1" x14ac:dyDescent="0.2">
      <c r="A16540" s="1" t="s">
        <v>32584</v>
      </c>
      <c r="B16540" s="1">
        <v>6</v>
      </c>
      <c r="C16540" s="3">
        <v>44520.789918981478</v>
      </c>
      <c r="D16540" s="1" t="s">
        <v>32585</v>
      </c>
      <c r="E16540" s="1" t="str">
        <f ca="1">IFERROR(__xludf.DUMMYFUNCTION("GOOGLETRANSLATE(A13339 , ""tr"" , ""en"")"),"@drfahrettinkoca is that it will not be used to produce the vaccine is long told that it should not be used again will not give up on this lovedness Fahrettin Hoca.")</f>
        <v>@drfahrettinkoca is that it will not be used to produce the vaccine is long told that it should not be used again will not give up on this lovedness Fahrettin Hoca.</v>
      </c>
    </row>
    <row r="16541" spans="1:5" ht="15" customHeight="1" x14ac:dyDescent="0.2">
      <c r="A16541" s="1" t="s">
        <v>32586</v>
      </c>
      <c r="B16541" s="1">
        <v>0</v>
      </c>
      <c r="C16541" s="3">
        <v>44520.788032407407</v>
      </c>
      <c r="D16541" s="1" t="s">
        <v>32587</v>
      </c>
      <c r="E16541" s="1" t="str">
        <f ca="1">IFERROR(__xludf.DUMMYFUNCTION("GOOGLETRANSLATE(A13340 , ""tr"" , ""en"")"),"@drfahrettinka https://t.co/muqo4hkwgc")</f>
        <v>@drfahrettinka https://t.co/muqo4hkwgc</v>
      </c>
    </row>
    <row r="16542" spans="1:5" ht="15" customHeight="1" x14ac:dyDescent="0.2">
      <c r="A16542" s="1" t="s">
        <v>32588</v>
      </c>
      <c r="B16542" s="1">
        <v>0</v>
      </c>
      <c r="C16542" s="3">
        <v>44520.78800925926</v>
      </c>
      <c r="D16542" s="1" t="s">
        <v>32589</v>
      </c>
      <c r="E16542" s="1" t="str">
        <f ca="1">IFERROR(__xludf.DUMMYFUNCTION("GOOGLETRANSLATE(A13341 , ""tr"" , ""en"")"),"@drfahrettinka https://t.co/2jgzyq7may")</f>
        <v>@drfahrettinka https://t.co/2jgzyq7may</v>
      </c>
    </row>
    <row r="16543" spans="1:5" ht="15" customHeight="1" x14ac:dyDescent="0.2">
      <c r="A16543" s="1" t="s">
        <v>12993</v>
      </c>
      <c r="B16543" s="1">
        <v>0</v>
      </c>
      <c r="C16543" s="3">
        <v>44520.787789351853</v>
      </c>
      <c r="D16543" s="1" t="s">
        <v>32590</v>
      </c>
      <c r="E16543" s="1" t="str">
        <f ca="1">IFERROR(__xludf.DUMMYFUNCTION("GOOGLETRANSLATE(A13342 , ""tr"" , ""en"")"),"@drfahrettinkoca come on there")</f>
        <v>@drfahrettinkoca come on there</v>
      </c>
    </row>
    <row r="16544" spans="1:5" ht="15" customHeight="1" x14ac:dyDescent="0.2">
      <c r="A16544" s="1" t="s">
        <v>32591</v>
      </c>
      <c r="B16544" s="1">
        <v>0</v>
      </c>
      <c r="C16544" s="3">
        <v>44520.787743055553</v>
      </c>
      <c r="D16544" s="1" t="s">
        <v>32592</v>
      </c>
      <c r="E16544" s="1" t="str">
        <f ca="1">IFERROR(__xludf.DUMMYFUNCTION("GOOGLETRANSLATE(A13343 , ""tr"" , ""en"")"),"@drfahrettinkoca self-speaking health minister")</f>
        <v>@drfahrettinkoca self-speaking health minister</v>
      </c>
    </row>
    <row r="16545" spans="1:5" ht="15" customHeight="1" x14ac:dyDescent="0.2">
      <c r="A16545" s="1" t="s">
        <v>32593</v>
      </c>
      <c r="B16545" s="1">
        <v>0</v>
      </c>
      <c r="C16545" s="3">
        <v>44520.78738425926</v>
      </c>
      <c r="D16545" s="1" t="s">
        <v>32594</v>
      </c>
      <c r="E16545" s="1" t="str">
        <f ca="1">IFERROR(__xludf.DUMMYFUNCTION("GOOGLETRANSLATE(A13344 , ""tr"" , ""en"")"),"@drfahrettinkoca Mr. Minister How much you will be overlooked the teenager waiting to assign all these assignments don't be afraid of Vebalden ... https://t.co/dzekaywscc")</f>
        <v>@drfahrettinkoca Mr. Minister How much you will be overlooked the teenager waiting to assign all these assignments don't be afraid of Vebalden ... https://t.co/dzekaywscc</v>
      </c>
    </row>
    <row r="16546" spans="1:5" ht="15" customHeight="1" x14ac:dyDescent="0.2">
      <c r="A16546" s="1" t="s">
        <v>32595</v>
      </c>
      <c r="B16546" s="1">
        <v>3</v>
      </c>
      <c r="C16546" s="3">
        <v>44520.787187499998</v>
      </c>
      <c r="D16546" s="1" t="s">
        <v>32596</v>
      </c>
      <c r="E16546" s="1" t="str">
        <f ca="1">IFERROR(__xludf.DUMMYFUNCTION("GOOGLETRANSLATE(A13345 , ""tr"" , ""en"")"),"@drfahrettinkoca Hani 60% single dose of this job is running out of your favipiravir job 1 year ago DSCE DED ... https://t.co/ut6mxphnqh")</f>
        <v>@drfahrettinkoca Hani 60% single dose of this job is running out of your favipiravir job 1 year ago DSCE DED ... https://t.co/ut6mxphnqh</v>
      </c>
    </row>
    <row r="16547" spans="1:5" ht="15" customHeight="1" x14ac:dyDescent="0.2">
      <c r="A16547" s="1" t="s">
        <v>32597</v>
      </c>
      <c r="B16547" s="1">
        <v>0</v>
      </c>
      <c r="C16547" s="3">
        <v>44520.78696759259</v>
      </c>
      <c r="D16547" s="1" t="s">
        <v>32598</v>
      </c>
      <c r="E16547" s="1" t="str">
        <f ca="1">IFERROR(__xludf.DUMMYFUNCTION("GOOGLETRANSLATE(A13346 , ""tr"" , ""en"")"),"@drfahrettinkoca Looking like the anti-USA unfortunately the politicians are unfortunately the same. The same is the same as medicine etc.")</f>
        <v>@drfahrettinkoca Looking like the anti-USA unfortunately the politicians are unfortunately the same. The same is the same as medicine etc.</v>
      </c>
    </row>
    <row r="16548" spans="1:5" ht="15" customHeight="1" x14ac:dyDescent="0.2">
      <c r="A16548" s="1" t="s">
        <v>32599</v>
      </c>
      <c r="B16548" s="1">
        <v>0</v>
      </c>
      <c r="C16548" s="3">
        <v>44520.786712962959</v>
      </c>
      <c r="D16548" s="1" t="s">
        <v>32600</v>
      </c>
      <c r="E16548" s="1" t="str">
        <f ca="1">IFERROR(__xludf.DUMMYFUNCTION("GOOGLETRANSLATE(A13347 , ""tr"" , ""en"")"),"@drfahrettinka https://t.co/gqf0gd3tly")</f>
        <v>@drfahrettinka https://t.co/gqf0gd3tly</v>
      </c>
    </row>
    <row r="16549" spans="1:5" ht="15" customHeight="1" x14ac:dyDescent="0.2">
      <c r="A16549" s="1" t="s">
        <v>32601</v>
      </c>
      <c r="B16549" s="1">
        <v>0</v>
      </c>
      <c r="C16549" s="3">
        <v>44520.786562499998</v>
      </c>
      <c r="D16549" s="1" t="s">
        <v>32602</v>
      </c>
      <c r="E16549" s="1" t="str">
        <f ca="1">IFERROR(__xludf.DUMMYFUNCTION("GOOGLETRANSLATE(A13348 , ""tr"" , ""en"")"),"@drfahrettinka you call both vaccine compulsory hair and 50 million samples 😂")</f>
        <v>@drfahrettinka you call both vaccine compulsory hair and 50 million samples 😂</v>
      </c>
    </row>
    <row r="16550" spans="1:5" ht="15" customHeight="1" x14ac:dyDescent="0.2">
      <c r="A16550" s="1" t="s">
        <v>32603</v>
      </c>
      <c r="B16550" s="1">
        <v>0</v>
      </c>
      <c r="C16550" s="3">
        <v>44520.786516203705</v>
      </c>
      <c r="D16550" s="1" t="s">
        <v>32604</v>
      </c>
      <c r="E16550" s="1" t="str">
        <f ca="1">IFERROR(__xludf.DUMMYFUNCTION("GOOGLETRANSLATE(A13349 , ""tr"" , ""en"")"),"@drfahrettinkoca FAKA vaccines Go Go to the Domestic Shivem I'm saying you Cahannem.")</f>
        <v>@drfahrettinkoca FAKA vaccines Go Go to the Domestic Shivem I'm saying you Cahannem.</v>
      </c>
    </row>
    <row r="16551" spans="1:5" ht="15" customHeight="1" x14ac:dyDescent="0.2">
      <c r="A16551" s="1" t="s">
        <v>32605</v>
      </c>
      <c r="B16551" s="1">
        <v>0</v>
      </c>
      <c r="C16551" s="3">
        <v>44520.785798611112</v>
      </c>
      <c r="D16551" s="1" t="s">
        <v>32606</v>
      </c>
      <c r="E16551" s="1" t="str">
        <f ca="1">IFERROR(__xludf.DUMMYFUNCTION("GOOGLETRANSLATE(A13350 , ""tr"" , ""en"")"),"@drfahrettinkoca is the decision to decide on the majority 😂")</f>
        <v>@drfahrettinkoca is the decision to decide on the majority 😂</v>
      </c>
    </row>
    <row r="16552" spans="1:5" ht="15" customHeight="1" x14ac:dyDescent="0.2">
      <c r="A16552" s="1" t="s">
        <v>32607</v>
      </c>
      <c r="B16552" s="1">
        <v>0</v>
      </c>
      <c r="C16552" s="3">
        <v>44520.785219907404</v>
      </c>
      <c r="D16552" s="1" t="s">
        <v>32608</v>
      </c>
      <c r="E16552" s="1" t="str">
        <f ca="1">IFERROR(__xludf.DUMMYFUNCTION("GOOGLETRANSLATE(A13351 , ""tr"" , ""en"")"),"@drfahrettinkoca We're tired of your descriptions. You are eating the head. The side effects of vaccine are GIRLA. Covered the eye of the eye ... https://t.co/5lsz0ugyso")</f>
        <v>@drfahrettinkoca We're tired of your descriptions. You are eating the head. The side effects of vaccine are GIRLA. Covered the eye of the eye ... https://t.co/5lsz0ugyso</v>
      </c>
    </row>
    <row r="16553" spans="1:5" ht="15" customHeight="1" x14ac:dyDescent="0.2">
      <c r="A16553" s="1" t="s">
        <v>32609</v>
      </c>
      <c r="B16553" s="1">
        <v>0</v>
      </c>
      <c r="C16553" s="3">
        <v>44520.784317129626</v>
      </c>
      <c r="D16553" s="1" t="s">
        <v>32610</v>
      </c>
      <c r="E16553" s="1" t="str">
        <f ca="1">IFERROR(__xludf.DUMMYFUNCTION("GOOGLETRANSLATE(A13352 , ""tr"" , ""en"")"),"@drfahrettinka ey congregation I am 42 years of heart battery blood pressure and diabetics I'm the first to get to be caught ... https://t.co/n7wxzn4ayf")</f>
        <v>@drfahrettinka ey congregation I am 42 years of heart battery blood pressure and diabetics I'm the first to get to be caught ... https://t.co/n7wxzn4ayf</v>
      </c>
    </row>
    <row r="16554" spans="1:5" ht="15" customHeight="1" x14ac:dyDescent="0.2">
      <c r="A16554" s="1" t="s">
        <v>32611</v>
      </c>
      <c r="B16554" s="1">
        <v>0</v>
      </c>
      <c r="C16554" s="3">
        <v>44520.783831018518</v>
      </c>
      <c r="D16554" s="1" t="s">
        <v>32612</v>
      </c>
      <c r="E16554" s="1" t="str">
        <f ca="1">IFERROR(__xludf.DUMMYFUNCTION("GOOGLETRANSLATE(A13353 , ""tr"" , ""en"")"),"@drfahrettinkoca has kept the PCR to be the vaccine. We have petitioned about us essentially and legal way i ... https://t.co/gqooq2ovsi")</f>
        <v>@drfahrettinkoca has kept the PCR to be the vaccine. We have petitioned about us essentially and legal way i ... https://t.co/gqooq2ovsi</v>
      </c>
    </row>
    <row r="16555" spans="1:5" ht="15" customHeight="1" x14ac:dyDescent="0.2">
      <c r="A16555" s="1" t="s">
        <v>32613</v>
      </c>
      <c r="B16555" s="1">
        <v>0</v>
      </c>
      <c r="C16555" s="3">
        <v>44520.782905092594</v>
      </c>
      <c r="D16555" s="1" t="s">
        <v>32614</v>
      </c>
      <c r="E16555" s="1" t="str">
        <f ca="1">IFERROR(__xludf.DUMMYFUNCTION("GOOGLETRANSLATE(A13354 , ""tr"" , ""en"")"),"@drfahrettinkoca Fetönün What you need to blow the coup with the vaccination. The vaccine is equal to the error no longer.")</f>
        <v>@drfahrettinkoca Fetönün What you need to blow the coup with the vaccination. The vaccine is equal to the error no longer.</v>
      </c>
    </row>
    <row r="16556" spans="1:5" ht="15" customHeight="1" x14ac:dyDescent="0.2">
      <c r="A16556" s="1" t="s">
        <v>32615</v>
      </c>
      <c r="B16556" s="1">
        <v>0</v>
      </c>
      <c r="C16556" s="3">
        <v>44520.782129629632</v>
      </c>
      <c r="D16556" s="1" t="s">
        <v>32616</v>
      </c>
      <c r="E16556" s="1" t="str">
        <f ca="1">IFERROR(__xludf.DUMMYFUNCTION("GOOGLETRANSLATE(A13355 , ""tr"" , ""en"")"),"@drfahrettinkoca what will we get the sample with forceds if you don't have an employee / studying sacramental to you in beddua ... https://t.co/mihuuyihlo")</f>
        <v>@drfahrettinkoca what will we get the sample with forceds if you don't have an employee / studying sacramental to you in beddua ... https://t.co/mihuuyihlo</v>
      </c>
    </row>
    <row r="16557" spans="1:5" ht="15" customHeight="1" x14ac:dyDescent="0.2">
      <c r="A16557" s="1" t="s">
        <v>32617</v>
      </c>
      <c r="B16557" s="1">
        <v>0</v>
      </c>
      <c r="C16557" s="3">
        <v>44520.781724537039</v>
      </c>
      <c r="D16557" s="1" t="s">
        <v>32618</v>
      </c>
      <c r="E16557" s="1" t="str">
        <f ca="1">IFERROR(__xludf.DUMMYFUNCTION("GOOGLETRANSLATE(A13356 , ""tr"" , ""en"")"),"Why @drfahrettinkoca cases and deaths don't fall? The unmovable minister is my minister to be brothered from the middle of the rock ... https://t.co/lb1so69zke")</f>
        <v>Why @drfahrettinkoca cases and deaths don't fall? The unmovable minister is my minister to be brothered from the middle of the rock ... https://t.co/lb1so69zke</v>
      </c>
    </row>
    <row r="16558" spans="1:5" ht="15" customHeight="1" x14ac:dyDescent="0.2">
      <c r="A16558" s="1" t="s">
        <v>32619</v>
      </c>
      <c r="B16558" s="1">
        <v>0</v>
      </c>
      <c r="C16558" s="3">
        <v>44520.780729166669</v>
      </c>
      <c r="D16558" s="1" t="s">
        <v>32620</v>
      </c>
      <c r="E16558" s="1" t="str">
        <f ca="1">IFERROR(__xludf.DUMMYFUNCTION("GOOGLETRANSLATE(A13357 , ""tr"" , ""en"")"),"@drfahrettinkoca where is this guide either")</f>
        <v>@drfahrettinkoca where is this guide either</v>
      </c>
    </row>
    <row r="16559" spans="1:5" ht="15" customHeight="1" x14ac:dyDescent="0.2">
      <c r="A16559" s="1" t="s">
        <v>32621</v>
      </c>
      <c r="B16559" s="1">
        <v>1</v>
      </c>
      <c r="C16559" s="3">
        <v>44520.779224537036</v>
      </c>
      <c r="D16559" s="1" t="s">
        <v>32622</v>
      </c>
      <c r="E16559" s="1" t="str">
        <f ca="1">IFERROR(__xludf.DUMMYFUNCTION("GOOGLETRANSLATE(A13358 , ""tr"" , ""en"")"),"@drfahrettinkoca Come on threatened with his / her school with the job with a serious or 50 million jobs and have been booked now ... HTTPS://T.CO/YUMU75HI")</f>
        <v>@drfahrettinkoca Come on threatened with his / her school with the job with a serious or 50 million jobs and have been booked now ... HTTPS://T.CO/YUMU75HI</v>
      </c>
    </row>
    <row r="16560" spans="1:5" ht="15" customHeight="1" x14ac:dyDescent="0.2">
      <c r="A16560" s="1" t="s">
        <v>32623</v>
      </c>
      <c r="B16560" s="1">
        <v>0</v>
      </c>
      <c r="C16560" s="3">
        <v>44520.777905092589</v>
      </c>
      <c r="D16560" s="1" t="s">
        <v>32624</v>
      </c>
      <c r="E16560" s="1" t="str">
        <f ca="1">IFERROR(__xludf.DUMMYFUNCTION("GOOGLETRANSLATE(A13359 , ""tr"" , ""en"")"),"@drfahrettinkoca is enough. When you quit. You've been to the most unpopular minister of the most saved")</f>
        <v>@drfahrettinkoca is enough. When you quit. You've been to the most unpopular minister of the most saved</v>
      </c>
    </row>
    <row r="16561" spans="1:5" ht="15" customHeight="1" x14ac:dyDescent="0.2">
      <c r="A16561" s="1" t="s">
        <v>32625</v>
      </c>
      <c r="B16561" s="1">
        <v>0</v>
      </c>
      <c r="C16561" s="3">
        <v>44520.777615740742</v>
      </c>
      <c r="D16561" s="1" t="s">
        <v>32626</v>
      </c>
      <c r="E16561" s="1" t="str">
        <f ca="1">IFERROR(__xludf.DUMMYFUNCTION("GOOGLETRANSLATE(A13360 , ""tr"" , ""en"")"),"@drfahrettinka We don't rupture in vain")</f>
        <v>@drfahrettinka We don't rupture in vain</v>
      </c>
    </row>
    <row r="16562" spans="1:5" ht="15" customHeight="1" x14ac:dyDescent="0.2">
      <c r="A16562" s="1" t="s">
        <v>32627</v>
      </c>
      <c r="B16562" s="1">
        <v>0</v>
      </c>
      <c r="C16562" s="3">
        <v>44520.777488425927</v>
      </c>
      <c r="D16562" s="1" t="s">
        <v>32628</v>
      </c>
      <c r="E16562" s="1" t="str">
        <f ca="1">IFERROR(__xludf.DUMMYFUNCTION("GOOGLETRANSLATE(A13361 , ""tr"" , ""en"")"),"@drfahrettinkoca Mr. Mr. The people you can sleep comfortable are the people you causing the passage to your dreams")</f>
        <v>@drfahrettinkoca Mr. Mr. The people you can sleep comfortable are the people you causing the passage to your dreams</v>
      </c>
    </row>
    <row r="16563" spans="1:5" ht="15" customHeight="1" x14ac:dyDescent="0.2">
      <c r="A16563" s="1" t="s">
        <v>32629</v>
      </c>
      <c r="B16563" s="1">
        <v>0</v>
      </c>
      <c r="C16563" s="3">
        <v>44520.777314814812</v>
      </c>
      <c r="D16563" s="1" t="s">
        <v>32630</v>
      </c>
      <c r="E16563" s="1" t="str">
        <f ca="1">IFERROR(__xludf.DUMMYFUNCTION("GOOGLETRANSLATE(A13362 , ""tr"" , ""en"")"),"@drfahrettinkoca Dual dose of overdose is how many of the influence of the influence? What brand of vaccinations did he prefer? Ş ... https://t.co/woIsuiy2u")</f>
        <v>@drfahrettinkoca Dual dose of overdose is how many of the influence of the influence? What brand of vaccinations did he prefer? Ş ... https://t.co/woIsuiy2u</v>
      </c>
    </row>
    <row r="16564" spans="1:5" ht="15" customHeight="1" x14ac:dyDescent="0.2">
      <c r="A16564" s="1" t="s">
        <v>32631</v>
      </c>
      <c r="B16564" s="1">
        <v>0</v>
      </c>
      <c r="C16564" s="3">
        <v>44520.77721064815</v>
      </c>
      <c r="D16564" s="1" t="s">
        <v>32632</v>
      </c>
      <c r="E16564" s="1" t="str">
        <f ca="1">IFERROR(__xludf.DUMMYFUNCTION("GOOGLETRANSLATE(A13363 , ""tr"" , ""en"")"),"If @drfahrettinkoca had no fear of dismissing people, you would do that toxic liquid but 30% to 30% .. Europe and Ame ... https://t.co/m32bwtkdkc")</f>
        <v>If @drfahrettinkoca had no fear of dismissing people, you would do that toxic liquid but 30% to 30% .. Europe and Ame ... https://t.co/m32bwtkdkc</v>
      </c>
    </row>
    <row r="16565" spans="1:5" ht="15" customHeight="1" x14ac:dyDescent="0.2">
      <c r="A16565" s="1" t="s">
        <v>32633</v>
      </c>
      <c r="B16565" s="1">
        <v>0</v>
      </c>
      <c r="C16565" s="3">
        <v>44520.776747685188</v>
      </c>
      <c r="D16565" s="1" t="s">
        <v>32634</v>
      </c>
      <c r="E16565" s="1" t="str">
        <f ca="1">IFERROR(__xludf.DUMMYFUNCTION("GOOGLETRANSLATE(A13364 , ""tr"" , ""en"")"),"@drfahrettinkoca Did the official explanation about Favipiravir?")</f>
        <v>@drfahrettinkoca Did the official explanation about Favipiravir?</v>
      </c>
    </row>
    <row r="16566" spans="1:5" ht="15" customHeight="1" x14ac:dyDescent="0.2">
      <c r="A16566" s="1" t="s">
        <v>32635</v>
      </c>
      <c r="B16566" s="1">
        <v>0</v>
      </c>
      <c r="C16566" s="3">
        <v>44520.776597222219</v>
      </c>
      <c r="D16566" s="1" t="s">
        <v>32636</v>
      </c>
      <c r="E16566" s="1" t="str">
        <f ca="1">IFERROR(__xludf.DUMMYFUNCTION("GOOGLETRANSLATE(A13365 , ""tr"" , ""en"")"),"@drfahrettinkoca when the nation to say blood from the nursing outlets")</f>
        <v>@drfahrettinkoca when the nation to say blood from the nursing outlets</v>
      </c>
    </row>
    <row r="16567" spans="1:5" ht="15" customHeight="1" x14ac:dyDescent="0.2">
      <c r="A16567" s="1" t="s">
        <v>32637</v>
      </c>
      <c r="B16567" s="1">
        <v>0</v>
      </c>
      <c r="C16567" s="3">
        <v>44520.775752314818</v>
      </c>
      <c r="D16567" s="1" t="s">
        <v>32638</v>
      </c>
      <c r="E16567" s="1" t="str">
        <f ca="1">IFERROR(__xludf.DUMMYFUNCTION("GOOGLETRANSLATE(A13366 , ""tr"" , ""en"")"),"@drfahrettinkoca you invested in the drugs and vaccines that do not wound the country's money ... Drug companies have rich ... ... https://t.co/gvgwg9hbe3")</f>
        <v>@drfahrettinkoca you invested in the drugs and vaccines that do not wound the country's money ... Drug companies have rich ... ... https://t.co/gvgwg9hbe3</v>
      </c>
    </row>
    <row r="16568" spans="1:5" ht="15" customHeight="1" x14ac:dyDescent="0.2">
      <c r="A16568" s="1" t="s">
        <v>32639</v>
      </c>
      <c r="B16568" s="1">
        <v>0</v>
      </c>
      <c r="C16568" s="3">
        <v>44520.775706018518</v>
      </c>
      <c r="D16568" s="1" t="s">
        <v>32640</v>
      </c>
      <c r="E16568" s="1" t="str">
        <f ca="1">IFERROR(__xludf.DUMMYFUNCTION("GOOGLETRANSLATE(A13367 , ""tr"" , ""en"")"),"@drfahrettinkoca sec. The Ministry Logic is disabled to take an example of our religion to our religion ... https://t.co/ovogqeo0qy")</f>
        <v>@drfahrettinkoca sec. The Ministry Logic is disabled to take an example of our religion to our religion ... https://t.co/ovogqeo0qy</v>
      </c>
    </row>
    <row r="16569" spans="1:5" ht="15" customHeight="1" x14ac:dyDescent="0.2">
      <c r="A16569" s="1" t="s">
        <v>32641</v>
      </c>
      <c r="B16569" s="1">
        <v>4</v>
      </c>
      <c r="C16569" s="3">
        <v>44520.775671296295</v>
      </c>
      <c r="D16569" s="1" t="s">
        <v>32642</v>
      </c>
      <c r="E16569" s="1" t="str">
        <f ca="1">IFERROR(__xludf.DUMMYFUNCTION("GOOGLETRANSLATE(A13368 , ""tr"" , ""en"")"),"@drfahrettinka amazement I'm astonished that there is no benefit of drugs given in treatment Milly ... https://t.co/qywh7valhg")</f>
        <v>@drfahrettinka amazement I'm astonished that there is no benefit of drugs given in treatment Milly ... https://t.co/qywh7valhg</v>
      </c>
    </row>
    <row r="16570" spans="1:5" ht="15" customHeight="1" x14ac:dyDescent="0.2">
      <c r="A16570" s="1" t="s">
        <v>32643</v>
      </c>
      <c r="B16570" s="1">
        <v>1</v>
      </c>
      <c r="C16570" s="3">
        <v>44520.77553240741</v>
      </c>
      <c r="D16570" s="1" t="s">
        <v>32644</v>
      </c>
      <c r="E16570" s="1" t="str">
        <f ca="1">IFERROR(__xludf.DUMMYFUNCTION("GOOGLETRANSLATE(A13369 , ""tr"" , ""en"")"),"@drfahrettinka You said you can't get to school, you couldn't work. You have forced the Constitution with the circular. A great ... https://t.co/Ixvunbnrvd")</f>
        <v>@drfahrettinka You said you can't get to school, you couldn't work. You have forced the Constitution with the circular. A great ... https://t.co/Ixvunbnrvd</v>
      </c>
    </row>
    <row r="16571" spans="1:5" ht="15" customHeight="1" x14ac:dyDescent="0.2">
      <c r="A16571" s="1" t="s">
        <v>32645</v>
      </c>
      <c r="B16571" s="1">
        <v>0</v>
      </c>
      <c r="C16571" s="3">
        <v>44520.774699074071</v>
      </c>
      <c r="D16571" s="1" t="s">
        <v>32646</v>
      </c>
      <c r="E16571" s="1" t="str">
        <f ca="1">IFERROR(__xludf.DUMMYFUNCTION("GOOGLETRANSLATE(A13370 , ""tr"" , ""en"")"),"@drfahrettinkoca Al Vehı Vaccine We want the vaccine of helpless families because of SMA. Didn't he get enough of you !!!")</f>
        <v>@drfahrettinkoca Al Vehı Vaccine We want the vaccine of helpless families because of SMA. Didn't he get enough of you !!!</v>
      </c>
    </row>
    <row r="16572" spans="1:5" ht="15" customHeight="1" x14ac:dyDescent="0.2">
      <c r="A16572" s="1" t="s">
        <v>32647</v>
      </c>
      <c r="B16572" s="1">
        <v>0</v>
      </c>
      <c r="C16572" s="3">
        <v>44520.774664351855</v>
      </c>
      <c r="D16572" s="1" t="s">
        <v>32648</v>
      </c>
      <c r="E16572" s="1" t="str">
        <f ca="1">IFERROR(__xludf.DUMMYFUNCTION("GOOGLETRANSLATE(A13371 , ""tr"" , ""en"")"),"@drfahrettinkoca conscientious doctors should now be visible without the future anxiety and given to the coronan dies ... https://t.co/IbqruwiI9m")</f>
        <v>@drfahrettinkoca conscientious doctors should now be visible without the future anxiety and given to the coronan dies ... https://t.co/IbqruwiI9m</v>
      </c>
    </row>
    <row r="16573" spans="1:5" ht="15" customHeight="1" x14ac:dyDescent="0.2">
      <c r="A16573" s="1" t="s">
        <v>32649</v>
      </c>
      <c r="B16573" s="1">
        <v>0</v>
      </c>
      <c r="C16573" s="3">
        <v>44520.773888888885</v>
      </c>
      <c r="D16573" s="1" t="s">
        <v>32650</v>
      </c>
      <c r="E16573" s="1" t="str">
        <f ca="1">IFERROR(__xludf.DUMMYFUNCTION("GOOGLETRANSLATE(A13372 , ""tr"" , ""en"")"),"Don't look @drfahrettinkoca. You have finished us.")</f>
        <v>Don't look @drfahrettinkoca. You have finished us.</v>
      </c>
    </row>
    <row r="16574" spans="1:5" ht="15" customHeight="1" x14ac:dyDescent="0.2">
      <c r="A16574" s="1" t="s">
        <v>32651</v>
      </c>
      <c r="B16574" s="1">
        <v>0</v>
      </c>
      <c r="C16574" s="3">
        <v>44520.773402777777</v>
      </c>
      <c r="D16574" s="1" t="s">
        <v>32652</v>
      </c>
      <c r="E16574" s="1" t="str">
        <f ca="1">IFERROR(__xludf.DUMMYFUNCTION("GOOGLETRANSLATE(A13373 , ""tr"" , ""en"")"),"@drfahrettinka vaccine is the rail paddies and see the spills of the spills still to see the vaccination is still in the war")</f>
        <v>@drfahrettinka vaccine is the rail paddies and see the spills of the spills still to see the vaccination is still in the war</v>
      </c>
    </row>
    <row r="16575" spans="1:5" ht="15" customHeight="1" x14ac:dyDescent="0.2">
      <c r="A16575" s="1" t="s">
        <v>32653</v>
      </c>
      <c r="B16575" s="1">
        <v>0</v>
      </c>
      <c r="C16575" s="3">
        <v>44520.772592592592</v>
      </c>
      <c r="D16575" s="1" t="s">
        <v>32654</v>
      </c>
      <c r="E16575" s="1" t="str">
        <f ca="1">IFERROR(__xludf.DUMMYFUNCTION("GOOGLETRANSLATE(A13374 , ""tr"" , ""en"")"),"@drfahrettinkoca Favophir e resembles the vaccine.")</f>
        <v>@drfahrettinkoca Favophir e resembles the vaccine.</v>
      </c>
    </row>
    <row r="16576" spans="1:5" ht="15" customHeight="1" x14ac:dyDescent="0.2">
      <c r="A16576" s="1" t="s">
        <v>32655</v>
      </c>
      <c r="B16576" s="1">
        <v>0</v>
      </c>
      <c r="C16576" s="3">
        <v>44520.772210648145</v>
      </c>
      <c r="D16576" s="1" t="s">
        <v>32656</v>
      </c>
      <c r="E16576" s="1" t="str">
        <f ca="1">IFERROR(__xludf.DUMMYFUNCTION("GOOGLETRANSLATE(A13375 , ""tr"" , ""en"")"),"@drfahrettinkoca 🤣🤣🤣🤣")</f>
        <v>@drfahrettinkoca 🤣🤣🤣🤣</v>
      </c>
    </row>
    <row r="16577" spans="1:5" ht="15" customHeight="1" x14ac:dyDescent="0.2">
      <c r="A16577" s="1" t="s">
        <v>32657</v>
      </c>
      <c r="B16577" s="1">
        <v>1</v>
      </c>
      <c r="C16577" s="3">
        <v>44520.771701388891</v>
      </c>
      <c r="D16577" s="1" t="s">
        <v>32658</v>
      </c>
      <c r="E16577" s="1" t="str">
        <f ca="1">IFERROR(__xludf.DUMMYFUNCTION("GOOGLETRANSLATE(A13376 , ""tr"" , ""en"")"),"@drfahrettinkoca no one asks why you and others are not even the only dose!")</f>
        <v>@drfahrettinkoca no one asks why you and others are not even the only dose!</v>
      </c>
    </row>
    <row r="16578" spans="1:5" ht="15" customHeight="1" x14ac:dyDescent="0.2">
      <c r="A16578" s="1" t="s">
        <v>32659</v>
      </c>
      <c r="B16578" s="1">
        <v>0</v>
      </c>
      <c r="C16578" s="3">
        <v>44520.769907407404</v>
      </c>
      <c r="D16578" s="1" t="s">
        <v>32660</v>
      </c>
      <c r="E16578" s="1" t="str">
        <f ca="1">IFERROR(__xludf.DUMMYFUNCTION("GOOGLETRANSLATE(A13377 , ""tr"" , ""en"")"),"@drfahrettinka https://t.co/Iu969lspwb")</f>
        <v>@drfahrettinka https://t.co/Iu969lspwb</v>
      </c>
    </row>
    <row r="16579" spans="1:5" ht="15" customHeight="1" x14ac:dyDescent="0.2">
      <c r="A16579" s="1" t="s">
        <v>32661</v>
      </c>
      <c r="B16579" s="1">
        <v>0</v>
      </c>
      <c r="C16579" s="3">
        <v>44520.769201388888</v>
      </c>
      <c r="D16579" s="1" t="s">
        <v>32662</v>
      </c>
      <c r="E16579" s="1" t="str">
        <f ca="1">IFERROR(__xludf.DUMMYFUNCTION("GOOGLETRANSLATE(A13378 , ""tr"" , ""en"")"),"@drfahrettinka The decision of the majority does not connect us.")</f>
        <v>@drfahrettinka The decision of the majority does not connect us.</v>
      </c>
    </row>
    <row r="16580" spans="1:5" ht="15" customHeight="1" x14ac:dyDescent="0.2">
      <c r="A16580" s="1" t="s">
        <v>32663</v>
      </c>
      <c r="B16580" s="1">
        <v>0</v>
      </c>
      <c r="C16580" s="3">
        <v>44520.766446759262</v>
      </c>
      <c r="D16580" s="1" t="s">
        <v>32664</v>
      </c>
      <c r="E16580" s="1" t="str">
        <f ca="1">IFERROR(__xludf.DUMMYFUNCTION("GOOGLETRANSLATE(A13379 , ""tr"" , ""en"")"),"@drfahrettinkoca yauw he he 🤭")</f>
        <v>@drfahrettinkoca yauw he he 🤭</v>
      </c>
    </row>
    <row r="16581" spans="1:5" ht="15" customHeight="1" x14ac:dyDescent="0.2">
      <c r="A16581" s="1" t="s">
        <v>32665</v>
      </c>
      <c r="B16581" s="1">
        <v>1</v>
      </c>
      <c r="C16581" s="3">
        <v>44520.766238425924</v>
      </c>
      <c r="D16581" s="1" t="s">
        <v>32666</v>
      </c>
      <c r="E16581" s="1" t="str">
        <f ca="1">IFERROR(__xludf.DUMMYFUNCTION("GOOGLETRANSLATE(A13380 , ""tr"" , ""en"")"),"@drfahrettinkoca can you also take your PCR as well, please!")</f>
        <v>@drfahrettinkoca can you also take your PCR as well, please!</v>
      </c>
    </row>
    <row r="16582" spans="1:5" ht="15" customHeight="1" x14ac:dyDescent="0.2">
      <c r="A16582" s="1" t="s">
        <v>32667</v>
      </c>
      <c r="B16582" s="1">
        <v>2</v>
      </c>
      <c r="C16582" s="3">
        <v>44520.766134259262</v>
      </c>
      <c r="D16582" s="1" t="s">
        <v>32668</v>
      </c>
      <c r="E16582" s="1" t="str">
        <f ca="1">IFERROR(__xludf.DUMMYFUNCTION("GOOGLETRANSLATE(A13381 , ""tr"" , ""en"")"),"@drfahrettinkoca How many vaccines of those who died in the vaccine? If you publish them in the clipboard, we will appreciate it only our Vaccine Minister of Vaccine")</f>
        <v>@drfahrettinkoca How many vaccines of those who died in the vaccine? If you publish them in the clipboard, we will appreciate it only our Vaccine Minister of Vaccine</v>
      </c>
    </row>
    <row r="16583" spans="1:5" ht="15" customHeight="1" x14ac:dyDescent="0.2">
      <c r="A16583" s="1" t="s">
        <v>32669</v>
      </c>
      <c r="B16583" s="1">
        <v>0</v>
      </c>
      <c r="C16583" s="3">
        <v>44520.766030092593</v>
      </c>
      <c r="D16583" s="1" t="s">
        <v>32670</v>
      </c>
      <c r="E16583" s="1" t="str">
        <f ca="1">IFERROR(__xludf.DUMMYFUNCTION("GOOGLETRANSLATE(A13382 , ""tr"" , ""en"")"),"@drfahrettinkoca yuh we are where yuhhhhh is now out of the word, it doesn't handle anything at all, you are really ... https://t.co/d2hzc9ae9o")</f>
        <v>@drfahrettinkoca yuh we are where yuhhhhh is now out of the word, it doesn't handle anything at all, you are really ... https://t.co/d2hzc9ae9o</v>
      </c>
    </row>
    <row r="16584" spans="1:5" ht="15" customHeight="1" x14ac:dyDescent="0.2">
      <c r="A16584" s="1" t="s">
        <v>32671</v>
      </c>
      <c r="B16584" s="1">
        <v>0</v>
      </c>
      <c r="C16584" s="3">
        <v>44520.765509259261</v>
      </c>
      <c r="D16584" s="1" t="s">
        <v>32672</v>
      </c>
      <c r="E16584" s="1" t="str">
        <f ca="1">IFERROR(__xludf.DUMMYFUNCTION("GOOGLETRANSLATE(A13383 , ""tr"" , ""en"")"),"@drfahrettinkoca sec. The Ministry is a prior to 18+ years ago on the map for 2 dose of 280% and the vaccines are ... https://t.co/850nd3oy5y")</f>
        <v>@drfahrettinkoca sec. The Ministry is a prior to 18+ years ago on the map for 2 dose of 280% and the vaccines are ... https://t.co/850nd3oy5y</v>
      </c>
    </row>
    <row r="16585" spans="1:5" ht="15" customHeight="1" x14ac:dyDescent="0.2">
      <c r="A16585" s="1" t="s">
        <v>32673</v>
      </c>
      <c r="B16585" s="1">
        <v>3</v>
      </c>
      <c r="C16585" s="3">
        <v>44520.764421296299</v>
      </c>
      <c r="D16585" s="1" t="s">
        <v>32674</v>
      </c>
      <c r="E16585" s="1" t="str">
        <f ca="1">IFERROR(__xludf.DUMMYFUNCTION("GOOGLETRANSLATE(A13384 , ""tr"" , ""en"")"),"@drfahrettinkoca who will call pardon https://t.co/GMSJYYIGT0")</f>
        <v>@drfahrettinkoca who will call pardon https://t.co/GMSJYYIGT0</v>
      </c>
    </row>
    <row r="16586" spans="1:5" ht="15" customHeight="1" x14ac:dyDescent="0.2">
      <c r="A16586" s="1" t="s">
        <v>32675</v>
      </c>
      <c r="B16586" s="1">
        <v>0</v>
      </c>
      <c r="C16586" s="3">
        <v>44520.764386574076</v>
      </c>
      <c r="D16586" s="1" t="s">
        <v>32676</v>
      </c>
      <c r="E16586" s="1" t="str">
        <f ca="1">IFERROR(__xludf.DUMMYFUNCTION("GOOGLETRANSLATE(A13385 , ""tr"" , ""en"")"),"@drfahrettinkoca is not enough for 50 million society immunity? Why the number of cases and deaths do not fall?")</f>
        <v>@drfahrettinkoca is not enough for 50 million society immunity? Why the number of cases and deaths do not fall?</v>
      </c>
    </row>
    <row r="16587" spans="1:5" ht="15" customHeight="1" x14ac:dyDescent="0.2">
      <c r="A16587" s="1" t="s">
        <v>32677</v>
      </c>
      <c r="B16587" s="1">
        <v>0</v>
      </c>
      <c r="C16587" s="3">
        <v>44520.763912037037</v>
      </c>
      <c r="D16587" s="1" t="s">
        <v>32678</v>
      </c>
      <c r="E16587" s="1" t="str">
        <f ca="1">IFERROR(__xludf.DUMMYFUNCTION("GOOGLETRANSLATE(A13386 , ""tr"" , ""en"")"),"@drfahrettinkoca yooo they should have been examples of our decision")</f>
        <v>@drfahrettinkoca yooo they should have been examples of our decision</v>
      </c>
    </row>
    <row r="16588" spans="1:5" ht="15" customHeight="1" x14ac:dyDescent="0.2">
      <c r="A16588" s="1" t="s">
        <v>32679</v>
      </c>
      <c r="B16588" s="1">
        <v>0</v>
      </c>
      <c r="C16588" s="3">
        <v>44520.763877314814</v>
      </c>
      <c r="D16588" s="1" t="s">
        <v>32680</v>
      </c>
      <c r="E16588" s="1" t="str">
        <f ca="1">IFERROR(__xludf.DUMMYFUNCTION("GOOGLETRANSLATE(A13387 , ""tr"" , ""en"")"),"@drfahrettinkoca 8 billion should take me to sample. That spending time is the root of 2 days.")</f>
        <v>@drfahrettinkoca 8 billion should take me to sample. That spending time is the root of 2 days.</v>
      </c>
    </row>
    <row r="16589" spans="1:5" ht="15" customHeight="1" x14ac:dyDescent="0.2">
      <c r="A16589" s="1" t="s">
        <v>32681</v>
      </c>
      <c r="B16589" s="1">
        <v>0</v>
      </c>
      <c r="C16589" s="3">
        <v>44520.763865740744</v>
      </c>
      <c r="D16589" s="1" t="s">
        <v>32682</v>
      </c>
      <c r="E16589" s="1" t="str">
        <f ca="1">IFERROR(__xludf.DUMMYFUNCTION("GOOGLETRANSLATE(A13388 , ""tr"" , ""en"")"),"@drfahrettinkoca we were to look at the majority of the majority every time we were going to look at it! Instead of investigating on a vital issue most ... https://t.co/3s8pumv888")</f>
        <v>@drfahrettinkoca we were to look at the majority of the majority every time we were going to look at it! Instead of investigating on a vital issue most ... https://t.co/3s8pumv888</v>
      </c>
    </row>
    <row r="16590" spans="1:5" ht="15" customHeight="1" x14ac:dyDescent="0.2">
      <c r="A16590" s="1" t="s">
        <v>32683</v>
      </c>
      <c r="B16590" s="1">
        <v>0</v>
      </c>
      <c r="C16590" s="3">
        <v>44520.762488425928</v>
      </c>
      <c r="D16590" s="1" t="s">
        <v>32684</v>
      </c>
      <c r="E16590" s="1" t="str">
        <f ca="1">IFERROR(__xludf.DUMMYFUNCTION("GOOGLETRANSLATE(A13389 , ""tr"" , ""en"")"),"@drfahrettinkoca Hani Health Running Officers Mr. Minister. https://t.co/6cy8gl9mmn")</f>
        <v>@drfahrettinkoca Hani Health Running Officers Mr. Minister. https://t.co/6cy8gl9mmn</v>
      </c>
    </row>
    <row r="16591" spans="1:5" ht="15" customHeight="1" x14ac:dyDescent="0.2">
      <c r="A16591" s="1" t="s">
        <v>32685</v>
      </c>
      <c r="B16591" s="1">
        <v>0</v>
      </c>
      <c r="C16591" s="3">
        <v>44520.761631944442</v>
      </c>
      <c r="D16591" s="1" t="s">
        <v>32686</v>
      </c>
      <c r="E16591" s="1" t="str">
        <f ca="1">IFERROR(__xludf.DUMMYFUNCTION("GOOGLETRANSLATE(A13390 , ""tr"" , ""en"")"),"@drfahrettinkoca fits the most of those found on the earth deviates you from the way of Allah; Because they are, but Zanna doors ... https://t.co/h1msbehyad")</f>
        <v>@drfahrettinkoca fits the most of those found on the earth deviates you from the way of Allah; Because they are, but Zanna doors ... https://t.co/h1msbehyad</v>
      </c>
    </row>
    <row r="16592" spans="1:5" ht="15" customHeight="1" x14ac:dyDescent="0.2">
      <c r="A16592" s="1" t="s">
        <v>10756</v>
      </c>
      <c r="B16592" s="1">
        <v>0</v>
      </c>
      <c r="C16592" s="3">
        <v>44520.761145833334</v>
      </c>
      <c r="D16592" s="1" t="s">
        <v>32687</v>
      </c>
      <c r="E16592" s="1" t="str">
        <f ca="1">IFERROR(__xludf.DUMMYFUNCTION("GOOGLETRANSLATE(A13391 , ""tr"" , ""en"")"),"@drfahrettinkoca yav he he")</f>
        <v>@drfahrettinkoca yav he he</v>
      </c>
    </row>
    <row r="16593" spans="1:5" ht="15" customHeight="1" x14ac:dyDescent="0.2">
      <c r="A16593" s="1" t="s">
        <v>32688</v>
      </c>
      <c r="B16593" s="1">
        <v>4</v>
      </c>
      <c r="C16593" s="3">
        <v>44520.76017361111</v>
      </c>
      <c r="D16593" s="1" t="s">
        <v>32689</v>
      </c>
      <c r="E16593" s="1" t="str">
        <f ca="1">IFERROR(__xludf.DUMMYFUNCTION("GOOGLETRANSLATE(A13392 , ""tr"" , ""en"")"),"@drfahrettinkoca 📖 If you adhere to most of the earth, they deflect you from the way of Allah. They but za ... https://t.co/jtj8mrrhki")</f>
        <v>@drfahrettinkoca 📖 If you adhere to most of the earth, they deflect you from the way of Allah. They but za ... https://t.co/jtj8mrrhki</v>
      </c>
    </row>
    <row r="16594" spans="1:5" ht="15" customHeight="1" x14ac:dyDescent="0.2">
      <c r="A16594" s="1" t="s">
        <v>32690</v>
      </c>
      <c r="B16594" s="1">
        <v>0</v>
      </c>
      <c r="C16594" s="3">
        <v>44520.760057870371</v>
      </c>
      <c r="D16594" s="1" t="s">
        <v>32691</v>
      </c>
      <c r="E16594" s="1" t="str">
        <f ca="1">IFERROR(__xludf.DUMMYFUNCTION("GOOGLETRANSLATE(A13393 , ""tr"" , ""en"")"),"@drfahrettinkoca After this time I'm sick of imposing vaccines.")</f>
        <v>@drfahrettinkoca After this time I'm sick of imposing vaccines.</v>
      </c>
    </row>
    <row r="16595" spans="1:5" ht="15" customHeight="1" x14ac:dyDescent="0.2">
      <c r="A16595" s="1" t="s">
        <v>32692</v>
      </c>
      <c r="B16595" s="1">
        <v>0</v>
      </c>
      <c r="C16595" s="3">
        <v>44520.759363425925</v>
      </c>
      <c r="D16595" s="1" t="s">
        <v>32693</v>
      </c>
      <c r="E16595" s="1" t="str">
        <f ca="1">IFERROR(__xludf.DUMMYFUNCTION("GOOGLETRANSLATE(A13394 , ""tr"" , ""en"")"),"@drfahrettinkoca hungry KALICAZ We have made an announcement of our Minister of Health 😉 We have not obliged to be our own request and desire")</f>
        <v>@drfahrettinkoca hungry KALICAZ We have made an announcement of our Minister of Health 😉 We have not obliged to be our own request and desire</v>
      </c>
    </row>
    <row r="16596" spans="1:5" ht="15" customHeight="1" x14ac:dyDescent="0.2">
      <c r="A16596" s="1" t="s">
        <v>32694</v>
      </c>
      <c r="B16596" s="1">
        <v>0</v>
      </c>
      <c r="C16596" s="3">
        <v>44520.758148148147</v>
      </c>
      <c r="D16596" s="1" t="s">
        <v>32695</v>
      </c>
      <c r="E16596" s="1" t="str">
        <f ca="1">IFERROR(__xludf.DUMMYFUNCTION("GOOGLETRANSLATE(A13395 , ""tr"" , ""en"")"),"@drfahrettinkoca is still so much case after this is so much cases.")</f>
        <v>@drfahrettinkoca is still so much case after this is so much cases.</v>
      </c>
    </row>
    <row r="16597" spans="1:5" ht="15" customHeight="1" x14ac:dyDescent="0.2">
      <c r="A16597" s="1" t="s">
        <v>32696</v>
      </c>
      <c r="B16597" s="1">
        <v>0</v>
      </c>
      <c r="C16597" s="3">
        <v>44520.758043981485</v>
      </c>
      <c r="D16597" s="1" t="s">
        <v>32697</v>
      </c>
      <c r="E16597" s="1" t="str">
        <f ca="1">IFERROR(__xludf.DUMMYFUNCTION("GOOGLETRANSLATE(A13396 , ""tr"" , ""en"")"),"@drfahrettinkoca pfizer vaccine to ensure that this experimental liquid data is confidential until 2076. HTTPS://T.CO/1KWIFBPH4A")</f>
        <v>@drfahrettinkoca pfizer vaccine to ensure that this experimental liquid data is confidential until 2076. HTTPS://T.CO/1KWIFBPH4A</v>
      </c>
    </row>
    <row r="16598" spans="1:5" ht="15" customHeight="1" x14ac:dyDescent="0.2">
      <c r="A16598" s="1" t="s">
        <v>32698</v>
      </c>
      <c r="B16598" s="1">
        <v>4</v>
      </c>
      <c r="C16598" s="3">
        <v>44520.757997685185</v>
      </c>
      <c r="D16598" s="1" t="s">
        <v>32699</v>
      </c>
      <c r="E16598" s="1" t="str">
        <f ca="1">IFERROR(__xludf.DUMMYFUNCTION("GOOGLETRANSLATE(A13397 , ""tr"" , ""en"")"),"@drfahrettinka so my minister after my vaccine is the quality of life fell after the 3 stairs goes on my joints when my joints ... https://t.co/unxxbmrexg")</f>
        <v>@drfahrettinka so my minister after my vaccine is the quality of life fell after the 3 stairs goes on my joints when my joints ... https://t.co/unxxbmrexg</v>
      </c>
    </row>
    <row r="16599" spans="1:5" ht="15" customHeight="1" x14ac:dyDescent="0.2">
      <c r="A16599" s="1" t="s">
        <v>32700</v>
      </c>
      <c r="B16599" s="1">
        <v>0</v>
      </c>
      <c r="C16599" s="3">
        <v>44520.757962962962</v>
      </c>
      <c r="D16599" s="1" t="s">
        <v>32701</v>
      </c>
      <c r="E16599" s="1" t="str">
        <f ca="1">IFERROR(__xludf.DUMMYFUNCTION("GOOGLETRANSLATE(A13398 , ""tr"" , ""en"")"),"@drfahrettinkoca Well every day is going to 200 but no restrictions # we die")</f>
        <v>@drfahrettinkoca Well every day is going to 200 but no restrictions # we die</v>
      </c>
    </row>
    <row r="16600" spans="1:5" ht="15" customHeight="1" x14ac:dyDescent="0.2">
      <c r="A16600" s="1" t="s">
        <v>32702</v>
      </c>
      <c r="B16600" s="1">
        <v>1</v>
      </c>
      <c r="C16600" s="3">
        <v>44520.757928240739</v>
      </c>
      <c r="D16600" s="1" t="s">
        <v>32703</v>
      </c>
      <c r="E16600" s="1" t="str">
        <f ca="1">IFERROR(__xludf.DUMMYFUNCTION("GOOGLETRANSLATE(A13399 , ""tr"" , ""en"")"),"@drfahrettinka ""the number of those who have to have two dose of overdose"" is your pattern. More morals would be an appropriate movement ... https://t.co/qukvygorlb")</f>
        <v>@drfahrettinka "the number of those who have to have two dose of overdose" is your pattern. More morals would be an appropriate movement ... https://t.co/qukvygorlb</v>
      </c>
    </row>
    <row r="16601" spans="1:5" ht="15" customHeight="1" x14ac:dyDescent="0.2">
      <c r="A16601" s="1" t="s">
        <v>32704</v>
      </c>
      <c r="B16601" s="1">
        <v>0</v>
      </c>
      <c r="C16601" s="3">
        <v>44520.756273148145</v>
      </c>
      <c r="D16601" s="1" t="s">
        <v>32705</v>
      </c>
      <c r="E16601" s="1" t="str">
        <f ca="1">IFERROR(__xludf.DUMMYFUNCTION("GOOGLETRANSLATE(A13400 , ""tr"" , ""en"")"),"@drfahrettinkoca @drfahrettinkoca Mr. Ministry I would like to circumcise my child in Ankara But which hospital look ... https://t.co/tspczgibd7")</f>
        <v>@drfahrettinkoca @drfahrettinkoca Mr. Ministry I would like to circumcise my child in Ankara But which hospital look ... https://t.co/tspczgibd7</v>
      </c>
    </row>
    <row r="16602" spans="1:5" ht="15" customHeight="1" x14ac:dyDescent="0.2">
      <c r="A16602" s="1" t="s">
        <v>32706</v>
      </c>
      <c r="B16602" s="1">
        <v>4</v>
      </c>
      <c r="C16602" s="3">
        <v>44520.755960648145</v>
      </c>
      <c r="D16602" s="1" t="s">
        <v>32707</v>
      </c>
      <c r="E16602" s="1" t="str">
        <f ca="1">IFERROR(__xludf.DUMMYFUNCTION("GOOGLETRANSLATE(A13401 , ""tr"" , ""en"")"),"@drfahrettinkoca ÇhoppunGun Sample cannot be sampled that it cannot be vaccinated by frightening. Each s ... https://t.co/EVRLSBSIU7")</f>
        <v>@drfahrettinkoca ÇhoppunGun Sample cannot be sampled that it cannot be vaccinated by frightening. Each s ... https://t.co/EVRLSBSIU7</v>
      </c>
    </row>
    <row r="16603" spans="1:5" ht="15" customHeight="1" x14ac:dyDescent="0.2">
      <c r="A16603" s="1" t="s">
        <v>32708</v>
      </c>
      <c r="B16603" s="1">
        <v>0</v>
      </c>
      <c r="C16603" s="3">
        <v>44520.755324074074</v>
      </c>
      <c r="D16603" s="1" t="s">
        <v>32709</v>
      </c>
      <c r="E16603" s="1" t="str">
        <f ca="1">IFERROR(__xludf.DUMMYFUNCTION("GOOGLETRANSLATE(A13402 , ""tr"" , ""en"")"),"@drfahrettinkoca What will it save us to get the human rights so feet? A right to comply with the majority ... https://t.co/fgtfakcxxt")</f>
        <v>@drfahrettinkoca What will it save us to get the human rights so feet? A right to comply with the majority ... https://t.co/fgtfakcxxt</v>
      </c>
    </row>
    <row r="16604" spans="1:5" ht="15" customHeight="1" x14ac:dyDescent="0.2">
      <c r="A16604" s="1" t="s">
        <v>32710</v>
      </c>
      <c r="B16604" s="1">
        <v>0</v>
      </c>
      <c r="C16604" s="3">
        <v>44520.755266203705</v>
      </c>
      <c r="D16604" s="1" t="s">
        <v>32711</v>
      </c>
      <c r="E16604" s="1" t="str">
        <f ca="1">IFERROR(__xludf.DUMMYFUNCTION("GOOGLETRANSLATE(A13403 , ""tr"" , ""en"")"),"And @drfahrettinkoca Well, why does the mortality rate fall down to why?")</f>
        <v>And @drfahrettinkoca Well, why does the mortality rate fall down to why?</v>
      </c>
    </row>
    <row r="16605" spans="1:5" ht="15" customHeight="1" x14ac:dyDescent="0.2">
      <c r="A16605" s="1" t="s">
        <v>32712</v>
      </c>
      <c r="B16605" s="1">
        <v>2</v>
      </c>
      <c r="C16605" s="3">
        <v>44520.754652777781</v>
      </c>
      <c r="D16605" s="1" t="s">
        <v>32713</v>
      </c>
      <c r="E16605" s="1" t="str">
        <f ca="1">IFERROR(__xludf.DUMMYFUNCTION("GOOGLETRANSLATE(A13404 , ""tr"" , ""en"")"),"@drfahrettinka Mr. Ministry of 5 pounds in the price of 5 pounds of tin oil?")</f>
        <v>@drfahrettinka Mr. Ministry of 5 pounds in the price of 5 pounds of tin oil?</v>
      </c>
    </row>
    <row r="16606" spans="1:5" ht="15" customHeight="1" x14ac:dyDescent="0.2">
      <c r="A16606" s="1" t="s">
        <v>32714</v>
      </c>
      <c r="B16606" s="1">
        <v>1</v>
      </c>
      <c r="C16606" s="3">
        <v>44520.753750000003</v>
      </c>
      <c r="D16606" s="1" t="s">
        <v>32715</v>
      </c>
      <c r="E16606" s="1" t="str">
        <f ca="1">IFERROR(__xludf.DUMMYFUNCTION("GOOGLETRANSLATE(A13405 , ""tr"" , ""en"")"),"@drfahrettinka https://t.co/ej9bhleuom")</f>
        <v>@drfahrettinka https://t.co/ej9bhleuom</v>
      </c>
    </row>
    <row r="16607" spans="1:5" ht="15" customHeight="1" x14ac:dyDescent="0.2">
      <c r="A16607" s="1" t="s">
        <v>32716</v>
      </c>
      <c r="B16607" s="1">
        <v>0</v>
      </c>
      <c r="C16607" s="3">
        <v>44520.75372685185</v>
      </c>
      <c r="D16607" s="1" t="s">
        <v>32717</v>
      </c>
      <c r="E16607" s="1" t="str">
        <f ca="1">IFERROR(__xludf.DUMMYFUNCTION("GOOGLETRANSLATE(A13406 , ""tr"" , ""en"")"),"@drfahrettinka says 60%! Everything you say is lying, scam! https://t.co/Iegaq960ba")</f>
        <v>@drfahrettinka says 60%! Everything you say is lying, scam! https://t.co/Iegaq960ba</v>
      </c>
    </row>
    <row r="16608" spans="1:5" ht="15" customHeight="1" x14ac:dyDescent="0.2">
      <c r="A16608" s="1" t="s">
        <v>32718</v>
      </c>
      <c r="B16608" s="1">
        <v>0</v>
      </c>
      <c r="C16608" s="3">
        <v>44520.753136574072</v>
      </c>
      <c r="D16608" s="1" t="s">
        <v>32719</v>
      </c>
      <c r="E16608" s="1" t="str">
        <f ca="1">IFERROR(__xludf.DUMMYFUNCTION("GOOGLETRANSLATE(A13407 , ""tr"" , ""en"")"),"@drfahrettinkoca 1 though in 1 person, it is correct correct !!! https://t.co/yysdkcffuh")</f>
        <v>@drfahrettinkoca 1 though in 1 person, it is correct correct !!! https://t.co/yysdkcffuh</v>
      </c>
    </row>
    <row r="16609" spans="1:5" ht="15" customHeight="1" x14ac:dyDescent="0.2">
      <c r="A16609" s="1" t="s">
        <v>32720</v>
      </c>
      <c r="B16609" s="1">
        <v>0</v>
      </c>
      <c r="C16609" s="3">
        <v>44520.753067129626</v>
      </c>
      <c r="D16609" s="1" t="s">
        <v>32721</v>
      </c>
      <c r="E16609" s="1" t="str">
        <f ca="1">IFERROR(__xludf.DUMMYFUNCTION("GOOGLETRANSLATE(A13408 , ""tr"" , ""en"")"),"@drfahrettinkoca victim event my current vaccine event let's come to the guide please or no mental health left. Please say ...")</f>
        <v>@drfahrettinkoca victim event my current vaccine event let's come to the guide please or no mental health left. Please say ...</v>
      </c>
    </row>
    <row r="16610" spans="1:5" ht="15" customHeight="1" x14ac:dyDescent="0.2">
      <c r="A16610" s="1" t="s">
        <v>32722</v>
      </c>
      <c r="B16610" s="1">
        <v>0</v>
      </c>
      <c r="C16610" s="3">
        <v>44520.751701388886</v>
      </c>
      <c r="D16610" s="1" t="s">
        <v>32723</v>
      </c>
      <c r="E16610" s="1" t="str">
        <f ca="1">IFERROR(__xludf.DUMMYFUNCTION("GOOGLETRANSLATE(A13409 , ""tr"" , ""en"")"),"@drfahrettinkoca We'll take you to sample You get us a sample Ozaman Your actions are important in our actions ... https://t.co/wiclcw6q27")</f>
        <v>@drfahrettinkoca We'll take you to sample You get us a sample Ozaman Your actions are important in our actions ... https://t.co/wiclcw6q27</v>
      </c>
    </row>
    <row r="16611" spans="1:5" ht="15" customHeight="1" x14ac:dyDescent="0.2">
      <c r="A16611" s="1" t="s">
        <v>32724</v>
      </c>
      <c r="B16611" s="1">
        <v>0</v>
      </c>
      <c r="C16611" s="3">
        <v>44520.751122685186</v>
      </c>
      <c r="D16611" s="1" t="s">
        <v>32725</v>
      </c>
      <c r="E16611" s="1" t="str">
        <f ca="1">IFERROR(__xludf.DUMMYFUNCTION("GOOGLETRANSLATE(A13410 , ""tr"" , ""en"")"),"@drfahrettinka Included in international institutions and organizations taken in organizations, domestic law and the Republic of Turkey ... https://t.co/q4rw4xsbzw")</f>
        <v>@drfahrettinka Included in international institutions and organizations taken in organizations, domestic law and the Republic of Turkey ... https://t.co/q4rw4xsbzw</v>
      </c>
    </row>
    <row r="16612" spans="1:5" ht="15" customHeight="1" x14ac:dyDescent="0.2">
      <c r="A16612" s="1" t="s">
        <v>32726</v>
      </c>
      <c r="B16612" s="1">
        <v>0</v>
      </c>
      <c r="C16612" s="3">
        <v>44520.750694444447</v>
      </c>
      <c r="D16612" s="1" t="s">
        <v>32727</v>
      </c>
      <c r="E16612" s="1" t="str">
        <f ca="1">IFERROR(__xludf.DUMMYFUNCTION("GOOGLETRANSLATE(A13411 , ""tr"" , ""en"")"),"@drfahrettinkoca bi go from our head")</f>
        <v>@drfahrettinkoca bi go from our head</v>
      </c>
    </row>
    <row r="16613" spans="1:5" ht="15" customHeight="1" x14ac:dyDescent="0.2">
      <c r="A16613" s="1" t="s">
        <v>32728</v>
      </c>
      <c r="B16613" s="1">
        <v>1</v>
      </c>
      <c r="C16613" s="3">
        <v>44520.750243055554</v>
      </c>
      <c r="D16613" s="1" t="s">
        <v>32729</v>
      </c>
      <c r="E16613" s="1" t="str">
        <f ca="1">IFERROR(__xludf.DUMMYFUNCTION("GOOGLETRANSLATE(A13412 , ""tr"" , ""en"")"),"@drfahrettinkoca Some countries have made all kinds of restrictions on women. Cafes and did not put in restaurants, collective enabled ... https://t.co/5xakxe3mhp")</f>
        <v>@drfahrettinkoca Some countries have made all kinds of restrictions on women. Cafes and did not put in restaurants, collective enabled ... https://t.co/5xakxe3mhp</v>
      </c>
    </row>
    <row r="16614" spans="1:5" ht="15" customHeight="1" x14ac:dyDescent="0.2">
      <c r="A16614" s="1" t="s">
        <v>32730</v>
      </c>
      <c r="B16614" s="1">
        <v>0</v>
      </c>
      <c r="C16614" s="3">
        <v>44520.750138888892</v>
      </c>
      <c r="D16614" s="1" t="s">
        <v>32731</v>
      </c>
      <c r="E16614" s="1" t="str">
        <f ca="1">IFERROR(__xludf.DUMMYFUNCTION("GOOGLETRANSLATE(A13413 , ""tr"" , ""en"")"),"@drfahrettinkoca Mr. Minister Our Minister is the authority that you are brought to us to do what is useful in your authority ... https://t.co/6bnpjuluooj")</f>
        <v>@drfahrettinkoca Mr. Minister Our Minister is the authority that you are brought to us to do what is useful in your authority ... https://t.co/6bnpjuluooj</v>
      </c>
    </row>
    <row r="16615" spans="1:5" ht="15" customHeight="1" x14ac:dyDescent="0.2">
      <c r="A16615" s="1" t="s">
        <v>32732</v>
      </c>
      <c r="B16615" s="1">
        <v>0</v>
      </c>
      <c r="C16615" s="3">
        <v>44520.749918981484</v>
      </c>
      <c r="D16615" s="1" t="s">
        <v>32733</v>
      </c>
      <c r="E16615" s="1" t="str">
        <f ca="1">IFERROR(__xludf.DUMMYFUNCTION("GOOGLETRANSLATE(A13414 , ""tr"" , ""en"")"),"@drfahrettinkoca Sayin Looking At N'de Cash Cockadard Ceiling and Her Ramen Prohibitions While No Vaccination Overlooking Vaccination ... https://t.co/sfeevft0qd")</f>
        <v>@drfahrettinkoca Sayin Looking At N'de Cash Cockadard Ceiling and Her Ramen Prohibitions While No Vaccination Overlooking Vaccination ... https://t.co/sfeevft0qd</v>
      </c>
    </row>
    <row r="16616" spans="1:5" ht="15" customHeight="1" x14ac:dyDescent="0.2">
      <c r="A16616" s="1" t="s">
        <v>32734</v>
      </c>
      <c r="B16616" s="1">
        <v>0</v>
      </c>
      <c r="C16616" s="3">
        <v>44520.749444444446</v>
      </c>
      <c r="D16616" s="1" t="s">
        <v>32735</v>
      </c>
      <c r="E16616" s="1" t="str">
        <f ca="1">IFERROR(__xludf.DUMMYFUNCTION("GOOGLETRANSLATE(A13415 , ""tr"" , ""en"")"),"@drfahrettinkoca 👇👇👇👇👇 This is also aware of the doctors.")</f>
        <v>@drfahrettinkoca 👇👇👇👇👇 This is also aware of the doctors.</v>
      </c>
    </row>
    <row r="16617" spans="1:5" ht="15" customHeight="1" x14ac:dyDescent="0.2">
      <c r="A16617" s="1" t="s">
        <v>32736</v>
      </c>
      <c r="B16617" s="1">
        <v>0</v>
      </c>
      <c r="C16617" s="3">
        <v>44520.749212962961</v>
      </c>
      <c r="D16617" s="1" t="s">
        <v>32737</v>
      </c>
      <c r="E16617" s="1" t="str">
        <f ca="1">IFERROR(__xludf.DUMMYFUNCTION("GOOGLETRANSLATE(A13416 , ""tr"" , ""en"")"),"@drfahrettinkoca you could not have been forcibly useful with a useful vaccine .... What a pity …. The main law says Dear Society's community health ... https://t.co/ecl7kfleyt")</f>
        <v>@drfahrettinkoca you could not have been forcibly useful with a useful vaccine .... What a pity …. The main law says Dear Society's community health ... https://t.co/ecl7kfleyt</v>
      </c>
    </row>
    <row r="16618" spans="1:5" ht="15" customHeight="1" x14ac:dyDescent="0.2">
      <c r="A16618" s="1" t="s">
        <v>32738</v>
      </c>
      <c r="B16618" s="1">
        <v>0</v>
      </c>
      <c r="C16618" s="3">
        <v>44520.748020833336</v>
      </c>
      <c r="D16618" s="1" t="s">
        <v>32739</v>
      </c>
      <c r="E16618" s="1" t="str">
        <f ca="1">IFERROR(__xludf.DUMMYFUNCTION("GOOGLETRANSLATE(A13417 , ""tr"" , ""en"")"),"@drfahrettinkoca I would like to leave the vaccine discussion and make your vaccines, no health jokes that have no matter that ... https://t.co/eyrplunpke")</f>
        <v>@drfahrettinkoca I would like to leave the vaccine discussion and make your vaccines, no health jokes that have no matter that ... https://t.co/eyrplunpke</v>
      </c>
    </row>
    <row r="16619" spans="1:5" ht="15" customHeight="1" x14ac:dyDescent="0.2">
      <c r="A16619" s="1" t="s">
        <v>32740</v>
      </c>
      <c r="B16619" s="1">
        <v>0</v>
      </c>
      <c r="C16619" s="3">
        <v>44520.747812499998</v>
      </c>
      <c r="D16619" s="1" t="s">
        <v>32741</v>
      </c>
      <c r="E16619" s="1" t="str">
        <f ca="1">IFERROR(__xludf.DUMMYFUNCTION("GOOGLETRANSLATE(A13418 , ""tr"" , ""en"")"),"@drfahrettinkoca Your favipiravir drugs you have gave up to your vebali neck of the people who killed.")</f>
        <v>@drfahrettinkoca Your favipiravir drugs you have gave up to your vebali neck of the people who killed.</v>
      </c>
    </row>
    <row r="16620" spans="1:5" ht="15" customHeight="1" x14ac:dyDescent="0.2">
      <c r="A16620" s="1" t="s">
        <v>32742</v>
      </c>
      <c r="B16620" s="1">
        <v>0</v>
      </c>
      <c r="C16620" s="3">
        <v>44520.747430555559</v>
      </c>
      <c r="D16620" s="1" t="s">
        <v>32743</v>
      </c>
      <c r="E16620" s="1" t="str">
        <f ca="1">IFERROR(__xludf.DUMMYFUNCTION("GOOGLETRANSLATE(A13419 , ""tr"" , ""en"")"),"@drfahrettinkoca guy I haven't fooled you or the journal of the jogging that says don't make love in love.")</f>
        <v>@drfahrettinkoca guy I haven't fooled you or the journal of the jogging that says don't make love in love.</v>
      </c>
    </row>
    <row r="16621" spans="1:5" ht="15" customHeight="1" x14ac:dyDescent="0.2">
      <c r="A16621" s="1" t="s">
        <v>32744</v>
      </c>
      <c r="B16621" s="1">
        <v>0</v>
      </c>
      <c r="C16621" s="3">
        <v>44520.746886574074</v>
      </c>
      <c r="D16621" s="1" t="s">
        <v>32745</v>
      </c>
      <c r="E16621" s="1" t="str">
        <f ca="1">IFERROR(__xludf.DUMMYFUNCTION("GOOGLETRANSLATE(A13420 , ""tr"" , ""en"")"),"@drfahrettinkoca You see the harm and stop the people, prohibitions, masks, follow-up applications Even though the people are relaxed in the folks")</f>
        <v>@drfahrettinkoca You see the harm and stop the people, prohibitions, masks, follow-up applications Even though the people are relaxed in the folks</v>
      </c>
    </row>
    <row r="16622" spans="1:5" ht="15" customHeight="1" x14ac:dyDescent="0.2">
      <c r="A16622" s="1" t="s">
        <v>32746</v>
      </c>
      <c r="B16622" s="1">
        <v>0</v>
      </c>
      <c r="C16622" s="3">
        <v>44520.746886574074</v>
      </c>
      <c r="D16622" s="1" t="s">
        <v>32747</v>
      </c>
      <c r="E16622" s="1" t="str">
        <f ca="1">IFERROR(__xludf.DUMMYFUNCTION("GOOGLETRANSLATE(A13421 , ""tr"" , ""en"")"),"@drfahrettinkoca O was the vaccine for the big part of 50 million. Not with their own will.")</f>
        <v>@drfahrettinkoca O was the vaccine for the big part of 50 million. Not with their own will.</v>
      </c>
    </row>
    <row r="16623" spans="1:5" ht="15" customHeight="1" x14ac:dyDescent="0.2">
      <c r="A16623" s="1" t="s">
        <v>31826</v>
      </c>
      <c r="B16623" s="1">
        <v>0</v>
      </c>
      <c r="C16623" s="3">
        <v>44520.74622685185</v>
      </c>
      <c r="D16623" s="1" t="s">
        <v>32748</v>
      </c>
      <c r="E16623" s="1" t="str">
        <f ca="1">IFERROR(__xludf.DUMMYFUNCTION("GOOGLETRANSLATE(A13422 , ""tr"" , ""en"")"),"@drfahrettinkoca Ministry of Statistics As for the center assignment as @saglikbakanligi @rterdogan @tccbiko @tccbiko @iletisim")</f>
        <v>@drfahrettinkoca Ministry of Statistics As for the center assignment as @saglikbakanligi @rterdogan @tccbiko @tccbiko @iletisim</v>
      </c>
    </row>
    <row r="16624" spans="1:5" ht="15" customHeight="1" x14ac:dyDescent="0.2">
      <c r="A16624" s="1" t="s">
        <v>32749</v>
      </c>
      <c r="B16624" s="1">
        <v>0</v>
      </c>
      <c r="C16624" s="3">
        <v>44520.746030092596</v>
      </c>
      <c r="D16624" s="1" t="s">
        <v>32750</v>
      </c>
      <c r="E16624" s="1" t="str">
        <f ca="1">IFERROR(__xludf.DUMMYFUNCTION("GOOGLETRANSLATE(A13423 , ""tr"" , ""en"")"),"@drfahrettinkoca Ozaman Society Immunities are formed more What you insist on ... Don't you be at your disposal anyone resign ...")</f>
        <v>@drfahrettinkoca Ozaman Society Immunities are formed more What you insist on ... Don't you be at your disposal anyone resign ...</v>
      </c>
    </row>
    <row r="16625" spans="1:5" ht="15" customHeight="1" x14ac:dyDescent="0.2">
      <c r="A16625" s="1" t="s">
        <v>32751</v>
      </c>
      <c r="B16625" s="1">
        <v>1</v>
      </c>
      <c r="C16625" s="3">
        <v>44520.745821759258</v>
      </c>
      <c r="D16625" s="1" t="s">
        <v>32752</v>
      </c>
      <c r="E16625" s="1" t="str">
        <f ca="1">IFERROR(__xludf.DUMMYFUNCTION("GOOGLETRANSLATE(A13424 , ""tr"" , ""en"")"),"@drfahrettinkoca is 99,999999999999999999999999 I hope I will not be. And these fake epidemics will not end new ... https://t.co/yxoaovw8e9")</f>
        <v>@drfahrettinkoca is 99,999999999999999999999999 I hope I will not be. And these fake epidemics will not end new ... https://t.co/yxoaovw8e9</v>
      </c>
    </row>
    <row r="16626" spans="1:5" ht="15" customHeight="1" x14ac:dyDescent="0.2">
      <c r="A16626" s="1" t="s">
        <v>32753</v>
      </c>
      <c r="B16626" s="1">
        <v>1</v>
      </c>
      <c r="C16626" s="3">
        <v>44520.745694444442</v>
      </c>
      <c r="D16626" s="1" t="s">
        <v>32754</v>
      </c>
      <c r="E16626" s="1" t="str">
        <f ca="1">IFERROR(__xludf.DUMMYFUNCTION("GOOGLETRANSLATE(A13425 , ""tr"" , ""en"")"),"@drfahrettinkoca nation is not chosen to the asset and efficiency in the country without being asked to the nation ... https://t.co/ck9drgljmt")</f>
        <v>@drfahrettinkoca nation is not chosen to the asset and efficiency in the country without being asked to the nation ... https://t.co/ck9drgljmt</v>
      </c>
    </row>
    <row r="16627" spans="1:5" ht="15" customHeight="1" x14ac:dyDescent="0.2">
      <c r="A16627" s="1" t="s">
        <v>32755</v>
      </c>
      <c r="B16627" s="1">
        <v>0</v>
      </c>
      <c r="C16627" s="3">
        <v>44520.745486111111</v>
      </c>
      <c r="D16627" s="1" t="s">
        <v>32756</v>
      </c>
      <c r="E16627" s="1" t="str">
        <f ca="1">IFERROR(__xludf.DUMMYFUNCTION("GOOGLETRANSLATE(A13426 , ""tr"" , ""en"")"),"@drfahrettinkoca 2 has been positive 2 dose of mothers and dads were positive in my brother with 2 dose biontech ... https://t.co/cowy5z9fdh")</f>
        <v>@drfahrettinkoca 2 has been positive 2 dose of mothers and dads were positive in my brother with 2 dose biontech ... https://t.co/cowy5z9fdh</v>
      </c>
    </row>
    <row r="16628" spans="1:5" ht="15" customHeight="1" x14ac:dyDescent="0.2">
      <c r="A16628" s="1" t="s">
        <v>32757</v>
      </c>
      <c r="B16628" s="1">
        <v>0</v>
      </c>
      <c r="C16628" s="3">
        <v>44520.745428240742</v>
      </c>
      <c r="D16628" s="1" t="s">
        <v>32758</v>
      </c>
      <c r="E16628" s="1" t="str">
        <f ca="1">IFERROR(__xludf.DUMMYFUNCTION("GOOGLETRANSLATE(A13427 , ""tr"" , ""en"")"),"@drfahrettinkoca nation's confidence in you is decreasing. Because scientific, proved, all you say, every ... https://t.co/liyy5qjxwy")</f>
        <v>@drfahrettinkoca nation's confidence in you is decreasing. Because scientific, proved, all you say, every ... https://t.co/liyy5qjxwy</v>
      </c>
    </row>
    <row r="16629" spans="1:5" ht="15" customHeight="1" x14ac:dyDescent="0.2">
      <c r="A16629" s="1" t="s">
        <v>32759</v>
      </c>
      <c r="B16629" s="1">
        <v>2</v>
      </c>
      <c r="C16629" s="3">
        <v>44520.745196759257</v>
      </c>
      <c r="D16629" s="1" t="s">
        <v>32760</v>
      </c>
      <c r="E16629" s="1" t="str">
        <f ca="1">IFERROR(__xludf.DUMMYFUNCTION("GOOGLETRANSLATE(A13428 , ""tr"" , ""en"")"),"@drfahrettinkoca You don't worry that you will be like Sinovac Hydroxycrookin and Favipiravir in the vaccines you have marketed; INEFFECTIVE.")</f>
        <v>@drfahrettinkoca You don't worry that you will be like Sinovac Hydroxycrookin and Favipiravir in the vaccines you have marketed; INEFFECTIVE.</v>
      </c>
    </row>
    <row r="16630" spans="1:5" ht="15" customHeight="1" x14ac:dyDescent="0.2">
      <c r="A16630" s="1" t="s">
        <v>32761</v>
      </c>
      <c r="B16630" s="1">
        <v>59</v>
      </c>
      <c r="C16630" s="3">
        <v>44520.744560185187</v>
      </c>
      <c r="D16630" s="1" t="s">
        <v>32762</v>
      </c>
      <c r="E16630" s="1" t="str">
        <f ca="1">IFERROR(__xludf.DUMMYFUNCTION("GOOGLETRANSLATE(A13429 , ""tr"" , ""en"")"),"@drfahrettinkoca Threats with the bread with your job with 50 million people and forcibly exceeded, you are their iradel ... https://t.co/otzrdjgb6I")</f>
        <v>@drfahrettinkoca Threats with the bread with your job with 50 million people and forcibly exceeded, you are their iradel ... https://t.co/otzrdjgb6I</v>
      </c>
    </row>
    <row r="16631" spans="1:5" ht="15" customHeight="1" x14ac:dyDescent="0.2">
      <c r="A16631" s="1" t="s">
        <v>32763</v>
      </c>
      <c r="B16631" s="1">
        <v>0</v>
      </c>
      <c r="C16631" s="3">
        <v>44520.744097222225</v>
      </c>
      <c r="D16631" s="1" t="s">
        <v>32764</v>
      </c>
      <c r="E16631" s="1" t="str">
        <f ca="1">IFERROR(__xludf.DUMMYFUNCTION("GOOGLETRANSLATE(A13430 , ""tr"" , ""en"")"),"@drfahrettinkoca you go, every way you keep dragged the nation to death. Box Box in Time Your Pharmaceuticals K ... https://t.co/kez33tgrqe")</f>
        <v>@drfahrettinkoca you go, every way you keep dragged the nation to death. Box Box in Time Your Pharmaceuticals K ... https://t.co/kez33tgrqe</v>
      </c>
    </row>
    <row r="16632" spans="1:5" ht="15" customHeight="1" x14ac:dyDescent="0.2">
      <c r="A16632" s="1" t="s">
        <v>32765</v>
      </c>
      <c r="B16632" s="1">
        <v>4</v>
      </c>
      <c r="C16632" s="3">
        <v>44520.743472222224</v>
      </c>
      <c r="D16632" s="1" t="s">
        <v>32766</v>
      </c>
      <c r="E16632" s="1" t="str">
        <f ca="1">IFERROR(__xludf.DUMMYFUNCTION("GOOGLETRANSLATE(A13431 , ""tr"" , ""en"")"),"@drfahrettinkoca has previously been many millions of favipiravirs sample areas. The result appeared with research. Oh my stay.")</f>
        <v>@drfahrettinkoca has previously been many millions of favipiravirs sample areas. The result appeared with research. Oh my stay.</v>
      </c>
    </row>
    <row r="16633" spans="1:5" ht="15" customHeight="1" x14ac:dyDescent="0.2">
      <c r="A16633" s="1" t="s">
        <v>32767</v>
      </c>
      <c r="B16633" s="1">
        <v>0</v>
      </c>
      <c r="C16633" s="3">
        <v>44520.743171296293</v>
      </c>
      <c r="D16633" s="1" t="s">
        <v>32768</v>
      </c>
      <c r="E16633" s="1" t="str">
        <f ca="1">IFERROR(__xludf.DUMMYFUNCTION("GOOGLETRANSLATE(A13432 , ""tr"" , ""en"")"),"@drfahrettinkoca Your these scientific statements take me off me")</f>
        <v>@drfahrettinkoca Your these scientific statements take me off me</v>
      </c>
    </row>
    <row r="16634" spans="1:5" ht="15" customHeight="1" x14ac:dyDescent="0.2">
      <c r="A16634" s="1" t="s">
        <v>32769</v>
      </c>
      <c r="B16634" s="1">
        <v>0</v>
      </c>
      <c r="C16634" s="3">
        <v>44520.743125000001</v>
      </c>
      <c r="D16634" s="1" t="s">
        <v>32770</v>
      </c>
      <c r="E16634" s="1" t="str">
        <f ca="1">IFERROR(__xludf.DUMMYFUNCTION("GOOGLETRANSLATE(A13433 , ""tr"" , ""en"")"),"@drfahrettinkoca tweet_samet the prophet of the master does not force the daughter to close the daughter, you can't make your daughter, the snow to close your wife")</f>
        <v>@drfahrettinkoca tweet_samet the prophet of the master does not force the daughter to close the daughter, you can't make your daughter, the snow to close your wife</v>
      </c>
    </row>
    <row r="16635" spans="1:5" ht="15" customHeight="1" x14ac:dyDescent="0.2">
      <c r="A16635" s="1" t="s">
        <v>32771</v>
      </c>
      <c r="B16635" s="1">
        <v>0</v>
      </c>
      <c r="C16635" s="3">
        <v>44520.740567129629</v>
      </c>
      <c r="D16635" s="1" t="s">
        <v>32772</v>
      </c>
      <c r="E16635" s="1" t="str">
        <f ca="1">IFERROR(__xludf.DUMMYFUNCTION("GOOGLETRANSLATE(A13434 , ""tr"" , ""en"")"),"@drfahrettinkoca is ok.")</f>
        <v>@drfahrettinkoca is ok.</v>
      </c>
    </row>
    <row r="16636" spans="1:5" ht="15" customHeight="1" x14ac:dyDescent="0.2">
      <c r="A16636" s="1" t="s">
        <v>32773</v>
      </c>
      <c r="B16636" s="1">
        <v>5</v>
      </c>
      <c r="C16636" s="3">
        <v>44520.739548611113</v>
      </c>
      <c r="D16636" s="1" t="s">
        <v>32774</v>
      </c>
      <c r="E16636" s="1" t="str">
        <f ca="1">IFERROR(__xludf.DUMMYFUNCTION("GOOGLETRANSLATE(A13435 , ""tr"" , ""en"")"),"@drfahrettinkoca I'm not receiving. What will happen? I don't believe in the letter not to any word that goes out of your mouth. You o m ... https://t.co/kwschgdlls")</f>
        <v>@drfahrettinkoca I'm not receiving. What will happen? I don't believe in the letter not to any word that goes out of your mouth. You o m ... https://t.co/kwschgdlls</v>
      </c>
    </row>
    <row r="16637" spans="1:5" ht="15" customHeight="1" x14ac:dyDescent="0.2">
      <c r="A16637" s="1" t="s">
        <v>32775</v>
      </c>
      <c r="B16637" s="1">
        <v>0</v>
      </c>
      <c r="C16637" s="3">
        <v>44520.739062499997</v>
      </c>
      <c r="D16637" s="1" t="s">
        <v>32776</v>
      </c>
      <c r="E16637" s="1" t="str">
        <f ca="1">IFERROR(__xludf.DUMMYFUNCTION("GOOGLETRANSLATE(A13436 , ""tr"" , ""en"")"),"@drfahrettinka I see an anti-vaccine community here so what's the remedy? WHAT? How do you think about the disease ... HTTPS://T.CO/PI0AEF8JOY")</f>
        <v>@drfahrettinka I see an anti-vaccine community here so what's the remedy? WHAT? How do you think about the disease ... HTTPS://T.CO/PI0AEF8JOY</v>
      </c>
    </row>
    <row r="16638" spans="1:5" ht="15" customHeight="1" x14ac:dyDescent="0.2">
      <c r="A16638" s="1" t="s">
        <v>32777</v>
      </c>
      <c r="B16638" s="1">
        <v>0</v>
      </c>
      <c r="C16638" s="3">
        <v>44520.738067129627</v>
      </c>
      <c r="D16638" s="1" t="s">
        <v>32778</v>
      </c>
      <c r="E16638" s="1" t="str">
        <f ca="1">IFERROR(__xludf.DUMMYFUNCTION("GOOGLETRANSLATE(A13437 , ""tr"" , ""en"")"),"@drfahrettinkoca Minister We will be what we are going to be almost 1 year waiting for the purchase of our residual residual labor ... https://t.co/rafqwf6wbj")</f>
        <v>@drfahrettinkoca Minister We will be what we are going to be almost 1 year waiting for the purchase of our residual residual labor ... https://t.co/rafqwf6wbj</v>
      </c>
    </row>
    <row r="16639" spans="1:5" ht="15" customHeight="1" x14ac:dyDescent="0.2">
      <c r="A16639" s="1" t="s">
        <v>28405</v>
      </c>
      <c r="B16639" s="1">
        <v>1</v>
      </c>
      <c r="C16639" s="3">
        <v>44520.738009259258</v>
      </c>
      <c r="D16639" s="1" t="s">
        <v>32779</v>
      </c>
      <c r="E16639" s="1" t="str">
        <f ca="1">IFERROR(__xludf.DUMMYFUNCTION("GOOGLETRANSLATE(A13438 , ""tr"" , ""en"")"),"@drfahrettinkoca dietitians are looking forward to assigning a large number of assignments to the minister 91 points are still agencies")</f>
        <v>@drfahrettinkoca dietitians are looking forward to assigning a large number of assignments to the minister 91 points are still agencies</v>
      </c>
    </row>
    <row r="16640" spans="1:5" ht="15" customHeight="1" x14ac:dyDescent="0.2">
      <c r="A16640" s="1" t="s">
        <v>32780</v>
      </c>
      <c r="B16640" s="1">
        <v>0</v>
      </c>
      <c r="C16640" s="3">
        <v>44520.737719907411</v>
      </c>
      <c r="D16640" s="1" t="s">
        <v>32781</v>
      </c>
      <c r="E16640" s="1" t="str">
        <f ca="1">IFERROR(__xludf.DUMMYFUNCTION("GOOGLETRANSLATE(A13439 , ""tr"" , ""en"")"),"@drfahrettinkoca wear as non-vaccines as an element of printing on non-vaccinations ... You are approaching the purpose step by step.")</f>
        <v>@drfahrettinkoca wear as non-vaccines as an element of printing on non-vaccinations ... You are approaching the purpose step by step.</v>
      </c>
    </row>
    <row r="16641" spans="1:5" ht="15" customHeight="1" x14ac:dyDescent="0.2">
      <c r="A16641" s="1" t="s">
        <v>32782</v>
      </c>
      <c r="B16641" s="1">
        <v>1</v>
      </c>
      <c r="C16641" s="3">
        <v>44520.73646990741</v>
      </c>
      <c r="D16641" s="1" t="s">
        <v>32783</v>
      </c>
      <c r="E16641" s="1" t="str">
        <f ca="1">IFERROR(__xludf.DUMMYFUNCTION("GOOGLETRANSLATE(A13440 , ""tr"" , ""en"")"),"@drfahrettinkoca Why do you do every time you make it hard to explain? Why is it so hard to share clear information? + 4 ... https://t.co/l1llmd8rwd")</f>
        <v>@drfahrettinkoca Why do you do every time you make it hard to explain? Why is it so hard to share clear information? + 4 ... https://t.co/l1llmd8rwd</v>
      </c>
    </row>
    <row r="16642" spans="1:5" ht="15" customHeight="1" x14ac:dyDescent="0.2">
      <c r="A16642" s="1" t="s">
        <v>32784</v>
      </c>
      <c r="B16642" s="1">
        <v>1</v>
      </c>
      <c r="C16642" s="3">
        <v>44520.736145833333</v>
      </c>
      <c r="D16642" s="1" t="s">
        <v>32785</v>
      </c>
      <c r="E16642" s="1" t="str">
        <f ca="1">IFERROR(__xludf.DUMMYFUNCTION("GOOGLETRANSLATE(A13441 , ""tr"" , ""en"")"),"@drfahrettinkoca vaccine Oammays If they have been waiting for 50 million, low Urnek Deyile is the decision to decide")</f>
        <v>@drfahrettinkoca vaccine Oammays If they have been waiting for 50 million, low Urnek Deyile is the decision to decide</v>
      </c>
    </row>
    <row r="16643" spans="1:5" ht="15" customHeight="1" x14ac:dyDescent="0.2">
      <c r="A16643" s="1" t="s">
        <v>32786</v>
      </c>
      <c r="B16643" s="1">
        <v>0</v>
      </c>
      <c r="C16643" s="3">
        <v>44520.735277777778</v>
      </c>
      <c r="D16643" s="1" t="s">
        <v>32787</v>
      </c>
      <c r="E16643" s="1" t="str">
        <f ca="1">IFERROR(__xludf.DUMMYFUNCTION("GOOGLETRANSLATE(A13442 , ""tr"" , ""en"")"),"@drfahrettinkoca I am a health personnel at the beginning of the pandemine with two dose of overdoses when everything is more uncertain. Now ... https://t.co/o9rmygdzoo")</f>
        <v>@drfahrettinkoca I am a health personnel at the beginning of the pandemine with two dose of overdoses when everything is more uncertain. Now ... https://t.co/o9rmygdzoo</v>
      </c>
    </row>
    <row r="16644" spans="1:5" ht="15" customHeight="1" x14ac:dyDescent="0.2">
      <c r="A16644" s="1" t="s">
        <v>32788</v>
      </c>
      <c r="B16644" s="1">
        <v>0</v>
      </c>
      <c r="C16644" s="3">
        <v>44520.735185185185</v>
      </c>
      <c r="D16644" s="1" t="s">
        <v>32789</v>
      </c>
      <c r="E16644" s="1" t="str">
        <f ca="1">IFERROR(__xludf.DUMMYFUNCTION("GOOGLETRANSLATE(A13443 , ""tr"" , ""en"")"),"@drfahrettinka sales fall this call this, the crisis has hit you in the ...")</f>
        <v>@drfahrettinka sales fall this call this, the crisis has hit you in the ...</v>
      </c>
    </row>
    <row r="16645" spans="1:5" ht="15" customHeight="1" x14ac:dyDescent="0.2">
      <c r="A16645" s="1" t="s">
        <v>32790</v>
      </c>
      <c r="B16645" s="1">
        <v>0</v>
      </c>
      <c r="C16645" s="3">
        <v>44520.734131944446</v>
      </c>
      <c r="D16645" s="1" t="s">
        <v>32791</v>
      </c>
      <c r="E16645" s="1" t="str">
        <f ca="1">IFERROR(__xludf.DUMMYFUNCTION("GOOGLETRANSLATE(A13444 , ""tr"" , ""en"")"),"@drfahrettinkoca has not minded it ?? Leave people into their own.")</f>
        <v>@drfahrettinkoca has not minded it ?? Leave people into their own.</v>
      </c>
    </row>
    <row r="16646" spans="1:5" ht="15" customHeight="1" x14ac:dyDescent="0.2">
      <c r="A16646" s="1" t="s">
        <v>32792</v>
      </c>
      <c r="B16646" s="1">
        <v>0</v>
      </c>
      <c r="C16646" s="3">
        <v>44520.733530092592</v>
      </c>
      <c r="D16646" s="1" t="s">
        <v>32793</v>
      </c>
      <c r="E16646" s="1" t="str">
        <f ca="1">IFERROR(__xludf.DUMMYFUNCTION("GOOGLETRANSLATE(A13445 , ""tr"" , ""en"")"),"@drfahrettinkoca 50 million of 50 million has become vaccinated with your bullying. You threatened with his job, you can't travel ded ... https://t.co/BNLT5YIVLS")</f>
        <v>@drfahrettinkoca 50 million of 50 million has become vaccinated with your bullying. You threatened with his job, you can't travel ded ... https://t.co/BNLT5YIVLS</v>
      </c>
    </row>
    <row r="16647" spans="1:5" ht="15" customHeight="1" x14ac:dyDescent="0.2">
      <c r="A16647" s="1" t="s">
        <v>32794</v>
      </c>
      <c r="B16647" s="1">
        <v>0</v>
      </c>
      <c r="C16647" s="3">
        <v>44520.733402777776</v>
      </c>
      <c r="D16647" s="1" t="s">
        <v>32795</v>
      </c>
      <c r="E16647" s="1" t="str">
        <f ca="1">IFERROR(__xludf.DUMMYFUNCTION("GOOGLETRANSLATE(A13446 , ""tr"" , ""en"")"),"@drfahrettinkoca SN Minister My Brother High School Student Covid was Covid, he could not take their exams and has also smocked my mother.")</f>
        <v>@drfahrettinkoca SN Minister My Brother High School Student Covid was Covid, he could not take their exams and has also smocked my mother.</v>
      </c>
    </row>
    <row r="16648" spans="1:5" ht="15" customHeight="1" x14ac:dyDescent="0.2">
      <c r="A16648" s="1" t="s">
        <v>32796</v>
      </c>
      <c r="B16648" s="1">
        <v>1</v>
      </c>
      <c r="C16648" s="3">
        <v>44520.732662037037</v>
      </c>
      <c r="D16648" s="1" t="s">
        <v>32797</v>
      </c>
      <c r="E16648" s="1" t="str">
        <f ca="1">IFERROR(__xludf.DUMMYFUNCTION("GOOGLETRANSLATE(A13447 , ""tr"" , ""en"")"),"@drfahrettinkoca What percent of 50 million are the percentage of you? Is there a ratio of this?")</f>
        <v>@drfahrettinkoca What percent of 50 million are the percentage of you? Is there a ratio of this?</v>
      </c>
    </row>
    <row r="16649" spans="1:5" ht="15" customHeight="1" x14ac:dyDescent="0.2">
      <c r="A16649" s="1" t="s">
        <v>32798</v>
      </c>
      <c r="B16649" s="1">
        <v>0</v>
      </c>
      <c r="C16649" s="3">
        <v>44520.732002314813</v>
      </c>
      <c r="D16649" s="1" t="s">
        <v>32799</v>
      </c>
      <c r="E16649" s="1" t="str">
        <f ca="1">IFERROR(__xludf.DUMMYFUNCTION("GOOGLETRANSLATE(A13448 , ""tr"" , ""en"")"),"@drfahrettinkoca Assignment Waiting Waiting Healthparts Mr. Minister waiting for your guide. These expectants don't end every pitch ... https://t.co/hqr8nawrji")</f>
        <v>@drfahrettinkoca Assignment Waiting Waiting Healthparts Mr. Minister waiting for your guide. These expectants don't end every pitch ... https://t.co/hqr8nawrji</v>
      </c>
    </row>
    <row r="16650" spans="1:5" ht="15" customHeight="1" x14ac:dyDescent="0.2">
      <c r="A16650" s="1" t="s">
        <v>32800</v>
      </c>
      <c r="B16650" s="1">
        <v>0</v>
      </c>
      <c r="C16650" s="3">
        <v>44520.731678240743</v>
      </c>
      <c r="D16650" s="1" t="s">
        <v>32801</v>
      </c>
      <c r="E16650" s="1" t="str">
        <f ca="1">IFERROR(__xludf.DUMMYFUNCTION("GOOGLETRANSLATE(A13449 , ""tr"" , ""en"")"),"@drfahrettinkoca so we have to take an example of the Mr. Minister? https://t.co/zmlqkaytc1")</f>
        <v>@drfahrettinkoca so we have to take an example of the Mr. Minister? https://t.co/zmlqkaytc1</v>
      </c>
    </row>
    <row r="16651" spans="1:5" ht="15" customHeight="1" x14ac:dyDescent="0.2">
      <c r="A16651" s="1" t="s">
        <v>32802</v>
      </c>
      <c r="B16651" s="1">
        <v>0</v>
      </c>
      <c r="C16651" s="3">
        <v>44520.73159722222</v>
      </c>
      <c r="D16651" s="1" t="s">
        <v>32803</v>
      </c>
      <c r="E16651" s="1" t="str">
        <f ca="1">IFERROR(__xludf.DUMMYFUNCTION("GOOGLETRANSLATE(A13450 , ""tr"" , ""en"")"),"@drfahrettinkoca No unstable None Bilakis is committed to the end of your job")</f>
        <v>@drfahrettinkoca No unstable None Bilakis is committed to the end of your job</v>
      </c>
    </row>
    <row r="16652" spans="1:5" ht="15" customHeight="1" x14ac:dyDescent="0.2">
      <c r="A16652" s="1" t="s">
        <v>32804</v>
      </c>
      <c r="B16652" s="1">
        <v>0</v>
      </c>
      <c r="C16652" s="3">
        <v>44520.731435185182</v>
      </c>
      <c r="D16652" s="1" t="s">
        <v>32805</v>
      </c>
      <c r="E16652" s="1" t="str">
        <f ca="1">IFERROR(__xludf.DUMMYFUNCTION("GOOGLETRANSLATE(A13451 , ""tr"" , ""en"")"),"@drfahrettinka vaccine Okay OK Mr. Minister Positive We're lying at home We're lying on at home Something SKT is close to 1 year ... https://t.co/sum9zcgcfj")</f>
        <v>@drfahrettinka vaccine Okay OK Mr. Minister Positive We're lying at home We're lying on at home Something SKT is close to 1 year ... https://t.co/sum9zcgcfj</v>
      </c>
    </row>
    <row r="16653" spans="1:5" ht="15" customHeight="1" x14ac:dyDescent="0.2">
      <c r="A16653" s="1" t="s">
        <v>32806</v>
      </c>
      <c r="B16653" s="1">
        <v>0</v>
      </c>
      <c r="C16653" s="3">
        <v>44520.730300925927</v>
      </c>
      <c r="D16653" s="1" t="s">
        <v>32807</v>
      </c>
      <c r="E16653" s="1" t="str">
        <f ca="1">IFERROR(__xludf.DUMMYFUNCTION("GOOGLETRANSLATE(A13452 , ""tr"" , ""en"")"),"@drfahrettinkoca you are also counting the deceased twill")</f>
        <v>@drfahrettinkoca you are also counting the deceased twill</v>
      </c>
    </row>
    <row r="16654" spans="1:5" ht="15" customHeight="1" x14ac:dyDescent="0.2">
      <c r="A16654" s="1" t="s">
        <v>32808</v>
      </c>
      <c r="B16654" s="1">
        <v>3</v>
      </c>
      <c r="C16654" s="3">
        <v>44520.730023148149</v>
      </c>
      <c r="D16654" s="1" t="s">
        <v>32809</v>
      </c>
      <c r="E16654" s="1" t="str">
        <f ca="1">IFERROR(__xludf.DUMMYFUNCTION("GOOGLETRANSLATE(A13453 , ""tr"" , ""en"")"),"@drfahrettinkoca ÇEFRAKE Non-vaccines why he is afraid of, what precious (?) has come")</f>
        <v>@drfahrettinkoca ÇEFRAKE Non-vaccines why he is afraid of, what precious (?) has come</v>
      </c>
    </row>
    <row r="16655" spans="1:5" ht="15" customHeight="1" x14ac:dyDescent="0.2">
      <c r="A16655" s="1" t="s">
        <v>32810</v>
      </c>
      <c r="B16655" s="1">
        <v>0</v>
      </c>
      <c r="C16655" s="3">
        <v>44520.729537037034</v>
      </c>
      <c r="D16655" s="1" t="s">
        <v>32811</v>
      </c>
      <c r="E16655" s="1" t="str">
        <f ca="1">IFERROR(__xludf.DUMMYFUNCTION("GOOGLETRANSLATE(A13454 , ""tr"" , ""en"")"),"@drfahrettinkoca hocam there are guys carrying shit in pocket dormitory for pigtails to caliper .. leave the human extinction")</f>
        <v>@drfahrettinkoca hocam there are guys carrying shit in pocket dormitory for pigtails to caliper .. leave the human extinction</v>
      </c>
    </row>
    <row r="16656" spans="1:5" ht="15" customHeight="1" x14ac:dyDescent="0.2">
      <c r="A16656" s="1" t="s">
        <v>32812</v>
      </c>
      <c r="B16656" s="1">
        <v>0</v>
      </c>
      <c r="C16656" s="3">
        <v>44520.728981481479</v>
      </c>
      <c r="D16656" s="1" t="s">
        <v>32813</v>
      </c>
      <c r="E16656" s="1" t="str">
        <f ca="1">IFERROR(__xludf.DUMMYFUNCTION("GOOGLETRANSLATE(A13455 , ""tr"" , ""en"")"),"@drfahrettinkoca we are playing bingo https://t.co/eu1zggtfmn")</f>
        <v>@drfahrettinkoca we are playing bingo https://t.co/eu1zggtfmn</v>
      </c>
    </row>
    <row r="16657" spans="1:5" ht="15" customHeight="1" x14ac:dyDescent="0.2">
      <c r="A16657" s="1" t="s">
        <v>32814</v>
      </c>
      <c r="B16657" s="1">
        <v>1</v>
      </c>
      <c r="C16657" s="3">
        <v>44520.727812500001</v>
      </c>
      <c r="D16657" s="1" t="s">
        <v>32815</v>
      </c>
      <c r="E16657" s="1" t="str">
        <f ca="1">IFERROR(__xludf.DUMMYFUNCTION("GOOGLETRANSLATE(A13456 , ""tr"" , ""en"")"),"@drfahrettinkoca Hani threatening with the job with the bread, the laws of the state you receive the State of the State Ku ... https://t.co/wyq3f2gyxo")</f>
        <v>@drfahrettinkoca Hani threatening with the job with the bread, the laws of the state you receive the State of the State Ku ... https://t.co/wyq3f2gyxo</v>
      </c>
    </row>
    <row r="16658" spans="1:5" ht="15" customHeight="1" x14ac:dyDescent="0.2">
      <c r="A16658" s="1" t="s">
        <v>32816</v>
      </c>
      <c r="B16658" s="1">
        <v>1</v>
      </c>
      <c r="C16658" s="3">
        <v>44520.727407407408</v>
      </c>
      <c r="D16658" s="1" t="s">
        <v>32817</v>
      </c>
      <c r="E16658" s="1" t="str">
        <f ca="1">IFERROR(__xludf.DUMMYFUNCTION("GOOGLETRANSLATE(A13457 , ""tr"" , ""en"")"),"@drfahrettinkoca assignment we are waiting for assignment")</f>
        <v>@drfahrettinkoca assignment we are waiting for assignment</v>
      </c>
    </row>
    <row r="16659" spans="1:5" ht="15" customHeight="1" x14ac:dyDescent="0.2">
      <c r="A16659" s="1" t="s">
        <v>32818</v>
      </c>
      <c r="B16659" s="1">
        <v>0</v>
      </c>
      <c r="C16659" s="3">
        <v>44520.727268518516</v>
      </c>
      <c r="D16659" s="1" t="s">
        <v>32819</v>
      </c>
      <c r="E16659" s="1" t="str">
        <f ca="1">IFERROR(__xludf.DUMMYFUNCTION("GOOGLETRANSLATE(A13458 , ""tr"" , ""en"")"),"@drfahrettinkoca how is an inat this, you are responsible for the infected children")</f>
        <v>@drfahrettinkoca how is an inat this, you are responsible for the infected children</v>
      </c>
    </row>
    <row r="16660" spans="1:5" ht="15" customHeight="1" x14ac:dyDescent="0.2">
      <c r="A16660" s="1" t="s">
        <v>32820</v>
      </c>
      <c r="B16660" s="1">
        <v>0</v>
      </c>
      <c r="C16660" s="3">
        <v>44520.725960648146</v>
      </c>
      <c r="D16660" s="1" t="s">
        <v>32821</v>
      </c>
      <c r="E16660" s="1" t="str">
        <f ca="1">IFERROR(__xludf.DUMMYFUNCTION("GOOGLETRANSLATE(A13459 , ""tr"" , ""en"")"),"@drfahrettinkoca ""Those who are unstable in vaccination should be a sample of the decision of 50 million?"" DO NOT BE SILLY COUSIN!!! 🤣🤣🤣")</f>
        <v>@drfahrettinkoca "Those who are unstable in vaccination should be a sample of the decision of 50 million?" DO NOT BE SILLY COUSIN!!! 🤣🤣🤣</v>
      </c>
    </row>
    <row r="16661" spans="1:5" ht="15" customHeight="1" x14ac:dyDescent="0.2">
      <c r="A16661" s="1" t="s">
        <v>32822</v>
      </c>
      <c r="B16661" s="1">
        <v>0</v>
      </c>
      <c r="C16661" s="3">
        <v>44520.725532407407</v>
      </c>
      <c r="D16661" s="1" t="s">
        <v>32823</v>
      </c>
      <c r="E16661" s="1" t="str">
        <f ca="1">IFERROR(__xludf.DUMMYFUNCTION("GOOGLETRANSLATE(A13460 , ""tr"" , ""en"")"),"@drfahrettinkoca sn overlooking you guer to allah I will be welterful in Meflam Hope you love your favorite people ... https://t.co/wvwhdqlk2m")</f>
        <v>@drfahrettinkoca sn overlooking you guer to allah I will be welterful in Meflam Hope you love your favorite people ... https://t.co/wvwhdqlk2m</v>
      </c>
    </row>
    <row r="16662" spans="1:5" ht="15" customHeight="1" x14ac:dyDescent="0.2">
      <c r="A16662" s="1" t="s">
        <v>32824</v>
      </c>
      <c r="B16662" s="1">
        <v>0</v>
      </c>
      <c r="C16662" s="3">
        <v>44520.725266203706</v>
      </c>
      <c r="D16662" s="1" t="s">
        <v>32825</v>
      </c>
      <c r="E16662" s="1" t="str">
        <f ca="1">IFERROR(__xludf.DUMMYFUNCTION("GOOGLETRANSLATE(A13461 , ""tr"" , ""en"")"),"Let's see @drfahrettinkoca How to get up at the bottom of this job or will we be fooled?")</f>
        <v>Let's see @drfahrettinkoca How to get up at the bottom of this job or will we be fooled?</v>
      </c>
    </row>
    <row r="16663" spans="1:5" ht="15" customHeight="1" x14ac:dyDescent="0.2">
      <c r="A16663" s="1" t="s">
        <v>32826</v>
      </c>
      <c r="B16663" s="1">
        <v>0</v>
      </c>
      <c r="C16663" s="3">
        <v>44520.724872685183</v>
      </c>
      <c r="D16663" s="1" t="s">
        <v>32827</v>
      </c>
      <c r="E16663" s="1" t="str">
        <f ca="1">IFERROR(__xludf.DUMMYFUNCTION("GOOGLETRANSLATE(A13462 , ""tr"" , ""en"")"),"@drfahrettinkoca your children has taken guinea pigs, the European onlem, you are the mask of your NAPT ?????")</f>
        <v>@drfahrettinkoca your children has taken guinea pigs, the European onlem, you are the mask of your NAPT ?????</v>
      </c>
    </row>
    <row r="16664" spans="1:5" ht="15" customHeight="1" x14ac:dyDescent="0.2">
      <c r="A16664" s="1" t="s">
        <v>32828</v>
      </c>
      <c r="B16664" s="1">
        <v>0</v>
      </c>
      <c r="C16664" s="3">
        <v>44520.724687499998</v>
      </c>
      <c r="D16664" s="1" t="s">
        <v>32829</v>
      </c>
      <c r="E16664" s="1" t="str">
        <f ca="1">IFERROR(__xludf.DUMMYFUNCTION("GOOGLETRANSLATE(A13463 , ""tr"" , ""en"")"),"@drfahrettinkoca hm To go to school, to go to work, to be able to get to work, Must be made in closed areas ... https://t.co/n7mhyighk0")</f>
        <v>@drfahrettinkoca hm To go to school, to go to work, to be able to get to work, Must be made in closed areas ... https://t.co/n7mhyighk0</v>
      </c>
    </row>
    <row r="16665" spans="1:5" ht="15" customHeight="1" x14ac:dyDescent="0.2">
      <c r="A16665" s="1" t="s">
        <v>32830</v>
      </c>
      <c r="B16665" s="1">
        <v>0</v>
      </c>
      <c r="C16665" s="3">
        <v>44520.722997685189</v>
      </c>
      <c r="D16665" s="1" t="s">
        <v>32831</v>
      </c>
      <c r="E16665" s="1" t="str">
        <f ca="1">IFERROR(__xludf.DUMMYFUNCTION("GOOGLETRANSLATE(A13464 , ""tr"" , ""en"")"),"@drfahrettinkoca you have made 50 million subjects already darting to us now don't have the vaccination now I'm never vaccinated from home from home ... https://t.co/idk8vlpjfi")</f>
        <v>@drfahrettinkoca you have made 50 million subjects already darting to us now don't have the vaccination now I'm never vaccinated from home from home ... https://t.co/idk8vlpjfi</v>
      </c>
    </row>
    <row r="16666" spans="1:5" ht="15" customHeight="1" x14ac:dyDescent="0.2">
      <c r="A16666" s="1" t="s">
        <v>32832</v>
      </c>
      <c r="B16666" s="1">
        <v>0</v>
      </c>
      <c r="C16666" s="3">
        <v>44520.722569444442</v>
      </c>
      <c r="D16666" s="1" t="s">
        <v>32833</v>
      </c>
      <c r="E16666" s="1" t="str">
        <f ca="1">IFERROR(__xludf.DUMMYFUNCTION("GOOGLETRANSLATE(A13465 , ""tr"" , ""en"")"),"@drfahrettinkoca Mr. Ministry You call the vaccine every day.")</f>
        <v>@drfahrettinkoca Mr. Ministry You call the vaccine every day.</v>
      </c>
    </row>
    <row r="16667" spans="1:5" ht="15" customHeight="1" x14ac:dyDescent="0.2">
      <c r="A16667" s="1" t="s">
        <v>32834</v>
      </c>
      <c r="B16667" s="1">
        <v>0</v>
      </c>
      <c r="C16667" s="3">
        <v>44520.722037037034</v>
      </c>
      <c r="D16667" s="1" t="s">
        <v>32835</v>
      </c>
      <c r="E16667" s="1" t="str">
        <f ca="1">IFERROR(__xludf.DUMMYFUNCTION("GOOGLETRANSLATE(A13466 , ""tr"" , ""en"")"),"@drfahrettinkoca means that death numbers will increase 😔")</f>
        <v>@drfahrettinkoca means that death numbers will increase 😔</v>
      </c>
    </row>
    <row r="16668" spans="1:5" ht="15" customHeight="1" x14ac:dyDescent="0.2">
      <c r="A16668" s="1" t="s">
        <v>32836</v>
      </c>
      <c r="B16668" s="1">
        <v>0</v>
      </c>
      <c r="C16668" s="3">
        <v>44520.721458333333</v>
      </c>
      <c r="D16668" s="1" t="s">
        <v>32837</v>
      </c>
      <c r="E16668" s="1" t="str">
        <f ca="1">IFERROR(__xludf.DUMMYFUNCTION("GOOGLETRANSLATE(A13467 , ""tr"" , ""en"")"),"@drfahrettinka Mr. Ministry should be 80% so you can be taken under control. 60% AZ ...")</f>
        <v>@drfahrettinka Mr. Ministry should be 80% so you can be taken under control. 60% AZ ...</v>
      </c>
    </row>
    <row r="16669" spans="1:5" ht="15" customHeight="1" x14ac:dyDescent="0.2">
      <c r="A16669" s="1" t="s">
        <v>32838</v>
      </c>
      <c r="B16669" s="1">
        <v>0</v>
      </c>
      <c r="C16669" s="3">
        <v>44520.721087962964</v>
      </c>
      <c r="D16669" s="1" t="s">
        <v>32839</v>
      </c>
      <c r="E16669" s="1" t="str">
        <f ca="1">IFERROR(__xludf.DUMMYFUNCTION("GOOGLETRANSLATE(A13468 , ""tr"" , ""en"")"),"@drfahrettinka Minister Please open your eye and take good care of your surroundings. Don't force people as the vaccine vaccine.")</f>
        <v>@drfahrettinka Minister Please open your eye and take good care of your surroundings. Don't force people as the vaccine vaccine.</v>
      </c>
    </row>
    <row r="16670" spans="1:5" ht="15" customHeight="1" x14ac:dyDescent="0.2">
      <c r="A16670" s="1" t="s">
        <v>32840</v>
      </c>
      <c r="B16670" s="1">
        <v>1</v>
      </c>
      <c r="C16670" s="3">
        <v>44520.720856481479</v>
      </c>
      <c r="D16670" s="1" t="s">
        <v>32841</v>
      </c>
      <c r="E16670" s="1" t="str">
        <f ca="1">IFERROR(__xludf.DUMMYFUNCTION("GOOGLETRANSLATE(A13469 , ""tr"" , ""en"")"),"@drfahrettinka vaccine vaccine calling the nation nation, why is you to do in-kind assistance in SMA patient babies ... https://t.co/vtv73IGPI")</f>
        <v>@drfahrettinka vaccine vaccine calling the nation nation, why is you to do in-kind assistance in SMA patient babies ... https://t.co/vtv73IGPI</v>
      </c>
    </row>
    <row r="16671" spans="1:5" ht="15" customHeight="1" x14ac:dyDescent="0.2">
      <c r="A16671" s="1" t="s">
        <v>32842</v>
      </c>
      <c r="B16671" s="1">
        <v>0</v>
      </c>
      <c r="C16671" s="3">
        <v>44520.719953703701</v>
      </c>
      <c r="D16671" s="1" t="s">
        <v>32843</v>
      </c>
      <c r="E16671" s="1" t="str">
        <f ca="1">IFERROR(__xludf.DUMMYFUNCTION("GOOGLETRANSLATE(A13470 , ""tr"" , ""en"")"),"@drfahrettinkoca https://t.co/kuecgdt2rc")</f>
        <v>@drfahrettinkoca https://t.co/kuecgdt2rc</v>
      </c>
    </row>
    <row r="16672" spans="1:5" ht="15" customHeight="1" x14ac:dyDescent="0.2">
      <c r="A16672" s="1" t="s">
        <v>32844</v>
      </c>
      <c r="B16672" s="1">
        <v>1</v>
      </c>
      <c r="C16672" s="3">
        <v>44520.719606481478</v>
      </c>
      <c r="D16672" s="1" t="s">
        <v>32845</v>
      </c>
      <c r="E16672" s="1" t="str">
        <f ca="1">IFERROR(__xludf.DUMMYFUNCTION("GOOGLETRANSLATE(A13471 , ""tr"" , ""en"")"),"@drfahrettinkoca Your GOD DISPLAY BUT I GET THE VOICE OF GOD DISMANUM BUT I will not leave this issue ... https://t.co/58elvvpscz")</f>
        <v>@drfahrettinkoca Your GOD DISPLAY BUT I GET THE VOICE OF GOD DISMANUM BUT I will not leave this issue ... https://t.co/58elvvpscz</v>
      </c>
    </row>
    <row r="16673" spans="1:5" ht="15" customHeight="1" x14ac:dyDescent="0.2">
      <c r="A16673" s="1" t="s">
        <v>32846</v>
      </c>
      <c r="B16673" s="1">
        <v>0</v>
      </c>
      <c r="C16673" s="3">
        <v>44520.719571759262</v>
      </c>
      <c r="D16673" s="1" t="s">
        <v>32847</v>
      </c>
      <c r="E16673" s="1" t="str">
        <f ca="1">IFERROR(__xludf.DUMMYFUNCTION("GOOGLETRANSLATE(A13472 , ""tr"" , ""en"")"),"@drfahrettinkoca you are in the exact suppressor from a Dunya. How to assign the Nasil Eglenizing Bari Remote?")</f>
        <v>@drfahrettinkoca you are in the exact suppressor from a Dunya. How to assign the Nasil Eglenizing Bari Remote?</v>
      </c>
    </row>
    <row r="16674" spans="1:5" ht="15" customHeight="1" x14ac:dyDescent="0.2">
      <c r="A16674" s="1" t="s">
        <v>32848</v>
      </c>
      <c r="B16674" s="1">
        <v>0</v>
      </c>
      <c r="C16674" s="3">
        <v>44520.719282407408</v>
      </c>
      <c r="D16674" s="1" t="s">
        <v>32849</v>
      </c>
      <c r="E16674" s="1" t="str">
        <f ca="1">IFERROR(__xludf.DUMMYFUNCTION("GOOGLETRANSLATE(A13473 , ""tr"" , ""en"")"),"@drfahrettinkoca Fahro Your end is bad. DSO is making you but when they'll leave you in the middle.")</f>
        <v>@drfahrettinkoca Fahro Your end is bad. DSO is making you but when they'll leave you in the middle.</v>
      </c>
    </row>
    <row r="16675" spans="1:5" ht="15" customHeight="1" x14ac:dyDescent="0.2">
      <c r="A16675" s="1" t="s">
        <v>32850</v>
      </c>
      <c r="B16675" s="1">
        <v>0</v>
      </c>
      <c r="C16675" s="3">
        <v>44520.719201388885</v>
      </c>
      <c r="D16675" s="1" t="s">
        <v>32851</v>
      </c>
      <c r="E16675" s="1" t="str">
        <f ca="1">IFERROR(__xludf.DUMMYFUNCTION("GOOGLETRANSLATE(A13474 , ""tr"" , ""en"")"),"The end of @drfahrettinka vaccine is also favipiravir")</f>
        <v>The end of @drfahrettinka vaccine is also favipiravir</v>
      </c>
    </row>
    <row r="16676" spans="1:5" ht="15" customHeight="1" x14ac:dyDescent="0.2">
      <c r="A16676" s="1" t="s">
        <v>32852</v>
      </c>
      <c r="B16676" s="1">
        <v>0</v>
      </c>
      <c r="C16676" s="3">
        <v>44520.719004629631</v>
      </c>
      <c r="D16676" s="1" t="s">
        <v>32853</v>
      </c>
      <c r="E16676" s="1" t="str">
        <f ca="1">IFERROR(__xludf.DUMMYFUNCTION("GOOGLETRANSLATE(A13475 , ""tr"" , ""en"")"),"@drfahrettinkoca Mr. Minine is in the beside baby in this population. You will hit them or the vaccine. Don't do it to the love of Allah.")</f>
        <v>@drfahrettinkoca Mr. Minine is in the beside baby in this population. You will hit them or the vaccine. Don't do it to the love of Allah.</v>
      </c>
    </row>
    <row r="16677" spans="1:5" ht="15" customHeight="1" x14ac:dyDescent="0.2">
      <c r="A16677" s="1" t="s">
        <v>32854</v>
      </c>
      <c r="B16677" s="1">
        <v>0</v>
      </c>
      <c r="C16677" s="3">
        <v>44520.718310185184</v>
      </c>
      <c r="D16677" s="1" t="s">
        <v>32855</v>
      </c>
      <c r="E16677" s="1" t="str">
        <f ca="1">IFERROR(__xludf.DUMMYFUNCTION("GOOGLETRANSLATE(A13476 , ""tr"" , ""en"")"),"@drfahrettinkoca allah is sure to make sure your virus")</f>
        <v>@drfahrettinkoca allah is sure to make sure your virus</v>
      </c>
    </row>
    <row r="16678" spans="1:5" ht="15" customHeight="1" x14ac:dyDescent="0.2">
      <c r="A16678" s="1" t="s">
        <v>32856</v>
      </c>
      <c r="B16678" s="1">
        <v>0</v>
      </c>
      <c r="C16678" s="3">
        <v>44520.717824074076</v>
      </c>
      <c r="D16678" s="1" t="s">
        <v>32857</v>
      </c>
      <c r="E16678" s="1" t="str">
        <f ca="1">IFERROR(__xludf.DUMMYFUNCTION("GOOGLETRANSLATE(A13477 , ""tr"" , ""en"")"),"@drfahrettinkoca Then why the deaths are increasing? As a factual vaccine increases, death rates increase?")</f>
        <v>@drfahrettinkoca Then why the deaths are increasing? As a factual vaccine increases, death rates increase?</v>
      </c>
    </row>
    <row r="16679" spans="1:5" ht="15" customHeight="1" x14ac:dyDescent="0.2">
      <c r="A16679" s="1" t="s">
        <v>32858</v>
      </c>
      <c r="B16679" s="1">
        <v>0</v>
      </c>
      <c r="C16679" s="3">
        <v>44520.717152777775</v>
      </c>
      <c r="D16679" s="1" t="s">
        <v>32859</v>
      </c>
      <c r="E16679" s="1" t="str">
        <f ca="1">IFERROR(__xludf.DUMMYFUNCTION("GOOGLETRANSLATE(A13478 , ""tr"" , ""en"")"),"@drfahrettinkoca This is what the state of the state is not to have your render of the person's intellectual hurrhyity you vaccine ... https://t.co/fb8kj6pu9x")</f>
        <v>@drfahrettinkoca This is what the state of the state is not to have your render of the person's intellectual hurrhyity you vaccine ... https://t.co/fb8kj6pu9x</v>
      </c>
    </row>
    <row r="16680" spans="1:5" ht="15" customHeight="1" x14ac:dyDescent="0.2">
      <c r="A16680" s="1" t="s">
        <v>32860</v>
      </c>
      <c r="B16680" s="1">
        <v>0</v>
      </c>
      <c r="C16680" s="3">
        <v>44520.717141203706</v>
      </c>
      <c r="D16680" s="1" t="s">
        <v>32861</v>
      </c>
      <c r="E16680" s="1" t="str">
        <f ca="1">IFERROR(__xludf.DUMMYFUNCTION("GOOGLETRANSLATE(A13479 , ""tr"" , ""en"")"),"@drfahrettinkoca Who are you going to determine who I will take example? I'll get the decision I want everyone Hodded Biland ... https://t.co/pfb0vx6fki")</f>
        <v>@drfahrettinkoca Who are you going to determine who I will take example? I'll get the decision I want everyone Hodded Biland ... https://t.co/pfb0vx6fki</v>
      </c>
    </row>
    <row r="16681" spans="1:5" ht="15" customHeight="1" x14ac:dyDescent="0.2">
      <c r="A16681" s="1" t="s">
        <v>32862</v>
      </c>
      <c r="B16681" s="1">
        <v>1</v>
      </c>
      <c r="C16681" s="3">
        <v>44520.716932870368</v>
      </c>
      <c r="D16681" s="1" t="s">
        <v>32863</v>
      </c>
      <c r="E16681" s="1" t="str">
        <f ca="1">IFERROR(__xludf.DUMMYFUNCTION("GOOGLETRANSLATE(A13480 , ""tr"" , ""en"")"),"@drfahrettinkoca is my favorite this 👍 If scientists who do such scientists say 10 dose, man man..👏👏👏👏👏 https://t.co/OyowI8vicq")</f>
        <v>@drfahrettinkoca is my favorite this 👍 If scientists who do such scientists say 10 dose, man man..👏👏👏👏👏 https://t.co/OyowI8vicq</v>
      </c>
    </row>
    <row r="16682" spans="1:5" ht="15" customHeight="1" x14ac:dyDescent="0.2">
      <c r="A16682" s="1" t="s">
        <v>32864</v>
      </c>
      <c r="B16682" s="1">
        <v>0</v>
      </c>
      <c r="C16682" s="3">
        <v>44520.716539351852</v>
      </c>
      <c r="D16682" s="1" t="s">
        <v>32865</v>
      </c>
      <c r="E16682" s="1" t="str">
        <f ca="1">IFERROR(__xludf.DUMMYFUNCTION("GOOGLETRANSLATE(A13481 , ""tr"" , ""en"")"),"@drfahrettinkoca has become vaccinated to not be of sheer job. I'm going to take this example? Antalya Serkan has experienced a side effect in Serkan ... https://t.co/dlulxbe73l")</f>
        <v>@drfahrettinkoca has become vaccinated to not be of sheer job. I'm going to take this example? Antalya Serkan has experienced a side effect in Serkan ... https://t.co/dlulxbe73l</v>
      </c>
    </row>
    <row r="16683" spans="1:5" ht="15" customHeight="1" x14ac:dyDescent="0.2">
      <c r="A16683" s="1" t="s">
        <v>32866</v>
      </c>
      <c r="B16683" s="1">
        <v>0</v>
      </c>
      <c r="C16683" s="3">
        <v>44520.715590277781</v>
      </c>
      <c r="D16683" s="1" t="s">
        <v>32867</v>
      </c>
      <c r="E16683" s="1" t="str">
        <f ca="1">IFERROR(__xludf.DUMMYFUNCTION("GOOGLETRANSLATE(A13482 , ""tr"" , ""en"")"),"@drfahrettinkoca AKP Li MV Proxy was two dose vaccines that there was a hundreds of people in the vaccine though it is still in vaccine ... https://t.co/lwjksnowhh")</f>
        <v>@drfahrettinkoca AKP Li MV Proxy was two dose vaccines that there was a hundreds of people in the vaccine though it is still in vaccine ... https://t.co/lwjksnowhh</v>
      </c>
    </row>
    <row r="16684" spans="1:5" ht="15" customHeight="1" x14ac:dyDescent="0.2">
      <c r="A16684" s="1" t="s">
        <v>32868</v>
      </c>
      <c r="B16684" s="1">
        <v>0</v>
      </c>
      <c r="C16684" s="3">
        <v>44520.715300925927</v>
      </c>
      <c r="D16684" s="1" t="s">
        <v>32869</v>
      </c>
      <c r="E16684" s="1" t="str">
        <f ca="1">IFERROR(__xludf.DUMMYFUNCTION("GOOGLETRANSLATE(A13483 , ""tr"" , ""en"")"),"@drfahrettinkoca Look on the vaccines that I am on my right to the child to the child to the child.")</f>
        <v>@drfahrettinkoca Look on the vaccines that I am on my right to the child to the child to the child.</v>
      </c>
    </row>
    <row r="16685" spans="1:5" ht="15" customHeight="1" x14ac:dyDescent="0.2">
      <c r="A16685" s="1" t="s">
        <v>32870</v>
      </c>
      <c r="B16685" s="1">
        <v>0</v>
      </c>
      <c r="C16685" s="3">
        <v>44520.715208333335</v>
      </c>
      <c r="D16685" s="1" t="s">
        <v>32871</v>
      </c>
      <c r="E16685" s="1" t="str">
        <f ca="1">IFERROR(__xludf.DUMMYFUNCTION("GOOGLETRANSLATE(A13484 , ""tr"" , ""en"")"),"@drfahrettinkoca o Minimum 35 million jobs with at least 35 million of 50 million minsmmmmmmmmmm")</f>
        <v>@drfahrettinkoca o Minimum 35 million jobs with at least 35 million of 50 million minsmmmmmmmmmm</v>
      </c>
    </row>
    <row r="16686" spans="1:5" ht="15" customHeight="1" x14ac:dyDescent="0.2">
      <c r="A16686" s="1" t="s">
        <v>32872</v>
      </c>
      <c r="B16686" s="1">
        <v>1</v>
      </c>
      <c r="C16686" s="3">
        <v>44520.71471064815</v>
      </c>
      <c r="D16686" s="1" t="s">
        <v>32873</v>
      </c>
      <c r="E16686" s="1" t="str">
        <f ca="1">IFERROR(__xludf.DUMMYFUNCTION("GOOGLETRANSLATE(A13485 , ""tr"" , ""en"")"),"@drfahrettinkoca saint is 60% stupid of the Turkish people of saints. Come when the magnificence of saints is Hakl ... https://t.co/rzqn56nrgr")</f>
        <v>@drfahrettinkoca saint is 60% stupid of the Turkish people of saints. Come when the magnificence of saints is Hakl ... https://t.co/rzqn56nrgr</v>
      </c>
    </row>
    <row r="16687" spans="1:5" ht="15" customHeight="1" x14ac:dyDescent="0.2">
      <c r="A16687" s="1" t="s">
        <v>32874</v>
      </c>
      <c r="B16687" s="1">
        <v>0</v>
      </c>
      <c r="C16687" s="3">
        <v>44520.714560185188</v>
      </c>
      <c r="D16687" s="1" t="s">
        <v>32875</v>
      </c>
      <c r="E16687" s="1" t="str">
        <f ca="1">IFERROR(__xludf.DUMMYFUNCTION("GOOGLETRANSLATE(A13486 , ""tr"" , ""en"")"),"@drfahrettinkoca we don't get the sample, we're not in an inexcience. The minister of a change that you are using in the hospital is ineffective in the hospital ...")</f>
        <v>@drfahrettinkoca we don't get the sample, we're not in an inexcience. The minister of a change that you are using in the hospital is ineffective in the hospital ...</v>
      </c>
    </row>
    <row r="16688" spans="1:5" ht="15" customHeight="1" x14ac:dyDescent="0.2">
      <c r="A16688" s="1" t="s">
        <v>32876</v>
      </c>
      <c r="B16688" s="1">
        <v>0</v>
      </c>
      <c r="C16688" s="3">
        <v>44520.713912037034</v>
      </c>
      <c r="D16688" s="1" t="s">
        <v>32877</v>
      </c>
      <c r="E16688" s="1" t="str">
        <f ca="1">IFERROR(__xludf.DUMMYFUNCTION("GOOGLETRANSLATE(A13487 , ""tr"" , ""en"")"),"@drfahrettinkoca 2 I have been a dose of overdose but I'm sure of your confrontational decision I'm sure of my like me ... https://t.co/bydatega1g")</f>
        <v>@drfahrettinkoca 2 I have been a dose of overdose but I'm sure of your confrontational decision I'm sure of my like me ... https://t.co/bydatega1g</v>
      </c>
    </row>
    <row r="16689" spans="1:5" ht="15" customHeight="1" x14ac:dyDescent="0.2">
      <c r="A16689" s="1" t="s">
        <v>32878</v>
      </c>
      <c r="B16689" s="1">
        <v>0</v>
      </c>
      <c r="C16689" s="3">
        <v>44520.713831018518</v>
      </c>
      <c r="D16689" s="1" t="s">
        <v>32879</v>
      </c>
      <c r="E16689" s="1" t="str">
        <f ca="1">IFERROR(__xludf.DUMMYFUNCTION("GOOGLETRANSLATE(A13488 , ""tr"" , ""en"")"),"@drfahrettinkoca 😂 😂 You are GERCEDIQUINTIGINI")</f>
        <v>@drfahrettinkoca 😂 😂 You are GERCEDIQUINTIGINI</v>
      </c>
    </row>
    <row r="16690" spans="1:5" ht="15" customHeight="1" x14ac:dyDescent="0.2">
      <c r="A16690" s="1" t="s">
        <v>31760</v>
      </c>
      <c r="B16690" s="1">
        <v>0</v>
      </c>
      <c r="C16690" s="3">
        <v>44520.712546296294</v>
      </c>
      <c r="D16690" s="1" t="s">
        <v>32880</v>
      </c>
      <c r="E16690" s="1" t="str">
        <f ca="1">IFERROR(__xludf.DUMMYFUNCTION("GOOGLETRANSLATE(A13489 , ""tr"" , ""en"")"),"@drfahrettinkoca information about recent developments and geese on geese https://t.co/8mtadl4kyu")</f>
        <v>@drfahrettinkoca information about recent developments and geese on geese https://t.co/8mtadl4kyu</v>
      </c>
    </row>
    <row r="16691" spans="1:5" ht="15" customHeight="1" x14ac:dyDescent="0.2">
      <c r="A16691" s="1" t="s">
        <v>32881</v>
      </c>
      <c r="B16691" s="1">
        <v>0</v>
      </c>
      <c r="C16691" s="3">
        <v>44520.712129629632</v>
      </c>
      <c r="D16691" s="1" t="s">
        <v>32882</v>
      </c>
      <c r="E16691" s="1" t="str">
        <f ca="1">IFERROR(__xludf.DUMMYFUNCTION("GOOGLETRANSLATE(A13490 , ""tr"" , ""en"")"),"@drfahrettinkoca What is the #shi #shirtum $ SHI for those who don't know? Only in 3 months #ronaldinho and #rakitic is on the head ... https://t.co/4dj1v8bkmu")</f>
        <v>@drfahrettinkoca What is the #shi #shirtum $ SHI for those who don't know? Only in 3 months #ronaldinho and #rakitic is on the head ... https://t.co/4dj1v8bkmu</v>
      </c>
    </row>
    <row r="16692" spans="1:5" ht="15" customHeight="1" x14ac:dyDescent="0.2">
      <c r="A16692" s="1" t="s">
        <v>32883</v>
      </c>
      <c r="B16692" s="1">
        <v>0</v>
      </c>
      <c r="C16692" s="3">
        <v>44520.712002314816</v>
      </c>
      <c r="D16692" s="1" t="s">
        <v>32884</v>
      </c>
      <c r="E16692" s="1" t="str">
        <f ca="1">IFERROR(__xludf.DUMMYFUNCTION("GOOGLETRANSLATE(A13491 , ""tr"" , ""en"")"),"@drfahrettinkoca You are the sample of the vaccines we will take you to the sample")</f>
        <v>@drfahrettinkoca You are the sample of the vaccines we will take you to the sample</v>
      </c>
    </row>
    <row r="16693" spans="1:5" ht="15" customHeight="1" x14ac:dyDescent="0.2">
      <c r="A16693" s="1" t="s">
        <v>32885</v>
      </c>
      <c r="B16693" s="1">
        <v>0</v>
      </c>
      <c r="C16693" s="3">
        <v>44520.711400462962</v>
      </c>
      <c r="D16693" s="1" t="s">
        <v>32886</v>
      </c>
      <c r="E16693" s="1" t="str">
        <f ca="1">IFERROR(__xludf.DUMMYFUNCTION("GOOGLETRANSLATE(A13492 , ""tr"" , ""en"")"),"@drfahrettinkoca or C'mon to your work. Bi work at work when the ANLIYCAN.")</f>
        <v>@drfahrettinkoca or C'mon to your work. Bi work at work when the ANLIYCAN.</v>
      </c>
    </row>
    <row r="16694" spans="1:5" ht="15" customHeight="1" x14ac:dyDescent="0.2">
      <c r="A16694" s="1" t="s">
        <v>32887</v>
      </c>
      <c r="B16694" s="1">
        <v>0</v>
      </c>
      <c r="C16694" s="3">
        <v>44520.711354166669</v>
      </c>
      <c r="D16694" s="1" t="s">
        <v>32888</v>
      </c>
      <c r="E16694" s="1" t="str">
        <f ca="1">IFERROR(__xludf.DUMMYFUNCTION("GOOGLETRANSLATE(A13493 , ""tr"" , ""en"")"),"@drfahrettinkoca https://t.co/jgngjhedu4.They is the devil")</f>
        <v>@drfahrettinkoca https://t.co/jgngjhedu4.They is the devil</v>
      </c>
    </row>
    <row r="16695" spans="1:5" ht="15" customHeight="1" x14ac:dyDescent="0.2">
      <c r="A16695" s="1" t="s">
        <v>32889</v>
      </c>
      <c r="B16695" s="1">
        <v>11</v>
      </c>
      <c r="C16695" s="3">
        <v>44520.711122685185</v>
      </c>
      <c r="D16695" s="1" t="s">
        <v>32890</v>
      </c>
      <c r="E16695" s="1" t="str">
        <f ca="1">IFERROR(__xludf.DUMMYFUNCTION("GOOGLETRANSLATE(A13494 , ""tr"" , ""en"")"),"@drfahrettinkoca 60 years of age under the age of 60, 2 times more die than non-exhaustive British under 60 years ... https://t.co/wcs8qee2w3")</f>
        <v>@drfahrettinkoca 60 years of age under the age of 60, 2 times more die than non-exhaustive British under 60 years ... https://t.co/wcs8qee2w3</v>
      </c>
    </row>
    <row r="16696" spans="1:5" ht="15" customHeight="1" x14ac:dyDescent="0.2">
      <c r="A16696" s="1" t="s">
        <v>32891</v>
      </c>
      <c r="B16696" s="1">
        <v>0</v>
      </c>
      <c r="C16696" s="3">
        <v>44520.711076388892</v>
      </c>
      <c r="D16696" s="1" t="s">
        <v>32892</v>
      </c>
      <c r="E16696" s="1" t="str">
        <f ca="1">IFERROR(__xludf.DUMMYFUNCTION("GOOGLETRANSLATE(A13495 , ""tr"" , ""en"")"),"@drfahrettinkoca Mason Templer. Pinocchio https://t.co/6csgnla9f3")</f>
        <v>@drfahrettinkoca Mason Templer. Pinocchio https://t.co/6csgnla9f3</v>
      </c>
    </row>
    <row r="16697" spans="1:5" ht="15" customHeight="1" x14ac:dyDescent="0.2">
      <c r="A16697" s="1" t="s">
        <v>32893</v>
      </c>
      <c r="B16697" s="1">
        <v>0</v>
      </c>
      <c r="C16697" s="3">
        <v>44520.710578703707</v>
      </c>
      <c r="D16697" s="1" t="s">
        <v>32894</v>
      </c>
      <c r="E16697" s="1" t="str">
        <f ca="1">IFERROR(__xludf.DUMMYFUNCTION("GOOGLETRANSLATE(A13496 , ""tr"" , ""en"")"),"@drfahrettinkoca Get an example of the foreign ministers quitting when you fail.")</f>
        <v>@drfahrettinkoca Get an example of the foreign ministers quitting when you fail.</v>
      </c>
    </row>
    <row r="16698" spans="1:5" ht="15" customHeight="1" x14ac:dyDescent="0.2">
      <c r="A16698" s="1" t="s">
        <v>32895</v>
      </c>
      <c r="B16698" s="1">
        <v>0</v>
      </c>
      <c r="C16698" s="3">
        <v>44520.710520833331</v>
      </c>
      <c r="D16698" s="1" t="s">
        <v>32896</v>
      </c>
      <c r="E16698" s="1" t="str">
        <f ca="1">IFERROR(__xludf.DUMMYFUNCTION("GOOGLETRANSLATE(A13497 , ""tr"" , ""en"")"),"@drfahrettinkoca is my health I don't want to be my decision. I am transferring my vaccine rights to those who want to be instilled in the dose")</f>
        <v>@drfahrettinkoca is my health I don't want to be my decision. I am transferring my vaccine rights to those who want to be instilled in the dose</v>
      </c>
    </row>
    <row r="16699" spans="1:5" ht="15" customHeight="1" x14ac:dyDescent="0.2">
      <c r="A16699" s="1" t="s">
        <v>32897</v>
      </c>
      <c r="B16699" s="1">
        <v>0</v>
      </c>
      <c r="C16699" s="3">
        <v>44520.710370370369</v>
      </c>
      <c r="D16699" s="1" t="s">
        <v>32898</v>
      </c>
      <c r="E16699" s="1" t="str">
        <f ca="1">IFERROR(__xludf.DUMMYFUNCTION("GOOGLETRANSLATE(A13498 , ""tr"" , ""en"")"),"@drfahrettinkoca manual to explain 11 months to last minister")</f>
        <v>@drfahrettinkoca manual to explain 11 months to last minister</v>
      </c>
    </row>
    <row r="16700" spans="1:5" ht="15" customHeight="1" x14ac:dyDescent="0.2">
      <c r="A16700" s="1" t="s">
        <v>32899</v>
      </c>
      <c r="B16700" s="1">
        <v>0</v>
      </c>
      <c r="C16700" s="3">
        <v>44520.710046296299</v>
      </c>
      <c r="D16700" s="1" t="s">
        <v>32900</v>
      </c>
      <c r="E16700" s="1" t="str">
        <f ca="1">IFERROR(__xludf.DUMMYFUNCTION("GOOGLETRANSLATE(A13499 , ""tr"" , ""en"")"),"@drfahrettinkoca What sample you take Mr. Minister, I'm the vaccination I've got an example of anyone ... https://t.co/wowglos50w")</f>
        <v>@drfahrettinkoca What sample you take Mr. Minister, I'm the vaccination I've got an example of anyone ... https://t.co/wowglos50w</v>
      </c>
    </row>
    <row r="16701" spans="1:5" ht="15" customHeight="1" x14ac:dyDescent="0.2">
      <c r="A16701" s="1" t="s">
        <v>32901</v>
      </c>
      <c r="B16701" s="1">
        <v>0</v>
      </c>
      <c r="C16701" s="3">
        <v>44520.709837962961</v>
      </c>
      <c r="D16701" s="1" t="s">
        <v>32902</v>
      </c>
      <c r="E16701" s="1" t="str">
        <f ca="1">IFERROR(__xludf.DUMMYFUNCTION("GOOGLETRANSLATE(A13500 , ""tr"" , ""en"")"),"@drfahrettinkoca We are not unstable Mr. Fahrettin Bey Our decision is our decision to be the hedge to be already asi ... https://t.co/luswubtwna")</f>
        <v>@drfahrettinkoca We are not unstable Mr. Fahrettin Bey Our decision is our decision to be the hedge to be already asi ... https://t.co/luswubtwna</v>
      </c>
    </row>
    <row r="16702" spans="1:5" ht="15" customHeight="1" x14ac:dyDescent="0.2">
      <c r="A16702" s="1" t="s">
        <v>32903</v>
      </c>
      <c r="B16702" s="1">
        <v>2</v>
      </c>
      <c r="C16702" s="3">
        <v>44520.709629629629</v>
      </c>
      <c r="D16702" s="1" t="s">
        <v>32904</v>
      </c>
      <c r="E16702" s="1" t="str">
        <f ca="1">IFERROR(__xludf.DUMMYFUNCTION("GOOGLETRANSLATE(A13501 , ""tr"" , ""en"")"),"@drfahrettinka is a day statistic from the previous week in Ireland; Those who died are at least one dose or full-grown, ha ... https://t.co/IDe6gvuggb")</f>
        <v>@drfahrettinka is a day statistic from the previous week in Ireland; Those who died are at least one dose or full-grown, ha ... https://t.co/IDe6gvuggb</v>
      </c>
    </row>
    <row r="16703" spans="1:5" ht="15" customHeight="1" x14ac:dyDescent="0.2">
      <c r="A16703" s="1" t="s">
        <v>32905</v>
      </c>
      <c r="B16703" s="1">
        <v>0</v>
      </c>
      <c r="C16703" s="3">
        <v>44520.70957175926</v>
      </c>
      <c r="D16703" s="1" t="s">
        <v>32906</v>
      </c>
      <c r="E16703" s="1" t="str">
        <f ca="1">IFERROR(__xludf.DUMMYFUNCTION("GOOGLETRANSLATE(A13502 , ""tr"" , ""en"")"),"@drfahrettinkoca Dear husband found the vaccination in 3 months but did not find the treatment of 2 years, lows!")</f>
        <v>@drfahrettinkoca Dear husband found the vaccination in 3 months but did not find the treatment of 2 years, lows!</v>
      </c>
    </row>
    <row r="16704" spans="1:5" ht="15" customHeight="1" x14ac:dyDescent="0.2">
      <c r="A16704" s="1" t="s">
        <v>32907</v>
      </c>
      <c r="B16704" s="1">
        <v>7</v>
      </c>
      <c r="C16704" s="3">
        <v>44520.709560185183</v>
      </c>
      <c r="D16704" s="1" t="s">
        <v>32908</v>
      </c>
      <c r="E16704" s="1" t="str">
        <f ca="1">IFERROR(__xludf.DUMMYFUNCTION("GOOGLETRANSLATE(A13503 , ""tr"" , ""en"")"),"@drfahrettinkoca has the most vaccine states ceiling in Vermont. https://t.co/l3qieellmt")</f>
        <v>@drfahrettinkoca has the most vaccine states ceiling in Vermont. https://t.co/l3qieellmt</v>
      </c>
    </row>
    <row r="16705" spans="1:5" ht="15" customHeight="1" x14ac:dyDescent="0.2">
      <c r="A16705" s="1" t="s">
        <v>32909</v>
      </c>
      <c r="B16705" s="1">
        <v>1</v>
      </c>
      <c r="C16705" s="3">
        <v>44520.709502314814</v>
      </c>
      <c r="D16705" s="1" t="s">
        <v>32910</v>
      </c>
      <c r="E16705" s="1" t="str">
        <f ca="1">IFERROR(__xludf.DUMMYFUNCTION("GOOGLETRANSLATE(A13504 , ""tr"" , ""en"")"),"@drfahrettinkoca yeah the rate of vaccination increases as death rates are also increasing, you are the trouble of this country")</f>
        <v>@drfahrettinkoca yeah the rate of vaccination increases as death rates are also increasing, you are the trouble of this country</v>
      </c>
    </row>
    <row r="16706" spans="1:5" ht="15" customHeight="1" x14ac:dyDescent="0.2">
      <c r="A16706" s="1" t="s">
        <v>32911</v>
      </c>
      <c r="B16706" s="1">
        <v>0</v>
      </c>
      <c r="C16706" s="3">
        <v>44520.709444444445</v>
      </c>
      <c r="D16706" s="1" t="s">
        <v>32912</v>
      </c>
      <c r="E16706" s="1" t="str">
        <f ca="1">IFERROR(__xludf.DUMMYFUNCTION("GOOGLETRANSLATE(A13505 , ""tr"" , ""en"")"),"@drfahrettinkoca Today I went to Ankara City Hospital Infoble Knee Length X-ray Attempted Person Midget ... https://t.co/dczuxj5v9b")</f>
        <v>@drfahrettinkoca Today I went to Ankara City Hospital Infoble Knee Length X-ray Attempted Person Midget ... https://t.co/dczuxj5v9b</v>
      </c>
    </row>
    <row r="16707" spans="1:5" ht="15" customHeight="1" x14ac:dyDescent="0.2">
      <c r="A16707" s="1" t="s">
        <v>32913</v>
      </c>
      <c r="B16707" s="1">
        <v>2</v>
      </c>
      <c r="C16707" s="3">
        <v>44520.709432870368</v>
      </c>
      <c r="D16707" s="1" t="s">
        <v>32914</v>
      </c>
      <c r="E16707" s="1" t="str">
        <f ca="1">IFERROR(__xludf.DUMMYFUNCTION("GOOGLETRANSLATE(A13506 , ""tr"" , ""en"")"),"@drfahrettinkoca child cases with 37% crowded classes with kids danger ..... # remote")</f>
        <v>@drfahrettinkoca child cases with 37% crowded classes with kids danger ..... # remote</v>
      </c>
    </row>
    <row r="16708" spans="1:5" ht="15" customHeight="1" x14ac:dyDescent="0.2">
      <c r="A16708" s="1" t="s">
        <v>32915</v>
      </c>
      <c r="B16708" s="1">
        <v>7</v>
      </c>
      <c r="C16708" s="3">
        <v>44520.709386574075</v>
      </c>
      <c r="D16708" s="1" t="s">
        <v>32916</v>
      </c>
      <c r="E16708" s="1" t="str">
        <f ca="1">IFERROR(__xludf.DUMMYFUNCTION("GOOGLETRANSLATE(A13507 , ""tr"" , ""en"")"),"@drfahrettinkoca Today Market employee showed his eye. 2.Doz Biontech Left Eye Complete Eye Decker with ... https://t.co/t8crlf4mp0")</f>
        <v>@drfahrettinkoca Today Market employee showed his eye. 2.Doz Biontech Left Eye Complete Eye Decker with ... https://t.co/t8crlf4mp0</v>
      </c>
    </row>
    <row r="16709" spans="1:5" ht="15" customHeight="1" x14ac:dyDescent="0.2">
      <c r="A16709" s="1" t="s">
        <v>32917</v>
      </c>
      <c r="B16709" s="1">
        <v>0</v>
      </c>
      <c r="C16709" s="3">
        <v>44520.709317129629</v>
      </c>
      <c r="D16709" s="1" t="s">
        <v>32918</v>
      </c>
      <c r="E16709" s="1" t="str">
        <f ca="1">IFERROR(__xludf.DUMMYFUNCTION("GOOGLETRANSLATE(A13508 , ""tr"" , ""en"")"),"@drfahrettinkoca teacher, two dose of vaccines within 5-8 months ago include two dose of synovaks? What's the number of these?")</f>
        <v>@drfahrettinkoca teacher, two dose of vaccines within 5-8 months ago include two dose of synovaks? What's the number of these?</v>
      </c>
    </row>
    <row r="16710" spans="1:5" ht="15" customHeight="1" x14ac:dyDescent="0.2">
      <c r="A16710" s="1" t="s">
        <v>32919</v>
      </c>
      <c r="B16710" s="1">
        <v>0</v>
      </c>
      <c r="C16710" s="3">
        <v>44520.709224537037</v>
      </c>
      <c r="D16710" s="1" t="s">
        <v>32920</v>
      </c>
      <c r="E16710" s="1" t="str">
        <f ca="1">IFERROR(__xludf.DUMMYFUNCTION("GOOGLETRANSLATE(A13509 , ""tr"" , ""en"")"),"@drfahrettinkoca I've been to the second overdose this day Ellimilion in the Verdia Minister of the night 😉😉😉😉")</f>
        <v>@drfahrettinkoca I've been to the second overdose this day Ellimilion in the Verdia Minister of the night 😉😉😉😉</v>
      </c>
    </row>
    <row r="16711" spans="1:5" ht="15" customHeight="1" x14ac:dyDescent="0.2">
      <c r="A16711" s="1" t="s">
        <v>32921</v>
      </c>
      <c r="B16711" s="1">
        <v>0</v>
      </c>
      <c r="C16711" s="3">
        <v>44520.708599537036</v>
      </c>
      <c r="D16711" s="1" t="s">
        <v>32922</v>
      </c>
      <c r="E16711" s="1" t="str">
        <f ca="1">IFERROR(__xludf.DUMMYFUNCTION("GOOGLETRANSLATE(A13510 , ""tr"" , ""en"")"),"@drfahrettinkoca Örnək Alarıq, Amma You are angle of the Məcbur VacuyQ. İşdən Qovulmı İlə Təhdid Etdiklərırklıklıklıkrak.")</f>
        <v>@drfahrettinkoca Örnək Alarıq, Amma You are angle of the Məcbur VacuyQ. İşdən Qovulmı İlə Təhdid Etdiklərırklıklıklıkrak.</v>
      </c>
    </row>
    <row r="16712" spans="1:5" ht="15" customHeight="1" x14ac:dyDescent="0.2">
      <c r="A16712" s="1" t="s">
        <v>32923</v>
      </c>
      <c r="B16712" s="1">
        <v>0</v>
      </c>
      <c r="C16712" s="3">
        <v>44520.70853009259</v>
      </c>
      <c r="D16712" s="1" t="s">
        <v>32924</v>
      </c>
      <c r="E16712" s="1" t="str">
        <f ca="1">IFERROR(__xludf.DUMMYFUNCTION("GOOGLETRANSLATE(A13511 , ""tr"" , ""en"")"),"@drfahrettinkoca you obliged the nation in contrary to the Constitution.")</f>
        <v>@drfahrettinkoca you obliged the nation in contrary to the Constitution.</v>
      </c>
    </row>
    <row r="16713" spans="1:5" ht="15" customHeight="1" x14ac:dyDescent="0.2">
      <c r="A16713" s="1" t="s">
        <v>32925</v>
      </c>
      <c r="B16713" s="1">
        <v>1</v>
      </c>
      <c r="C16713" s="3">
        <v>44520.708020833335</v>
      </c>
      <c r="D16713" s="1" t="s">
        <v>32926</v>
      </c>
      <c r="E16713" s="1" t="str">
        <f ca="1">IFERROR(__xludf.DUMMYFUNCTION("GOOGLETRANSLATE(A13512 , ""tr"" , ""en"")"),"@drfahrettinka what did they promise you or we don't know what they threatened you. But what promises are true what threat ... https://t.co/ehkufvruvy")</f>
        <v>@drfahrettinka what did they promise you or we don't know what they threatened you. But what promises are true what threat ... https://t.co/ehkufvruvy</v>
      </c>
    </row>
    <row r="16714" spans="1:5" ht="15" customHeight="1" x14ac:dyDescent="0.2">
      <c r="A16714" s="1" t="s">
        <v>32927</v>
      </c>
      <c r="B16714" s="1">
        <v>0</v>
      </c>
      <c r="C16714" s="3">
        <v>44520.707986111112</v>
      </c>
      <c r="D16714" s="1" t="s">
        <v>32928</v>
      </c>
      <c r="E16714" s="1" t="str">
        <f ca="1">IFERROR(__xludf.DUMMYFUNCTION("GOOGLETRANSLATE(A13513 , ""tr"" , ""en"")"),"@drfahrettinkoca Maraş MPs had their vaccination in the late imran sword. Even though # COVID19 due to v ... https://t.co/yidn4xp607")</f>
        <v>@drfahrettinkoca Maraş MPs had their vaccination in the late imran sword. Even though # COVID19 due to v ... https://t.co/yidn4xp607</v>
      </c>
    </row>
    <row r="16715" spans="1:5" ht="15" customHeight="1" x14ac:dyDescent="0.2">
      <c r="A16715" s="1" t="s">
        <v>32929</v>
      </c>
      <c r="B16715" s="1">
        <v>0</v>
      </c>
      <c r="C16715" s="3">
        <v>44520.707870370374</v>
      </c>
      <c r="D16715" s="1" t="s">
        <v>32930</v>
      </c>
      <c r="E16715" s="1" t="str">
        <f ca="1">IFERROR(__xludf.DUMMYFUNCTION("GOOGLETRANSLATE(A13514 , ""tr"" , ""en"")"),"@drfahrettinkoca Why are you coming to the nation where you arrive in the people of the people in the pens of the following seats ... https://t.co/wyz2zycc4s")</f>
        <v>@drfahrettinkoca Why are you coming to the nation where you arrive in the people of the people in the pens of the following seats ... https://t.co/wyz2zycc4s</v>
      </c>
    </row>
    <row r="16716" spans="1:5" ht="15" customHeight="1" x14ac:dyDescent="0.2">
      <c r="A16716" s="1" t="s">
        <v>32931</v>
      </c>
      <c r="B16716" s="1">
        <v>0</v>
      </c>
      <c r="C16716" s="3">
        <v>44520.707199074073</v>
      </c>
      <c r="D16716" s="1" t="s">
        <v>32932</v>
      </c>
      <c r="E16716" s="1" t="str">
        <f ca="1">IFERROR(__xludf.DUMMYFUNCTION("GOOGLETRANSLATE(A13515 , ""tr"" , ""en"")"),"@drfahrettinkoca we have become our vaccine but I don't think that your maxad is fighting out of the outbreak.")</f>
        <v>@drfahrettinkoca we have become our vaccine but I don't think that your maxad is fighting out of the outbreak.</v>
      </c>
    </row>
    <row r="16717" spans="1:5" ht="15" customHeight="1" x14ac:dyDescent="0.2">
      <c r="A16717" s="1" t="s">
        <v>32933</v>
      </c>
      <c r="B16717" s="1">
        <v>0</v>
      </c>
      <c r="C16717" s="3">
        <v>44520.70716435185</v>
      </c>
      <c r="D16717" s="1" t="s">
        <v>32934</v>
      </c>
      <c r="E16717" s="1" t="str">
        <f ca="1">IFERROR(__xludf.DUMMYFUNCTION("GOOGLETRANSLATE(A13516 , ""tr"" , ""en"")"),"@drfahrettinkoca what happened to babies?")</f>
        <v>@drfahrettinkoca what happened to babies?</v>
      </c>
    </row>
    <row r="16718" spans="1:5" ht="15" customHeight="1" x14ac:dyDescent="0.2">
      <c r="A16718" s="1" t="s">
        <v>32935</v>
      </c>
      <c r="B16718" s="1">
        <v>0</v>
      </c>
      <c r="C16718" s="3">
        <v>44520.706736111111</v>
      </c>
      <c r="D16718" s="1" t="s">
        <v>32936</v>
      </c>
      <c r="E16718" s="1" t="str">
        <f ca="1">IFERROR(__xludf.DUMMYFUNCTION("GOOGLETRANSLATE(A13517 , ""tr"" , ""en"")"),"@drfahrettinka said they were 18 years old now that part started to say 80% to say all society. 3 doses when he is ok ... https://t.co/1rxrhbgm5y")</f>
        <v>@drfahrettinka said they were 18 years old now that part started to say 80% to say all society. 3 doses when he is ok ... https://t.co/1rxrhbgm5y</v>
      </c>
    </row>
    <row r="16719" spans="1:5" ht="15" customHeight="1" x14ac:dyDescent="0.2">
      <c r="A16719" s="1" t="s">
        <v>32937</v>
      </c>
      <c r="B16719" s="1">
        <v>3</v>
      </c>
      <c r="C16719" s="3">
        <v>44520.706284722219</v>
      </c>
      <c r="D16719" s="1" t="s">
        <v>32938</v>
      </c>
      <c r="E16719" s="1" t="str">
        <f ca="1">IFERROR(__xludf.DUMMYFUNCTION("GOOGLETRANSLATE(A13518 , ""tr"" , ""en"")"),"@drfahrettinkoca What decision are you talking about? By force, threat, you are doing vaccines with pressure. People's Education H ... https://t.co/0d1wuhqyee")</f>
        <v>@drfahrettinkoca What decision are you talking about? By force, threat, you are doing vaccines with pressure. People's Education H ... https://t.co/0d1wuhqyee</v>
      </c>
    </row>
    <row r="16720" spans="1:5" ht="15" customHeight="1" x14ac:dyDescent="0.2">
      <c r="A16720" s="1" t="s">
        <v>32939</v>
      </c>
      <c r="B16720" s="1">
        <v>0</v>
      </c>
      <c r="C16720" s="3">
        <v>44520.706226851849</v>
      </c>
      <c r="D16720" s="1" t="s">
        <v>32940</v>
      </c>
      <c r="E16720" s="1" t="str">
        <f ca="1">IFERROR(__xludf.DUMMYFUNCTION("GOOGLETRANSLATE(A13519 , ""tr"" , ""en"")"),"The best medicine against @drfahrettinkoca covid virus is the avocado tree root water powder. If it doesn't work, there was no harm ... https://t.co/4jz5d9gvmh")</f>
        <v>The best medicine against @drfahrettinkoca covid virus is the avocado tree root water powder. If it doesn't work, there was no harm ... https://t.co/4jz5d9gvmh</v>
      </c>
    </row>
    <row r="16721" spans="1:5" ht="15" customHeight="1" x14ac:dyDescent="0.2">
      <c r="A16721" s="1" t="s">
        <v>32941</v>
      </c>
      <c r="B16721" s="1">
        <v>0</v>
      </c>
      <c r="C16721" s="3">
        <v>44520.706134259257</v>
      </c>
      <c r="D16721" s="1" t="s">
        <v>32942</v>
      </c>
      <c r="E16721" s="1" t="str">
        <f ca="1">IFERROR(__xludf.DUMMYFUNCTION("GOOGLETRANSLATE(A13520 , ""tr"" , ""en"")"),"@drfahrettinkoca heard to hell to hell ... get the fire in two worlds of you and their masters.")</f>
        <v>@drfahrettinkoca heard to hell to hell ... get the fire in two worlds of you and their masters.</v>
      </c>
    </row>
    <row r="16722" spans="1:5" ht="15" customHeight="1" x14ac:dyDescent="0.2">
      <c r="A16722" s="1" t="s">
        <v>32943</v>
      </c>
      <c r="B16722" s="1">
        <v>1</v>
      </c>
      <c r="C16722" s="3">
        <v>44520.705590277779</v>
      </c>
      <c r="D16722" s="1" t="s">
        <v>32944</v>
      </c>
      <c r="E16722" s="1" t="str">
        <f ca="1">IFERROR(__xludf.DUMMYFUNCTION("GOOGLETRANSLATE(A13521 , ""tr"" , ""en"")"),"@drfahrettinkoca I wonder if you don't have the comments below after throwing these Tiwits, you are playing the Look Blind")</f>
        <v>@drfahrettinkoca I wonder if you don't have the comments below after throwing these Tiwits, you are playing the Look Blind</v>
      </c>
    </row>
    <row r="16723" spans="1:5" ht="15" customHeight="1" x14ac:dyDescent="0.2">
      <c r="A16723" s="1" t="s">
        <v>32945</v>
      </c>
      <c r="B16723" s="1">
        <v>0</v>
      </c>
      <c r="C16723" s="3">
        <v>44520.704189814816</v>
      </c>
      <c r="D16723" s="1" t="s">
        <v>32946</v>
      </c>
      <c r="E16723" s="1" t="str">
        <f ca="1">IFERROR(__xludf.DUMMYFUNCTION("GOOGLETRANSLATE(A13522 , ""tr"" , ""en"")"),"@drfahrettinkoca they continue to remain the restriction measure, to watch the death of over 200 every day, until example area! WELL DONE!")</f>
        <v>@drfahrettinkoca they continue to remain the restriction measure, to watch the death of over 200 every day, until example area! WELL DONE!</v>
      </c>
    </row>
    <row r="16724" spans="1:5" ht="15" customHeight="1" x14ac:dyDescent="0.2">
      <c r="A16724" s="1" t="s">
        <v>32947</v>
      </c>
      <c r="B16724" s="1">
        <v>0</v>
      </c>
      <c r="C16724" s="3">
        <v>44520.703784722224</v>
      </c>
      <c r="D16724" s="1" t="s">
        <v>32948</v>
      </c>
      <c r="E16724" s="1" t="str">
        <f ca="1">IFERROR(__xludf.DUMMYFUNCTION("GOOGLETRANSLATE(A13523 , ""tr"" , ""en"")"),"@drfahrettinkoca Minister Bey You diodod is 60% of the department of the saline artic in case of Bagisikligina.")</f>
        <v>@drfahrettinkoca Minister Bey You diodod is 60% of the department of the saline artic in case of Bagisikligina.</v>
      </c>
    </row>
    <row r="16725" spans="1:5" ht="15" customHeight="1" x14ac:dyDescent="0.2">
      <c r="A16725" s="1" t="s">
        <v>32949</v>
      </c>
      <c r="B16725" s="1">
        <v>1</v>
      </c>
      <c r="C16725" s="3">
        <v>44520.702986111108</v>
      </c>
      <c r="D16725" s="1" t="s">
        <v>32950</v>
      </c>
      <c r="E16725" s="1" t="str">
        <f ca="1">IFERROR(__xludf.DUMMYFUNCTION("GOOGLETRANSLATE(A13524 , ""tr"" , ""en"")"),"@drfahrettinkoca Multiple is the reason for accuracy Mr. Minister, we will build our rights on such simple reasoning ???")</f>
        <v>@drfahrettinkoca Multiple is the reason for accuracy Mr. Minister, we will build our rights on such simple reasoning ???</v>
      </c>
    </row>
    <row r="16726" spans="1:5" ht="15" customHeight="1" x14ac:dyDescent="0.2">
      <c r="A16726" s="1" t="s">
        <v>32951</v>
      </c>
      <c r="B16726" s="1">
        <v>0</v>
      </c>
      <c r="C16726" s="3">
        <v>44520.702928240738</v>
      </c>
      <c r="D16726" s="1" t="s">
        <v>32952</v>
      </c>
      <c r="E16726" s="1" t="str">
        <f ca="1">IFERROR(__xludf.DUMMYFUNCTION("GOOGLETRANSLATE(A13525 , ""tr"" , ""en"")"),"@drfahrettinkoca fifty million if I had my decision samples I wish they were not vaccinated pity. You fool people ... https://t.co/pyf8ac8cs9")</f>
        <v>@drfahrettinkoca fifty million if I had my decision samples I wish they were not vaccinated pity. You fool people ... https://t.co/pyf8ac8cs9</v>
      </c>
    </row>
    <row r="16727" spans="1:5" ht="15" customHeight="1" x14ac:dyDescent="0.2">
      <c r="A16727" s="1" t="s">
        <v>32953</v>
      </c>
      <c r="B16727" s="1">
        <v>0</v>
      </c>
      <c r="C16727" s="3">
        <v>44520.7028587963</v>
      </c>
      <c r="D16727" s="1" t="s">
        <v>32954</v>
      </c>
      <c r="E16727" s="1" t="str">
        <f ca="1">IFERROR(__xludf.DUMMYFUNCTION("GOOGLETRANSLATE(A13526 , ""tr"" , ""en"")"),"@drfahrettinkoca is the fact that the Christian population in the world is more than Muslims, Floors of Hindus in India ... https://t.co/n8kn0jtjha")</f>
        <v>@drfahrettinkoca is the fact that the Christian population in the world is more than Muslims, Floors of Hindus in India ... https://t.co/n8kn0jtjha</v>
      </c>
    </row>
    <row r="16728" spans="1:5" ht="15" customHeight="1" x14ac:dyDescent="0.2">
      <c r="A16728" s="1" t="s">
        <v>32955</v>
      </c>
      <c r="B16728" s="1">
        <v>0</v>
      </c>
      <c r="C16728" s="3">
        <v>44520.702476851853</v>
      </c>
      <c r="D16728" s="1" t="s">
        <v>32956</v>
      </c>
      <c r="E16728" s="1" t="str">
        <f ca="1">IFERROR(__xludf.DUMMYFUNCTION("GOOGLETRANSLATE(A13527 , ""tr"" , ""en"")"),"@drfahrettinkoca Mr. Minister You are the vaccination that you have been to your body that the liquid is ... What is happening to my heart ... HTTPS://T.CO/ZSREA4TKYW")</f>
        <v>@drfahrettinkoca Mr. Minister You are the vaccination that you have been to your body that the liquid is ... What is happening to my heart ... HTTPS://T.CO/ZSREA4TKYW</v>
      </c>
    </row>
    <row r="16729" spans="1:5" ht="15" customHeight="1" x14ac:dyDescent="0.2">
      <c r="A16729" s="1" t="s">
        <v>32957</v>
      </c>
      <c r="B16729" s="1">
        <v>0</v>
      </c>
      <c r="C16729" s="3">
        <v>44520.701666666668</v>
      </c>
      <c r="D16729" s="1" t="s">
        <v>32958</v>
      </c>
      <c r="E16729" s="1" t="str">
        <f ca="1">IFERROR(__xludf.DUMMYFUNCTION("GOOGLETRANSLATE(A13528 , ""tr"" , ""en"")"),"@drfahrettinkoca honey, even your voters don't trust you that they don't trust you. What we do after this time. Ya ... https://t.co/ikt1ir1kex")</f>
        <v>@drfahrettinkoca honey, even your voters don't trust you that they don't trust you. What we do after this time. Ya ... https://t.co/ikt1ir1kex</v>
      </c>
    </row>
    <row r="16730" spans="1:5" ht="15" customHeight="1" x14ac:dyDescent="0.2">
      <c r="A16730" s="1" t="s">
        <v>32959</v>
      </c>
      <c r="B16730" s="1">
        <v>1</v>
      </c>
      <c r="C16730" s="3">
        <v>44520.701562499999</v>
      </c>
      <c r="D16730" s="1" t="s">
        <v>32960</v>
      </c>
      <c r="E16730" s="1" t="str">
        <f ca="1">IFERROR(__xludf.DUMMYFUNCTION("GOOGLETRANSLATE(A13529 , ""tr"" , ""en"")"),"@drfahrettinkoca Ministry of 40 Thousand Assignment Labor Not Include 🙏")</f>
        <v>@drfahrettinkoca Ministry of 40 Thousand Assignment Labor Not Include 🙏</v>
      </c>
    </row>
    <row r="16731" spans="1:5" ht="15" customHeight="1" x14ac:dyDescent="0.2">
      <c r="A16731" s="1" t="s">
        <v>32961</v>
      </c>
      <c r="B16731" s="1">
        <v>1</v>
      </c>
      <c r="C16731" s="3">
        <v>44520.701168981483</v>
      </c>
      <c r="D16731" s="1" t="s">
        <v>32962</v>
      </c>
      <c r="E16731" s="1" t="str">
        <f ca="1">IFERROR(__xludf.DUMMYFUNCTION("GOOGLETRANSLATE(A13530 , ""tr"" , ""en"")"),"@drfahrettinkoca but I regret 3. I will never be ...")</f>
        <v>@drfahrettinkoca but I regret 3. I will never be ...</v>
      </c>
    </row>
    <row r="16732" spans="1:5" ht="15" customHeight="1" x14ac:dyDescent="0.2">
      <c r="A16732" s="1" t="s">
        <v>32963</v>
      </c>
      <c r="B16732" s="1">
        <v>0</v>
      </c>
      <c r="C16732" s="3">
        <v>44520.700520833336</v>
      </c>
      <c r="D16732" s="1" t="s">
        <v>32964</v>
      </c>
      <c r="E16732" s="1" t="str">
        <f ca="1">IFERROR(__xludf.DUMMYFUNCTION("GOOGLETRANSLATE(A13531 , ""tr"" , ""en"")"),"@drfahrettinkoca as if they had to make many of their wishes and desires, they had to make their vaccination.")</f>
        <v>@drfahrettinkoca as if they had to make many of their wishes and desires, they had to make their vaccination.</v>
      </c>
    </row>
    <row r="16733" spans="1:5" ht="15" customHeight="1" x14ac:dyDescent="0.2">
      <c r="A16733" s="1" t="s">
        <v>32965</v>
      </c>
      <c r="B16733" s="1">
        <v>3</v>
      </c>
      <c r="C16733" s="3">
        <v>44520.700150462966</v>
      </c>
      <c r="D16733" s="1" t="s">
        <v>32966</v>
      </c>
      <c r="E16733" s="1" t="str">
        <f ca="1">IFERROR(__xludf.DUMMYFUNCTION("GOOGLETRANSLATE(A13532 , ""tr"" , ""en"")"),"@drfahrettinkoca 50 million of the kaci with your own wish and desire do you have a questionnaire Mr. Minister. ... https://t.co/5gimkic387")</f>
        <v>@drfahrettinkoca 50 million of the kaci with your own wish and desire do you have a questionnaire Mr. Minister. ... https://t.co/5gimkic387</v>
      </c>
    </row>
    <row r="16734" spans="1:5" ht="15" customHeight="1" x14ac:dyDescent="0.2">
      <c r="A16734" s="1" t="s">
        <v>32967</v>
      </c>
      <c r="B16734" s="1">
        <v>0</v>
      </c>
      <c r="C16734" s="3">
        <v>44520.699652777781</v>
      </c>
      <c r="D16734" s="1" t="s">
        <v>32968</v>
      </c>
      <c r="E16734" s="1" t="str">
        <f ca="1">IFERROR(__xludf.DUMMYFUNCTION("GOOGLETRANSLATE(A13533 , ""tr"" , ""en"")"),"@drfahrettinkoca If a single person dies from my family you haven't done online schools to your sin, be your sin vebali neck")</f>
        <v>@drfahrettinkoca If a single person dies from my family you haven't done online schools to your sin, be your sin vebali neck</v>
      </c>
    </row>
    <row r="16735" spans="1:5" ht="15" customHeight="1" x14ac:dyDescent="0.2">
      <c r="A16735" s="1" t="s">
        <v>32969</v>
      </c>
      <c r="B16735" s="1">
        <v>1</v>
      </c>
      <c r="C16735" s="3">
        <v>44520.699328703704</v>
      </c>
      <c r="D16735" s="1" t="s">
        <v>32970</v>
      </c>
      <c r="E16735" s="1" t="str">
        <f ca="1">IFERROR(__xludf.DUMMYFUNCTION("GOOGLETRANSLATE(A13534 , ""tr"" , ""en"")"),"@drfahrettinkoca vaccines used to work Europe would not go to the closure to close bi Now we're tired of your unnecessary liquid propaganda")</f>
        <v>@drfahrettinkoca vaccines used to work Europe would not go to the closure to close bi Now we're tired of your unnecessary liquid propaganda</v>
      </c>
    </row>
    <row r="16736" spans="1:5" ht="15" customHeight="1" x14ac:dyDescent="0.2">
      <c r="A16736" s="1" t="s">
        <v>32971</v>
      </c>
      <c r="B16736" s="1">
        <v>7</v>
      </c>
      <c r="C16736" s="3">
        <v>44520.699270833335</v>
      </c>
      <c r="D16736" s="1" t="s">
        <v>32972</v>
      </c>
      <c r="E16736" s="1" t="str">
        <f ca="1">IFERROR(__xludf.DUMMYFUNCTION("GOOGLETRANSLATE(A13535 , ""tr"" , ""en"")"),"@drfahrettinkoca Do you also write how many you give? HTTPS://T.CO/LTBY8MFL6L")</f>
        <v>@drfahrettinkoca Do you also write how many you give? HTTPS://T.CO/LTBY8MFL6L</v>
      </c>
    </row>
    <row r="16737" spans="1:5" ht="15" customHeight="1" x14ac:dyDescent="0.2">
      <c r="A16737" s="1" t="s">
        <v>32973</v>
      </c>
      <c r="B16737" s="1">
        <v>0</v>
      </c>
      <c r="C16737" s="3">
        <v>44520.698449074072</v>
      </c>
      <c r="D16737" s="1" t="s">
        <v>32974</v>
      </c>
      <c r="E16737" s="1" t="str">
        <f ca="1">IFERROR(__xludf.DUMMYFUNCTION("GOOGLETRANSLATE(A13536 , ""tr"" , ""en"")"),"@drfahrettinka is like three hundred and thirty three (333) dose vaccines have never had vaccinated.")</f>
        <v>@drfahrettinka is like three hundred and thirty three (333) dose vaccines have never had vaccinated.</v>
      </c>
    </row>
    <row r="16738" spans="1:5" ht="15" customHeight="1" x14ac:dyDescent="0.2">
      <c r="A16738" s="1" t="s">
        <v>32975</v>
      </c>
      <c r="B16738" s="1">
        <v>0</v>
      </c>
      <c r="C16738" s="3">
        <v>44520.698379629626</v>
      </c>
      <c r="D16738" s="1" t="s">
        <v>32976</v>
      </c>
      <c r="E16738" s="1" t="str">
        <f ca="1">IFERROR(__xludf.DUMMYFUNCTION("GOOGLETRANSLATE(A13537 , ""tr"" , ""en"")"),"@drfahrettinkoca Banane is not 50 million to 50 million in 50 million us sampling us no why we alacase them.")</f>
        <v>@drfahrettinkoca Banane is not 50 million to 50 million in 50 million us sampling us no why we alacase them.</v>
      </c>
    </row>
    <row r="16739" spans="1:5" ht="15" customHeight="1" x14ac:dyDescent="0.2">
      <c r="A16739" s="1" t="s">
        <v>32977</v>
      </c>
      <c r="B16739" s="1">
        <v>0</v>
      </c>
      <c r="C16739" s="3">
        <v>44520.698298611111</v>
      </c>
      <c r="D16739" s="1" t="s">
        <v>32978</v>
      </c>
      <c r="E16739" s="1" t="str">
        <f ca="1">IFERROR(__xludf.DUMMYFUNCTION("GOOGLETRANSLATE(A13538 , ""tr"" , ""en"")"),"@drfahrettinkoca 50 million grafted ones who are missing grown or the stretchy ones with 34 million, they should be sampled immediately ... https://t.co/gzd1niuelk")</f>
        <v>@drfahrettinkoca 50 million grafted ones who are missing grown or the stretchy ones with 34 million, they should be sampled immediately ... https://t.co/gzd1niuelk</v>
      </c>
    </row>
    <row r="16740" spans="1:5" ht="15" customHeight="1" x14ac:dyDescent="0.2">
      <c r="A16740" s="1" t="s">
        <v>32979</v>
      </c>
      <c r="B16740" s="1">
        <v>0</v>
      </c>
      <c r="C16740" s="3">
        <v>44520.697812500002</v>
      </c>
      <c r="D16740" s="1" t="s">
        <v>32980</v>
      </c>
      <c r="E16740" s="1" t="str">
        <f ca="1">IFERROR(__xludf.DUMMYFUNCTION("GOOGLETRANSLATE(A13539 , ""tr"" , ""en"")"),"@drfahrettinkoca Make all kinds of challenging people we have to have a sample after you have to be closed. Ofcourse")</f>
        <v>@drfahrettinkoca Make all kinds of challenging people we have to have a sample after you have to be closed. Ofcourse</v>
      </c>
    </row>
    <row r="16741" spans="1:5" ht="15" customHeight="1" x14ac:dyDescent="0.2">
      <c r="A16741" s="1" t="s">
        <v>32981</v>
      </c>
      <c r="B16741" s="1">
        <v>0</v>
      </c>
      <c r="C16741" s="3">
        <v>44520.696909722225</v>
      </c>
      <c r="D16741" s="1" t="s">
        <v>32982</v>
      </c>
      <c r="E16741" s="1" t="str">
        <f ca="1">IFERROR(__xludf.DUMMYFUNCTION("GOOGLETRANSLATE(A13540 , ""tr"" , ""en"")"),"@drfahrettinkoca 50 million or if we questioned it with imposing 50 million?")</f>
        <v>@drfahrettinkoca 50 million or if we questioned it with imposing 50 million?</v>
      </c>
    </row>
    <row r="16742" spans="1:5" ht="15" customHeight="1" x14ac:dyDescent="0.2">
      <c r="A16742" s="1" t="s">
        <v>32983</v>
      </c>
      <c r="B16742" s="1">
        <v>0</v>
      </c>
      <c r="C16742" s="3">
        <v>44520.696828703702</v>
      </c>
      <c r="D16742" s="1" t="s">
        <v>32984</v>
      </c>
      <c r="E16742" s="1" t="str">
        <f ca="1">IFERROR(__xludf.DUMMYFUNCTION("GOOGLETRANSLATE(A13541 , ""tr"" , ""en"")"),"@drfahrettinkoca is increasing from it cases we are able to decide 30 million in bi")</f>
        <v>@drfahrettinkoca is increasing from it cases we are able to decide 30 million in bi</v>
      </c>
    </row>
    <row r="16743" spans="1:5" ht="15" customHeight="1" x14ac:dyDescent="0.2">
      <c r="A16743" s="1" t="s">
        <v>32985</v>
      </c>
      <c r="B16743" s="1">
        <v>0</v>
      </c>
      <c r="C16743" s="3">
        <v>44520.693888888891</v>
      </c>
      <c r="D16743" s="1" t="s">
        <v>32986</v>
      </c>
      <c r="E16743" s="1" t="str">
        <f ca="1">IFERROR(__xludf.DUMMYFUNCTION("GOOGLETRANSLATE(A13542 , ""tr"" , ""en"")"),"@drfahrettinka How many doses are currently grafted?")</f>
        <v>@drfahrettinka How many doses are currently grafted?</v>
      </c>
    </row>
    <row r="16744" spans="1:5" ht="15" customHeight="1" x14ac:dyDescent="0.2">
      <c r="A16744" s="1" t="s">
        <v>32987</v>
      </c>
      <c r="B16744" s="1">
        <v>0</v>
      </c>
      <c r="C16744" s="3">
        <v>44520.693807870368</v>
      </c>
      <c r="D16744" s="1" t="s">
        <v>32988</v>
      </c>
      <c r="E16744" s="1" t="str">
        <f ca="1">IFERROR(__xludf.DUMMYFUNCTION("GOOGLETRANSLATE(A13543 , ""tr"" , ""en"")"),"@drfahrettinkoca Netiz No Undecision We Want Vaccine")</f>
        <v>@drfahrettinkoca Netiz No Undecision We Want Vaccine</v>
      </c>
    </row>
    <row r="16745" spans="1:5" ht="15" customHeight="1" x14ac:dyDescent="0.2">
      <c r="A16745" s="1" t="s">
        <v>32989</v>
      </c>
      <c r="B16745" s="1">
        <v>1</v>
      </c>
      <c r="C16745" s="3">
        <v>44520.693645833337</v>
      </c>
      <c r="D16745" s="1" t="s">
        <v>32990</v>
      </c>
      <c r="E16745" s="1" t="str">
        <f ca="1">IFERROR(__xludf.DUMMYFUNCTION("GOOGLETRANSLATE(A13544 , ""tr"" , ""en"")"),"@drfahrettinka First of this Favipiravir i explain bi?")</f>
        <v>@drfahrettinka First of this Favipiravir i explain bi?</v>
      </c>
    </row>
    <row r="16746" spans="1:5" ht="15" customHeight="1" x14ac:dyDescent="0.2">
      <c r="A16746" s="1" t="s">
        <v>32991</v>
      </c>
      <c r="B16746" s="1">
        <v>0</v>
      </c>
      <c r="C16746" s="3">
        <v>44520.693449074075</v>
      </c>
      <c r="D16746" s="1" t="s">
        <v>32992</v>
      </c>
      <c r="E16746" s="1" t="str">
        <f ca="1">IFERROR(__xludf.DUMMYFUNCTION("GOOGLETRANSLATE(A13545 , ""tr"" , ""en"")"),"@drfahrettinka We have not been vaccinated as we have taken the other examples. We have been due to your imposition of indirect vaccine. There is no situation to be taken.")</f>
        <v>@drfahrettinka We have not been vaccinated as we have taken the other examples. We have been due to your imposition of indirect vaccine. There is no situation to be taken.</v>
      </c>
    </row>
    <row r="16747" spans="1:5" ht="15" customHeight="1" x14ac:dyDescent="0.2">
      <c r="A16747" s="1" t="s">
        <v>32993</v>
      </c>
      <c r="B16747" s="1">
        <v>0</v>
      </c>
      <c r="C16747" s="3">
        <v>44520.693043981482</v>
      </c>
      <c r="D16747" s="1" t="s">
        <v>32994</v>
      </c>
      <c r="E16747" s="1" t="str">
        <f ca="1">IFERROR(__xludf.DUMMYFUNCTION("GOOGLETRANSLATE(A13546 , ""tr"" , ""en"")"),"@drfahrettinkoca o Let's see where you wake up 50 million due to the side effects of unknown liquids, where you will flee?")</f>
        <v>@drfahrettinkoca o Let's see where you wake up 50 million due to the side effects of unknown liquids, where you will flee?</v>
      </c>
    </row>
    <row r="16748" spans="1:5" ht="15" customHeight="1" x14ac:dyDescent="0.2">
      <c r="A16748" s="1" t="s">
        <v>32995</v>
      </c>
      <c r="B16748" s="1">
        <v>0</v>
      </c>
      <c r="C16748" s="3">
        <v>44520.692245370374</v>
      </c>
      <c r="D16748" s="1" t="s">
        <v>32996</v>
      </c>
      <c r="E16748" s="1" t="str">
        <f ca="1">IFERROR(__xludf.DUMMYFUNCTION("GOOGLETRANSLATE(A13547 , ""tr"" , ""en"")"),"@drfahrettinkoca who do see the third dose of Sample ALIYO Mr. Minister.")</f>
        <v>@drfahrettinkoca who do see the third dose of Sample ALIYO Mr. Minister.</v>
      </c>
    </row>
    <row r="16749" spans="1:5" ht="15" customHeight="1" x14ac:dyDescent="0.2">
      <c r="A16749" s="1" t="s">
        <v>32997</v>
      </c>
      <c r="B16749" s="1">
        <v>0</v>
      </c>
      <c r="C16749" s="3">
        <v>44520.690798611111</v>
      </c>
      <c r="D16749" s="1" t="s">
        <v>32998</v>
      </c>
      <c r="E16749" s="1" t="str">
        <f ca="1">IFERROR(__xludf.DUMMYFUNCTION("GOOGLETRANSLATE(A13548 , ""tr"" , ""en"")"),"@drfahrettinkoca society is not population over 12 Population A rates are 80 percent imiz")</f>
        <v>@drfahrettinkoca society is not population over 12 Population A rates are 80 percent imiz</v>
      </c>
    </row>
    <row r="16750" spans="1:5" ht="15" customHeight="1" x14ac:dyDescent="0.2">
      <c r="A16750" s="1" t="s">
        <v>32999</v>
      </c>
      <c r="B16750" s="1">
        <v>0</v>
      </c>
      <c r="C16750" s="3">
        <v>44520.690185185187</v>
      </c>
      <c r="D16750" s="1" t="s">
        <v>33000</v>
      </c>
      <c r="E16750" s="1" t="str">
        <f ca="1">IFERROR(__xludf.DUMMYFUNCTION("GOOGLETRANSLATE(A13549 , ""tr"" , ""en"")"),"@drfahrettinkoca is very funny")</f>
        <v>@drfahrettinkoca is very funny</v>
      </c>
    </row>
    <row r="16751" spans="1:5" ht="15" customHeight="1" x14ac:dyDescent="0.2">
      <c r="A16751" s="1" t="s">
        <v>33001</v>
      </c>
      <c r="B16751" s="1">
        <v>1</v>
      </c>
      <c r="C16751" s="3">
        <v>44520.689502314817</v>
      </c>
      <c r="D16751" s="1" t="s">
        <v>33002</v>
      </c>
      <c r="E16751" s="1" t="str">
        <f ca="1">IFERROR(__xludf.DUMMYFUNCTION("GOOGLETRANSLATE(A13550 , ""tr"" , ""en"")"),"@drfahrettinkoca I'm not Deyey Mouse I'm a free person I can give my own decisions and my body is my body Y ... HTTPS://T.CO/XMUXSPJOI8")</f>
        <v>@drfahrettinkoca I'm not Deyey Mouse I'm a free person I can give my own decisions and my body is my body Y ... HTTPS://T.CO/XMUXSPJOI8</v>
      </c>
    </row>
    <row r="16752" spans="1:5" ht="15" customHeight="1" x14ac:dyDescent="0.2">
      <c r="A16752" s="1" t="s">
        <v>33003</v>
      </c>
      <c r="B16752" s="1">
        <v>0</v>
      </c>
      <c r="C16752" s="3">
        <v>44522.972048611111</v>
      </c>
      <c r="D16752" s="1" t="s">
        <v>33004</v>
      </c>
      <c r="E16752" s="1" t="str">
        <f ca="1">IFERROR(__xludf.DUMMYFUNCTION("GOOGLETRANSLATE(A13551 , ""tr"" , ""en"")"),"@drfahrettinkoca women murder children rape violent corruption animal slaughter respects love finished all b ... https://t.co/sfowlwvuqz")</f>
        <v>@drfahrettinkoca women murder children rape violent corruption animal slaughter respects love finished all b ... https://t.co/sfowlwvuqz</v>
      </c>
    </row>
    <row r="16753" spans="1:5" ht="15" customHeight="1" x14ac:dyDescent="0.2">
      <c r="A16753" s="1" t="s">
        <v>33005</v>
      </c>
      <c r="B16753" s="1">
        <v>0</v>
      </c>
      <c r="C16753" s="3">
        <v>44522.88208333333</v>
      </c>
      <c r="D16753" s="1" t="s">
        <v>33006</v>
      </c>
      <c r="E16753" s="1" t="str">
        <f ca="1">IFERROR(__xludf.DUMMYFUNCTION("GOOGLETRANSLATE(A13552 , ""tr"" , ""en"")"),"@drfahrettinka Sayın @ SHIPER MINISTY In the process of this Planemia, you are indulging in your way and the Health you have topped on our https://t.co/ng5rk9db7p")</f>
        <v>@drfahrettinka Sayın @ SHIPER MINISTY In the process of this Planemia, you are indulging in your way and the Health you have topped on our https://t.co/ng5rk9db7p</v>
      </c>
    </row>
    <row r="16754" spans="1:5" ht="15" customHeight="1" x14ac:dyDescent="0.2">
      <c r="A16754" s="1" t="s">
        <v>33007</v>
      </c>
      <c r="B16754" s="1">
        <v>0</v>
      </c>
      <c r="C16754" s="3">
        <v>44521.919699074075</v>
      </c>
      <c r="D16754" s="1" t="s">
        <v>33008</v>
      </c>
      <c r="E16754" s="1" t="str">
        <f ca="1">IFERROR(__xludf.DUMMYFUNCTION("GOOGLETRANSLATE(A13553 , ""tr"" , ""en"")"),"@drfahrettinkoca will not take penalty that makes this violence. A simple simple punishment will be written in Alsada. And the punishment for the court ... https://t.co/1kfkbjlu0d")</f>
        <v>@drfahrettinkoca will not take penalty that makes this violence. A simple simple punishment will be written in Alsada. And the punishment for the court ... https://t.co/1kfkbjlu0d</v>
      </c>
    </row>
    <row r="16755" spans="1:5" ht="15" customHeight="1" x14ac:dyDescent="0.2">
      <c r="A16755" s="1" t="s">
        <v>33009</v>
      </c>
      <c r="B16755" s="1">
        <v>1</v>
      </c>
      <c r="C16755" s="3">
        <v>44519.992905092593</v>
      </c>
      <c r="D16755" s="1" t="s">
        <v>33010</v>
      </c>
      <c r="E16755" s="1" t="str">
        <f ca="1">IFERROR(__xludf.DUMMYFUNCTION("GOOGLETRANSLATE(A13554 , ""tr"" , ""en"")"),"@drfahrettinkoca e hani clasks hani branches")</f>
        <v>@drfahrettinkoca e hani clasks hani branches</v>
      </c>
    </row>
    <row r="16756" spans="1:5" ht="15" customHeight="1" x14ac:dyDescent="0.2">
      <c r="A16756" s="1" t="s">
        <v>33011</v>
      </c>
      <c r="B16756" s="1">
        <v>2</v>
      </c>
      <c r="C16756" s="3">
        <v>44519.979803240742</v>
      </c>
      <c r="D16756" s="1" t="s">
        <v>33012</v>
      </c>
      <c r="E16756" s="1" t="str">
        <f ca="1">IFERROR(__xludf.DUMMYFUNCTION("GOOGLETRANSLATE(A13555 , ""tr"" , ""en"")"),"@drfahrettinkoca Banks in the banks that open the piggy bank supporting the parents of the parents, giving 25% support to each month ... https://t.co/qf2d7akm51")</f>
        <v>@drfahrettinkoca Banks in the banks that open the piggy bank supporting the parents of the parents, giving 25% support to each month ... https://t.co/qf2d7akm51</v>
      </c>
    </row>
    <row r="16757" spans="1:5" ht="15" customHeight="1" x14ac:dyDescent="0.2">
      <c r="A16757" s="1" t="s">
        <v>33013</v>
      </c>
      <c r="B16757" s="1">
        <v>0</v>
      </c>
      <c r="C16757" s="3">
        <v>44519.97865740741</v>
      </c>
      <c r="D16757" s="1" t="s">
        <v>33014</v>
      </c>
      <c r="E16757" s="1" t="str">
        <f ca="1">IFERROR(__xludf.DUMMYFUNCTION("GOOGLETRANSLATE(A13556 , ""tr"" , ""en"")"),"@drfahrettinka how to support piggy bank accounts in banks, how to support the campaigns of SMA LI babies in SMA LI ... Https://t.co/bnz1gqt5bk")</f>
        <v>@drfahrettinka how to support piggy bank accounts in banks, how to support the campaigns of SMA LI babies in SMA LI ... Https://t.co/bnz1gqt5bk</v>
      </c>
    </row>
    <row r="16758" spans="1:5" ht="15" customHeight="1" x14ac:dyDescent="0.2">
      <c r="A16758" s="1" t="s">
        <v>33015</v>
      </c>
      <c r="B16758" s="1">
        <v>0</v>
      </c>
      <c r="C16758" s="3">
        <v>44519.977951388886</v>
      </c>
      <c r="D16758" s="1" t="s">
        <v>33016</v>
      </c>
      <c r="E16758" s="1" t="str">
        <f ca="1">IFERROR(__xludf.DUMMYFUNCTION("GOOGLETRANSLATE(A13557 , ""tr"" , ""en"")"),"@drfahrettinkoca where is this state ??? Why do SMA LI babies do not exit !!!! ?? #Muzafferbizeeman")</f>
        <v>@drfahrettinkoca where is this state ??? Why do SMA LI babies do not exit !!!! ?? #Muzafferbizeeman</v>
      </c>
    </row>
    <row r="16759" spans="1:5" ht="15" customHeight="1" x14ac:dyDescent="0.2">
      <c r="A16759" s="1" t="s">
        <v>33017</v>
      </c>
      <c r="B16759" s="1">
        <v>0</v>
      </c>
      <c r="C16759" s="3">
        <v>44519.977337962962</v>
      </c>
      <c r="D16759" s="1" t="s">
        <v>33018</v>
      </c>
      <c r="E16759" s="1" t="str">
        <f ca="1">IFERROR(__xludf.DUMMYFUNCTION("GOOGLETRANSLATE(A13558 , ""tr"" , ""en"")"),"@drfahrettinkoca is no longer ignoring SMA !!! #Muzafferbizeeman")</f>
        <v>@drfahrettinkoca is no longer ignoring SMA !!! #Muzafferbizeeman</v>
      </c>
    </row>
    <row r="16760" spans="1:5" ht="15" customHeight="1" x14ac:dyDescent="0.2">
      <c r="A16760" s="1" t="s">
        <v>33019</v>
      </c>
      <c r="B16760" s="1">
        <v>0</v>
      </c>
      <c r="C16760" s="3">
        <v>44519.976898148147</v>
      </c>
      <c r="D16760" s="1" t="s">
        <v>33020</v>
      </c>
      <c r="E16760" s="1" t="str">
        <f ca="1">IFERROR(__xludf.DUMMYFUNCTION("GOOGLETRANSLATE(A13559 , ""tr"" , ""en"")"),"@drfahrettinkoca tiny bodies are waiting for support from the state !! #Muzafferbizeeman")</f>
        <v>@drfahrettinkoca tiny bodies are waiting for support from the state !! #Muzafferbizeeman</v>
      </c>
    </row>
    <row r="16761" spans="1:5" ht="15" customHeight="1" x14ac:dyDescent="0.2">
      <c r="A16761" s="1" t="s">
        <v>33021</v>
      </c>
      <c r="B16761" s="1">
        <v>0</v>
      </c>
      <c r="C16761" s="3">
        <v>44519.975682870368</v>
      </c>
      <c r="D16761" s="1" t="s">
        <v>33022</v>
      </c>
      <c r="E16761" s="1" t="str">
        <f ca="1">IFERROR(__xludf.DUMMYFUNCTION("GOOGLETRANSLATE(A13560 , ""tr"" , ""en"")"),"@drfahrettinkoca #muzafferbizeManet Is you at Safety ????")</f>
        <v>@drfahrettinkoca #muzafferbizeManet Is you at Safety ????</v>
      </c>
    </row>
    <row r="16762" spans="1:5" ht="15" customHeight="1" x14ac:dyDescent="0.2">
      <c r="A16762" s="1" t="s">
        <v>33023</v>
      </c>
      <c r="B16762" s="1">
        <v>0</v>
      </c>
      <c r="C16762" s="3">
        <v>44519.975370370368</v>
      </c>
      <c r="D16762" s="1" t="s">
        <v>33024</v>
      </c>
      <c r="E16762" s="1" t="str">
        <f ca="1">IFERROR(__xludf.DUMMYFUNCTION("GOOGLETRANSLATE(A13561 , ""tr"" , ""en"")"),"@drfahrettinkoca should now be done !!! SMA-LI kids should not be ignored ???! A mother's dear sacrifice ... https://t.co/lkfknajy2b")</f>
        <v>@drfahrettinkoca should now be done !!! SMA-LI kids should not be ignored ???! A mother's dear sacrifice ... https://t.co/lkfknajy2b</v>
      </c>
    </row>
    <row r="16763" spans="1:5" ht="15" customHeight="1" x14ac:dyDescent="0.2">
      <c r="A16763" s="1" t="s">
        <v>33025</v>
      </c>
      <c r="B16763" s="1">
        <v>0</v>
      </c>
      <c r="C16763" s="3">
        <v>44519.975138888891</v>
      </c>
      <c r="D16763" s="1" t="s">
        <v>33026</v>
      </c>
      <c r="E16763" s="1" t="str">
        <f ca="1">IFERROR(__xludf.DUMMYFUNCTION("GOOGLETRANSLATE(A13562 , ""tr"" , ""en"")"),"@drfahrettinkoca Laws When you aren't going to go on the movement, but the Minister of Coukadar Oluyo")</f>
        <v>@drfahrettinkoca Laws When you aren't going to go on the movement, but the Minister of Coukadar Oluyo</v>
      </c>
    </row>
    <row r="16764" spans="1:5" ht="15" customHeight="1" x14ac:dyDescent="0.2">
      <c r="A16764" s="1" t="s">
        <v>33027</v>
      </c>
      <c r="B16764" s="1">
        <v>0</v>
      </c>
      <c r="C16764" s="3">
        <v>44519.974386574075</v>
      </c>
      <c r="D16764" s="1" t="s">
        <v>33028</v>
      </c>
      <c r="E16764" s="1" t="str">
        <f ca="1">IFERROR(__xludf.DUMMYFUNCTION("GOOGLETRANSLATE(A13563 , ""tr"" , ""en"")"),"@drfahrettinkoca #muzafferbizeManet")</f>
        <v>@drfahrettinkoca #muzafferbizeManet</v>
      </c>
    </row>
    <row r="16765" spans="1:5" ht="15" customHeight="1" x14ac:dyDescent="0.2">
      <c r="A16765" s="1" t="s">
        <v>33029</v>
      </c>
      <c r="B16765" s="1">
        <v>0</v>
      </c>
      <c r="C16765" s="3">
        <v>44519.974212962959</v>
      </c>
      <c r="D16765" s="1" t="s">
        <v>33030</v>
      </c>
      <c r="E16765" s="1" t="str">
        <f ca="1">IFERROR(__xludf.DUMMYFUNCTION("GOOGLETRANSLATE(A13564 , ""tr"" , ""en"")"),"@drfahrettinka has sacrificed a mother to announce his married!? You still don't see it !!! ?? #Muzafferbizeeman")</f>
        <v>@drfahrettinka has sacrificed a mother to announce his married!? You still don't see it !!! ?? #Muzafferbizeeman</v>
      </c>
    </row>
    <row r="16766" spans="1:5" ht="15" customHeight="1" x14ac:dyDescent="0.2">
      <c r="A16766" s="1" t="s">
        <v>33031</v>
      </c>
      <c r="B16766" s="1">
        <v>0</v>
      </c>
      <c r="C16766" s="3">
        <v>44519.973749999997</v>
      </c>
      <c r="D16766" s="1" t="s">
        <v>33032</v>
      </c>
      <c r="E16766" s="1" t="str">
        <f ca="1">IFERROR(__xludf.DUMMYFUNCTION("GOOGLETRANSLATE(A13565 , ""tr"" , ""en"")"),"@drfahrettinka Mr. Minister When I can't walk the nurse foot in the wrong place in emergency ... https://t.co/cgxkowppch")</f>
        <v>@drfahrettinka Mr. Minister When I can't walk the nurse foot in the wrong place in emergency ... https://t.co/cgxkowppch</v>
      </c>
    </row>
    <row r="16767" spans="1:5" ht="15" customHeight="1" x14ac:dyDescent="0.2">
      <c r="A16767" s="1" t="s">
        <v>33033</v>
      </c>
      <c r="B16767" s="1">
        <v>0</v>
      </c>
      <c r="C16767" s="3">
        <v>44519.973738425928</v>
      </c>
      <c r="D16767" s="1" t="s">
        <v>33034</v>
      </c>
      <c r="E16767" s="1" t="str">
        <f ca="1">IFERROR(__xludf.DUMMYFUNCTION("GOOGLETRANSLATE(A13566 , ""tr"" , ""en"")"),"@drfahrettinkoca Muzaffer Motherless stayed! How can you ignore it still ?? #Muzafferbizeeman")</f>
        <v>@drfahrettinkoca Muzaffer Motherless stayed! How can you ignore it still ?? #Muzafferbizeeman</v>
      </c>
    </row>
    <row r="16768" spans="1:5" ht="15" customHeight="1" x14ac:dyDescent="0.2">
      <c r="A16768" s="1" t="s">
        <v>33035</v>
      </c>
      <c r="B16768" s="1">
        <v>0</v>
      </c>
      <c r="C16768" s="3">
        <v>44519.972511574073</v>
      </c>
      <c r="D16768" s="1" t="s">
        <v>33036</v>
      </c>
      <c r="E16768" s="1" t="str">
        <f ca="1">IFERROR(__xludf.DUMMYFUNCTION("GOOGLETRANSLATE(A13567 , ""tr"" , ""en"")"),"@drfahrettinkoca 😂😂😂😂😂😂")</f>
        <v>@drfahrettinkoca 😂😂😂😂😂😂</v>
      </c>
    </row>
    <row r="16769" spans="1:5" ht="15" customHeight="1" x14ac:dyDescent="0.2">
      <c r="A16769" s="1" t="s">
        <v>33037</v>
      </c>
      <c r="B16769" s="1">
        <v>0</v>
      </c>
      <c r="C16769" s="3">
        <v>44519.970775462964</v>
      </c>
      <c r="D16769" s="1" t="s">
        <v>33038</v>
      </c>
      <c r="E16769" s="1" t="str">
        <f ca="1">IFERROR(__xludf.DUMMYFUNCTION("GOOGLETRANSLATE(A13568 , ""tr"" , ""en"")"),"@drfahrettinka Mr. Ministry The most important reason for increasing violence in health is reduced secretariat .. Https://t.co/5y3vakajag")</f>
        <v>@drfahrettinka Mr. Ministry The most important reason for increasing violence in health is reduced secretariat .. Https://t.co/5y3vakajag</v>
      </c>
    </row>
    <row r="16770" spans="1:5" ht="15" customHeight="1" x14ac:dyDescent="0.2">
      <c r="A16770" s="1" t="s">
        <v>33039</v>
      </c>
      <c r="B16770" s="1">
        <v>38</v>
      </c>
      <c r="C16770" s="3">
        <v>44519.969039351854</v>
      </c>
      <c r="D16770" s="1" t="s">
        <v>33040</v>
      </c>
      <c r="E16770" s="1" t="str">
        <f ca="1">IFERROR(__xludf.DUMMYFUNCTION("GOOGLETRANSLATE(A13569 , ""tr"" , ""en"")"),"@drfahrettinka Mr. Ministry please talk to physicians from the field .. Please .. We can really help you. SO ... https://t.co/hpsvfaej5n")</f>
        <v>@drfahrettinka Mr. Ministry please talk to physicians from the field .. Please .. We can really help you. SO ... https://t.co/hpsvfaej5n</v>
      </c>
    </row>
    <row r="16771" spans="1:5" ht="15" customHeight="1" x14ac:dyDescent="0.2">
      <c r="A16771" s="1" t="s">
        <v>33041</v>
      </c>
      <c r="B16771" s="1">
        <v>0</v>
      </c>
      <c r="C16771" s="3">
        <v>44519.968981481485</v>
      </c>
      <c r="D16771" s="1" t="s">
        <v>33042</v>
      </c>
      <c r="E16771" s="1" t="str">
        <f ca="1">IFERROR(__xludf.DUMMYFUNCTION("GOOGLETRANSLATE(A13570 , ""tr"" , ""en"")"),"@drfahrettinkoca I think the doctor needs to be placed in the camera rooms, if the patient attitude and behavior under supervision ... https://t.co/z2nmxg0aqp")</f>
        <v>@drfahrettinkoca I think the doctor needs to be placed in the camera rooms, if the patient attitude and behavior under supervision ... https://t.co/z2nmxg0aqp</v>
      </c>
    </row>
    <row r="16772" spans="1:5" ht="15" customHeight="1" x14ac:dyDescent="0.2">
      <c r="A16772" s="1" t="s">
        <v>33043</v>
      </c>
      <c r="B16772" s="1">
        <v>0</v>
      </c>
      <c r="C16772" s="3">
        <v>44519.968715277777</v>
      </c>
      <c r="D16772" s="1" t="s">
        <v>33044</v>
      </c>
      <c r="E16772" s="1" t="str">
        <f ca="1">IFERROR(__xludf.DUMMYFUNCTION("GOOGLETRANSLATE(A13571 , ""tr"" , ""en"")"),"@drfahrettinkoca Dear Genocircity, since it refused to be the genocide, not even in the hospital.")</f>
        <v>@drfahrettinkoca Dear Genocircity, since it refused to be the genocide, not even in the hospital.</v>
      </c>
    </row>
    <row r="16773" spans="1:5" ht="15" customHeight="1" x14ac:dyDescent="0.2">
      <c r="A16773" s="1" t="s">
        <v>33045</v>
      </c>
      <c r="B16773" s="1">
        <v>0</v>
      </c>
      <c r="C16773" s="3">
        <v>44519.967523148145</v>
      </c>
      <c r="D16773" s="1" t="s">
        <v>33046</v>
      </c>
      <c r="E16773" s="1" t="str">
        <f ca="1">IFERROR(__xludf.DUMMYFUNCTION("GOOGLETRANSLATE(A13572 , ""tr"" , ""en"")"),"@drfahrettinkoca is obvious that the problems will drive as long as you are.")</f>
        <v>@drfahrettinkoca is obvious that the problems will drive as long as you are.</v>
      </c>
    </row>
    <row r="16774" spans="1:5" ht="15" customHeight="1" x14ac:dyDescent="0.2">
      <c r="A16774" s="1" t="s">
        <v>33047</v>
      </c>
      <c r="B16774" s="1">
        <v>0</v>
      </c>
      <c r="C16774" s="3">
        <v>44519.966631944444</v>
      </c>
      <c r="D16774" s="1" t="s">
        <v>33048</v>
      </c>
      <c r="E16774" s="1" t="str">
        <f ca="1">IFERROR(__xludf.DUMMYFUNCTION("GOOGLETRANSLATE(A13573 , ""tr"" , ""en"")"),"@drfahrettinkoca no one has a word of health workers who make the job of pushing the work properly but some deserves ge ... https://t.co/5gep620h5I")</f>
        <v>@drfahrettinkoca no one has a word of health workers who make the job of pushing the work properly but some deserves ge ... https://t.co/5gep620h5I</v>
      </c>
    </row>
    <row r="16775" spans="1:5" ht="15" customHeight="1" x14ac:dyDescent="0.2">
      <c r="A16775" s="1" t="s">
        <v>33049</v>
      </c>
      <c r="B16775" s="1">
        <v>2</v>
      </c>
      <c r="C16775" s="3">
        <v>44519.965810185182</v>
      </c>
      <c r="D16775" s="1" t="s">
        <v>33050</v>
      </c>
      <c r="E16775" s="1" t="str">
        <f ca="1">IFERROR(__xludf.DUMMYFUNCTION("GOOGLETRANSLATE(A13574 , ""tr"" , ""en"")"),"@drfahrettinkoca Even the weather has not even giving our loved ones, even the masked killed drugs, even the prohibited drugs in the world ... https://t.co/rlgtwlmdq8")</f>
        <v>@drfahrettinkoca Even the weather has not even giving our loved ones, even the masked killed drugs, even the prohibited drugs in the world ... https://t.co/rlgtwlmdq8</v>
      </c>
    </row>
    <row r="16776" spans="1:5" ht="15" customHeight="1" x14ac:dyDescent="0.2">
      <c r="A16776" s="1" t="s">
        <v>33051</v>
      </c>
      <c r="B16776" s="1">
        <v>0</v>
      </c>
      <c r="C16776" s="3">
        <v>44519.964525462965</v>
      </c>
      <c r="D16776" s="1" t="s">
        <v>33052</v>
      </c>
      <c r="E16776" s="1" t="str">
        <f ca="1">IFERROR(__xludf.DUMMYFUNCTION("GOOGLETRANSLATE(A13575 , ""tr"" , ""en"")"),"@drfahrettinkoca Either my minister are you ever examined in a state hospital as a normal citizen? I'm violent ... https://t.co/ujge2l9IMi")</f>
        <v>@drfahrettinkoca Either my minister are you ever examined in a state hospital as a normal citizen? I'm violent ... https://t.co/ujge2l9IMi</v>
      </c>
    </row>
    <row r="16777" spans="1:5" ht="15" customHeight="1" x14ac:dyDescent="0.2">
      <c r="A16777" s="1" t="s">
        <v>33053</v>
      </c>
      <c r="B16777" s="1">
        <v>0</v>
      </c>
      <c r="C16777" s="3">
        <v>44519.963148148148</v>
      </c>
      <c r="D16777" s="1" t="s">
        <v>33054</v>
      </c>
      <c r="E16777" s="1" t="str">
        <f ca="1">IFERROR(__xludf.DUMMYFUNCTION("GOOGLETRANSLATE(A13576 , ""tr"" , ""en"")"),"@drfahrettinkoca SIDETE is opposite Eyvallah Lakin Health Workers Contact Training Training Some Doctors ... https://t.co/zyatnuouwp")</f>
        <v>@drfahrettinkoca SIDETE is opposite Eyvallah Lakin Health Workers Contact Training Training Some Doctors ... https://t.co/zyatnuouwp</v>
      </c>
    </row>
    <row r="16778" spans="1:5" ht="15" customHeight="1" x14ac:dyDescent="0.2">
      <c r="A16778" s="1" t="s">
        <v>33055</v>
      </c>
      <c r="B16778" s="1">
        <v>0</v>
      </c>
      <c r="C16778" s="3">
        <v>44519.962361111109</v>
      </c>
      <c r="D16778" s="1" t="s">
        <v>33056</v>
      </c>
      <c r="E16778" s="1" t="str">
        <f ca="1">IFERROR(__xludf.DUMMYFUNCTION("GOOGLETRANSLATE(A13577 , ""tr"" , ""en"")"),"@drfahrettinkoca doctors from the nurse or even patient including patient lost personnel and patient near the patient ... https://t.co/4xqanznipd")</f>
        <v>@drfahrettinkoca doctors from the nurse or even patient including patient lost personnel and patient near the patient ... https://t.co/4xqanznipd</v>
      </c>
    </row>
    <row r="16779" spans="1:5" ht="15" customHeight="1" x14ac:dyDescent="0.2">
      <c r="A16779" s="1" t="s">
        <v>15979</v>
      </c>
      <c r="B16779" s="1">
        <v>0</v>
      </c>
      <c r="C16779" s="3">
        <v>44519.960925925923</v>
      </c>
      <c r="D16779" s="1" t="s">
        <v>33057</v>
      </c>
      <c r="E16779" s="1" t="str">
        <f ca="1">IFERROR(__xludf.DUMMYFUNCTION("GOOGLETRANSLATE(A13578 , ""tr"" , ""en"")"),"@drfahrettinkoca guanuzzz")</f>
        <v>@drfahrettinkoca guanuzzz</v>
      </c>
    </row>
    <row r="16780" spans="1:5" ht="15" customHeight="1" x14ac:dyDescent="0.2">
      <c r="A16780" s="1" t="s">
        <v>33058</v>
      </c>
      <c r="B16780" s="1">
        <v>0</v>
      </c>
      <c r="C16780" s="3">
        <v>44519.957939814813</v>
      </c>
      <c r="D16780" s="1" t="s">
        <v>33059</v>
      </c>
      <c r="E16780" s="1" t="str">
        <f ca="1">IFERROR(__xludf.DUMMYFUNCTION("GOOGLETRANSLATE(A13579 , ""tr"" , ""en"")"),"@drfahrettinkoca Then the problem is not a deterrent, not enough deterrent of the criminal law, not the society. By the way a ... https://t.co/hblzb9ohjd")</f>
        <v>@drfahrettinkoca Then the problem is not a deterrent, not enough deterrent of the criminal law, not the society. By the way a ... https://t.co/hblzb9ohjd</v>
      </c>
    </row>
    <row r="16781" spans="1:5" ht="15" customHeight="1" x14ac:dyDescent="0.2">
      <c r="A16781" s="1" t="s">
        <v>33060</v>
      </c>
      <c r="B16781" s="1">
        <v>0</v>
      </c>
      <c r="C16781" s="3">
        <v>44519.9534375</v>
      </c>
      <c r="D16781" s="1" t="s">
        <v>33061</v>
      </c>
      <c r="E16781" s="1" t="str">
        <f ca="1">IFERROR(__xludf.DUMMYFUNCTION("GOOGLETRANSLATE(A13580 , ""tr"" , ""en"")"),"@drfahrettinkoca What Hikmetse is this health personnel very friendly friendly in private hospitals. With human ... https://t.co/qd5gp0wjed")</f>
        <v>@drfahrettinkoca What Hikmetse is this health personnel very friendly friendly in private hospitals. With human ... https://t.co/qd5gp0wjed</v>
      </c>
    </row>
    <row r="16782" spans="1:5" ht="15" customHeight="1" x14ac:dyDescent="0.2">
      <c r="A16782" s="1" t="s">
        <v>33062</v>
      </c>
      <c r="B16782" s="1">
        <v>0</v>
      </c>
      <c r="C16782" s="3">
        <v>44519.952256944445</v>
      </c>
      <c r="D16782" s="1" t="s">
        <v>33063</v>
      </c>
      <c r="E16782" s="1" t="str">
        <f ca="1">IFERROR(__xludf.DUMMYFUNCTION("GOOGLETRANSLATE(A13581 , ""tr"" , ""en"")"),"@drfahrettinkoca Single Health Worker Dr. Are you on the employee of Pharmacy, including Saturday. ... HTTPS://T.CO/1P6PKIZ8YR")</f>
        <v>@drfahrettinkoca Single Health Worker Dr. Are you on the employee of Pharmacy, including Saturday. ... HTTPS://T.CO/1P6PKIZ8YR</v>
      </c>
    </row>
    <row r="16783" spans="1:5" ht="15" customHeight="1" x14ac:dyDescent="0.2">
      <c r="A16783" s="1" t="s">
        <v>33064</v>
      </c>
      <c r="B16783" s="1">
        <v>0</v>
      </c>
      <c r="C16783" s="3">
        <v>44519.951516203706</v>
      </c>
      <c r="D16783" s="1" t="s">
        <v>33065</v>
      </c>
      <c r="E16783" s="1" t="str">
        <f ca="1">IFERROR(__xludf.DUMMYFUNCTION("GOOGLETRANSLATE(A13582 , ""tr"" , ""en"")"),"@drfahrettinkoca @Olu, so we are showing respect to health care when you will respect the public. Daya ... https://t.co/lhlmzx5rqz")</f>
        <v>@drfahrettinkoca @Olu, so we are showing respect to health care when you will respect the public. Daya ... https://t.co/lhlmzx5rqz</v>
      </c>
    </row>
    <row r="16784" spans="1:5" ht="15" customHeight="1" x14ac:dyDescent="0.2">
      <c r="A16784" s="1" t="s">
        <v>33066</v>
      </c>
      <c r="B16784" s="1">
        <v>0</v>
      </c>
      <c r="C16784" s="3">
        <v>44519.950706018521</v>
      </c>
      <c r="D16784" s="1" t="s">
        <v>33067</v>
      </c>
      <c r="E16784" s="1" t="str">
        <f ca="1">IFERROR(__xludf.DUMMYFUNCTION("GOOGLETRANSLATE(A13583 , ""tr"" , ""en"")"),"@drfahrettinkoca yes my minister is now enough in this country we don't have only huts in this country we don't have to sound on ours ... https://t.co/xvmzqdgbs4")</f>
        <v>@drfahrettinkoca yes my minister is now enough in this country we don't have only huts in this country we don't have to sound on ours ... https://t.co/xvmzqdgbs4</v>
      </c>
    </row>
    <row r="16785" spans="1:5" ht="15" customHeight="1" x14ac:dyDescent="0.2">
      <c r="A16785" s="1" t="s">
        <v>33068</v>
      </c>
      <c r="B16785" s="1">
        <v>0</v>
      </c>
      <c r="C16785" s="3">
        <v>44519.950648148151</v>
      </c>
      <c r="D16785" s="1" t="s">
        <v>33069</v>
      </c>
      <c r="E16785" s="1" t="str">
        <f ca="1">IFERROR(__xludf.DUMMYFUNCTION("GOOGLETRANSLATE(A13584 , ""tr"" , ""en"")"),"@drfahrettinkoca expect, of course one day ....")</f>
        <v>@drfahrettinkoca expect, of course one day ....</v>
      </c>
    </row>
    <row r="16786" spans="1:5" ht="15" customHeight="1" x14ac:dyDescent="0.2">
      <c r="A16786" s="1" t="s">
        <v>33070</v>
      </c>
      <c r="B16786" s="1">
        <v>0</v>
      </c>
      <c r="C16786" s="3">
        <v>44519.94935185185</v>
      </c>
      <c r="D16786" s="1" t="s">
        <v>33071</v>
      </c>
      <c r="E16786" s="1" t="str">
        <f ca="1">IFERROR(__xludf.DUMMYFUNCTION("GOOGLETRANSLATE(A13585 , ""tr"" , ""en"")"),"@drfahrettinkoca @drfahrettinkoca Disabled healthcareists, disabled officers, can be served with disabilities, Https://t.co/h8qcszlddt")</f>
        <v>@drfahrettinkoca @drfahrettinkoca Disabled healthcareists, disabled officers, can be served with disabilities, Https://t.co/h8qcszlddt</v>
      </c>
    </row>
    <row r="16787" spans="1:5" ht="15" customHeight="1" x14ac:dyDescent="0.2">
      <c r="A16787" s="1" t="s">
        <v>33072</v>
      </c>
      <c r="B16787" s="1">
        <v>0</v>
      </c>
      <c r="C16787" s="3">
        <v>44519.94872685185</v>
      </c>
      <c r="D16787" s="1" t="s">
        <v>33073</v>
      </c>
      <c r="E16787" s="1" t="str">
        <f ca="1">IFERROR(__xludf.DUMMYFUNCTION("GOOGLETRANSLATE(A13586 , ""tr"" , ""en"")"),"@drfahrettinkoca Doctor or if any employee is below the patient, these ones do not act from the hill and treat humanly. HTTPS://T.CO/X5IPGTPYS3")</f>
        <v>@drfahrettinkoca Doctor or if any employee is below the patient, these ones do not act from the hill and treat humanly. HTTPS://T.CO/X5IPGTPYS3</v>
      </c>
    </row>
    <row r="16788" spans="1:5" ht="15" customHeight="1" x14ac:dyDescent="0.2">
      <c r="A16788" s="1" t="s">
        <v>33074</v>
      </c>
      <c r="B16788" s="1">
        <v>15</v>
      </c>
      <c r="C16788" s="3">
        <v>44519.947627314818</v>
      </c>
      <c r="D16788" s="1" t="s">
        <v>33075</v>
      </c>
      <c r="E16788" s="1" t="str">
        <f ca="1">IFERROR(__xludf.DUMMYFUNCTION("GOOGLETRANSLATE(A13587 , ""tr"" , ""en"")"),"@drfahrettinkoca Which society will be mobilizing 3 4 dosing graphed soldiers.")</f>
        <v>@drfahrettinkoca Which society will be mobilizing 3 4 dosing graphed soldiers.</v>
      </c>
    </row>
    <row r="16789" spans="1:5" ht="15" customHeight="1" x14ac:dyDescent="0.2">
      <c r="A16789" s="1" t="s">
        <v>33076</v>
      </c>
      <c r="B16789" s="1">
        <v>0</v>
      </c>
      <c r="C16789" s="3">
        <v>44519.946226851855</v>
      </c>
      <c r="D16789" s="1" t="s">
        <v>33077</v>
      </c>
      <c r="E16789" s="1" t="str">
        <f ca="1">IFERROR(__xludf.DUMMYFUNCTION("GOOGLETRANSLATE(A13588 , ""tr"" , ""en"")"),"@drfahrettinkoca society Why I need to ask that in this case.")</f>
        <v>@drfahrettinkoca society Why I need to ask that in this case.</v>
      </c>
    </row>
    <row r="16790" spans="1:5" ht="15" customHeight="1" x14ac:dyDescent="0.2">
      <c r="A16790" s="1" t="s">
        <v>33078</v>
      </c>
      <c r="B16790" s="1">
        <v>0</v>
      </c>
      <c r="C16790" s="3">
        <v>44519.945925925924</v>
      </c>
      <c r="D16790" s="1" t="s">
        <v>33079</v>
      </c>
      <c r="E16790" s="1" t="str">
        <f ca="1">IFERROR(__xludf.DUMMYFUNCTION("GOOGLETRANSLATE(A13589 , ""tr"" , ""en"")"),"@drfahrettinkoca is unfortunately this is very much but very passive on it. The workload is increasing both, both better quality ... https://t.co/uwuqybm1ha")</f>
        <v>@drfahrettinkoca is unfortunately this is very much but very passive on it. The workload is increasing both, both better quality ... https://t.co/uwuqybm1ha</v>
      </c>
    </row>
    <row r="16791" spans="1:5" ht="15" customHeight="1" x14ac:dyDescent="0.2">
      <c r="A16791" s="1" t="s">
        <v>33080</v>
      </c>
      <c r="B16791" s="1">
        <v>0</v>
      </c>
      <c r="C16791" s="3">
        <v>44519.945416666669</v>
      </c>
      <c r="D16791" s="1" t="s">
        <v>33081</v>
      </c>
      <c r="E16791" s="1" t="str">
        <f ca="1">IFERROR(__xludf.DUMMYFUNCTION("GOOGLETRANSLATE(A13590 , ""tr"" , ""en"")"),"Millions in the world @drfahrettinka were killed because of the wrong Covit treatment. Still a liquid with no formal license ... https://t.co/2mgrcj1vbv")</f>
        <v>Millions in the world @drfahrettinka were killed because of the wrong Covit treatment. Still a liquid with no formal license ... https://t.co/2mgrcj1vbv</v>
      </c>
    </row>
    <row r="16792" spans="1:5" ht="15" customHeight="1" x14ac:dyDescent="0.2">
      <c r="A16792" s="1" t="s">
        <v>33082</v>
      </c>
      <c r="B16792" s="1">
        <v>0</v>
      </c>
      <c r="C16792" s="3">
        <v>44519.945393518516</v>
      </c>
      <c r="D16792" s="1" t="s">
        <v>33083</v>
      </c>
      <c r="E16792" s="1" t="str">
        <f ca="1">IFERROR(__xludf.DUMMYFUNCTION("GOOGLETRANSLATE(A13591 , ""tr"" , ""en"")"),"@drfahrettinkoca healthcareists are not a few branches to lonce please consider taking this in a thousand m ... https://t.co/1puhwmbyql")</f>
        <v>@drfahrettinkoca healthcareists are not a few branches to lonce please consider taking this in a thousand m ... https://t.co/1puhwmbyql</v>
      </c>
    </row>
    <row r="16793" spans="1:5" ht="15" customHeight="1" x14ac:dyDescent="0.2">
      <c r="A16793" s="1" t="s">
        <v>33084</v>
      </c>
      <c r="B16793" s="1">
        <v>108</v>
      </c>
      <c r="C16793" s="3">
        <v>44519.944780092592</v>
      </c>
      <c r="D16793" s="1" t="s">
        <v>33085</v>
      </c>
      <c r="E16793" s="1" t="str">
        <f ca="1">IFERROR(__xludf.DUMMYFUNCTION("GOOGLETRANSLATE(A13592 , ""tr"" , ""en"")"),"@drfahrettinkoca I am on the violence on healthpieces, and I am on the crimes that some healthcareists are against the citizen. ... https://t.co/f8ohn0bgyk")</f>
        <v>@drfahrettinkoca I am on the violence on healthpieces, and I am on the crimes that some healthcareists are against the citizen. ... https://t.co/f8ohn0bgyk</v>
      </c>
    </row>
    <row r="16794" spans="1:5" ht="15" customHeight="1" x14ac:dyDescent="0.2">
      <c r="A16794" s="1" t="s">
        <v>33086</v>
      </c>
      <c r="B16794" s="1">
        <v>0</v>
      </c>
      <c r="C16794" s="3">
        <v>44519.944212962961</v>
      </c>
      <c r="D16794" s="1" t="s">
        <v>33087</v>
      </c>
      <c r="E16794" s="1" t="str">
        <f ca="1">IFERROR(__xludf.DUMMYFUNCTION("GOOGLETRANSLATE(A13593 , ""tr"" , ""en"")"),"@drfahrettinkoca The reason why the guide is still not coming 39 Branna is trying to purchase with fair dispersion ... https://t.co/cvjwfwrcsv")</f>
        <v>@drfahrettinkoca The reason why the guide is still not coming 39 Branna is trying to purchase with fair dispersion ... https://t.co/cvjwfwrcsv</v>
      </c>
    </row>
    <row r="16795" spans="1:5" ht="15" customHeight="1" x14ac:dyDescent="0.2">
      <c r="A16795" s="1" t="s">
        <v>33088</v>
      </c>
      <c r="B16795" s="1">
        <v>0</v>
      </c>
      <c r="C16795" s="3">
        <v>44519.942847222221</v>
      </c>
      <c r="D16795" s="1" t="s">
        <v>33089</v>
      </c>
      <c r="E16795" s="1" t="str">
        <f ca="1">IFERROR(__xludf.DUMMYFUNCTION("GOOGLETRANSLATE(A13594 , ""tr"" , ""en"")"),"@drfahrettinkoca Minister We do not be assigned to high scores as we are ""enough enough"" screams but you are yourself ... https://t.co/sa4bqclxyu")</f>
        <v>@drfahrettinkoca Minister We do not be assigned to high scores as we are "enough enough" screams but you are yourself ... https://t.co/sa4bqclxyu</v>
      </c>
    </row>
    <row r="16796" spans="1:5" ht="15" customHeight="1" x14ac:dyDescent="0.2">
      <c r="A16796" s="1" t="s">
        <v>33090</v>
      </c>
      <c r="B16796" s="1">
        <v>101</v>
      </c>
      <c r="C16796" s="3">
        <v>44519.942326388889</v>
      </c>
      <c r="D16796" s="1" t="s">
        <v>33091</v>
      </c>
      <c r="E16796" s="1" t="str">
        <f ca="1">IFERROR(__xludf.DUMMYFUNCTION("GOOGLETRANSLATE(A13595 , ""tr"" , ""en"")"),"@drfahrettinka is friends waiting for dear assignment. Even the Violence news tweet you have written the guide, assignment. I wish Bi ... https://t.co/wcpfnbBIJ1")</f>
        <v>@drfahrettinka is friends waiting for dear assignment. Even the Violence news tweet you have written the guide, assignment. I wish Bi ... https://t.co/wcpfnbBIJ1</v>
      </c>
    </row>
    <row r="16797" spans="1:5" ht="15" customHeight="1" x14ac:dyDescent="0.2">
      <c r="A16797" s="1" t="s">
        <v>33092</v>
      </c>
      <c r="B16797" s="1">
        <v>0</v>
      </c>
      <c r="C16797" s="3">
        <v>44519.941979166666</v>
      </c>
      <c r="D16797" s="1" t="s">
        <v>33093</v>
      </c>
      <c r="E16797" s="1" t="str">
        <f ca="1">IFERROR(__xludf.DUMMYFUNCTION("GOOGLETRANSLATE(A13596 , ""tr"" , ""en"")"),"@drfahrettinkoca Is there a calming that we can receive as a sediment we need Mr. Minister because we need a lot of")</f>
        <v>@drfahrettinkoca Is there a calming that we can receive as a sediment we need Mr. Minister because we need a lot of</v>
      </c>
    </row>
    <row r="16798" spans="1:5" ht="15" customHeight="1" x14ac:dyDescent="0.2">
      <c r="A16798" s="1" t="s">
        <v>33094</v>
      </c>
      <c r="B16798" s="1">
        <v>0</v>
      </c>
      <c r="C16798" s="3">
        <v>44519.941724537035</v>
      </c>
      <c r="D16798" s="1" t="s">
        <v>33095</v>
      </c>
      <c r="E16798" s="1" t="str">
        <f ca="1">IFERROR(__xludf.DUMMYFUNCTION("GOOGLETRANSLATE(A13597 , ""tr"" , ""en"")"),"@drfahrettinka After making your vaccine, remember to donate your children your children !!!!!! https://t.co/c6tjtr1zp3")</f>
        <v>@drfahrettinka After making your vaccine, remember to donate your children your children !!!!!! https://t.co/c6tjtr1zp3</v>
      </c>
    </row>
    <row r="16799" spans="1:5" ht="15" customHeight="1" x14ac:dyDescent="0.2">
      <c r="A16799" s="1" t="s">
        <v>33096</v>
      </c>
      <c r="B16799" s="1">
        <v>0</v>
      </c>
      <c r="C16799" s="3">
        <v>44519.94122685185</v>
      </c>
      <c r="D16799" s="1" t="s">
        <v>33097</v>
      </c>
      <c r="E16799" s="1" t="str">
        <f ca="1">IFERROR(__xludf.DUMMYFUNCTION("GOOGLETRANSLATE(A13598 , ""tr"" , ""en"")"),"@drfahrettinka opposition party cozer problem minister")</f>
        <v>@drfahrettinka opposition party cozer problem minister</v>
      </c>
    </row>
    <row r="16800" spans="1:5" ht="15" customHeight="1" x14ac:dyDescent="0.2">
      <c r="A16800" s="1" t="s">
        <v>33098</v>
      </c>
      <c r="B16800" s="1">
        <v>2</v>
      </c>
      <c r="C16800" s="3">
        <v>44519.936527777776</v>
      </c>
      <c r="D16800" s="1" t="s">
        <v>33099</v>
      </c>
      <c r="E16800" s="1" t="str">
        <f ca="1">IFERROR(__xludf.DUMMYFUNCTION("GOOGLETRANSLATE(A13599 , ""tr"" , ""en"")"),"@drfahrettinkoca is where we deserve where we deserve, we want to get what our labor is worth. Look forward to the guide")</f>
        <v>@drfahrettinkoca is where we deserve where we deserve, we want to get what our labor is worth. Look forward to the guide</v>
      </c>
    </row>
    <row r="16801" spans="1:5" ht="15" customHeight="1" x14ac:dyDescent="0.2">
      <c r="A16801" s="1" t="s">
        <v>33100</v>
      </c>
      <c r="B16801" s="1">
        <v>0</v>
      </c>
      <c r="C16801" s="3">
        <v>44519.935439814813</v>
      </c>
      <c r="D16801" s="1" t="s">
        <v>33101</v>
      </c>
      <c r="E16801" s="1" t="str">
        <f ca="1">IFERROR(__xludf.DUMMYFUNCTION("GOOGLETRANSLATE(A13600 , ""tr"" , ""en"")"),"@drfahrettinkoca let me tell a solution. Remove from the health insurance coverage of attacks or attempts on public employees.")</f>
        <v>@drfahrettinkoca let me tell a solution. Remove from the health insurance coverage of attacks or attempts on public employees.</v>
      </c>
    </row>
    <row r="16802" spans="1:5" ht="15" customHeight="1" x14ac:dyDescent="0.2">
      <c r="A16802" s="1" t="s">
        <v>33102</v>
      </c>
      <c r="B16802" s="1">
        <v>0</v>
      </c>
      <c r="C16802" s="3">
        <v>44519.932870370372</v>
      </c>
      <c r="D16802" s="1" t="s">
        <v>33103</v>
      </c>
      <c r="E16802" s="1" t="str">
        <f ca="1">IFERROR(__xludf.DUMMYFUNCTION("GOOGLETRANSLATE(A13601 , ""tr"" , ""en"")"),"@drfahrettinkoca We have the ""Family Medicine"" system without a chain chain. The crowded hospitals are the most important n ... https://t.co/u6kiuwyakl")</f>
        <v>@drfahrettinkoca We have the "Family Medicine" system without a chain chain. The crowded hospitals are the most important n ... https://t.co/u6kiuwyakl</v>
      </c>
    </row>
    <row r="16803" spans="1:5" ht="15" customHeight="1" x14ac:dyDescent="0.2">
      <c r="A16803" s="1" t="s">
        <v>33104</v>
      </c>
      <c r="B16803" s="1">
        <v>0</v>
      </c>
      <c r="C16803" s="3">
        <v>44519.931944444441</v>
      </c>
      <c r="D16803" s="1" t="s">
        <v>33105</v>
      </c>
      <c r="E16803" s="1" t="str">
        <f ca="1">IFERROR(__xludf.DUMMYFUNCTION("GOOGLETRANSLATE(A13602 , ""tr"" , ""en"")"),"@drfahrettinkoca Making Ministry gets you in the fact")</f>
        <v>@drfahrettinkoca Making Ministry gets you in the fact</v>
      </c>
    </row>
    <row r="16804" spans="1:5" ht="15" customHeight="1" x14ac:dyDescent="0.2">
      <c r="A16804" s="1" t="s">
        <v>33106</v>
      </c>
      <c r="B16804" s="1">
        <v>0</v>
      </c>
      <c r="C16804" s="3">
        <v>44519.931851851848</v>
      </c>
      <c r="D16804" s="1" t="s">
        <v>33107</v>
      </c>
      <c r="E16804" s="1" t="str">
        <f ca="1">IFERROR(__xludf.DUMMYFUNCTION("GOOGLETRANSLATE(A13603 , ""tr"" , ""en"")"),"@drfahrettinka Mr. Minister Should Must Be Deterrent Penals Police Teams Protection Hospital Security Works ... https://t.co/i2gp8wffrw")</f>
        <v>@drfahrettinka Mr. Minister Should Must Be Deterrent Penals Police Teams Protection Hospital Security Works ... https://t.co/i2gp8wffrw</v>
      </c>
    </row>
    <row r="16805" spans="1:5" ht="15" customHeight="1" x14ac:dyDescent="0.2">
      <c r="A16805" s="1" t="s">
        <v>33108</v>
      </c>
      <c r="B16805" s="1">
        <v>3</v>
      </c>
      <c r="C16805" s="3">
        <v>44519.931481481479</v>
      </c>
      <c r="D16805" s="1" t="s">
        <v>33109</v>
      </c>
      <c r="E16805" s="1" t="str">
        <f ca="1">IFERROR(__xludf.DUMMYFUNCTION("GOOGLETRANSLATE(A13604 , ""tr"" , ""en"")"),"@drfahrettinkoca assignment awaiting healthcare. https://t.co/4velxspyjp")</f>
        <v>@drfahrettinkoca assignment awaiting healthcare. https://t.co/4velxspyjp</v>
      </c>
    </row>
    <row r="16806" spans="1:5" ht="15" customHeight="1" x14ac:dyDescent="0.2">
      <c r="A16806" s="1" t="s">
        <v>33110</v>
      </c>
      <c r="B16806" s="1">
        <v>0</v>
      </c>
      <c r="C16806" s="3">
        <v>44519.931296296294</v>
      </c>
      <c r="D16806" s="1" t="s">
        <v>33111</v>
      </c>
      <c r="E16806" s="1" t="str">
        <f ca="1">IFERROR(__xludf.DUMMYFUNCTION("GOOGLETRANSLATE(A13605 , ""tr"" , ""en"")"),"@drfahrettinkoca has committed suicide today a woman's child can't get SMA treatment. Hergun kids are dying. When ... https://t.co/btncjaens9")</f>
        <v>@drfahrettinkoca has committed suicide today a woman's child can't get SMA treatment. Hergun kids are dying. When ... https://t.co/btncjaens9</v>
      </c>
    </row>
    <row r="16807" spans="1:5" ht="15" customHeight="1" x14ac:dyDescent="0.2">
      <c r="A16807" s="1" t="s">
        <v>33112</v>
      </c>
      <c r="B16807" s="1">
        <v>1</v>
      </c>
      <c r="C16807" s="3">
        <v>44519.930891203701</v>
      </c>
      <c r="D16807" s="1" t="s">
        <v>33113</v>
      </c>
      <c r="E16807" s="1" t="str">
        <f ca="1">IFERROR(__xludf.DUMMYFUNCTION("GOOGLETRANSLATE(A13606 , ""tr"" , ""en"")"),"@drfahrettinka https://t.co/k8ID2stt1x")</f>
        <v>@drfahrettinka https://t.co/k8ID2stt1x</v>
      </c>
    </row>
    <row r="16808" spans="1:5" ht="15" customHeight="1" x14ac:dyDescent="0.2">
      <c r="A16808" s="1" t="s">
        <v>33114</v>
      </c>
      <c r="B16808" s="1">
        <v>0</v>
      </c>
      <c r="C16808" s="3">
        <v>44519.930671296293</v>
      </c>
      <c r="D16808" s="1" t="s">
        <v>33115</v>
      </c>
      <c r="E16808" s="1" t="str">
        <f ca="1">IFERROR(__xludf.DUMMYFUNCTION("GOOGLETRANSLATE(A13607 , ""tr"" , ""en"")"),"@drfahrettinkoca is just not perhaps but some doctors are excessive people. Their work of people and dogs like dog ... https://t.co/yve7yykwk0")</f>
        <v>@drfahrettinkoca is just not perhaps but some doctors are excessive people. Their work of people and dogs like dog ... https://t.co/yve7yykwk0</v>
      </c>
    </row>
    <row r="16809" spans="1:5" ht="15" customHeight="1" x14ac:dyDescent="0.2">
      <c r="A16809" s="1" t="s">
        <v>33116</v>
      </c>
      <c r="B16809" s="1">
        <v>1</v>
      </c>
      <c r="C16809" s="3">
        <v>44519.930543981478</v>
      </c>
      <c r="D16809" s="1" t="s">
        <v>33117</v>
      </c>
      <c r="E16809" s="1" t="str">
        <f ca="1">IFERROR(__xludf.DUMMYFUNCTION("GOOGLETRANSLATE(A13608 , ""tr"" , ""en"")"),"@drfahrettinkoca We are exposed to psychological violence in usable. Do you also have solutions to us?")</f>
        <v>@drfahrettinkoca We are exposed to psychological violence in usable. Do you also have solutions to us?</v>
      </c>
    </row>
    <row r="16810" spans="1:5" ht="15" customHeight="1" x14ac:dyDescent="0.2">
      <c r="A16810" s="1" t="s">
        <v>33118</v>
      </c>
      <c r="B16810" s="1">
        <v>0</v>
      </c>
      <c r="C16810" s="3">
        <v>44519.930347222224</v>
      </c>
      <c r="D16810" s="1" t="s">
        <v>33119</v>
      </c>
      <c r="E16810" s="1" t="str">
        <f ca="1">IFERROR(__xludf.DUMMYFUNCTION("GOOGLETRANSLATE(A13609 , ""tr"" , ""en"")"),"@drfahrettinkoca Health Worker Attack.Yani Again to a Woman Against.")</f>
        <v>@drfahrettinkoca Health Worker Attack.Yani Again to a Woman Against.</v>
      </c>
    </row>
    <row r="16811" spans="1:5" ht="15" customHeight="1" x14ac:dyDescent="0.2">
      <c r="A16811" s="1" t="s">
        <v>33120</v>
      </c>
      <c r="B16811" s="1">
        <v>1</v>
      </c>
      <c r="C16811" s="3">
        <v>44519.929016203707</v>
      </c>
      <c r="D16811" s="1" t="s">
        <v>33121</v>
      </c>
      <c r="E16811" s="1" t="str">
        <f ca="1">IFERROR(__xludf.DUMMYFUNCTION("GOOGLETRANSLATE(A13610 , ""tr"" , ""en"")"),"@drfahrettinkoca are not acting like a dog to the patient, the injured painful desperate people go to the doctor a little empathy")</f>
        <v>@drfahrettinkoca are not acting like a dog to the patient, the injured painful desperate people go to the doctor a little empathy</v>
      </c>
    </row>
    <row r="16812" spans="1:5" ht="15" customHeight="1" x14ac:dyDescent="0.2">
      <c r="A16812" s="1" t="s">
        <v>33122</v>
      </c>
      <c r="B16812" s="1">
        <v>1</v>
      </c>
      <c r="C16812" s="3">
        <v>44519.928391203706</v>
      </c>
      <c r="D16812" s="1" t="s">
        <v>33123</v>
      </c>
      <c r="E16812" s="1" t="str">
        <f ca="1">IFERROR(__xludf.DUMMYFUNCTION("GOOGLETRANSLATE(A13611 , ""tr"" , ""en"")"),"Listen to those people who practice violent in @drfahrettinkoca, why is a person to help himself ... https://t.co/jgeek1lkfz")</f>
        <v>Listen to those people who practice violent in @drfahrettinkoca, why is a person to help himself ... https://t.co/jgeek1lkfz</v>
      </c>
    </row>
    <row r="16813" spans="1:5" ht="15" customHeight="1" x14ac:dyDescent="0.2">
      <c r="A16813" s="1" t="s">
        <v>33124</v>
      </c>
      <c r="B16813" s="1">
        <v>0</v>
      </c>
      <c r="C16813" s="3">
        <v>44519.928101851852</v>
      </c>
      <c r="D16813" s="1" t="s">
        <v>33125</v>
      </c>
      <c r="E16813" s="1" t="str">
        <f ca="1">IFERROR(__xludf.DUMMYFUNCTION("GOOGLETRANSLATE(A13612 , ""tr"" , ""en"")"),"@drfahrettinkoca Mr. Minister, it is better if we mobilize the judiciary, not society. Precise imprisonment + loaded fine ... https://t.co/l3Ihxr0eoc")</f>
        <v>@drfahrettinkoca Mr. Minister, it is better if we mobilize the judiciary, not society. Precise imprisonment + loaded fine ... https://t.co/l3Ihxr0eoc</v>
      </c>
    </row>
    <row r="16814" spans="1:5" ht="15" customHeight="1" x14ac:dyDescent="0.2">
      <c r="A16814" s="1" t="s">
        <v>33126</v>
      </c>
      <c r="B16814" s="1">
        <v>0</v>
      </c>
      <c r="C16814" s="3">
        <v>44519.927800925929</v>
      </c>
      <c r="D16814" s="1" t="s">
        <v>33127</v>
      </c>
      <c r="E16814" s="1" t="str">
        <f ca="1">IFERROR(__xludf.DUMMYFUNCTION("GOOGLETRANSLATE(A13613 , ""tr"" , ""en"")"),"@drfahrettinkoca health workers also treat people like people")</f>
        <v>@drfahrettinkoca health workers also treat people like people</v>
      </c>
    </row>
    <row r="16815" spans="1:5" ht="15" customHeight="1" x14ac:dyDescent="0.2">
      <c r="A16815" s="1" t="s">
        <v>33128</v>
      </c>
      <c r="B16815" s="1">
        <v>0</v>
      </c>
      <c r="C16815" s="3">
        <v>44519.927418981482</v>
      </c>
      <c r="D16815" s="1" t="s">
        <v>33129</v>
      </c>
      <c r="E16815" s="1" t="str">
        <f ca="1">IFERROR(__xludf.DUMMYFUNCTION("GOOGLETRANSLATE(A13614 , ""tr"" , ""en"")"),"@drfahrettinkoca Continuous Health Worker Teach the physicians to treat doctors before human ... https://t.co/lgguolvvch")</f>
        <v>@drfahrettinkoca Continuous Health Worker Teach the physicians to treat doctors before human ... https://t.co/lgguolvvch</v>
      </c>
    </row>
    <row r="16816" spans="1:5" ht="15" customHeight="1" x14ac:dyDescent="0.2">
      <c r="A16816" s="1" t="s">
        <v>33130</v>
      </c>
      <c r="B16816" s="1">
        <v>4</v>
      </c>
      <c r="C16816" s="3">
        <v>44519.926759259259</v>
      </c>
      <c r="D16816" s="1" t="s">
        <v>33131</v>
      </c>
      <c r="E16816" s="1" t="str">
        <f ca="1">IFERROR(__xludf.DUMMYFUNCTION("GOOGLETRANSLATE(A13615 , ""tr"" , ""en"")"),"@drfahrettinkoca community moving enough.")</f>
        <v>@drfahrettinkoca community moving enough.</v>
      </c>
    </row>
    <row r="16817" spans="1:5" ht="15" customHeight="1" x14ac:dyDescent="0.2">
      <c r="A16817" s="1" t="s">
        <v>33132</v>
      </c>
      <c r="B16817" s="1">
        <v>0</v>
      </c>
      <c r="C16817" s="3">
        <v>44519.926435185182</v>
      </c>
      <c r="D16817" s="1" t="s">
        <v>33133</v>
      </c>
      <c r="E16817" s="1" t="str">
        <f ca="1">IFERROR(__xludf.DUMMYFUNCTION("GOOGLETRANSLATE(A13616 , ""tr"" , ""en"")"),"@drfahrettinkoca @murafferdmrsy Kadir Sugar and similar cases After the society of society in the measure of the expectations of the society ... https://t.co/mkg0wpx4wm")</f>
        <v>@drfahrettinkoca @murafferdmrsy Kadir Sugar and similar cases After the society of society in the measure of the expectations of the society ... https://t.co/mkg0wpx4wm</v>
      </c>
    </row>
    <row r="16818" spans="1:5" ht="15" customHeight="1" x14ac:dyDescent="0.2">
      <c r="A16818" s="1" t="s">
        <v>33134</v>
      </c>
      <c r="B16818" s="1">
        <v>0</v>
      </c>
      <c r="C16818" s="3">
        <v>44519.926412037035</v>
      </c>
      <c r="D16818" s="1" t="s">
        <v>33135</v>
      </c>
      <c r="E16818" s="1" t="str">
        <f ca="1">IFERROR(__xludf.DUMMYFUNCTION("GOOGLETRANSLATE(A13617 , ""tr"" , ""en"")"),"@drfahrettinkoca country sank country !!!!")</f>
        <v>@drfahrettinkoca country sank country !!!!</v>
      </c>
    </row>
    <row r="16819" spans="1:5" ht="15" customHeight="1" x14ac:dyDescent="0.2">
      <c r="A16819" s="1" t="s">
        <v>33136</v>
      </c>
      <c r="B16819" s="1">
        <v>1</v>
      </c>
      <c r="C16819" s="3">
        <v>44519.926249999997</v>
      </c>
      <c r="D16819" s="1" t="s">
        <v>33137</v>
      </c>
      <c r="E16819" s="1" t="str">
        <f ca="1">IFERROR(__xludf.DUMMYFUNCTION("GOOGLETRANSLATE(A13618 , ""tr"" , ""en"")"),"@drfahrettinkoca violence is not the only problem of health! 8 thousand doctors went abroad. Nurses also go abroad ... https://t.co/qu3jcts9rk")</f>
        <v>@drfahrettinkoca violence is not the only problem of health! 8 thousand doctors went abroad. Nurses also go abroad ... https://t.co/qu3jcts9rk</v>
      </c>
    </row>
    <row r="16820" spans="1:5" ht="15" customHeight="1" x14ac:dyDescent="0.2">
      <c r="A16820" s="1" t="s">
        <v>33138</v>
      </c>
      <c r="B16820" s="1">
        <v>20</v>
      </c>
      <c r="C16820" s="3">
        <v>44519.925196759257</v>
      </c>
      <c r="D16820" s="1" t="s">
        <v>33139</v>
      </c>
      <c r="E16820" s="1" t="str">
        <f ca="1">IFERROR(__xludf.DUMMYFUNCTION("GOOGLETRANSLATE(A13619 , ""tr"" , ""en"")"),"@drfahrettinkoca single dosing is normally quoted. So the people can get better than 90 years old. If you die ... https://t.co/z71rpulu9g")</f>
        <v>@drfahrettinkoca single dosing is normally quoted. So the people can get better than 90 years old. If you die ... https://t.co/z71rpulu9g</v>
      </c>
    </row>
    <row r="16821" spans="1:5" ht="15" customHeight="1" x14ac:dyDescent="0.2">
      <c r="A16821" s="1" t="s">
        <v>33140</v>
      </c>
      <c r="B16821" s="1">
        <v>3</v>
      </c>
      <c r="C16821" s="3">
        <v>44519.924953703703</v>
      </c>
      <c r="D16821" s="1" t="s">
        <v>33141</v>
      </c>
      <c r="E16821" s="1" t="str">
        <f ca="1">IFERROR(__xludf.DUMMYFUNCTION("GOOGLETRANSLATE(A13620 , ""tr"" , ""en"")"),"@drfahrettinkoca I'm a carer to all kinds of violence Yes the laws are not keeping enough; Move society ... https://t.co/9ueqpzbhnr")</f>
        <v>@drfahrettinkoca I'm a carer to all kinds of violence Yes the laws are not keeping enough; Move society ... https://t.co/9ueqpzbhnr</v>
      </c>
    </row>
    <row r="16822" spans="1:5" ht="15" customHeight="1" x14ac:dyDescent="0.2">
      <c r="A16822" s="1" t="s">
        <v>33142</v>
      </c>
      <c r="B16822" s="1">
        <v>0</v>
      </c>
      <c r="C16822" s="3">
        <v>44519.92392361111</v>
      </c>
      <c r="D16822" s="1" t="s">
        <v>33143</v>
      </c>
      <c r="E16822" s="1" t="str">
        <f ca="1">IFERROR(__xludf.DUMMYFUNCTION("GOOGLETRANSLATE(A13621 , ""tr"" , ""en"")"),"@drfahrettinkoca problem is not solved only as long as you see the vandate and do not look at other factors ... https://t.co/lsphvnqxif")</f>
        <v>@drfahrettinkoca problem is not solved only as long as you see the vandate and do not look at other factors ... https://t.co/lsphvnqxif</v>
      </c>
    </row>
    <row r="16823" spans="1:5" ht="15" customHeight="1" x14ac:dyDescent="0.2">
      <c r="A16823" s="1" t="s">
        <v>33144</v>
      </c>
      <c r="B16823" s="1">
        <v>0</v>
      </c>
      <c r="C16823" s="3">
        <v>44519.923495370371</v>
      </c>
      <c r="D16823" s="1" t="s">
        <v>33145</v>
      </c>
      <c r="E16823" s="1" t="str">
        <f ca="1">IFERROR(__xludf.DUMMYFUNCTION("GOOGLETRANSLATE(A13622 , ""tr"" , ""en"")"),"@drfahrettinkoca When people attacking the lifetime of public hospitals from the lifetime of public hospitals, I guess it is enough to be started as the beginning.")</f>
        <v>@drfahrettinkoca When people attacking the lifetime of public hospitals from the lifetime of public hospitals, I guess it is enough to be started as the beginning.</v>
      </c>
    </row>
    <row r="16824" spans="1:5" ht="15" customHeight="1" x14ac:dyDescent="0.2">
      <c r="A16824" s="1" t="s">
        <v>33146</v>
      </c>
      <c r="B16824" s="1">
        <v>6</v>
      </c>
      <c r="C16824" s="3">
        <v>44519.922951388886</v>
      </c>
      <c r="D16824" s="1" t="s">
        <v>33147</v>
      </c>
      <c r="E16824" s="1" t="str">
        <f ca="1">IFERROR(__xludf.DUMMYFUNCTION("GOOGLETRANSLATE(A13623 , ""tr"" , ""en"")"),"@drfahrettinkoca has been forced to us forced drugs and vaccines and violate the patient rights. Justice ... https://t.co/c9oe7a91fe")</f>
        <v>@drfahrettinkoca has been forced to us forced drugs and vaccines and violate the patient rights. Justice ... https://t.co/c9oe7a91fe</v>
      </c>
    </row>
    <row r="16825" spans="1:5" ht="15" customHeight="1" x14ac:dyDescent="0.2">
      <c r="A16825" s="1" t="s">
        <v>33148</v>
      </c>
      <c r="B16825" s="1">
        <v>0</v>
      </c>
      <c r="C16825" s="3">
        <v>44519.92255787037</v>
      </c>
      <c r="D16825" s="1" t="s">
        <v>33149</v>
      </c>
      <c r="E16825" s="1" t="str">
        <f ca="1">IFERROR(__xludf.DUMMYFUNCTION("GOOGLETRANSLATE(A13624 , ""tr"" , ""en"")"),"@drfahrettinkoca Some EDIYO Valla")</f>
        <v>@drfahrettinkoca Some EDIYO Valla</v>
      </c>
    </row>
    <row r="16826" spans="1:5" ht="15" customHeight="1" x14ac:dyDescent="0.2">
      <c r="A16826" s="1" t="s">
        <v>33150</v>
      </c>
      <c r="B16826" s="1">
        <v>0</v>
      </c>
      <c r="C16826" s="3">
        <v>44519.922129629631</v>
      </c>
      <c r="D16826" s="1" t="s">
        <v>33151</v>
      </c>
      <c r="E16826" s="1" t="str">
        <f ca="1">IFERROR(__xludf.DUMMYFUNCTION("GOOGLETRANSLATE(A13625 , ""tr"" , ""en"")"),"@drfahrettinkoca Having the Ministry of Sagiki and PCR violence Napalim? We say to the artic enough we don't hear it but also")</f>
        <v>@drfahrettinkoca Having the Ministry of Sagiki and PCR violence Napalim? We say to the artic enough we don't hear it but also</v>
      </c>
    </row>
    <row r="16827" spans="1:5" ht="15" customHeight="1" x14ac:dyDescent="0.2">
      <c r="A16827" s="1" t="s">
        <v>33152</v>
      </c>
      <c r="B16827" s="1">
        <v>0</v>
      </c>
      <c r="C16827" s="3">
        <v>44519.922129629631</v>
      </c>
      <c r="D16827" s="1" t="s">
        <v>33153</v>
      </c>
      <c r="E16827" s="1" t="str">
        <f ca="1">IFERROR(__xludf.DUMMYFUNCTION("GOOGLETRANSLATE(A13626 , ""tr"" , ""en"")"),"@drfahrettinkoca We want fair distribution to technicians the publication of the manual")</f>
        <v>@drfahrettinkoca We want fair distribution to technicians the publication of the manual</v>
      </c>
    </row>
    <row r="16828" spans="1:5" ht="15" customHeight="1" x14ac:dyDescent="0.2">
      <c r="A16828" s="1" t="s">
        <v>33154</v>
      </c>
      <c r="B16828" s="1">
        <v>0</v>
      </c>
      <c r="C16828" s="3">
        <v>44519.922129629631</v>
      </c>
      <c r="D16828" s="1" t="s">
        <v>33155</v>
      </c>
      <c r="E16828" s="1" t="str">
        <f ca="1">IFERROR(__xludf.DUMMYFUNCTION("GOOGLETRANSLATE(A13627 , ""tr"" , ""en"")"),"@drfahrettinkoca is no longer unfortunately there is much more important bi matter ... that governs you and you to the Turkish nation that governs you ... https://t.co/7tuwxww001")</f>
        <v>@drfahrettinkoca is no longer unfortunately there is much more important bi matter ... that governs you and you to the Turkish nation that governs you ... https://t.co/7tuwxww001</v>
      </c>
    </row>
    <row r="16829" spans="1:5" ht="15" customHeight="1" x14ac:dyDescent="0.2">
      <c r="A16829" s="1" t="s">
        <v>33156</v>
      </c>
      <c r="B16829" s="1">
        <v>0</v>
      </c>
      <c r="C16829" s="3">
        <v>44519.921180555553</v>
      </c>
      <c r="D16829" s="1" t="s">
        <v>33157</v>
      </c>
      <c r="E16829" s="1" t="str">
        <f ca="1">IFERROR(__xludf.DUMMYFUNCTION("GOOGLETRANSLATE(A13628 , ""tr"" , ""en"")"),"@drfahrettinkoca society will take the society Nasil Nasil ??? This society is upgraded to the amount of money or aghi prison ... https://t.co/6c72ettdjr")</f>
        <v>@drfahrettinkoca society will take the society Nasil Nasil ??? This society is upgraded to the amount of money or aghi prison ... https://t.co/6c72ettdjr</v>
      </c>
    </row>
    <row r="16830" spans="1:5" ht="15" customHeight="1" x14ac:dyDescent="0.2">
      <c r="A16830" s="1" t="s">
        <v>33158</v>
      </c>
      <c r="B16830" s="1">
        <v>0</v>
      </c>
      <c r="C16830" s="3">
        <v>44519.921157407407</v>
      </c>
      <c r="D16830" s="1" t="s">
        <v>33159</v>
      </c>
      <c r="E16830" s="1" t="str">
        <f ca="1">IFERROR(__xludf.DUMMYFUNCTION("GOOGLETRANSLATE(A13629 , ""tr"" , ""en"")"),"@drfahrettinkoca SMA patient's mothers committed suicide from helplessness. You don't sound to these babies. ... https://t.co/yvvahmhd4t")</f>
        <v>@drfahrettinkoca SMA patient's mothers committed suicide from helplessness. You don't sound to these babies. ... https://t.co/yvvahmhd4t</v>
      </c>
    </row>
    <row r="16831" spans="1:5" ht="15" customHeight="1" x14ac:dyDescent="0.2">
      <c r="A16831" s="1" t="s">
        <v>33160</v>
      </c>
      <c r="B16831" s="1">
        <v>0</v>
      </c>
      <c r="C16831" s="3">
        <v>44519.918958333335</v>
      </c>
      <c r="D16831" s="1" t="s">
        <v>33161</v>
      </c>
      <c r="E16831" s="1" t="str">
        <f ca="1">IFERROR(__xludf.DUMMYFUNCTION("GOOGLETRANSLATE(A13630 , ""tr"" , ""en"")"),"@drfahrettinkca we are against all kinds of violence and bullying. If the community had to take action; 'In the Pandemia ... https://t.co/giwfmhz6xk")</f>
        <v>@drfahrettinkca we are against all kinds of violence and bullying. If the community had to take action; 'In the Pandemia ... https://t.co/giwfmhz6xk</v>
      </c>
    </row>
    <row r="16832" spans="1:5" ht="15" customHeight="1" x14ac:dyDescent="0.2">
      <c r="A16832" s="1" t="s">
        <v>33162</v>
      </c>
      <c r="B16832" s="1">
        <v>0</v>
      </c>
      <c r="C16832" s="3">
        <v>44519.917141203703</v>
      </c>
      <c r="D16832" s="1" t="s">
        <v>33163</v>
      </c>
      <c r="E16832" s="1" t="str">
        <f ca="1">IFERROR(__xludf.DUMMYFUNCTION("GOOGLETRANSLATE(A13631 , ""tr"" , ""en"")"),"@drfahrettinkoca Minister Manual Looking forward to this process in your opinion no longer")</f>
        <v>@drfahrettinkoca Minister Manual Looking forward to this process in your opinion no longer</v>
      </c>
    </row>
    <row r="16833" spans="1:5" ht="15" customHeight="1" x14ac:dyDescent="0.2">
      <c r="A16833" s="1" t="s">
        <v>33164</v>
      </c>
      <c r="B16833" s="1">
        <v>4</v>
      </c>
      <c r="C16833" s="3">
        <v>44519.916331018518</v>
      </c>
      <c r="D16833" s="1" t="s">
        <v>33165</v>
      </c>
      <c r="E16833" s="1" t="str">
        <f ca="1">IFERROR(__xludf.DUMMYFUNCTION("GOOGLETRANSLATE(A13632 , ""tr"" , ""en"")"),"@drfahrettinkoca we moved to the movement of the minister See us 1 No precautions for children 50 people 8 lessons ... https://t.co/P3IH9BW2FC")</f>
        <v>@drfahrettinkoca we moved to the movement of the minister See us 1 No precautions for children 50 people 8 lessons ... https://t.co/P3IH9BW2FC</v>
      </c>
    </row>
    <row r="16834" spans="1:5" ht="15" customHeight="1" x14ac:dyDescent="0.2">
      <c r="A16834" s="1" t="s">
        <v>33166</v>
      </c>
      <c r="B16834" s="1">
        <v>0</v>
      </c>
      <c r="C16834" s="3">
        <v>44519.915995370371</v>
      </c>
      <c r="D16834" s="1" t="s">
        <v>33167</v>
      </c>
      <c r="E16834" s="1" t="str">
        <f ca="1">IFERROR(__xludf.DUMMYFUNCTION("GOOGLETRANSLATE(A13633 , ""tr"" , ""en"")"),"@drfahrettinkoca entrance to the room and say good morning teacher, as we got the enemy in the face says out.")</f>
        <v>@drfahrettinkoca entrance to the room and say good morning teacher, as we got the enemy in the face says out.</v>
      </c>
    </row>
    <row r="16835" spans="1:5" ht="15" customHeight="1" x14ac:dyDescent="0.2">
      <c r="A16835" s="1" t="s">
        <v>33168</v>
      </c>
      <c r="B16835" s="1">
        <v>2</v>
      </c>
      <c r="C16835" s="3">
        <v>44519.915509259263</v>
      </c>
      <c r="D16835" s="1" t="s">
        <v>33169</v>
      </c>
      <c r="E16835" s="1" t="str">
        <f ca="1">IFERROR(__xludf.DUMMYFUNCTION("GOOGLETRANSLATE(A13634 , ""tr"" , ""en"")"),"@drfahrettinkoca obligation Remove the more sufficiency of disconnecting parts Ris in crowded classes in you ... https://t.co/g2ymuiz43b")</f>
        <v>@drfahrettinkoca obligation Remove the more sufficiency of disconnecting parts Ris in crowded classes in you ... https://t.co/g2ymuiz43b</v>
      </c>
    </row>
    <row r="16836" spans="1:5" ht="15" customHeight="1" x14ac:dyDescent="0.2">
      <c r="A16836" s="1" t="s">
        <v>33170</v>
      </c>
      <c r="B16836" s="1">
        <v>1</v>
      </c>
      <c r="C16836" s="3">
        <v>44519.914490740739</v>
      </c>
      <c r="D16836" s="1" t="s">
        <v>33171</v>
      </c>
      <c r="E16836" s="1" t="str">
        <f ca="1">IFERROR(__xludf.DUMMYFUNCTION("GOOGLETRANSLATE(A13635 , ""tr"" , ""en"")"),"@drfahrettinkoca August 3.dozone in August 3. I'm over the vaccine I'm on immune Basque I'm using antional I haven't already occured ... https://t.co/bjuodtlqum")</f>
        <v>@drfahrettinkoca August 3.dozone in August 3. I'm over the vaccine I'm on immune Basque I'm using antional I haven't already occured ... https://t.co/bjuodtlqum</v>
      </c>
    </row>
    <row r="16837" spans="1:5" ht="15" customHeight="1" x14ac:dyDescent="0.2">
      <c r="A16837" s="1" t="s">
        <v>33172</v>
      </c>
      <c r="B16837" s="1">
        <v>6</v>
      </c>
      <c r="C16837" s="3">
        <v>44519.913506944446</v>
      </c>
      <c r="D16837" s="1" t="s">
        <v>33173</v>
      </c>
      <c r="E16837" s="1" t="str">
        <f ca="1">IFERROR(__xludf.DUMMYFUNCTION("GOOGLETRANSLATE(A13636 , ""tr"" , ""en"")"),"@drfahrettinka primarily how health workers treat doctors how to treat patients ... https://t.co/qnddcpzo2r")</f>
        <v>@drfahrettinka primarily how health workers treat doctors how to treat patients ... https://t.co/qnddcpzo2r</v>
      </c>
    </row>
    <row r="16838" spans="1:5" ht="15" customHeight="1" x14ac:dyDescent="0.2">
      <c r="A16838" s="1" t="s">
        <v>33174</v>
      </c>
      <c r="B16838" s="1">
        <v>0</v>
      </c>
      <c r="C16838" s="3">
        <v>44519.913368055553</v>
      </c>
      <c r="D16838" s="1" t="s">
        <v>33175</v>
      </c>
      <c r="E16838" s="1" t="str">
        <f ca="1">IFERROR(__xludf.DUMMYFUNCTION("GOOGLETRANSLATE(A13637 , ""tr"" , ""en"")"),"@drfahrettinkoca bay overlooking you ya feton or zionists' dog of the murderer check filthy hand on necip nation")</f>
        <v>@drfahrettinkoca bay overlooking you ya feton or zionists' dog of the murderer check filthy hand on necip nation</v>
      </c>
    </row>
    <row r="16839" spans="1:5" ht="15" customHeight="1" x14ac:dyDescent="0.2">
      <c r="A16839" s="1" t="s">
        <v>33176</v>
      </c>
      <c r="B16839" s="1">
        <v>4</v>
      </c>
      <c r="C16839" s="3">
        <v>44519.912962962961</v>
      </c>
      <c r="D16839" s="1" t="s">
        <v>33177</v>
      </c>
      <c r="E16839" s="1" t="str">
        <f ca="1">IFERROR(__xludf.DUMMYFUNCTION("GOOGLETRANSLATE(A13638 , ""tr"" , ""en"")"),"@drfahrettinkoca schools must remain obligation We cannot invite chronic patients to death according to the eye, kids ... https://t.co/waedqw0rjt")</f>
        <v>@drfahrettinkoca schools must remain obligation We cannot invite chronic patients to death according to the eye, kids ... https://t.co/waedqw0rjt</v>
      </c>
    </row>
    <row r="16840" spans="1:5" ht="15" customHeight="1" x14ac:dyDescent="0.2">
      <c r="A16840" s="1" t="s">
        <v>33178</v>
      </c>
      <c r="B16840" s="1">
        <v>0</v>
      </c>
      <c r="C16840" s="3">
        <v>44519.911527777775</v>
      </c>
      <c r="D16840" s="1" t="s">
        <v>33179</v>
      </c>
      <c r="E16840" s="1" t="str">
        <f ca="1">IFERROR(__xludf.DUMMYFUNCTION("GOOGLETRANSLATE(A13639 , ""tr"" , ""en"")"),"@drfahrettinkoca is the Minister of ChP also says it 😂")</f>
        <v>@drfahrettinkoca is the Minister of ChP also says it 😂</v>
      </c>
    </row>
    <row r="16841" spans="1:5" ht="15" customHeight="1" x14ac:dyDescent="0.2">
      <c r="A16841" s="1" t="s">
        <v>33180</v>
      </c>
      <c r="B16841" s="1">
        <v>0</v>
      </c>
      <c r="C16841" s="3">
        <v>44519.907557870371</v>
      </c>
      <c r="D16841" s="1" t="s">
        <v>33181</v>
      </c>
      <c r="E16841" s="1" t="str">
        <f ca="1">IFERROR(__xludf.DUMMYFUNCTION("GOOGLETRANSLATE(A13640 , ""tr"" , ""en"")"),"@drfahrettinkoca is not violent to health worker. They should be judged. Health workers' fake vaccines and drugs ... https://t.co/szljqdtz5d")</f>
        <v>@drfahrettinkoca is not violent to health worker. They should be judged. Health workers' fake vaccines and drugs ... https://t.co/szljqdtz5d</v>
      </c>
    </row>
    <row r="16842" spans="1:5" ht="15" customHeight="1" x14ac:dyDescent="0.2">
      <c r="A16842" s="1" t="s">
        <v>33182</v>
      </c>
      <c r="B16842" s="1">
        <v>0</v>
      </c>
      <c r="C16842" s="3">
        <v>44519.906412037039</v>
      </c>
      <c r="D16842" s="1" t="s">
        <v>33183</v>
      </c>
      <c r="E16842" s="1" t="str">
        <f ca="1">IFERROR(__xludf.DUMMYFUNCTION("GOOGLETRANSLATE(A13641 , ""tr"" , ""en"")"),"@drfahrettinkoca Penalty not because it is not too low, it does not discourage even if it is multiplied by 1.5. Health Workers K ... https://t.co/f86zzwbsce")</f>
        <v>@drfahrettinkoca Penalty not because it is not too low, it does not discourage even if it is multiplied by 1.5. Health Workers K ... https://t.co/f86zzwbsce</v>
      </c>
    </row>
    <row r="16843" spans="1:5" ht="15" customHeight="1" x14ac:dyDescent="0.2">
      <c r="A16843" s="1" t="s">
        <v>33184</v>
      </c>
      <c r="B16843" s="1">
        <v>2</v>
      </c>
      <c r="C16843" s="3">
        <v>44519.906319444446</v>
      </c>
      <c r="D16843" s="1" t="s">
        <v>33185</v>
      </c>
      <c r="E16843" s="1" t="str">
        <f ca="1">IFERROR(__xludf.DUMMYFUNCTION("GOOGLETRANSLATE(A13642 , ""tr"" , ""en"")"),"@drfahrettinkoca that community knows the prosecutor, the police, the bank, the desk, the title officer, the manifest, but ... https://t.co/qwtqeqynps")</f>
        <v>@drfahrettinkoca that community knows the prosecutor, the police, the bank, the desk, the title officer, the manifest, but ... https://t.co/qwtqeqynps</v>
      </c>
    </row>
    <row r="16844" spans="1:5" ht="15" customHeight="1" x14ac:dyDescent="0.2">
      <c r="A16844" s="1" t="s">
        <v>33186</v>
      </c>
      <c r="B16844" s="1">
        <v>0</v>
      </c>
      <c r="C16844" s="3">
        <v>44519.905659722222</v>
      </c>
      <c r="D16844" s="1" t="s">
        <v>33187</v>
      </c>
      <c r="E16844" s="1" t="str">
        <f ca="1">IFERROR(__xludf.DUMMYFUNCTION("GOOGLETRANSLATE(A13643 , ""tr"" , ""en"")"),"@drfahrettinkoca e # Good morning Bizahmet # Learn the reasons for the sidelet and also see #toplum #piscology! #ceza is not the solution.")</f>
        <v>@drfahrettinkoca e # Good morning Bizahmet # Learn the reasons for the sidelet and also see #toplum #piscology! #ceza is not the solution.</v>
      </c>
    </row>
    <row r="16845" spans="1:5" ht="15" customHeight="1" x14ac:dyDescent="0.2">
      <c r="A16845" s="1" t="s">
        <v>33188</v>
      </c>
      <c r="B16845" s="1">
        <v>0</v>
      </c>
      <c r="C16845" s="3">
        <v>44519.905532407407</v>
      </c>
      <c r="D16845" s="1" t="s">
        <v>33189</v>
      </c>
      <c r="E16845" s="1" t="str">
        <f ca="1">IFERROR(__xludf.DUMMYFUNCTION("GOOGLETRANSLATE(A13644 , ""tr"" , ""en"")"),"@drfahrettinkoca When Dear Minister Serzenis Multi Perimeter Citizen Under Zero Citizen Don't Make Empty")</f>
        <v>@drfahrettinkoca When Dear Minister Serzenis Multi Perimeter Citizen Under Zero Citizen Don't Make Empty</v>
      </c>
    </row>
    <row r="16846" spans="1:5" ht="15" customHeight="1" x14ac:dyDescent="0.2">
      <c r="A16846" s="1" t="s">
        <v>33190</v>
      </c>
      <c r="B16846" s="1">
        <v>1</v>
      </c>
      <c r="C16846" s="3">
        <v>44519.905370370368</v>
      </c>
      <c r="D16846" s="1" t="s">
        <v>33191</v>
      </c>
      <c r="E16846" s="1" t="str">
        <f ca="1">IFERROR(__xludf.DUMMYFUNCTION("GOOGLETRANSLATE(A13645 , ""tr"" , ""en"")"),"Violence to @drfahrettinkoca health workers is unacceptable, but in state hospitals with national behavior ... https://t.co/dprdratucz")</f>
        <v>Violence to @drfahrettinkoca health workers is unacceptable, but in state hospitals with national behavior ... https://t.co/dprdratucz</v>
      </c>
    </row>
    <row r="16847" spans="1:5" ht="15" customHeight="1" x14ac:dyDescent="0.2">
      <c r="A16847" s="1" t="s">
        <v>33192</v>
      </c>
      <c r="B16847" s="1">
        <v>1</v>
      </c>
      <c r="C16847" s="3">
        <v>44519.905173611114</v>
      </c>
      <c r="D16847" s="1" t="s">
        <v>33193</v>
      </c>
      <c r="E16847" s="1" t="str">
        <f ca="1">IFERROR(__xludf.DUMMYFUNCTION("GOOGLETRANSLATE(A13646 , ""tr"" , ""en"")"),"@drfahrettinkoca When to Publish The following guide YAA")</f>
        <v>@drfahrettinkoca When to Publish The following guide YAA</v>
      </c>
    </row>
    <row r="16848" spans="1:5" ht="15" customHeight="1" x14ac:dyDescent="0.2">
      <c r="A16848" s="1" t="s">
        <v>33194</v>
      </c>
      <c r="B16848" s="1">
        <v>0</v>
      </c>
      <c r="C16848" s="3">
        <v>44519.90488425926</v>
      </c>
      <c r="D16848" s="1" t="s">
        <v>33195</v>
      </c>
      <c r="E16848" s="1" t="str">
        <f ca="1">IFERROR(__xludf.DUMMYFUNCTION("GOOGLETRANSLATE(A13647 , ""tr"" , ""en"")"),"@drfahrettinkoca Community Motion is the past already! We expect the state to take action. This country now has a health terror!")</f>
        <v>@drfahrettinkoca Community Motion is the past already! We expect the state to take action. This country now has a health terror!</v>
      </c>
    </row>
    <row r="16849" spans="1:5" ht="15" customHeight="1" x14ac:dyDescent="0.2">
      <c r="A16849" s="1" t="s">
        <v>33196</v>
      </c>
      <c r="B16849" s="1">
        <v>1</v>
      </c>
      <c r="C16849" s="3">
        <v>44519.904780092591</v>
      </c>
      <c r="D16849" s="1" t="s">
        <v>33197</v>
      </c>
      <c r="E16849" s="1" t="str">
        <f ca="1">IFERROR(__xludf.DUMMYFUNCTION("GOOGLETRANSLATE(A13648 , ""tr"" , ""en"")"),"@drfahrettinkoca Guide Publish Mr. Minister")</f>
        <v>@drfahrettinkoca Guide Publish Mr. Minister</v>
      </c>
    </row>
    <row r="16850" spans="1:5" ht="15" customHeight="1" x14ac:dyDescent="0.2">
      <c r="A16850" s="1" t="s">
        <v>33198</v>
      </c>
      <c r="B16850" s="1">
        <v>0</v>
      </c>
      <c r="C16850" s="3">
        <v>44519.904687499999</v>
      </c>
      <c r="D16850" s="1" t="s">
        <v>33199</v>
      </c>
      <c r="E16850" s="1" t="str">
        <f ca="1">IFERROR(__xludf.DUMMYFUNCTION("GOOGLETRANSLATE(A13649 , ""tr"" , ""en"")"),"@drfahrettinka Mr. Husband, I'm not depicting this event violence can never be solutions. But a fact; Dokto ... https://t.co/kwz2tbod7p")</f>
        <v>@drfahrettinka Mr. Husband, I'm not depicting this event violence can never be solutions. But a fact; Dokto ... https://t.co/kwz2tbod7p</v>
      </c>
    </row>
    <row r="16851" spans="1:5" ht="15" customHeight="1" x14ac:dyDescent="0.2">
      <c r="A16851" s="1" t="s">
        <v>28405</v>
      </c>
      <c r="B16851" s="1">
        <v>0</v>
      </c>
      <c r="C16851" s="3">
        <v>44519.904664351852</v>
      </c>
      <c r="D16851" s="1" t="s">
        <v>33200</v>
      </c>
      <c r="E16851" s="1" t="str">
        <f ca="1">IFERROR(__xludf.DUMMYFUNCTION("GOOGLETRANSLATE(A13650 , ""tr"" , ""en"")"),"@drfahrettinkoca dietitians are looking forward to assigning a large number of assignments to the minister 91 points are still agencies")</f>
        <v>@drfahrettinkoca dietitians are looking forward to assigning a large number of assignments to the minister 91 points are still agencies</v>
      </c>
    </row>
    <row r="16852" spans="1:5" ht="15" customHeight="1" x14ac:dyDescent="0.2">
      <c r="A16852" s="1" t="s">
        <v>33201</v>
      </c>
      <c r="B16852" s="1">
        <v>1</v>
      </c>
      <c r="C16852" s="3">
        <v>44519.904502314814</v>
      </c>
      <c r="D16852" s="1" t="s">
        <v>33202</v>
      </c>
      <c r="E16852" s="1" t="str">
        <f ca="1">IFERROR(__xludf.DUMMYFUNCTION("GOOGLETRANSLATE(A13651 , ""tr"" , ""en"")"),"@drfahrettinkoca One pardon by accident of people in accident or trial proceedings Near the people who lost their life Net Puna ... https://t.co/ctb7znvp34")</f>
        <v>@drfahrettinkoca One pardon by accident of people in accident or trial proceedings Near the people who lost their life Net Puna ... https://t.co/ctb7znvp34</v>
      </c>
    </row>
    <row r="16853" spans="1:5" ht="15" customHeight="1" x14ac:dyDescent="0.2">
      <c r="A16853" s="1" t="s">
        <v>33203</v>
      </c>
      <c r="B16853" s="1">
        <v>2</v>
      </c>
      <c r="C16853" s="3">
        <v>44519.904328703706</v>
      </c>
      <c r="D16853" s="1" t="s">
        <v>33204</v>
      </c>
      <c r="E16853" s="1" t="str">
        <f ca="1">IFERROR(__xludf.DUMMYFUNCTION("GOOGLETRANSLATE(A13652 , ""tr"" , ""en"")"),"@drfahrettinkoca Mother with this death drugs, masked, stuffy, unmasked, even in the ambulance ,... Self-last ... https://t.co/lhty3n8ude")</f>
        <v>@drfahrettinkoca Mother with this death drugs, masked, stuffy, unmasked, even in the ambulance ,... Self-last ... https://t.co/lhty3n8ude</v>
      </c>
    </row>
    <row r="16854" spans="1:5" ht="15" customHeight="1" x14ac:dyDescent="0.2">
      <c r="A16854" s="1" t="s">
        <v>33205</v>
      </c>
      <c r="B16854" s="1">
        <v>0</v>
      </c>
      <c r="C16854" s="3">
        <v>44519.902939814812</v>
      </c>
      <c r="D16854" s="1" t="s">
        <v>33206</v>
      </c>
      <c r="E16854" s="1" t="str">
        <f ca="1">IFERROR(__xludf.DUMMYFUNCTION("GOOGLETRANSLATE(A13653 , ""tr"" , ""en"")"),"@drfahrettinkoca Everything started on your time before the more biker week ago, Bi familiar said ,..Feate 3 dose vaccines Fe ... https://t.co/7aaulmcrbt")</f>
        <v>@drfahrettinkoca Everything started on your time before the more biker week ago, Bi familiar said ,..Feate 3 dose vaccines Fe ... https://t.co/7aaulmcrbt</v>
      </c>
    </row>
    <row r="16855" spans="1:5" ht="15" customHeight="1" x14ac:dyDescent="0.2">
      <c r="A16855" s="1" t="s">
        <v>33207</v>
      </c>
      <c r="B16855" s="1">
        <v>0</v>
      </c>
      <c r="C16855" s="3">
        <v>44519.902719907404</v>
      </c>
      <c r="D16855" s="1" t="s">
        <v>33208</v>
      </c>
      <c r="E16855" s="1" t="str">
        <f ca="1">IFERROR(__xludf.DUMMYFUNCTION("GOOGLETRANSLATE(A13654 , ""tr"" , ""en"")"),"@drfahrettinkoca is stopping and no one is stung and apply violence. Has deserved. Your @saglikbakanligi v ... https://t.co/fofseohyxm")</f>
        <v>@drfahrettinkoca is stopping and no one is stung and apply violence. Has deserved. Your @saglikbakanligi v ... https://t.co/fofseohyxm</v>
      </c>
    </row>
    <row r="16856" spans="1:5" ht="15" customHeight="1" x14ac:dyDescent="0.2">
      <c r="A16856" s="1" t="s">
        <v>33209</v>
      </c>
      <c r="B16856" s="1">
        <v>0</v>
      </c>
      <c r="C16856" s="3">
        <v>44519.901817129627</v>
      </c>
      <c r="D16856" s="1" t="s">
        <v>33210</v>
      </c>
      <c r="E16856" s="1" t="str">
        <f ca="1">IFERROR(__xludf.DUMMYFUNCTION("GOOGLETRANSLATE(A13655 , ""tr"" , ""en"")"),"@drfahrettinka prefers the most intelligent people of the country to read medicine ... Result: The violence they never deserve .. The solution should be present at a moment ..")</f>
        <v>@drfahrettinka prefers the most intelligent people of the country to read medicine ... Result: The violence they never deserve .. The solution should be present at a moment ..</v>
      </c>
    </row>
    <row r="16857" spans="1:5" ht="15" customHeight="1" x14ac:dyDescent="0.2">
      <c r="A16857" s="1" t="s">
        <v>33211</v>
      </c>
      <c r="B16857" s="1">
        <v>0</v>
      </c>
      <c r="C16857" s="3">
        <v>44519.901087962964</v>
      </c>
      <c r="D16857" s="1" t="s">
        <v>33212</v>
      </c>
      <c r="E16857" s="1" t="str">
        <f ca="1">IFERROR(__xludf.DUMMYFUNCTION("GOOGLETRANSLATE(A13656 , ""tr"" , ""en"")"),"@drfahrettinkoca remote training condition. We are against all kinds of violence. No Health to Violence in Education ... HTTPS://T.CO/6TOJQ9SIJG")</f>
        <v>@drfahrettinkoca remote training condition. We are against all kinds of violence. No Health to Violence in Education ... HTTPS://T.CO/6TOJQ9SIJG</v>
      </c>
    </row>
    <row r="16858" spans="1:5" ht="15" customHeight="1" x14ac:dyDescent="0.2">
      <c r="A16858" s="1" t="s">
        <v>33213</v>
      </c>
      <c r="B16858" s="1">
        <v>2</v>
      </c>
      <c r="C16858" s="3">
        <v>44519.901006944441</v>
      </c>
      <c r="D16858" s="1" t="s">
        <v>33214</v>
      </c>
      <c r="E16858" s="1" t="str">
        <f ca="1">IFERROR(__xludf.DUMMYFUNCTION("GOOGLETRANSLATE(A13657 , ""tr"" , ""en"")"),"@drfahrettinkoca is violent to the citizen of 80 Ni sentences of health workers.")</f>
        <v>@drfahrettinkoca is violent to the citizen of 80 Ni sentences of health workers.</v>
      </c>
    </row>
    <row r="16859" spans="1:5" ht="15" customHeight="1" x14ac:dyDescent="0.2">
      <c r="A16859" s="1" t="s">
        <v>33215</v>
      </c>
      <c r="B16859" s="1">
        <v>0</v>
      </c>
      <c r="C16859" s="3">
        <v>44519.900555555556</v>
      </c>
      <c r="D16859" s="1" t="s">
        <v>33216</v>
      </c>
      <c r="E16859" s="1" t="str">
        <f ca="1">IFERROR(__xludf.DUMMYFUNCTION("GOOGLETRANSLATE(A13658 , ""tr"" , ""en"")"),"@drfahrettinkoca ignorant should be brought to more severe penalties to work with darling.")</f>
        <v>@drfahrettinkoca ignorant should be brought to more severe penalties to work with darling.</v>
      </c>
    </row>
    <row r="16860" spans="1:5" ht="15" customHeight="1" x14ac:dyDescent="0.2">
      <c r="A16860" s="1" t="s">
        <v>33217</v>
      </c>
      <c r="B16860" s="1">
        <v>0</v>
      </c>
      <c r="C16860" s="3">
        <v>44519.900497685187</v>
      </c>
      <c r="D16860" s="1" t="s">
        <v>33218</v>
      </c>
      <c r="E16860" s="1" t="str">
        <f ca="1">IFERROR(__xludf.DUMMYFUNCTION("GOOGLETRANSLATE(A13659 , ""tr"" , ""en"")"),"@drfahrettinka has to be clear imprisonment.")</f>
        <v>@drfahrettinka has to be clear imprisonment.</v>
      </c>
    </row>
    <row r="16861" spans="1:5" ht="15" customHeight="1" x14ac:dyDescent="0.2">
      <c r="A16861" s="1" t="s">
        <v>33219</v>
      </c>
      <c r="B16861" s="1">
        <v>0</v>
      </c>
      <c r="C16861" s="3">
        <v>44519.90042824074</v>
      </c>
      <c r="D16861" s="1" t="s">
        <v>33220</v>
      </c>
      <c r="E16861" s="1" t="str">
        <f ca="1">IFERROR(__xludf.DUMMYFUNCTION("GOOGLETRANSLATE(A13660 , ""tr"" , ""en"")"),"@drfahrettinkoca is always one-sided violence is already.")</f>
        <v>@drfahrettinkoca is always one-sided violence is already.</v>
      </c>
    </row>
    <row r="16862" spans="1:5" ht="15" customHeight="1" x14ac:dyDescent="0.2">
      <c r="A16862" s="1" t="s">
        <v>33221</v>
      </c>
      <c r="B16862" s="1">
        <v>4</v>
      </c>
      <c r="C16862" s="3">
        <v>44519.900231481479</v>
      </c>
      <c r="D16862" s="1" t="s">
        <v>33222</v>
      </c>
      <c r="E16862" s="1" t="str">
        <f ca="1">IFERROR(__xludf.DUMMYFUNCTION("GOOGLETRANSLATE(A13661 , ""tr"" , ""en"")"),"@drfahrettinkoca room The name screen of the room is broken, learn to spell it out of disrespectful mother and not to spell it in to mother ... https://t.co/1xcgy0c2yl")</f>
        <v>@drfahrettinkoca room The name screen of the room is broken, learn to spell it out of disrespectful mother and not to spell it in to mother ... https://t.co/1xcgy0c2yl</v>
      </c>
    </row>
    <row r="16863" spans="1:5" ht="15" customHeight="1" x14ac:dyDescent="0.2">
      <c r="A16863" s="1" t="s">
        <v>33223</v>
      </c>
      <c r="B16863" s="1">
        <v>0</v>
      </c>
      <c r="C16863" s="3">
        <v>44519.900208333333</v>
      </c>
      <c r="D16863" s="1" t="s">
        <v>33224</v>
      </c>
      <c r="E16863" s="1" t="str">
        <f ca="1">IFERROR(__xludf.DUMMYFUNCTION("GOOGLETRANSLATE(A13662 , ""tr"" , ""en"")"),"@drfahrettinkoca is not the law of law, not the minister ...")</f>
        <v>@drfahrettinkoca is not the law of law, not the minister ...</v>
      </c>
    </row>
    <row r="16864" spans="1:5" ht="15" customHeight="1" x14ac:dyDescent="0.2">
      <c r="A16864" s="1" t="s">
        <v>33225</v>
      </c>
      <c r="B16864" s="1">
        <v>0</v>
      </c>
      <c r="C16864" s="3">
        <v>44519.900127314817</v>
      </c>
      <c r="D16864" s="1" t="s">
        <v>33226</v>
      </c>
      <c r="E16864" s="1" t="str">
        <f ca="1">IFERROR(__xludf.DUMMYFUNCTION("GOOGLETRANSLATE(A13663 , ""tr"" , ""en"")"),"@drfahrettinkoca Mandatory public service penalties should be brought to the Minister. Worked as auxiliary staff in the hospital ... https://t.co/gahs4u5aob")</f>
        <v>@drfahrettinkoca Mandatory public service penalties should be brought to the Minister. Worked as auxiliary staff in the hospital ... https://t.co/gahs4u5aob</v>
      </c>
    </row>
    <row r="16865" spans="1:5" ht="15" customHeight="1" x14ac:dyDescent="0.2">
      <c r="A16865" s="1" t="s">
        <v>33227</v>
      </c>
      <c r="B16865" s="1">
        <v>5</v>
      </c>
      <c r="C16865" s="3">
        <v>44519.899780092594</v>
      </c>
      <c r="D16865" s="1" t="s">
        <v>33228</v>
      </c>
      <c r="E16865" s="1" t="str">
        <f ca="1">IFERROR(__xludf.DUMMYFUNCTION("GOOGLETRANSLATE(A13664 , ""tr"" , ""en"")"),"@drfahrettinkoca Really enough we are in the victim of our children than those physicians to fire according to your eyes ... https://t.co/dj50ghmbct")</f>
        <v>@drfahrettinkoca Really enough we are in the victim of our children than those physicians to fire according to your eyes ... https://t.co/dj50ghmbct</v>
      </c>
    </row>
    <row r="16866" spans="1:5" ht="15" customHeight="1" x14ac:dyDescent="0.2">
      <c r="A16866" s="1" t="s">
        <v>33229</v>
      </c>
      <c r="B16866" s="1">
        <v>0</v>
      </c>
      <c r="C16866" s="3">
        <v>44519.899664351855</v>
      </c>
      <c r="D16866" s="1" t="s">
        <v>33230</v>
      </c>
      <c r="E16866" s="1" t="str">
        <f ca="1">IFERROR(__xludf.DUMMYFUNCTION("GOOGLETRANSLATE(A13665 , ""tr"" , ""en"")"),"@drfahrettinka Mr. Minister Citizen Government Employees are looking out of human employees We are the State Official guys that ka ... https://t.co/g66uglogqv")</f>
        <v>@drfahrettinka Mr. Minister Citizen Government Employees are looking out of human employees We are the State Official guys that ka ... https://t.co/g66uglogqv</v>
      </c>
    </row>
    <row r="16867" spans="1:5" ht="15" customHeight="1" x14ac:dyDescent="0.2">
      <c r="A16867" s="1" t="s">
        <v>13312</v>
      </c>
      <c r="B16867" s="1">
        <v>0</v>
      </c>
      <c r="C16867" s="3">
        <v>44519.899189814816</v>
      </c>
      <c r="D16867" s="1" t="s">
        <v>33231</v>
      </c>
      <c r="E16867" s="1" t="str">
        <f ca="1">IFERROR(__xludf.DUMMYFUNCTION("GOOGLETRANSLATE(A13666 , ""tr"" , ""en"")"),"@drfahrettinkoca manuscript")</f>
        <v>@drfahrettinkoca manuscript</v>
      </c>
    </row>
    <row r="16868" spans="1:5" ht="15" customHeight="1" x14ac:dyDescent="0.2">
      <c r="A16868" s="1" t="s">
        <v>33232</v>
      </c>
      <c r="B16868" s="1">
        <v>2</v>
      </c>
      <c r="C16868" s="3">
        <v>44519.897974537038</v>
      </c>
      <c r="D16868" s="1" t="s">
        <v>33233</v>
      </c>
      <c r="E16868" s="1" t="str">
        <f ca="1">IFERROR(__xludf.DUMMYFUNCTION("GOOGLETRANSLATE(A13667 , ""tr"" , ""en"")"),"@drfahrettinkoca sec Minister, publish this guide to Allah! Something Little We Stayed Left to Delir ... Https://t.co/obukfvo2df")</f>
        <v>@drfahrettinkoca sec Minister, publish this guide to Allah! Something Little We Stayed Left to Delir ... Https://t.co/obukfvo2df</v>
      </c>
    </row>
    <row r="16869" spans="1:5" ht="15" customHeight="1" x14ac:dyDescent="0.2">
      <c r="A16869" s="1" t="s">
        <v>33234</v>
      </c>
      <c r="B16869" s="1">
        <v>0</v>
      </c>
      <c r="C16869" s="3">
        <v>44519.897881944446</v>
      </c>
      <c r="D16869" s="1" t="s">
        <v>33235</v>
      </c>
      <c r="E16869" s="1" t="str">
        <f ca="1">IFERROR(__xludf.DUMMYFUNCTION("GOOGLETRANSLATE(A13668 , ""tr"" , ""en"")"),"@drfahrettinkoca Today SMA Tip1 victorious baby's mother ended herself by hanging herself! ️ The kind of what is overlooking ... https://t.co/vdo2kigmjh")</f>
        <v>@drfahrettinkoca Today SMA Tip1 victorious baby's mother ended herself by hanging herself! ️ The kind of what is overlooking ... https://t.co/vdo2kigmjh</v>
      </c>
    </row>
    <row r="16870" spans="1:5" ht="15" customHeight="1" x14ac:dyDescent="0.2">
      <c r="A16870" s="1" t="s">
        <v>33236</v>
      </c>
      <c r="B16870" s="1">
        <v>1</v>
      </c>
      <c r="C16870" s="3">
        <v>44519.897777777776</v>
      </c>
      <c r="D16870" s="1" t="s">
        <v>33237</v>
      </c>
      <c r="E16870" s="1" t="str">
        <f ca="1">IFERROR(__xludf.DUMMYFUNCTION("GOOGLETRANSLATE(A13669 , ""tr"" , ""en"")"),"@drfahrettinkoca Minister of Health Personnel Fislensin Hic You are given a health help Hospital ... https://t.co/0fmgkrf2ot")</f>
        <v>@drfahrettinkoca Minister of Health Personnel Fislensin Hic You are given a health help Hospital ... https://t.co/0fmgkrf2ot</v>
      </c>
    </row>
    <row r="16871" spans="1:5" ht="15" customHeight="1" x14ac:dyDescent="0.2">
      <c r="A16871" s="1" t="s">
        <v>33238</v>
      </c>
      <c r="B16871" s="1">
        <v>0</v>
      </c>
      <c r="C16871" s="3">
        <v>44519.89770833333</v>
      </c>
      <c r="D16871" s="1" t="s">
        <v>33239</v>
      </c>
      <c r="E16871" s="1" t="str">
        <f ca="1">IFERROR(__xludf.DUMMYFUNCTION("GOOGLETRANSLATE(A13670 , ""tr"" , ""en"")"),"@drfahrettinkoca AKP would not be from")</f>
        <v>@drfahrettinkoca AKP would not be from</v>
      </c>
    </row>
    <row r="16872" spans="1:5" ht="15" customHeight="1" x14ac:dyDescent="0.2">
      <c r="A16872" s="1" t="s">
        <v>33240</v>
      </c>
      <c r="B16872" s="1">
        <v>0</v>
      </c>
      <c r="C16872" s="3">
        <v>44519.897488425922</v>
      </c>
      <c r="D16872" s="1" t="s">
        <v>33241</v>
      </c>
      <c r="E16872" s="1" t="str">
        <f ca="1">IFERROR(__xludf.DUMMYFUNCTION("GOOGLETRANSLATE(A13671 , ""tr"" , ""en"")"),"@drfahrettinkoca enough we are tired of mobbing is now enough to be beaten at one of the staff at even less than working staff.")</f>
        <v>@drfahrettinkoca enough we are tired of mobbing is now enough to be beaten at one of the staff at even less than working staff.</v>
      </c>
    </row>
    <row r="16873" spans="1:5" ht="15" customHeight="1" x14ac:dyDescent="0.2">
      <c r="A16873" s="1" t="s">
        <v>33242</v>
      </c>
      <c r="B16873" s="1">
        <v>0</v>
      </c>
      <c r="C16873" s="3">
        <v>44519.897256944445</v>
      </c>
      <c r="D16873" s="1" t="s">
        <v>33243</v>
      </c>
      <c r="E16873" s="1" t="str">
        <f ca="1">IFERROR(__xludf.DUMMYFUNCTION("GOOGLETRANSLATE(A13672 , ""tr"" , ""en"")"),"@drfahrettinkoca and burda violentists who have my word if you have a distressed situation if you have a distressed situation ... https://t.co/8ece1zov9g")</f>
        <v>@drfahrettinkoca and burda violentists who have my word if you have a distressed situation if you have a distressed situation ... https://t.co/8ece1zov9g</v>
      </c>
    </row>
    <row r="16874" spans="1:5" ht="15" customHeight="1" x14ac:dyDescent="0.2">
      <c r="A16874" s="1" t="s">
        <v>33244</v>
      </c>
      <c r="B16874" s="1">
        <v>0</v>
      </c>
      <c r="C16874" s="3">
        <v>44519.897152777776</v>
      </c>
      <c r="D16874" s="1" t="s">
        <v>33245</v>
      </c>
      <c r="E16874" s="1" t="str">
        <f ca="1">IFERROR(__xludf.DUMMYFUNCTION("GOOGLETRANSLATE(A13673 , ""tr"" , ""en"")"),"@drfahrettinkoca they even killed my mother, now they even gave their elemental drugs that they say ineffective now. ... https://t.co/vjxlzopepj")</f>
        <v>@drfahrettinkoca they even killed my mother, now they even gave their elemental drugs that they say ineffective now. ... https://t.co/vjxlzopepj</v>
      </c>
    </row>
    <row r="16875" spans="1:5" ht="15" customHeight="1" x14ac:dyDescent="0.2">
      <c r="A16875" s="1" t="s">
        <v>33246</v>
      </c>
      <c r="B16875" s="1">
        <v>0</v>
      </c>
      <c r="C16875" s="3">
        <v>44519.896458333336</v>
      </c>
      <c r="D16875" s="1" t="s">
        <v>33247</v>
      </c>
      <c r="E16875" s="1" t="str">
        <f ca="1">IFERROR(__xludf.DUMMYFUNCTION("GOOGLETRANSLATE(A13674 , ""tr"" , ""en"")"),"@drfahrettinkoca Don't waste time trying to mobilize society. You can remove the law, you are in power.")</f>
        <v>@drfahrettinkoca Don't waste time trying to mobilize society. You can remove the law, you are in power.</v>
      </c>
    </row>
    <row r="16876" spans="1:5" ht="15" customHeight="1" x14ac:dyDescent="0.2">
      <c r="A16876" s="1" t="s">
        <v>33248</v>
      </c>
      <c r="B16876" s="1">
        <v>0</v>
      </c>
      <c r="C16876" s="3">
        <v>44519.896377314813</v>
      </c>
      <c r="D16876" s="1" t="s">
        <v>33249</v>
      </c>
      <c r="E16876" s="1" t="str">
        <f ca="1">IFERROR(__xludf.DUMMYFUNCTION("GOOGLETRANSLATE(A13675 , ""tr"" , ""en"")"),"@drfahrettinka Mr. Ministry is facing the violence Yes, but somewhat sacks are in your own.")</f>
        <v>@drfahrettinka Mr. Ministry is facing the violence Yes, but somewhat sacks are in your own.</v>
      </c>
    </row>
    <row r="16877" spans="1:5" ht="15" customHeight="1" x14ac:dyDescent="0.2">
      <c r="A16877" s="1" t="s">
        <v>33250</v>
      </c>
      <c r="B16877" s="1">
        <v>0</v>
      </c>
      <c r="C16877" s="3">
        <v>44519.89603009259</v>
      </c>
      <c r="D16877" s="1" t="s">
        <v>33251</v>
      </c>
      <c r="E16877" s="1" t="str">
        <f ca="1">IFERROR(__xludf.DUMMYFUNCTION("GOOGLETRANSLATE(A13676 , ""tr"" , ""en"")"),"@drfahrettinkoca Guide President")</f>
        <v>@drfahrettinkoca Guide President</v>
      </c>
    </row>
    <row r="16878" spans="1:5" ht="15" customHeight="1" x14ac:dyDescent="0.2">
      <c r="A16878" s="1" t="s">
        <v>33252</v>
      </c>
      <c r="B16878" s="1">
        <v>0</v>
      </c>
      <c r="C16878" s="3">
        <v>44519.895960648151</v>
      </c>
      <c r="D16878" s="1" t="s">
        <v>33253</v>
      </c>
      <c r="E16878" s="1" t="str">
        <f ca="1">IFERROR(__xludf.DUMMYFUNCTION("GOOGLETRANSLATE(A13677 , ""tr"" , ""en"")"),"@drfahrettinkoca apply the laws. There is no need for anything else")</f>
        <v>@drfahrettinkoca apply the laws. There is no need for anything else</v>
      </c>
    </row>
    <row r="16879" spans="1:5" ht="15" customHeight="1" x14ac:dyDescent="0.2">
      <c r="A16879" s="1" t="s">
        <v>33254</v>
      </c>
      <c r="B16879" s="1">
        <v>1</v>
      </c>
      <c r="C16879" s="3">
        <v>44519.895914351851</v>
      </c>
      <c r="D16879" s="1" t="s">
        <v>33255</v>
      </c>
      <c r="E16879" s="1" t="str">
        <f ca="1">IFERROR(__xludf.DUMMYFUNCTION("GOOGLETRANSLATE(A13678 , ""tr"" , ""en"")"),"@drfahrettinkoca Health workers will be given a license to carry weapons perhaps a deterrent!")</f>
        <v>@drfahrettinkoca Health workers will be given a license to carry weapons perhaps a deterrent!</v>
      </c>
    </row>
    <row r="16880" spans="1:5" ht="15" customHeight="1" x14ac:dyDescent="0.2">
      <c r="A16880" s="1" t="s">
        <v>13312</v>
      </c>
      <c r="B16880" s="1">
        <v>0</v>
      </c>
      <c r="C16880" s="3">
        <v>44519.895613425928</v>
      </c>
      <c r="D16880" s="1" t="s">
        <v>33256</v>
      </c>
      <c r="E16880" s="1" t="str">
        <f ca="1">IFERROR(__xludf.DUMMYFUNCTION("GOOGLETRANSLATE(A13679 , ""tr"" , ""en"")"),"@drfahrettinkoca manuscript")</f>
        <v>@drfahrettinkoca manuscript</v>
      </c>
    </row>
    <row r="16881" spans="1:5" ht="15" customHeight="1" x14ac:dyDescent="0.2">
      <c r="A16881" s="1" t="s">
        <v>10756</v>
      </c>
      <c r="B16881" s="1">
        <v>0</v>
      </c>
      <c r="C16881" s="3">
        <v>44519.895173611112</v>
      </c>
      <c r="D16881" s="1" t="s">
        <v>33257</v>
      </c>
      <c r="E16881" s="1" t="str">
        <f ca="1">IFERROR(__xludf.DUMMYFUNCTION("GOOGLETRANSLATE(A13680 , ""tr"" , ""en"")"),"@drfahrettinkoca yav he he")</f>
        <v>@drfahrettinkoca yav he he</v>
      </c>
    </row>
    <row r="16882" spans="1:5" ht="15" customHeight="1" x14ac:dyDescent="0.2">
      <c r="A16882" s="1" t="s">
        <v>33258</v>
      </c>
      <c r="B16882" s="1">
        <v>0</v>
      </c>
      <c r="C16882" s="3">
        <v>44519.895115740743</v>
      </c>
      <c r="D16882" s="1" t="s">
        <v>33259</v>
      </c>
      <c r="E16882" s="1" t="str">
        <f ca="1">IFERROR(__xludf.DUMMYFUNCTION("GOOGLETRANSLATE(A13681 , ""tr"" , ""en"")"),"@drfahrettinkoca I'm against the health workers' violence but you do not mind that she is working on friends ... https://t.co/uehjj9fokv")</f>
        <v>@drfahrettinkoca I'm against the health workers' violence but you do not mind that she is working on friends ... https://t.co/uehjj9fokv</v>
      </c>
    </row>
    <row r="16883" spans="1:5" ht="15" customHeight="1" x14ac:dyDescent="0.2">
      <c r="A16883" s="1" t="s">
        <v>33260</v>
      </c>
      <c r="B16883" s="1">
        <v>0</v>
      </c>
      <c r="C16883" s="3">
        <v>44519.895104166666</v>
      </c>
      <c r="D16883" s="1" t="s">
        <v>33261</v>
      </c>
      <c r="E16883" s="1" t="str">
        <f ca="1">IFERROR(__xludf.DUMMYFUNCTION("GOOGLETRANSLATE(A13682 , ""tr"" , ""en"")"),"@drfahrettinkoca How is it?")</f>
        <v>@drfahrettinkoca How is it?</v>
      </c>
    </row>
    <row r="16884" spans="1:5" ht="15" customHeight="1" x14ac:dyDescent="0.2">
      <c r="A16884" s="1" t="s">
        <v>33262</v>
      </c>
      <c r="B16884" s="1">
        <v>0</v>
      </c>
      <c r="C16884" s="3">
        <v>44519.894988425927</v>
      </c>
      <c r="D16884" s="1" t="s">
        <v>33263</v>
      </c>
      <c r="E16884" s="1" t="str">
        <f ca="1">IFERROR(__xludf.DUMMYFUNCTION("GOOGLETRANSLATE(A13683 , ""tr"" , ""en"")"),"Why @DrFahrettinka Well Mr. Minister One of the following investigations are applied to health workers. I'm my personal name ... https://t.co/j0z8mdwsgv")</f>
        <v>Why @DrFahrettinka Well Mr. Minister One of the following investigations are applied to health workers. I'm my personal name ... https://t.co/j0z8mdwsgv</v>
      </c>
    </row>
    <row r="16885" spans="1:5" ht="15" customHeight="1" x14ac:dyDescent="0.2">
      <c r="A16885" s="1" t="s">
        <v>33264</v>
      </c>
      <c r="B16885" s="1">
        <v>1</v>
      </c>
      <c r="C16885" s="3">
        <v>44519.894571759258</v>
      </c>
      <c r="D16885" s="1" t="s">
        <v>33265</v>
      </c>
      <c r="E16885" s="1" t="str">
        <f ca="1">IFERROR(__xludf.DUMMYFUNCTION("GOOGLETRANSLATE(A13684 , ""tr"" , ""en"")"),"@drfahrettinkoca I think her to do it hospital employees and all of the doctors are the human being of the human being ... https://t.co/ylgym9ceui")</f>
        <v>@drfahrettinkoca I think her to do it hospital employees and all of the doctors are the human being of the human being ... https://t.co/ylgym9ceui</v>
      </c>
    </row>
    <row r="16886" spans="1:5" ht="15" customHeight="1" x14ac:dyDescent="0.2">
      <c r="A16886" s="1" t="s">
        <v>33266</v>
      </c>
      <c r="B16886" s="1">
        <v>0</v>
      </c>
      <c r="C16886" s="3">
        <v>44519.894525462965</v>
      </c>
      <c r="D16886" s="1" t="s">
        <v>33267</v>
      </c>
      <c r="E16886" s="1" t="str">
        <f ca="1">IFERROR(__xludf.DUMMYFUNCTION("GOOGLETRANSLATE(A13685 , ""tr"" , ""en"")"),"@drfahrettinkoca is enough to say that after a place to say it's enough to say the more herd but good bari instead of the society ... https://t.co/rp5cv7ffiI")</f>
        <v>@drfahrettinkoca is enough to say that after a place to say it's enough to say the more herd but good bari instead of the society ... https://t.co/rp5cv7ffiI</v>
      </c>
    </row>
    <row r="16887" spans="1:5" ht="15" customHeight="1" x14ac:dyDescent="0.2">
      <c r="A16887" s="1" t="s">
        <v>33268</v>
      </c>
      <c r="B16887" s="1">
        <v>1</v>
      </c>
      <c r="C16887" s="3">
        <v>44519.893993055557</v>
      </c>
      <c r="D16887" s="1" t="s">
        <v>33269</v>
      </c>
      <c r="E16887" s="1" t="str">
        <f ca="1">IFERROR(__xludf.DUMMYFUNCTION("GOOGLETRANSLATE(A13686 , ""tr"" , ""en"")"),"@drfahrettinkoca Problem Mandeled Your laws and fits. Look at the exact thief, rings more than Bi, held ... https://t.co/9ysmv3oj9s")</f>
        <v>@drfahrettinkoca Problem Mandeled Your laws and fits. Look at the exact thief, rings more than Bi, held ... https://t.co/9ysmv3oj9s</v>
      </c>
    </row>
    <row r="16888" spans="1:5" ht="15" customHeight="1" x14ac:dyDescent="0.2">
      <c r="A16888" s="1" t="s">
        <v>33270</v>
      </c>
      <c r="B16888" s="1">
        <v>5</v>
      </c>
      <c r="C16888" s="3">
        <v>44519.89398148148</v>
      </c>
      <c r="D16888" s="1" t="s">
        <v>33271</v>
      </c>
      <c r="E16888" s="1" t="str">
        <f ca="1">IFERROR(__xludf.DUMMYFUNCTION("GOOGLETRANSLATE(A13687 , ""tr"" , ""en"")"),"@drfahrettinka Some state hospitals in emergency and non-PCR or PCR has no barcode even cut and definitely examine ... https://t.co/q8dcdqjjjaf")</f>
        <v>@drfahrettinka Some state hospitals in emergency and non-PCR or PCR has no barcode even cut and definitely examine ... https://t.co/q8dcdqjjjaf</v>
      </c>
    </row>
    <row r="16889" spans="1:5" ht="15" customHeight="1" x14ac:dyDescent="0.2">
      <c r="A16889" s="1" t="s">
        <v>33272</v>
      </c>
      <c r="B16889" s="1">
        <v>0</v>
      </c>
      <c r="C16889" s="3">
        <v>44519.893946759257</v>
      </c>
      <c r="D16889" s="1" t="s">
        <v>33273</v>
      </c>
      <c r="E16889" s="1" t="str">
        <f ca="1">IFERROR(__xludf.DUMMYFUNCTION("GOOGLETRANSLATE(A13688 , ""tr"" , ""en"")"),"@drfahrettinkoca 5 Yasinde I have a girl in Yasindi I weave my hand to night I need to be your support I need your support Alirmis You need to support #destek # aid")</f>
        <v>@drfahrettinkoca 5 Yasinde I have a girl in Yasindi I weave my hand to night I need to be your support I need your support Alirmis You need to support #destek # aid</v>
      </c>
    </row>
    <row r="16890" spans="1:5" ht="15" customHeight="1" x14ac:dyDescent="0.2">
      <c r="A16890" s="1" t="s">
        <v>33274</v>
      </c>
      <c r="B16890" s="1">
        <v>0</v>
      </c>
      <c r="C16890" s="3">
        <v>44519.893888888888</v>
      </c>
      <c r="D16890" s="1" t="s">
        <v>33275</v>
      </c>
      <c r="E16890" s="1" t="str">
        <f ca="1">IFERROR(__xludf.DUMMYFUNCTION("GOOGLETRANSLATE(A13689 , ""tr"" , ""en"")"),"@drfahrettinka Mr. Minister maybe physician friends may not know technically I help ... https://t.co/dvnqmhbgra")</f>
        <v>@drfahrettinka Mr. Minister maybe physician friends may not know technically I help ... https://t.co/dvnqmhbgra</v>
      </c>
    </row>
    <row r="16891" spans="1:5" ht="15" customHeight="1" x14ac:dyDescent="0.2">
      <c r="A16891" s="1" t="s">
        <v>33276</v>
      </c>
      <c r="B16891" s="1">
        <v>0</v>
      </c>
      <c r="C16891" s="3">
        <v>44519.893530092595</v>
      </c>
      <c r="D16891" s="1" t="s">
        <v>33277</v>
      </c>
      <c r="E16891" s="1" t="str">
        <f ca="1">IFERROR(__xludf.DUMMYFUNCTION("GOOGLETRANSLATE(A13690 , ""tr"" , ""en"")"),"@drfahrettinkoca artic is enough but there is a message of 90 of the patrol.")</f>
        <v>@drfahrettinkoca artic is enough but there is a message of 90 of the patrol.</v>
      </c>
    </row>
    <row r="16892" spans="1:5" ht="15" customHeight="1" x14ac:dyDescent="0.2">
      <c r="A16892" s="1" t="s">
        <v>33278</v>
      </c>
      <c r="B16892" s="1">
        <v>0</v>
      </c>
      <c r="C16892" s="3">
        <v>44519.893321759257</v>
      </c>
      <c r="D16892" s="1" t="s">
        <v>33279</v>
      </c>
      <c r="E16892" s="1" t="str">
        <f ca="1">IFERROR(__xludf.DUMMYFUNCTION("GOOGLETRANSLATE(A13691 , ""tr"" , ""en"")"),"@drfahrettinkoca cokmu hard law cleeing hand do not gindlight it ozaman")</f>
        <v>@drfahrettinkoca cokmu hard law cleeing hand do not gindlight it ozaman</v>
      </c>
    </row>
    <row r="16893" spans="1:5" ht="15" customHeight="1" x14ac:dyDescent="0.2">
      <c r="A16893" s="1" t="s">
        <v>33280</v>
      </c>
      <c r="B16893" s="1">
        <v>0</v>
      </c>
      <c r="C16893" s="3">
        <v>44519.893101851849</v>
      </c>
      <c r="D16893" s="1" t="s">
        <v>33281</v>
      </c>
      <c r="E16893" s="1" t="str">
        <f ca="1">IFERROR(__xludf.DUMMYFUNCTION("GOOGLETRANSLATE(A13692 , ""tr"" , ""en"")"),"@drfahrettinkoca VALLA Mr. Ministry of Mr., Non-married to the elderly to the elderly mothers and B ... https://t.co/skcojpioz2")</f>
        <v>@drfahrettinkoca VALLA Mr. Ministry of Mr., Non-married to the elderly to the elderly mothers and B ... https://t.co/skcojpioz2</v>
      </c>
    </row>
    <row r="16894" spans="1:5" ht="15" customHeight="1" x14ac:dyDescent="0.2">
      <c r="A16894" s="1" t="s">
        <v>33282</v>
      </c>
      <c r="B16894" s="1">
        <v>0</v>
      </c>
      <c r="C16894" s="3">
        <v>44519.893101851849</v>
      </c>
      <c r="D16894" s="1" t="s">
        <v>33283</v>
      </c>
      <c r="E16894" s="1" t="str">
        <f ca="1">IFERROR(__xludf.DUMMYFUNCTION("GOOGLETRANSLATE(A13693 , ""tr"" , ""en"")"),"@drfahrettinkoca geyefendi madem removed laws The laws are unable to protect health workers who make you overlooking you ... https://t.co/fcrw6teuvv")</f>
        <v>@drfahrettinkoca geyefendi madem removed laws The laws are unable to protect health workers who make you overlooking you ... https://t.co/fcrw6teuvv</v>
      </c>
    </row>
    <row r="16895" spans="1:5" ht="15" customHeight="1" x14ac:dyDescent="0.2">
      <c r="A16895" s="1" t="s">
        <v>33284</v>
      </c>
      <c r="B16895" s="1">
        <v>91</v>
      </c>
      <c r="C16895" s="3">
        <v>44519.893101851849</v>
      </c>
      <c r="D16895" s="1" t="s">
        <v>33285</v>
      </c>
      <c r="E16895" s="1" t="str">
        <f ca="1">IFERROR(__xludf.DUMMYFUNCTION("GOOGLETRANSLATE(A13694 , ""tr"" , ""en"")"),"@drfahrettinkoca What penalty is given to those who do not do the humiliations or task of health workers. B ... https://t.co/m4jflsk7p6")</f>
        <v>@drfahrettinkoca What penalty is given to those who do not do the humiliations or task of health workers. B ... https://t.co/m4jflsk7p6</v>
      </c>
    </row>
    <row r="16896" spans="1:5" ht="15" customHeight="1" x14ac:dyDescent="0.2">
      <c r="A16896" s="1" t="s">
        <v>33286</v>
      </c>
      <c r="B16896" s="1">
        <v>0</v>
      </c>
      <c r="C16896" s="3">
        <v>44519.89271990741</v>
      </c>
      <c r="D16896" s="1" t="s">
        <v>33287</v>
      </c>
      <c r="E16896" s="1" t="str">
        <f ca="1">IFERROR(__xludf.DUMMYFUNCTION("GOOGLETRANSLATE(A13695 , ""tr"" , ""en"")"),"@drfahrettinkoca hospitalized doctoral phenomena We strictly understood, TMMDR, Ministry of business is the business us not usable ... https://t.co/wngCIWZ9I7")</f>
        <v>@drfahrettinkoca hospitalized doctoral phenomena We strictly understood, TMMDR, Ministry of business is the business us not usable ... https://t.co/wngCIWZ9I7</v>
      </c>
    </row>
    <row r="16897" spans="1:5" ht="15" customHeight="1" x14ac:dyDescent="0.2">
      <c r="A16897" s="1" t="s">
        <v>33288</v>
      </c>
      <c r="B16897" s="1">
        <v>0</v>
      </c>
      <c r="C16897" s="3">
        <v>44519.89266203704</v>
      </c>
      <c r="D16897" s="1" t="s">
        <v>33289</v>
      </c>
      <c r="E16897" s="1" t="str">
        <f ca="1">IFERROR(__xludf.DUMMYFUNCTION("GOOGLETRANSLATE(A13696 , ""tr"" , ""en"")"),"@drfahrettinkoca Leave Allahaskino, you are not intimate ...")</f>
        <v>@drfahrettinkoca Leave Allahaskino, you are not intimate ...</v>
      </c>
    </row>
    <row r="16898" spans="1:5" ht="15" customHeight="1" x14ac:dyDescent="0.2">
      <c r="A16898" s="1" t="s">
        <v>33290</v>
      </c>
      <c r="B16898" s="1">
        <v>1</v>
      </c>
      <c r="C16898" s="3">
        <v>44519.892569444448</v>
      </c>
      <c r="D16898" s="1" t="s">
        <v>33291</v>
      </c>
      <c r="E16898" s="1" t="str">
        <f ca="1">IFERROR(__xludf.DUMMYFUNCTION("GOOGLETRANSLATE(A13697 , ""tr"" , ""en"")"),"@drfahrettinkoca You broke the psychology of nation, everyone cannot even tolerate the smallest negativity to strap the head.")</f>
        <v>@drfahrettinkoca You broke the psychology of nation, everyone cannot even tolerate the smallest negativity to strap the head.</v>
      </c>
    </row>
    <row r="16899" spans="1:5" ht="15" customHeight="1" x14ac:dyDescent="0.2">
      <c r="A16899" s="1" t="s">
        <v>33292</v>
      </c>
      <c r="B16899" s="1">
        <v>0</v>
      </c>
      <c r="C16899" s="3">
        <v>44519.892511574071</v>
      </c>
      <c r="D16899" s="1" t="s">
        <v>33293</v>
      </c>
      <c r="E16899" s="1" t="str">
        <f ca="1">IFERROR(__xludf.DUMMYFUNCTION("GOOGLETRANSLATE(A13698 , ""tr"" , ""en"")"),"@drfahrettinka Firstly you need to finish the executive violence in institutions ...")</f>
        <v>@drfahrettinka Firstly you need to finish the executive violence in institutions ...</v>
      </c>
    </row>
    <row r="16900" spans="1:5" ht="15" customHeight="1" x14ac:dyDescent="0.2">
      <c r="A16900" s="1" t="s">
        <v>33294</v>
      </c>
      <c r="B16900" s="1">
        <v>1</v>
      </c>
      <c r="C16900" s="3">
        <v>44519.89234953704</v>
      </c>
      <c r="D16900" s="1" t="s">
        <v>33295</v>
      </c>
      <c r="E16900" s="1" t="str">
        <f ca="1">IFERROR(__xludf.DUMMYFUNCTION("GOOGLETRANSLATE(A13699 , ""tr"" , ""en"")"),"@drfahrettinkoca Yes my minister is enough! Publish the guide")</f>
        <v>@drfahrettinkoca Yes my minister is enough! Publish the guide</v>
      </c>
    </row>
    <row r="16901" spans="1:5" ht="15" customHeight="1" x14ac:dyDescent="0.2">
      <c r="A16901" s="1" t="s">
        <v>33296</v>
      </c>
      <c r="B16901" s="1">
        <v>0</v>
      </c>
      <c r="C16901" s="3">
        <v>44519.892314814817</v>
      </c>
      <c r="D16901" s="1" t="s">
        <v>33297</v>
      </c>
      <c r="E16901" s="1" t="str">
        <f ca="1">IFERROR(__xludf.DUMMYFUNCTION("GOOGLETRANSLATE(A13700 , ""tr"" , ""en"")"),"@drfahrettinkoca Ministry of Violent Time to take advantage of personal insurance, pay for health care ... https://t.co/EIMZKCXLHG")</f>
        <v>@drfahrettinkoca Ministry of Violent Time to take advantage of personal insurance, pay for health care ... https://t.co/EIMZKCXLHG</v>
      </c>
    </row>
    <row r="16902" spans="1:5" ht="15" customHeight="1" x14ac:dyDescent="0.2">
      <c r="A16902" s="1" t="s">
        <v>33298</v>
      </c>
      <c r="B16902" s="1">
        <v>1</v>
      </c>
      <c r="C16902" s="3">
        <v>44519.892291666663</v>
      </c>
      <c r="D16902" s="1" t="s">
        <v>33299</v>
      </c>
      <c r="E16902" s="1" t="str">
        <f ca="1">IFERROR(__xludf.DUMMYFUNCTION("GOOGLETRANSLATE(A13701 , ""tr"" , ""en"")"),"@drfahrettinka you are right. """" Enough of enough ""'The people are beating this scream for years. I wish to have the last scream.")</f>
        <v>@drfahrettinka you are right. "" Enough of enough "'The people are beating this scream for years. I wish to have the last scream.</v>
      </c>
    </row>
    <row r="16903" spans="1:5" ht="15" customHeight="1" x14ac:dyDescent="0.2">
      <c r="A16903" s="1" t="s">
        <v>33300</v>
      </c>
      <c r="B16903" s="1">
        <v>0</v>
      </c>
      <c r="C16903" s="3">
        <v>44519.892256944448</v>
      </c>
      <c r="D16903" s="1" t="s">
        <v>33301</v>
      </c>
      <c r="E16903" s="1" t="str">
        <f ca="1">IFERROR(__xludf.DUMMYFUNCTION("GOOGLETRANSLATE(A13702 , ""tr"" , ""en"")"),"@drfahrettinkoca 1.5 In the last 2 decades of multiply what do you see the benefit?")</f>
        <v>@drfahrettinkoca 1.5 In the last 2 decades of multiply what do you see the benefit?</v>
      </c>
    </row>
    <row r="16904" spans="1:5" ht="15" customHeight="1" x14ac:dyDescent="0.2">
      <c r="A16904" s="1" t="s">
        <v>33302</v>
      </c>
      <c r="B16904" s="1">
        <v>0</v>
      </c>
      <c r="C16904" s="3">
        <v>44519.892141203702</v>
      </c>
      <c r="D16904" s="1" t="s">
        <v>33303</v>
      </c>
      <c r="E16904" s="1" t="str">
        <f ca="1">IFERROR(__xludf.DUMMYFUNCTION("GOOGLETRANSLATE(A13703 , ""tr"" , ""en"")"),"@drfahrettinkoca penalties xanator not the best penalty at the most remote place in the metropolis of the city Hospitals ... https://t.co/dhnrql9bpb")</f>
        <v>@drfahrettinkoca penalties xanator not the best penalty at the most remote place in the metropolis of the city Hospitals ... https://t.co/dhnrql9bpb</v>
      </c>
    </row>
    <row r="16905" spans="1:5" ht="15" customHeight="1" x14ac:dyDescent="0.2">
      <c r="A16905" s="1" t="s">
        <v>33304</v>
      </c>
      <c r="B16905" s="1">
        <v>1</v>
      </c>
      <c r="C16905" s="3">
        <v>44520.963888888888</v>
      </c>
      <c r="D16905" s="1" t="s">
        <v>33305</v>
      </c>
      <c r="E16905" s="1" t="str">
        <f ca="1">IFERROR(__xludf.DUMMYFUNCTION("GOOGLETRANSLATE(A13704 , ""tr"" , ""en"")"),"@drfahrettinkoca main point is that if you treat dr bey man like animal, the conclusion will bite (my exceptions head ... https://t.co/8ov3namggg6")</f>
        <v>@drfahrettinkoca main point is that if you treat dr bey man like animal, the conclusion will bite (my exceptions head ... https://t.co/8ov3namggg6</v>
      </c>
    </row>
    <row r="16906" spans="1:5" ht="15" customHeight="1" x14ac:dyDescent="0.2">
      <c r="A16906" s="1" t="s">
        <v>33306</v>
      </c>
      <c r="B16906" s="1">
        <v>0</v>
      </c>
      <c r="C16906" s="3">
        <v>44520.961701388886</v>
      </c>
      <c r="D16906" s="1" t="s">
        <v>33307</v>
      </c>
      <c r="E16906" s="1" t="str">
        <f ca="1">IFERROR(__xludf.DUMMYFUNCTION("GOOGLETRANSLATE(A13705 , ""tr"" , ""en"")"),"@drfahrettinka you are interested in other things than the vaccine.")</f>
        <v>@drfahrettinka you are interested in other things than the vaccine.</v>
      </c>
    </row>
    <row r="16907" spans="1:5" ht="15" customHeight="1" x14ac:dyDescent="0.2">
      <c r="A16907" s="1" t="s">
        <v>33308</v>
      </c>
      <c r="B16907" s="1">
        <v>0</v>
      </c>
      <c r="C16907" s="3">
        <v>44520.937152777777</v>
      </c>
      <c r="D16907" s="1" t="s">
        <v>33309</v>
      </c>
      <c r="E16907" s="1" t="str">
        <f ca="1">IFERROR(__xludf.DUMMYFUNCTION("GOOGLETRANSLATE(A13706 , ""tr"" , ""en"")"),"@drfahrettinkoca severity If we separate it, I think it brings very damage to the benefit. Oral or f ... https://t.co/ia5lgcfofg")</f>
        <v>@drfahrettinkoca severity If we separate it, I think it brings very damage to the benefit. Oral or f ... https://t.co/ia5lgcfofg</v>
      </c>
    </row>
    <row r="16908" spans="1:5" ht="15" customHeight="1" x14ac:dyDescent="0.2">
      <c r="A16908" s="1" t="s">
        <v>33310</v>
      </c>
      <c r="B16908" s="1">
        <v>9</v>
      </c>
      <c r="C16908" s="3">
        <v>44520.93377314815</v>
      </c>
      <c r="D16908" s="1" t="s">
        <v>33311</v>
      </c>
      <c r="E16908" s="1" t="str">
        <f ca="1">IFERROR(__xludf.DUMMYFUNCTION("GOOGLETRANSLATE(A13707 , ""tr"" , ""en"")"),"@drfahrettinkoca We throw a cry of help for two months, our tags are settled in the top rows. What you have seen what you see ... HTTPS://T.CO/AFEYPGI4IL")</f>
        <v>@drfahrettinkoca We throw a cry of help for two months, our tags are settled in the top rows. What you have seen what you see ... HTTPS://T.CO/AFEYPGI4IL</v>
      </c>
    </row>
    <row r="16909" spans="1:5" ht="15" customHeight="1" x14ac:dyDescent="0.2">
      <c r="A16909" s="1" t="s">
        <v>33312</v>
      </c>
      <c r="B16909" s="1">
        <v>0</v>
      </c>
      <c r="C16909" s="3">
        <v>44520.924467592595</v>
      </c>
      <c r="D16909" s="1" t="s">
        <v>33313</v>
      </c>
      <c r="E16909" s="1" t="str">
        <f ca="1">IFERROR(__xludf.DUMMYFUNCTION("GOOGLETRANSLATE(A13708 , ""tr"" , ""en"")"),"@drfahrettinkoca If you mobilize the laws? Like the prisoner judges? Your insult is the threat ... https://t.co/5n7xtcvgve")</f>
        <v>@drfahrettinkoca If you mobilize the laws? Like the prisoner judges? Your insult is the threat ... https://t.co/5n7xtcvgve</v>
      </c>
    </row>
    <row r="16910" spans="1:5" ht="15" customHeight="1" x14ac:dyDescent="0.2">
      <c r="A16910" s="1" t="s">
        <v>33314</v>
      </c>
      <c r="B16910" s="1">
        <v>0</v>
      </c>
      <c r="C16910" s="3">
        <v>44520.91741898148</v>
      </c>
      <c r="D16910" s="1" t="s">
        <v>33315</v>
      </c>
      <c r="E16910" s="1" t="str">
        <f ca="1">IFERROR(__xludf.DUMMYFUNCTION("GOOGLETRANSLATE(A13709 , ""tr"" , ""en"")"),"@drfahrettinkoca footlands ?? Let me be prepared ..")</f>
        <v>@drfahrettinkoca footlands ?? Let me be prepared ..</v>
      </c>
    </row>
    <row r="16911" spans="1:5" ht="15" customHeight="1" x14ac:dyDescent="0.2">
      <c r="A16911" s="1" t="s">
        <v>33316</v>
      </c>
      <c r="B16911" s="1">
        <v>0</v>
      </c>
      <c r="C16911" s="3">
        <v>44520.913310185184</v>
      </c>
      <c r="D16911" s="1" t="s">
        <v>33317</v>
      </c>
      <c r="E16911" s="1" t="str">
        <f ca="1">IFERROR(__xludf.DUMMYFUNCTION("GOOGLETRANSLATE(A13710 , ""tr"" , ""en"")"),"@drfahrettinkoca peak is also what you read below is what you need to do what you need to do in fact")</f>
        <v>@drfahrettinkoca peak is also what you read below is what you need to do what you need to do in fact</v>
      </c>
    </row>
    <row r="16912" spans="1:5" ht="15" customHeight="1" x14ac:dyDescent="0.2">
      <c r="A16912" s="1" t="s">
        <v>33318</v>
      </c>
      <c r="B16912" s="1">
        <v>3</v>
      </c>
      <c r="C16912" s="3">
        <v>44520.913159722222</v>
      </c>
      <c r="D16912" s="1" t="s">
        <v>33319</v>
      </c>
      <c r="E16912" s="1" t="str">
        <f ca="1">IFERROR(__xludf.DUMMYFUNCTION("GOOGLETRANSLATE(A13711 , ""tr"" , ""en"")"),"@drfahrettinkoca Tagged Tag when students tell about 200 thousand people, teachers are exposed to virus in school ... https://t.co/nxnjrvq7dl")</f>
        <v>@drfahrettinkoca Tagged Tag when students tell about 200 thousand people, teachers are exposed to virus in school ... https://t.co/nxnjrvq7dl</v>
      </c>
    </row>
    <row r="16913" spans="1:5" ht="15" customHeight="1" x14ac:dyDescent="0.2">
      <c r="A16913" s="1" t="s">
        <v>33320</v>
      </c>
      <c r="B16913" s="1">
        <v>6</v>
      </c>
      <c r="C16913" s="3">
        <v>44520.912094907406</v>
      </c>
      <c r="D16913" s="1" t="s">
        <v>33321</v>
      </c>
      <c r="E16913" s="1" t="str">
        <f ca="1">IFERROR(__xludf.DUMMYFUNCTION("GOOGLETRANSLATE(A13712 , ""tr"" , ""en"")"),"@drfahrettinka Did you listen to the Tag opened to 200 thousand people? What measures have you taken? What did you do ... HTTPS://T.CO/TPENRDYOI6")</f>
        <v>@drfahrettinka Did you listen to the Tag opened to 200 thousand people? What measures have you taken? What did you do ... HTTPS://T.CO/TPENRDYOI6</v>
      </c>
    </row>
    <row r="16914" spans="1:5" ht="15" customHeight="1" x14ac:dyDescent="0.2">
      <c r="A16914" s="1" t="s">
        <v>33322</v>
      </c>
      <c r="B16914" s="1">
        <v>0</v>
      </c>
      <c r="C16914" s="3">
        <v>44520.899212962962</v>
      </c>
      <c r="D16914" s="1" t="s">
        <v>33323</v>
      </c>
      <c r="E16914" s="1" t="str">
        <f ca="1">IFERROR(__xludf.DUMMYFUNCTION("GOOGLETRANSLATE(A13713 , ""tr"" , ""en"")"),"@drfahrettinkoca @saglikbakanligi Mr Minister, don't expect everything from us. Reduce the burden of health personnel, citizen ... https://t.co/ngkgbptk5g")</f>
        <v>@drfahrettinkoca @saglikbakanligi Mr Minister, don't expect everything from us. Reduce the burden of health personnel, citizen ... https://t.co/ngkgbptk5g</v>
      </c>
    </row>
    <row r="16915" spans="1:5" ht="15" customHeight="1" x14ac:dyDescent="0.2">
      <c r="A16915" s="1" t="s">
        <v>33324</v>
      </c>
      <c r="B16915" s="1">
        <v>0</v>
      </c>
      <c r="C16915" s="3">
        <v>44520.894606481481</v>
      </c>
      <c r="D16915" s="1" t="s">
        <v>33325</v>
      </c>
      <c r="E16915" s="1" t="str">
        <f ca="1">IFERROR(__xludf.DUMMYFUNCTION("GOOGLETRANSLATE(A13714 , ""tr"" , ""en"")"),"@drfahrettinkoca hay Allah your hand is not connected to your arm? We understood is nothing you can do so sad")</f>
        <v>@drfahrettinkoca hay Allah your hand is not connected to your arm? We understood is nothing you can do so sad</v>
      </c>
    </row>
    <row r="16916" spans="1:5" ht="15" customHeight="1" x14ac:dyDescent="0.2">
      <c r="A16916" s="1" t="s">
        <v>33326</v>
      </c>
      <c r="B16916" s="1">
        <v>0</v>
      </c>
      <c r="C16916" s="3">
        <v>44520.891689814816</v>
      </c>
      <c r="D16916" s="1" t="s">
        <v>33327</v>
      </c>
      <c r="E16916" s="1" t="str">
        <f ca="1">IFERROR(__xludf.DUMMYFUNCTION("GOOGLETRANSLATE(A13715 , ""tr"" , ""en"")"),"@drfahrettinkoca ""Now it's really enough"" Because of such retards Bn hospital for 2 years when I need 2 years ... https://t.co/grjgdaxwcm")</f>
        <v>@drfahrettinkoca "Now it's really enough" Because of such retards Bn hospital for 2 years when I need 2 years ... https://t.co/grjgdaxwcm</v>
      </c>
    </row>
    <row r="16917" spans="1:5" ht="15" customHeight="1" x14ac:dyDescent="0.2">
      <c r="A16917" s="1" t="s">
        <v>33328</v>
      </c>
      <c r="B16917" s="1">
        <v>0</v>
      </c>
      <c r="C16917" s="3">
        <v>44520.889791666668</v>
      </c>
      <c r="D16917" s="1" t="s">
        <v>33329</v>
      </c>
      <c r="E16917" s="1" t="str">
        <f ca="1">IFERROR(__xludf.DUMMYFUNCTION("GOOGLETRANSLATE(A13716 , ""tr"" , ""en"")"),"@drfahrettinkoca is a more exported person who has targeted those who do not want to be the licensed liquid assay, is a more exported by the profession ... https://t.co/9pxtpcrt7I")</f>
        <v>@drfahrettinkoca is a more exported person who has targeted those who do not want to be the licensed liquid assay, is a more exported by the profession ... https://t.co/9pxtpcrt7I</v>
      </c>
    </row>
    <row r="16918" spans="1:5" ht="15" customHeight="1" x14ac:dyDescent="0.2">
      <c r="A16918" s="1" t="s">
        <v>33330</v>
      </c>
      <c r="B16918" s="1">
        <v>0</v>
      </c>
      <c r="C16918" s="3">
        <v>44520.888749999998</v>
      </c>
      <c r="D16918" s="1" t="s">
        <v>33331</v>
      </c>
      <c r="E16918" s="1" t="str">
        <f ca="1">IFERROR(__xludf.DUMMYFUNCTION("GOOGLETRANSLATE(A13717 , ""tr"" , ""en"")"),"@drfahrettinkoca Lonely in this case the laws are not equal to anyone who is not equal to me this is a bit odd. Health ... https://t.co/D71ISTMPX1")</f>
        <v>@drfahrettinkoca Lonely in this case the laws are not equal to anyone who is not equal to me this is a bit odd. Health ... https://t.co/D71ISTMPX1</v>
      </c>
    </row>
    <row r="16919" spans="1:5" ht="15" customHeight="1" x14ac:dyDescent="0.2">
      <c r="A16919" s="1" t="s">
        <v>33332</v>
      </c>
      <c r="B16919" s="1">
        <v>1</v>
      </c>
      <c r="C16919" s="3">
        <v>44520.886597222219</v>
      </c>
      <c r="D16919" s="1" t="s">
        <v>33333</v>
      </c>
      <c r="E16919" s="1" t="str">
        <f ca="1">IFERROR(__xludf.DUMMYFUNCTION("GOOGLETRANSLATE(A13718 , ""tr"" , ""en"")"),"@drfahrettinkoca Giving very high fines (Orn: DEVIE contact If you contact enaz 35-40 thousand TL fine)")</f>
        <v>@drfahrettinkoca Giving very high fines (Orn: DEVIE contact If you contact enaz 35-40 thousand TL fine)</v>
      </c>
    </row>
    <row r="16920" spans="1:5" ht="15" customHeight="1" x14ac:dyDescent="0.2">
      <c r="A16920" s="1" t="s">
        <v>33334</v>
      </c>
      <c r="B16920" s="1">
        <v>0</v>
      </c>
      <c r="C16920" s="3">
        <v>44520.884456018517</v>
      </c>
      <c r="D16920" s="1" t="s">
        <v>33335</v>
      </c>
      <c r="E16920" s="1" t="str">
        <f ca="1">IFERROR(__xludf.DUMMYFUNCTION("GOOGLETRANSLATE(A13719 , ""tr"" , ""en"")"),"@drfahrettinkoca What is @acilafetgovtr vajinismus?")</f>
        <v>@drfahrettinkoca What is @acilafetgovtr vajinismus?</v>
      </c>
    </row>
    <row r="16921" spans="1:5" ht="15" customHeight="1" x14ac:dyDescent="0.2">
      <c r="A16921" s="1" t="s">
        <v>33336</v>
      </c>
      <c r="B16921" s="1">
        <v>0</v>
      </c>
      <c r="C16921" s="3">
        <v>44520.878263888888</v>
      </c>
      <c r="D16921" s="1" t="s">
        <v>33337</v>
      </c>
      <c r="E16921" s="1" t="str">
        <f ca="1">IFERROR(__xludf.DUMMYFUNCTION("GOOGLETRANSLATE(A13720 , ""tr"" , ""en"")"),"@drfahrettinkoca doctors nurses, how the patients treat the patients, you are the face of your hospitals, a ... https://t.co/ldvogvIqsq")</f>
        <v>@drfahrettinkoca doctors nurses, how the patients treat the patients, you are the face of your hospitals, a ... https://t.co/ldvogvIqsq</v>
      </c>
    </row>
    <row r="16922" spans="1:5" ht="15" customHeight="1" x14ac:dyDescent="0.2">
      <c r="A16922" s="1" t="s">
        <v>33338</v>
      </c>
      <c r="B16922" s="1">
        <v>0</v>
      </c>
      <c r="C16922" s="3">
        <v>44520.871215277781</v>
      </c>
      <c r="D16922" s="1" t="s">
        <v>33339</v>
      </c>
      <c r="E16922" s="1" t="str">
        <f ca="1">IFERROR(__xludf.DUMMYFUNCTION("GOOGLETRANSLATE(A13721 , ""tr"" , ""en"")"),"@drfahrettinka violence your healthy calisans? I'm hoping that in that subject is you a day?")</f>
        <v>@drfahrettinka violence your healthy calisans? I'm hoping that in that subject is you a day?</v>
      </c>
    </row>
    <row r="16923" spans="1:5" ht="15" customHeight="1" x14ac:dyDescent="0.2">
      <c r="A16923" s="1" t="s">
        <v>33340</v>
      </c>
      <c r="B16923" s="1">
        <v>1</v>
      </c>
      <c r="C16923" s="3">
        <v>44520.868368055555</v>
      </c>
      <c r="D16923" s="1" t="s">
        <v>33341</v>
      </c>
      <c r="E16923" s="1" t="str">
        <f ca="1">IFERROR(__xludf.DUMMYFUNCTION("GOOGLETRANSLATE(A13722 , ""tr"" , ""en"")"),"@drfahrettinkoca hi hi tmm")</f>
        <v>@drfahrettinkoca hi hi tmm</v>
      </c>
    </row>
    <row r="16924" spans="1:5" ht="15" customHeight="1" x14ac:dyDescent="0.2">
      <c r="A16924" s="1" t="s">
        <v>33342</v>
      </c>
      <c r="B16924" s="1">
        <v>0</v>
      </c>
      <c r="C16924" s="3">
        <v>44520.863287037035</v>
      </c>
      <c r="D16924" s="1" t="s">
        <v>33343</v>
      </c>
      <c r="E16924" s="1" t="str">
        <f ca="1">IFERROR(__xludf.DUMMYFUNCTION("GOOGLETRANSLATE(A13723 , ""tr"" , ""en"")"),"@drfahrettinkoca You cannot enter these attackers to the hospital, when you are going to be doing the sec ... we want X-ray to doors.")</f>
        <v>@drfahrettinkoca You cannot enter these attackers to the hospital, when you are going to be doing the sec ... we want X-ray to doors.</v>
      </c>
    </row>
    <row r="16925" spans="1:5" ht="15" customHeight="1" x14ac:dyDescent="0.2">
      <c r="A16925" s="1" t="s">
        <v>33344</v>
      </c>
      <c r="B16925" s="1">
        <v>0</v>
      </c>
      <c r="C16925" s="3">
        <v>44520.861851851849</v>
      </c>
      <c r="D16925" s="1" t="s">
        <v>33345</v>
      </c>
      <c r="E16925" s="1" t="str">
        <f ca="1">IFERROR(__xludf.DUMMYFUNCTION("GOOGLETRANSLATE(A13724 , ""tr"" , ""en"")"),"@drfahrettinkoca Mr. Minister, Exit the physician")</f>
        <v>@drfahrettinkoca Mr. Minister, Exit the physician</v>
      </c>
    </row>
    <row r="16926" spans="1:5" ht="15" customHeight="1" x14ac:dyDescent="0.2">
      <c r="A16926" s="1" t="s">
        <v>33346</v>
      </c>
      <c r="B16926" s="1">
        <v>0</v>
      </c>
      <c r="C16926" s="3">
        <v>44520.99423611111</v>
      </c>
      <c r="D16926" s="1" t="s">
        <v>33347</v>
      </c>
      <c r="E16926" s="1" t="str">
        <f ca="1">IFERROR(__xludf.DUMMYFUNCTION("GOOGLETRANSLATE(A13725 , ""tr"" , ""en"")"),"@drfahrettinka you people are forced in vaccines! grafted nozzle! Doctor Patient Distributing Hippochr ... https://t.co/bb8juwwjax")</f>
        <v>@drfahrettinka you people are forced in vaccines! grafted nozzle! Doctor Patient Distributing Hippochr ... https://t.co/bb8juwwjax</v>
      </c>
    </row>
    <row r="16927" spans="1:5" ht="15" customHeight="1" x14ac:dyDescent="0.2">
      <c r="A16927" s="1" t="s">
        <v>33348</v>
      </c>
      <c r="B16927" s="1">
        <v>0</v>
      </c>
      <c r="C16927" s="3">
        <v>44520.858275462961</v>
      </c>
      <c r="D16927" s="1" t="s">
        <v>33349</v>
      </c>
      <c r="E16927" s="1" t="str">
        <f ca="1">IFERROR(__xludf.DUMMYFUNCTION("GOOGLETRANSLATE(A13726 , ""tr"" , ""en"")"),"@drfahrettinkoca I am also a healthcare worker for 2-3 years I have been violent in ""psychological violence 'as well as their punishment ... https://t.co/9qfibjhroo")</f>
        <v>@drfahrettinkoca I am also a healthcare worker for 2-3 years I have been violent in "psychological violence 'as well as their punishment ... https://t.co/9qfibjhroo</v>
      </c>
    </row>
    <row r="16928" spans="1:5" ht="15" customHeight="1" x14ac:dyDescent="0.2">
      <c r="A16928" s="1" t="s">
        <v>33350</v>
      </c>
      <c r="B16928" s="1">
        <v>0</v>
      </c>
      <c r="C16928" s="3">
        <v>44520.854930555557</v>
      </c>
      <c r="D16928" s="1" t="s">
        <v>33351</v>
      </c>
      <c r="E16928" s="1" t="str">
        <f ca="1">IFERROR(__xludf.DUMMYFUNCTION("GOOGLETRANSLATE(A13727 , ""tr"" , ""en"")"),"@drfahrettinkoca hear doctors' sound no longer")</f>
        <v>@drfahrettinkoca hear doctors' sound no longer</v>
      </c>
    </row>
    <row r="16929" spans="1:5" ht="15" customHeight="1" x14ac:dyDescent="0.2">
      <c r="A16929" s="1" t="s">
        <v>33352</v>
      </c>
      <c r="B16929" s="1">
        <v>0</v>
      </c>
      <c r="C16929" s="3">
        <v>44520.854363425926</v>
      </c>
      <c r="D16929" s="1" t="s">
        <v>33353</v>
      </c>
      <c r="E16929" s="1" t="str">
        <f ca="1">IFERROR(__xludf.DUMMYFUNCTION("GOOGLETRANSLATE(A13728 , ""tr"" , ""en"")"),"@drfahrettinkoca Doctor you visit and share photos and share in your account what is nice if we are")</f>
        <v>@drfahrettinkoca Doctor you visit and share photos and share in your account what is nice if we are</v>
      </c>
    </row>
    <row r="16930" spans="1:5" ht="15" customHeight="1" x14ac:dyDescent="0.2">
      <c r="A16930" s="1" t="s">
        <v>33354</v>
      </c>
      <c r="B16930" s="1">
        <v>0</v>
      </c>
      <c r="C16930" s="3">
        <v>44520.848506944443</v>
      </c>
      <c r="D16930" s="1" t="s">
        <v>33355</v>
      </c>
      <c r="E16930" s="1" t="str">
        <f ca="1">IFERROR(__xludf.DUMMYFUNCTION("GOOGLETRANSLATE(A13729 , ""tr"" , ""en"")"),"@drfahrettinka you first get to the mirror before and the problem is why the intensity of violence in this way. What is right now ... https://t.co/hkyIONxz9f")</f>
        <v>@drfahrettinka you first get to the mirror before and the problem is why the intensity of violence in this way. What is right now ... https://t.co/hkyIONxz9f</v>
      </c>
    </row>
    <row r="16931" spans="1:5" ht="15" customHeight="1" x14ac:dyDescent="0.2">
      <c r="A16931" s="1" t="s">
        <v>33356</v>
      </c>
      <c r="B16931" s="1">
        <v>1</v>
      </c>
      <c r="C16931" s="3">
        <v>44520.838495370372</v>
      </c>
      <c r="D16931" s="1" t="s">
        <v>33357</v>
      </c>
      <c r="E16931" s="1" t="str">
        <f ca="1">IFERROR(__xludf.DUMMYFUNCTION("GOOGLETRANSLATE(A13730 , ""tr"" , ""en"")"),"@drfahrettinkoca @esmaademirrr ""Now it's enough"" Scream Mr. Fahrettin Bey. HEALTHMENT OF THESE PERSONS ... HTTPS://T.CO/M3VTMMQSVE")</f>
        <v>@drfahrettinkoca @esmaademirrr "Now it's enough" Scream Mr. Fahrettin Bey. HEALTHMENT OF THESE PERSONS ... HTTPS://T.CO/M3VTMMQSVE</v>
      </c>
    </row>
    <row r="16932" spans="1:5" ht="15" customHeight="1" x14ac:dyDescent="0.2">
      <c r="A16932" s="1" t="s">
        <v>33358</v>
      </c>
      <c r="B16932" s="1">
        <v>0</v>
      </c>
      <c r="C16932" s="3">
        <v>44520.838483796295</v>
      </c>
      <c r="D16932" s="1" t="s">
        <v>33359</v>
      </c>
      <c r="E16932" s="1" t="str">
        <f ca="1">IFERROR(__xludf.DUMMYFUNCTION("GOOGLETRANSLATE(A13731 , ""tr"" , ""en"")"),"@drfahrettinkoca I wish you were moving the society of society as our minister if you were on a bit of action. Far ... https://t.co/bAWIHIJWJ7")</f>
        <v>@drfahrettinkoca I wish you were moving the society of society as our minister if you were on a bit of action. Far ... https://t.co/bAWIHIJWJ7</v>
      </c>
    </row>
    <row r="16933" spans="1:5" ht="15" customHeight="1" x14ac:dyDescent="0.2">
      <c r="A16933" s="1" t="s">
        <v>33360</v>
      </c>
      <c r="B16933" s="1">
        <v>0</v>
      </c>
      <c r="C16933" s="3">
        <v>44520.834988425922</v>
      </c>
      <c r="D16933" s="1" t="s">
        <v>33361</v>
      </c>
      <c r="E16933" s="1" t="str">
        <f ca="1">IFERROR(__xludf.DUMMYFUNCTION("GOOGLETRANSLATE(A13732 , ""tr"" , ""en"")"),"@drfahrettinka Look at a patient in five minutes, seek all kinds of computer jobs including patient report prescription, secret ... https://t.co/ey5vy1v3kn")</f>
        <v>@drfahrettinka Look at a patient in five minutes, seek all kinds of computer jobs including patient report prescription, secret ... https://t.co/ey5vy1v3kn</v>
      </c>
    </row>
    <row r="16934" spans="1:5" ht="15" customHeight="1" x14ac:dyDescent="0.2">
      <c r="A16934" s="1" t="s">
        <v>33362</v>
      </c>
      <c r="B16934" s="1">
        <v>0</v>
      </c>
      <c r="C16934" s="3">
        <v>44520.817893518521</v>
      </c>
      <c r="D16934" s="1" t="s">
        <v>33363</v>
      </c>
      <c r="E16934" s="1" t="str">
        <f ca="1">IFERROR(__xludf.DUMMYFUNCTION("GOOGLETRANSLATE(A13733 , ""tr"" , ""en"")"),"@drfahrettinkoca trouble Training also ... The Disciplinary Regulation on our Compulsory Education System is very disciplined, in spite of this ... https://t.co/hufkb5eyeq")</f>
        <v>@drfahrettinkoca trouble Training also ... The Disciplinary Regulation on our Compulsory Education System is very disciplined, in spite of this ... https://t.co/hufkb5eyeq</v>
      </c>
    </row>
    <row r="16935" spans="1:5" ht="15" customHeight="1" x14ac:dyDescent="0.2">
      <c r="A16935" s="1" t="s">
        <v>33364</v>
      </c>
      <c r="B16935" s="1">
        <v>0</v>
      </c>
      <c r="C16935" s="3">
        <v>44520.807326388887</v>
      </c>
      <c r="D16935" s="1" t="s">
        <v>33365</v>
      </c>
      <c r="E16935" s="1" t="str">
        <f ca="1">IFERROR(__xludf.DUMMYFUNCTION("GOOGLETRANSLATE(A13734 , ""tr"" , ""en"")"),"@drfahrettinkoca State hospitals in Dr. Dr. Dr. COK DR, who don't even get up to the cell phone and don't even examine the state ... https://t.co/pva9zef9on")</f>
        <v>@drfahrettinkoca State hospitals in Dr. Dr. Dr. COK DR, who don't even get up to the cell phone and don't even examine the state ... https://t.co/pva9zef9on</v>
      </c>
    </row>
    <row r="16936" spans="1:5" ht="15" customHeight="1" x14ac:dyDescent="0.2">
      <c r="A16936" s="1" t="s">
        <v>33366</v>
      </c>
      <c r="B16936" s="1">
        <v>0</v>
      </c>
      <c r="C16936" s="3">
        <v>44520.806979166664</v>
      </c>
      <c r="D16936" s="1" t="s">
        <v>33367</v>
      </c>
      <c r="E16936" s="1" t="str">
        <f ca="1">IFERROR(__xludf.DUMMYFUNCTION("GOOGLETRANSLATE(A13735 , ""tr"" , ""en"")"),"@drfahrettinkoca yes guide so neutan")</f>
        <v>@drfahrettinkoca yes guide so neutan</v>
      </c>
    </row>
    <row r="16937" spans="1:5" ht="15" customHeight="1" x14ac:dyDescent="0.2">
      <c r="A16937" s="1" t="s">
        <v>33368</v>
      </c>
      <c r="B16937" s="1">
        <v>0</v>
      </c>
      <c r="C16937" s="3">
        <v>44520.804247685184</v>
      </c>
      <c r="D16937" s="1" t="s">
        <v>33369</v>
      </c>
      <c r="E16937" s="1" t="str">
        <f ca="1">IFERROR(__xludf.DUMMYFUNCTION("GOOGLETRANSLATE(A13736 , ""tr"" , ""en"")"),"@drfahrettinkoca How is this a law? The crime against the man in the street is the crime that is treated to the health shop why 1.5 times penalty is taken? Is this justice?")</f>
        <v>@drfahrettinkoca How is this a law? The crime against the man in the street is the crime that is treated to the health shop why 1.5 times penalty is taken? Is this justice?</v>
      </c>
    </row>
    <row r="16938" spans="1:5" ht="15" customHeight="1" x14ac:dyDescent="0.2">
      <c r="A16938" s="1" t="s">
        <v>33370</v>
      </c>
      <c r="B16938" s="1">
        <v>0</v>
      </c>
      <c r="C16938" s="3">
        <v>44520.787893518522</v>
      </c>
      <c r="D16938" s="1" t="s">
        <v>33371</v>
      </c>
      <c r="E16938" s="1" t="str">
        <f ca="1">IFERROR(__xludf.DUMMYFUNCTION("GOOGLETRANSLATE(A13737 , ""tr"" , ""en"")"),"@drfahrettinkoca I think let's clap.")</f>
        <v>@drfahrettinkoca I think let's clap.</v>
      </c>
    </row>
    <row r="16939" spans="1:5" ht="15" customHeight="1" x14ac:dyDescent="0.2">
      <c r="A16939" s="1" t="s">
        <v>33372</v>
      </c>
      <c r="B16939" s="1">
        <v>0</v>
      </c>
      <c r="C16939" s="3">
        <v>44520.77715277778</v>
      </c>
      <c r="D16939" s="1" t="s">
        <v>33373</v>
      </c>
      <c r="E16939" s="1" t="str">
        <f ca="1">IFERROR(__xludf.DUMMYFUNCTION("GOOGLETRANSLATE(A13738 , ""tr"" , ""en"")"),"Thousands of patients and relatives because you have no sanctions to Health Workers who don't make your job properly. HTTPS://T.CO/YICPQBXin2")</f>
        <v>Thousands of patients and relatives because you have no sanctions to Health Workers who don't make your job properly. HTTPS://T.CO/YICPQBXin2</v>
      </c>
    </row>
    <row r="16940" spans="1:5" ht="15" customHeight="1" x14ac:dyDescent="0.2">
      <c r="A16940" s="1" t="s">
        <v>33374</v>
      </c>
      <c r="B16940" s="1">
        <v>0</v>
      </c>
      <c r="C16940" s="3">
        <v>44520.77076388889</v>
      </c>
      <c r="D16940" s="1" t="s">
        <v>33375</v>
      </c>
      <c r="E16940" s="1" t="str">
        <f ca="1">IFERROR(__xludf.DUMMYFUNCTION("GOOGLETRANSLATE(A13739 , ""tr"" , ""en"")"),"@drfahrettinka Mr. Minister, otherwise the patient protects the rights of patient and can also know the staff at the same way ... https://t.co/guwlkpawok")</f>
        <v>@drfahrettinka Mr. Minister, otherwise the patient protects the rights of patient and can also know the staff at the same way ... https://t.co/guwlkpawok</v>
      </c>
    </row>
    <row r="16941" spans="1:5" ht="15" customHeight="1" x14ac:dyDescent="0.2">
      <c r="A16941" s="1" t="s">
        <v>33376</v>
      </c>
      <c r="B16941" s="1">
        <v>0</v>
      </c>
      <c r="C16941" s="3">
        <v>44520.767974537041</v>
      </c>
      <c r="D16941" s="1" t="s">
        <v>33377</v>
      </c>
      <c r="E16941" s="1" t="str">
        <f ca="1">IFERROR(__xludf.DUMMYFUNCTION("GOOGLETRANSLATE(A13740 , ""tr"" , ""en"")"),"@drfahrettinka Mr. Ministry We are only against the whole community not to health workers. Some health workers ... https://t.co/uzh1en0qwk")</f>
        <v>@drfahrettinka Mr. Ministry We are only against the whole community not to health workers. Some health workers ... https://t.co/uzh1en0qwk</v>
      </c>
    </row>
    <row r="16942" spans="1:5" ht="15" customHeight="1" x14ac:dyDescent="0.2">
      <c r="A16942" s="1" t="s">
        <v>31826</v>
      </c>
      <c r="B16942" s="1">
        <v>4</v>
      </c>
      <c r="C16942" s="3">
        <v>44520.746377314812</v>
      </c>
      <c r="D16942" s="1" t="s">
        <v>33378</v>
      </c>
      <c r="E16942" s="1" t="str">
        <f ca="1">IFERROR(__xludf.DUMMYFUNCTION("GOOGLETRANSLATE(A13741 , ""tr"" , ""en"")"),"@drfahrettinkoca Ministry of Statistics As for the center assignment as @saglikbakanligi @rterdogan @tccbiko @tccbiko @iletisim")</f>
        <v>@drfahrettinkoca Ministry of Statistics As for the center assignment as @saglikbakanligi @rterdogan @tccbiko @tccbiko @iletisim</v>
      </c>
    </row>
    <row r="16943" spans="1:5" ht="15" customHeight="1" x14ac:dyDescent="0.2">
      <c r="A16943" s="1" t="s">
        <v>33379</v>
      </c>
      <c r="B16943" s="1">
        <v>0</v>
      </c>
      <c r="C16943" s="3">
        <v>44520.738067129627</v>
      </c>
      <c r="D16943" s="1" t="s">
        <v>33380</v>
      </c>
      <c r="E16943" s="1" t="str">
        <f ca="1">IFERROR(__xludf.DUMMYFUNCTION("GOOGLETRANSLATE(A13742 , ""tr"" , ""en"")"),"@drfahrettinka Mr. Ministry Many prosecutors Although we give white code in many times Bilaat profits without looking at the file ... https://t.co/ro5f5fjfge")</f>
        <v>@drfahrettinka Mr. Ministry Many prosecutors Although we give white code in many times Bilaat profits without looking at the file ... https://t.co/ro5f5fjfge</v>
      </c>
    </row>
    <row r="16944" spans="1:5" ht="15" customHeight="1" x14ac:dyDescent="0.2">
      <c r="A16944" s="1" t="s">
        <v>33381</v>
      </c>
      <c r="B16944" s="1">
        <v>0</v>
      </c>
      <c r="C16944" s="3">
        <v>44520.730925925927</v>
      </c>
      <c r="D16944" s="1" t="s">
        <v>33382</v>
      </c>
      <c r="E16944" s="1" t="str">
        <f ca="1">IFERROR(__xludf.DUMMYFUNCTION("GOOGLETRANSLATE(A13743 , ""tr"" , ""en"")"),"@drfahrettinkoca is against @saglikbakanligi violence but some of our doctors are brushed as a child rebuke ... https://t.co/aw3xi73mkz")</f>
        <v>@drfahrettinkoca is against @saglikbakanligi violence but some of our doctors are brushed as a child rebuke ... https://t.co/aw3xi73mkz</v>
      </c>
    </row>
    <row r="16945" spans="1:5" ht="15" customHeight="1" x14ac:dyDescent="0.2">
      <c r="A16945" s="1" t="s">
        <v>33383</v>
      </c>
      <c r="B16945" s="1">
        <v>1</v>
      </c>
      <c r="C16945" s="3">
        <v>44520.727569444447</v>
      </c>
      <c r="D16945" s="1" t="s">
        <v>33384</v>
      </c>
      <c r="E16945" s="1" t="str">
        <f ca="1">IFERROR(__xludf.DUMMYFUNCTION("GOOGLETRANSLATE(A13744 , ""tr"" , ""en"")"),"Assign @drfahrettinkoca")</f>
        <v>Assign @drfahrettinkoca</v>
      </c>
    </row>
    <row r="16946" spans="1:5" ht="15" customHeight="1" x14ac:dyDescent="0.2">
      <c r="A16946" s="1" t="s">
        <v>33385</v>
      </c>
      <c r="B16946" s="1">
        <v>0</v>
      </c>
      <c r="C16946" s="3">
        <v>44520.719733796293</v>
      </c>
      <c r="D16946" s="1" t="s">
        <v>33386</v>
      </c>
      <c r="E16946" s="1" t="str">
        <f ca="1">IFERROR(__xludf.DUMMYFUNCTION("GOOGLETRANSLATE(A13745 , ""tr"" , ""en"")"),"@drfahrettinkoca I disgust from physician now How is this country")</f>
        <v>@drfahrettinkoca I disgust from physician now How is this country</v>
      </c>
    </row>
    <row r="16947" spans="1:5" ht="15" customHeight="1" x14ac:dyDescent="0.2">
      <c r="A16947" s="1" t="s">
        <v>33387</v>
      </c>
      <c r="B16947" s="1">
        <v>0</v>
      </c>
      <c r="C16947" s="3">
        <v>44520.714745370373</v>
      </c>
      <c r="D16947" s="1" t="s">
        <v>33388</v>
      </c>
      <c r="E16947" s="1" t="str">
        <f ca="1">IFERROR(__xludf.DUMMYFUNCTION("GOOGLETRANSLATE(A13746 , ""tr"" , ""en"")"),"@drfahrettinkoca and again will never be. 🤣")</f>
        <v>@drfahrettinkoca and again will never be. 🤣</v>
      </c>
    </row>
    <row r="16948" spans="1:5" ht="15" customHeight="1" x14ac:dyDescent="0.2">
      <c r="A16948" s="1" t="s">
        <v>33389</v>
      </c>
      <c r="B16948" s="1">
        <v>0</v>
      </c>
      <c r="C16948" s="3">
        <v>44520.705983796295</v>
      </c>
      <c r="D16948" s="1" t="s">
        <v>33390</v>
      </c>
      <c r="E16948" s="1" t="str">
        <f ca="1">IFERROR(__xludf.DUMMYFUNCTION("GOOGLETRANSLATE(A13747 , ""tr"" , ""en"")"),"@drfahrettinkoca flu vaccine nokkkkk. WHEN WILL HE COME.")</f>
        <v>@drfahrettinkoca flu vaccine nokkkkk. WHEN WILL HE COME.</v>
      </c>
    </row>
    <row r="16949" spans="1:5" ht="15" customHeight="1" x14ac:dyDescent="0.2">
      <c r="A16949" s="1" t="s">
        <v>33391</v>
      </c>
      <c r="B16949" s="1">
        <v>0</v>
      </c>
      <c r="C16949" s="3">
        <v>44520.704247685186</v>
      </c>
      <c r="D16949" s="1" t="s">
        <v>33392</v>
      </c>
      <c r="E16949" s="1" t="str">
        <f ca="1">IFERROR(__xludf.DUMMYFUNCTION("GOOGLETRANSLATE(A13748 , ""tr"" , ""en"")"),"@drfahrettinkoca is also unable to apply the laws to @herkesicinchp yi and @kilicdarogluk nu repository get the fuller 😂😂😂")</f>
        <v>@drfahrettinkoca is also unable to apply the laws to @herkesicinchp yi and @kilicdarogluk nu repository get the fuller 😂😂😂</v>
      </c>
    </row>
    <row r="16950" spans="1:5" ht="15" customHeight="1" x14ac:dyDescent="0.2">
      <c r="A16950" s="1" t="s">
        <v>33393</v>
      </c>
      <c r="B16950" s="1">
        <v>2</v>
      </c>
      <c r="C16950" s="3">
        <v>44520.701562499999</v>
      </c>
      <c r="D16950" s="1" t="s">
        <v>33394</v>
      </c>
      <c r="E16950" s="1" t="str">
        <f ca="1">IFERROR(__xludf.DUMMYFUNCTION("GOOGLETRANSLATE(A13749 , ""tr"" , ""en"")"),"@drfahrettinka We've lost our confidence in our faith, your romantic sayings have never reached the tangible steps!")</f>
        <v>@drfahrettinka We've lost our confidence in our faith, your romantic sayings have never reached the tangible steps!</v>
      </c>
    </row>
    <row r="16951" spans="1:5" ht="15" customHeight="1" x14ac:dyDescent="0.2">
      <c r="A16951" s="1" t="s">
        <v>33395</v>
      </c>
      <c r="B16951" s="1">
        <v>0</v>
      </c>
      <c r="C16951" s="3">
        <v>44520.700381944444</v>
      </c>
      <c r="D16951" s="1" t="s">
        <v>33396</v>
      </c>
      <c r="E16951" s="1" t="str">
        <f ca="1">IFERROR(__xludf.DUMMYFUNCTION("GOOGLETRANSLATE(A13750 , ""tr"" , ""en"")"),"@drfahrettinka Mr. Ministry, the law should be extracted in the direction of such people except for emergency situations .. ... https://t.co/huorekxspa")</f>
        <v>@drfahrettinka Mr. Ministry, the law should be extracted in the direction of such people except for emergency situations .. ... https://t.co/huorekxspa</v>
      </c>
    </row>
    <row r="16952" spans="1:5" ht="15" customHeight="1" x14ac:dyDescent="0.2">
      <c r="A16952" s="1" t="s">
        <v>33397</v>
      </c>
      <c r="B16952" s="1">
        <v>0</v>
      </c>
      <c r="C16952" s="3">
        <v>44520.699224537035</v>
      </c>
      <c r="D16952" s="1" t="s">
        <v>33398</v>
      </c>
      <c r="E16952" s="1" t="str">
        <f ca="1">IFERROR(__xludf.DUMMYFUNCTION("GOOGLETRANSLATE(A13751 , ""tr"" , ""en"")"),"@drfahrettinka Mr. Mr. Mr. Making Hamacet Do You Make A Look at the Cabinet Make Your Need To Make Your Need Heavy Duty ... https://t.co/cztegy0yvx")</f>
        <v>@drfahrettinka Mr. Mr. Mr. Making Hamacet Do You Make A Look at the Cabinet Make Your Need To Make Your Need Heavy Duty ... https://t.co/cztegy0yvx</v>
      </c>
    </row>
    <row r="16953" spans="1:5" ht="15" customHeight="1" x14ac:dyDescent="0.2">
      <c r="A16953" s="1" t="s">
        <v>33399</v>
      </c>
      <c r="B16953" s="1">
        <v>0</v>
      </c>
      <c r="C16953" s="3">
        <v>44520.697812500002</v>
      </c>
      <c r="D16953" s="1" t="s">
        <v>33400</v>
      </c>
      <c r="E16953" s="1" t="str">
        <f ca="1">IFERROR(__xludf.DUMMYFUNCTION("GOOGLETRANSLATE(A13752 , ""tr"" , ""en"")"),"@drfahrettinkoca Mr. Minister, please check patients in patients with patients also supervise health workers ... https://t.co/bvulnev4oe")</f>
        <v>@drfahrettinkoca Mr. Minister, please check patients in patients with patients also supervise health workers ... https://t.co/bvulnev4oe</v>
      </c>
    </row>
    <row r="16954" spans="1:5" ht="15" customHeight="1" x14ac:dyDescent="0.2">
      <c r="A16954" s="1" t="s">
        <v>33401</v>
      </c>
      <c r="B16954" s="1">
        <v>0</v>
      </c>
      <c r="C16954" s="3">
        <v>44520.697615740741</v>
      </c>
      <c r="D16954" s="1" t="s">
        <v>33402</v>
      </c>
      <c r="E16954" s="1" t="str">
        <f ca="1">IFERROR(__xludf.DUMMYFUNCTION("GOOGLETRANSLATE(A13753 , ""tr"" , ""en"")"),"@drfahrettinkoca you do when you come to power, no longer will notice 😯 0 with 1.5 and not to multiply 5. True criminal ... https://t.co/37I96bgnm5")</f>
        <v>@drfahrettinkoca you do when you come to power, no longer will notice 😯 0 with 1.5 and not to multiply 5. True criminal ... https://t.co/37I96bgnm5</v>
      </c>
    </row>
    <row r="16955" spans="1:5" ht="15" customHeight="1" x14ac:dyDescent="0.2">
      <c r="A16955" s="1" t="s">
        <v>33403</v>
      </c>
      <c r="B16955" s="1">
        <v>0</v>
      </c>
      <c r="C16955" s="3">
        <v>44520.696076388886</v>
      </c>
      <c r="D16955" s="1" t="s">
        <v>33404</v>
      </c>
      <c r="E16955" s="1" t="str">
        <f ca="1">IFERROR(__xludf.DUMMYFUNCTION("GOOGLETRANSLATE(A13754 , ""tr"" , ""en"")"),"@drfahrettinkoca violence is a serious indicator of civilization. Yes Sagik Calisanin is definitely the right. Well SA ... https://t.co/hc78bshptm")</f>
        <v>@drfahrettinkoca violence is a serious indicator of civilization. Yes Sagik Calisanin is definitely the right. Well SA ... https://t.co/hc78bshptm</v>
      </c>
    </row>
    <row r="16956" spans="1:5" ht="15" customHeight="1" x14ac:dyDescent="0.2">
      <c r="A16956" s="1" t="s">
        <v>33405</v>
      </c>
      <c r="B16956" s="1">
        <v>0</v>
      </c>
      <c r="C16956" s="3">
        <v>44520.695972222224</v>
      </c>
      <c r="D16956" s="1" t="s">
        <v>33406</v>
      </c>
      <c r="E16956" s="1" t="str">
        <f ca="1">IFERROR(__xludf.DUMMYFUNCTION("GOOGLETRANSLATE(A13755 , ""tr"" , ""en"")"),"@drfahrettinkoca are facing the violence but the attitudes of health workers are incredibly bad especially in city hospitals")</f>
        <v>@drfahrettinkoca are facing the violence but the attitudes of health workers are incredibly bad especially in city hospitals</v>
      </c>
    </row>
    <row r="16957" spans="1:5" ht="15" customHeight="1" x14ac:dyDescent="0.2">
      <c r="A16957" s="1" t="s">
        <v>33407</v>
      </c>
      <c r="B16957" s="1">
        <v>0</v>
      </c>
      <c r="C16957" s="3">
        <v>44520.695960648147</v>
      </c>
      <c r="D16957" s="1" t="s">
        <v>33408</v>
      </c>
      <c r="E16957" s="1" t="str">
        <f ca="1">IFERROR(__xludf.DUMMYFUNCTION("GOOGLETRANSLATE(A13756 , ""tr"" , ""en"")"),"@drfahrettinkoca Mr. The Minister is the one who is in power, this explain however one is an opposition party. Account Verec ... https://t.co/kqplv2uyc7")</f>
        <v>@drfahrettinkoca Mr. The Minister is the one who is in power, this explain however one is an opposition party. Account Verec ... https://t.co/kqplv2uyc7</v>
      </c>
    </row>
    <row r="16958" spans="1:5" ht="15" customHeight="1" x14ac:dyDescent="0.2">
      <c r="A16958" s="1" t="s">
        <v>33409</v>
      </c>
      <c r="B16958" s="1">
        <v>1</v>
      </c>
      <c r="C16958" s="3">
        <v>44520.695601851854</v>
      </c>
      <c r="D16958" s="1" t="s">
        <v>33410</v>
      </c>
      <c r="E16958" s="1" t="str">
        <f ca="1">IFERROR(__xludf.DUMMYFUNCTION("GOOGLETRANSLATE(A13757 , ""tr"" , ""en"")"),"@drfahrettinka I don't confirm violence. Lonely underline and top of health workers citizen sometimes ins ... https://t.co/nsbap6szg3")</f>
        <v>@drfahrettinka I don't confirm violence. Lonely underline and top of health workers citizen sometimes ins ... https://t.co/nsbap6szg3</v>
      </c>
    </row>
    <row r="16959" spans="1:5" ht="15" customHeight="1" x14ac:dyDescent="0.2">
      <c r="A16959" s="1" t="s">
        <v>33411</v>
      </c>
      <c r="B16959" s="1">
        <v>0</v>
      </c>
      <c r="C16959" s="3">
        <v>44520.694236111114</v>
      </c>
      <c r="D16959" s="1" t="s">
        <v>33412</v>
      </c>
      <c r="E16959" s="1" t="str">
        <f ca="1">IFERROR(__xludf.DUMMYFUNCTION("GOOGLETRANSLATE(A13758 , ""tr"" , ""en"")"),"@drfahrettinka what do vaccine drugs such as the people who do drug vaccine trials on the public, make vaccine drugs such as the Laboratory mouse ... https://t.co/zwxojsnrhw")</f>
        <v>@drfahrettinka what do vaccine drugs such as the people who do drug vaccine trials on the public, make vaccine drugs such as the Laboratory mouse ... https://t.co/zwxojsnrhw</v>
      </c>
    </row>
    <row r="16960" spans="1:5" ht="15" customHeight="1" x14ac:dyDescent="0.2">
      <c r="A16960" s="1" t="s">
        <v>33413</v>
      </c>
      <c r="B16960" s="1">
        <v>0</v>
      </c>
      <c r="C16960" s="3">
        <v>44520.689791666664</v>
      </c>
      <c r="D16960" s="1" t="s">
        <v>33414</v>
      </c>
      <c r="E16960" s="1" t="str">
        <f ca="1">IFERROR(__xludf.DUMMYFUNCTION("GOOGLETRANSLATE(A13759 , ""tr"" , ""en"")"),"@drfahrettinkoca We are facing the violence, but these increasing violent events as if the military guardianship is already in the early ... https://t.co/6drztzptxm")</f>
        <v>@drfahrettinkoca We are facing the violence, but these increasing violent events as if the military guardianship is already in the early ... https://t.co/6drztzptxm</v>
      </c>
    </row>
    <row r="16961" spans="1:5" ht="15" customHeight="1" x14ac:dyDescent="0.2">
      <c r="A16961" s="1" t="s">
        <v>33112</v>
      </c>
      <c r="B16961" s="1">
        <v>0</v>
      </c>
      <c r="C16961" s="3">
        <v>44519.930972222224</v>
      </c>
      <c r="D16961" s="1" t="s">
        <v>33415</v>
      </c>
      <c r="E16961" s="1" t="str">
        <f ca="1">IFERROR(__xludf.DUMMYFUNCTION("GOOGLETRANSLATE(A13760 , ""tr"" , ""en"")"),"@drfahrettinka https://t.co/k8ID2stt1x")</f>
        <v>@drfahrettinka https://t.co/k8ID2stt1x</v>
      </c>
    </row>
    <row r="16962" spans="1:5" ht="15" customHeight="1" x14ac:dyDescent="0.2">
      <c r="A16962" s="1" t="s">
        <v>28924</v>
      </c>
      <c r="B16962" s="1">
        <v>0</v>
      </c>
      <c r="C16962" s="3">
        <v>44520.976342592592</v>
      </c>
      <c r="D16962" s="1" t="s">
        <v>33416</v>
      </c>
      <c r="E16962" s="1" t="str">
        <f ca="1">IFERROR(__xludf.DUMMYFUNCTION("GOOGLETRANSLATE(A13761 , ""tr"" , ""en"")"),"@drfahrettinkoca #The OnlineIndustry")</f>
        <v>@drfahrettinkoca #The OnlineIndustry</v>
      </c>
    </row>
    <row r="16963" spans="1:5" ht="15" customHeight="1" x14ac:dyDescent="0.2">
      <c r="A16963" s="1" t="s">
        <v>33417</v>
      </c>
      <c r="B16963" s="1">
        <v>6</v>
      </c>
      <c r="C16963" s="3">
        <v>44520.934212962966</v>
      </c>
      <c r="D16963" s="1" t="s">
        <v>33418</v>
      </c>
      <c r="E16963" s="1" t="str">
        <f ca="1">IFERROR(__xludf.DUMMYFUNCTION("GOOGLETRANSLATE(A13762 , ""tr"" , ""en"")"),"@drfahrettinkoca we throw a cry of help for two months, our tags are settled in the top rows what you see what you see what you have ... https://t.co/kt3gp4m3lr")</f>
        <v>@drfahrettinkoca we throw a cry of help for two months, our tags are settled in the top rows what you see what you see what you have ... https://t.co/kt3gp4m3lr</v>
      </c>
    </row>
    <row r="16964" spans="1:5" ht="15" customHeight="1" x14ac:dyDescent="0.2">
      <c r="A16964" s="1" t="s">
        <v>31826</v>
      </c>
      <c r="B16964" s="1">
        <v>0</v>
      </c>
      <c r="C16964" s="3">
        <v>44520.746458333335</v>
      </c>
      <c r="D16964" s="1" t="s">
        <v>33419</v>
      </c>
      <c r="E16964" s="1" t="str">
        <f ca="1">IFERROR(__xludf.DUMMYFUNCTION("GOOGLETRANSLATE(A13763 , ""tr"" , ""en"")"),"@drfahrettinkoca Ministry of Statistics As for the center assignment as @saglikbakanligi @rterdogan @tccbiko @tccbiko @iletisim")</f>
        <v>@drfahrettinkoca Ministry of Statistics As for the center assignment as @saglikbakanligi @rterdogan @tccbiko @tccbiko @iletisim</v>
      </c>
    </row>
    <row r="16965" spans="1:5" ht="15" customHeight="1" x14ac:dyDescent="0.2">
      <c r="A16965" s="1" t="s">
        <v>33420</v>
      </c>
      <c r="B16965" s="1">
        <v>1</v>
      </c>
      <c r="C16965" s="3">
        <v>44520.727951388886</v>
      </c>
      <c r="D16965" s="1" t="s">
        <v>33421</v>
      </c>
      <c r="E16965" s="1" t="str">
        <f ca="1">IFERROR(__xludf.DUMMYFUNCTION("GOOGLETRANSLATE(A13764 , ""tr"" , ""en"")"),"@drfahrettinkoca Type you not assignment for 1 year when boasting with these")</f>
        <v>@drfahrettinkoca Type you not assignment for 1 year when boasting with these</v>
      </c>
    </row>
    <row r="16966" spans="1:5" ht="15" customHeight="1" x14ac:dyDescent="0.2">
      <c r="A16966" s="1" t="s">
        <v>33422</v>
      </c>
      <c r="B16966" s="1">
        <v>0</v>
      </c>
      <c r="C16966" s="3">
        <v>44520.700972222221</v>
      </c>
      <c r="D16966" s="1" t="s">
        <v>33423</v>
      </c>
      <c r="E16966" s="1" t="str">
        <f ca="1">IFERROR(__xludf.DUMMYFUNCTION("GOOGLETRANSLATE(A13765 , ""tr"" , ""en"")"),"@drfahrettinkoca Schools Will Close Hocam")</f>
        <v>@drfahrettinkoca Schools Will Close Hocam</v>
      </c>
    </row>
    <row r="16967" spans="1:5" ht="15" customHeight="1" x14ac:dyDescent="0.2">
      <c r="A16967" s="1" t="s">
        <v>33424</v>
      </c>
      <c r="B16967" s="1">
        <v>0</v>
      </c>
      <c r="C16967" s="3">
        <v>44521.91201388889</v>
      </c>
      <c r="D16967" s="1" t="s">
        <v>33425</v>
      </c>
      <c r="E16967" s="1" t="str">
        <f ca="1">IFERROR(__xludf.DUMMYFUNCTION("GOOGLETRANSLATE(A13766 , ""tr"" , ""en"")"),"@drfahrettinkoca Mr. Minister When I can find the sequence in hospitals I will not go to the nap")</f>
        <v>@drfahrettinkoca Mr. Minister When I can find the sequence in hospitals I will not go to the nap</v>
      </c>
    </row>
    <row r="16968" spans="1:5" ht="15" customHeight="1" x14ac:dyDescent="0.2">
      <c r="A16968" s="1" t="s">
        <v>33426</v>
      </c>
      <c r="B16968" s="1">
        <v>0</v>
      </c>
      <c r="C16968" s="3">
        <v>44521.864571759259</v>
      </c>
      <c r="D16968" s="1" t="s">
        <v>33427</v>
      </c>
      <c r="E16968" s="1" t="str">
        <f ca="1">IFERROR(__xludf.DUMMYFUNCTION("GOOGLETRANSLATE(A13767 , ""tr"" , ""en"")"),"@drfahrettinkoca what do I know what to do 40 min of lesson on the course hours and one of the lunch in one's lunch ... https://t.co/c88OB1IKYB")</f>
        <v>@drfahrettinkoca what do I know what to do 40 min of lesson on the course hours and one of the lunch in one's lunch ... https://t.co/c88OB1IKYB</v>
      </c>
    </row>
    <row r="16969" spans="1:5" ht="15" customHeight="1" x14ac:dyDescent="0.2">
      <c r="A16969" s="1" t="s">
        <v>33428</v>
      </c>
      <c r="B16969" s="1">
        <v>0</v>
      </c>
      <c r="C16969" s="3">
        <v>44519.992280092592</v>
      </c>
      <c r="D16969" s="1" t="s">
        <v>33429</v>
      </c>
      <c r="E16969" s="1" t="str">
        <f ca="1">IFERROR(__xludf.DUMMYFUNCTION("GOOGLETRANSLATE(A13768 , ""tr"" , ""en"")"),"@drfahrettinkoca I would like to point out my personal thinking, the resignation is also a service to Mr. Minister. The illness is over our m ... https://t.co/ymw68tllhj")</f>
        <v>@drfahrettinkoca I would like to point out my personal thinking, the resignation is also a service to Mr. Minister. The illness is over our m ... https://t.co/ymw68tllhj</v>
      </c>
    </row>
    <row r="16970" spans="1:5" ht="15" customHeight="1" x14ac:dyDescent="0.2">
      <c r="A16970" s="1" t="s">
        <v>33430</v>
      </c>
      <c r="B16970" s="1">
        <v>0</v>
      </c>
      <c r="C16970" s="3">
        <v>44519.973773148151</v>
      </c>
      <c r="D16970" s="1" t="s">
        <v>33431</v>
      </c>
      <c r="E16970" s="1" t="str">
        <f ca="1">IFERROR(__xludf.DUMMYFUNCTION("GOOGLETRANSLATE(A13769 , ""tr"" , ""en"")"),"@drfahrettinkoca # cbkilitonline")</f>
        <v>@drfahrettinkoca # cbkilitonline</v>
      </c>
    </row>
    <row r="16971" spans="1:5" ht="15" customHeight="1" x14ac:dyDescent="0.2">
      <c r="A16971" s="1" t="s">
        <v>33432</v>
      </c>
      <c r="B16971" s="1">
        <v>0</v>
      </c>
      <c r="C16971" s="3">
        <v>44519.955439814818</v>
      </c>
      <c r="D16971" s="1" t="s">
        <v>33433</v>
      </c>
      <c r="E16971" s="1" t="str">
        <f ca="1">IFERROR(__xludf.DUMMYFUNCTION("GOOGLETRANSLATE(A13770 , ""tr"" , ""en"")"),"@drfahrettinkoca Mr. Ministry Bagcilar State Hospital Diagnosing physicians of emergency department painkiller spindles instead of ... https://t.co/Un71IGLDHD")</f>
        <v>@drfahrettinkoca Mr. Ministry Bagcilar State Hospital Diagnosing physicians of emergency department painkiller spindles instead of ... https://t.co/Un71IGLDHD</v>
      </c>
    </row>
    <row r="16972" spans="1:5" ht="15" customHeight="1" x14ac:dyDescent="0.2">
      <c r="A16972" s="1" t="s">
        <v>33434</v>
      </c>
      <c r="B16972" s="1">
        <v>0</v>
      </c>
      <c r="C16972" s="3">
        <v>44519.953090277777</v>
      </c>
      <c r="D16972" s="1" t="s">
        <v>33435</v>
      </c>
      <c r="E16972" s="1" t="str">
        <f ca="1">IFERROR(__xludf.DUMMYFUNCTION("GOOGLETRANSLATE(A13771 , ""tr"" , ""en"")"),"@drfahrettinkoca 70% vaccination When you say the epidemic ends you were 80 but the epidemic has increased !!!")</f>
        <v>@drfahrettinkoca 70% vaccination When you say the epidemic ends you were 80 but the epidemic has increased !!!</v>
      </c>
    </row>
    <row r="16973" spans="1:5" ht="15" customHeight="1" x14ac:dyDescent="0.2">
      <c r="A16973" s="1" t="s">
        <v>33436</v>
      </c>
      <c r="B16973" s="1">
        <v>1</v>
      </c>
      <c r="C16973" s="3">
        <v>44519.952268518522</v>
      </c>
      <c r="D16973" s="1" t="s">
        <v>33437</v>
      </c>
      <c r="E16973" s="1" t="str">
        <f ca="1">IFERROR(__xludf.DUMMYFUNCTION("GOOGLETRANSLATE(A13772 , ""tr"" , ""en"")"),"@drfahrettinkoca is not corona, fake vaccines increase dead birth. Wake up anymore.😡😡😡😡 HTTPS://T.CO/VA6RGLRSRI")</f>
        <v>@drfahrettinkoca is not corona, fake vaccines increase dead birth. Wake up anymore.😡😡😡😡 HTTPS://T.CO/VA6RGLRSRI</v>
      </c>
    </row>
    <row r="16974" spans="1:5" ht="15" customHeight="1" x14ac:dyDescent="0.2">
      <c r="A16974" s="1" t="s">
        <v>33438</v>
      </c>
      <c r="B16974" s="1">
        <v>0</v>
      </c>
      <c r="C16974" s="3">
        <v>44519.949814814812</v>
      </c>
      <c r="D16974" s="1" t="s">
        <v>33439</v>
      </c>
      <c r="E16974" s="1" t="str">
        <f ca="1">IFERROR(__xludf.DUMMYFUNCTION("GOOGLETRANSLATE(A13773 , ""tr"" , ""en"")"),"I wonder who the employees of the institutions that will serve @drfahrettinka and who increases the intensity! Serving ... https://t.co/mp7roc506z")</f>
        <v>I wonder who the employees of the institutions that will serve @drfahrettinka and who increases the intensity! Serving ... https://t.co/mp7roc506z</v>
      </c>
    </row>
    <row r="16975" spans="1:5" ht="15" customHeight="1" x14ac:dyDescent="0.2">
      <c r="A16975" s="1" t="s">
        <v>33440</v>
      </c>
      <c r="B16975" s="1">
        <v>0</v>
      </c>
      <c r="C16975" s="3">
        <v>44519.94771990741</v>
      </c>
      <c r="D16975" s="1" t="s">
        <v>33441</v>
      </c>
      <c r="E16975" s="1" t="str">
        <f ca="1">IFERROR(__xludf.DUMMYFUNCTION("GOOGLETRANSLATE(A13774 , ""tr"" , ""en"")"),"@drfahrettinkoca doing joke doing what it's eating what is it's drinking what is it's head")</f>
        <v>@drfahrettinkoca doing joke doing what it's eating what is it's drinking what is it's head</v>
      </c>
    </row>
    <row r="16976" spans="1:5" ht="15" customHeight="1" x14ac:dyDescent="0.2">
      <c r="A16976" s="1" t="s">
        <v>33442</v>
      </c>
      <c r="B16976" s="1">
        <v>0</v>
      </c>
      <c r="C16976" s="3">
        <v>44519.931377314817</v>
      </c>
      <c r="D16976" s="1" t="s">
        <v>33443</v>
      </c>
      <c r="E16976" s="1" t="str">
        <f ca="1">IFERROR(__xludf.DUMMYFUNCTION("GOOGLETRANSLATE(A13775 , ""tr"" , ""en"")"),"@drfahrettinkoca Who makes this country and country people who have trouble your sentence")</f>
        <v>@drfahrettinkoca Who makes this country and country people who have trouble your sentence</v>
      </c>
    </row>
    <row r="16977" spans="1:5" ht="15" customHeight="1" x14ac:dyDescent="0.2">
      <c r="A16977" s="1" t="s">
        <v>33112</v>
      </c>
      <c r="B16977" s="1">
        <v>0</v>
      </c>
      <c r="C16977" s="3">
        <v>44519.93109953704</v>
      </c>
      <c r="D16977" s="1" t="s">
        <v>33444</v>
      </c>
      <c r="E16977" s="1" t="str">
        <f ca="1">IFERROR(__xludf.DUMMYFUNCTION("GOOGLETRANSLATE(A13776 , ""tr"" , ""en"")"),"@drfahrettinka https://t.co/k8ID2stt1x")</f>
        <v>@drfahrettinka https://t.co/k8ID2stt1x</v>
      </c>
    </row>
    <row r="16978" spans="1:5" ht="15" customHeight="1" x14ac:dyDescent="0.2">
      <c r="A16978" s="1" t="s">
        <v>33445</v>
      </c>
      <c r="B16978" s="1">
        <v>1</v>
      </c>
      <c r="C16978" s="3">
        <v>44519.929560185185</v>
      </c>
      <c r="D16978" s="1" t="s">
        <v>33446</v>
      </c>
      <c r="E16978" s="1" t="str">
        <f ca="1">IFERROR(__xludf.DUMMYFUNCTION("GOOGLETRANSLATE(A13777 , ""tr"" , ""en"")"),"@drfahrettinkoca Ankara Mamak Although Cocugum continuously patient continuously I went to school Ates vs, I went to school my God ... Https://t.co/jjnc4u2eih")</f>
        <v>@drfahrettinkoca Ankara Mamak Although Cocugum continuously patient continuously I went to school Ates vs, I went to school my God ... Https://t.co/jjnc4u2eih</v>
      </c>
    </row>
    <row r="16979" spans="1:5" ht="15" customHeight="1" x14ac:dyDescent="0.2">
      <c r="A16979" s="1" t="s">
        <v>33447</v>
      </c>
      <c r="B16979" s="1">
        <v>0</v>
      </c>
      <c r="C16979" s="3">
        <v>44519.928912037038</v>
      </c>
      <c r="D16979" s="1" t="s">
        <v>33448</v>
      </c>
      <c r="E16979" s="1" t="str">
        <f ca="1">IFERROR(__xludf.DUMMYFUNCTION("GOOGLETRANSLATE(A13778 , ""tr"" , ""en"")"),"@drfahrettinkoca Today in Friday Prayer Namaz Namaz on Sunday Week Sunday, they said that the mosque has been tightening to the mosque. In this case ... https://t.co/uc46wbzbod")</f>
        <v>@drfahrettinkoca Today in Friday Prayer Namaz Namaz on Sunday Week Sunday, they said that the mosque has been tightening to the mosque. In this case ... https://t.co/uc46wbzbod</v>
      </c>
    </row>
    <row r="16980" spans="1:5" ht="15" customHeight="1" x14ac:dyDescent="0.2">
      <c r="A16980" s="1" t="s">
        <v>33449</v>
      </c>
      <c r="B16980" s="1">
        <v>0</v>
      </c>
      <c r="C16980" s="3">
        <v>44519.927986111114</v>
      </c>
      <c r="D16980" s="1" t="s">
        <v>33450</v>
      </c>
      <c r="E16980" s="1" t="str">
        <f ca="1">IFERROR(__xludf.DUMMYFUNCTION("GOOGLETRANSLATE(A13779 , ""tr"" , ""en"")"),"@drfahrettinka Mr. Ministry of Ministry In the metrolars we are going in a row in the top of the expedition Numbers KoGalTüllım should be ... https://t.co/k9xsigc4RI")</f>
        <v>@drfahrettinka Mr. Ministry of Ministry In the metrolars we are going in a row in the top of the expedition Numbers KoGalTüllım should be ... https://t.co/k9xsigc4RI</v>
      </c>
    </row>
    <row r="16981" spans="1:5" ht="15" customHeight="1" x14ac:dyDescent="0.2">
      <c r="A16981" s="1" t="s">
        <v>33451</v>
      </c>
      <c r="B16981" s="1">
        <v>0</v>
      </c>
      <c r="C16981" s="3">
        <v>44519.914236111108</v>
      </c>
      <c r="D16981" s="1" t="s">
        <v>33452</v>
      </c>
      <c r="E16981" s="1" t="str">
        <f ca="1">IFERROR(__xludf.DUMMYFUNCTION("GOOGLETRANSLATE(A13780 , ""tr"" , ""en"")"),"@drfahrettinkoca gentlemen 3 minimum busy hours. Please go to 3 hours.")</f>
        <v>@drfahrettinkoca gentlemen 3 minimum busy hours. Please go to 3 hours.</v>
      </c>
    </row>
    <row r="16982" spans="1:5" ht="15" customHeight="1" x14ac:dyDescent="0.2">
      <c r="A16982" s="1" t="s">
        <v>33453</v>
      </c>
      <c r="B16982" s="1">
        <v>0</v>
      </c>
      <c r="C16982" s="3">
        <v>44519.910381944443</v>
      </c>
      <c r="D16982" s="1" t="s">
        <v>33454</v>
      </c>
      <c r="E16982" s="1" t="str">
        <f ca="1">IFERROR(__xludf.DUMMYFUNCTION("GOOGLETRANSLATE(A13781 , ""tr"" , ""en"")"),"@drfahrettinkoca hes we are supposed to take the exam with code. But every flu is not testing the test. Connection of the disease ... https://t.co/y1jsrowvxm")</f>
        <v>@drfahrettinkoca hes we are supposed to take the exam with code. But every flu is not testing the test. Connection of the disease ... https://t.co/y1jsrowvxm</v>
      </c>
    </row>
    <row r="16983" spans="1:5" ht="15" customHeight="1" x14ac:dyDescent="0.2">
      <c r="A16983" s="1" t="s">
        <v>33455</v>
      </c>
      <c r="B16983" s="1">
        <v>1</v>
      </c>
      <c r="C16983" s="3">
        <v>44519.91034722222</v>
      </c>
      <c r="D16983" s="1" t="s">
        <v>33456</v>
      </c>
      <c r="E16983" s="1" t="str">
        <f ca="1">IFERROR(__xludf.DUMMYFUNCTION("GOOGLETRANSLATE(A13782 , ""tr"" , ""en"")"),"@drfahrettinkoca between 12 and 1 Dear Minister Hospitals or State, but then more Blank or Met ... https://t.co/3wkl75wjec")</f>
        <v>@drfahrettinkoca between 12 and 1 Dear Minister Hospitals or State, but then more Blank or Met ... https://t.co/3wkl75wjec</v>
      </c>
    </row>
    <row r="16984" spans="1:5" ht="15" customHeight="1" x14ac:dyDescent="0.2">
      <c r="A16984" s="1" t="s">
        <v>33457</v>
      </c>
      <c r="B16984" s="1">
        <v>4</v>
      </c>
      <c r="C16984" s="3">
        <v>44519.907800925925</v>
      </c>
      <c r="D16984" s="1" t="s">
        <v>33458</v>
      </c>
      <c r="E16984" s="1" t="str">
        <f ca="1">IFERROR(__xludf.DUMMYFUNCTION("GOOGLETRANSLATE(A13783 , ""tr"" , ""en"")"),"@drfahrettinkoca is now the question now, what are the hours less intensified? Appointment cannot be already received from many places from many places ... HTTPS://T.CO/EDMPG2YIDL")</f>
        <v>@drfahrettinkoca is now the question now, what are the hours less intensified? Appointment cannot be already received from many places from many places ... HTTPS://T.CO/EDMPG2YIDL</v>
      </c>
    </row>
    <row r="16985" spans="1:5" ht="15" customHeight="1" x14ac:dyDescent="0.2">
      <c r="A16985" s="1" t="s">
        <v>33459</v>
      </c>
      <c r="B16985" s="1">
        <v>0</v>
      </c>
      <c r="C16985" s="3">
        <v>44519.899201388886</v>
      </c>
      <c r="D16985" s="1" t="s">
        <v>33460</v>
      </c>
      <c r="E16985" s="1" t="str">
        <f ca="1">IFERROR(__xludf.DUMMYFUNCTION("GOOGLETRANSLATE(A13784 , ""tr"" , ""en"")"),"@drfahrettinka thing I don't understand I need to go at night if I need to go at school less intense to school ...? #The OnlineEditight")</f>
        <v>@drfahrettinka thing I don't understand I need to go at night if I need to go at school less intense to school ...? #The OnlineEditight</v>
      </c>
    </row>
    <row r="16986" spans="1:5" ht="15" customHeight="1" x14ac:dyDescent="0.2">
      <c r="A16986" s="1" t="s">
        <v>33461</v>
      </c>
      <c r="B16986" s="1">
        <v>0</v>
      </c>
      <c r="C16986" s="3">
        <v>44519.899039351854</v>
      </c>
      <c r="D16986" s="1" t="s">
        <v>33462</v>
      </c>
      <c r="E16986" s="1" t="str">
        <f ca="1">IFERROR(__xludf.DUMMYFUNCTION("GOOGLETRANSLATE(A13785 , ""tr"" , ""en"")"),"@drfahrettinkoca has been concluded from restrictions 23 thousand days new case 200 spindle death")</f>
        <v>@drfahrettinkoca has been concluded from restrictions 23 thousand days new case 200 spindle death</v>
      </c>
    </row>
    <row r="16987" spans="1:5" ht="15" customHeight="1" x14ac:dyDescent="0.2">
      <c r="A16987" s="1" t="s">
        <v>33463</v>
      </c>
      <c r="B16987" s="1">
        <v>1</v>
      </c>
      <c r="C16987" s="3">
        <v>44519.897777777776</v>
      </c>
      <c r="D16987" s="1" t="s">
        <v>33464</v>
      </c>
      <c r="E16987" s="1" t="str">
        <f ca="1">IFERROR(__xludf.DUMMYFUNCTION("GOOGLETRANSLATE(A13786 , ""tr"" , ""en"")"),"@drfahrettinkoca We're tired of your lies now Fahrettin hubby resign your love")</f>
        <v>@drfahrettinkoca We're tired of your lies now Fahrettin hubby resign your love</v>
      </c>
    </row>
    <row r="16988" spans="1:5" ht="15" customHeight="1" x14ac:dyDescent="0.2">
      <c r="A16988" s="1" t="s">
        <v>33465</v>
      </c>
      <c r="B16988" s="1">
        <v>0</v>
      </c>
      <c r="C16988" s="3">
        <v>44519.896365740744</v>
      </c>
      <c r="D16988" s="1" t="s">
        <v>33466</v>
      </c>
      <c r="E16988" s="1" t="str">
        <f ca="1">IFERROR(__xludf.DUMMYFUNCTION("GOOGLETRANSLATE(A13787 , ""tr"" , ""en"")"),"@drfahrettinkoca Ministry Do you believe in this table?")</f>
        <v>@drfahrettinkoca Ministry Do you believe in this table?</v>
      </c>
    </row>
    <row r="16989" spans="1:5" ht="15" customHeight="1" x14ac:dyDescent="0.2">
      <c r="A16989" s="1" t="s">
        <v>33467</v>
      </c>
      <c r="B16989" s="1">
        <v>4</v>
      </c>
      <c r="C16989" s="3">
        <v>44519.895983796298</v>
      </c>
      <c r="D16989" s="1" t="s">
        <v>33468</v>
      </c>
      <c r="E16989" s="1" t="str">
        <f ca="1">IFERROR(__xludf.DUMMYFUNCTION("GOOGLETRANSLATE(A13788 , ""tr"" , ""en"")"),"@drfahrettinkoca If you do not find the resort to the hunger, Coronaya will not be required. What is the Creek's money stamp is Corona?")</f>
        <v>@drfahrettinkoca If you do not find the resort to the hunger, Coronaya will not be required. What is the Creek's money stamp is Corona?</v>
      </c>
    </row>
    <row r="16990" spans="1:5" ht="15" customHeight="1" x14ac:dyDescent="0.2">
      <c r="A16990" s="1" t="s">
        <v>33469</v>
      </c>
      <c r="B16990" s="1">
        <v>0</v>
      </c>
      <c r="C16990" s="3">
        <v>44519.895358796297</v>
      </c>
      <c r="D16990" s="1" t="s">
        <v>33470</v>
      </c>
      <c r="E16990" s="1" t="str">
        <f ca="1">IFERROR(__xludf.DUMMYFUNCTION("GOOGLETRANSLATE(A13789 , ""tr"" , ""en"")"),"@drfahrettinkoca is looking at the institutions, while he was looking at HEPP, but it is still in the vaccine among the employed officers ... https://t.co/nltum11uwa")</f>
        <v>@drfahrettinkoca is looking at the institutions, while he was looking at HEPP, but it is still in the vaccine among the employed officers ... https://t.co/nltum11uwa</v>
      </c>
    </row>
    <row r="16991" spans="1:5" ht="15" customHeight="1" x14ac:dyDescent="0.2">
      <c r="A16991" s="1" t="s">
        <v>33471</v>
      </c>
      <c r="B16991" s="1">
        <v>0</v>
      </c>
      <c r="C16991" s="3">
        <v>44519.892962962964</v>
      </c>
      <c r="D16991" s="1" t="s">
        <v>33472</v>
      </c>
      <c r="E16991" s="1" t="str">
        <f ca="1">IFERROR(__xludf.DUMMYFUNCTION("GOOGLETRANSLATE(A13790 , ""tr"" , ""en"")"),"@drfahrettinkoca let everyone go for less dense times please!")</f>
        <v>@drfahrettinkoca let everyone go for less dense times please!</v>
      </c>
    </row>
    <row r="16992" spans="1:5" ht="15" customHeight="1" x14ac:dyDescent="0.2">
      <c r="A16992" s="1" t="s">
        <v>33473</v>
      </c>
      <c r="B16992" s="1">
        <v>0</v>
      </c>
      <c r="C16992" s="3">
        <v>44520.966504629629</v>
      </c>
      <c r="D16992" s="1" t="s">
        <v>33474</v>
      </c>
      <c r="E16992" s="1" t="str">
        <f ca="1">IFERROR(__xludf.DUMMYFUNCTION("GOOGLETRANSLATE(A13791 , ""tr"" , ""en"")"),"@drfahrettinkoca Service Our Alacagi Institutions Let's know the hours they are less intense.")</f>
        <v>@drfahrettinkoca Service Our Alacagi Institutions Let's know the hours they are less intense.</v>
      </c>
    </row>
    <row r="16993" spans="1:5" ht="15" customHeight="1" x14ac:dyDescent="0.2">
      <c r="A16993" s="1" t="s">
        <v>33475</v>
      </c>
      <c r="B16993" s="1">
        <v>0</v>
      </c>
      <c r="C16993" s="3">
        <v>44520.928333333337</v>
      </c>
      <c r="D16993" s="1" t="s">
        <v>33476</v>
      </c>
      <c r="E16993" s="1" t="str">
        <f ca="1">IFERROR(__xludf.DUMMYFUNCTION("GOOGLETRANSLATE(A13792 , ""tr"" , ""en"")"),"@drfahrettinka you continue to tear! The places you are more responsible are not properly doing business correctly. Göztepe Children ... https://t.co/hq5fkxwfen")</f>
        <v>@drfahrettinka you continue to tear! The places you are more responsible are not properly doing business correctly. Göztepe Children ... https://t.co/hq5fkxwfen</v>
      </c>
    </row>
    <row r="16994" spans="1:5" ht="15" customHeight="1" x14ac:dyDescent="0.2">
      <c r="A16994" s="1" t="s">
        <v>33477</v>
      </c>
      <c r="B16994" s="1">
        <v>0</v>
      </c>
      <c r="C16994" s="3">
        <v>44520.890833333331</v>
      </c>
      <c r="D16994" s="1" t="s">
        <v>33478</v>
      </c>
      <c r="E16994" s="1" t="str">
        <f ca="1">IFERROR(__xludf.DUMMYFUNCTION("GOOGLETRANSLATE(A13793 , ""tr"" , ""en"")"),"What hours are @drfahrettinkoca for example?")</f>
        <v>What hours are @drfahrettinkoca for example?</v>
      </c>
    </row>
    <row r="16995" spans="1:5" ht="15" customHeight="1" x14ac:dyDescent="0.2">
      <c r="A16995" s="1" t="s">
        <v>33479</v>
      </c>
      <c r="B16995" s="1">
        <v>0</v>
      </c>
      <c r="C16995" s="3">
        <v>44520.877418981479</v>
      </c>
      <c r="D16995" s="1" t="s">
        <v>33480</v>
      </c>
      <c r="E16995" s="1" t="str">
        <f ca="1">IFERROR(__xludf.DUMMYFUNCTION("GOOGLETRANSLATE(A13794 , ""tr"" , ""en"")"),"@drfahrettinkoca Killed so many people with drugs, you killed in intensive care with those drugs Iki Elim Hereafter Fahrettin Bey")</f>
        <v>@drfahrettinkoca Killed so many people with drugs, you killed in intensive care with those drugs Iki Elim Hereafter Fahrettin Bey</v>
      </c>
    </row>
    <row r="16996" spans="1:5" ht="15" customHeight="1" x14ac:dyDescent="0.2">
      <c r="A16996" s="1" t="s">
        <v>33481</v>
      </c>
      <c r="B16996" s="1">
        <v>0</v>
      </c>
      <c r="C16996" s="3">
        <v>44520.845891203702</v>
      </c>
      <c r="D16996" s="1" t="s">
        <v>33482</v>
      </c>
      <c r="E16996" s="1" t="str">
        <f ca="1">IFERROR(__xludf.DUMMYFUNCTION("GOOGLETRANSLATE(A13795 , ""tr"" , ""en"")"),"@drfahrettinka Dear Minister Can you tell me how to go to the faculty where the faculty is less intense")</f>
        <v>@drfahrettinka Dear Minister Can you tell me how to go to the faculty where the faculty is less intense</v>
      </c>
    </row>
    <row r="16997" spans="1:5" ht="15" customHeight="1" x14ac:dyDescent="0.2">
      <c r="A16997" s="1" t="s">
        <v>31826</v>
      </c>
      <c r="B16997" s="1">
        <v>0</v>
      </c>
      <c r="C16997" s="3">
        <v>44520.746539351851</v>
      </c>
      <c r="D16997" s="1" t="s">
        <v>33483</v>
      </c>
      <c r="E16997" s="1" t="str">
        <f ca="1">IFERROR(__xludf.DUMMYFUNCTION("GOOGLETRANSLATE(A13796 , ""tr"" , ""en"")"),"@drfahrettinkoca Ministry of Statistics As for the center assignment as @saglikbakanligi @rterdogan @tccbiko @tccbiko @iletisim")</f>
        <v>@drfahrettinkoca Ministry of Statistics As for the center assignment as @saglikbakanligi @rterdogan @tccbiko @tccbiko @iletisim</v>
      </c>
    </row>
    <row r="16998" spans="1:5" ht="15" customHeight="1" x14ac:dyDescent="0.2">
      <c r="A16998" s="1" t="s">
        <v>33484</v>
      </c>
      <c r="B16998" s="1">
        <v>0</v>
      </c>
      <c r="C16998" s="3">
        <v>44520.738877314812</v>
      </c>
      <c r="D16998" s="1" t="s">
        <v>33485</v>
      </c>
      <c r="E16998" s="1" t="str">
        <f ca="1">IFERROR(__xludf.DUMMYFUNCTION("GOOGLETRANSLATE(A13797 , ""tr"" , ""en"")"),"@drfahrettinkoca is this table COK BOOD SOZ SOZSHUKO, Heat #fahrettinkocaistifa")</f>
        <v>@drfahrettinkoca is this table COK BOOD SOZ SOZSHUKO, Heat #fahrettinkocaistifa</v>
      </c>
    </row>
    <row r="16999" spans="1:5" ht="15" customHeight="1" x14ac:dyDescent="0.2">
      <c r="A16999" s="1" t="s">
        <v>33486</v>
      </c>
      <c r="B16999" s="1">
        <v>0</v>
      </c>
      <c r="C16999" s="3">
        <v>44520.733055555553</v>
      </c>
      <c r="D16999" s="1" t="s">
        <v>33487</v>
      </c>
      <c r="E16999" s="1" t="str">
        <f ca="1">IFERROR(__xludf.DUMMYFUNCTION("GOOGLETRANSLATE(A13798 , ""tr"" , ""en"")"),"@drfahrettinka is the drug you send !!!!! https://t.co/pu1aexzgmd")</f>
        <v>@drfahrettinka is the drug you send !!!!! https://t.co/pu1aexzgmd</v>
      </c>
    </row>
    <row r="17000" spans="1:5" ht="15" customHeight="1" x14ac:dyDescent="0.2">
      <c r="A17000" s="1" t="s">
        <v>33488</v>
      </c>
      <c r="B17000" s="1">
        <v>0</v>
      </c>
      <c r="C17000" s="3">
        <v>44520.732268518521</v>
      </c>
      <c r="D17000" s="1" t="s">
        <v>33489</v>
      </c>
      <c r="E17000" s="1" t="str">
        <f ca="1">IFERROR(__xludf.DUMMYFUNCTION("GOOGLETRANSLATE(A13799 , ""tr"" , ""en"")"),"Due to @drfahrettinkoca restrictions, economy, psychology and immunity collapsed!")</f>
        <v>Due to @drfahrettinkoca restrictions, economy, psychology and immunity collapsed!</v>
      </c>
    </row>
    <row r="17001" spans="1:5" ht="15" customHeight="1" x14ac:dyDescent="0.2">
      <c r="A17001" s="1" t="s">
        <v>33490</v>
      </c>
      <c r="B17001" s="1">
        <v>0</v>
      </c>
      <c r="C17001" s="3">
        <v>44520.728194444448</v>
      </c>
      <c r="D17001" s="1" t="s">
        <v>33491</v>
      </c>
      <c r="E17001" s="1" t="str">
        <f ca="1">IFERROR(__xludf.DUMMYFUNCTION("GOOGLETRANSLATE(A13800 , ""tr"" , ""en"")"),"@drfahrettinkoca guide didn't come 1 year")</f>
        <v>@drfahrettinkoca guide didn't come 1 year</v>
      </c>
    </row>
    <row r="17002" spans="1:5" ht="15" customHeight="1" x14ac:dyDescent="0.2">
      <c r="A17002" s="1" t="s">
        <v>33492</v>
      </c>
      <c r="B17002" s="1">
        <v>3</v>
      </c>
      <c r="C17002" s="3">
        <v>44520.715590277781</v>
      </c>
      <c r="D17002" s="1" t="s">
        <v>33493</v>
      </c>
      <c r="E17002" s="1" t="str">
        <f ca="1">IFERROR(__xludf.DUMMYFUNCTION("GOOGLETRANSLATE(A13801 , ""tr"" , ""en"")"),"@drfahrettinkoca weather cold classes can not ventilate cases in rise in rise children's life in danger # distance")</f>
        <v>@drfahrettinkoca weather cold classes can not ventilate cases in rise in rise children's life in danger # distance</v>
      </c>
    </row>
    <row r="17003" spans="1:5" ht="15" customHeight="1" x14ac:dyDescent="0.2">
      <c r="A17003" s="1" t="s">
        <v>33494</v>
      </c>
      <c r="B17003" s="1">
        <v>6</v>
      </c>
      <c r="C17003" s="3">
        <v>44520.706643518519</v>
      </c>
      <c r="D17003" s="1" t="s">
        <v>33495</v>
      </c>
      <c r="E17003" s="1" t="str">
        <f ca="1">IFERROR(__xludf.DUMMYFUNCTION("GOOGLETRANSLATE(A13802 , ""tr"" , ""en"")"),"@drfahrettinkoca We want to assign 5000 physiotherapist to the public https://t.co/ef9hfqmkaj")</f>
        <v>@drfahrettinkoca We want to assign 5000 physiotherapist to the public https://t.co/ef9hfqmkaj</v>
      </c>
    </row>
    <row r="17004" spans="1:5" ht="15" customHeight="1" x14ac:dyDescent="0.2">
      <c r="A17004" s="1" t="s">
        <v>33496</v>
      </c>
      <c r="B17004" s="1">
        <v>0</v>
      </c>
      <c r="C17004" s="3">
        <v>44520.944409722222</v>
      </c>
      <c r="D17004" s="1" t="s">
        <v>33497</v>
      </c>
      <c r="E17004" s="1" t="str">
        <f ca="1">IFERROR(__xludf.DUMMYFUNCTION("GOOGLETRANSLATE(A13803 , ""tr"" , ""en"")"),"@drfahrettinkoca @saglikbakanligi Dear Minister Despite all negativity and criticism since the beginning since the beginning ... https://t.co/8blda7b0sj")</f>
        <v>@drfahrettinkoca @saglikbakanligi Dear Minister Despite all negativity and criticism since the beginning since the beginning ... https://t.co/8blda7b0sj</v>
      </c>
    </row>
    <row r="17005" spans="1:5" ht="15" customHeight="1" x14ac:dyDescent="0.2">
      <c r="A17005" s="1" t="s">
        <v>33498</v>
      </c>
      <c r="B17005" s="1">
        <v>0</v>
      </c>
      <c r="C17005" s="3">
        <v>44520.816793981481</v>
      </c>
      <c r="D17005" s="1" t="s">
        <v>33499</v>
      </c>
      <c r="E17005" s="1" t="str">
        <f ca="1">IFERROR(__xludf.DUMMYFUNCTION("GOOGLETRANSLATE(A13804 , ""tr"" , ""en"")"),"@drfahrettinkoca S.A Minister I'm writing Bursa Kayseri Kayseri Kayseri is a problem with our daughter to be a problem. Https://t.co/eg7wruvymo")</f>
        <v>@drfahrettinkoca S.A Minister I'm writing Bursa Kayseri Kayseri Kayseri is a problem with our daughter to be a problem. Https://t.co/eg7wruvymo</v>
      </c>
    </row>
    <row r="17006" spans="1:5" ht="15" customHeight="1" x14ac:dyDescent="0.2">
      <c r="A17006" s="1" t="s">
        <v>31826</v>
      </c>
      <c r="B17006" s="1">
        <v>0</v>
      </c>
      <c r="C17006" s="3">
        <v>44520.746608796297</v>
      </c>
      <c r="D17006" s="1" t="s">
        <v>33500</v>
      </c>
      <c r="E17006" s="1" t="str">
        <f ca="1">IFERROR(__xludf.DUMMYFUNCTION("GOOGLETRANSLATE(A13805 , ""tr"" , ""en"")"),"@drfahrettinkoca Ministry of Statistics As for the center assignment as @saglikbakanligi @rterdogan @tccbiko @tccbiko @iletisim")</f>
        <v>@drfahrettinkoca Ministry of Statistics As for the center assignment as @saglikbakanligi @rterdogan @tccbiko @tccbiko @iletisim</v>
      </c>
    </row>
    <row r="17007" spans="1:5" ht="15" customHeight="1" x14ac:dyDescent="0.2">
      <c r="A17007" s="1" t="s">
        <v>31826</v>
      </c>
      <c r="B17007" s="1">
        <v>0</v>
      </c>
      <c r="C17007" s="3">
        <v>44520.746805555558</v>
      </c>
      <c r="D17007" s="1" t="s">
        <v>33501</v>
      </c>
      <c r="E17007" s="1" t="str">
        <f ca="1">IFERROR(__xludf.DUMMYFUNCTION("GOOGLETRANSLATE(A13806 , ""tr"" , ""en"")"),"@drfahrettinkoca Ministry of Statistics As for the center assignment as @saglikbakanligi @rterdogan @tccbiko @tccbiko @iletisim")</f>
        <v>@drfahrettinkoca Ministry of Statistics As for the center assignment as @saglikbakanligi @rterdogan @tccbiko @tccbiko @iletisim</v>
      </c>
    </row>
    <row r="17008" spans="1:5" ht="15" customHeight="1" x14ac:dyDescent="0.2">
      <c r="A17008" s="1" t="s">
        <v>31826</v>
      </c>
      <c r="B17008" s="1">
        <v>0</v>
      </c>
      <c r="C17008" s="3">
        <v>44520.746921296297</v>
      </c>
      <c r="D17008" s="1" t="s">
        <v>33502</v>
      </c>
      <c r="E17008" s="1" t="str">
        <f ca="1">IFERROR(__xludf.DUMMYFUNCTION("GOOGLETRANSLATE(A13807 , ""tr"" , ""en"")"),"@drfahrettinkoca Ministry of Statistics As for the center assignment as @saglikbakanligi @rterdogan @tccbiko @tccbiko @iletisim")</f>
        <v>@drfahrettinkoca Ministry of Statistics As for the center assignment as @saglikbakanligi @rterdogan @tccbiko @tccbiko @iletisim</v>
      </c>
    </row>
    <row r="17009" spans="1:5" ht="15" customHeight="1" x14ac:dyDescent="0.2">
      <c r="A17009" s="1" t="s">
        <v>31826</v>
      </c>
      <c r="B17009" s="1">
        <v>0</v>
      </c>
      <c r="C17009" s="3">
        <v>44520.747013888889</v>
      </c>
      <c r="D17009" s="1" t="s">
        <v>33503</v>
      </c>
      <c r="E17009" s="1" t="str">
        <f ca="1">IFERROR(__xludf.DUMMYFUNCTION("GOOGLETRANSLATE(A13808 , ""tr"" , ""en"")"),"@drfahrettinkoca Ministry of Statistics As for the center assignment as @saglikbakanligi @rterdogan @tccbiko @tccbiko @iletisim")</f>
        <v>@drfahrettinkoca Ministry of Statistics As for the center assignment as @saglikbakanligi @rterdogan @tccbiko @tccbiko @iletisim</v>
      </c>
    </row>
    <row r="17010" spans="1:5" ht="15" customHeight="1" x14ac:dyDescent="0.2">
      <c r="A17010" s="1" t="s">
        <v>33504</v>
      </c>
      <c r="B17010" s="1">
        <v>0</v>
      </c>
      <c r="C17010" s="3">
        <v>44519.980370370373</v>
      </c>
      <c r="D17010" s="1" t="s">
        <v>33505</v>
      </c>
      <c r="E17010" s="1" t="str">
        <f ca="1">IFERROR(__xludf.DUMMYFUNCTION("GOOGLETRANSLATE(A13809 , ""tr"" , ""en"")"),"@drfahrettinka vaccine for vaccine 😂😂 Te Allam either Valla Interesting Man F / K")</f>
        <v>@drfahrettinka vaccine for vaccine 😂😂 Te Allam either Valla Interesting Man F / K</v>
      </c>
    </row>
    <row r="17011" spans="1:5" ht="15" customHeight="1" x14ac:dyDescent="0.2">
      <c r="A17011" s="1" t="s">
        <v>33506</v>
      </c>
      <c r="B17011" s="1">
        <v>0</v>
      </c>
      <c r="C17011" s="3">
        <v>44519.971724537034</v>
      </c>
      <c r="D17011" s="1" t="s">
        <v>33507</v>
      </c>
      <c r="E17011" s="1" t="str">
        <f ca="1">IFERROR(__xludf.DUMMYFUNCTION("GOOGLETRANSLATE(A13810 , ""tr"" , ""en"")"),"@drfahrettinkoca yave good pleasant, if not to say, bring restrictions to protect society to the non-vaccines g ... https://t.co/movffmy3ij")</f>
        <v>@drfahrettinkoca yave good pleasant, if not to say, bring restrictions to protect society to the non-vaccines g ... https://t.co/movffmy3ij</v>
      </c>
    </row>
    <row r="17012" spans="1:5" ht="15" customHeight="1" x14ac:dyDescent="0.2">
      <c r="A17012" s="1" t="s">
        <v>33508</v>
      </c>
      <c r="B17012" s="1">
        <v>0</v>
      </c>
      <c r="C17012" s="3">
        <v>44519.943657407406</v>
      </c>
      <c r="D17012" s="1" t="s">
        <v>33509</v>
      </c>
      <c r="E17012" s="1" t="str">
        <f ca="1">IFERROR(__xludf.DUMMYFUNCTION("GOOGLETRANSLATE(A13811 , ""tr"" , ""en"")"),"@drfahrettinkoca I have the account day of Ihi hell.")</f>
        <v>@drfahrettinkoca I have the account day of Ihi hell.</v>
      </c>
    </row>
    <row r="17013" spans="1:5" ht="15" customHeight="1" x14ac:dyDescent="0.2">
      <c r="A17013" s="1" t="s">
        <v>33510</v>
      </c>
      <c r="B17013" s="1">
        <v>2</v>
      </c>
      <c r="C17013" s="3">
        <v>44519.938449074078</v>
      </c>
      <c r="D17013" s="1" t="s">
        <v>33511</v>
      </c>
      <c r="E17013" s="1" t="str">
        <f ca="1">IFERROR(__xludf.DUMMYFUNCTION("GOOGLETRANSLATE(A13812 , ""tr"" , ""en"")"),"@drfahrettinkoca phase times are the middle of the uncovered vaccines when the vaccines are injured; The vaccination in the vaccine ... 'Türk M ... https://t.co/ddcyuxkw79")</f>
        <v>@drfahrettinkoca phase times are the middle of the uncovered vaccines when the vaccines are injured; The vaccination in the vaccine ... 'Türk M ... https://t.co/ddcyuxkw79</v>
      </c>
    </row>
    <row r="17014" spans="1:5" ht="15" customHeight="1" x14ac:dyDescent="0.2">
      <c r="A17014" s="1" t="s">
        <v>33512</v>
      </c>
      <c r="B17014" s="1">
        <v>0</v>
      </c>
      <c r="C17014" s="3">
        <v>44519.925324074073</v>
      </c>
      <c r="D17014" s="1" t="s">
        <v>33513</v>
      </c>
      <c r="E17014" s="1" t="str">
        <f ca="1">IFERROR(__xludf.DUMMYFUNCTION("GOOGLETRANSLATE(A13813 , ""tr"" , ""en"")"),"@drfahrettinka I think immediately quit and go")</f>
        <v>@drfahrettinka I think immediately quit and go</v>
      </c>
    </row>
    <row r="17015" spans="1:5" ht="15" customHeight="1" x14ac:dyDescent="0.2">
      <c r="A17015" s="1" t="s">
        <v>33514</v>
      </c>
      <c r="B17015" s="1">
        <v>0</v>
      </c>
      <c r="C17015" s="3">
        <v>44519.923194444447</v>
      </c>
      <c r="D17015" s="1" t="s">
        <v>33515</v>
      </c>
      <c r="E17015" s="1" t="str">
        <f ca="1">IFERROR(__xludf.DUMMYFUNCTION("GOOGLETRANSLATE(A13814 , ""tr"" , ""en"")"),"@drfahrettinkoca 📌 Remember as a moment, archives in 2022 will open fora .. For both law, both medicine and other ... https://t.co/n2hg64jk9y")</f>
        <v>@drfahrettinkoca 📌 Remember as a moment, archives in 2022 will open fora .. For both law, both medicine and other ... https://t.co/n2hg64jk9y</v>
      </c>
    </row>
    <row r="17016" spans="1:5" ht="15" customHeight="1" x14ac:dyDescent="0.2">
      <c r="A17016" s="1" t="s">
        <v>33516</v>
      </c>
      <c r="B17016" s="1">
        <v>0</v>
      </c>
      <c r="C17016" s="3">
        <v>44520.929930555554</v>
      </c>
      <c r="D17016" s="1" t="s">
        <v>33517</v>
      </c>
      <c r="E17016" s="1" t="str">
        <f ca="1">IFERROR(__xludf.DUMMYFUNCTION("GOOGLETRANSLATE(A13815 , ""tr"" , ""en"")"),"@drfahrettinkoca An A $ I, two A $ I, three A $ I ... good tactics; ""Virus! Make A $ I, preserve an anti-virus."" (+ mask + distance) didn't happen; ""M ... https://t.co/u8vplatndf")</f>
        <v>@drfahrettinkoca An A $ I, two A $ I, three A $ I ... good tactics; "Virus! Make A $ I, preserve an anti-virus." (+ mask + distance) didn't happen; "M ... https://t.co/u8vplatndf</v>
      </c>
    </row>
    <row r="17017" spans="1:5" ht="15" customHeight="1" x14ac:dyDescent="0.2">
      <c r="A17017" s="1" t="s">
        <v>31826</v>
      </c>
      <c r="B17017" s="1">
        <v>0</v>
      </c>
      <c r="C17017" s="3">
        <v>44520.747106481482</v>
      </c>
      <c r="D17017" s="1" t="s">
        <v>33518</v>
      </c>
      <c r="E17017" s="1" t="str">
        <f ca="1">IFERROR(__xludf.DUMMYFUNCTION("GOOGLETRANSLATE(A13816 , ""tr"" , ""en"")"),"@drfahrettinkoca Ministry of Statistics As for the center assignment as @saglikbakanligi @rterdogan @tccbiko @tccbiko @iletisim")</f>
        <v>@drfahrettinkoca Ministry of Statistics As for the center assignment as @saglikbakanligi @rterdogan @tccbiko @tccbiko @iletisim</v>
      </c>
    </row>
    <row r="17018" spans="1:5" ht="15" customHeight="1" x14ac:dyDescent="0.2">
      <c r="A17018" s="1" t="s">
        <v>33519</v>
      </c>
      <c r="B17018" s="1">
        <v>0</v>
      </c>
      <c r="C17018" s="3">
        <v>44520.716469907406</v>
      </c>
      <c r="D17018" s="1" t="s">
        <v>33520</v>
      </c>
      <c r="E17018" s="1" t="str">
        <f ca="1">IFERROR(__xludf.DUMMYFUNCTION("GOOGLETRANSLATE(A13817 , ""tr"" , ""en"")"),"@drfahrettinka enough enough lighting no longer us. We're not stupid we are not ignorant. I have studied I have made up my mind. ... https://t.co/a1ddc70sub")</f>
        <v>@drfahrettinka enough enough lighting no longer us. We're not stupid we are not ignorant. I have studied I have made up my mind. ... https://t.co/a1ddc70sub</v>
      </c>
    </row>
    <row r="17019" spans="1:5" ht="15" customHeight="1" x14ac:dyDescent="0.2">
      <c r="A17019" s="1" t="s">
        <v>33521</v>
      </c>
      <c r="B17019" s="1">
        <v>0</v>
      </c>
      <c r="C17019" s="3">
        <v>44521.822754629633</v>
      </c>
      <c r="D17019" s="1" t="s">
        <v>33522</v>
      </c>
      <c r="E17019" s="1" t="str">
        <f ca="1">IFERROR(__xludf.DUMMYFUNCTION("GOOGLETRANSLATE(A13818 , ""tr"" , ""en"")"),"@drfahrettinkoca Mr. Minister I'm retirement of me, Kovit Come and prohibits 20 days before the start of the prohibitions ... https://t.co/mhbmjsolzt")</f>
        <v>@drfahrettinkoca Mr. Minister I'm retirement of me, Kovit Come and prohibits 20 days before the start of the prohibitions ... https://t.co/mhbmjsolzt</v>
      </c>
    </row>
    <row r="17020" spans="1:5" ht="15" customHeight="1" x14ac:dyDescent="0.2">
      <c r="A17020" s="1" t="s">
        <v>31826</v>
      </c>
      <c r="B17020" s="1">
        <v>0</v>
      </c>
      <c r="C17020" s="3">
        <v>44520.747187499997</v>
      </c>
      <c r="D17020" s="1" t="s">
        <v>33523</v>
      </c>
      <c r="E17020" s="1" t="str">
        <f ca="1">IFERROR(__xludf.DUMMYFUNCTION("GOOGLETRANSLATE(A13819 , ""tr"" , ""en"")"),"@drfahrettinkoca Ministry of Statistics As for the center assignment as @saglikbakanligi @rterdogan @tccbiko @tccbiko @iletisim")</f>
        <v>@drfahrettinkoca Ministry of Statistics As for the center assignment as @saglikbakanligi @rterdogan @tccbiko @tccbiko @iletisim</v>
      </c>
    </row>
    <row r="17021" spans="1:5" ht="15" customHeight="1" x14ac:dyDescent="0.2">
      <c r="A17021" s="1" t="s">
        <v>33524</v>
      </c>
      <c r="B17021" s="1">
        <v>0</v>
      </c>
      <c r="C17021" s="3">
        <v>44519.906701388885</v>
      </c>
      <c r="D17021" s="1" t="s">
        <v>33525</v>
      </c>
      <c r="E17021" s="1" t="str">
        <f ca="1">IFERROR(__xludf.DUMMYFUNCTION("GOOGLETRANSLATE(A13820 , ""tr"" , ""en"")"),"@drfahrettinkoca is a fascist supposed to sell them half a billion euros in a banana republic, sending them to death ... https://t.co/8mtm6d6ae7")</f>
        <v>@drfahrettinkoca is a fascist supposed to sell them half a billion euros in a banana republic, sending them to death ... https://t.co/8mtm6d6ae7</v>
      </c>
    </row>
    <row r="17022" spans="1:5" ht="15" customHeight="1" x14ac:dyDescent="0.2">
      <c r="A17022" s="1" t="s">
        <v>31826</v>
      </c>
      <c r="B17022" s="1">
        <v>0</v>
      </c>
      <c r="C17022" s="3">
        <v>44520.747256944444</v>
      </c>
      <c r="D17022" s="1" t="s">
        <v>33526</v>
      </c>
      <c r="E17022" s="1" t="str">
        <f ca="1">IFERROR(__xludf.DUMMYFUNCTION("GOOGLETRANSLATE(A13821 , ""tr"" , ""en"")"),"@drfahrettinkoca Ministry of Statistics As for the center assignment as @saglikbakanligi @rterdogan @tccbiko @tccbiko @iletisim")</f>
        <v>@drfahrettinkoca Ministry of Statistics As for the center assignment as @saglikbakanligi @rterdogan @tccbiko @tccbiko @iletisim</v>
      </c>
    </row>
    <row r="17023" spans="1:5" ht="15" customHeight="1" x14ac:dyDescent="0.2">
      <c r="A17023" s="1" t="s">
        <v>33527</v>
      </c>
      <c r="B17023" s="1">
        <v>0</v>
      </c>
      <c r="C17023" s="3">
        <v>44520.985972222225</v>
      </c>
      <c r="D17023" s="1" t="s">
        <v>33528</v>
      </c>
      <c r="E17023" s="1" t="str">
        <f ca="1">IFERROR(__xludf.DUMMYFUNCTION("GOOGLETRANSLATE(A13822 , ""tr"" , ""en"")"),"@drfahrettinkoca Drfahrettin Bey Government Hospital Emergently sending the ambulance to private hospitals with ambulance ... https://t.co/oy9yr695yq")</f>
        <v>@drfahrettinkoca Drfahrettin Bey Government Hospital Emergently sending the ambulance to private hospitals with ambulance ... https://t.co/oy9yr695yq</v>
      </c>
    </row>
    <row r="17024" spans="1:5" ht="15" customHeight="1" x14ac:dyDescent="0.2">
      <c r="A17024" s="1" t="s">
        <v>33529</v>
      </c>
      <c r="B17024" s="1">
        <v>0</v>
      </c>
      <c r="C17024" s="3">
        <v>44521.864201388889</v>
      </c>
      <c r="D17024" s="1" t="s">
        <v>33530</v>
      </c>
      <c r="E17024" s="1" t="str">
        <f ca="1">IFERROR(__xludf.DUMMYFUNCTION("GOOGLETRANSLATE(A13823 , ""tr"" , ""en"")"),"@drfahrettinkoca is a lifetime to pass with numerous needles !! # FingerTelin '@Anadoludiyabet @ rterdogan ... https://t.co/750ozdno8b")</f>
        <v>@drfahrettinkoca is a lifetime to pass with numerous needles !! # FingerTelin '@Anadoludiyabet @ rterdogan ... https://t.co/750ozdno8b</v>
      </c>
    </row>
    <row r="17025" spans="1:5" ht="15" customHeight="1" x14ac:dyDescent="0.2">
      <c r="A17025" s="1" t="s">
        <v>33531</v>
      </c>
      <c r="B17025" s="1">
        <v>0</v>
      </c>
      <c r="C17025" s="3">
        <v>44521.979328703703</v>
      </c>
      <c r="D17025" s="1" t="s">
        <v>33532</v>
      </c>
      <c r="E17025" s="1" t="str">
        <f ca="1">IFERROR(__xludf.DUMMYFUNCTION("GOOGLETRANSLATE(A13824 , ""tr"" , ""en"")"),"@drfahrettinkoca We have to comply with your 2030 and 2050 calendas Do you create us")</f>
        <v>@drfahrettinkoca We have to comply with your 2030 and 2050 calendas Do you create us</v>
      </c>
    </row>
    <row r="17026" spans="1:5" ht="15" customHeight="1" x14ac:dyDescent="0.2">
      <c r="A17026" s="1" t="s">
        <v>33533</v>
      </c>
      <c r="B17026" s="1">
        <v>0</v>
      </c>
      <c r="C17026" s="3">
        <v>44532.96943287037</v>
      </c>
      <c r="D17026" s="1" t="s">
        <v>33534</v>
      </c>
      <c r="E17026" s="1" t="str">
        <f ca="1">IFERROR(__xludf.DUMMYFUNCTION("GOOGLETRANSLATE(A13825 , ""tr"" , ""en"")"),"@drfahrettinkoca @drtopaloglu الحمدلله 🤲🤲 🤲🤲")</f>
        <v>@drfahrettinkoca @drtopaloglu الحمدلله 🤲🤲 🤲🤲</v>
      </c>
    </row>
    <row r="17027" spans="1:5" ht="15" customHeight="1" x14ac:dyDescent="0.2">
      <c r="A17027" s="1" t="s">
        <v>33535</v>
      </c>
      <c r="B17027" s="1">
        <v>0</v>
      </c>
      <c r="C17027" s="3">
        <v>44533.811631944445</v>
      </c>
      <c r="D17027" s="1" t="s">
        <v>33536</v>
      </c>
      <c r="E17027" s="1" t="str">
        <f ca="1">IFERROR(__xludf.DUMMYFUNCTION("GOOGLETRANSLATE(A13826 , ""tr"" , ""en"")"),"@drfahrettinkoca AAA you have received the leave how you tweet amazed ...")</f>
        <v>@drfahrettinkoca AAA you have received the leave how you tweet amazed ...</v>
      </c>
    </row>
    <row r="17028" spans="1:5" ht="15" customHeight="1" x14ac:dyDescent="0.2">
      <c r="A17028" s="1" t="s">
        <v>33537</v>
      </c>
      <c r="B17028" s="1">
        <v>0</v>
      </c>
      <c r="C17028" s="3">
        <v>44519.923159722224</v>
      </c>
      <c r="D17028" s="1" t="s">
        <v>33538</v>
      </c>
      <c r="E17028" s="1" t="str">
        <f ca="1">IFERROR(__xludf.DUMMYFUNCTION("GOOGLETRANSLATE(A13827 , ""tr"" , ""en"")"),"@drfahrettinkoca hell have you knows you?")</f>
        <v>@drfahrettinkoca hell have you knows you?</v>
      </c>
    </row>
    <row r="17029" spans="1:5" ht="15" customHeight="1" x14ac:dyDescent="0.2">
      <c r="A17029" s="1" t="s">
        <v>33539</v>
      </c>
      <c r="B17029" s="1">
        <v>0</v>
      </c>
      <c r="C17029" s="3">
        <v>44521.857858796298</v>
      </c>
      <c r="D17029" s="1" t="s">
        <v>33540</v>
      </c>
      <c r="E17029" s="1" t="str">
        <f ca="1">IFERROR(__xludf.DUMMYFUNCTION("GOOGLETRANSLATE(A13828 , ""tr"" , ""en"")"),"@drfahrettinkoca Mr. Minister All this should also apply to poor countries.")</f>
        <v>@drfahrettinkoca Mr. Minister All this should also apply to poor countries.</v>
      </c>
    </row>
    <row r="17030" spans="1:5" ht="15" customHeight="1" x14ac:dyDescent="0.2">
      <c r="A17030" s="1" t="s">
        <v>33541</v>
      </c>
      <c r="B17030" s="1">
        <v>0</v>
      </c>
      <c r="C17030" s="3">
        <v>44540.358124999999</v>
      </c>
      <c r="D17030" s="1" t="s">
        <v>33542</v>
      </c>
      <c r="E17030" s="1" t="str">
        <f ca="1">IFERROR(__xludf.DUMMYFUNCTION("GOOGLETRANSLATE(A13829 , ""tr"" , ""en"")"),"@drfahrettinkoca is called the system that has already started 4B of our colleagues to make the preferred system is called Year ... https://t.co/mki75wlwhu")</f>
        <v>@drfahrettinkoca is called the system that has already started 4B of our colleagues to make the preferred system is called Year ... https://t.co/mki75wlwhu</v>
      </c>
    </row>
    <row r="17031" spans="1:5" ht="15" customHeight="1" x14ac:dyDescent="0.2">
      <c r="A17031" s="1" t="s">
        <v>33543</v>
      </c>
      <c r="B17031" s="1">
        <v>0</v>
      </c>
      <c r="C17031" s="3">
        <v>44522.836701388886</v>
      </c>
      <c r="D17031" s="1" t="s">
        <v>33544</v>
      </c>
      <c r="E17031" s="1" t="str">
        <f ca="1">IFERROR(__xludf.DUMMYFUNCTION("GOOGLETRANSLATE(A13830 , ""tr"" , ""en"")"),"@drfahrettinka Italia 86%")</f>
        <v>@drfahrettinka Italia 86%</v>
      </c>
    </row>
    <row r="17032" spans="1:5" ht="15" customHeight="1" x14ac:dyDescent="0.2">
      <c r="A17032" s="1" t="s">
        <v>33545</v>
      </c>
      <c r="B17032" s="1">
        <v>0</v>
      </c>
      <c r="C17032" s="3">
        <v>44538.734930555554</v>
      </c>
      <c r="D17032" s="1" t="s">
        <v>33546</v>
      </c>
      <c r="E17032" s="1" t="str">
        <f ca="1">IFERROR(__xludf.DUMMYFUNCTION("GOOGLETRANSLATE(A13831 , ""tr"" , ""en"")"),"@drfahrettinkoca Please search for the operating room technician part of Bi How many thousands of men are giving the operating in the purchase ... https://t.co/qmxkakxqze")</f>
        <v>@drfahrettinkoca Please search for the operating room technician part of Bi How many thousands of men are giving the operating in the purchase ... https://t.co/qmxkakxqze</v>
      </c>
    </row>
    <row r="17033" spans="1:5" ht="15" customHeight="1" x14ac:dyDescent="0.2">
      <c r="A17033" s="1" t="s">
        <v>33547</v>
      </c>
      <c r="B17033" s="1">
        <v>0</v>
      </c>
      <c r="C17033" s="3">
        <v>44538.732453703706</v>
      </c>
      <c r="D17033" s="1" t="s">
        <v>33548</v>
      </c>
      <c r="E17033" s="1" t="str">
        <f ca="1">IFERROR(__xludf.DUMMYFUNCTION("GOOGLETRANSLATE(A13832 , ""tr"" , ""en"")"),"@drfahrettinkoca Mr. Ministry I'm now no hope I'm saying I'm writing to you will see what I'm writing on the State HICMI A ... https://t.co/zte2alslqy")</f>
        <v>@drfahrettinkoca Mr. Ministry I'm now no hope I'm saying I'm writing to you will see what I'm writing on the State HICMI A ... https://t.co/zte2alslqy</v>
      </c>
    </row>
    <row r="17034" spans="1:5" ht="15" customHeight="1" x14ac:dyDescent="0.2">
      <c r="A17034" s="1" t="s">
        <v>33549</v>
      </c>
      <c r="B17034" s="1">
        <v>0</v>
      </c>
      <c r="C17034" s="3">
        <v>44530.908483796295</v>
      </c>
      <c r="D17034" s="1" t="s">
        <v>33550</v>
      </c>
      <c r="E17034" s="1" t="str">
        <f ca="1">IFERROR(__xludf.DUMMYFUNCTION("GOOGLETRANSLATE(A13833 , ""tr"" , ""en"")"),"@drfahrettinkoca 2022 also to don't do it to do the sureco bakıdar you have extended the surecast that we had just assigned the bishaha ... https://t.co/supIiyo25s")</f>
        <v>@drfahrettinkoca 2022 also to don't do it to do the sureco bakıdar you have extended the surecast that we had just assigned the bishaha ... https://t.co/supIiyo25s</v>
      </c>
    </row>
    <row r="17035" spans="1:5" ht="15" customHeight="1" x14ac:dyDescent="0.2">
      <c r="A17035" s="1" t="s">
        <v>33551</v>
      </c>
      <c r="B17035" s="1">
        <v>0</v>
      </c>
      <c r="C17035" s="3">
        <v>44530.907233796293</v>
      </c>
      <c r="D17035" s="1" t="s">
        <v>33552</v>
      </c>
      <c r="E17035" s="1" t="str">
        <f ca="1">IFERROR(__xludf.DUMMYFUNCTION("GOOGLETRANSLATE(A13834 , ""tr"" , ""en"")"),"@drfahrettinkoca but do not make much hardship Hic we assign the hic familial raid on the pending hic soci ... https://t.co/d3mjvb65xi")</f>
        <v>@drfahrettinkoca but do not make much hardship Hic we assign the hic familial raid on the pending hic soci ... https://t.co/d3mjvb65xi</v>
      </c>
    </row>
    <row r="17036" spans="1:5" ht="15" customHeight="1" x14ac:dyDescent="0.2">
      <c r="A17036" s="1" t="s">
        <v>33553</v>
      </c>
      <c r="B17036" s="1">
        <v>0</v>
      </c>
      <c r="C17036" s="3">
        <v>44530.906331018516</v>
      </c>
      <c r="D17036" s="1" t="s">
        <v>33554</v>
      </c>
      <c r="E17036" s="1" t="str">
        <f ca="1">IFERROR(__xludf.DUMMYFUNCTION("GOOGLETRANSLATE(A13835 , ""tr"" , ""en"")"),"@drfahrettinkoca so this month is the November of November this month this month is entered in Araliga")</f>
        <v>@drfahrettinkoca so this month is the November of November this month this month is entered in Araliga</v>
      </c>
    </row>
    <row r="17037" spans="1:5" ht="15" customHeight="1" x14ac:dyDescent="0.2">
      <c r="A17037" s="1" t="s">
        <v>33555</v>
      </c>
      <c r="B17037" s="1">
        <v>0</v>
      </c>
      <c r="C17037" s="3">
        <v>44521.866365740738</v>
      </c>
      <c r="D17037" s="1" t="s">
        <v>33556</v>
      </c>
      <c r="E17037" s="1" t="str">
        <f ca="1">IFERROR(__xludf.DUMMYFUNCTION("GOOGLETRANSLATE(A13836 , ""tr"" , ""en"")"),"@drfahrettinka goodnight Mr. Ministry of Ricam from you Ricam tomorrow is beautiful news as the operating room technician purchase 15 ... https://t.co/Ifjm05kvcu")</f>
        <v>@drfahrettinka goodnight Mr. Ministry of Ricam from you Ricam tomorrow is beautiful news as the operating room technician purchase 15 ... https://t.co/Ifjm05kvcu</v>
      </c>
    </row>
    <row r="17038" spans="1:5" ht="15" customHeight="1" x14ac:dyDescent="0.2">
      <c r="A17038" s="1" t="s">
        <v>33557</v>
      </c>
      <c r="B17038" s="1">
        <v>0</v>
      </c>
      <c r="C17038" s="3">
        <v>44535.754641203705</v>
      </c>
      <c r="D17038" s="1" t="s">
        <v>33558</v>
      </c>
      <c r="E17038" s="1" t="str">
        <f ca="1">IFERROR(__xludf.DUMMYFUNCTION("GOOGLETRANSLATE(A13837 , ""tr"" , ""en"")"),"@drfahrettinkoca @gozdekirisciogl e is still still still still.")</f>
        <v>@drfahrettinkoca @gozdekirisciogl e is still still still still.</v>
      </c>
    </row>
    <row r="17039" spans="1:5" ht="15" customHeight="1" x14ac:dyDescent="0.2">
      <c r="A17039" s="1" t="s">
        <v>33559</v>
      </c>
      <c r="B17039" s="1">
        <v>0</v>
      </c>
      <c r="C17039" s="3">
        <v>44523.950023148151</v>
      </c>
      <c r="D17039" s="1" t="s">
        <v>33560</v>
      </c>
      <c r="E17039" s="1" t="str">
        <f ca="1">IFERROR(__xludf.DUMMYFUNCTION("GOOGLETRANSLATE(A13838 , ""tr"" , ""en"")"),"@drfahrettinkoca preferred it to choose it.")</f>
        <v>@drfahrettinkoca preferred it to choose it.</v>
      </c>
    </row>
    <row r="17040" spans="1:5" ht="15" customHeight="1" x14ac:dyDescent="0.2">
      <c r="A17040" s="1" t="s">
        <v>33561</v>
      </c>
      <c r="B17040" s="1">
        <v>0</v>
      </c>
      <c r="C17040" s="3">
        <v>44523.859583333331</v>
      </c>
      <c r="D17040" s="1" t="s">
        <v>33562</v>
      </c>
      <c r="E17040" s="1" t="str">
        <f ca="1">IFERROR(__xludf.DUMMYFUNCTION("GOOGLETRANSLATE(A13839 , ""tr"" , ""en"")"),"@drfahrettinkoca @ ACIKÖGREGREMSUNAVLESONLINEOLSUN @Aofanadolum @rterdogan @tcmeb")</f>
        <v>@drfahrettinkoca @ ACIKÖGREGREMSUNAVLESONLINEOLSUN @Aofanadolum @rterdogan @tcmeb</v>
      </c>
    </row>
    <row r="17041" spans="1:5" ht="15" customHeight="1" x14ac:dyDescent="0.2">
      <c r="A17041" s="1" t="s">
        <v>33563</v>
      </c>
      <c r="B17041" s="1">
        <v>0</v>
      </c>
      <c r="C17041" s="3">
        <v>44523.855509259258</v>
      </c>
      <c r="D17041" s="1" t="s">
        <v>33564</v>
      </c>
      <c r="E17041" s="1" t="str">
        <f ca="1">IFERROR(__xludf.DUMMYFUNCTION("GOOGLETRANSLATE(A13840 , ""tr"" , ""en"")"),"@drfahrettinkoca Mr. Minister I'm in the house as a positive case, have weekend open-up exams and ... https://t.co/jf5sxmfhkv")</f>
        <v>@drfahrettinkoca Mr. Minister I'm in the house as a positive case, have weekend open-up exams and ... https://t.co/jf5sxmfhkv</v>
      </c>
    </row>
    <row r="17042" spans="1:5" ht="15" customHeight="1" x14ac:dyDescent="0.2">
      <c r="A17042" s="1" t="s">
        <v>33565</v>
      </c>
      <c r="B17042" s="1">
        <v>0</v>
      </c>
      <c r="C17042" s="3">
        <v>44539.991261574076</v>
      </c>
      <c r="D17042" s="1" t="s">
        <v>33566</v>
      </c>
      <c r="E17042" s="1" t="str">
        <f ca="1">IFERROR(__xludf.DUMMYFUNCTION("GOOGLETRANSLATE(A13841 , ""tr"" , ""en"")"),"@drfahrettinkoca is a human rights issue of stray #copexor. People disintegrated by street dogs ... https://t.co/gijp2qs12n")</f>
        <v>@drfahrettinkoca is a human rights issue of stray #copexor. People disintegrated by street dogs ... https://t.co/gijp2qs12n</v>
      </c>
    </row>
    <row r="17043" spans="1:5" ht="15" customHeight="1" x14ac:dyDescent="0.2">
      <c r="A17043" s="1" t="s">
        <v>33567</v>
      </c>
      <c r="B17043" s="1">
        <v>0</v>
      </c>
      <c r="C17043" s="3">
        <v>44543.930104166669</v>
      </c>
      <c r="D17043" s="1" t="s">
        <v>33568</v>
      </c>
      <c r="E17043" s="1" t="str">
        <f ca="1">IFERROR(__xludf.DUMMYFUNCTION("GOOGLETRANSLATE(A13842 , ""tr"" , ""en"")"),"@drfahrettinkoca Allah I'm the Ministers who are the understanding of your Espirate and the understanding of riddles @ ali88647703 # dollar14tl #ohal")</f>
        <v>@drfahrettinkoca Allah I'm the Ministers who are the understanding of your Espirate and the understanding of riddles @ ali88647703 # dollar14tl #ohal</v>
      </c>
    </row>
    <row r="17044" spans="1:5" ht="15" customHeight="1" x14ac:dyDescent="0.2">
      <c r="A17044" s="1" t="s">
        <v>33569</v>
      </c>
      <c r="B17044" s="1">
        <v>0</v>
      </c>
      <c r="C17044" s="3">
        <v>44540.291770833333</v>
      </c>
      <c r="D17044" s="1" t="s">
        <v>33570</v>
      </c>
      <c r="E17044" s="1" t="str">
        <f ca="1">IFERROR(__xludf.DUMMYFUNCTION("GOOGLETRANSLATE(A13843 , ""tr"" , ""en"")"),"@drfahrettinkoca We don't believe you all you lie")</f>
        <v>@drfahrettinkoca We don't believe you all you lie</v>
      </c>
    </row>
    <row r="17045" spans="1:5" ht="15" customHeight="1" x14ac:dyDescent="0.2">
      <c r="A17045" s="1" t="s">
        <v>33571</v>
      </c>
      <c r="B17045" s="1">
        <v>0</v>
      </c>
      <c r="C17045" s="3">
        <v>44551.057604166665</v>
      </c>
      <c r="D17045" s="1" t="s">
        <v>33572</v>
      </c>
      <c r="E17045" s="1" t="str">
        <f ca="1">IFERROR(__xludf.DUMMYFUNCTION("GOOGLETRANSLATE(A13844 , ""tr"" , ""en"")"),"@drfahrettinkoca hocam is vaccine in Germany in Germany. Ahead Fourth also says the future Germany Minister ... https://t.co/anqnz9wjbh")</f>
        <v>@drfahrettinkoca hocam is vaccine in Germany in Germany. Ahead Fourth also says the future Germany Minister ... https://t.co/anqnz9wjbh</v>
      </c>
    </row>
    <row r="17046" spans="1:5" ht="15" customHeight="1" x14ac:dyDescent="0.2">
      <c r="A17046" s="1" t="s">
        <v>33573</v>
      </c>
      <c r="B17046" s="1">
        <v>0</v>
      </c>
      <c r="C17046" s="3">
        <v>44533.741655092592</v>
      </c>
      <c r="D17046" s="1" t="s">
        <v>33574</v>
      </c>
      <c r="E17046" s="1" t="str">
        <f ca="1">IFERROR(__xludf.DUMMYFUNCTION("GOOGLETRANSLATE(A13845 , ""tr"" , ""en"")"),"@drfahrettinkoca Are there anyone who believes these lies Yaa. Flash TV players are as much as they are as well as lying. Mah ... https://t.co/WFDCQIXQNY")</f>
        <v>@drfahrettinkoca Are there anyone who believes these lies Yaa. Flash TV players are as much as they are as well as lying. Mah ... https://t.co/WFDCQIXQNY</v>
      </c>
    </row>
    <row r="17047" spans="1:5" ht="15" customHeight="1" x14ac:dyDescent="0.2">
      <c r="A17047" s="1" t="s">
        <v>33575</v>
      </c>
      <c r="B17047" s="1">
        <v>0</v>
      </c>
      <c r="C17047" s="3">
        <v>44535.918993055559</v>
      </c>
      <c r="D17047" s="1" t="s">
        <v>33576</v>
      </c>
      <c r="E17047" s="1" t="str">
        <f ca="1">IFERROR(__xludf.DUMMYFUNCTION("GOOGLETRANSLATE(A13846 , ""tr"" , ""en"")"),"@drfahrettinkoca This guy says that forced vaccines to people, who says I'm in a vaccine, the relationships behind the curtain ... https://t.co/nzI01jzrcp")</f>
        <v>@drfahrettinkoca This guy says that forced vaccines to people, who says I'm in a vaccine, the relationships behind the curtain ... https://t.co/nzI01jzrcp</v>
      </c>
    </row>
    <row r="17048" spans="1:5" ht="15" customHeight="1" x14ac:dyDescent="0.2">
      <c r="A17048" s="1" t="s">
        <v>33577</v>
      </c>
      <c r="B17048" s="1">
        <v>0</v>
      </c>
      <c r="C17048" s="3">
        <v>44535.825057870374</v>
      </c>
      <c r="D17048" s="1" t="s">
        <v>33578</v>
      </c>
      <c r="E17048" s="1" t="str">
        <f ca="1">IFERROR(__xludf.DUMMYFUNCTION("GOOGLETRANSLATE(A13847 , ""tr"" , ""en"")"),"@drfahrettinkoca Maşallah Intensive Care Road Passing Hani Camera is intensive care")</f>
        <v>@drfahrettinkoca Maşallah Intensive Care Road Passing Hani Camera is intensive care</v>
      </c>
    </row>
    <row r="17049" spans="1:5" ht="15" customHeight="1" x14ac:dyDescent="0.2">
      <c r="A17049" s="1" t="s">
        <v>33579</v>
      </c>
      <c r="B17049" s="1">
        <v>0</v>
      </c>
      <c r="C17049" s="3">
        <v>44535.824606481481</v>
      </c>
      <c r="D17049" s="1" t="s">
        <v>33580</v>
      </c>
      <c r="E17049" s="1" t="str">
        <f ca="1">IFERROR(__xludf.DUMMYFUNCTION("GOOGLETRANSLATE(A13848 , ""tr"" , ""en"")"),"@drfahrettinkoca I think this friend goes into politics chin first-strong Covit didn't hit the chin")</f>
        <v>@drfahrettinkoca I think this friend goes into politics chin first-strong Covit didn't hit the chin</v>
      </c>
    </row>
    <row r="17050" spans="1:5" ht="15" customHeight="1" x14ac:dyDescent="0.2">
      <c r="A17050" s="1" t="s">
        <v>33581</v>
      </c>
      <c r="B17050" s="1">
        <v>0</v>
      </c>
      <c r="C17050" s="3">
        <v>44535.78601851852</v>
      </c>
      <c r="D17050" s="1" t="s">
        <v>33582</v>
      </c>
      <c r="E17050" s="1" t="str">
        <f ca="1">IFERROR(__xludf.DUMMYFUNCTION("GOOGLETRANSLATE(A13849 , ""tr"" , ""en"")"),"@drfahrettinkoca @turhaldh https://t.co/jjkt94vogrogrogr")</f>
        <v>@drfahrettinkoca @turhaldh https://t.co/jjkt94vogrogrogr</v>
      </c>
    </row>
    <row r="17051" spans="1:5" ht="15" customHeight="1" x14ac:dyDescent="0.2">
      <c r="A17051" s="1" t="s">
        <v>33583</v>
      </c>
      <c r="B17051" s="1">
        <v>0</v>
      </c>
      <c r="C17051" s="3">
        <v>44541.935833333337</v>
      </c>
      <c r="D17051" s="1" t="s">
        <v>33584</v>
      </c>
      <c r="E17051" s="1" t="str">
        <f ca="1">IFERROR(__xludf.DUMMYFUNCTION("GOOGLETRANSLATE(A13850 , ""tr"" , ""en"")"),"@drfahrettinkoca have u ever visited india")</f>
        <v>@drfahrettinkoca have u ever visited india</v>
      </c>
    </row>
    <row r="17052" spans="1:5" ht="15" customHeight="1" x14ac:dyDescent="0.2">
      <c r="A17052" s="1" t="s">
        <v>33585</v>
      </c>
      <c r="B17052" s="1">
        <v>0</v>
      </c>
      <c r="C17052" s="3">
        <v>44534.73196759259</v>
      </c>
      <c r="D17052" s="1" t="s">
        <v>33586</v>
      </c>
      <c r="E17052" s="1" t="str">
        <f ca="1">IFERROR(__xludf.DUMMYFUNCTION("GOOGLETRANSLATE(A13851 , ""tr"" , ""en"")"),"@drfahrettinkoca @EADKSK I Google Translate this post, May it Be Rightleri https://t.co/yqjk133ogj")</f>
        <v>@drfahrettinkoca @EADKSK I Google Translate this post, May it Be Rightleri https://t.co/yqjk133ogj</v>
      </c>
    </row>
    <row r="17053" spans="1:5" ht="15" customHeight="1" x14ac:dyDescent="0.2">
      <c r="A17053" s="1" t="s">
        <v>33587</v>
      </c>
      <c r="B17053" s="1">
        <v>0</v>
      </c>
      <c r="C17053" s="3">
        <v>44551.615370370368</v>
      </c>
      <c r="D17053" s="1" t="s">
        <v>33588</v>
      </c>
      <c r="E17053" s="1" t="str">
        <f ca="1">IFERROR(__xludf.DUMMYFUNCTION("GOOGLETRANSLATE(A13852 , ""tr"" , ""en"")"),"@drfahrettinkoca fahrrettin let it ruin anymore")</f>
        <v>@drfahrettinkoca fahrrettin let it ruin anymore</v>
      </c>
    </row>
    <row r="17054" spans="1:5" ht="15" customHeight="1" x14ac:dyDescent="0.2">
      <c r="A17054" s="1" t="s">
        <v>33589</v>
      </c>
      <c r="B17054" s="1">
        <v>0</v>
      </c>
      <c r="C17054" s="3">
        <v>44551.552187499998</v>
      </c>
      <c r="D17054" s="1" t="s">
        <v>33590</v>
      </c>
      <c r="E17054" s="1" t="str">
        <f ca="1">IFERROR(__xludf.DUMMYFUNCTION("GOOGLETRANSLATE(A13853 , ""tr"" , ""en"")"),"@drfahrettinkoca Hi you are not hoping to cigarette. Today he fulfilled the advertising instruction in the Cubb. Already know ... https://t.co/hdxivlpfcj")</f>
        <v>@drfahrettinkoca Hi you are not hoping to cigarette. Today he fulfilled the advertising instruction in the Cubb. Already know ... https://t.co/hdxivlpfcj</v>
      </c>
    </row>
    <row r="17055" spans="1:5" ht="15" customHeight="1" x14ac:dyDescent="0.2">
      <c r="A17055" s="1" t="s">
        <v>33591</v>
      </c>
      <c r="B17055" s="1">
        <v>0</v>
      </c>
      <c r="C17055" s="3">
        <v>44551.382418981484</v>
      </c>
      <c r="D17055" s="1" t="s">
        <v>33592</v>
      </c>
      <c r="E17055" s="1" t="str">
        <f ca="1">IFERROR(__xludf.DUMMYFUNCTION("GOOGLETRANSLATE(A13854 , ""tr"" , ""en"")"),"@drfahrettinkoca don't afford this as 6. #turkiyeis is being")</f>
        <v>@drfahrettinkoca don't afford this as 6. #turkiyeis is being</v>
      </c>
    </row>
    <row r="17056" spans="1:5" ht="15" customHeight="1" x14ac:dyDescent="0.2">
      <c r="A17056" s="1" t="s">
        <v>33593</v>
      </c>
      <c r="B17056" s="1">
        <v>0</v>
      </c>
      <c r="C17056" s="3">
        <v>44551.356979166667</v>
      </c>
      <c r="D17056" s="1" t="s">
        <v>33594</v>
      </c>
      <c r="E17056" s="1" t="str">
        <f ca="1">IFERROR(__xludf.DUMMYFUNCTION("GOOGLETRANSLATE(A13855 , ""tr"" , ""en"")"),"@drfahrettinkoca you get to the devil greet the greeting you will die so certain that you are so much as fahrettin bari man live like this")</f>
        <v>@drfahrettinkoca you get to the devil greet the greeting you will die so certain that you are so much as fahrettin bari man live like this</v>
      </c>
    </row>
    <row r="17057" spans="1:5" ht="15" customHeight="1" x14ac:dyDescent="0.2">
      <c r="A17057" s="1" t="s">
        <v>33595</v>
      </c>
      <c r="B17057" s="1">
        <v>0</v>
      </c>
      <c r="C17057" s="3">
        <v>44551.271817129629</v>
      </c>
      <c r="D17057" s="1" t="s">
        <v>33596</v>
      </c>
      <c r="E17057" s="1" t="str">
        <f ca="1">IFERROR(__xludf.DUMMYFUNCTION("GOOGLETRANSLATE(A13856 , ""tr"" , ""en"")"),"@drfahrettinkoca I don't halic my right to you and what's next to you. Lord is great, Okru You will also account for this world")</f>
        <v>@drfahrettinkoca I don't halic my right to you and what's next to you. Lord is great, Okru You will also account for this world</v>
      </c>
    </row>
    <row r="17058" spans="1:5" ht="15" customHeight="1" x14ac:dyDescent="0.2">
      <c r="A17058" s="1" t="s">
        <v>33597</v>
      </c>
      <c r="B17058" s="1">
        <v>1</v>
      </c>
      <c r="C17058" s="3">
        <v>44551.25990740741</v>
      </c>
      <c r="D17058" s="1" t="s">
        <v>33598</v>
      </c>
      <c r="E17058" s="1" t="str">
        <f ca="1">IFERROR(__xludf.DUMMYFUNCTION("GOOGLETRANSLATE(A13857 , ""tr"" , ""en"")"),"@drfahrettinka these figures felt as if it accelerates the journey to other life")</f>
        <v>@drfahrettinka these figures felt as if it accelerates the journey to other life</v>
      </c>
    </row>
    <row r="17059" spans="1:5" ht="15" customHeight="1" x14ac:dyDescent="0.2">
      <c r="A17059" s="1" t="s">
        <v>33599</v>
      </c>
      <c r="B17059" s="1">
        <v>0</v>
      </c>
      <c r="C17059" s="3">
        <v>44539.874363425923</v>
      </c>
      <c r="D17059" s="1" t="s">
        <v>33600</v>
      </c>
      <c r="E17059" s="1" t="str">
        <f ca="1">IFERROR(__xludf.DUMMYFUNCTION("GOOGLETRANSLATE(A13858 , ""tr"" , ""en"")"),"@drfahrettinkoca noldu still no news from vaccine")</f>
        <v>@drfahrettinkoca noldu still no news from vaccine</v>
      </c>
    </row>
    <row r="17060" spans="1:5" ht="15" customHeight="1" x14ac:dyDescent="0.2">
      <c r="A17060" s="1" t="s">
        <v>33601</v>
      </c>
      <c r="B17060" s="1">
        <v>0</v>
      </c>
      <c r="C17060" s="3">
        <v>44534.851099537038</v>
      </c>
      <c r="D17060" s="1" t="s">
        <v>33602</v>
      </c>
      <c r="E17060" s="1" t="str">
        <f ca="1">IFERROR(__xludf.DUMMYFUNCTION("GOOGLETRANSLATE(A13859 , ""tr"" , ""en"")"),"@drfahrettinkoca @drkubraorma why are why we don't go in practice in practice every day can g ... https://t.co/jayjcacdc0")</f>
        <v>@drfahrettinkoca @drkubraorma why are why we don't go in practice in practice every day can g ... https://t.co/jayjcacdc0</v>
      </c>
    </row>
    <row r="17061" spans="1:5" ht="15" customHeight="1" x14ac:dyDescent="0.2">
      <c r="A17061" s="1" t="s">
        <v>33603</v>
      </c>
      <c r="B17061" s="1">
        <v>2</v>
      </c>
      <c r="C17061" s="3">
        <v>44526.888333333336</v>
      </c>
      <c r="D17061" s="1" t="s">
        <v>33604</v>
      </c>
      <c r="E17061" s="1" t="str">
        <f ca="1">IFERROR(__xludf.DUMMYFUNCTION("GOOGLETRANSLATE(A13860 , ""tr"" , ""en"")"),"@drfahrettinkoca you are your end in Hope.")</f>
        <v>@drfahrettinkoca you are your end in Hope.</v>
      </c>
    </row>
    <row r="17062" spans="1:5" ht="15" customHeight="1" x14ac:dyDescent="0.2">
      <c r="A17062" s="1" t="s">
        <v>33605</v>
      </c>
      <c r="B17062" s="1">
        <v>4</v>
      </c>
      <c r="C17062" s="3">
        <v>44532.813275462962</v>
      </c>
      <c r="D17062" s="1" t="s">
        <v>33606</v>
      </c>
      <c r="E17062" s="1" t="str">
        <f ca="1">IFERROR(__xludf.DUMMYFUNCTION("GOOGLETRANSLATE(A13861 , ""tr"" , ""en"")"),"@drfahrettinkoca # Healthconships")</f>
        <v>@drfahrettinkoca # Healthconships</v>
      </c>
    </row>
    <row r="17063" spans="1:5" ht="15" customHeight="1" x14ac:dyDescent="0.2">
      <c r="A17063" s="1" t="s">
        <v>33607</v>
      </c>
      <c r="B17063" s="1">
        <v>0</v>
      </c>
      <c r="C17063" s="3">
        <v>44520.91337962963</v>
      </c>
      <c r="D17063" s="1" t="s">
        <v>33608</v>
      </c>
      <c r="E17063" s="1" t="str">
        <f ca="1">IFERROR(__xludf.DUMMYFUNCTION("GOOGLETRANSLATE(A13862 , ""tr"" , ""en"")"),"@drfahrettinkoca @sagliklicozum @sagliklicozum @saglikbakanligi SMA LI, a baby's mother suicide, I want to take your views, regards.")</f>
        <v>@drfahrettinkoca @sagliklicozum @sagliklicozum @saglikbakanligi SMA LI, a baby's mother suicide, I want to take your views, regards.</v>
      </c>
    </row>
    <row r="17064" spans="1:5" ht="15" customHeight="1" x14ac:dyDescent="0.2">
      <c r="A17064" s="1" t="s">
        <v>33609</v>
      </c>
      <c r="B17064" s="1">
        <v>0</v>
      </c>
      <c r="C17064" s="3">
        <v>44539.788935185185</v>
      </c>
      <c r="D17064" s="1" t="s">
        <v>33610</v>
      </c>
      <c r="E17064" s="1" t="str">
        <f ca="1">IFERROR(__xludf.DUMMYFUNCTION("GOOGLETRANSLATE(A13863 , ""tr"" , ""en"")"),"@drfahrettinkoca Come on Come now I will now come 🥺🥺🥺")</f>
        <v>@drfahrettinkoca Come on Come now I will now come 🥺🥺🥺</v>
      </c>
    </row>
    <row r="17065" spans="1:5" ht="15" customHeight="1" x14ac:dyDescent="0.2">
      <c r="A17065" s="1" t="s">
        <v>33611</v>
      </c>
      <c r="B17065" s="1">
        <v>0</v>
      </c>
      <c r="C17065" s="3">
        <v>44533.80023148148</v>
      </c>
      <c r="D17065" s="1" t="s">
        <v>33612</v>
      </c>
      <c r="E17065" s="1" t="str">
        <f ca="1">IFERROR(__xludf.DUMMYFUNCTION("GOOGLETRANSLATE(A13864 , ""tr"" , ""en"")"),"@drfahrettinkoca Ditto By this corona nightmare you are all over")</f>
        <v>@drfahrettinkoca Ditto By this corona nightmare you are all over</v>
      </c>
    </row>
    <row r="17066" spans="1:5" ht="15" customHeight="1" x14ac:dyDescent="0.2">
      <c r="A17066" s="1" t="s">
        <v>33613</v>
      </c>
      <c r="B17066" s="1">
        <v>2</v>
      </c>
      <c r="C17066" s="3">
        <v>44521.844201388885</v>
      </c>
      <c r="D17066" s="1" t="s">
        <v>33614</v>
      </c>
      <c r="E17066" s="1" t="str">
        <f ca="1">IFERROR(__xludf.DUMMYFUNCTION("GOOGLETRANSLATE(A13865 , ""tr"" , ""en"")"),"@drfahrettinkoca fa. HUCK 122 cm to disconnect me to make me upset 😭 Boyle Tweet up to 1 cm on an important issue ... https://t.co/7sn2qaoscf")</f>
        <v>@drfahrettinkoca fa. HUCK 122 cm to disconnect me to make me upset 😭 Boyle Tweet up to 1 cm on an important issue ... https://t.co/7sn2qaoscf</v>
      </c>
    </row>
    <row r="17067" spans="1:5" ht="15" customHeight="1" x14ac:dyDescent="0.2">
      <c r="A17067" s="1" t="s">
        <v>33615</v>
      </c>
      <c r="B17067" s="1">
        <v>0</v>
      </c>
      <c r="C17067" s="3">
        <v>44519.99145833333</v>
      </c>
      <c r="D17067" s="1" t="s">
        <v>33616</v>
      </c>
      <c r="E17067" s="1" t="str">
        <f ca="1">IFERROR(__xludf.DUMMYFUNCTION("GOOGLETRANSLATE(A13866 , ""tr"" , ""en"")"),"@drfahrettinkoca This country's most dangerous fatal contagious in the life of the risk of risky people in life ... https://t.co/tbzqwifbnu")</f>
        <v>@drfahrettinkoca This country's most dangerous fatal contagious in the life of the risk of risky people in life ... https://t.co/tbzqwifbnu</v>
      </c>
    </row>
    <row r="17068" spans="1:5" ht="15" customHeight="1" x14ac:dyDescent="0.2">
      <c r="A17068" s="1" t="s">
        <v>33617</v>
      </c>
      <c r="B17068" s="1">
        <v>0</v>
      </c>
      <c r="C17068" s="3">
        <v>44519.98846064815</v>
      </c>
      <c r="D17068" s="1" t="s">
        <v>33618</v>
      </c>
      <c r="E17068" s="1" t="str">
        <f ca="1">IFERROR(__xludf.DUMMYFUNCTION("GOOGLETRANSLATE(A13867 , ""tr"" , ""en"")"),"@drfahrettinkoca What if you get your YOQSA OIZLE?")</f>
        <v>@drfahrettinkoca What if you get your YOQSA OIZLE?</v>
      </c>
    </row>
    <row r="17069" spans="1:5" ht="15" customHeight="1" x14ac:dyDescent="0.2">
      <c r="A17069" s="1" t="s">
        <v>33619</v>
      </c>
      <c r="B17069" s="1">
        <v>0</v>
      </c>
      <c r="C17069" s="3">
        <v>44519.986296296294</v>
      </c>
      <c r="D17069" s="1" t="s">
        <v>33620</v>
      </c>
      <c r="E17069" s="1" t="str">
        <f ca="1">IFERROR(__xludf.DUMMYFUNCTION("GOOGLETRANSLATE(A13868 , ""tr"" , ""en"")"),"@drfahrettinkoca is still luver looking at Lady, Full Mazhar Osmanlik, these folks are not stupid, baccarat in your eyes ... https://t.co/2jtig5rj5t")</f>
        <v>@drfahrettinkoca is still luver looking at Lady, Full Mazhar Osmanlik, these folks are not stupid, baccarat in your eyes ... https://t.co/2jtig5rj5t</v>
      </c>
    </row>
    <row r="17070" spans="1:5" ht="15" customHeight="1" x14ac:dyDescent="0.2">
      <c r="A17070" s="1" t="s">
        <v>33621</v>
      </c>
      <c r="B17070" s="1">
        <v>0</v>
      </c>
      <c r="C17070" s="3">
        <v>44519.98133101852</v>
      </c>
      <c r="D17070" s="1" t="s">
        <v>33622</v>
      </c>
      <c r="E17070" s="1" t="str">
        <f ca="1">IFERROR(__xludf.DUMMYFUNCTION("GOOGLETRANSLATE(A13869 , ""tr"" , ""en"")"),"@drfahrettinkoca 🙄 https://t.co/0h2zx51ju7")</f>
        <v>@drfahrettinkoca 🙄 https://t.co/0h2zx51ju7</v>
      </c>
    </row>
    <row r="17071" spans="1:5" ht="15" customHeight="1" x14ac:dyDescent="0.2">
      <c r="A17071" s="1" t="s">
        <v>33623</v>
      </c>
      <c r="B17071" s="1">
        <v>0</v>
      </c>
      <c r="C17071" s="3">
        <v>44519.972719907404</v>
      </c>
      <c r="D17071" s="1" t="s">
        <v>33624</v>
      </c>
      <c r="E17071" s="1" t="str">
        <f ca="1">IFERROR(__xludf.DUMMYFUNCTION("GOOGLETRANSLATE(A13870 , ""tr"" , ""en"")"),"@drfahrettinka found the answer at the end at the end of 121 cm under 125 cm.")</f>
        <v>@drfahrettinka found the answer at the end at the end of 121 cm under 125 cm.</v>
      </c>
    </row>
    <row r="17072" spans="1:5" ht="15" customHeight="1" x14ac:dyDescent="0.2">
      <c r="A17072" s="1" t="s">
        <v>33625</v>
      </c>
      <c r="B17072" s="1">
        <v>0</v>
      </c>
      <c r="C17072" s="3">
        <v>44519.958090277774</v>
      </c>
      <c r="D17072" s="1" t="s">
        <v>33626</v>
      </c>
      <c r="E17072" s="1" t="str">
        <f ca="1">IFERROR(__xludf.DUMMYFUNCTION("GOOGLETRANSLATE(A13871 , ""tr"" , ""en"")"),"@drfahrettinkoca is a de..🙄")</f>
        <v>@drfahrettinkoca is a de..🙄</v>
      </c>
    </row>
    <row r="17073" spans="1:5" ht="15" customHeight="1" x14ac:dyDescent="0.2">
      <c r="A17073" s="1" t="s">
        <v>33627</v>
      </c>
      <c r="B17073" s="1">
        <v>68</v>
      </c>
      <c r="C17073" s="3">
        <v>44519.952476851853</v>
      </c>
      <c r="D17073" s="1" t="s">
        <v>33628</v>
      </c>
      <c r="E17073" s="1" t="str">
        <f ca="1">IFERROR(__xludf.DUMMYFUNCTION("GOOGLETRANSLATE(A13872 , ""tr"" , ""en"")"),"@drfahrettinkoca how many hamds are thankful to the Lord of the realms who reported people to human beings. ... https://t.co/dslwqlnkgr")</f>
        <v>@drfahrettinkoca how many hamds are thankful to the Lord of the realms who reported people to human beings. ... https://t.co/dslwqlnkgr</v>
      </c>
    </row>
    <row r="17074" spans="1:5" ht="15" customHeight="1" x14ac:dyDescent="0.2">
      <c r="A17074" s="1" t="s">
        <v>33629</v>
      </c>
      <c r="B17074" s="1">
        <v>0</v>
      </c>
      <c r="C17074" s="3">
        <v>44519.952048611114</v>
      </c>
      <c r="D17074" s="1" t="s">
        <v>33630</v>
      </c>
      <c r="E17074" s="1" t="str">
        <f ca="1">IFERROR(__xludf.DUMMYFUNCTION("GOOGLETRANSLATE(A13873 , ""tr"" , ""en"")"),"@drfahrettinkoca a person puts herself from drug barons or other bush to get it in this ridiculous situation ... https://t.co/e0oqgI3ywu")</f>
        <v>@drfahrettinkoca a person puts herself from drug barons or other bush to get it in this ridiculous situation ... https://t.co/e0oqgI3ywu</v>
      </c>
    </row>
    <row r="17075" spans="1:5" ht="15" customHeight="1" x14ac:dyDescent="0.2">
      <c r="A17075" s="1" t="s">
        <v>33631</v>
      </c>
      <c r="B17075" s="1">
        <v>1</v>
      </c>
      <c r="C17075" s="3">
        <v>44519.951192129629</v>
      </c>
      <c r="D17075" s="1" t="s">
        <v>33632</v>
      </c>
      <c r="E17075" s="1" t="str">
        <f ca="1">IFERROR(__xludf.DUMMYFUNCTION("GOOGLETRANSLATE(A13874 , ""tr"" , ""en"")"),"@drfahrettinkoca Eyvah Eyvah We will not be able to go to bed with Halalal so that ... 😁😁😁")</f>
        <v>@drfahrettinkoca Eyvah Eyvah We will not be able to go to bed with Halalal so that ... 😁😁😁</v>
      </c>
    </row>
    <row r="17076" spans="1:5" ht="15" customHeight="1" x14ac:dyDescent="0.2">
      <c r="A17076" s="1" t="s">
        <v>33633</v>
      </c>
      <c r="B17076" s="1">
        <v>0</v>
      </c>
      <c r="C17076" s="3">
        <v>44519.949675925927</v>
      </c>
      <c r="D17076" s="1" t="s">
        <v>33634</v>
      </c>
      <c r="E17076" s="1" t="str">
        <f ca="1">IFERROR(__xludf.DUMMYFUNCTION("GOOGLETRANSLATE(A13875 , ""tr"" , ""en"")"),"@drfahrettinkoca yahu bi susun leave fear pumping.")</f>
        <v>@drfahrettinkoca yahu bi susun leave fear pumping.</v>
      </c>
    </row>
    <row r="17077" spans="1:5" ht="15" customHeight="1" x14ac:dyDescent="0.2">
      <c r="A17077" s="1" t="s">
        <v>33635</v>
      </c>
      <c r="B17077" s="1">
        <v>0</v>
      </c>
      <c r="C17077" s="3">
        <v>44519.947071759256</v>
      </c>
      <c r="D17077" s="1" t="s">
        <v>33636</v>
      </c>
      <c r="E17077" s="1" t="str">
        <f ca="1">IFERROR(__xludf.DUMMYFUNCTION("GOOGLETRANSLATE(A13876 , ""tr"" , ""en"")"),"@drfahrettinkoca Economy Virus, Covit-19 has forgotten the vura .. 😂")</f>
        <v>@drfahrettinkoca Economy Virus, Covit-19 has forgotten the vura .. 😂</v>
      </c>
    </row>
    <row r="17078" spans="1:5" ht="15" customHeight="1" x14ac:dyDescent="0.2">
      <c r="A17078" s="1" t="s">
        <v>33637</v>
      </c>
      <c r="B17078" s="1">
        <v>0</v>
      </c>
      <c r="C17078" s="3">
        <v>44519.945277777777</v>
      </c>
      <c r="D17078" s="1" t="s">
        <v>33638</v>
      </c>
      <c r="E17078" s="1" t="str">
        <f ca="1">IFERROR(__xludf.DUMMYFUNCTION("GOOGLETRANSLATE(A13877 , ""tr"" , ""en"")"),"@drfahrettinkoca Ministry My 2 pencils If you have a bi hand on the salaries, if you get the face of health personnel laugh ...")</f>
        <v>@drfahrettinkoca Ministry My 2 pencils If you have a bi hand on the salaries, if you get the face of health personnel laugh ...</v>
      </c>
    </row>
    <row r="17079" spans="1:5" ht="15" customHeight="1" x14ac:dyDescent="0.2">
      <c r="A17079" s="1" t="s">
        <v>33639</v>
      </c>
      <c r="B17079" s="1">
        <v>0</v>
      </c>
      <c r="C17079" s="3">
        <v>44519.942754629628</v>
      </c>
      <c r="D17079" s="1" t="s">
        <v>33640</v>
      </c>
      <c r="E17079" s="1" t="str">
        <f ca="1">IFERROR(__xludf.DUMMYFUNCTION("GOOGLETRANSLATE(A13878 , ""tr"" , ""en"")"),"@drfahrettinkoca has increased myself my confidence.")</f>
        <v>@drfahrettinkoca has increased myself my confidence.</v>
      </c>
    </row>
    <row r="17080" spans="1:5" ht="15" customHeight="1" x14ac:dyDescent="0.2">
      <c r="A17080" s="1" t="s">
        <v>33641</v>
      </c>
      <c r="B17080" s="1">
        <v>6</v>
      </c>
      <c r="C17080" s="3">
        <v>44519.942546296297</v>
      </c>
      <c r="D17080" s="1" t="s">
        <v>33642</v>
      </c>
      <c r="E17080" s="1" t="str">
        <f ca="1">IFERROR(__xludf.DUMMYFUNCTION("GOOGLETRANSLATE(A13879 , ""tr"" , ""en"")"),"@drfahrettinkoca mind keeping no place I have never put on how you have logic tell")</f>
        <v>@drfahrettinkoca mind keeping no place I have never put on how you have logic tell</v>
      </c>
    </row>
    <row r="17081" spans="1:5" ht="15" customHeight="1" x14ac:dyDescent="0.2">
      <c r="A17081" s="1" t="s">
        <v>33643</v>
      </c>
      <c r="B17081" s="1">
        <v>0</v>
      </c>
      <c r="C17081" s="3">
        <v>44519.941493055558</v>
      </c>
      <c r="D17081" s="1" t="s">
        <v>33644</v>
      </c>
      <c r="E17081" s="1" t="str">
        <f ca="1">IFERROR(__xludf.DUMMYFUNCTION("GOOGLETRANSLATE(A13880 , ""tr"" , ""en"")"),"@drfahrettinka https://t.co/usxs3aqepd")</f>
        <v>@drfahrettinka https://t.co/usxs3aqepd</v>
      </c>
    </row>
    <row r="17082" spans="1:5" ht="15" customHeight="1" x14ac:dyDescent="0.2">
      <c r="A17082" s="1" t="s">
        <v>33645</v>
      </c>
      <c r="B17082" s="1">
        <v>0</v>
      </c>
      <c r="C17082" s="3">
        <v>44519.938425925924</v>
      </c>
      <c r="D17082" s="1" t="s">
        <v>33646</v>
      </c>
      <c r="E17082" s="1" t="str">
        <f ca="1">IFERROR(__xludf.DUMMYFUNCTION("GOOGLETRANSLATE(A13881 , ""tr"" , ""en"")"),"@drfahrettinkoca Basa Basa You know how to get the passengers in public transport but")</f>
        <v>@drfahrettinkoca Basa Basa You know how to get the passengers in public transport but</v>
      </c>
    </row>
    <row r="17083" spans="1:5" ht="15" customHeight="1" x14ac:dyDescent="0.2">
      <c r="A17083" s="1" t="s">
        <v>33647</v>
      </c>
      <c r="B17083" s="1">
        <v>0</v>
      </c>
      <c r="C17083" s="3">
        <v>44519.935671296298</v>
      </c>
      <c r="D17083" s="1" t="s">
        <v>33648</v>
      </c>
      <c r="E17083" s="1" t="str">
        <f ca="1">IFERROR(__xludf.DUMMYFUNCTION("GOOGLETRANSLATE(A13882 , ""tr"" , ""en"")"),"@drfahrettinkoca Your mouth in your mouths that protect you from nothing in your vessels, while in your among them is in distance ... https://t.co/bcwvgggf5tm")</f>
        <v>@drfahrettinkoca Your mouth in your mouths that protect you from nothing in your vessels, while in your among them is in distance ... https://t.co/bcwvgggf5tm</v>
      </c>
    </row>
    <row r="17084" spans="1:5" ht="15" customHeight="1" x14ac:dyDescent="0.2">
      <c r="A17084" s="1" t="s">
        <v>33649</v>
      </c>
      <c r="B17084" s="1">
        <v>0</v>
      </c>
      <c r="C17084" s="3">
        <v>44519.934027777781</v>
      </c>
      <c r="D17084" s="1" t="s">
        <v>33650</v>
      </c>
      <c r="E17084" s="1" t="str">
        <f ca="1">IFERROR(__xludf.DUMMYFUNCTION("GOOGLETRANSLATE(A13883 , ""tr"" , ""en"")"),"@drfahrettinkoca Your choice of puppet you choose with you and you are mingling it, you are gesturing ... https://t.co/no7km88gde")</f>
        <v>@drfahrettinkoca Your choice of puppet you choose with you and you are mingling it, you are gesturing ... https://t.co/no7km88gde</v>
      </c>
    </row>
    <row r="17085" spans="1:5" ht="15" customHeight="1" x14ac:dyDescent="0.2">
      <c r="A17085" s="1" t="s">
        <v>33651</v>
      </c>
      <c r="B17085" s="1">
        <v>64</v>
      </c>
      <c r="C17085" s="3">
        <v>44519.933530092596</v>
      </c>
      <c r="D17085" s="1" t="s">
        <v>33652</v>
      </c>
      <c r="E17085" s="1" t="str">
        <f ca="1">IFERROR(__xludf.DUMMYFUNCTION("GOOGLETRANSLATE(A13884 , ""tr"" , ""en"")"),"@drfahrettinkoca yuhh I saw this insta fake account scored sprouted sprouted Maytap I thought I had crossed Nonkkk no more 😀😀😀😀😀😀")</f>
        <v>@drfahrettinkoca yuhh I saw this insta fake account scored sprouted sprouted Maytap I thought I had crossed Nonkkk no more 😀😀😀😀😀😀</v>
      </c>
    </row>
    <row r="17086" spans="1:5" ht="15" customHeight="1" x14ac:dyDescent="0.2">
      <c r="A17086" s="1" t="s">
        <v>33653</v>
      </c>
      <c r="B17086" s="1">
        <v>25</v>
      </c>
      <c r="C17086" s="3">
        <v>44519.929166666669</v>
      </c>
      <c r="D17086" s="1" t="s">
        <v>33654</v>
      </c>
      <c r="E17086" s="1" t="str">
        <f ca="1">IFERROR(__xludf.DUMMYFUNCTION("GOOGLETRANSLATE(A13885 , ""tr"" , ""en"")"),"@drfahrettinkoca This day again we are up to others.")</f>
        <v>@drfahrettinkoca This day again we are up to others.</v>
      </c>
    </row>
    <row r="17087" spans="1:5" ht="15" customHeight="1" x14ac:dyDescent="0.2">
      <c r="A17087" s="1" t="s">
        <v>33655</v>
      </c>
      <c r="B17087" s="1">
        <v>0</v>
      </c>
      <c r="C17087" s="3">
        <v>44519.926168981481</v>
      </c>
      <c r="D17087" s="1" t="s">
        <v>33656</v>
      </c>
      <c r="E17087" s="1" t="str">
        <f ca="1">IFERROR(__xludf.DUMMYFUNCTION("GOOGLETRANSLATE(A13886 , ""tr"" , ""en"")"),"@drfahrettinkoca virus is not exceeding 150 centers such as servo engine. Very sensitive.😀")</f>
        <v>@drfahrettinkoca virus is not exceeding 150 centers such as servo engine. Very sensitive.😀</v>
      </c>
    </row>
    <row r="17088" spans="1:5" ht="15" customHeight="1" x14ac:dyDescent="0.2">
      <c r="A17088" s="1" t="s">
        <v>33657</v>
      </c>
      <c r="B17088" s="1">
        <v>0</v>
      </c>
      <c r="C17088" s="3">
        <v>44519.92119212963</v>
      </c>
      <c r="D17088" s="1" t="s">
        <v>33658</v>
      </c>
      <c r="E17088" s="1" t="str">
        <f ca="1">IFERROR(__xludf.DUMMYFUNCTION("GOOGLETRANSLATE(A13887 , ""tr"" , ""en"")"),"@drfahrettinkoca Health Minister is not the mood you know")</f>
        <v>@drfahrettinkoca Health Minister is not the mood you know</v>
      </c>
    </row>
    <row r="17089" spans="1:5" ht="15" customHeight="1" x14ac:dyDescent="0.2">
      <c r="A17089" s="1" t="s">
        <v>33659</v>
      </c>
      <c r="B17089" s="1">
        <v>20</v>
      </c>
      <c r="C17089" s="3">
        <v>44519.917754629627</v>
      </c>
      <c r="D17089" s="1" t="s">
        <v>33660</v>
      </c>
      <c r="E17089" s="1" t="str">
        <f ca="1">IFERROR(__xludf.DUMMYFUNCTION("GOOGLETRANSLATE(A13888 , ""tr"" , ""en"")"),"@drfahrettinkoca Should we drive with that? https://t.co/vf6zf8m7s3")</f>
        <v>@drfahrettinkoca Should we drive with that? https://t.co/vf6zf8m7s3</v>
      </c>
    </row>
    <row r="17090" spans="1:5" ht="15" customHeight="1" x14ac:dyDescent="0.2">
      <c r="A17090" s="1" t="s">
        <v>33661</v>
      </c>
      <c r="B17090" s="1">
        <v>0</v>
      </c>
      <c r="C17090" s="3">
        <v>44519.916365740741</v>
      </c>
      <c r="D17090" s="1" t="s">
        <v>33662</v>
      </c>
      <c r="E17090" s="1" t="str">
        <f ca="1">IFERROR(__xludf.DUMMYFUNCTION("GOOGLETRANSLATE(A13889 , ""tr"" , ""en"")"),"@drfahrettinka last point in science 😀😀")</f>
        <v>@drfahrettinka last point in science 😀😀</v>
      </c>
    </row>
    <row r="17091" spans="1:5" ht="15" customHeight="1" x14ac:dyDescent="0.2">
      <c r="A17091" s="1" t="s">
        <v>33663</v>
      </c>
      <c r="B17091" s="1">
        <v>0</v>
      </c>
      <c r="C17091" s="3">
        <v>44519.913969907408</v>
      </c>
      <c r="D17091" s="1" t="s">
        <v>33664</v>
      </c>
      <c r="E17091" s="1" t="str">
        <f ca="1">IFERROR(__xludf.DUMMYFUNCTION("GOOGLETRANSLATE(A13890 , ""tr"" , ""en"")"),"@drfahrettinkoca goats Come to count to count the Ministry of Ministry I think you have already escaped your opinion")</f>
        <v>@drfahrettinkoca goats Come to count to count the Ministry of Ministry I think you have already escaped your opinion</v>
      </c>
    </row>
    <row r="17092" spans="1:5" ht="15" customHeight="1" x14ac:dyDescent="0.2">
      <c r="A17092" s="1" t="s">
        <v>33665</v>
      </c>
      <c r="B17092" s="1">
        <v>0</v>
      </c>
      <c r="C17092" s="3">
        <v>44519.913946759261</v>
      </c>
      <c r="D17092" s="1" t="s">
        <v>33666</v>
      </c>
      <c r="E17092" s="1" t="str">
        <f ca="1">IFERROR(__xludf.DUMMYFUNCTION("GOOGLETRANSLATE(A13891 , ""tr"" , ""en"")"),"@drfahrettinkoca eror !!!!!!")</f>
        <v>@drfahrettinkoca eror !!!!!!</v>
      </c>
    </row>
    <row r="17093" spans="1:5" ht="15" customHeight="1" x14ac:dyDescent="0.2">
      <c r="A17093" s="1" t="s">
        <v>33667</v>
      </c>
      <c r="B17093" s="1">
        <v>1</v>
      </c>
      <c r="C17093" s="3">
        <v>44519.912777777776</v>
      </c>
      <c r="D17093" s="1" t="s">
        <v>33668</v>
      </c>
      <c r="E17093" s="1" t="str">
        <f ca="1">IFERROR(__xludf.DUMMYFUNCTION("GOOGLETRANSLATE(A13892 , ""tr"" , ""en"")"),"@drfahrettinkoca What crazy scattering is a Tiwit Yaa dream fuel I get to you from my neighbor I get to Corana ... https://t.co/cdfbenyvj9")</f>
        <v>@drfahrettinkoca What crazy scattering is a Tiwit Yaa dream fuel I get to you from my neighbor I get to Corana ... https://t.co/cdfbenyvj9</v>
      </c>
    </row>
    <row r="17094" spans="1:5" ht="15" customHeight="1" x14ac:dyDescent="0.2">
      <c r="A17094" s="1" t="s">
        <v>33669</v>
      </c>
      <c r="B17094" s="1">
        <v>17</v>
      </c>
      <c r="C17094" s="3">
        <v>44519.909456018519</v>
      </c>
      <c r="D17094" s="1" t="s">
        <v>33670</v>
      </c>
      <c r="E17094" s="1" t="str">
        <f ca="1">IFERROR(__xludf.DUMMYFUNCTION("GOOGLETRANSLATE(A13893 , ""tr"" , ""en"")"),"@drfahrettinkoca TVs When arrays on top of the lower Alta Subway in a row There are the authority tool in citizens ZA ... https://t.co/7m6huxI2rp")</f>
        <v>@drfahrettinkoca TVs When arrays on top of the lower Alta Subway in a row There are the authority tool in citizens ZA ... https://t.co/7m6huxI2rp</v>
      </c>
    </row>
    <row r="17095" spans="1:5" ht="15" customHeight="1" x14ac:dyDescent="0.2">
      <c r="A17095" s="1" t="s">
        <v>33671</v>
      </c>
      <c r="B17095" s="1">
        <v>1</v>
      </c>
      <c r="C17095" s="3">
        <v>44519.908009259256</v>
      </c>
      <c r="D17095" s="1" t="s">
        <v>33672</v>
      </c>
      <c r="E17095" s="1" t="str">
        <f ca="1">IFERROR(__xludf.DUMMYFUNCTION("GOOGLETRANSLATE(A13894 , ""tr"" , ""en"")"),"@drfahrettinkoca Joke Is this Tweet ??")</f>
        <v>@drfahrettinkoca Joke Is this Tweet ??</v>
      </c>
    </row>
    <row r="17096" spans="1:5" ht="15" customHeight="1" x14ac:dyDescent="0.2">
      <c r="A17096" s="1" t="s">
        <v>33673</v>
      </c>
      <c r="B17096" s="1">
        <v>0</v>
      </c>
      <c r="C17096" s="3">
        <v>44519.905497685184</v>
      </c>
      <c r="D17096" s="1" t="s">
        <v>33674</v>
      </c>
      <c r="E17096" s="1" t="str">
        <f ca="1">IFERROR(__xludf.DUMMYFUNCTION("GOOGLETRANSLATE(A13895 , ""tr"" , ""en"")"),"@drfahrettinkoca is a full reading of me")</f>
        <v>@drfahrettinkoca is a full reading of me</v>
      </c>
    </row>
    <row r="17097" spans="1:5" ht="15" customHeight="1" x14ac:dyDescent="0.2">
      <c r="A17097" s="1" t="s">
        <v>33675</v>
      </c>
      <c r="B17097" s="1">
        <v>10</v>
      </c>
      <c r="C17097" s="3">
        <v>44519.904710648145</v>
      </c>
      <c r="D17097" s="1" t="s">
        <v>33676</v>
      </c>
      <c r="E17097" s="1" t="str">
        <f ca="1">IFERROR(__xludf.DUMMYFUNCTION("GOOGLETRANSLATE(A13896 , ""tr"" , ""en"")"),"@drfahrettinka Do this personate the opposite of the lesson. They have been treated to the nation for two years. My breast is always having fun with us.")</f>
        <v>@drfahrettinka Do this personate the opposite of the lesson. They have been treated to the nation for two years. My breast is always having fun with us.</v>
      </c>
    </row>
    <row r="17098" spans="1:5" ht="15" customHeight="1" x14ac:dyDescent="0.2">
      <c r="A17098" s="1" t="s">
        <v>33677</v>
      </c>
      <c r="B17098" s="1">
        <v>0</v>
      </c>
      <c r="C17098" s="3">
        <v>44519.900578703702</v>
      </c>
      <c r="D17098" s="1" t="s">
        <v>33678</v>
      </c>
      <c r="E17098" s="1" t="str">
        <f ca="1">IFERROR(__xludf.DUMMYFUNCTION("GOOGLETRANSLATE(A13897 , ""tr"" , ""en"")"),"@drfahrettinkoca tm")</f>
        <v>@drfahrettinkoca tm</v>
      </c>
    </row>
    <row r="17099" spans="1:5" ht="15" customHeight="1" x14ac:dyDescent="0.2">
      <c r="A17099" s="1" t="s">
        <v>33679</v>
      </c>
      <c r="B17099" s="1">
        <v>0</v>
      </c>
      <c r="C17099" s="3">
        <v>44519.899814814817</v>
      </c>
      <c r="D17099" s="1" t="s">
        <v>33680</v>
      </c>
      <c r="E17099" s="1" t="str">
        <f ca="1">IFERROR(__xludf.DUMMYFUNCTION("GOOGLETRANSLATE(A13898 , ""tr"" , ""en"")"),"@drfahrettinkoca This is not a normal Tweet should be investigated")</f>
        <v>@drfahrettinkoca This is not a normal Tweet should be investigated</v>
      </c>
    </row>
    <row r="17100" spans="1:5" ht="15" customHeight="1" x14ac:dyDescent="0.2">
      <c r="A17100" s="1" t="s">
        <v>33681</v>
      </c>
      <c r="B17100" s="1">
        <v>0</v>
      </c>
      <c r="C17100" s="3">
        <v>44519.899791666663</v>
      </c>
      <c r="D17100" s="1" t="s">
        <v>33682</v>
      </c>
      <c r="E17100" s="1" t="str">
        <f ca="1">IFERROR(__xludf.DUMMYFUNCTION("GOOGLETRANSLATE(A13899 , ""tr"" , ""en"")"),"@drfahrettinkoca comedy shop ...")</f>
        <v>@drfahrettinkoca comedy shop ...</v>
      </c>
    </row>
    <row r="17101" spans="1:5" ht="15" customHeight="1" x14ac:dyDescent="0.2">
      <c r="A17101" s="1" t="s">
        <v>33683</v>
      </c>
      <c r="B17101" s="1">
        <v>0</v>
      </c>
      <c r="C17101" s="3">
        <v>44519.899745370371</v>
      </c>
      <c r="D17101" s="1" t="s">
        <v>33684</v>
      </c>
      <c r="E17101" s="1" t="str">
        <f ca="1">IFERROR(__xludf.DUMMYFUNCTION("GOOGLETRANSLATE(A13900 , ""tr"" , ""en"")"),"@drfahrettinkoca Get your social distance Go Apply in parties you attend the masked fahrettin husband")</f>
        <v>@drfahrettinkoca Get your social distance Go Apply in parties you attend the masked fahrettin husband</v>
      </c>
    </row>
    <row r="17102" spans="1:5" ht="15" customHeight="1" x14ac:dyDescent="0.2">
      <c r="A17102" s="1" t="s">
        <v>33685</v>
      </c>
      <c r="B17102" s="1">
        <v>0</v>
      </c>
      <c r="C17102" s="3">
        <v>44519.899328703701</v>
      </c>
      <c r="D17102" s="1" t="s">
        <v>33686</v>
      </c>
      <c r="E17102" s="1" t="str">
        <f ca="1">IFERROR(__xludf.DUMMYFUNCTION("GOOGLETRANSLATE(A13901 , ""tr"" , ""en"")"),"@drfahrettinkoca 🤣This what ya 😂")</f>
        <v>@drfahrettinkoca 🤣This what ya 😂</v>
      </c>
    </row>
    <row r="17103" spans="1:5" ht="15" customHeight="1" x14ac:dyDescent="0.2">
      <c r="A17103" s="1" t="s">
        <v>33687</v>
      </c>
      <c r="B17103" s="1">
        <v>0</v>
      </c>
      <c r="C17103" s="3">
        <v>44519.896678240744</v>
      </c>
      <c r="D17103" s="1" t="s">
        <v>33688</v>
      </c>
      <c r="E17103" s="1" t="str">
        <f ca="1">IFERROR(__xludf.DUMMYFUNCTION("GOOGLETRANSLATE(A13902 , ""tr"" , ""en"")"),"@drfahrettinkoca I love Ebili, I love the Sümeri, I honored. Good that they brought you to the world.")</f>
        <v>@drfahrettinkoca I love Ebili, I love the Sümeri, I honored. Good that they brought you to the world.</v>
      </c>
    </row>
    <row r="17104" spans="1:5" ht="15" customHeight="1" x14ac:dyDescent="0.2">
      <c r="A17104" s="1" t="s">
        <v>33689</v>
      </c>
      <c r="B17104" s="1">
        <v>0</v>
      </c>
      <c r="C17104" s="3">
        <v>44519.896238425928</v>
      </c>
      <c r="D17104" s="1" t="s">
        <v>33690</v>
      </c>
      <c r="E17104" s="1" t="str">
        <f ca="1">IFERROR(__xludf.DUMMYFUNCTION("GOOGLETRANSLATE(A13903 , ""tr"" , ""en"")"),"@drfahrettinkoca This nation has been like a cookware cover overlooking this nation.")</f>
        <v>@drfahrettinkoca This nation has been like a cookware cover overlooking this nation.</v>
      </c>
    </row>
    <row r="17105" spans="1:5" ht="15" customHeight="1" x14ac:dyDescent="0.2">
      <c r="A17105" s="1" t="s">
        <v>33691</v>
      </c>
      <c r="B17105" s="1">
        <v>0</v>
      </c>
      <c r="C17105" s="3">
        <v>44519.89571759259</v>
      </c>
      <c r="D17105" s="1" t="s">
        <v>33692</v>
      </c>
      <c r="E17105" s="1" t="str">
        <f ca="1">IFERROR(__xludf.DUMMYFUNCTION("GOOGLETRANSLATE(A13904 , ""tr"" , ""en"")"),"@drfahrettinkoca Joke Is this sharing")</f>
        <v>@drfahrettinkoca Joke Is this sharing</v>
      </c>
    </row>
    <row r="17106" spans="1:5" ht="15" customHeight="1" x14ac:dyDescent="0.2">
      <c r="A17106" s="1" t="s">
        <v>33693</v>
      </c>
      <c r="B17106" s="1">
        <v>0</v>
      </c>
      <c r="C17106" s="3">
        <v>44519.895219907405</v>
      </c>
      <c r="D17106" s="1" t="s">
        <v>33694</v>
      </c>
      <c r="E17106" s="1" t="str">
        <f ca="1">IFERROR(__xludf.DUMMYFUNCTION("GOOGLETRANSLATE(A13905 , ""tr"" , ""en"")"),"@drfahrettinkoca My free time is too much Ben☝🏼")</f>
        <v>@drfahrettinkoca My free time is too much Ben☝🏼</v>
      </c>
    </row>
    <row r="17107" spans="1:5" ht="15" customHeight="1" x14ac:dyDescent="0.2">
      <c r="A17107" s="1" t="s">
        <v>33695</v>
      </c>
      <c r="B17107" s="1">
        <v>0</v>
      </c>
      <c r="C17107" s="3">
        <v>44519.894733796296</v>
      </c>
      <c r="D17107" s="1" t="s">
        <v>33696</v>
      </c>
      <c r="E17107" s="1" t="str">
        <f ca="1">IFERROR(__xludf.DUMMYFUNCTION("GOOGLETRANSLATE(A13906 , ""tr"" , ""en"")"),"@drfahrettinkoca trollum this joke ??")</f>
        <v>@drfahrettinkoca trollum this joke ??</v>
      </c>
    </row>
    <row r="17108" spans="1:5" ht="15" customHeight="1" x14ac:dyDescent="0.2">
      <c r="A17108" s="1" t="s">
        <v>33697</v>
      </c>
      <c r="B17108" s="1">
        <v>0</v>
      </c>
      <c r="C17108" s="3">
        <v>44519.894444444442</v>
      </c>
      <c r="D17108" s="1" t="s">
        <v>33698</v>
      </c>
      <c r="E17108" s="1" t="str">
        <f ca="1">IFERROR(__xludf.DUMMYFUNCTION("GOOGLETRANSLATE(A13907 , ""tr"" , ""en"")"),"@drfahrettinkoca This is what either you are piercing you God Alehil İhsan Elee")</f>
        <v>@drfahrettinkoca This is what either you are piercing you God Alehil İhsan Elee</v>
      </c>
    </row>
    <row r="17109" spans="1:5" ht="15" customHeight="1" x14ac:dyDescent="0.2">
      <c r="A17109" s="1" t="s">
        <v>33699</v>
      </c>
      <c r="B17109" s="1">
        <v>34</v>
      </c>
      <c r="C17109" s="3">
        <v>44519.894212962965</v>
      </c>
      <c r="D17109" s="1" t="s">
        <v>33700</v>
      </c>
      <c r="E17109" s="1" t="str">
        <f ca="1">IFERROR(__xludf.DUMMYFUNCTION("GOOGLETRANSLATE(A13908 , ""tr"" , ""en"")"),"@drfahrettinkoca Fahrettin Bey Are you good? I wonder if you say, if you appear to a specialist? Please don't bother, everyone's zama ... https://t.co/3yxgbgjgl5")</f>
        <v>@drfahrettinkoca Fahrettin Bey Are you good? I wonder if you say, if you appear to a specialist? Please don't bother, everyone's zama ... https://t.co/3yxgbgjgl5</v>
      </c>
    </row>
    <row r="17110" spans="1:5" ht="15" customHeight="1" x14ac:dyDescent="0.2">
      <c r="A17110" s="1" t="s">
        <v>33701</v>
      </c>
      <c r="B17110" s="1">
        <v>0</v>
      </c>
      <c r="C17110" s="3">
        <v>44519.893240740741</v>
      </c>
      <c r="D17110" s="1" t="s">
        <v>33702</v>
      </c>
      <c r="E17110" s="1" t="str">
        <f ca="1">IFERROR(__xludf.DUMMYFUNCTION("GOOGLETRANSLATE(A13909 , ""tr"" , ""en"")"),"@drfahrettinkoca or bi get the go to the go nightmare you hate you")</f>
        <v>@drfahrettinkoca or bi get the go to the go nightmare you hate you</v>
      </c>
    </row>
    <row r="17111" spans="1:5" ht="15" customHeight="1" x14ac:dyDescent="0.2">
      <c r="A17111" s="1" t="s">
        <v>33703</v>
      </c>
      <c r="B17111" s="1">
        <v>1</v>
      </c>
      <c r="C17111" s="3">
        <v>44519.892766203702</v>
      </c>
      <c r="D17111" s="1" t="s">
        <v>33704</v>
      </c>
      <c r="E17111" s="1" t="str">
        <f ca="1">IFERROR(__xludf.DUMMYFUNCTION("GOOGLETRANSLATE(A13910 , ""tr"" , ""en"")"),"@drfahrettinka https://t.co/sffwf6mexn")</f>
        <v>@drfahrettinka https://t.co/sffwf6mexn</v>
      </c>
    </row>
    <row r="17112" spans="1:5" ht="15" customHeight="1" x14ac:dyDescent="0.2">
      <c r="A17112" s="1" t="s">
        <v>33705</v>
      </c>
      <c r="B17112" s="1">
        <v>0</v>
      </c>
      <c r="C17112" s="3">
        <v>44520.957858796297</v>
      </c>
      <c r="D17112" s="1" t="s">
        <v>33706</v>
      </c>
      <c r="E17112" s="1" t="str">
        <f ca="1">IFERROR(__xludf.DUMMYFUNCTION("GOOGLETRANSLATE(A13911 , ""tr"" , ""en"")"),"@drfahrettinkoca Dear Minister @drfahrettinkoca. As if you have visited your Bakırköy. This Zi without delay ... https://t.co/ad17aj3q8u")</f>
        <v>@drfahrettinkoca Dear Minister @drfahrettinkoca. As if you have visited your Bakırköy. This Zi without delay ... https://t.co/ad17aj3q8u</v>
      </c>
    </row>
    <row r="17113" spans="1:5" ht="15" customHeight="1" x14ac:dyDescent="0.2">
      <c r="A17113" s="1" t="s">
        <v>33707</v>
      </c>
      <c r="B17113" s="1">
        <v>0</v>
      </c>
      <c r="C17113" s="3">
        <v>44520.923634259256</v>
      </c>
      <c r="D17113" s="1" t="s">
        <v>33708</v>
      </c>
      <c r="E17113" s="1" t="str">
        <f ca="1">IFERROR(__xludf.DUMMYFUNCTION("GOOGLETRANSLATE(A13912 , ""tr"" , ""en"")"),"@drfahrettinkoca Leave these blank dimensions Mr. Pakan Bey, let's talk to the place of 200cm of the place")</f>
        <v>@drfahrettinkoca Leave these blank dimensions Mr. Pakan Bey, let's talk to the place of 200cm of the place</v>
      </c>
    </row>
    <row r="17114" spans="1:5" ht="15" customHeight="1" x14ac:dyDescent="0.2">
      <c r="A17114" s="1" t="s">
        <v>33709</v>
      </c>
      <c r="B17114" s="1">
        <v>0</v>
      </c>
      <c r="C17114" s="3">
        <v>44520.918379629627</v>
      </c>
      <c r="D17114" s="1" t="s">
        <v>33710</v>
      </c>
      <c r="E17114" s="1" t="str">
        <f ca="1">IFERROR(__xludf.DUMMYFUNCTION("GOOGLETRANSLATE(A13913 , ""tr"" , ""en"")"),"What happens to @drfahrettinkoca 149.1 cm though? It saves?")</f>
        <v>What happens to @drfahrettinkoca 149.1 cm though? It saves?</v>
      </c>
    </row>
    <row r="17115" spans="1:5" ht="15" customHeight="1" x14ac:dyDescent="0.2">
      <c r="A17115" s="1" t="s">
        <v>33711</v>
      </c>
      <c r="B17115" s="1">
        <v>0</v>
      </c>
      <c r="C17115" s="3">
        <v>44520.90730324074</v>
      </c>
      <c r="D17115" s="1" t="s">
        <v>33712</v>
      </c>
      <c r="E17115" s="1" t="str">
        <f ca="1">IFERROR(__xludf.DUMMYFUNCTION("GOOGLETRANSLATE(A13914 , ""tr"" , ""en"")"),"@drfahrettinkoca that's twiti really thumped. I'm saying pes I don't say anything else. You are still playing with people's mind.")</f>
        <v>@drfahrettinkoca that's twiti really thumped. I'm saying pes I don't say anything else. You are still playing with people's mind.</v>
      </c>
    </row>
    <row r="17116" spans="1:5" ht="15" customHeight="1" x14ac:dyDescent="0.2">
      <c r="A17116" s="1" t="s">
        <v>33713</v>
      </c>
      <c r="B17116" s="1">
        <v>0</v>
      </c>
      <c r="C17116" s="3">
        <v>44520.891469907408</v>
      </c>
      <c r="D17116" s="1" t="s">
        <v>33714</v>
      </c>
      <c r="E17116" s="1" t="str">
        <f ca="1">IFERROR(__xludf.DUMMYFUNCTION("GOOGLETRANSLATE(A13915 , ""tr"" , ""en"")"),"@drfahrettinkoca Migdem is finding out of your personal.")</f>
        <v>@drfahrettinkoca Migdem is finding out of your personal.</v>
      </c>
    </row>
    <row r="17117" spans="1:5" ht="15" customHeight="1" x14ac:dyDescent="0.2">
      <c r="A17117" s="1" t="s">
        <v>33715</v>
      </c>
      <c r="B17117" s="1">
        <v>0</v>
      </c>
      <c r="C17117" s="3">
        <v>44520.885914351849</v>
      </c>
      <c r="D17117" s="1" t="s">
        <v>33716</v>
      </c>
      <c r="E17117" s="1" t="str">
        <f ca="1">IFERROR(__xludf.DUMMYFUNCTION("GOOGLETRANSLATE(A13916 , ""tr"" , ""en"")"),"@drfahrettinkoca photo had been shared, fake. I didn't believe I have increased. And now it is also correct that it is right ... https://t.co/penlcleo1n")</f>
        <v>@drfahrettinkoca photo had been shared, fake. I didn't believe I have increased. And now it is also correct that it is right ... https://t.co/penlcleo1n</v>
      </c>
    </row>
    <row r="17118" spans="1:5" ht="15" customHeight="1" x14ac:dyDescent="0.2">
      <c r="A17118" s="1" t="s">
        <v>33717</v>
      </c>
      <c r="B17118" s="1">
        <v>0</v>
      </c>
      <c r="C17118" s="3">
        <v>44520.879236111112</v>
      </c>
      <c r="D17118" s="1" t="s">
        <v>33718</v>
      </c>
      <c r="E17118" s="1" t="str">
        <f ca="1">IFERROR(__xludf.DUMMYFUNCTION("GOOGLETRANSLATE(A13917 , ""tr"" , ""en"")"),"@drfahrettinkoca hocam doesn't matter as well as the distance of distance don't matter?")</f>
        <v>@drfahrettinkoca hocam doesn't matter as well as the distance of distance don't matter?</v>
      </c>
    </row>
    <row r="17119" spans="1:5" ht="15" customHeight="1" x14ac:dyDescent="0.2">
      <c r="A17119" s="1" t="s">
        <v>33719</v>
      </c>
      <c r="B17119" s="1">
        <v>0</v>
      </c>
      <c r="C17119" s="3">
        <v>44520.869189814817</v>
      </c>
      <c r="D17119" s="1" t="s">
        <v>33720</v>
      </c>
      <c r="E17119" s="1" t="str">
        <f ca="1">IFERROR(__xludf.DUMMYFUNCTION("GOOGLETRANSLATE(A13918 , ""tr"" , ""en"")"),"@drfahrettinkoca I seriously take everyone from their self-ignoring self-ignoring themselves to the ignorant ... https://t.co/epgkcc1xx4")</f>
        <v>@drfahrettinkoca I seriously take everyone from their self-ignoring self-ignoring themselves to the ignorant ... https://t.co/epgkcc1xx4</v>
      </c>
    </row>
    <row r="17120" spans="1:5" ht="15" customHeight="1" x14ac:dyDescent="0.2">
      <c r="A17120" s="1" t="s">
        <v>33721</v>
      </c>
      <c r="B17120" s="1">
        <v>0</v>
      </c>
      <c r="C17120" s="3">
        <v>44520.804791666669</v>
      </c>
      <c r="D17120" s="1" t="s">
        <v>33722</v>
      </c>
      <c r="E17120" s="1" t="str">
        <f ca="1">IFERROR(__xludf.DUMMYFUNCTION("GOOGLETRANSLATE(A13919 , ""tr"" , ""en"")"),"@drfahrettinkoca We have a trump on our hand as to be caught. These are the Minister of Fasa Fiso!")</f>
        <v>@drfahrettinkoca We have a trump on our hand as to be caught. These are the Minister of Fasa Fiso!</v>
      </c>
    </row>
    <row r="17121" spans="1:5" ht="15" customHeight="1" x14ac:dyDescent="0.2">
      <c r="A17121" s="1" t="s">
        <v>33723</v>
      </c>
      <c r="B17121" s="1">
        <v>0</v>
      </c>
      <c r="C17121" s="3">
        <v>44520.795775462961</v>
      </c>
      <c r="D17121" s="1" t="s">
        <v>33724</v>
      </c>
      <c r="E17121" s="1" t="str">
        <f ca="1">IFERROR(__xludf.DUMMYFUNCTION("GOOGLETRANSLATE(A13920 , ""tr"" , ""en"")"),"@drfahrettinkoca 90 thousand Personality Concert Edit Distance Search But Mosque Worship 1.5M Social Distance Bay What Disease V ... Https://t.co/r2dqljvujm")</f>
        <v>@drfahrettinkoca 90 thousand Personality Concert Edit Distance Search But Mosque Worship 1.5M Social Distance Bay What Disease V ... Https://t.co/r2dqljvujm</v>
      </c>
    </row>
    <row r="17122" spans="1:5" ht="15" customHeight="1" x14ac:dyDescent="0.2">
      <c r="A17122" s="1" t="s">
        <v>33725</v>
      </c>
      <c r="B17122" s="1">
        <v>4</v>
      </c>
      <c r="C17122" s="3">
        <v>44520.769166666665</v>
      </c>
      <c r="D17122" s="1" t="s">
        <v>33726</v>
      </c>
      <c r="E17122" s="1" t="str">
        <f ca="1">IFERROR(__xludf.DUMMYFUNCTION("GOOGLETRANSLATE(A13921 , ""tr"" , ""en"")"),"@drfahrettinkoca was at the end, mask distance funnel, 1,2,3, Bakırköy passenger, let's stay up, let's get up the Delular Otbus ...")</f>
        <v>@drfahrettinkoca was at the end, mask distance funnel, 1,2,3, Bakırköy passenger, let's stay up, let's get up the Delular Otbus ...</v>
      </c>
    </row>
    <row r="17123" spans="1:5" ht="15" customHeight="1" x14ac:dyDescent="0.2">
      <c r="A17123" s="1" t="s">
        <v>33727</v>
      </c>
      <c r="B17123" s="1">
        <v>2</v>
      </c>
      <c r="C17123" s="3">
        <v>44520.763043981482</v>
      </c>
      <c r="D17123" s="1" t="s">
        <v>33728</v>
      </c>
      <c r="E17123" s="1" t="str">
        <f ca="1">IFERROR(__xludf.DUMMYFUNCTION("GOOGLETRANSLATE(A13922 , ""tr"" , ""en"")"),"@drfahrettinkoca DAY, you finish us with my swore")</f>
        <v>@drfahrettinkoca DAY, you finish us with my swore</v>
      </c>
    </row>
    <row r="17124" spans="1:5" ht="15" customHeight="1" x14ac:dyDescent="0.2">
      <c r="A17124" s="1" t="s">
        <v>33729</v>
      </c>
      <c r="B17124" s="1">
        <v>0</v>
      </c>
      <c r="C17124" s="3">
        <v>44520.733854166669</v>
      </c>
      <c r="D17124" s="1" t="s">
        <v>33730</v>
      </c>
      <c r="E17124" s="1" t="str">
        <f ca="1">IFERROR(__xludf.DUMMYFUNCTION("GOOGLETRANSLATE(A13923 , ""tr"" , ""en"")"),"@drfahrettinka Mr. Minister, """" Let's compress the ranks ""in the mosques, what did you give your instruction? When the distance approached ... https://t.co/u7xfa5pr8m")</f>
        <v>@drfahrettinka Mr. Minister, "" Let's compress the ranks "in the mosques, what did you give your instruction? When the distance approached ... https://t.co/u7xfa5pr8m</v>
      </c>
    </row>
    <row r="17125" spans="1:5" ht="15" customHeight="1" x14ac:dyDescent="0.2">
      <c r="A17125" s="1" t="s">
        <v>33731</v>
      </c>
      <c r="B17125" s="1">
        <v>0</v>
      </c>
      <c r="C17125" s="3">
        <v>44520.725243055553</v>
      </c>
      <c r="D17125" s="1" t="s">
        <v>33732</v>
      </c>
      <c r="E17125" s="1" t="str">
        <f ca="1">IFERROR(__xludf.DUMMYFUNCTION("GOOGLETRANSLATE(A13924 , ""tr"" , ""en"")"),"@drfahrettinkoca has left the brain scene.")</f>
        <v>@drfahrettinkoca has left the brain scene.</v>
      </c>
    </row>
    <row r="17126" spans="1:5" ht="15" customHeight="1" x14ac:dyDescent="0.2">
      <c r="A17126" s="1" t="s">
        <v>33733</v>
      </c>
      <c r="B17126" s="1">
        <v>0</v>
      </c>
      <c r="C17126" s="3">
        <v>44520.723067129627</v>
      </c>
      <c r="D17126" s="1" t="s">
        <v>33734</v>
      </c>
      <c r="E17126" s="1" t="str">
        <f ca="1">IFERROR(__xludf.DUMMYFUNCTION("GOOGLETRANSLATE(A13925 , ""tr"" , ""en"")"),"@drfahrettinkoca or go to bi. Don't make your ya childchool anyone believes you. Your popularity fell thoroughly")</f>
        <v>@drfahrettinkoca or go to bi. Don't make your ya childchool anyone believes you. Your popularity fell thoroughly</v>
      </c>
    </row>
    <row r="17127" spans="1:5" ht="15" customHeight="1" x14ac:dyDescent="0.2">
      <c r="A17127" s="1" t="s">
        <v>33735</v>
      </c>
      <c r="B17127" s="1">
        <v>0</v>
      </c>
      <c r="C17127" s="3">
        <v>44520.717835648145</v>
      </c>
      <c r="D17127" s="1" t="s">
        <v>33736</v>
      </c>
      <c r="E17127" s="1" t="str">
        <f ca="1">IFERROR(__xludf.DUMMYFUNCTION("GOOGLETRANSLATE(A13926 , ""tr"" , ""en"")"),"@drfahrettinkoca teasing our mind 😂😂😂 😂😂😂 😂😂😂")</f>
        <v>@drfahrettinkoca teasing our mind 😂😂😂 😂😂😂 😂😂😂</v>
      </c>
    </row>
    <row r="17128" spans="1:5" ht="15" customHeight="1" x14ac:dyDescent="0.2">
      <c r="A17128" s="1" t="s">
        <v>33737</v>
      </c>
      <c r="B17128" s="1">
        <v>0</v>
      </c>
      <c r="C17128" s="3">
        <v>44539.753877314812</v>
      </c>
      <c r="D17128" s="1" t="s">
        <v>33738</v>
      </c>
      <c r="E17128" s="1" t="str">
        <f ca="1">IFERROR(__xludf.DUMMYFUNCTION("GOOGLETRANSLATE(A13927 , ""tr"" , ""en"")"),"@drfahrettinka Mr. Minister Consider the pregnant women's babies working in the private sector Please live in the alive 🙏🙏🙏")</f>
        <v>@drfahrettinka Mr. Minister Consider the pregnant women's babies working in the private sector Please live in the alive 🙏🙏🙏</v>
      </c>
    </row>
    <row r="17129" spans="1:5" ht="15" customHeight="1" x14ac:dyDescent="0.2">
      <c r="A17129" s="1" t="s">
        <v>33739</v>
      </c>
      <c r="B17129" s="1">
        <v>0</v>
      </c>
      <c r="C17129" s="3">
        <v>44551.397303240738</v>
      </c>
      <c r="D17129" s="1" t="s">
        <v>33740</v>
      </c>
      <c r="E17129" s="1" t="str">
        <f ca="1">IFERROR(__xludf.DUMMYFUNCTION("GOOGLETRANSLATE(A13928 , ""tr"" , ""en"")"),"@drfahrettinkoca @AlevleventoGlu I'm not halal I'm not looking at you Bey This virus is this Virus so you are launched that every Cut B ... https://t.co/wfvvsaqepn")</f>
        <v>@drfahrettinkoca @AlevleventoGlu I'm not halal I'm not looking at you Bey This virus is this Virus so you are launched that every Cut B ... https://t.co/wfvvsaqepn</v>
      </c>
    </row>
    <row r="17130" spans="1:5" ht="15" customHeight="1" x14ac:dyDescent="0.2">
      <c r="A17130" s="1" t="s">
        <v>33741</v>
      </c>
      <c r="B17130" s="1">
        <v>0</v>
      </c>
      <c r="C17130" s="3">
        <v>44539.963425925926</v>
      </c>
      <c r="D17130" s="1" t="s">
        <v>33742</v>
      </c>
      <c r="E17130" s="1" t="str">
        <f ca="1">IFERROR(__xludf.DUMMYFUNCTION("GOOGLETRANSLATE(A13929 , ""tr"" , ""en"")"),"@drfahrettinkoca allaaaah belaaan veersinnnnn")</f>
        <v>@drfahrettinkoca allaaaah belaaan veersinnnnn</v>
      </c>
    </row>
    <row r="17131" spans="1:5" ht="15" customHeight="1" x14ac:dyDescent="0.2">
      <c r="A17131" s="1" t="s">
        <v>33743</v>
      </c>
      <c r="B17131" s="1">
        <v>0</v>
      </c>
      <c r="C17131" s="3">
        <v>44539.936388888891</v>
      </c>
      <c r="D17131" s="1" t="s">
        <v>33744</v>
      </c>
      <c r="E17131" s="1" t="str">
        <f ca="1">IFERROR(__xludf.DUMMYFUNCTION("GOOGLETRANSLATE(A13930 , ""tr"" , ""en"")"),"@drfahrettinkoca Get Heavenly the authorities who accept my God's mental. You are the patrition .. Family, friends and friends ... https://t.co/cfqrfkuamc")</f>
        <v>@drfahrettinkoca Get Heavenly the authorities who accept my God's mental. You are the patrition .. Family, friends and friends ... https://t.co/cfqrfkuamc</v>
      </c>
    </row>
    <row r="17132" spans="1:5" ht="15" customHeight="1" x14ac:dyDescent="0.2">
      <c r="A17132" s="1" t="s">
        <v>33745</v>
      </c>
      <c r="B17132" s="1">
        <v>8</v>
      </c>
      <c r="C17132" s="3">
        <v>44539.908530092594</v>
      </c>
      <c r="D17132" s="1" t="s">
        <v>33746</v>
      </c>
      <c r="E17132" s="1" t="str">
        <f ca="1">IFERROR(__xludf.DUMMYFUNCTION("GOOGLETRANSLATE(A13931 , ""tr"" , ""en"")"),"@drfahrettinka if there were no martyrs if you were not marty you would do izi because you do it. If Nasil is commanded so Deva ... https://t.co/ggokceks1f")</f>
        <v>@drfahrettinka if there were no martyrs if you were not marty you would do izi because you do it. If Nasil is commanded so Deva ... https://t.co/ggokceks1f</v>
      </c>
    </row>
    <row r="17133" spans="1:5" ht="15" customHeight="1" x14ac:dyDescent="0.2">
      <c r="A17133" s="1" t="s">
        <v>33747</v>
      </c>
      <c r="B17133" s="1">
        <v>0</v>
      </c>
      <c r="C17133" s="3">
        <v>44539.891539351855</v>
      </c>
      <c r="D17133" s="1" t="s">
        <v>33748</v>
      </c>
      <c r="E17133" s="1" t="str">
        <f ca="1">IFERROR(__xludf.DUMMYFUNCTION("GOOGLETRANSLATE(A13932 , ""tr"" , ""en"")"),"@drfahrettinka https://t.co/6sytciyyqc")</f>
        <v>@drfahrettinka https://t.co/6sytciyyqc</v>
      </c>
    </row>
    <row r="17134" spans="1:5" ht="15" customHeight="1" x14ac:dyDescent="0.2">
      <c r="A17134" s="1" t="s">
        <v>33749</v>
      </c>
      <c r="B17134" s="1">
        <v>26</v>
      </c>
      <c r="C17134" s="3">
        <v>44539.879618055558</v>
      </c>
      <c r="D17134" s="1" t="s">
        <v>33750</v>
      </c>
      <c r="E17134" s="1" t="str">
        <f ca="1">IFERROR(__xludf.DUMMYFUNCTION("GOOGLETRANSLATE(A13933 , ""tr"" , ""en"")"),"@drfahrettinkoca 🤲🇹🇷🤲 https://t.co/nwkzthbbfx")</f>
        <v>@drfahrettinkoca 🤲🇹🇷🤲 https://t.co/nwkzthbbfx</v>
      </c>
    </row>
    <row r="17135" spans="1:5" ht="15" customHeight="1" x14ac:dyDescent="0.2">
      <c r="A17135" s="1" t="s">
        <v>12825</v>
      </c>
      <c r="B17135" s="1">
        <v>0</v>
      </c>
      <c r="C17135" s="3">
        <v>44539.875659722224</v>
      </c>
      <c r="D17135" s="1" t="s">
        <v>33751</v>
      </c>
      <c r="E17135" s="1" t="str">
        <f ca="1">IFERROR(__xludf.DUMMYFUNCTION("GOOGLETRANSLATE(A13934 , ""tr"" , ""en"")"),"@drfahrettinkoca 🇹🇷🇹🇹🤲🤲🤲")</f>
        <v>@drfahrettinkoca 🇹🇷🇹🇹🤲🤲🤲</v>
      </c>
    </row>
    <row r="17136" spans="1:5" ht="15" customHeight="1" x14ac:dyDescent="0.2">
      <c r="A17136" s="1" t="s">
        <v>33752</v>
      </c>
      <c r="B17136" s="1">
        <v>0</v>
      </c>
      <c r="C17136" s="3">
        <v>44539.875300925924</v>
      </c>
      <c r="D17136" s="1" t="s">
        <v>33753</v>
      </c>
      <c r="E17136" s="1" t="str">
        <f ca="1">IFERROR(__xludf.DUMMYFUNCTION("GOOGLETRANSLATE(A13935 , ""tr"" , ""en"")"),"@drfahrettinkoca May Allah Real Sepulence Souls")</f>
        <v>@drfahrettinkoca May Allah Real Sepulence Souls</v>
      </c>
    </row>
    <row r="17137" spans="1:5" ht="15" customHeight="1" x14ac:dyDescent="0.2">
      <c r="A17137" s="1" t="s">
        <v>33754</v>
      </c>
      <c r="B17137" s="1">
        <v>0</v>
      </c>
      <c r="C17137" s="3">
        <v>44539.869537037041</v>
      </c>
      <c r="D17137" s="1" t="s">
        <v>33755</v>
      </c>
      <c r="E17137" s="1" t="str">
        <f ca="1">IFERROR(__xludf.DUMMYFUNCTION("GOOGLETRANSLATE(A13936 , ""tr"" , ""en"")"),"@drfahrettinkoca allah cc mercy eyles get our head right")</f>
        <v>@drfahrettinkoca allah cc mercy eyles get our head right</v>
      </c>
    </row>
    <row r="17138" spans="1:5" ht="15" customHeight="1" x14ac:dyDescent="0.2">
      <c r="A17138" s="1" t="s">
        <v>33756</v>
      </c>
      <c r="B17138" s="1">
        <v>0</v>
      </c>
      <c r="C17138" s="3">
        <v>44539.865787037037</v>
      </c>
      <c r="D17138" s="1" t="s">
        <v>33757</v>
      </c>
      <c r="E17138" s="1" t="str">
        <f ca="1">IFERROR(__xludf.DUMMYFUNCTION("GOOGLETRANSLATE(A13937 , ""tr"" , ""en"")"),"@drfahrettinkoca Mevlam Gani, Gani, you're gorgeous, the Ranks Nur gets the authorities heaven.")</f>
        <v>@drfahrettinkoca Mevlam Gani, Gani, you're gorgeous, the Ranks Nur gets the authorities heaven.</v>
      </c>
    </row>
    <row r="17139" spans="1:5" ht="15" customHeight="1" x14ac:dyDescent="0.2">
      <c r="A17139" s="1" t="s">
        <v>33758</v>
      </c>
      <c r="B17139" s="1">
        <v>0</v>
      </c>
      <c r="C17139" s="3">
        <v>44539.863935185182</v>
      </c>
      <c r="D17139" s="1" t="s">
        <v>33759</v>
      </c>
      <c r="E17139" s="1" t="str">
        <f ca="1">IFERROR(__xludf.DUMMYFUNCTION("GOOGLETRANSLATE(A13938 , ""tr"" , ""en"")"),"@drfahrettinkoca ALLAH GLAND SUCTIONS HEARH")</f>
        <v>@drfahrettinkoca ALLAH GLAND SUCTIONS HEARH</v>
      </c>
    </row>
    <row r="17140" spans="1:5" ht="15" customHeight="1" x14ac:dyDescent="0.2">
      <c r="A17140" s="1" t="s">
        <v>33760</v>
      </c>
      <c r="B17140" s="1">
        <v>5</v>
      </c>
      <c r="C17140" s="3">
        <v>44539.841608796298</v>
      </c>
      <c r="D17140" s="1" t="s">
        <v>33761</v>
      </c>
      <c r="E17140" s="1" t="str">
        <f ca="1">IFERROR(__xludf.DUMMYFUNCTION("GOOGLETRANSLATE(A13939 , ""tr"" , ""en"")"),"@drfahrettinkoca ASI After the beautifications we have already been in your mind to your martyrs..Zoraki Shares These Mr.")</f>
        <v>@drfahrettinkoca ASI After the beautifications we have already been in your mind to your martyrs..Zoraki Shares These Mr.</v>
      </c>
    </row>
    <row r="17141" spans="1:5" ht="15" customHeight="1" x14ac:dyDescent="0.2">
      <c r="A17141" s="1" t="s">
        <v>33762</v>
      </c>
      <c r="B17141" s="1">
        <v>0</v>
      </c>
      <c r="C17141" s="3">
        <v>44539.834791666668</v>
      </c>
      <c r="D17141" s="1" t="s">
        <v>33763</v>
      </c>
      <c r="E17141" s="1" t="str">
        <f ca="1">IFERROR(__xludf.DUMMYFUNCTION("GOOGLETRANSLATE(A13940 , ""tr"" , ""en"")"),"@drfahrettinka venues get heaven")</f>
        <v>@drfahrettinka venues get heaven</v>
      </c>
    </row>
    <row r="17142" spans="1:5" ht="15" customHeight="1" x14ac:dyDescent="0.2">
      <c r="A17142" s="1" t="s">
        <v>33764</v>
      </c>
      <c r="B17142" s="1">
        <v>0</v>
      </c>
      <c r="C17142" s="3">
        <v>44539.811331018522</v>
      </c>
      <c r="D17142" s="1" t="s">
        <v>33765</v>
      </c>
      <c r="E17142" s="1" t="str">
        <f ca="1">IFERROR(__xludf.DUMMYFUNCTION("GOOGLETRANSLATE(A13941 , ""tr"" , ""en"")"),"@drfahrettinkoca ALLAH GLAND MEANS YOU HAVE HEADER.")</f>
        <v>@drfahrettinkoca ALLAH GLAND MEANS YOU HAVE HEADER.</v>
      </c>
    </row>
    <row r="17143" spans="1:5" ht="15" customHeight="1" x14ac:dyDescent="0.2">
      <c r="A17143" s="1" t="s">
        <v>33766</v>
      </c>
      <c r="B17143" s="1">
        <v>0</v>
      </c>
      <c r="C17143" s="3">
        <v>44539.80976851852</v>
      </c>
      <c r="D17143" s="1" t="s">
        <v>33767</v>
      </c>
      <c r="E17143" s="1" t="str">
        <f ca="1">IFERROR(__xludf.DUMMYFUNCTION("GOOGLETRANSLATE(A13942 , ""tr"" , ""en"")"),"@drfahrettinkoca We make our head Saber Sabir Allah Görmet Eyeşin Venue May Heaven Be Heaven")</f>
        <v>@drfahrettinkoca We make our head Saber Sabir Allah Görmet Eyeşin Venue May Heaven Be Heaven</v>
      </c>
    </row>
    <row r="17144" spans="1:5" ht="15" customHeight="1" x14ac:dyDescent="0.2">
      <c r="A17144" s="1" t="s">
        <v>33768</v>
      </c>
      <c r="B17144" s="1">
        <v>10</v>
      </c>
      <c r="C17144" s="3">
        <v>44539.807557870372</v>
      </c>
      <c r="D17144" s="1" t="s">
        <v>33769</v>
      </c>
      <c r="E17144" s="1" t="str">
        <f ca="1">IFERROR(__xludf.DUMMYFUNCTION("GOOGLETRANSLATE(A13943 , ""tr"" , ""en"")"),"@drfahrettinkoca is missing every tweet the day of allah you have appointed (if no death stay) is missing ... https://t.co/5hzm3pz9pz")</f>
        <v>@drfahrettinkoca is missing every tweet the day of allah you have appointed (if no death stay) is missing ... https://t.co/5hzm3pz9pz</v>
      </c>
    </row>
    <row r="17145" spans="1:5" ht="15" customHeight="1" x14ac:dyDescent="0.2">
      <c r="A17145" s="1" t="s">
        <v>33770</v>
      </c>
      <c r="B17145" s="1">
        <v>0</v>
      </c>
      <c r="C17145" s="3">
        <v>44539.803784722222</v>
      </c>
      <c r="D17145" s="1" t="s">
        <v>33771</v>
      </c>
      <c r="E17145" s="1" t="str">
        <f ca="1">IFERROR(__xludf.DUMMYFUNCTION("GOOGLETRANSLATE(A13944 , ""tr"" , ""en"")"),"@drfahrettinkoca Allah Mahmet Eylesin Venue May Be Heaven")</f>
        <v>@drfahrettinkoca Allah Mahmet Eylesin Venue May Be Heaven</v>
      </c>
    </row>
    <row r="17146" spans="1:5" ht="15" customHeight="1" x14ac:dyDescent="0.2">
      <c r="A17146" s="1" t="s">
        <v>33772</v>
      </c>
      <c r="B17146" s="1">
        <v>0</v>
      </c>
      <c r="C17146" s="3">
        <v>44539.796574074076</v>
      </c>
      <c r="D17146" s="1" t="s">
        <v>33773</v>
      </c>
      <c r="E17146" s="1" t="str">
        <f ca="1">IFERROR(__xludf.DUMMYFUNCTION("GOOGLETRANSLATE(A13945 , ""tr"" , ""en"")"),"@drfahrettinkoca SMA patient with 3-month-old children's feet and cannot move many locations of his body..l ... https://t.co/skrhqfooy3")</f>
        <v>@drfahrettinkoca SMA patient with 3-month-old children's feet and cannot move many locations of his body..l ... https://t.co/skrhqfooy3</v>
      </c>
    </row>
    <row r="17147" spans="1:5" ht="15" customHeight="1" x14ac:dyDescent="0.2">
      <c r="A17147" s="1" t="s">
        <v>33774</v>
      </c>
      <c r="B17147" s="1">
        <v>0</v>
      </c>
      <c r="C17147" s="3">
        <v>44539.79483796296</v>
      </c>
      <c r="D17147" s="1" t="s">
        <v>33775</v>
      </c>
      <c r="E17147" s="1" t="str">
        <f ca="1">IFERROR(__xludf.DUMMYFUNCTION("GOOGLETRANSLATE(A13946 , ""tr"" , ""en"")"),"@drfahrettinkoca SMA patient with 3-month-old children's feet and cannot move many locations of your body..l ... https://t.co/bdaut1ue5d")</f>
        <v>@drfahrettinkoca SMA patient with 3-month-old children's feet and cannot move many locations of your body..l ... https://t.co/bdaut1ue5d</v>
      </c>
    </row>
    <row r="17148" spans="1:5" ht="15" customHeight="1" x14ac:dyDescent="0.2">
      <c r="A17148" s="1" t="s">
        <v>33776</v>
      </c>
      <c r="B17148" s="1">
        <v>0</v>
      </c>
      <c r="C17148" s="3">
        <v>44539.794814814813</v>
      </c>
      <c r="D17148" s="1" t="s">
        <v>33777</v>
      </c>
      <c r="E17148" s="1" t="str">
        <f ca="1">IFERROR(__xludf.DUMMYFUNCTION("GOOGLETRANSLATE(A13947 , ""tr"" , ""en"")"),"@drfahrettinkoca https://t.co/bzzdqdxtrIZ https://t.co/q0akrq4yyt https://t.co/0yjr8qcg8m https://t.co/vh9ekzglbf... https://t.co/wt6nywyflk")</f>
        <v>@drfahrettinkoca https://t.co/bzzdqdxtrIZ https://t.co/q0akrq4yyt https://t.co/0yjr8qcg8m https://t.co/vh9ekzglbf... https://t.co/wt6nywyflk</v>
      </c>
    </row>
    <row r="17149" spans="1:5" ht="15" customHeight="1" x14ac:dyDescent="0.2">
      <c r="A17149" s="1" t="s">
        <v>33778</v>
      </c>
      <c r="B17149" s="1">
        <v>7</v>
      </c>
      <c r="C17149" s="3">
        <v>44539.794745370367</v>
      </c>
      <c r="D17149" s="1" t="s">
        <v>33779</v>
      </c>
      <c r="E17149" s="1" t="str">
        <f ca="1">IFERROR(__xludf.DUMMYFUNCTION("GOOGLETRANSLATE(A13948 , ""tr"" , ""en"")"),"@drfahrettinkoca healthcare friends want to see the preference date on the ÖSYM site.")</f>
        <v>@drfahrettinkoca healthcare friends want to see the preference date on the ÖSYM site.</v>
      </c>
    </row>
    <row r="17150" spans="1:5" ht="15" customHeight="1" x14ac:dyDescent="0.2">
      <c r="A17150" s="1" t="s">
        <v>33780</v>
      </c>
      <c r="B17150" s="1">
        <v>0</v>
      </c>
      <c r="C17150" s="3">
        <v>44539.794710648152</v>
      </c>
      <c r="D17150" s="1" t="s">
        <v>33781</v>
      </c>
      <c r="E17150" s="1" t="str">
        <f ca="1">IFERROR(__xludf.DUMMYFUNCTION("GOOGLETRANSLATE(A13949 , ""tr"" , ""en"")"),"@drfahrettinka https://t.co/bzzdqdxtrIZ https://t.co/q0akrq4yyt https://t.co/0yjr8qcg8m https://t.co/vh9ekzglbf... https://t.co/tsefmlr27I")</f>
        <v>@drfahrettinka https://t.co/bzzdqdxtrIZ https://t.co/q0akrq4yyt https://t.co/0yjr8qcg8m https://t.co/vh9ekzglbf... https://t.co/tsefmlr27I</v>
      </c>
    </row>
    <row r="17151" spans="1:5" ht="15" customHeight="1" x14ac:dyDescent="0.2">
      <c r="A17151" s="1" t="s">
        <v>33782</v>
      </c>
      <c r="B17151" s="1">
        <v>4</v>
      </c>
      <c r="C17151" s="3">
        <v>44539.793020833335</v>
      </c>
      <c r="D17151" s="1" t="s">
        <v>33783</v>
      </c>
      <c r="E17151" s="1" t="str">
        <f ca="1">IFERROR(__xludf.DUMMYFUNCTION("GOOGLETRANSLATE(A13950 , ""tr"" , ""en"")"),"If @drfahrettinkoca is every karisma. Reis is angry with 83 million after 83 million, we are embarrassed in your place ... https://t.co/cwjsue0cym")</f>
        <v>If @drfahrettinkoca is every karisma. Reis is angry with 83 million after 83 million, we are embarrassed in your place ... https://t.co/cwjsue0cym</v>
      </c>
    </row>
    <row r="17152" spans="1:5" ht="15" customHeight="1" x14ac:dyDescent="0.2">
      <c r="A17152" s="1" t="s">
        <v>33784</v>
      </c>
      <c r="B17152" s="1">
        <v>0</v>
      </c>
      <c r="C17152" s="3">
        <v>44539.792372685188</v>
      </c>
      <c r="D17152" s="1" t="s">
        <v>33785</v>
      </c>
      <c r="E17152" s="1" t="str">
        <f ca="1">IFERROR(__xludf.DUMMYFUNCTION("GOOGLETRANSLATE(A13951 , ""tr"" , ""en"")"),"@drfahrettinkoca is your paradise with our paradise is the same?")</f>
        <v>@drfahrettinkoca is your paradise with our paradise is the same?</v>
      </c>
    </row>
    <row r="17153" spans="1:5" ht="15" customHeight="1" x14ac:dyDescent="0.2">
      <c r="A17153" s="1" t="s">
        <v>33786</v>
      </c>
      <c r="B17153" s="1">
        <v>0</v>
      </c>
      <c r="C17153" s="3">
        <v>44539.791956018518</v>
      </c>
      <c r="D17153" s="1" t="s">
        <v>33787</v>
      </c>
      <c r="E17153" s="1" t="str">
        <f ca="1">IFERROR(__xludf.DUMMYFUNCTION("GOOGLETRANSLATE(A13952 , ""tr"" , ""en"")"),"@drfahrettinka")</f>
        <v>@drfahrettinka</v>
      </c>
    </row>
    <row r="17154" spans="1:5" ht="15" customHeight="1" x14ac:dyDescent="0.2">
      <c r="A17154" s="1" t="s">
        <v>33788</v>
      </c>
      <c r="B17154" s="1">
        <v>0</v>
      </c>
      <c r="C17154" s="3">
        <v>44539.791226851848</v>
      </c>
      <c r="D17154" s="1" t="s">
        <v>33789</v>
      </c>
      <c r="E17154" s="1" t="str">
        <f ca="1">IFERROR(__xludf.DUMMYFUNCTION("GOOGLETRANSLATE(A13953 , ""tr"" , ""en"")"),"@drfahrettinkoca TURKEY SAGOLSUN TURKEY TURKEY HEAR")</f>
        <v>@drfahrettinkoca TURKEY SAGOLSUN TURKEY TURKEY HEAR</v>
      </c>
    </row>
    <row r="17155" spans="1:5" ht="15" customHeight="1" x14ac:dyDescent="0.2">
      <c r="A17155" s="1" t="s">
        <v>33790</v>
      </c>
      <c r="B17155" s="1">
        <v>0</v>
      </c>
      <c r="C17155" s="3">
        <v>44539.790497685186</v>
      </c>
      <c r="D17155" s="1" t="s">
        <v>33791</v>
      </c>
      <c r="E17155" s="1" t="str">
        <f ca="1">IFERROR(__xludf.DUMMYFUNCTION("GOOGLETRANSLATE(A13954 , ""tr"" , ""en"")"),"@drfahrettinkoca those funerals come out of the whole Turkish nation's house")</f>
        <v>@drfahrettinkoca those funerals come out of the whole Turkish nation's house</v>
      </c>
    </row>
    <row r="17156" spans="1:5" ht="15" customHeight="1" x14ac:dyDescent="0.2">
      <c r="A17156" s="1" t="s">
        <v>13402</v>
      </c>
      <c r="B17156" s="1">
        <v>2</v>
      </c>
      <c r="C17156" s="3">
        <v>44539.789814814816</v>
      </c>
      <c r="D17156" s="1" t="s">
        <v>33792</v>
      </c>
      <c r="E17156" s="1" t="str">
        <f ca="1">IFERROR(__xludf.DUMMYFUNCTION("GOOGLETRANSLATE(A13955 , ""tr"" , ""en"")"),"@drfahrettinkoca We want guide")</f>
        <v>@drfahrettinkoca We want guide</v>
      </c>
    </row>
    <row r="17157" spans="1:5" ht="15" customHeight="1" x14ac:dyDescent="0.2">
      <c r="A17157" s="1" t="s">
        <v>13539</v>
      </c>
      <c r="B17157" s="1">
        <v>2</v>
      </c>
      <c r="C17157" s="3">
        <v>44539.789594907408</v>
      </c>
      <c r="D17157" s="1" t="s">
        <v>33793</v>
      </c>
      <c r="E17157" s="1" t="str">
        <f ca="1">IFERROR(__xludf.DUMMYFUNCTION("GOOGLETRANSLATE(A13956 , ""tr"" , ""en"")"),"@drfahrettinkoca guide guide guide")</f>
        <v>@drfahrettinkoca guide guide guide</v>
      </c>
    </row>
    <row r="17158" spans="1:5" ht="15" customHeight="1" x14ac:dyDescent="0.2">
      <c r="A17158" s="1" t="s">
        <v>33794</v>
      </c>
      <c r="B17158" s="1">
        <v>0</v>
      </c>
      <c r="C17158" s="3">
        <v>44539.787962962961</v>
      </c>
      <c r="D17158" s="1" t="s">
        <v>33795</v>
      </c>
      <c r="E17158" s="1" t="str">
        <f ca="1">IFERROR(__xludf.DUMMYFUNCTION("GOOGLETRANSLATE(A13957 , ""tr"" , ""en"")"),"@drfahrettinkoca souls get our martyrs")</f>
        <v>@drfahrettinkoca souls get our martyrs</v>
      </c>
    </row>
    <row r="17159" spans="1:5" ht="15" customHeight="1" x14ac:dyDescent="0.2">
      <c r="A17159" s="1" t="s">
        <v>33796</v>
      </c>
      <c r="B17159" s="1">
        <v>30</v>
      </c>
      <c r="C17159" s="3">
        <v>44539.787905092591</v>
      </c>
      <c r="D17159" s="1" t="s">
        <v>33797</v>
      </c>
      <c r="E17159" s="1" t="str">
        <f ca="1">IFERROR(__xludf.DUMMYFUNCTION("GOOGLETRANSLATE(A13958 , ""tr"" , ""en"")"),"@drfahrettinkoca I wish our gods for the lovers of God. Will even ask us to the guide to this tweet ... https://t.co/kkhq4q9INJ")</f>
        <v>@drfahrettinkoca I wish our gods for the lovers of God. Will even ask us to the guide to this tweet ... https://t.co/kkhq4q9INJ</v>
      </c>
    </row>
    <row r="17160" spans="1:5" ht="15" customHeight="1" x14ac:dyDescent="0.2">
      <c r="A17160" s="1" t="s">
        <v>33798</v>
      </c>
      <c r="B17160" s="1">
        <v>0</v>
      </c>
      <c r="C17160" s="3">
        <v>44539.786828703705</v>
      </c>
      <c r="D17160" s="1" t="s">
        <v>33799</v>
      </c>
      <c r="E17160" s="1" t="str">
        <f ca="1">IFERROR(__xludf.DUMMYFUNCTION("GOOGLETRANSLATE(A13959 , ""tr"" , ""en"")"),"@drfahrettinkoca Martyrs don't die, homeland is indivisible")</f>
        <v>@drfahrettinkoca Martyrs don't die, homeland is indivisible</v>
      </c>
    </row>
    <row r="17161" spans="1:5" ht="15" customHeight="1" x14ac:dyDescent="0.2">
      <c r="A17161" s="1" t="s">
        <v>33800</v>
      </c>
      <c r="B17161" s="1">
        <v>2</v>
      </c>
      <c r="C17161" s="3">
        <v>44539.786493055559</v>
      </c>
      <c r="D17161" s="1" t="s">
        <v>33801</v>
      </c>
      <c r="E17161" s="1" t="str">
        <f ca="1">IFERROR(__xludf.DUMMYFUNCTION("GOOGLETRANSLATE(A13960 , ""tr"" , ""en"")"),"@drfahrettinka https://t.co/qwzwrjcqiw")</f>
        <v>@drfahrettinka https://t.co/qwzwrjcqiw</v>
      </c>
    </row>
    <row r="17162" spans="1:5" ht="15" customHeight="1" x14ac:dyDescent="0.2">
      <c r="A17162" s="1" t="s">
        <v>33802</v>
      </c>
      <c r="B17162" s="1">
        <v>0</v>
      </c>
      <c r="C17162" s="3">
        <v>44539.786469907405</v>
      </c>
      <c r="D17162" s="1" t="s">
        <v>33803</v>
      </c>
      <c r="E17162" s="1" t="str">
        <f ca="1">IFERROR(__xludf.DUMMYFUNCTION("GOOGLETRANSLATE(A13961 , ""tr"" , ""en"")"),"@drfahrettinkoca Allah Mahmet Eylesin Spaces Heaven May Heaven")</f>
        <v>@drfahrettinkoca Allah Mahmet Eylesin Spaces Heaven May Heaven</v>
      </c>
    </row>
    <row r="17163" spans="1:5" ht="15" customHeight="1" x14ac:dyDescent="0.2">
      <c r="A17163" s="1" t="s">
        <v>33804</v>
      </c>
      <c r="B17163" s="1">
        <v>2</v>
      </c>
      <c r="C17163" s="3">
        <v>44539.786435185182</v>
      </c>
      <c r="D17163" s="1" t="s">
        <v>33805</v>
      </c>
      <c r="E17163" s="1" t="str">
        <f ca="1">IFERROR(__xludf.DUMMYFUNCTION("GOOGLETRANSLATE(A13962 , ""tr"" , ""en"")"),"@drfahrettinkoca 🤲🤲")</f>
        <v>@drfahrettinkoca 🤲🤲</v>
      </c>
    </row>
    <row r="17164" spans="1:5" ht="15" customHeight="1" x14ac:dyDescent="0.2">
      <c r="A17164" s="1" t="s">
        <v>33806</v>
      </c>
      <c r="B17164" s="1">
        <v>7</v>
      </c>
      <c r="C17164" s="3">
        <v>44539.785104166665</v>
      </c>
      <c r="D17164" s="1" t="s">
        <v>33807</v>
      </c>
      <c r="E17164" s="1" t="str">
        <f ca="1">IFERROR(__xludf.DUMMYFUNCTION("GOOGLETRANSLATE(A13963 , ""tr"" , ""en"")"),"@drfahrettinkoca klavuzzzzz")</f>
        <v>@drfahrettinkoca klavuzzzzz</v>
      </c>
    </row>
    <row r="17165" spans="1:5" ht="15" customHeight="1" x14ac:dyDescent="0.2">
      <c r="A17165" s="1" t="s">
        <v>33808</v>
      </c>
      <c r="B17165" s="1">
        <v>0</v>
      </c>
      <c r="C17165" s="3">
        <v>44539.785046296296</v>
      </c>
      <c r="D17165" s="1" t="s">
        <v>33809</v>
      </c>
      <c r="E17165" s="1" t="str">
        <f ca="1">IFERROR(__xludf.DUMMYFUNCTION("GOOGLETRANSLATE(A13964 , ""tr"" , ""en"")"),"@drfahrettinkoca Allah Government May Be Heaven Heaven Heavenly May I hope to give patience to his family Heavenly God is not martyrs")</f>
        <v>@drfahrettinkoca Allah Government May Be Heaven Heaven Heavenly May I hope to give patience to his family Heavenly God is not martyrs</v>
      </c>
    </row>
    <row r="17166" spans="1:5" ht="15" customHeight="1" x14ac:dyDescent="0.2">
      <c r="A17166" s="1" t="s">
        <v>24448</v>
      </c>
      <c r="B17166" s="1">
        <v>2</v>
      </c>
      <c r="C17166" s="3">
        <v>44539.785011574073</v>
      </c>
      <c r="D17166" s="1" t="s">
        <v>33810</v>
      </c>
      <c r="E17166" s="1" t="str">
        <f ca="1">IFERROR(__xludf.DUMMYFUNCTION("GOOGLETRANSLATE(A13965 , ""tr"" , ""en"")"),"@drfahrettinkoca 😢")</f>
        <v>@drfahrettinkoca 😢</v>
      </c>
    </row>
    <row r="17167" spans="1:5" ht="15" customHeight="1" x14ac:dyDescent="0.2">
      <c r="A17167" s="1" t="s">
        <v>33811</v>
      </c>
      <c r="B17167" s="1">
        <v>4</v>
      </c>
      <c r="C17167" s="3">
        <v>44539.784687500003</v>
      </c>
      <c r="D17167" s="1" t="s">
        <v>33812</v>
      </c>
      <c r="E17167" s="1" t="str">
        <f ca="1">IFERROR(__xludf.DUMMYFUNCTION("GOOGLETRANSLATE(A13966 , ""tr"" , ""en"")"),"@drfahrettinkoca labbim venue Paradise Seplay I hope allah to the family of God")</f>
        <v>@drfahrettinkoca labbim venue Paradise Seplay I hope allah to the family of God</v>
      </c>
    </row>
    <row r="17168" spans="1:5" ht="15" customHeight="1" x14ac:dyDescent="0.2">
      <c r="A17168" s="1" t="s">
        <v>33813</v>
      </c>
      <c r="B17168" s="1">
        <v>3</v>
      </c>
      <c r="C17168" s="3">
        <v>44539.784479166665</v>
      </c>
      <c r="D17168" s="1" t="s">
        <v>33814</v>
      </c>
      <c r="E17168" s="1" t="str">
        <f ca="1">IFERROR(__xludf.DUMMYFUNCTION("GOOGLETRANSLATE(A13967 , ""tr"" , ""en"")"),"@drfahrettinkoca 🇹🇷❤️🙏")</f>
        <v>@drfahrettinkoca 🇹🇷❤️🙏</v>
      </c>
    </row>
    <row r="17169" spans="1:5" ht="15" customHeight="1" x14ac:dyDescent="0.2">
      <c r="A17169" s="1" t="s">
        <v>18097</v>
      </c>
      <c r="B17169" s="1">
        <v>2</v>
      </c>
      <c r="C17169" s="3">
        <v>44539.784456018519</v>
      </c>
      <c r="D17169" s="1" t="s">
        <v>33815</v>
      </c>
      <c r="E17169" s="1" t="str">
        <f ca="1">IFERROR(__xludf.DUMMYFUNCTION("GOOGLETRANSLATE(A13968 , ""tr"" , ""en"")"),"@drfahrettinkoca Allah Görmet Eylesin")</f>
        <v>@drfahrettinkoca Allah Görmet Eylesin</v>
      </c>
    </row>
    <row r="17170" spans="1:5" ht="15" customHeight="1" x14ac:dyDescent="0.2">
      <c r="A17170" s="1" t="s">
        <v>13709</v>
      </c>
      <c r="B17170" s="1">
        <v>0</v>
      </c>
      <c r="C17170" s="3">
        <v>44539.78434027778</v>
      </c>
      <c r="D17170" s="1" t="s">
        <v>33816</v>
      </c>
      <c r="E17170" s="1" t="str">
        <f ca="1">IFERROR(__xludf.DUMMYFUNCTION("GOOGLETRANSLATE(A13969 , ""tr"" , ""en"")"),"@drfahrettinkoca village's aerial view https://t.co/rpsazi5ık9")</f>
        <v>@drfahrettinkoca village's aerial view https://t.co/rpsazi5ık9</v>
      </c>
    </row>
    <row r="17171" spans="1:5" ht="15" customHeight="1" x14ac:dyDescent="0.2">
      <c r="A17171" s="1" t="s">
        <v>33817</v>
      </c>
      <c r="B17171" s="1">
        <v>0</v>
      </c>
      <c r="C17171" s="3">
        <v>44541.869328703702</v>
      </c>
      <c r="D17171" s="1" t="s">
        <v>33818</v>
      </c>
      <c r="E17171" s="1" t="str">
        <f ca="1">IFERROR(__xludf.DUMMYFUNCTION("GOOGLETRANSLATE(A13970 , ""tr"" , ""en"")"),"@drfahrettinkoca @drfahrettinkoca @drfahrettinkoca @rterdogan How do you guys black out our lives We are your youth our blood ... https://t.co/uho8fu9ftl")</f>
        <v>@drfahrettinkoca @drfahrettinkoca @drfahrettinkoca @rterdogan How do you guys black out our lives We are your youth our blood ... https://t.co/uho8fu9ftl</v>
      </c>
    </row>
    <row r="17172" spans="1:5" ht="15" customHeight="1" x14ac:dyDescent="0.2">
      <c r="A17172" s="1" t="s">
        <v>33819</v>
      </c>
      <c r="B17172" s="1">
        <v>0</v>
      </c>
      <c r="C17172" s="3">
        <v>44540.804872685185</v>
      </c>
      <c r="D17172" s="1" t="s">
        <v>33820</v>
      </c>
      <c r="E17172" s="1" t="str">
        <f ca="1">IFERROR(__xludf.DUMMYFUNCTION("GOOGLETRANSLATE(A13971 , ""tr"" , ""en"")"),"@drfahrettinkoca from allah to our martyrs.")</f>
        <v>@drfahrettinkoca from allah to our martyrs.</v>
      </c>
    </row>
    <row r="17173" spans="1:5" ht="15" customHeight="1" x14ac:dyDescent="0.2">
      <c r="A17173" s="1" t="s">
        <v>33821</v>
      </c>
      <c r="B17173" s="1">
        <v>0</v>
      </c>
      <c r="C17173" s="3">
        <v>44540.742199074077</v>
      </c>
      <c r="D17173" s="1" t="s">
        <v>33822</v>
      </c>
      <c r="E17173" s="1" t="str">
        <f ca="1">IFERROR(__xludf.DUMMYFUNCTION("GOOGLETRANSLATE(A13972 , ""tr"" , ""en"")"),"@drfahrettinkoca Are all the students and teachers expect to be Covid19? No precautions No measures 3. Dose vaccines have not been opened")</f>
        <v>@drfahrettinkoca Are all the students and teachers expect to be Covid19? No precautions No measures 3. Dose vaccines have not been opened</v>
      </c>
    </row>
    <row r="17174" spans="1:5" ht="15" customHeight="1" x14ac:dyDescent="0.2">
      <c r="A17174" s="1" t="s">
        <v>33823</v>
      </c>
      <c r="B17174" s="1">
        <v>0</v>
      </c>
      <c r="C17174" s="3">
        <v>44540.736655092594</v>
      </c>
      <c r="D17174" s="1" t="s">
        <v>33824</v>
      </c>
      <c r="E17174" s="1" t="str">
        <f ca="1">IFERROR(__xludf.DUMMYFUNCTION("GOOGLETRANSLATE(A13973 , ""tr"" , ""en"")"),"@drfahrettinkoca 3. Open our overdose please let's be vaccinated. You call the vaccine in the Nani vaccine now no longer")</f>
        <v>@drfahrettinkoca 3. Open our overdose please let's be vaccinated. You call the vaccine in the Nani vaccine now no longer</v>
      </c>
    </row>
    <row r="17175" spans="1:5" ht="15" customHeight="1" x14ac:dyDescent="0.2">
      <c r="A17175" s="1" t="s">
        <v>33825</v>
      </c>
      <c r="B17175" s="1">
        <v>1</v>
      </c>
      <c r="C17175" s="3">
        <v>44540.70952546296</v>
      </c>
      <c r="D17175" s="1" t="s">
        <v>33826</v>
      </c>
      <c r="E17175" s="1" t="str">
        <f ca="1">IFERROR(__xludf.DUMMYFUNCTION("GOOGLETRANSLATE(A13974 , ""tr"" , ""en"")"),"@drfahrettinkoca Allah May the spaces be Heaven Heaven")</f>
        <v>@drfahrettinkoca Allah May the spaces be Heaven Heaven</v>
      </c>
    </row>
    <row r="17176" spans="1:5" ht="15" customHeight="1" x14ac:dyDescent="0.2">
      <c r="A17176" s="1" t="s">
        <v>33827</v>
      </c>
      <c r="B17176" s="1">
        <v>0</v>
      </c>
      <c r="C17176" s="3">
        <v>44540.696064814816</v>
      </c>
      <c r="D17176" s="1" t="s">
        <v>33828</v>
      </c>
      <c r="E17176" s="1" t="str">
        <f ca="1">IFERROR(__xludf.DUMMYFUNCTION("GOOGLETRANSLATE(A13975 , ""tr"" , ""en"")"),"@drfahrettinkoca sec. @drfahrettinkoca Hatun Today, this patient named Daldal Today pine Sakura City Hospital B. Block AC ... HTTPS://T.CO/FC8TOLBIZH")</f>
        <v>@drfahrettinkoca sec. @drfahrettinkoca Hatun Today, this patient named Daldal Today pine Sakura City Hospital B. Block AC ... HTTPS://T.CO/FC8TOLBIZH</v>
      </c>
    </row>
    <row r="17177" spans="1:5" ht="15" customHeight="1" x14ac:dyDescent="0.2">
      <c r="A17177" s="1" t="s">
        <v>33829</v>
      </c>
      <c r="B17177" s="1">
        <v>0</v>
      </c>
      <c r="C17177" s="3">
        <v>44540.695543981485</v>
      </c>
      <c r="D17177" s="1" t="s">
        <v>33830</v>
      </c>
      <c r="E17177" s="1" t="str">
        <f ca="1">IFERROR(__xludf.DUMMYFUNCTION("GOOGLETRANSLATE(A13976 , ""tr"" , ""en"")"),"@drfahrettinkoca sec. @drfahrettinkoca Hatun This patient named Daldal Today pine Sakura City Hospital B. Block AC ... https://t.co/c7b9mjg2wb")</f>
        <v>@drfahrettinkoca sec. @drfahrettinkoca Hatun This patient named Daldal Today pine Sakura City Hospital B. Block AC ... https://t.co/c7b9mjg2wb</v>
      </c>
    </row>
    <row r="17178" spans="1:5" ht="15" customHeight="1" x14ac:dyDescent="0.2">
      <c r="A17178" s="1" t="s">
        <v>33831</v>
      </c>
      <c r="B17178" s="1">
        <v>0</v>
      </c>
      <c r="C17178" s="3">
        <v>44540.691608796296</v>
      </c>
      <c r="D17178" s="1" t="s">
        <v>33832</v>
      </c>
      <c r="E17178" s="1" t="str">
        <f ca="1">IFERROR(__xludf.DUMMYFUNCTION("GOOGLETRANSLATE(A13977 , ""tr"" , ""en"")"),"@drfahrettinkoca Allah C.c Refer Seplay Venues May Heaven Be Convenient. Patience to Families and Supreme Turkish Nation ... https://t.co/KL70BXXXI9")</f>
        <v>@drfahrettinkoca Allah C.c Refer Seplay Venues May Heaven Be Convenient. Patience to Families and Supreme Turkish Nation ... https://t.co/KL70BXXXI9</v>
      </c>
    </row>
    <row r="17179" spans="1:5" ht="15" customHeight="1" x14ac:dyDescent="0.2">
      <c r="A17179" s="1" t="s">
        <v>33833</v>
      </c>
      <c r="B17179" s="1">
        <v>0</v>
      </c>
      <c r="C17179" s="3">
        <v>44540.662743055553</v>
      </c>
      <c r="D17179" s="1" t="s">
        <v>33834</v>
      </c>
      <c r="E17179" s="1" t="str">
        <f ca="1">IFERROR(__xludf.DUMMYFUNCTION("GOOGLETRANSLATE(A13978 , ""tr"" , ""en"")"),"@drfahrettinkoca Mr. Ministry of Ministry If you see this twit But please contact me in Mardin State Hospital ... https://t.co/vhsu5ajqv6")</f>
        <v>@drfahrettinkoca Mr. Ministry of Ministry If you see this twit But please contact me in Mardin State Hospital ... https://t.co/vhsu5ajqv6</v>
      </c>
    </row>
    <row r="17180" spans="1:5" ht="15" customHeight="1" x14ac:dyDescent="0.2">
      <c r="A17180" s="1" t="s">
        <v>33835</v>
      </c>
      <c r="B17180" s="1">
        <v>0</v>
      </c>
      <c r="C17180" s="3">
        <v>44540.641736111109</v>
      </c>
      <c r="D17180" s="1" t="s">
        <v>33836</v>
      </c>
      <c r="E17180" s="1" t="str">
        <f ca="1">IFERROR(__xludf.DUMMYFUNCTION("GOOGLETRANSLATE(A13979 , ""tr"" , ""en"")"),"@drfahrettinkoca ""If someone wants to kill an important part of the world's population in the next few years, right now ... https://t.co/l3csyyvbnb")</f>
        <v>@drfahrettinkoca "If someone wants to kill an important part of the world's population in the next few years, right now ... https://t.co/l3csyyvbnb</v>
      </c>
    </row>
    <row r="17181" spans="1:5" ht="15" customHeight="1" x14ac:dyDescent="0.2">
      <c r="A17181" s="1" t="s">
        <v>33837</v>
      </c>
      <c r="B17181" s="1">
        <v>0</v>
      </c>
      <c r="C17181" s="3">
        <v>44540.608240740738</v>
      </c>
      <c r="D17181" s="1" t="s">
        <v>33838</v>
      </c>
      <c r="E17181" s="1" t="str">
        <f ca="1">IFERROR(__xludf.DUMMYFUNCTION("GOOGLETRANSLATE(A13980 , ""tr"" , ""en"")"),"@drfahrettinkoca You have exceeded everyone NOW Row Don't Sell Of Our Goods Do Not Sell Your Goods ... Https://t.co/cflqrunm5e")</f>
        <v>@drfahrettinkoca You have exceeded everyone NOW Row Don't Sell Of Our Goods Do Not Sell Your Goods ... Https://t.co/cflqrunm5e</v>
      </c>
    </row>
    <row r="17182" spans="1:5" ht="15" customHeight="1" x14ac:dyDescent="0.2">
      <c r="A17182" s="1" t="s">
        <v>33839</v>
      </c>
      <c r="B17182" s="1">
        <v>0</v>
      </c>
      <c r="C17182" s="3">
        <v>44540.581712962965</v>
      </c>
      <c r="D17182" s="1" t="s">
        <v>33840</v>
      </c>
      <c r="E17182" s="1" t="str">
        <f ca="1">IFERROR(__xludf.DUMMYFUNCTION("GOOGLETRANSLATE(A13981 , ""tr"" , ""en"")"),"This is what you are on your oxygen level when you install your @drfahrettinkoca mask for a minute. From people on the street ... https://t.co/wrrdxinouma")</f>
        <v>This is what you are on your oxygen level when you install your @drfahrettinkoca mask for a minute. From people on the street ... https://t.co/wrrdxinouma</v>
      </c>
    </row>
    <row r="17183" spans="1:5" ht="15" customHeight="1" x14ac:dyDescent="0.2">
      <c r="A17183" s="1" t="s">
        <v>33841</v>
      </c>
      <c r="B17183" s="1">
        <v>1</v>
      </c>
      <c r="C17183" s="3">
        <v>44540.561215277776</v>
      </c>
      <c r="D17183" s="1" t="s">
        <v>33842</v>
      </c>
      <c r="E17183" s="1" t="str">
        <f ca="1">IFERROR(__xludf.DUMMYFUNCTION("GOOGLETRANSLATE(A13982 , ""tr"" , ""en"")"),"@drfahrettinkoca guide when will it be next to the future minister purchase 2 you will divide a wide diameter of this is this mu yahu")</f>
        <v>@drfahrettinkoca guide when will it be next to the future minister purchase 2 you will divide a wide diameter of this is this mu yahu</v>
      </c>
    </row>
    <row r="17184" spans="1:5" ht="15" customHeight="1" x14ac:dyDescent="0.2">
      <c r="A17184" s="1" t="s">
        <v>33843</v>
      </c>
      <c r="B17184" s="1">
        <v>1</v>
      </c>
      <c r="C17184" s="3">
        <v>44540.560833333337</v>
      </c>
      <c r="D17184" s="1" t="s">
        <v>33844</v>
      </c>
      <c r="E17184" s="1" t="str">
        <f ca="1">IFERROR(__xludf.DUMMYFUNCTION("GOOGLETRANSLATE(A13983 , ""tr"" , ""en"")"),"@drfahrettinkoca Mr. Minister You have spoiled the TÜH's health of those who wait for assignment serious")</f>
        <v>@drfahrettinkoca Mr. Minister You have spoiled the TÜH's health of those who wait for assignment serious</v>
      </c>
    </row>
    <row r="17185" spans="1:5" ht="15" customHeight="1" x14ac:dyDescent="0.2">
      <c r="A17185" s="1" t="s">
        <v>33845</v>
      </c>
      <c r="B17185" s="1">
        <v>0</v>
      </c>
      <c r="C17185" s="3">
        <v>44540.559004629627</v>
      </c>
      <c r="D17185" s="1" t="s">
        <v>33846</v>
      </c>
      <c r="E17185" s="1" t="str">
        <f ca="1">IFERROR(__xludf.DUMMYFUNCTION("GOOGLETRANSLATE(A13984 , ""tr"" , ""en"")"),"@drfahrettinkoca These athletes were all vaccinated. You cannot hide the truth. #Hesapver you will # fahrettinkocaistifa ... https://t.co/gjuuqjbo0p")</f>
        <v>@drfahrettinkoca These athletes were all vaccinated. You cannot hide the truth. #Hesapver you will # fahrettinkocaistifa ... https://t.co/gjuuqjbo0p</v>
      </c>
    </row>
    <row r="17186" spans="1:5" ht="15" customHeight="1" x14ac:dyDescent="0.2">
      <c r="A17186" s="1" t="s">
        <v>33847</v>
      </c>
      <c r="B17186" s="1">
        <v>1</v>
      </c>
      <c r="C17186" s="3">
        <v>44540.546817129631</v>
      </c>
      <c r="D17186" s="1" t="s">
        <v>33848</v>
      </c>
      <c r="E17186" s="1" t="str">
        <f ca="1">IFERROR(__xludf.DUMMYFUNCTION("GOOGLETRANSLATE(A13985 , ""tr"" , ""en"")"),"@drfahrettinkoca British lawyers now took the British government to Covid to the International Criminal Court. Num ... https://t.co/qn84ft954r")</f>
        <v>@drfahrettinkoca British lawyers now took the British government to Covid to the International Criminal Court. Num ... https://t.co/qn84ft954r</v>
      </c>
    </row>
    <row r="17187" spans="1:5" ht="15" customHeight="1" x14ac:dyDescent="0.2">
      <c r="A17187" s="1" t="s">
        <v>33849</v>
      </c>
      <c r="B17187" s="1">
        <v>0</v>
      </c>
      <c r="C17187" s="3">
        <v>44540.524270833332</v>
      </c>
      <c r="D17187" s="1" t="s">
        <v>33850</v>
      </c>
      <c r="E17187" s="1" t="str">
        <f ca="1">IFERROR(__xludf.DUMMYFUNCTION("GOOGLETRANSLATE(A13986 , ""tr"" , ""en"")"),"@drfahrettinkoca Mr. @rterdogan 40,000 staff to the Ministry of Sagik have promised employment of employment but yet moving GE ... https://t.co/xc07axtehn")</f>
        <v>@drfahrettinkoca Mr. @rterdogan 40,000 staff to the Ministry of Sagik have promised employment of employment but yet moving GE ... https://t.co/xc07axtehn</v>
      </c>
    </row>
    <row r="17188" spans="1:5" ht="15" customHeight="1" x14ac:dyDescent="0.2">
      <c r="A17188" s="1" t="s">
        <v>33851</v>
      </c>
      <c r="B17188" s="1">
        <v>1</v>
      </c>
      <c r="C17188" s="3">
        <v>44540.504513888889</v>
      </c>
      <c r="D17188" s="1" t="s">
        <v>33852</v>
      </c>
      <c r="E17188" s="1" t="str">
        <f ca="1">IFERROR(__xludf.DUMMYFUNCTION("GOOGLETRANSLATE(A13987 , ""tr"" , ""en"")"),"@drfahrettinkoca Mr. Minister in 2021, you would make an assignment! The last 20 days to over the year maybe the news of the date ... https://t.co/3vi8xhpck8")</f>
        <v>@drfahrettinkoca Mr. Minister in 2021, you would make an assignment! The last 20 days to over the year maybe the news of the date ... https://t.co/3vi8xhpck8</v>
      </c>
    </row>
    <row r="17189" spans="1:5" ht="15" customHeight="1" x14ac:dyDescent="0.2">
      <c r="A17189" s="1" t="s">
        <v>33853</v>
      </c>
      <c r="B17189" s="1">
        <v>0</v>
      </c>
      <c r="C17189" s="3">
        <v>44540.406967592593</v>
      </c>
      <c r="D17189" s="1" t="s">
        <v>33854</v>
      </c>
      <c r="E17189" s="1" t="str">
        <f ca="1">IFERROR(__xludf.DUMMYFUNCTION("GOOGLETRANSLATE(A13988 , ""tr"" , ""en"")"),"@drfahrettinka Mr. Ministry of Health Department of Health has vaccine for our baby Bilal Hamza Eleji ... https://t.co/kcgxfwditf")</f>
        <v>@drfahrettinka Mr. Ministry of Health Department of Health has vaccine for our baby Bilal Hamza Eleji ... https://t.co/kcgxfwditf</v>
      </c>
    </row>
    <row r="17190" spans="1:5" ht="15" customHeight="1" x14ac:dyDescent="0.2">
      <c r="A17190" s="1" t="s">
        <v>33855</v>
      </c>
      <c r="B17190" s="1">
        <v>0</v>
      </c>
      <c r="C17190" s="3">
        <v>44540.380659722221</v>
      </c>
      <c r="D17190" s="1" t="s">
        <v>33856</v>
      </c>
      <c r="E17190" s="1" t="str">
        <f ca="1">IFERROR(__xludf.DUMMYFUNCTION("GOOGLETRANSLATE(A13989 , ""tr"" , ""en"")"),"@drfahrettinkoca Labbim Hazreti Muhammad (SallaLahu Eleyhi and Sallem) e Neighboring Sounds are heaven. Family ... https://t.co/zk0pq40i60")</f>
        <v>@drfahrettinkoca Labbim Hazreti Muhammad (SallaLahu Eleyhi and Sallem) e Neighboring Sounds are heaven. Family ... https://t.co/zk0pq40i60</v>
      </c>
    </row>
    <row r="17191" spans="1:5" ht="15" customHeight="1" x14ac:dyDescent="0.2">
      <c r="A17191" s="7" t="s">
        <v>33857</v>
      </c>
      <c r="B17191" s="1">
        <v>0</v>
      </c>
      <c r="C17191" s="3">
        <v>44540.358067129629</v>
      </c>
      <c r="D17191" s="1" t="s">
        <v>33858</v>
      </c>
      <c r="E17191" s="1" t="str">
        <f ca="1">IFERROR(__xludf.DUMMYFUNCTION("GOOGLETRANSLATE(A13990 , ""tr"" , ""en"")"),"@drfahrettinkoca رحمهم الله وجعل م 5 واهم الجنه وحشرهم مع الشهداء الصديقين")</f>
        <v>@drfahrettinkoca رحمهم الله وجعل م 5 واهم الجنه وحشرهم مع الشهداء الصديقين</v>
      </c>
    </row>
    <row r="17192" spans="1:5" ht="15" customHeight="1" x14ac:dyDescent="0.2">
      <c r="A17192" s="1" t="s">
        <v>33859</v>
      </c>
      <c r="B17192" s="1">
        <v>0</v>
      </c>
      <c r="C17192" s="3">
        <v>44540.324791666666</v>
      </c>
      <c r="D17192" s="1" t="s">
        <v>33860</v>
      </c>
      <c r="E17192" s="1" t="str">
        <f ca="1">IFERROR(__xludf.DUMMYFUNCTION("GOOGLETRANSLATE(A13991 , ""tr"" , ""en"")"),"@drfahrettinkoca Allah Mahmet Eylesin Spaces Heaven May Heaven")</f>
        <v>@drfahrettinkoca Allah Mahmet Eylesin Spaces Heaven May Heaven</v>
      </c>
    </row>
    <row r="17193" spans="1:5" ht="15" customHeight="1" x14ac:dyDescent="0.2">
      <c r="A17193" s="1" t="s">
        <v>33861</v>
      </c>
      <c r="B17193" s="1">
        <v>1</v>
      </c>
      <c r="C17193" s="3">
        <v>44540.322685185187</v>
      </c>
      <c r="D17193" s="1" t="s">
        <v>33862</v>
      </c>
      <c r="E17193" s="1" t="str">
        <f ca="1">IFERROR(__xludf.DUMMYFUNCTION("GOOGLETRANSLATE(A13992 , ""tr"" , ""en"")"),"@drfahrettinka Good Looks Turkey https://t.co/7CCPCD6IPV")</f>
        <v>@drfahrettinka Good Looks Turkey https://t.co/7CCPCD6IPV</v>
      </c>
    </row>
    <row r="17194" spans="1:5" ht="15" customHeight="1" x14ac:dyDescent="0.2">
      <c r="A17194" s="1" t="s">
        <v>33863</v>
      </c>
      <c r="B17194" s="1">
        <v>3</v>
      </c>
      <c r="C17194" s="3">
        <v>44540.321620370371</v>
      </c>
      <c r="D17194" s="1" t="s">
        <v>33864</v>
      </c>
      <c r="E17194" s="1" t="str">
        <f ca="1">IFERROR(__xludf.DUMMYFUNCTION("GOOGLETRANSLATE(A13993 , ""tr"" , ""en"")"),"@drfahrettinkoca DUANGE Hearthat Free Mr. @drfahrettinkoca Minister. The Hero is our marty of Hz. Muhammad (S.A ... https://t.co/v0yc8pufwk")</f>
        <v>@drfahrettinkoca DUANGE Hearthat Free Mr. @drfahrettinkoca Minister. The Hero is our marty of Hz. Muhammad (S.A ... https://t.co/v0yc8pufwk</v>
      </c>
    </row>
    <row r="17195" spans="1:5" ht="15" customHeight="1" x14ac:dyDescent="0.2">
      <c r="A17195" s="1" t="s">
        <v>13970</v>
      </c>
      <c r="B17195" s="1">
        <v>0</v>
      </c>
      <c r="C17195" s="3">
        <v>44540.320821759262</v>
      </c>
      <c r="D17195" s="1" t="s">
        <v>33865</v>
      </c>
      <c r="E17195" s="1" t="str">
        <f ca="1">IFERROR(__xludf.DUMMYFUNCTION("GOOGLETRANSLATE(A13994 , ""tr"" , ""en"")"),"@drfahrettinka https://t.co/de1nc4d7sq")</f>
        <v>@drfahrettinka https://t.co/de1nc4d7sq</v>
      </c>
    </row>
    <row r="17196" spans="1:5" ht="15" customHeight="1" x14ac:dyDescent="0.2">
      <c r="A17196" s="1" t="s">
        <v>33866</v>
      </c>
      <c r="B17196" s="1">
        <v>0</v>
      </c>
      <c r="C17196" s="3">
        <v>44540.298252314817</v>
      </c>
      <c r="D17196" s="1" t="s">
        <v>33867</v>
      </c>
      <c r="E17196" s="1" t="str">
        <f ca="1">IFERROR(__xludf.DUMMYFUNCTION("GOOGLETRANSLATE(A13995 , ""tr"" , ""en"")"),"@drfahrettinkoca Gods of Allah I hope to be heavenly")</f>
        <v>@drfahrettinkoca Gods of Allah I hope to be heavenly</v>
      </c>
    </row>
    <row r="17197" spans="1:5" ht="15" customHeight="1" x14ac:dyDescent="0.2">
      <c r="A17197" s="1" t="s">
        <v>33868</v>
      </c>
      <c r="B17197" s="1">
        <v>0</v>
      </c>
      <c r="C17197" s="3">
        <v>44540.289710648147</v>
      </c>
      <c r="D17197" s="1" t="s">
        <v>33869</v>
      </c>
      <c r="E17197" s="1" t="str">
        <f ca="1">IFERROR(__xludf.DUMMYFUNCTION("GOOGLETRANSLATE(A13996 , ""tr"" , ""en"")"),"@drfahrettinkoca amin, Turkey's head Sadassun 🇹🇷🇹🇷🇹👍")</f>
        <v>@drfahrettinkoca amin, Turkey's head Sadassun 🇹🇷🇹🇷🇹👍</v>
      </c>
    </row>
    <row r="17198" spans="1:5" ht="15" customHeight="1" x14ac:dyDescent="0.25">
      <c r="A17198" s="1" t="s">
        <v>33870</v>
      </c>
      <c r="B17198" s="1">
        <v>0</v>
      </c>
      <c r="C17198" s="3">
        <v>44529.987395833334</v>
      </c>
      <c r="D17198" s="1" t="s">
        <v>33871</v>
      </c>
      <c r="E17198" s="4" t="str">
        <f ca="1">IFERROR(__xludf.DUMMYFUNCTION("GOOGLETRANSLATE(A1 , ""tr"" , ""en"")"),"@drfahrettinkoca you have a preparation on this one! https://t.co/t7d8qj9jbv")</f>
        <v>@drfahrettinkoca you have a preparation on this one! https://t.co/t7d8qj9jbv</v>
      </c>
    </row>
    <row r="17199" spans="1:5" ht="15" customHeight="1" x14ac:dyDescent="0.25">
      <c r="A17199" s="1" t="s">
        <v>33872</v>
      </c>
      <c r="B17199" s="1">
        <v>0</v>
      </c>
      <c r="C17199" s="3">
        <v>44529.983680555553</v>
      </c>
      <c r="D17199" s="1" t="s">
        <v>33873</v>
      </c>
      <c r="E17199" s="4" t="str">
        <f ca="1">IFERROR(__xludf.DUMMYFUNCTION("GOOGLETRANSLATE(A2 , ""tr"" , ""en"")"),"@drfahrettinkoca Mr. Ministry is easy to come. You again 🔂 Ricam: Biocidal mes living in Mersin. My md. Full Zama ... https://t.co/eurkknuthe")</f>
        <v>@drfahrettinkoca Mr. Ministry is easy to come. You again 🔂 Ricam: Biocidal mes living in Mersin. My md. Full Zama ... https://t.co/eurkknuthe</v>
      </c>
    </row>
    <row r="17200" spans="1:5" ht="15" customHeight="1" x14ac:dyDescent="0.25">
      <c r="A17200" s="1" t="s">
        <v>33874</v>
      </c>
      <c r="B17200" s="1">
        <v>12</v>
      </c>
      <c r="C17200" s="3">
        <v>44529.981678240743</v>
      </c>
      <c r="D17200" s="1" t="s">
        <v>33875</v>
      </c>
      <c r="E17200" s="4" t="str">
        <f ca="1">IFERROR(__xludf.DUMMYFUNCTION("GOOGLETRANSLATE(A3 , ""tr"" , ""en"")"),"@drfahrettinkoca measure caused by danger not to measure and impact on the most minimum level of people in the world ... https://t.co/dfrgpfag8g")</f>
        <v>@drfahrettinkoca measure caused by danger not to measure and impact on the most minimum level of people in the world ... https://t.co/dfrgpfag8g</v>
      </c>
    </row>
    <row r="17201" spans="1:5" ht="15" customHeight="1" x14ac:dyDescent="0.25">
      <c r="A17201" s="1" t="s">
        <v>33876</v>
      </c>
      <c r="B17201" s="1">
        <v>0</v>
      </c>
      <c r="C17201" s="3">
        <v>44529.979594907411</v>
      </c>
      <c r="D17201" s="1" t="s">
        <v>33877</v>
      </c>
      <c r="E17201" s="4" t="str">
        <f ca="1">IFERROR(__xludf.DUMMYFUNCTION("GOOGLETRANSLATE(A4 , ""tr"" , ""en"")"),"@drfahrettinka There were 36m Euro bribery area bureaucrats, expert physicians towards the end of September. What happened is that work. Hungry ... https://t.co/ijsq3oyhi2")</f>
        <v>@drfahrettinka There were 36m Euro bribery area bureaucrats, expert physicians towards the end of September. What happened is that work. Hungry ... https://t.co/ijsq3oyhi2</v>
      </c>
    </row>
    <row r="17202" spans="1:5" ht="15" customHeight="1" x14ac:dyDescent="0.25">
      <c r="A17202" s="1" t="s">
        <v>33878</v>
      </c>
      <c r="B17202" s="1">
        <v>0</v>
      </c>
      <c r="C17202" s="3">
        <v>44529.933229166665</v>
      </c>
      <c r="D17202" s="1" t="s">
        <v>33879</v>
      </c>
      <c r="E17202" s="4" t="str">
        <f ca="1">IFERROR(__xludf.DUMMYFUNCTION("GOOGLETRANSLATE(A5 , ""tr"" , ""en"")"),"@drfahrettinka @saglikbakanligi @haluklevent @ahbapplatformu @haydi_ahbap @ahbap_medya @gulbenergen @ Acunilicali ... https://t.co/kqeubhsdvg")</f>
        <v>@drfahrettinka @saglikbakanligi @haluklevent @ahbapplatformu @haydi_ahbap @ahbap_medya @gulbenergen @ Acunilicali ... https://t.co/kqeubhsdvg</v>
      </c>
    </row>
    <row r="17203" spans="1:5" ht="15" customHeight="1" x14ac:dyDescent="0.25">
      <c r="A17203" s="1" t="s">
        <v>33880</v>
      </c>
      <c r="B17203" s="1">
        <v>1</v>
      </c>
      <c r="C17203" s="3">
        <v>44529.928078703706</v>
      </c>
      <c r="D17203" s="1" t="s">
        <v>33881</v>
      </c>
      <c r="E17203" s="4" t="str">
        <f ca="1">IFERROR(__xludf.DUMMYFUNCTION("GOOGLETRANSLATE(A6 , ""tr"" , ""en"")"),"@drfahrettinkoca @saglikbakanligi @sagliklicozum @tcailesosyal https://t.co/rv8ew25reo")</f>
        <v>@drfahrettinkoca @saglikbakanligi @sagliklicozum @tcailesosyal https://t.co/rv8ew25reo</v>
      </c>
    </row>
    <row r="17204" spans="1:5" ht="15" customHeight="1" x14ac:dyDescent="0.25">
      <c r="A17204" s="1" t="s">
        <v>33882</v>
      </c>
      <c r="B17204" s="1">
        <v>0</v>
      </c>
      <c r="C17204" s="3">
        <v>44543.998067129629</v>
      </c>
      <c r="D17204" s="1" t="s">
        <v>33883</v>
      </c>
      <c r="E17204" s="4" t="str">
        <f ca="1">IFERROR(__xludf.DUMMYFUNCTION("GOOGLETRANSLATE(A7 , ""tr"" , ""en"")"),"Rt @lartutunamayan: @drfahrettinkoca is not this intention? https://t.co/ehzvlainhc")</f>
        <v>Rt @lartutunamayan: @drfahrettinkoca is not this intention? https://t.co/ehzvlainhc</v>
      </c>
    </row>
    <row r="17205" spans="1:5" ht="15" customHeight="1" x14ac:dyDescent="0.25">
      <c r="A17205" s="1" t="s">
        <v>33884</v>
      </c>
      <c r="B17205" s="1">
        <v>0</v>
      </c>
      <c r="C17205" s="3">
        <v>44543.998043981483</v>
      </c>
      <c r="D17205" s="1" t="s">
        <v>33885</v>
      </c>
      <c r="E17205" s="4" t="str">
        <f ca="1">IFERROR(__xludf.DUMMYFUNCTION("GOOGLETRANSLATE(A8 , ""tr"" , ""en"")"),"RT @Sevgiyucelir: @drfahrettinkoca One in one of you to give you joyful news, see the legiset percentage escapes.")</f>
        <v>RT @Sevgiyucelir: @drfahrettinkoca One in one of you to give you joyful news, see the legiset percentage escapes.</v>
      </c>
    </row>
    <row r="17206" spans="1:5" ht="15" customHeight="1" x14ac:dyDescent="0.25">
      <c r="A17206" s="1" t="s">
        <v>33886</v>
      </c>
      <c r="B17206" s="1">
        <v>0</v>
      </c>
      <c r="C17206" s="3">
        <v>44543.996666666666</v>
      </c>
      <c r="D17206" s="1" t="s">
        <v>33887</v>
      </c>
      <c r="E17206" s="4" t="str">
        <f ca="1">IFERROR(__xludf.DUMMYFUNCTION("GOOGLETRANSLATE(A9 , ""tr"" , ""en"")"),"RT @lartutunamayan: @drfahrettinkoca What is this intentional? https://t.co/gstjmlqa9o")</f>
        <v>RT @lartutunamayan: @drfahrettinkoca What is this intentional? https://t.co/gstjmlqa9o</v>
      </c>
    </row>
    <row r="17207" spans="1:5" ht="15" customHeight="1" x14ac:dyDescent="0.25">
      <c r="A17207" s="1" t="s">
        <v>33888</v>
      </c>
      <c r="B17207" s="1">
        <v>0</v>
      </c>
      <c r="C17207" s="3">
        <v>44543.988368055558</v>
      </c>
      <c r="D17207" s="1" t="s">
        <v>33889</v>
      </c>
      <c r="E17207" s="4" t="str">
        <f ca="1">IFERROR(__xludf.DUMMYFUNCTION("GOOGLETRANSLATE(A10 , ""tr"" , ""en"")"),"RT @muzafarmuratov: @drfahrettinka you injected the liquid you don't know the results in this nation. The Turkish Nation will never forget you. https: //t....")</f>
        <v>RT @muzafarmuratov: @drfahrettinka you injected the liquid you don't know the results in this nation. The Turkish Nation will never forget you. https: //t....</v>
      </c>
    </row>
    <row r="17208" spans="1:5" ht="15" customHeight="1" x14ac:dyDescent="0.25">
      <c r="A17208" s="1" t="s">
        <v>33890</v>
      </c>
      <c r="B17208" s="1">
        <v>0</v>
      </c>
      <c r="C17208" s="3">
        <v>44543.988321759258</v>
      </c>
      <c r="D17208" s="1" t="s">
        <v>33891</v>
      </c>
      <c r="E17208" s="4" t="str">
        <f ca="1">IFERROR(__xludf.DUMMYFUNCTION("GOOGLETRANSLATE(A11 , ""tr"" , ""en"")"),"RT @Alpunlumersin: @drfahrettinkoca Incorrect treatment methods are the Bill Gatesin Biontecin Protocol and kill the thousands you kill ...")</f>
        <v>RT @Alpunlumersin: @drfahrettinkoca Incorrect treatment methods are the Bill Gatesin Biontecin Protocol and kill the thousands you kill ...</v>
      </c>
    </row>
    <row r="17209" spans="1:5" ht="15" customHeight="1" x14ac:dyDescent="0.25">
      <c r="A17209" s="1" t="s">
        <v>33892</v>
      </c>
      <c r="B17209" s="1">
        <v>0</v>
      </c>
      <c r="C17209" s="3">
        <v>44543.988287037035</v>
      </c>
      <c r="D17209" s="1" t="s">
        <v>33893</v>
      </c>
      <c r="E17209" s="4" t="str">
        <f ca="1">IFERROR(__xludf.DUMMYFUNCTION("GOOGLETRANSLATE(A12 , ""tr"" , ""en"")"),"RT @ bypipo82: @drfahrettinkoca You have to be married to your vast and deep experience of you to be married to the name of the object of the object of the derivative ...")</f>
        <v>RT @ bypipo82: @drfahrettinkoca You have to be married to your vast and deep experience of you to be married to the name of the object of the object of the derivative ...</v>
      </c>
    </row>
    <row r="17210" spans="1:5" ht="15" customHeight="1" x14ac:dyDescent="0.25">
      <c r="A17210" s="1" t="s">
        <v>33894</v>
      </c>
      <c r="B17210" s="1">
        <v>0</v>
      </c>
      <c r="C17210" s="3">
        <v>44543.988217592596</v>
      </c>
      <c r="D17210" s="1" t="s">
        <v>33895</v>
      </c>
      <c r="E17210" s="4" t="str">
        <f ca="1">IFERROR(__xludf.DUMMYFUNCTION("GOOGLETRANSLATE(A13 , ""tr"" , ""en"")"),"RT @ EE20356218: @drfahrettinkoca then hear the call of moms that fear the health of their children first.")</f>
        <v>RT @ EE20356218: @drfahrettinkoca then hear the call of moms that fear the health of their children first.</v>
      </c>
    </row>
    <row r="17211" spans="1:5" ht="15" customHeight="1" x14ac:dyDescent="0.25">
      <c r="A17211" s="1" t="s">
        <v>33896</v>
      </c>
      <c r="B17211" s="1">
        <v>0</v>
      </c>
      <c r="C17211" s="3">
        <v>44543.988171296296</v>
      </c>
      <c r="D17211" s="1" t="s">
        <v>33897</v>
      </c>
      <c r="E17211" s="4" t="str">
        <f ca="1">IFERROR(__xludf.DUMMYFUNCTION("GOOGLETRANSLATE(A14 , ""tr"" , ""en"")"),"RT @ GNLAYYLDZ2: @drfahrettinkoca compensation of faults that have been forgiven or do not compensate then the Ahlar you have received")</f>
        <v>RT @ GNLAYYLDZ2: @drfahrettinkoca compensation of faults that have been forgiven or do not compensate then the Ahlar you have received</v>
      </c>
    </row>
    <row r="17212" spans="1:5" ht="15" customHeight="1" x14ac:dyDescent="0.25">
      <c r="A17212" s="1" t="s">
        <v>33898</v>
      </c>
      <c r="B17212" s="1">
        <v>0</v>
      </c>
      <c r="C17212" s="3">
        <v>44543.98814814815</v>
      </c>
      <c r="D17212" s="1" t="s">
        <v>33899</v>
      </c>
      <c r="E17212" s="4" t="str">
        <f ca="1">IFERROR(__xludf.DUMMYFUNCTION("GOOGLETRANSLATE(A15 , ""tr"" , ""en"")"),"RT @lartunamayayan: @drfahrettinkoca Rights No Halal Gezdir, You don't have to bed 7 Cotten blood vomits As you make the public, the people of the people ...")</f>
        <v>RT @lartunamayayan: @drfahrettinkoca Rights No Halal Gezdir, You don't have to bed 7 Cotten blood vomits As you make the public, the people of the people ...</v>
      </c>
    </row>
    <row r="17213" spans="1:5" ht="15" customHeight="1" x14ac:dyDescent="0.25">
      <c r="A17213" s="1" t="s">
        <v>33900</v>
      </c>
      <c r="B17213" s="1">
        <v>0</v>
      </c>
      <c r="C17213" s="3">
        <v>44543.985231481478</v>
      </c>
      <c r="D17213" s="1" t="s">
        <v>33901</v>
      </c>
      <c r="E17213" s="4" t="str">
        <f ca="1">IFERROR(__xludf.DUMMYFUNCTION("GOOGLETRANSLATE(A16 , ""tr"" , ""en"")"),"RT @ ozllem7: @drfahrettinkoca currently has a rain rain. Children are imprisoned to the classrooms. Don't stop in the crowd of Madem What thesis is ...")</f>
        <v>RT @ ozllem7: @drfahrettinkoca currently has a rain rain. Children are imprisoned to the classrooms. Don't stop in the crowd of Madem What thesis is ...</v>
      </c>
    </row>
    <row r="17214" spans="1:5" ht="15" customHeight="1" x14ac:dyDescent="0.25">
      <c r="A17214" s="1" t="s">
        <v>33902</v>
      </c>
      <c r="B17214" s="1">
        <v>0</v>
      </c>
      <c r="C17214" s="3">
        <v>44543.985231481478</v>
      </c>
      <c r="D17214" s="1" t="s">
        <v>33903</v>
      </c>
      <c r="E17214" s="4" t="str">
        <f ca="1">IFERROR(__xludf.DUMMYFUNCTION("GOOGLETRANSLATE(A17 , ""tr"" , ""en"")"),"@drfahrettinkoca DUS (Dentistry Experience), TUS should be made 2 times a year and SIN to the doctoral quotas ... https://t.co/rswuvkmwyu")</f>
        <v>@drfahrettinkoca DUS (Dentistry Experience), TUS should be made 2 times a year and SIN to the doctoral quotas ... https://t.co/rswuvkmwyu</v>
      </c>
    </row>
    <row r="17215" spans="1:5" ht="15" customHeight="1" x14ac:dyDescent="0.25">
      <c r="A17215" s="1" t="s">
        <v>33904</v>
      </c>
      <c r="B17215" s="1">
        <v>0</v>
      </c>
      <c r="C17215" s="3">
        <v>44543.981261574074</v>
      </c>
      <c r="D17215" s="1" t="s">
        <v>33905</v>
      </c>
      <c r="E17215" s="4" t="str">
        <f ca="1">IFERROR(__xludf.DUMMYFUNCTION("GOOGLETRANSLATE(A18 , ""tr"" , ""en"")"),"@drfahrettinkoca @Olarıcıkkurulu_ You don't have the same idea as this person? 👇 https://t.co/etgjmsgenz")</f>
        <v>@drfahrettinkoca @Olarıcıkkurulu_ You don't have the same idea as this person? 👇 https://t.co/etgjmsgenz</v>
      </c>
    </row>
    <row r="17216" spans="1:5" ht="15" customHeight="1" x14ac:dyDescent="0.25">
      <c r="A17216" s="1" t="s">
        <v>33906</v>
      </c>
      <c r="B17216" s="1">
        <v>0</v>
      </c>
      <c r="C17216" s="3">
        <v>44543.978113425925</v>
      </c>
      <c r="D17216" s="1" t="s">
        <v>33907</v>
      </c>
      <c r="E17216" s="4" t="str">
        <f ca="1">IFERROR(__xludf.DUMMYFUNCTION("GOOGLETRANSLATE(A19 , ""tr"" , ""en"")"),"RT @ MrWoland8: @drfahrettinkoca What vaccination is afraid of Allah. We spent it easy with the lady we weren't vaccinated. The grafted friend is your own and two girls ...")</f>
        <v>RT @ MrWoland8: @drfahrettinkoca What vaccination is afraid of Allah. We spent it easy with the lady we weren't vaccinated. The grafted friend is your own and two girls ...</v>
      </c>
    </row>
    <row r="17217" spans="1:5" ht="15" customHeight="1" x14ac:dyDescent="0.25">
      <c r="A17217" s="1" t="s">
        <v>33888</v>
      </c>
      <c r="B17217" s="1">
        <v>0</v>
      </c>
      <c r="C17217" s="3">
        <v>44543.976990740739</v>
      </c>
      <c r="D17217" s="1" t="s">
        <v>33908</v>
      </c>
      <c r="E17217" s="4" t="str">
        <f ca="1">IFERROR(__xludf.DUMMYFUNCTION("GOOGLETRANSLATE(A20 , ""tr"" , ""en"")"),"RT @muzafarmuratov: @drfahrettinka you injected the liquid you don't know the results in this nation. The Turkish Nation will never forget you. https: //t....")</f>
        <v>RT @muzafarmuratov: @drfahrettinka you injected the liquid you don't know the results in this nation. The Turkish Nation will never forget you. https: //t....</v>
      </c>
    </row>
    <row r="17218" spans="1:5" ht="15" customHeight="1" x14ac:dyDescent="0.25">
      <c r="A17218" s="1" t="s">
        <v>33909</v>
      </c>
      <c r="B17218" s="1">
        <v>0</v>
      </c>
      <c r="C17218" s="3">
        <v>44543.975243055553</v>
      </c>
      <c r="D17218" s="1" t="s">
        <v>33910</v>
      </c>
      <c r="E17218" s="4" t="str">
        <f ca="1">IFERROR(__xludf.DUMMYFUNCTION("GOOGLETRANSLATE(A21 , ""tr"" , ""en"")"),"RT @ orhan34441: @drfahrettinkoca What did you answer when I first reached your hand? Remember?")</f>
        <v>RT @ orhan34441: @drfahrettinkoca What did you answer when I first reached your hand? Remember?</v>
      </c>
    </row>
    <row r="17219" spans="1:5" ht="15" customHeight="1" x14ac:dyDescent="0.25">
      <c r="A17219" s="1" t="s">
        <v>33911</v>
      </c>
      <c r="B17219" s="1">
        <v>0</v>
      </c>
      <c r="C17219" s="3">
        <v>44543.974664351852</v>
      </c>
      <c r="D17219" s="1" t="s">
        <v>33912</v>
      </c>
      <c r="E17219" s="4" t="str">
        <f ca="1">IFERROR(__xludf.DUMMYFUNCTION("GOOGLETRANSLATE(A22 , ""tr"" , ""en"")"),"RT @ Cemilcan5834: @drfahrettinkoca direct screenshot Get to Get Friendlier This tweet always comes enough, athletes Celebrities Stay ...")</f>
        <v>RT @ Cemilcan5834: @drfahrettinkoca direct screenshot Get to Get Friendlier This tweet always comes enough, athletes Celebrities Stay ...</v>
      </c>
    </row>
    <row r="17220" spans="1:5" ht="15" customHeight="1" x14ac:dyDescent="0.25">
      <c r="A17220" s="1" t="s">
        <v>33900</v>
      </c>
      <c r="B17220" s="1">
        <v>0</v>
      </c>
      <c r="C17220" s="3">
        <v>44543.972546296296</v>
      </c>
      <c r="D17220" s="1" t="s">
        <v>33913</v>
      </c>
      <c r="E17220" s="4" t="str">
        <f ca="1">IFERROR(__xludf.DUMMYFUNCTION("GOOGLETRANSLATE(A23 , ""tr"" , ""en"")"),"RT @ ozllem7: @drfahrettinkoca currently has a rain rain. Children are imprisoned to the classrooms. Don't stop in the crowd of Madem What thesis is ...")</f>
        <v>RT @ ozllem7: @drfahrettinkoca currently has a rain rain. Children are imprisoned to the classrooms. Don't stop in the crowd of Madem What thesis is ...</v>
      </c>
    </row>
    <row r="17221" spans="1:5" ht="15" customHeight="1" x14ac:dyDescent="0.25">
      <c r="A17221" s="1" t="s">
        <v>33914</v>
      </c>
      <c r="B17221" s="1">
        <v>1</v>
      </c>
      <c r="C17221" s="3">
        <v>44543.969976851855</v>
      </c>
      <c r="D17221" s="1" t="s">
        <v>33915</v>
      </c>
      <c r="E17221" s="4" t="str">
        <f ca="1">IFERROR(__xludf.DUMMYFUNCTION("GOOGLETRANSLATE(A24 , ""tr"" , ""en"")"),"@drfahrettinkoca dari to you. Engraved the life of so many people. Survival from this from this halvalia with this job ... https://t.co/yxwr36htvr")</f>
        <v>@drfahrettinkoca dari to you. Engraved the life of so many people. Survival from this from this halvalia with this job ... https://t.co/yxwr36htvr</v>
      </c>
    </row>
    <row r="17222" spans="1:5" ht="15" customHeight="1" x14ac:dyDescent="0.25">
      <c r="A17222" s="1" t="s">
        <v>33916</v>
      </c>
      <c r="B17222" s="1">
        <v>0</v>
      </c>
      <c r="C17222" s="3">
        <v>44543.968819444446</v>
      </c>
      <c r="D17222" s="1" t="s">
        <v>33917</v>
      </c>
      <c r="E17222" s="4" t="str">
        <f ca="1">IFERROR(__xludf.DUMMYFUNCTION("GOOGLETRANSLATE(A25 , ""tr"" , ""en"")"),"RT @ dr_uyssal18: @drfahrettinkoca sec Minister, professional training in the field of health, our state of health management graduates give the staff ...")</f>
        <v>RT @ dr_uyssal18: @drfahrettinkoca sec Minister, professional training in the field of health, our state of health management graduates give the staff ...</v>
      </c>
    </row>
    <row r="17223" spans="1:5" ht="15" customHeight="1" x14ac:dyDescent="0.25">
      <c r="A17223" s="1" t="s">
        <v>33918</v>
      </c>
      <c r="B17223" s="1">
        <v>0</v>
      </c>
      <c r="C17223" s="3">
        <v>44543.96565972222</v>
      </c>
      <c r="D17223" s="1" t="s">
        <v>33919</v>
      </c>
      <c r="E17223" s="4" t="str">
        <f ca="1">IFERROR(__xludf.DUMMYFUNCTION("GOOGLETRANSLATE(A26 , ""tr"" , ""en"")"),"RT @ blentdanman3: @drfahrettinka Mr. Ministry today my daughter's Okmeydan SSK Hospital had surgery in the patient's surgery that came to us the child's ameliya ...")</f>
        <v>RT @ blentdanman3: @drfahrettinka Mr. Ministry today my daughter's Okmeydan SSK Hospital had surgery in the patient's surgery that came to us the child's ameliya ...</v>
      </c>
    </row>
    <row r="17224" spans="1:5" ht="15" customHeight="1" x14ac:dyDescent="0.25">
      <c r="A17224" s="1" t="s">
        <v>33920</v>
      </c>
      <c r="B17224" s="1">
        <v>0</v>
      </c>
      <c r="C17224" s="3">
        <v>44543.965416666666</v>
      </c>
      <c r="D17224" s="1" t="s">
        <v>33921</v>
      </c>
      <c r="E17224" s="4" t="str">
        <f ca="1">IFERROR(__xludf.DUMMYFUNCTION("GOOGLETRANSLATE(A27 , ""tr"" , ""en"")"),"RT @klarsseref: @drfahrettinkoca I passed every children to be vaccinated to be vaccinated to be inquiry 1 Don't CLAIM maybe this job is the middle ...")</f>
        <v>RT @klarsseref: @drfahrettinkoca I passed every children to be vaccinated to be vaccinated to be inquiry 1 Don't CLAIM maybe this job is the middle ...</v>
      </c>
    </row>
    <row r="17225" spans="1:5" ht="15" customHeight="1" x14ac:dyDescent="0.25">
      <c r="A17225" s="1" t="s">
        <v>33916</v>
      </c>
      <c r="B17225" s="1">
        <v>0</v>
      </c>
      <c r="C17225" s="3">
        <v>44543.963819444441</v>
      </c>
      <c r="D17225" s="1" t="s">
        <v>33922</v>
      </c>
      <c r="E17225" s="4" t="str">
        <f ca="1">IFERROR(__xludf.DUMMYFUNCTION("GOOGLETRANSLATE(A28 , ""tr"" , ""en"")"),"RT @ dr_uyssal18: @drfahrettinkoca sec Minister, professional training in the field of health, our state of health management graduates give the staff ...")</f>
        <v>RT @ dr_uyssal18: @drfahrettinkoca sec Minister, professional training in the field of health, our state of health management graduates give the staff ...</v>
      </c>
    </row>
    <row r="17226" spans="1:5" ht="15" customHeight="1" x14ac:dyDescent="0.25">
      <c r="A17226" s="1" t="s">
        <v>33923</v>
      </c>
      <c r="B17226" s="1">
        <v>0</v>
      </c>
      <c r="C17226" s="3">
        <v>44543.962199074071</v>
      </c>
      <c r="D17226" s="1" t="s">
        <v>33924</v>
      </c>
      <c r="E17226" s="4" t="str">
        <f ca="1">IFERROR(__xludf.DUMMYFUNCTION("GOOGLETRANSLATE(A29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227" spans="1:5" ht="15" customHeight="1" x14ac:dyDescent="0.25">
      <c r="A17227" s="1" t="s">
        <v>33925</v>
      </c>
      <c r="B17227" s="1">
        <v>0</v>
      </c>
      <c r="C17227" s="3">
        <v>44543.959374999999</v>
      </c>
      <c r="D17227" s="1" t="s">
        <v>33926</v>
      </c>
      <c r="E17227" s="4" t="str">
        <f ca="1">IFERROR(__xludf.DUMMYFUNCTION("GOOGLETRANSLATE(A30 , ""tr"" , ""en"")"),"RT @irfanalgul: @drfahrettinkoca We suggest you re-check what you have said from the beginning, always denied the previous one ...")</f>
        <v>RT @irfanalgul: @drfahrettinkoca We suggest you re-check what you have said from the beginning, always denied the previous one ...</v>
      </c>
    </row>
    <row r="17228" spans="1:5" ht="15" customHeight="1" x14ac:dyDescent="0.25">
      <c r="A17228" s="1" t="s">
        <v>33927</v>
      </c>
      <c r="B17228" s="1">
        <v>0</v>
      </c>
      <c r="C17228" s="3">
        <v>44543.959340277775</v>
      </c>
      <c r="D17228" s="1" t="s">
        <v>33928</v>
      </c>
      <c r="E17228" s="4" t="str">
        <f ca="1">IFERROR(__xludf.DUMMYFUNCTION("GOOGLETRANSLATE(A31 , ""tr"" , ""en"")"),"Rt @beko_bekous: @drfahrettinka Look Fdain, Pfizer MRNA vaccine is used in the first month; 160,000 side effects, 1223 deaths. 270 children drop 2 ...")</f>
        <v>Rt @beko_bekous: @drfahrettinka Look Fdain, Pfizer MRNA vaccine is used in the first month; 160,000 side effects, 1223 deaths. 270 children drop 2 ...</v>
      </c>
    </row>
    <row r="17229" spans="1:5" ht="15" customHeight="1" x14ac:dyDescent="0.25">
      <c r="A17229" s="1" t="s">
        <v>33888</v>
      </c>
      <c r="B17229" s="1">
        <v>0</v>
      </c>
      <c r="C17229" s="3">
        <v>44543.959282407406</v>
      </c>
      <c r="D17229" s="1" t="s">
        <v>33929</v>
      </c>
      <c r="E17229" s="4" t="str">
        <f ca="1">IFERROR(__xludf.DUMMYFUNCTION("GOOGLETRANSLATE(A32 , ""tr"" , ""en"")"),"RT @muzafarmuratov: @drfahrettinka you injected the liquid you don't know the results in this nation. The Turkish Nation will never forget you. https: //t....")</f>
        <v>RT @muzafarmuratov: @drfahrettinka you injected the liquid you don't know the results in this nation. The Turkish Nation will never forget you. https: //t....</v>
      </c>
    </row>
    <row r="17230" spans="1:5" ht="15" customHeight="1" x14ac:dyDescent="0.25">
      <c r="A17230" s="1" t="s">
        <v>33930</v>
      </c>
      <c r="B17230" s="1">
        <v>0</v>
      </c>
      <c r="C17230" s="3">
        <v>44543.954988425925</v>
      </c>
      <c r="D17230" s="1" t="s">
        <v>33931</v>
      </c>
      <c r="E17230" s="4" t="str">
        <f ca="1">IFERROR(__xludf.DUMMYFUNCTION("GOOGLETRANSLATE(A33 , ""tr"" , ""en"")"),"RT @Ozeroznuurr: @drfahrettinkoca What we need to be assigned to be able to make it is enough to get 100 full points in the public ...")</f>
        <v>RT @Ozeroznuurr: @drfahrettinkoca What we need to be assigned to be able to make it is enough to get 100 full points in the public ...</v>
      </c>
    </row>
    <row r="17231" spans="1:5" ht="15" customHeight="1" x14ac:dyDescent="0.25">
      <c r="A17231" s="1" t="s">
        <v>33932</v>
      </c>
      <c r="B17231" s="1">
        <v>0</v>
      </c>
      <c r="C17231" s="3">
        <v>44543.952013888891</v>
      </c>
      <c r="D17231" s="1" t="s">
        <v>33933</v>
      </c>
      <c r="E17231" s="4" t="str">
        <f ca="1">IFERROR(__xludf.DUMMYFUNCTION("GOOGLETRANSLATE(A34 , ""tr"" , ""en"")"),"RT @EbruerN: Even @drfahrettinkoca is even forced to go to the imprudent schools without taking measures. No testing no dilution ...")</f>
        <v>RT @EbruerN: Even @drfahrettinkoca is even forced to go to the imprudent schools without taking measures. No testing no dilution ...</v>
      </c>
    </row>
    <row r="17232" spans="1:5" ht="15" customHeight="1" x14ac:dyDescent="0.25">
      <c r="A17232" s="1" t="s">
        <v>33934</v>
      </c>
      <c r="B17232" s="1">
        <v>0</v>
      </c>
      <c r="C17232" s="3">
        <v>44543.951261574075</v>
      </c>
      <c r="D17232" s="1" t="s">
        <v>33935</v>
      </c>
      <c r="E17232" s="4" t="str">
        <f ca="1">IFERROR(__xludf.DUMMYFUNCTION("GOOGLETRANSLATE(A35 , ""tr"" , ""en"")"),"RT @EYMENGOKER: @drfahrettinkoca We are not forgiving!")</f>
        <v>RT @EYMENGOKER: @drfahrettinkoca We are not forgiving!</v>
      </c>
    </row>
    <row r="17233" spans="1:5" ht="15" customHeight="1" x14ac:dyDescent="0.25">
      <c r="A17233" s="1" t="s">
        <v>33936</v>
      </c>
      <c r="B17233" s="1">
        <v>1</v>
      </c>
      <c r="C17233" s="3">
        <v>44543.945081018515</v>
      </c>
      <c r="D17233" s="1" t="s">
        <v>33937</v>
      </c>
      <c r="E17233" s="4" t="str">
        <f ca="1">IFERROR(__xludf.DUMMYFUNCTION("GOOGLETRANSLATE(A36 , ""tr"" , ""en"")"),"@drfahrettinkoca you still continue to say vaccine😡 https://t.co/vbrfzygmzp")</f>
        <v>@drfahrettinkoca you still continue to say vaccine😡 https://t.co/vbrfzygmzp</v>
      </c>
    </row>
    <row r="17234" spans="1:5" ht="15" customHeight="1" x14ac:dyDescent="0.25">
      <c r="A17234" s="1" t="s">
        <v>33938</v>
      </c>
      <c r="B17234" s="1">
        <v>0</v>
      </c>
      <c r="C17234" s="3">
        <v>44543.94425925926</v>
      </c>
      <c r="D17234" s="1" t="s">
        <v>33939</v>
      </c>
      <c r="E17234" s="4" t="str">
        <f ca="1">IFERROR(__xludf.DUMMYFUNCTION("GOOGLETRANSLATE(A37 , ""tr"" , ""en"")"),"RT @ FATIH27363711: @drfahrettinkoca death numbers had copped the number of deaths in the same https:///n4keisskw7 as last year ...")</f>
        <v>RT @ FATIH27363711: @drfahrettinkoca death numbers had copped the number of deaths in the same https:///n4keisskw7 as last year ...</v>
      </c>
    </row>
    <row r="17235" spans="1:5" ht="15" customHeight="1" x14ac:dyDescent="0.25">
      <c r="A17235" s="1" t="s">
        <v>33940</v>
      </c>
      <c r="B17235" s="1">
        <v>0</v>
      </c>
      <c r="C17235" s="3">
        <v>44543.943738425929</v>
      </c>
      <c r="D17235" s="1" t="s">
        <v>33941</v>
      </c>
      <c r="E17235" s="4" t="str">
        <f ca="1">IFERROR(__xludf.DUMMYFUNCTION("GOOGLETRANSLATE(A38 , ""tr"" , ""en"")"),"Rt @ fizyoo2: @drfahrettinkoca What is our Vasvis for this country? We do not prefer medicine on time and we are people and our hands from this section ...")</f>
        <v>Rt @ fizyoo2: @drfahrettinkoca What is our Vasvis for this country? We do not prefer medicine on time and we are people and our hands from this section ...</v>
      </c>
    </row>
    <row r="17236" spans="1:5" ht="15" customHeight="1" x14ac:dyDescent="0.25">
      <c r="A17236" s="1" t="s">
        <v>33940</v>
      </c>
      <c r="B17236" s="1">
        <v>0</v>
      </c>
      <c r="C17236" s="3">
        <v>44543.941296296296</v>
      </c>
      <c r="D17236" s="1" t="s">
        <v>33942</v>
      </c>
      <c r="E17236" s="4" t="str">
        <f ca="1">IFERROR(__xludf.DUMMYFUNCTION("GOOGLETRANSLATE(A39 , ""tr"" , ""en"")"),"Rt @ fizyoo2: @drfahrettinkoca What is our Vasvis for this country? We do not prefer medicine on time and we are people and our hands from this section ...")</f>
        <v>Rt @ fizyoo2: @drfahrettinkoca What is our Vasvis for this country? We do not prefer medicine on time and we are people and our hands from this section ...</v>
      </c>
    </row>
    <row r="17237" spans="1:5" ht="15" customHeight="1" x14ac:dyDescent="0.25">
      <c r="A17237" s="1" t="s">
        <v>33943</v>
      </c>
      <c r="B17237" s="1">
        <v>0</v>
      </c>
      <c r="C17237" s="3">
        <v>44543.940763888888</v>
      </c>
      <c r="D17237" s="1" t="s">
        <v>33944</v>
      </c>
      <c r="E17237" s="4" t="str">
        <f ca="1">IFERROR(__xludf.DUMMYFUNCTION("GOOGLETRANSLATE(A40 , ""tr"" , ""en"")"),"RT @beytader: @drfahrettinkoca masallah 🧿🧿🧿🧿 Elhamdulillah 🤲🤲🤲🤲🤲🤲 either Safi")</f>
        <v>RT @beytader: @drfahrettinkoca masallah 🧿🧿🧿🧿 Elhamdulillah 🤲🤲🤲🤲🤲🤲 either Safi</v>
      </c>
    </row>
    <row r="17238" spans="1:5" ht="15" customHeight="1" x14ac:dyDescent="0.25">
      <c r="A17238" s="1" t="s">
        <v>33923</v>
      </c>
      <c r="B17238" s="1">
        <v>0</v>
      </c>
      <c r="C17238" s="3">
        <v>44543.939305555556</v>
      </c>
      <c r="D17238" s="1" t="s">
        <v>33945</v>
      </c>
      <c r="E17238" s="4" t="str">
        <f ca="1">IFERROR(__xludf.DUMMYFUNCTION("GOOGLETRANSLATE(A41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239" spans="1:5" ht="15" customHeight="1" x14ac:dyDescent="0.25">
      <c r="A17239" s="1" t="s">
        <v>33946</v>
      </c>
      <c r="B17239" s="1">
        <v>0</v>
      </c>
      <c r="C17239" s="3">
        <v>44543.936435185184</v>
      </c>
      <c r="D17239" s="1" t="s">
        <v>33947</v>
      </c>
      <c r="E17239" s="4" t="str">
        <f ca="1">IFERROR(__xludf.DUMMYFUNCTION("GOOGLETRANSLATE(A42 , ""tr"" , ""en"")"),"RT @ Gunesii78: @drfahrettinka when you will get the right thing and get to go online at how many my friend Corona was the dorms already sucks ...")</f>
        <v>RT @ Gunesii78: @drfahrettinka when you will get the right thing and get to go online at how many my friend Corona was the dorms already sucks ...</v>
      </c>
    </row>
    <row r="17240" spans="1:5" ht="15" customHeight="1" x14ac:dyDescent="0.25">
      <c r="A17240" s="1" t="s">
        <v>33948</v>
      </c>
      <c r="B17240" s="1">
        <v>0</v>
      </c>
      <c r="C17240" s="3">
        <v>44543.931909722225</v>
      </c>
      <c r="D17240" s="1" t="s">
        <v>33949</v>
      </c>
      <c r="E17240" s="4" t="str">
        <f ca="1">IFERROR(__xludf.DUMMYFUNCTION("GOOGLETRANSLATE(A43 , ""tr"" , ""en"")"),"RT @ MER64765933: Intensive care rooms in @drfahrettinkoca hospitals are full of full. !! The hospital front is full of full. All countries have been up, you h ...")</f>
        <v>RT @ MER64765933: Intensive care rooms in @drfahrettinkoca hospitals are full of full. !! The hospital front is full of full. All countries have been up, you h ...</v>
      </c>
    </row>
    <row r="17241" spans="1:5" ht="15" customHeight="1" x14ac:dyDescent="0.25">
      <c r="A17241" s="1" t="s">
        <v>33950</v>
      </c>
      <c r="B17241" s="1">
        <v>0</v>
      </c>
      <c r="C17241" s="3">
        <v>44543.931597222225</v>
      </c>
      <c r="D17241" s="1" t="s">
        <v>33951</v>
      </c>
      <c r="E17241" s="4" t="str">
        <f ca="1">IFERROR(__xludf.DUMMYFUNCTION("GOOGLETRANSLATE(A44 , ""tr"" , ""en"")"),"Rt @yedekhesapflm: @drfahrettinkoca are you kidding me dear #tbmmmbikicinonlinelivery")</f>
        <v>Rt @yedekhesapflm: @drfahrettinkoca are you kidding me dear #tbmmmbikicinonlinelivery</v>
      </c>
    </row>
    <row r="17242" spans="1:5" ht="15" customHeight="1" x14ac:dyDescent="0.25">
      <c r="A17242" s="1" t="s">
        <v>33952</v>
      </c>
      <c r="B17242" s="1">
        <v>0</v>
      </c>
      <c r="C17242" s="3">
        <v>44543.931539351855</v>
      </c>
      <c r="D17242" s="1" t="s">
        <v>33953</v>
      </c>
      <c r="E17242" s="4" t="str">
        <f ca="1">IFERROR(__xludf.DUMMYFUNCTION("GOOGLETRANSLATE(A45 , ""tr"" , ""en"")"),"RT @Jigell_: @drfahrettinkoca oo, 18 thousand cases, corona finished, decompose masks, what is friends? As if coronavirus is over.")</f>
        <v>RT @Jigell_: @drfahrettinkoca oo, 18 thousand cases, corona finished, decompose masks, what is friends? As if coronavirus is over.</v>
      </c>
    </row>
    <row r="17243" spans="1:5" ht="15" customHeight="1" x14ac:dyDescent="0.25">
      <c r="A17243" s="1" t="s">
        <v>33954</v>
      </c>
      <c r="B17243" s="1">
        <v>0</v>
      </c>
      <c r="C17243" s="3">
        <v>44543.931504629632</v>
      </c>
      <c r="D17243" s="1" t="s">
        <v>33955</v>
      </c>
      <c r="E17243" s="4" t="str">
        <f ca="1">IFERROR(__xludf.DUMMYFUNCTION("GOOGLETRANSLATE(A46 , ""tr"" , ""en"")"),"RT @followbanee: @drfahrettinkoca Hani 1000 Case Students will not be irricted 3 months?")</f>
        <v>RT @followbanee: @drfahrettinkoca Hani 1000 Case Students will not be irricted 3 months?</v>
      </c>
    </row>
    <row r="17244" spans="1:5" ht="15" customHeight="1" x14ac:dyDescent="0.25">
      <c r="A17244" s="1" t="s">
        <v>33956</v>
      </c>
      <c r="B17244" s="1">
        <v>0</v>
      </c>
      <c r="C17244" s="3">
        <v>44543.931446759256</v>
      </c>
      <c r="D17244" s="1" t="s">
        <v>33957</v>
      </c>
      <c r="E17244" s="4" t="str">
        <f ca="1">IFERROR(__xludf.DUMMYFUNCTION("GOOGLETRANSLATE(A47 , ""tr"" , ""en"")"),"RT @ MER64765933: @drfahrettinkoca Let me tell you the first answer of the reasons. !!! You are comfortable and unpredentry as if you weren't having an epidemic ...")</f>
        <v>RT @ MER64765933: @drfahrettinkoca Let me tell you the first answer of the reasons. !!! You are comfortable and unpredentry as if you weren't having an epidemic ...</v>
      </c>
    </row>
    <row r="17245" spans="1:5" ht="15" customHeight="1" x14ac:dyDescent="0.25">
      <c r="A17245" s="1" t="s">
        <v>33958</v>
      </c>
      <c r="B17245" s="1">
        <v>0</v>
      </c>
      <c r="C17245" s="3">
        <v>44543.931377314817</v>
      </c>
      <c r="D17245" s="1" t="s">
        <v>33959</v>
      </c>
      <c r="E17245" s="4" t="str">
        <f ca="1">IFERROR(__xludf.DUMMYFUNCTION("GOOGLETRANSLATE(A48 , ""tr"" , ""en"")"),"RT @PembGomesi: @drfahrettinka We believe in it's already #TBMMSticinonlinelivery")</f>
        <v>RT @PembGomesi: @drfahrettinka We believe in it's already #TBMMSticinonlinelivery</v>
      </c>
    </row>
    <row r="17246" spans="1:5" ht="15" customHeight="1" x14ac:dyDescent="0.25">
      <c r="A17246" s="1" t="s">
        <v>33960</v>
      </c>
      <c r="B17246" s="1">
        <v>0</v>
      </c>
      <c r="C17246" s="3">
        <v>44543.931342592594</v>
      </c>
      <c r="D17246" s="1" t="s">
        <v>33961</v>
      </c>
      <c r="E17246" s="4" t="str">
        <f ca="1">IFERROR(__xludf.DUMMYFUNCTION("GOOGLETRANSLATE(A49 , ""tr"" , ""en"")"),"RT @karaktero: @drfahrettinkoca What is the difference? Online education in 1000 cases, students are now protected from the closed areas in the winter ...")</f>
        <v>RT @karaktero: @drfahrettinkoca What is the difference? Online education in 1000 cases, students are now protected from the closed areas in the winter ...</v>
      </c>
    </row>
    <row r="17247" spans="1:5" ht="15" customHeight="1" x14ac:dyDescent="0.25">
      <c r="A17247" s="1" t="s">
        <v>33962</v>
      </c>
      <c r="B17247" s="1">
        <v>0</v>
      </c>
      <c r="C17247" s="3">
        <v>44543.931296296294</v>
      </c>
      <c r="D17247" s="1" t="s">
        <v>33963</v>
      </c>
      <c r="E17247" s="4" t="str">
        <f ca="1">IFERROR(__xludf.DUMMYFUNCTION("GOOGLETRANSLATE(A50 , ""tr"" , ""en"")"),"RT @EbruerN: @drfahrettinkoca where to be dropped from this reliable figures? What about the age of 12 years old, public health ...")</f>
        <v>RT @EbruerN: @drfahrettinkoca where to be dropped from this reliable figures? What about the age of 12 years old, public health ...</v>
      </c>
    </row>
    <row r="17248" spans="1:5" ht="15" customHeight="1" x14ac:dyDescent="0.25">
      <c r="A17248" s="1" t="s">
        <v>33964</v>
      </c>
      <c r="B17248" s="1">
        <v>0</v>
      </c>
      <c r="C17248" s="3">
        <v>44543.931261574071</v>
      </c>
      <c r="D17248" s="1" t="s">
        <v>33965</v>
      </c>
      <c r="E17248" s="4" t="str">
        <f ca="1">IFERROR(__xludf.DUMMYFUNCTION("GOOGLETRANSLATE(A51 , ""tr"" , ""en"")"),"RT @karaktero: @drfahrettinkoca is not scary? 171 has gone. Some mother's father to give his father to the ground who married his father ...")</f>
        <v>RT @karaktero: @drfahrettinkoca is not scary? 171 has gone. Some mother's father to give his father to the ground who married his father ...</v>
      </c>
    </row>
    <row r="17249" spans="1:5" ht="15" customHeight="1" x14ac:dyDescent="0.25">
      <c r="A17249" s="1" t="s">
        <v>33966</v>
      </c>
      <c r="B17249" s="1">
        <v>0</v>
      </c>
      <c r="C17249" s="3">
        <v>44543.931192129632</v>
      </c>
      <c r="D17249" s="1" t="s">
        <v>33967</v>
      </c>
      <c r="E17249" s="4" t="str">
        <f ca="1">IFERROR(__xludf.DUMMYFUNCTION("GOOGLETRANSLATE(A52 , ""tr"" , ""en"")"),"RT @handantuncalp: @drfahrettinkoca is amazing to take the same number of tests every day. Schools Crowded environments are extremely contagious ...")</f>
        <v>RT @handantuncalp: @drfahrettinkoca is amazing to take the same number of tests every day. Schools Crowded environments are extremely contagious ...</v>
      </c>
    </row>
    <row r="17250" spans="1:5" ht="15" customHeight="1" x14ac:dyDescent="0.25">
      <c r="A17250" s="1" t="s">
        <v>33968</v>
      </c>
      <c r="B17250" s="1">
        <v>0</v>
      </c>
      <c r="C17250" s="3">
        <v>44543.931168981479</v>
      </c>
      <c r="D17250" s="1" t="s">
        <v>33969</v>
      </c>
      <c r="E17250" s="4" t="str">
        <f ca="1">IFERROR(__xludf.DUMMYFUNCTION("GOOGLETRANSLATE(A53 , ""tr"" , ""en"")"),"RT @ EE20356218: @drfahrettinka Mr. Husband still Covid scary.")</f>
        <v>RT @ EE20356218: @drfahrettinka Mr. Husband still Covid scary.</v>
      </c>
    </row>
    <row r="17251" spans="1:5" ht="15" customHeight="1" x14ac:dyDescent="0.25">
      <c r="A17251" s="1" t="s">
        <v>33932</v>
      </c>
      <c r="B17251" s="1">
        <v>0</v>
      </c>
      <c r="C17251" s="3">
        <v>44543.93109953704</v>
      </c>
      <c r="D17251" s="1" t="s">
        <v>33970</v>
      </c>
      <c r="E17251" s="4" t="str">
        <f ca="1">IFERROR(__xludf.DUMMYFUNCTION("GOOGLETRANSLATE(A54 , ""tr"" , ""en"")"),"RT @EbruerN: Even @drfahrettinkoca is even forced to go to the imprudent schools without taking measures. No testing no dilution ...")</f>
        <v>RT @EbruerN: Even @drfahrettinkoca is even forced to go to the imprudent schools without taking measures. No testing no dilution ...</v>
      </c>
    </row>
    <row r="17252" spans="1:5" ht="15" customHeight="1" x14ac:dyDescent="0.25">
      <c r="A17252" s="1" t="s">
        <v>33971</v>
      </c>
      <c r="B17252" s="1">
        <v>0</v>
      </c>
      <c r="C17252" s="3">
        <v>44543.930972222224</v>
      </c>
      <c r="D17252" s="1" t="s">
        <v>33972</v>
      </c>
      <c r="E17252" s="4" t="str">
        <f ca="1">IFERROR(__xludf.DUMMYFUNCTION("GOOGLETRANSLATE(A55 , ""tr"" , ""en"")"),"RT @ İLENS8585: @drfahrettinkoca UK Omicron Case Number of Cases reached 3 thousand in a short time.")</f>
        <v>RT @ İLENS8585: @drfahrettinkoca UK Omicron Case Number of Cases reached 3 thousand in a short time.</v>
      </c>
    </row>
    <row r="17253" spans="1:5" ht="15" customHeight="1" x14ac:dyDescent="0.25">
      <c r="A17253" s="1" t="s">
        <v>33973</v>
      </c>
      <c r="B17253" s="1">
        <v>0</v>
      </c>
      <c r="C17253" s="3">
        <v>44543.930787037039</v>
      </c>
      <c r="D17253" s="1" t="s">
        <v>33974</v>
      </c>
      <c r="E17253" s="4" t="str">
        <f ca="1">IFERROR(__xludf.DUMMYFUNCTION("GOOGLETRANSLATE(A56 , ""tr"" , ""en"")"),"RT @ Denizkisisel74: @drfahrettinka 5-11AŞ vaccines missing for example")</f>
        <v>RT @ Denizkisisel74: @drfahrettinka 5-11AŞ vaccines missing for example</v>
      </c>
    </row>
    <row r="17254" spans="1:5" ht="15" customHeight="1" x14ac:dyDescent="0.25">
      <c r="A17254" s="1" t="s">
        <v>33975</v>
      </c>
      <c r="B17254" s="1">
        <v>0</v>
      </c>
      <c r="C17254" s="3">
        <v>44543.930590277778</v>
      </c>
      <c r="D17254" s="1" t="s">
        <v>33976</v>
      </c>
      <c r="E17254" s="4" t="str">
        <f ca="1">IFERROR(__xludf.DUMMYFUNCTION("GOOGLETRANSLATE(A57 , ""tr"" , ""en"")"),"Rt @buradayim: @drfahrettinkoca 171 people died and what you are died, just put yourself in place of the family of 171 people. ...")</f>
        <v>Rt @buradayim: @drfahrettinkoca 171 people died and what you are died, just put yourself in place of the family of 171 people. ...</v>
      </c>
    </row>
    <row r="17255" spans="1:5" ht="15" customHeight="1" x14ac:dyDescent="0.25">
      <c r="A17255" s="1" t="s">
        <v>33977</v>
      </c>
      <c r="B17255" s="1">
        <v>0</v>
      </c>
      <c r="C17255" s="3">
        <v>44543.930555555555</v>
      </c>
      <c r="D17255" s="1" t="s">
        <v>33978</v>
      </c>
      <c r="E17255" s="4" t="str">
        <f ca="1">IFERROR(__xludf.DUMMYFUNCTION("GOOGLETRANSLATE(A58 , ""tr"" , ""en"")"),"RT @ Lavinia56398957: @drfahrettinkoca Fahrettin I think we will be able to make the misconception on the hubby. The cases of the cases are very much ...")</f>
        <v>RT @ Lavinia56398957: @drfahrettinkoca Fahrettin I think we will be able to make the misconception on the hubby. The cases of the cases are very much ...</v>
      </c>
    </row>
    <row r="17256" spans="1:5" ht="15" customHeight="1" x14ac:dyDescent="0.25">
      <c r="A17256" s="1" t="s">
        <v>33979</v>
      </c>
      <c r="B17256" s="1">
        <v>0</v>
      </c>
      <c r="C17256" s="3">
        <v>44543.930532407408</v>
      </c>
      <c r="D17256" s="1" t="s">
        <v>33980</v>
      </c>
      <c r="E17256" s="4" t="str">
        <f ca="1">IFERROR(__xludf.DUMMYFUNCTION("GOOGLETRANSLATE(A59 , ""tr"" , ""en"")"),"Rt @cengizclky: @drfahrettinkoca online training we want to star")</f>
        <v>Rt @cengizclky: @drfahrettinkoca online training we want to star</v>
      </c>
    </row>
    <row r="17257" spans="1:5" ht="15" customHeight="1" x14ac:dyDescent="0.25">
      <c r="A17257" s="1" t="s">
        <v>33981</v>
      </c>
      <c r="B17257" s="1">
        <v>0</v>
      </c>
      <c r="C17257" s="3">
        <v>44543.930462962962</v>
      </c>
      <c r="D17257" s="1" t="s">
        <v>33982</v>
      </c>
      <c r="E17257" s="4" t="str">
        <f ca="1">IFERROR(__xludf.DUMMYFUNCTION("GOOGLETRANSLATE(A60 , ""tr"" , ""en"")"),"RT @ LALA23111660: @drfahrettinka you are people who have answered to the question that even if you have case of Omicron. We don't believe in you in life # ...")</f>
        <v>RT @ LALA23111660: @drfahrettinka you are people who have answered to the question that even if you have case of Omicron. We don't believe in you in life # ...</v>
      </c>
    </row>
    <row r="17258" spans="1:5" ht="15" customHeight="1" x14ac:dyDescent="0.25">
      <c r="A17258" s="1" t="s">
        <v>33983</v>
      </c>
      <c r="B17258" s="1">
        <v>0</v>
      </c>
      <c r="C17258" s="3">
        <v>44543.928425925929</v>
      </c>
      <c r="D17258" s="1" t="s">
        <v>33984</v>
      </c>
      <c r="E17258" s="4" t="str">
        <f ca="1">IFERROR(__xludf.DUMMYFUNCTION("GOOGLETRANSLATE(A61 , ""tr"" , ""en"")"),"RT @Ulayk: @drfahrettinkoca 40 does it? https://t.co/uwg6tzexwu")</f>
        <v>RT @Ulayk: @drfahrettinkoca 40 does it? https://t.co/uwg6tzexwu</v>
      </c>
    </row>
    <row r="17259" spans="1:5" ht="15" customHeight="1" x14ac:dyDescent="0.25">
      <c r="A17259" s="1" t="s">
        <v>33962</v>
      </c>
      <c r="B17259" s="1">
        <v>0</v>
      </c>
      <c r="C17259" s="3">
        <v>44543.924444444441</v>
      </c>
      <c r="D17259" s="1" t="s">
        <v>33985</v>
      </c>
      <c r="E17259" s="4" t="str">
        <f ca="1">IFERROR(__xludf.DUMMYFUNCTION("GOOGLETRANSLATE(A62 , ""tr"" , ""en"")"),"RT @EbruerN: @drfahrettinkoca where to be dropped from this reliable figures? What about the age of 12 years old, public health ...")</f>
        <v>RT @EbruerN: @drfahrettinkoca where to be dropped from this reliable figures? What about the age of 12 years old, public health ...</v>
      </c>
    </row>
    <row r="17260" spans="1:5" ht="15" customHeight="1" x14ac:dyDescent="0.25">
      <c r="A17260" s="1" t="s">
        <v>33932</v>
      </c>
      <c r="B17260" s="1">
        <v>0</v>
      </c>
      <c r="C17260" s="3">
        <v>44543.924259259256</v>
      </c>
      <c r="D17260" s="1" t="s">
        <v>33986</v>
      </c>
      <c r="E17260" s="4" t="str">
        <f ca="1">IFERROR(__xludf.DUMMYFUNCTION("GOOGLETRANSLATE(A63 , ""tr"" , ""en"")"),"RT @EbruerN: Even @drfahrettinkoca is even forced to go to the imprudent schools without taking measures. No testing no dilution ...")</f>
        <v>RT @EbruerN: Even @drfahrettinkoca is even forced to go to the imprudent schools without taking measures. No testing no dilution ...</v>
      </c>
    </row>
    <row r="17261" spans="1:5" ht="15" customHeight="1" x14ac:dyDescent="0.25">
      <c r="A17261" s="1" t="s">
        <v>33987</v>
      </c>
      <c r="B17261" s="1">
        <v>0</v>
      </c>
      <c r="C17261" s="3">
        <v>44543.924247685187</v>
      </c>
      <c r="D17261" s="1" t="s">
        <v>33988</v>
      </c>
      <c r="E17261" s="4" t="str">
        <f ca="1">IFERROR(__xludf.DUMMYFUNCTION("GOOGLETRANSLATE(A64 , ""tr"" , ""en"")"),"RT @simalefeoglu: @drfahrettinkoca HBYS Submerior Workers Squadder Verified Han Where is it where?")</f>
        <v>RT @simalefeoglu: @drfahrettinkoca HBYS Submerior Workers Squadder Verified Han Where is it where?</v>
      </c>
    </row>
    <row r="17262" spans="1:5" ht="15" customHeight="1" x14ac:dyDescent="0.25">
      <c r="A17262" s="1" t="s">
        <v>33989</v>
      </c>
      <c r="B17262" s="1">
        <v>0</v>
      </c>
      <c r="C17262" s="3">
        <v>44543.924212962964</v>
      </c>
      <c r="D17262" s="1" t="s">
        <v>33990</v>
      </c>
      <c r="E17262" s="4" t="str">
        <f ca="1">IFERROR(__xludf.DUMMYFUNCTION("GOOGLETRANSLATE(A65 , ""tr"" , ""en"")"),"Rt @n_a_z_e_l_i_m: @drfahrettinkoca Finally I thought the riddle comes :) Come ask :))))))))) Give our children the right to vaccine! NO ...")</f>
        <v>Rt @n_a_z_e_l_i_m: @drfahrettinkoca Finally I thought the riddle comes :) Come ask :))))))))) Give our children the right to vaccine! NO ...</v>
      </c>
    </row>
    <row r="17263" spans="1:5" ht="15" customHeight="1" x14ac:dyDescent="0.25">
      <c r="A17263" s="1" t="s">
        <v>33991</v>
      </c>
      <c r="B17263" s="1">
        <v>0</v>
      </c>
      <c r="C17263" s="3">
        <v>44543.924004629633</v>
      </c>
      <c r="D17263" s="1" t="s">
        <v>33992</v>
      </c>
      <c r="E17263" s="4" t="str">
        <f ca="1">IFERROR(__xludf.DUMMYFUNCTION("GOOGLETRANSLATE(A66 , ""tr"" , ""en"")"),"RT @Ebruzeybon: Why is @drfahrettinkoca why is it like this ... Why are children not protected? # Tbmmnethikinonlinelitim")</f>
        <v>RT @Ebruzeybon: Why is @drfahrettinkoca why is it like this ... Why are children not protected? # Tbmmnethikinonlinelitim</v>
      </c>
    </row>
    <row r="17264" spans="1:5" ht="15" customHeight="1" x14ac:dyDescent="0.25">
      <c r="A17264" s="1" t="s">
        <v>33993</v>
      </c>
      <c r="B17264" s="1">
        <v>0</v>
      </c>
      <c r="C17264" s="3">
        <v>44543.917881944442</v>
      </c>
      <c r="D17264" s="1" t="s">
        <v>33994</v>
      </c>
      <c r="E17264" s="4" t="str">
        <f ca="1">IFERROR(__xludf.DUMMYFUNCTION("GOOGLETRANSLATE(A67 , ""tr"" , ""en"")"),"Rt @kralsizkole: @drfahrettinkoca @drfahrettinkoca @saglikbakanligi Hospital Hospitalized HBBS So Data Processing Staff Subcontracting Law Victim Software Comp ...")</f>
        <v>Rt @kralsizkole: @drfahrettinkoca @drfahrettinkoca @saglikbakanligi Hospital Hospitalized HBBS So Data Processing Staff Subcontracting Law Victim Software Comp ...</v>
      </c>
    </row>
    <row r="17265" spans="1:5" ht="15" customHeight="1" x14ac:dyDescent="0.25">
      <c r="A17265" s="1" t="s">
        <v>33995</v>
      </c>
      <c r="B17265" s="1">
        <v>0</v>
      </c>
      <c r="C17265" s="3">
        <v>44543.917615740742</v>
      </c>
      <c r="D17265" s="1" t="s">
        <v>33996</v>
      </c>
      <c r="E17265" s="4" t="str">
        <f ca="1">IFERROR(__xludf.DUMMYFUNCTION("GOOGLETRANSLATE(A68 , ""tr"" , ""en"")"),"RT @ AYHAN_002: @drfahrettinka Mr. Minister Our Minister Hbys Health Workers Hospitals Running on Day 7/24 in Hospitals Persone Persone ...")</f>
        <v>RT @ AYHAN_002: @drfahrettinka Mr. Minister Our Minister Hbys Health Workers Hospitals Running on Day 7/24 in Hospitals Persone Persone ...</v>
      </c>
    </row>
    <row r="17266" spans="1:5" ht="15" customHeight="1" x14ac:dyDescent="0.25">
      <c r="A17266" s="1" t="s">
        <v>33997</v>
      </c>
      <c r="B17266" s="1">
        <v>0</v>
      </c>
      <c r="C17266" s="3">
        <v>44543.917569444442</v>
      </c>
      <c r="D17266" s="1" t="s">
        <v>33998</v>
      </c>
      <c r="E17266" s="4" t="str">
        <f ca="1">IFERROR(__xludf.DUMMYFUNCTION("GOOGLETRANSLATE(A69 , ""tr"" , ""en"")"),"RT @ Batista0112: @drfahrettinka Mr. Minister Ministry of Health Subcontracting in your hospitals only HBYS computing studies ...")</f>
        <v>RT @ Batista0112: @drfahrettinka Mr. Minister Ministry of Health Subcontracting in your hospitals only HBYS computing studies ...</v>
      </c>
    </row>
    <row r="17267" spans="1:5" ht="15" customHeight="1" x14ac:dyDescent="0.25">
      <c r="A17267" s="1" t="s">
        <v>33999</v>
      </c>
      <c r="B17267" s="1">
        <v>0</v>
      </c>
      <c r="C17267" s="3">
        <v>44543.917523148149</v>
      </c>
      <c r="D17267" s="1" t="s">
        <v>34000</v>
      </c>
      <c r="E17267" s="4" t="str">
        <f ca="1">IFERROR(__xludf.DUMMYFUNCTION("GOOGLETRANSLATE(A70 , ""tr"" , ""en"")"),"Rt @ o2turkahmet: @drfahrettinka Mr. Ministry No error-free handle, as a result we are all people in 2018 only in the Ministry of Ministry Disclaimer in 2018.")</f>
        <v>Rt @ o2turkahmet: @drfahrettinka Mr. Ministry No error-free handle, as a result we are all people in 2018 only in the Ministry of Ministry Disclaimer in 2018.</v>
      </c>
    </row>
    <row r="17268" spans="1:5" ht="15" customHeight="1" x14ac:dyDescent="0.25">
      <c r="A17268" s="1" t="s">
        <v>34001</v>
      </c>
      <c r="B17268" s="1">
        <v>0</v>
      </c>
      <c r="C17268" s="3">
        <v>44543.917488425926</v>
      </c>
      <c r="D17268" s="1" t="s">
        <v>34002</v>
      </c>
      <c r="E17268" s="4" t="str">
        <f ca="1">IFERROR(__xludf.DUMMYFUNCTION("GOOGLETRANSLATE(A71 , ""tr"" , ""en"")"),"RT @HBYSMGSBYS: @drfahrettinkoca HBYS The staff were not given in your staff staff. Mr. Minister Our unit of qualified, patient ...")</f>
        <v>RT @HBYSMGSBYS: @drfahrettinkoca HBYS The staff were not given in your staff staff. Mr. Minister Our unit of qualified, patient ...</v>
      </c>
    </row>
    <row r="17269" spans="1:5" ht="15" customHeight="1" x14ac:dyDescent="0.25">
      <c r="A17269" s="1" t="s">
        <v>34003</v>
      </c>
      <c r="B17269" s="1">
        <v>0</v>
      </c>
      <c r="C17269" s="3">
        <v>44543.917453703703</v>
      </c>
      <c r="D17269" s="1" t="s">
        <v>34004</v>
      </c>
      <c r="E17269" s="4" t="str">
        <f ca="1">IFERROR(__xludf.DUMMYFUNCTION("GOOGLETRANSLATE(A72 , ""tr"" , ""en"")"),"RT @Yunus_Duril: @drfahrettinka for many years HBYS computing personnel missing Missing Minister. @vedatbilgn https://t.co/pyqko0pljo")</f>
        <v>RT @Yunus_Duril: @drfahrettinka for many years HBYS computing personnel missing Missing Minister. @vedatbilgn https://t.co/pyqko0pljo</v>
      </c>
    </row>
    <row r="17270" spans="1:5" ht="15" customHeight="1" x14ac:dyDescent="0.25">
      <c r="A17270" s="1" t="s">
        <v>34005</v>
      </c>
      <c r="B17270" s="1">
        <v>0</v>
      </c>
      <c r="C17270" s="3">
        <v>44543.91741898148</v>
      </c>
      <c r="D17270" s="1" t="s">
        <v>34006</v>
      </c>
      <c r="E17270" s="4" t="str">
        <f ca="1">IFERROR(__xludf.DUMMYFUNCTION("GOOGLETRANSLATE(A73 , ""tr"" , ""en"")"),"Rt @sametincir_: @drfahrettinkoca Dear husband. Hospitals who work in hospitals have given words to HBYS computing / software experts. All H ...")</f>
        <v>Rt @sametincir_: @drfahrettinkoca Dear husband. Hospitals who work in hospitals have given words to HBYS computing / software experts. All H ...</v>
      </c>
    </row>
    <row r="17271" spans="1:5" ht="15" customHeight="1" x14ac:dyDescent="0.25">
      <c r="A17271" s="1" t="s">
        <v>34007</v>
      </c>
      <c r="B17271" s="1">
        <v>0</v>
      </c>
      <c r="C17271" s="3">
        <v>44543.916944444441</v>
      </c>
      <c r="D17271" s="1" t="s">
        <v>34008</v>
      </c>
      <c r="E17271" s="4" t="str">
        <f ca="1">IFERROR(__xludf.DUMMYFUNCTION("GOOGLETRANSLATE(A74 , ""tr"" , ""en"")"),"RT @esarisaray: @drfahrettinkoca HBYS staff say, we will also say that our deficiency of the staff you don't give it to the staff. Let's love the staff ...")</f>
        <v>RT @esarisaray: @drfahrettinkoca HBYS staff say, we will also say that our deficiency of the staff you don't give it to the staff. Let's love the staff ...</v>
      </c>
    </row>
    <row r="17272" spans="1:5" ht="15" customHeight="1" x14ac:dyDescent="0.25">
      <c r="A17272" s="1" t="s">
        <v>33946</v>
      </c>
      <c r="B17272" s="1">
        <v>0</v>
      </c>
      <c r="C17272" s="3">
        <v>44543.916817129626</v>
      </c>
      <c r="D17272" s="1" t="s">
        <v>34009</v>
      </c>
      <c r="E17272" s="4" t="str">
        <f ca="1">IFERROR(__xludf.DUMMYFUNCTION("GOOGLETRANSLATE(A75 , ""tr"" , ""en"")"),"RT @ Gunesii78: @drfahrettinka when you will get the right thing and get to go online at how many my friend Corona was the dorms already sucks ...")</f>
        <v>RT @ Gunesii78: @drfahrettinka when you will get the right thing and get to go online at how many my friend Corona was the dorms already sucks ...</v>
      </c>
    </row>
    <row r="17273" spans="1:5" ht="15" customHeight="1" x14ac:dyDescent="0.25">
      <c r="A17273" s="1" t="s">
        <v>34010</v>
      </c>
      <c r="B17273" s="1">
        <v>0</v>
      </c>
      <c r="C17273" s="3">
        <v>44543.915798611109</v>
      </c>
      <c r="D17273" s="1" t="s">
        <v>34011</v>
      </c>
      <c r="E17273" s="4" t="str">
        <f ca="1">IFERROR(__xludf.DUMMYFUNCTION("GOOGLETRANSLATE(A76 , ""tr"" , ""en"")"),"RT @ DERYA26745389: @drfahrettinkoca hand goes to Mersin we go reverse the reverse # tbmmnethism")</f>
        <v>RT @ DERYA26745389: @drfahrettinkoca hand goes to Mersin we go reverse the reverse # tbmmnethism</v>
      </c>
    </row>
    <row r="17274" spans="1:5" ht="15" customHeight="1" x14ac:dyDescent="0.25">
      <c r="A17274" s="1" t="s">
        <v>34012</v>
      </c>
      <c r="B17274" s="1">
        <v>0</v>
      </c>
      <c r="C17274" s="3">
        <v>44543.915162037039</v>
      </c>
      <c r="D17274" s="1" t="s">
        <v>34013</v>
      </c>
      <c r="E17274" s="4" t="str">
        <f ca="1">IFERROR(__xludf.DUMMYFUNCTION("GOOGLETRANSLATE(A77 , ""tr"" , ""en"")"),"RT @ebruern: @drfahrettinkoca but continuously error is not made? Me and many moms are now more than the months but don't take into account until today ...")</f>
        <v>RT @ebruern: @drfahrettinkoca but continuously error is not made? Me and many moms are now more than the months but don't take into account until today ...</v>
      </c>
    </row>
    <row r="17275" spans="1:5" ht="15" customHeight="1" x14ac:dyDescent="0.25">
      <c r="A17275" s="1" t="s">
        <v>33918</v>
      </c>
      <c r="B17275" s="1">
        <v>0</v>
      </c>
      <c r="C17275" s="3">
        <v>44543.91510416667</v>
      </c>
      <c r="D17275" s="1" t="s">
        <v>34014</v>
      </c>
      <c r="E17275" s="4" t="str">
        <f ca="1">IFERROR(__xludf.DUMMYFUNCTION("GOOGLETRANSLATE(A78 , ""tr"" , ""en"")"),"RT @ blentdanman3: @drfahrettinka Mr. Ministry today my daughter's Okmeydan SSK Hospital had surgery in the patient's surgery that came to us the child's ameliya ...")</f>
        <v>RT @ blentdanman3: @drfahrettinka Mr. Ministry today my daughter's Okmeydan SSK Hospital had surgery in the patient's surgery that came to us the child's ameliya ...</v>
      </c>
    </row>
    <row r="17276" spans="1:5" ht="15" customHeight="1" x14ac:dyDescent="0.25">
      <c r="A17276" s="1" t="s">
        <v>34015</v>
      </c>
      <c r="B17276" s="1">
        <v>0</v>
      </c>
      <c r="C17276" s="3">
        <v>44543.915069444447</v>
      </c>
      <c r="D17276" s="1" t="s">
        <v>34016</v>
      </c>
      <c r="E17276" s="4" t="str">
        <f ca="1">IFERROR(__xludf.DUMMYFUNCTION("GOOGLETRANSLATE(A79 , ""tr"" , ""en"")"),"Rt @hulya_yalvac: @drfahrettinkoca We accept everything SN. You have tried to struggle with an unknown virus. Everything in this world ...")</f>
        <v>Rt @hulya_yalvac: @drfahrettinkoca We accept everything SN. You have tried to struggle with an unknown virus. Everything in this world ...</v>
      </c>
    </row>
    <row r="17277" spans="1:5" ht="15" customHeight="1" x14ac:dyDescent="0.25">
      <c r="A17277" s="1" t="s">
        <v>34017</v>
      </c>
      <c r="B17277" s="1">
        <v>0</v>
      </c>
      <c r="C17277" s="3">
        <v>44543.915046296293</v>
      </c>
      <c r="D17277" s="1" t="s">
        <v>34018</v>
      </c>
      <c r="E17277" s="4" t="str">
        <f ca="1">IFERROR(__xludf.DUMMYFUNCTION("GOOGLETRANSLATE(A80 , ""tr"" , ""en"")"),"RT @ MUALLA0902: @drfahrettinka no count husband !! The rings you created from mistakes were chains !! We have many times on your authority to you ...")</f>
        <v>RT @ MUALLA0902: @drfahrettinka no count husband !! The rings you created from mistakes were chains !! We have many times on your authority to you ...</v>
      </c>
    </row>
    <row r="17278" spans="1:5" ht="15" customHeight="1" x14ac:dyDescent="0.25">
      <c r="A17278" s="1" t="s">
        <v>34019</v>
      </c>
      <c r="B17278" s="1">
        <v>0</v>
      </c>
      <c r="C17278" s="3">
        <v>44543.914976851855</v>
      </c>
      <c r="D17278" s="1" t="s">
        <v>34020</v>
      </c>
      <c r="E17278" s="4" t="str">
        <f ca="1">IFERROR(__xludf.DUMMYFUNCTION("GOOGLETRANSLATE(A81 , ""tr"" , ""en"")"),"RT @ elif74: If you are back from your mistake before @drfahrettinkca you will then request a halality. Schools are still face. If your justification is the number of falling cases ...")</f>
        <v>RT @ elif74: If you are back from your mistake before @drfahrettinkca you will then request a halality. Schools are still face. If your justification is the number of falling cases ...</v>
      </c>
    </row>
    <row r="17279" spans="1:5" ht="15" customHeight="1" x14ac:dyDescent="0.25">
      <c r="A17279" s="1" t="s">
        <v>34021</v>
      </c>
      <c r="B17279" s="1">
        <v>0</v>
      </c>
      <c r="C17279" s="3">
        <v>44543.914918981478</v>
      </c>
      <c r="D17279" s="1" t="s">
        <v>34022</v>
      </c>
      <c r="E17279" s="4" t="str">
        <f ca="1">IFERROR(__xludf.DUMMYFUNCTION("GOOGLETRANSLATE(A82 , ""tr"" , ""en"")"),"RT @EbruZeybon: @drfahrettinkoca you will never be forgiven because of the efforts you have shown for our children's health #")</f>
        <v>RT @EbruZeybon: @drfahrettinkoca you will never be forgiven because of the efforts you have shown for our children's health #</v>
      </c>
    </row>
    <row r="17280" spans="1:5" ht="15" customHeight="1" x14ac:dyDescent="0.25">
      <c r="A17280" s="1" t="s">
        <v>34023</v>
      </c>
      <c r="B17280" s="1">
        <v>0</v>
      </c>
      <c r="C17280" s="3">
        <v>44543.914872685185</v>
      </c>
      <c r="D17280" s="1" t="s">
        <v>34024</v>
      </c>
      <c r="E17280" s="4" t="str">
        <f ca="1">IFERROR(__xludf.DUMMYFUNCTION("GOOGLETRANSLATE(A83 , ""tr"" , ""en"")"),"Rt @ebruzeybon: @drfahrettinkoca you don't read the appreciation of the nation. # Tbmmacityism")</f>
        <v>Rt @ebruzeybon: @drfahrettinkoca you don't read the appreciation of the nation. # Tbmmacityism</v>
      </c>
    </row>
    <row r="17281" spans="1:5" ht="15" customHeight="1" x14ac:dyDescent="0.25">
      <c r="A17281" s="1" t="s">
        <v>34025</v>
      </c>
      <c r="B17281" s="1">
        <v>0</v>
      </c>
      <c r="C17281" s="3">
        <v>44543.914120370369</v>
      </c>
      <c r="D17281" s="1" t="s">
        <v>34026</v>
      </c>
      <c r="E17281" s="4" t="str">
        <f ca="1">IFERROR(__xludf.DUMMYFUNCTION("GOOGLETRANSLATE(A84 , ""tr"" , ""en"")"),"Rt @vicdanadirdir: @drfahrettinkoca PCR-Mask-Mask-HEPP Code-closures We still continue to accept with our own request and circular ...")</f>
        <v>Rt @vicdanadirdir: @drfahrettinkoca PCR-Mask-Mask-HEPP Code-closures We still continue to accept with our own request and circular ...</v>
      </c>
    </row>
    <row r="17282" spans="1:5" ht="15" customHeight="1" x14ac:dyDescent="0.25">
      <c r="A17282" s="1" t="s">
        <v>33918</v>
      </c>
      <c r="B17282" s="1">
        <v>0</v>
      </c>
      <c r="C17282" s="3">
        <v>44543.912777777776</v>
      </c>
      <c r="D17282" s="1" t="s">
        <v>34027</v>
      </c>
      <c r="E17282" s="4" t="str">
        <f ca="1">IFERROR(__xludf.DUMMYFUNCTION("GOOGLETRANSLATE(A85 , ""tr"" , ""en"")"),"RT @ blentdanman3: @drfahrettinka Mr. Ministry today my daughter's Okmeydan SSK Hospital had surgery in the patient's surgery that came to us the child's ameliya ...")</f>
        <v>RT @ blentdanman3: @drfahrettinka Mr. Ministry today my daughter's Okmeydan SSK Hospital had surgery in the patient's surgery that came to us the child's ameliya ...</v>
      </c>
    </row>
    <row r="17283" spans="1:5" ht="15" customHeight="1" x14ac:dyDescent="0.25">
      <c r="A17283" s="1" t="s">
        <v>34028</v>
      </c>
      <c r="B17283" s="1">
        <v>0</v>
      </c>
      <c r="C17283" s="3">
        <v>44543.912534722222</v>
      </c>
      <c r="D17283" s="1" t="s">
        <v>34029</v>
      </c>
      <c r="E17283" s="4" t="str">
        <f ca="1">IFERROR(__xludf.DUMMYFUNCTION("GOOGLETRANSLATE(A86 , ""tr"" , ""en"")"),"RT @ elfidaa41412597: @drfahrettinkoca Fahrettin Bey No material to be closed in State Hospital in Bergama State Hospital 😠 Mom Mom ...")</f>
        <v>RT @ elfidaa41412597: @drfahrettinkoca Fahrettin Bey No material to be closed in State Hospital in Bergama State Hospital 😠 Mom Mom ...</v>
      </c>
    </row>
    <row r="17284" spans="1:5" ht="15" customHeight="1" x14ac:dyDescent="0.25">
      <c r="A17284" s="1" t="s">
        <v>34030</v>
      </c>
      <c r="B17284" s="1">
        <v>0</v>
      </c>
      <c r="C17284" s="3">
        <v>44543.910543981481</v>
      </c>
      <c r="D17284" s="1" t="s">
        <v>34031</v>
      </c>
      <c r="E17284" s="4" t="str">
        <f ca="1">IFERROR(__xludf.DUMMYFUNCTION("GOOGLETRANSLATE(A87 , ""tr"" , ""en"")"),"Rt @azucarem: @drfahrettinkoca is not a caste? Despite this alert, you, the Board of Science and the vaccination pressures of your ries ...")</f>
        <v>Rt @azucarem: @drfahrettinkoca is not a caste? Despite this alert, you, the Board of Science and the vaccination pressures of your ries ...</v>
      </c>
    </row>
    <row r="17285" spans="1:5" ht="15" customHeight="1" x14ac:dyDescent="0.25">
      <c r="A17285" s="1" t="s">
        <v>34032</v>
      </c>
      <c r="B17285" s="1">
        <v>0</v>
      </c>
      <c r="C17285" s="3">
        <v>44543.909004629626</v>
      </c>
      <c r="D17285" s="1" t="s">
        <v>34033</v>
      </c>
      <c r="E17285" s="4" t="str">
        <f ca="1">IFERROR(__xludf.DUMMYFUNCTION("GOOGLETRANSLATE(A88 , ""tr"" , ""en"")"),"RT @ Ulutasomer61: @drfahrettinkoca 😡 AF Dishing HA 😡 We do not forgive you What you apologize to our behalf of our none of ours HTTPS: ...")</f>
        <v>RT @ Ulutasomer61: @drfahrettinkoca 😡 AF Dishing HA 😡 We do not forgive you What you apologize to our behalf of our none of ours HTTPS: ...</v>
      </c>
    </row>
    <row r="17286" spans="1:5" ht="15" customHeight="1" x14ac:dyDescent="0.25">
      <c r="A17286" s="1" t="s">
        <v>34034</v>
      </c>
      <c r="B17286" s="1">
        <v>0</v>
      </c>
      <c r="C17286" s="3">
        <v>44543.907280092593</v>
      </c>
      <c r="D17286" s="1" t="s">
        <v>34035</v>
      </c>
      <c r="E17286" s="4" t="str">
        <f ca="1">IFERROR(__xludf.DUMMYFUNCTION("GOOGLETRANSLATE(A89 , ""tr"" , ""en"")"),"@DrFahrettinka @Abdulhamitgul Summary of the law in our country! Here is the state of state! https://t.co/kivavzj2mr")</f>
        <v>@DrFahrettinka @Abdulhamitgul Summary of the law in our country! Here is the state of state! https://t.co/kivavzj2mr</v>
      </c>
    </row>
    <row r="17287" spans="1:5" ht="15" customHeight="1" x14ac:dyDescent="0.25">
      <c r="A17287" s="1" t="s">
        <v>34036</v>
      </c>
      <c r="B17287" s="1">
        <v>0</v>
      </c>
      <c r="C17287" s="3">
        <v>44543.906956018516</v>
      </c>
      <c r="D17287" s="1" t="s">
        <v>34037</v>
      </c>
      <c r="E17287" s="4" t="str">
        <f ca="1">IFERROR(__xludf.DUMMYFUNCTION("GOOGLETRANSLATE(A90 , ""tr"" , ""en"")"),"RT @AZUCAREM: @drfahrettinkoca You have faulty diagnosis, inaccurate treatments and vaccines, and you have made people from their job! Now it's got up ...")</f>
        <v>RT @AZUCAREM: @drfahrettinkoca You have faulty diagnosis, inaccurate treatments and vaccines, and you have made people from their job! Now it's got up ...</v>
      </c>
    </row>
    <row r="17288" spans="1:5" ht="15" customHeight="1" x14ac:dyDescent="0.25">
      <c r="A17288" s="1" t="s">
        <v>34038</v>
      </c>
      <c r="B17288" s="1">
        <v>0</v>
      </c>
      <c r="C17288" s="3">
        <v>44543.90556712963</v>
      </c>
      <c r="D17288" s="1" t="s">
        <v>34039</v>
      </c>
      <c r="E17288" s="4" t="str">
        <f ca="1">IFERROR(__xludf.DUMMYFUNCTION("GOOGLETRANSLATE(A91 , ""tr"" , ""en"")"),"RT @oldtrafortman: @drfahrettinkoca was the broad-scale purchase we have been waiting for Nurse Reception again? This is the Ministry of Health ...")</f>
        <v>RT @oldtrafortman: @drfahrettinkoca was the broad-scale purchase we have been waiting for Nurse Reception again? This is the Ministry of Health ...</v>
      </c>
    </row>
    <row r="17289" spans="1:5" ht="15" customHeight="1" x14ac:dyDescent="0.25">
      <c r="A17289" s="1" t="s">
        <v>34040</v>
      </c>
      <c r="B17289" s="1">
        <v>0</v>
      </c>
      <c r="C17289" s="3">
        <v>44543.905289351853</v>
      </c>
      <c r="D17289" s="1" t="s">
        <v>34041</v>
      </c>
      <c r="E17289" s="4" t="str">
        <f ca="1">IFERROR(__xludf.DUMMYFUNCTION("GOOGLETRANSLATE(A92 , ""tr"" , ""en"")"),"RT @ BURUS999: @drfahrettinkoca they spend that slight hope to have you in between what you say! # Tbmmnethikinonlinelitim")</f>
        <v>RT @ BURUS999: @drfahrettinkoca they spend that slight hope to have you in between what you say! # Tbmmnethikinonlinelitim</v>
      </c>
    </row>
    <row r="17290" spans="1:5" ht="15" customHeight="1" x14ac:dyDescent="0.25">
      <c r="A17290" s="1" t="s">
        <v>34042</v>
      </c>
      <c r="B17290" s="1">
        <v>0</v>
      </c>
      <c r="C17290" s="3">
        <v>44543.904930555553</v>
      </c>
      <c r="D17290" s="1" t="s">
        <v>34043</v>
      </c>
      <c r="E17290" s="4" t="str">
        <f ca="1">IFERROR(__xludf.DUMMYFUNCTION("GOOGLETRANSLATE(A93 , ""tr"" , ""en"")"),"RT @ DERYA26745389: @drfahrettinka we were fed up in the year we were exhausted. We are unable to protect the health of our children as parents ...")</f>
        <v>RT @ DERYA26745389: @drfahrettinka we were fed up in the year we were exhausted. We are unable to protect the health of our children as parents ...</v>
      </c>
    </row>
    <row r="17291" spans="1:5" ht="15" customHeight="1" x14ac:dyDescent="0.25">
      <c r="A17291" s="1" t="s">
        <v>34044</v>
      </c>
      <c r="B17291" s="1">
        <v>0</v>
      </c>
      <c r="C17291" s="3">
        <v>44543.904363425929</v>
      </c>
      <c r="D17291" s="1" t="s">
        <v>34045</v>
      </c>
      <c r="E17291" s="4" t="str">
        <f ca="1">IFERROR(__xludf.DUMMYFUNCTION("GOOGLETRANSLATE(A94 , ""tr"" , ""en"")"),"RT @ HDremmi3: @drfahrettinkoca yaw happens, we have never seen your right that you haven't seen your")</f>
        <v>RT @ HDremmi3: @drfahrettinkoca yaw happens, we have never seen your right that you haven't seen your</v>
      </c>
    </row>
    <row r="17292" spans="1:5" ht="15" customHeight="1" x14ac:dyDescent="0.25">
      <c r="A17292" s="1" t="s">
        <v>34010</v>
      </c>
      <c r="B17292" s="1">
        <v>0</v>
      </c>
      <c r="C17292" s="3">
        <v>44543.904282407406</v>
      </c>
      <c r="D17292" s="1" t="s">
        <v>34046</v>
      </c>
      <c r="E17292" s="4" t="str">
        <f ca="1">IFERROR(__xludf.DUMMYFUNCTION("GOOGLETRANSLATE(A95 , ""tr"" , ""en"")"),"RT @ DERYA26745389: @drfahrettinkoca hand goes to Mersin we go reverse the reverse # tbmmnethism")</f>
        <v>RT @ DERYA26745389: @drfahrettinkoca hand goes to Mersin we go reverse the reverse # tbmmnethism</v>
      </c>
    </row>
    <row r="17293" spans="1:5" ht="15" customHeight="1" x14ac:dyDescent="0.25">
      <c r="A17293" s="1" t="s">
        <v>34021</v>
      </c>
      <c r="B17293" s="1">
        <v>0</v>
      </c>
      <c r="C17293" s="3">
        <v>44543.90425925926</v>
      </c>
      <c r="D17293" s="1" t="s">
        <v>34047</v>
      </c>
      <c r="E17293" s="4" t="str">
        <f ca="1">IFERROR(__xludf.DUMMYFUNCTION("GOOGLETRANSLATE(A96 , ""tr"" , ""en"")"),"RT @EbruZeybon: @drfahrettinkoca you will never be forgiven because of the efforts you have shown for our children's health #")</f>
        <v>RT @EbruZeybon: @drfahrettinkoca you will never be forgiven because of the efforts you have shown for our children's health #</v>
      </c>
    </row>
    <row r="17294" spans="1:5" ht="15" customHeight="1" x14ac:dyDescent="0.25">
      <c r="A17294" s="1" t="s">
        <v>34042</v>
      </c>
      <c r="B17294" s="1">
        <v>0</v>
      </c>
      <c r="C17294" s="3">
        <v>44543.903587962966</v>
      </c>
      <c r="D17294" s="1" t="s">
        <v>34048</v>
      </c>
      <c r="E17294" s="4" t="str">
        <f ca="1">IFERROR(__xludf.DUMMYFUNCTION("GOOGLETRANSLATE(A97 , ""tr"" , ""en"")"),"RT @ DERYA26745389: @drfahrettinka we were fed up in the year we were exhausted. We are unable to protect the health of our children as parents ...")</f>
        <v>RT @ DERYA26745389: @drfahrettinka we were fed up in the year we were exhausted. We are unable to protect the health of our children as parents ...</v>
      </c>
    </row>
    <row r="17295" spans="1:5" ht="15" customHeight="1" x14ac:dyDescent="0.25">
      <c r="A17295" s="1" t="s">
        <v>33888</v>
      </c>
      <c r="B17295" s="1">
        <v>0</v>
      </c>
      <c r="C17295" s="3">
        <v>44543.903553240743</v>
      </c>
      <c r="D17295" s="1" t="s">
        <v>34049</v>
      </c>
      <c r="E17295" s="4" t="str">
        <f ca="1">IFERROR(__xludf.DUMMYFUNCTION("GOOGLETRANSLATE(A98 , ""tr"" , ""en"")"),"RT @muzafarmuratov: @drfahrettinka you injected the liquid you don't know the results in this nation. The Turkish Nation will never forget you. https: //t....")</f>
        <v>RT @muzafarmuratov: @drfahrettinka you injected the liquid you don't know the results in this nation. The Turkish Nation will never forget you. https: //t....</v>
      </c>
    </row>
    <row r="17296" spans="1:5" ht="15" customHeight="1" x14ac:dyDescent="0.25">
      <c r="A17296" s="1" t="s">
        <v>34050</v>
      </c>
      <c r="B17296" s="1">
        <v>0</v>
      </c>
      <c r="C17296" s="3">
        <v>44543.903171296297</v>
      </c>
      <c r="D17296" s="1" t="s">
        <v>34051</v>
      </c>
      <c r="E17296" s="4" t="str">
        <f ca="1">IFERROR(__xludf.DUMMYFUNCTION("GOOGLETRANSLATE(A99 , ""tr"" , ""en"")"),"RT @ DERYA26745389: @drfahrettinkoca Your Conscience is a comfortable sleepy sleep? Kids Teenagers Educators are the one who is going to Corona individual ...")</f>
        <v>RT @ DERYA26745389: @drfahrettinkoca Your Conscience is a comfortable sleepy sleep? Kids Teenagers Educators are the one who is going to Corona individual ...</v>
      </c>
    </row>
    <row r="17297" spans="1:5" ht="15" customHeight="1" x14ac:dyDescent="0.25">
      <c r="A17297" s="1" t="s">
        <v>34042</v>
      </c>
      <c r="B17297" s="1">
        <v>0</v>
      </c>
      <c r="C17297" s="3">
        <v>44543.903090277781</v>
      </c>
      <c r="D17297" s="1" t="s">
        <v>34052</v>
      </c>
      <c r="E17297" s="4" t="str">
        <f ca="1">IFERROR(__xludf.DUMMYFUNCTION("GOOGLETRANSLATE(A100 , ""tr"" , ""en"")"),"RT @ DERYA26745389: @drfahrettinka we were fed up in the year we were exhausted. We are unable to protect the health of our children as parents ...")</f>
        <v>RT @ DERYA26745389: @drfahrettinka we were fed up in the year we were exhausted. We are unable to protect the health of our children as parents ...</v>
      </c>
    </row>
    <row r="17298" spans="1:5" ht="15" customHeight="1" x14ac:dyDescent="0.25">
      <c r="A17298" s="1" t="s">
        <v>34053</v>
      </c>
      <c r="B17298" s="1">
        <v>0</v>
      </c>
      <c r="C17298" s="3">
        <v>44543.902974537035</v>
      </c>
      <c r="D17298" s="1" t="s">
        <v>34054</v>
      </c>
      <c r="E17298" s="4" t="str">
        <f ca="1">IFERROR(__xludf.DUMMYFUNCTION("GOOGLETRANSLATE(A101 , ""tr"" , ""en"")"),"RT @ DERYA26745389: @drfahrettinkoca kids breathe last year they have trained onLINE in the hygienic environment, and leave it very nice ...")</f>
        <v>RT @ DERYA26745389: @drfahrettinkoca kids breathe last year they have trained onLINE in the hygienic environment, and leave it very nice ...</v>
      </c>
    </row>
    <row r="17299" spans="1:5" ht="15" customHeight="1" x14ac:dyDescent="0.25">
      <c r="A17299" s="1" t="s">
        <v>34055</v>
      </c>
      <c r="B17299" s="1">
        <v>0</v>
      </c>
      <c r="C17299" s="3">
        <v>44543.902638888889</v>
      </c>
      <c r="D17299" s="1" t="s">
        <v>34056</v>
      </c>
      <c r="E17299" s="4" t="str">
        <f ca="1">IFERROR(__xludf.DUMMYFUNCTION("GOOGLETRANSLATE(A102 , ""tr"" , ""en"")"),"RT @ lie_yalan19: @drfahrettinka previously it was the only difference that you have turned off everywhere and you would be like the same present ...")</f>
        <v>RT @ lie_yalan19: @drfahrettinka previously it was the only difference that you have turned off everywhere and you would be like the same present ...</v>
      </c>
    </row>
    <row r="17300" spans="1:5" ht="15" customHeight="1" x14ac:dyDescent="0.25">
      <c r="A17300" s="1" t="s">
        <v>34057</v>
      </c>
      <c r="B17300" s="1">
        <v>0</v>
      </c>
      <c r="C17300" s="3">
        <v>44543.902372685188</v>
      </c>
      <c r="D17300" s="1" t="s">
        <v>34058</v>
      </c>
      <c r="E17300" s="4" t="str">
        <f ca="1">IFERROR(__xludf.DUMMYFUNCTION("GOOGLETRANSLATE(A103 , ""tr"" , ""en"")"),"RT @dryapl: @drfahrettinkoca Health Management Graduates are not given a single staff Mi Mr. Ministry of Justice We also citizen this country ...")</f>
        <v>RT @dryapl: @drfahrettinkoca Health Management Graduates are not given a single staff Mi Mr. Ministry of Justice We also citizen this country ...</v>
      </c>
    </row>
    <row r="17301" spans="1:5" ht="15" customHeight="1" x14ac:dyDescent="0.25">
      <c r="A17301" s="1" t="s">
        <v>34059</v>
      </c>
      <c r="B17301" s="1">
        <v>0</v>
      </c>
      <c r="C17301" s="3">
        <v>44543.902291666665</v>
      </c>
      <c r="D17301" s="1" t="s">
        <v>34060</v>
      </c>
      <c r="E17301" s="4" t="str">
        <f ca="1">IFERROR(__xludf.DUMMYFUNCTION("GOOGLETRANSLATE(A104 , ""tr"" , ""en"")"),"RT @ lie_yalan19: @drfahrettinkoca What is the difference? Because he is the Minister of Health .. Why? Because why is medicine reading? Because I have made good clearly from Mtematics ...")</f>
        <v>RT @ lie_yalan19: @drfahrettinkoca What is the difference? Because he is the Minister of Health .. Why? Because why is medicine reading? Because I have made good clearly from Mtematics ...</v>
      </c>
    </row>
    <row r="17302" spans="1:5" ht="15" customHeight="1" x14ac:dyDescent="0.25">
      <c r="A17302" s="1" t="s">
        <v>34036</v>
      </c>
      <c r="B17302" s="1">
        <v>0</v>
      </c>
      <c r="C17302" s="3">
        <v>44543.900763888887</v>
      </c>
      <c r="D17302" s="1" t="s">
        <v>34061</v>
      </c>
      <c r="E17302" s="4" t="str">
        <f ca="1">IFERROR(__xludf.DUMMYFUNCTION("GOOGLETRANSLATE(A105 , ""tr"" , ""en"")"),"RT @AZUCAREM: @drfahrettinkoca You have faulty diagnosis, inaccurate treatments and vaccines, and you have made people from their job! Now it's got up ...")</f>
        <v>RT @AZUCAREM: @drfahrettinkoca You have faulty diagnosis, inaccurate treatments and vaccines, and you have made people from their job! Now it's got up ...</v>
      </c>
    </row>
    <row r="17303" spans="1:5" ht="15" customHeight="1" x14ac:dyDescent="0.25">
      <c r="A17303" s="1" t="s">
        <v>34062</v>
      </c>
      <c r="B17303" s="1">
        <v>0</v>
      </c>
      <c r="C17303" s="3">
        <v>44543.89984953704</v>
      </c>
      <c r="D17303" s="1" t="s">
        <v>34063</v>
      </c>
      <c r="E17303" s="4" t="str">
        <f ca="1">IFERROR(__xludf.DUMMYFUNCTION("GOOGLETRANSLATE(A106 , ""tr"" , ""en"")"),"RT @ FATO34921635: @drfahrettinkoca people who have been living without living people are bugged or without anyone else to find the soil to be buried.")</f>
        <v>RT @ FATO34921635: @drfahrettinkoca people who have been living without living people are bugged or without anyone else to find the soil to be buried.</v>
      </c>
    </row>
    <row r="17304" spans="1:5" ht="15" customHeight="1" x14ac:dyDescent="0.25">
      <c r="A17304" s="1" t="s">
        <v>34036</v>
      </c>
      <c r="B17304" s="1">
        <v>0</v>
      </c>
      <c r="C17304" s="3">
        <v>44543.899583333332</v>
      </c>
      <c r="D17304" s="1" t="s">
        <v>34064</v>
      </c>
      <c r="E17304" s="4" t="str">
        <f ca="1">IFERROR(__xludf.DUMMYFUNCTION("GOOGLETRANSLATE(A107 , ""tr"" , ""en"")"),"RT @AZUCAREM: @drfahrettinkoca You have faulty diagnosis, inaccurate treatments and vaccines, and you have made people from their job! Now it's got up ...")</f>
        <v>RT @AZUCAREM: @drfahrettinkoca You have faulty diagnosis, inaccurate treatments and vaccines, and you have made people from their job! Now it's got up ...</v>
      </c>
    </row>
    <row r="17305" spans="1:5" ht="15" customHeight="1" x14ac:dyDescent="0.25">
      <c r="A17305" s="1" t="s">
        <v>33911</v>
      </c>
      <c r="B17305" s="1">
        <v>0</v>
      </c>
      <c r="C17305" s="3">
        <v>44543.899270833332</v>
      </c>
      <c r="D17305" s="1" t="s">
        <v>34065</v>
      </c>
      <c r="E17305" s="4" t="str">
        <f ca="1">IFERROR(__xludf.DUMMYFUNCTION("GOOGLETRANSLATE(A108 , ""tr"" , ""en"")"),"RT @ Cemilcan5834: @drfahrettinkoca direct screenshot Get to Get Friendlier This tweet always comes enough, athletes Celebrities Stay ...")</f>
        <v>RT @ Cemilcan5834: @drfahrettinkoca direct screenshot Get to Get Friendlier This tweet always comes enough, athletes Celebrities Stay ...</v>
      </c>
    </row>
    <row r="17306" spans="1:5" ht="15" customHeight="1" x14ac:dyDescent="0.25">
      <c r="A17306" s="1" t="s">
        <v>34036</v>
      </c>
      <c r="B17306" s="1">
        <v>0</v>
      </c>
      <c r="C17306" s="3">
        <v>44543.898888888885</v>
      </c>
      <c r="D17306" s="1" t="s">
        <v>34066</v>
      </c>
      <c r="E17306" s="4" t="str">
        <f ca="1">IFERROR(__xludf.DUMMYFUNCTION("GOOGLETRANSLATE(A109 , ""tr"" , ""en"")"),"RT @AZUCAREM: @drfahrettinkoca You have faulty diagnosis, inaccurate treatments and vaccines, and you have made people from their job! Now it's got up ...")</f>
        <v>RT @AZUCAREM: @drfahrettinkoca You have faulty diagnosis, inaccurate treatments and vaccines, and you have made people from their job! Now it's got up ...</v>
      </c>
    </row>
    <row r="17307" spans="1:5" ht="15" customHeight="1" x14ac:dyDescent="0.25">
      <c r="A17307" s="1" t="s">
        <v>34036</v>
      </c>
      <c r="B17307" s="1">
        <v>0</v>
      </c>
      <c r="C17307" s="3">
        <v>44543.898819444446</v>
      </c>
      <c r="D17307" s="1" t="s">
        <v>34067</v>
      </c>
      <c r="E17307" s="4" t="str">
        <f ca="1">IFERROR(__xludf.DUMMYFUNCTION("GOOGLETRANSLATE(A110 , ""tr"" , ""en"")"),"RT @AZUCAREM: @drfahrettinkoca You have faulty diagnosis, inaccurate treatments and vaccines, and you have made people from their job! Now it's got up ...")</f>
        <v>RT @AZUCAREM: @drfahrettinkoca You have faulty diagnosis, inaccurate treatments and vaccines, and you have made people from their job! Now it's got up ...</v>
      </c>
    </row>
    <row r="17308" spans="1:5" ht="15" customHeight="1" x14ac:dyDescent="0.25">
      <c r="A17308" s="1" t="s">
        <v>33898</v>
      </c>
      <c r="B17308" s="1">
        <v>0</v>
      </c>
      <c r="C17308" s="3">
        <v>44543.897372685184</v>
      </c>
      <c r="D17308" s="1" t="s">
        <v>34068</v>
      </c>
      <c r="E17308" s="4" t="str">
        <f ca="1">IFERROR(__xludf.DUMMYFUNCTION("GOOGLETRANSLATE(A111 , ""tr"" , ""en"")"),"RT @lartunamayayan: @drfahrettinkoca Rights No Halal Gezdir, You don't have to bed 7 Cotten blood vomits As you make the public, the people of the people ...")</f>
        <v>RT @lartunamayayan: @drfahrettinkoca Rights No Halal Gezdir, You don't have to bed 7 Cotten blood vomits As you make the public, the people of the people ...</v>
      </c>
    </row>
    <row r="17309" spans="1:5" ht="15" customHeight="1" x14ac:dyDescent="0.25">
      <c r="A17309" s="1" t="s">
        <v>34069</v>
      </c>
      <c r="B17309" s="1">
        <v>0</v>
      </c>
      <c r="C17309" s="3">
        <v>44543.896724537037</v>
      </c>
      <c r="D17309" s="1" t="s">
        <v>34070</v>
      </c>
      <c r="E17309" s="4" t="str">
        <f ca="1">IFERROR(__xludf.DUMMYFUNCTION("GOOGLETRANSLATE(A112 , ""tr"" , ""en"")"),"Rt @sivilnacibey: @drfahrettinkoca We didn't say that you did the mistake or wrong. We have even served global forces to ask you. The nation ...")</f>
        <v>Rt @sivilnacibey: @drfahrettinkoca We didn't say that you did the mistake or wrong. We have even served global forces to ask you. The nation ...</v>
      </c>
    </row>
    <row r="17310" spans="1:5" ht="15" customHeight="1" x14ac:dyDescent="0.25">
      <c r="A17310" s="1" t="s">
        <v>34036</v>
      </c>
      <c r="B17310" s="1">
        <v>0</v>
      </c>
      <c r="C17310" s="3">
        <v>44543.896481481483</v>
      </c>
      <c r="D17310" s="1" t="s">
        <v>34071</v>
      </c>
      <c r="E17310" s="4" t="str">
        <f ca="1">IFERROR(__xludf.DUMMYFUNCTION("GOOGLETRANSLATE(A113 , ""tr"" , ""en"")"),"RT @AZUCAREM: @drfahrettinkoca You have faulty diagnosis, inaccurate treatments and vaccines, and you have made people from their job! Now it's got up ...")</f>
        <v>RT @AZUCAREM: @drfahrettinkoca You have faulty diagnosis, inaccurate treatments and vaccines, and you have made people from their job! Now it's got up ...</v>
      </c>
    </row>
    <row r="17311" spans="1:5" ht="15" customHeight="1" x14ac:dyDescent="0.25">
      <c r="A17311" s="1" t="s">
        <v>34072</v>
      </c>
      <c r="B17311" s="1">
        <v>0</v>
      </c>
      <c r="C17311" s="3">
        <v>44543.895833333336</v>
      </c>
      <c r="D17311" s="1" t="s">
        <v>34073</v>
      </c>
      <c r="E17311" s="4" t="str">
        <f ca="1">IFERROR(__xludf.DUMMYFUNCTION("GOOGLETRANSLATE(A114 , ""tr"" , ""en"")"),"RT @llavieestla: @drfahrettinkoca Mr. Minister We apologize for not nurse.")</f>
        <v>RT @llavieestla: @drfahrettinkoca Mr. Minister We apologize for not nurse.</v>
      </c>
    </row>
    <row r="17312" spans="1:5" ht="15" customHeight="1" x14ac:dyDescent="0.25">
      <c r="A17312" s="1" t="s">
        <v>34074</v>
      </c>
      <c r="B17312" s="1">
        <v>2</v>
      </c>
      <c r="C17312" s="3">
        <v>44543.895613425928</v>
      </c>
      <c r="D17312" s="1" t="s">
        <v>34075</v>
      </c>
      <c r="E17312" s="4" t="str">
        <f ca="1">IFERROR(__xludf.DUMMYFUNCTION("GOOGLETRANSLATE(A115 , ""tr"" , ""en"")"),"@drfahrettinkoca yahu guy! The physicians will strike two words meat, violent two words meat. Starting Covidind ... https://t.co/5hnjwsv6ry")</f>
        <v>@drfahrettinkoca yahu guy! The physicians will strike two words meat, violent two words meat. Starting Covidind ... https://t.co/5hnjwsv6ry</v>
      </c>
    </row>
    <row r="17313" spans="1:5" ht="15" customHeight="1" x14ac:dyDescent="0.25">
      <c r="A17313" s="1" t="s">
        <v>34076</v>
      </c>
      <c r="B17313" s="1">
        <v>0</v>
      </c>
      <c r="C17313" s="3">
        <v>44543.894074074073</v>
      </c>
      <c r="D17313" s="1" t="s">
        <v>34077</v>
      </c>
      <c r="E17313" s="4" t="str">
        <f ca="1">IFERROR(__xludf.DUMMYFUNCTION("GOOGLETRANSLATE(A116 , ""tr"" , ""en"")"),"@drfahrettinkoca you like to respond to singers bi answer i'll see https://t.co/ob6rdxjqro")</f>
        <v>@drfahrettinkoca you like to respond to singers bi answer i'll see https://t.co/ob6rdxjqro</v>
      </c>
    </row>
    <row r="17314" spans="1:5" ht="15" customHeight="1" x14ac:dyDescent="0.25">
      <c r="A17314" s="1" t="s">
        <v>33999</v>
      </c>
      <c r="B17314" s="1">
        <v>0</v>
      </c>
      <c r="C17314" s="3">
        <v>44543.89403935185</v>
      </c>
      <c r="D17314" s="1" t="s">
        <v>34078</v>
      </c>
      <c r="E17314" s="4" t="str">
        <f ca="1">IFERROR(__xludf.DUMMYFUNCTION("GOOGLETRANSLATE(A117 , ""tr"" , ""en"")"),"Rt @ o2turkahmet: @drfahrettinka Mr. Ministry No error-free handle, as a result we are all people in 2018 only in the Ministry of Ministry Disclaimer in 2018.")</f>
        <v>Rt @ o2turkahmet: @drfahrettinka Mr. Ministry No error-free handle, as a result we are all people in 2018 only in the Ministry of Ministry Disclaimer in 2018.</v>
      </c>
    </row>
    <row r="17315" spans="1:5" ht="15" customHeight="1" x14ac:dyDescent="0.25">
      <c r="A17315" s="1" t="s">
        <v>34003</v>
      </c>
      <c r="B17315" s="1">
        <v>0</v>
      </c>
      <c r="C17315" s="3">
        <v>44543.894016203703</v>
      </c>
      <c r="D17315" s="1" t="s">
        <v>34079</v>
      </c>
      <c r="E17315" s="4" t="str">
        <f ca="1">IFERROR(__xludf.DUMMYFUNCTION("GOOGLETRANSLATE(A118 , ""tr"" , ""en"")"),"RT @Yunus_Duril: @drfahrettinka for many years HBYS computing personnel missing Missing Minister. @vedatbilgn https://t.co/pyqko0pljo")</f>
        <v>RT @Yunus_Duril: @drfahrettinka for many years HBYS computing personnel missing Missing Minister. @vedatbilgn https://t.co/pyqko0pljo</v>
      </c>
    </row>
    <row r="17316" spans="1:5" ht="15" customHeight="1" x14ac:dyDescent="0.25">
      <c r="A17316" s="1" t="s">
        <v>34080</v>
      </c>
      <c r="B17316" s="1">
        <v>0</v>
      </c>
      <c r="C17316" s="3">
        <v>44543.893993055557</v>
      </c>
      <c r="D17316" s="1" t="s">
        <v>34081</v>
      </c>
      <c r="E17316" s="4" t="str">
        <f ca="1">IFERROR(__xludf.DUMMYFUNCTION("GOOGLETRANSLATE(A119 , ""tr"" , ""en"")"),"RT @huseyinhbys: @drfahrettinka Mr. Minister Hbys - Hospital Information Processing Personnel Nin staff the promise of the staff and the coin of the deficiency ...")</f>
        <v>RT @huseyinhbys: @drfahrettinka Mr. Minister Hbys - Hospital Information Processing Personnel Nin staff the promise of the staff and the coin of the deficiency ...</v>
      </c>
    </row>
    <row r="17317" spans="1:5" ht="15" customHeight="1" x14ac:dyDescent="0.25">
      <c r="A17317" s="1" t="s">
        <v>34005</v>
      </c>
      <c r="B17317" s="1">
        <v>0</v>
      </c>
      <c r="C17317" s="3">
        <v>44543.893969907411</v>
      </c>
      <c r="D17317" s="1" t="s">
        <v>34082</v>
      </c>
      <c r="E17317" s="4" t="str">
        <f ca="1">IFERROR(__xludf.DUMMYFUNCTION("GOOGLETRANSLATE(A120 , ""tr"" , ""en"")"),"Rt @sametincir_: @drfahrettinkoca Dear husband. Hospitals who work in hospitals have given words to HBYS computing / software experts. All H ...")</f>
        <v>Rt @sametincir_: @drfahrettinkoca Dear husband. Hospitals who work in hospitals have given words to HBYS computing / software experts. All H ...</v>
      </c>
    </row>
    <row r="17318" spans="1:5" ht="15" customHeight="1" x14ac:dyDescent="0.25">
      <c r="A17318" s="1" t="s">
        <v>33911</v>
      </c>
      <c r="B17318" s="1">
        <v>0</v>
      </c>
      <c r="C17318" s="3">
        <v>44543.893136574072</v>
      </c>
      <c r="D17318" s="1" t="s">
        <v>34083</v>
      </c>
      <c r="E17318" s="4" t="str">
        <f ca="1">IFERROR(__xludf.DUMMYFUNCTION("GOOGLETRANSLATE(A121 , ""tr"" , ""en"")"),"RT @ Cemilcan5834: @drfahrettinkoca direct screenshot Get to Get Friendlier This tweet always comes enough, athletes Celebrities Stay ...")</f>
        <v>RT @ Cemilcan5834: @drfahrettinkoca direct screenshot Get to Get Friendlier This tweet always comes enough, athletes Celebrities Stay ...</v>
      </c>
    </row>
    <row r="17319" spans="1:5" ht="15" customHeight="1" x14ac:dyDescent="0.25">
      <c r="A17319" s="1" t="s">
        <v>34084</v>
      </c>
      <c r="B17319" s="1">
        <v>0</v>
      </c>
      <c r="C17319" s="3">
        <v>44543.891400462962</v>
      </c>
      <c r="D17319" s="1" t="s">
        <v>34085</v>
      </c>
      <c r="E17319" s="4" t="str">
        <f ca="1">IFERROR(__xludf.DUMMYFUNCTION("GOOGLETRANSLATE(A122 , ""tr"" , ""en"")"),"RT @ ersindilseker35: @drfahrettinkoca What vaccination of the Forty lies. Father my eyes are 2ay the blood is the left eye thoroughly begin to be bad .. ...")</f>
        <v>RT @ ersindilseker35: @drfahrettinkoca What vaccination of the Forty lies. Father my eyes are 2ay the blood is the left eye thoroughly begin to be bad .. ...</v>
      </c>
    </row>
    <row r="17320" spans="1:5" ht="15" customHeight="1" x14ac:dyDescent="0.25">
      <c r="A17320" s="1" t="s">
        <v>34086</v>
      </c>
      <c r="B17320" s="1">
        <v>0</v>
      </c>
      <c r="C17320" s="3">
        <v>44543.885416666664</v>
      </c>
      <c r="D17320" s="1" t="s">
        <v>34087</v>
      </c>
      <c r="E17320" s="4" t="str">
        <f ca="1">IFERROR(__xludf.DUMMYFUNCTION("GOOGLETRANSLATE(A123 , ""tr"" , ""en"")"),"Rt @tuncayank: @drfahrettinkoca # is waiting to pay medical")</f>
        <v>Rt @tuncayank: @drfahrettinkoca # is waiting to pay medical</v>
      </c>
    </row>
    <row r="17321" spans="1:5" ht="15" customHeight="1" x14ac:dyDescent="0.25">
      <c r="A17321" s="1" t="s">
        <v>34088</v>
      </c>
      <c r="B17321" s="1">
        <v>0</v>
      </c>
      <c r="C17321" s="3">
        <v>44543.885196759256</v>
      </c>
      <c r="D17321" s="1" t="s">
        <v>34089</v>
      </c>
      <c r="E17321" s="4" t="str">
        <f ca="1">IFERROR(__xludf.DUMMYFUNCTION("GOOGLETRANSLATE(A124 , ""tr"" , ""en"")"),"RT @ cemilcan5834: @drfahrettinkoca these vaccine candidates says the old variants of many scientists, how to protect the new variants, ...")</f>
        <v>RT @ cemilcan5834: @drfahrettinkoca these vaccine candidates says the old variants of many scientists, how to protect the new variants, ...</v>
      </c>
    </row>
    <row r="17322" spans="1:5" ht="15" customHeight="1" x14ac:dyDescent="0.25">
      <c r="A17322" s="1" t="s">
        <v>34090</v>
      </c>
      <c r="B17322" s="1">
        <v>0</v>
      </c>
      <c r="C17322" s="3">
        <v>44543.883668981478</v>
      </c>
      <c r="D17322" s="1" t="s">
        <v>34091</v>
      </c>
      <c r="E17322" s="4" t="str">
        <f ca="1">IFERROR(__xludf.DUMMYFUNCTION("GOOGLETRANSLATE(A125 , ""tr"" , ""en"")"),"Rt @ ayce_08_53: @drfahrettinkoca https://t.co/rlmsffh9xe hocam there are such aussies. Everyone is waiting for an explanation. The days are such images ...")</f>
        <v>Rt @ ayce_08_53: @drfahrettinkoca https://t.co/rlmsffh9xe hocam there are such aussies. Everyone is waiting for an explanation. The days are such images ...</v>
      </c>
    </row>
    <row r="17323" spans="1:5" ht="15" customHeight="1" x14ac:dyDescent="0.25">
      <c r="A17323" s="1" t="s">
        <v>34092</v>
      </c>
      <c r="B17323" s="1">
        <v>0</v>
      </c>
      <c r="C17323" s="3">
        <v>44543.883472222224</v>
      </c>
      <c r="D17323" s="1" t="s">
        <v>34093</v>
      </c>
      <c r="E17323" s="4" t="str">
        <f ca="1">IFERROR(__xludf.DUMMYFUNCTION("GOOGLETRANSLATE(A126 , ""tr"" , ""en"")"),"RT @ HOR_B3Y: @drfahrettinkoca is in the light of science when taking a kolkola maskless photo in your team's bulk dining organizations, I ...")</f>
        <v>RT @ HOR_B3Y: @drfahrettinkoca is in the light of science when taking a kolkola maskless photo in your team's bulk dining organizations, I ...</v>
      </c>
    </row>
    <row r="17324" spans="1:5" ht="15" customHeight="1" x14ac:dyDescent="0.25">
      <c r="A17324" s="1" t="s">
        <v>34094</v>
      </c>
      <c r="B17324" s="1">
        <v>0</v>
      </c>
      <c r="C17324" s="3">
        <v>44543.883275462962</v>
      </c>
      <c r="D17324" s="1" t="s">
        <v>34095</v>
      </c>
      <c r="E17324" s="4" t="str">
        <f ca="1">IFERROR(__xludf.DUMMYFUNCTION("GOOGLETRANSLATE(A127 , ""tr"" , ""en"")"),"RT @NEHIRORININ: @drfahrettinkoca I don't halic you about you.")</f>
        <v>RT @NEHIRORININ: @drfahrettinkoca I don't halic you about you.</v>
      </c>
    </row>
    <row r="17325" spans="1:5" ht="15" customHeight="1" x14ac:dyDescent="0.25">
      <c r="A17325" s="1" t="s">
        <v>33896</v>
      </c>
      <c r="B17325" s="1">
        <v>0</v>
      </c>
      <c r="C17325" s="3">
        <v>44543.883032407408</v>
      </c>
      <c r="D17325" s="1" t="s">
        <v>34096</v>
      </c>
      <c r="E17325" s="4" t="str">
        <f ca="1">IFERROR(__xludf.DUMMYFUNCTION("GOOGLETRANSLATE(A128 , ""tr"" , ""en"")"),"RT @ GNLAYYLDZ2: @drfahrettinkoca compensation of faults that have been forgiven or do not compensate then the Ahlar you have received")</f>
        <v>RT @ GNLAYYLDZ2: @drfahrettinkoca compensation of faults that have been forgiven or do not compensate then the Ahlar you have received</v>
      </c>
    </row>
    <row r="17326" spans="1:5" ht="15" customHeight="1" x14ac:dyDescent="0.25">
      <c r="A17326" s="1" t="s">
        <v>34025</v>
      </c>
      <c r="B17326" s="1">
        <v>0</v>
      </c>
      <c r="C17326" s="3">
        <v>44543.8828587963</v>
      </c>
      <c r="D17326" s="1" t="s">
        <v>34097</v>
      </c>
      <c r="E17326" s="4" t="str">
        <f ca="1">IFERROR(__xludf.DUMMYFUNCTION("GOOGLETRANSLATE(A129 , ""tr"" , ""en"")"),"Rt @vicdanadirdir: @drfahrettinkoca PCR-Mask-Mask-HEPP Code-closures We still continue to accept with our own request and circular ...")</f>
        <v>Rt @vicdanadirdir: @drfahrettinkoca PCR-Mask-Mask-HEPP Code-closures We still continue to accept with our own request and circular ...</v>
      </c>
    </row>
    <row r="17327" spans="1:5" ht="15" customHeight="1" x14ac:dyDescent="0.25">
      <c r="A17327" s="1" t="s">
        <v>33888</v>
      </c>
      <c r="B17327" s="1">
        <v>0</v>
      </c>
      <c r="C17327" s="3">
        <v>44543.881076388891</v>
      </c>
      <c r="D17327" s="1" t="s">
        <v>34098</v>
      </c>
      <c r="E17327" s="4" t="str">
        <f ca="1">IFERROR(__xludf.DUMMYFUNCTION("GOOGLETRANSLATE(A130 , ""tr"" , ""en"")"),"RT @muzafarmuratov: @drfahrettinka you injected the liquid you don't know the results in this nation. The Turkish Nation will never forget you. https: //t....")</f>
        <v>RT @muzafarmuratov: @drfahrettinka you injected the liquid you don't know the results in this nation. The Turkish Nation will never forget you. https: //t....</v>
      </c>
    </row>
    <row r="17328" spans="1:5" ht="15" customHeight="1" x14ac:dyDescent="0.25">
      <c r="A17328" s="1" t="s">
        <v>34053</v>
      </c>
      <c r="B17328" s="1">
        <v>0</v>
      </c>
      <c r="C17328" s="3">
        <v>44543.880474537036</v>
      </c>
      <c r="D17328" s="1" t="s">
        <v>34099</v>
      </c>
      <c r="E17328" s="4" t="str">
        <f ca="1">IFERROR(__xludf.DUMMYFUNCTION("GOOGLETRANSLATE(A131 , ""tr"" , ""en"")"),"RT @ DERYA26745389: @drfahrettinkoca kids breathe last year they have trained onLINE in the hygienic environment, and leave it very nice ...")</f>
        <v>RT @ DERYA26745389: @drfahrettinkoca kids breathe last year they have trained onLINE in the hygienic environment, and leave it very nice ...</v>
      </c>
    </row>
    <row r="17329" spans="1:5" ht="15" customHeight="1" x14ac:dyDescent="0.25">
      <c r="A17329" s="1" t="s">
        <v>34100</v>
      </c>
      <c r="B17329" s="1">
        <v>0</v>
      </c>
      <c r="C17329" s="3">
        <v>44543.880011574074</v>
      </c>
      <c r="D17329" s="1" t="s">
        <v>34101</v>
      </c>
      <c r="E17329" s="4" t="str">
        <f ca="1">IFERROR(__xludf.DUMMYFUNCTION("GOOGLETRANSLATE(A132 , ""tr"" , ""en"")"),"RT @ Farat24: @drfahrettinka https://t.co/onzvqaq9pn")</f>
        <v>RT @ Farat24: @drfahrettinka https://t.co/onzvqaq9pn</v>
      </c>
    </row>
    <row r="17330" spans="1:5" ht="15" customHeight="1" x14ac:dyDescent="0.25">
      <c r="A17330" s="1" t="s">
        <v>34102</v>
      </c>
      <c r="B17330" s="1">
        <v>0</v>
      </c>
      <c r="C17330" s="3">
        <v>44543.88</v>
      </c>
      <c r="D17330" s="1" t="s">
        <v>34103</v>
      </c>
      <c r="E17330" s="4" t="str">
        <f ca="1">IFERROR(__xludf.DUMMYFUNCTION("GOOGLETRANSLATE(A133 , ""tr"" , ""en"")"),"RT @etknlkhsp: @drfahrettinkoca We are not deserving of this when will we give us what is the right to us? When it is also high for us ...")</f>
        <v>RT @etknlkhsp: @drfahrettinkoca We are not deserving of this when will we give us what is the right to us? When it is also high for us ...</v>
      </c>
    </row>
    <row r="17331" spans="1:5" ht="15" customHeight="1" x14ac:dyDescent="0.25">
      <c r="A17331" s="1" t="s">
        <v>34104</v>
      </c>
      <c r="B17331" s="1">
        <v>0</v>
      </c>
      <c r="C17331" s="3">
        <v>44543.879942129628</v>
      </c>
      <c r="D17331" s="1" t="s">
        <v>34105</v>
      </c>
      <c r="E17331" s="4" t="str">
        <f ca="1">IFERROR(__xludf.DUMMYFUNCTION("GOOGLETRANSLATE(A134 , ""tr"" , ""en"")"),"RT @etknlkhsp: @drfahrettinkoca is successful and we are studying the university, we don't have us that knows our voice that knows what is going on. Provid ...")</f>
        <v>RT @etknlkhsp: @drfahrettinkoca is successful and we are studying the university, we don't have us that knows our voice that knows what is going on. Provid ...</v>
      </c>
    </row>
    <row r="17332" spans="1:5" ht="15" customHeight="1" x14ac:dyDescent="0.25">
      <c r="A17332" s="1" t="s">
        <v>34044</v>
      </c>
      <c r="B17332" s="1">
        <v>0</v>
      </c>
      <c r="C17332" s="3">
        <v>44543.879386574074</v>
      </c>
      <c r="D17332" s="1" t="s">
        <v>34106</v>
      </c>
      <c r="E17332" s="4" t="str">
        <f ca="1">IFERROR(__xludf.DUMMYFUNCTION("GOOGLETRANSLATE(A135 , ""tr"" , ""en"")"),"RT @ HDremmi3: @drfahrettinkoca yaw happens, we have never seen your right that you haven't seen your")</f>
        <v>RT @ HDremmi3: @drfahrettinkoca yaw happens, we have never seen your right that you haven't seen your</v>
      </c>
    </row>
    <row r="17333" spans="1:5" ht="15" customHeight="1" x14ac:dyDescent="0.25">
      <c r="A17333" s="1" t="s">
        <v>34010</v>
      </c>
      <c r="B17333" s="1">
        <v>0</v>
      </c>
      <c r="C17333" s="3">
        <v>44543.878564814811</v>
      </c>
      <c r="D17333" s="1" t="s">
        <v>34107</v>
      </c>
      <c r="E17333" s="4" t="str">
        <f ca="1">IFERROR(__xludf.DUMMYFUNCTION("GOOGLETRANSLATE(A136 , ""tr"" , ""en"")"),"RT @ DERYA26745389: @drfahrettinkoca hand goes to Mersin we go reverse the reverse # tbmmnethism")</f>
        <v>RT @ DERYA26745389: @drfahrettinkoca hand goes to Mersin we go reverse the reverse # tbmmnethism</v>
      </c>
    </row>
    <row r="17334" spans="1:5" ht="15" customHeight="1" x14ac:dyDescent="0.25">
      <c r="A17334" s="1" t="s">
        <v>34015</v>
      </c>
      <c r="B17334" s="1">
        <v>0</v>
      </c>
      <c r="C17334" s="3">
        <v>44543.878541666665</v>
      </c>
      <c r="D17334" s="1" t="s">
        <v>34108</v>
      </c>
      <c r="E17334" s="4" t="str">
        <f ca="1">IFERROR(__xludf.DUMMYFUNCTION("GOOGLETRANSLATE(A137 , ""tr"" , ""en"")"),"Rt @hulya_yalvac: @drfahrettinkoca We accept everything SN. You have tried to struggle with an unknown virus. Everything in this world ...")</f>
        <v>Rt @hulya_yalvac: @drfahrettinkoca We accept everything SN. You have tried to struggle with an unknown virus. Everything in this world ...</v>
      </c>
    </row>
    <row r="17335" spans="1:5" ht="15" customHeight="1" x14ac:dyDescent="0.25">
      <c r="A17335" s="1" t="s">
        <v>33916</v>
      </c>
      <c r="B17335" s="1">
        <v>0</v>
      </c>
      <c r="C17335" s="3">
        <v>44543.878483796296</v>
      </c>
      <c r="D17335" s="1" t="s">
        <v>34109</v>
      </c>
      <c r="E17335" s="4" t="str">
        <f ca="1">IFERROR(__xludf.DUMMYFUNCTION("GOOGLETRANSLATE(A138 , ""tr"" , ""en"")"),"RT @ dr_uyssal18: @drfahrettinkoca sec Minister, professional training in the field of health, our state of health management graduates give the staff ...")</f>
        <v>RT @ dr_uyssal18: @drfahrettinkoca sec Minister, professional training in the field of health, our state of health management graduates give the staff ...</v>
      </c>
    </row>
    <row r="17336" spans="1:5" ht="15" customHeight="1" x14ac:dyDescent="0.25">
      <c r="A17336" s="1" t="s">
        <v>34023</v>
      </c>
      <c r="B17336" s="1">
        <v>0</v>
      </c>
      <c r="C17336" s="3">
        <v>44543.878206018519</v>
      </c>
      <c r="D17336" s="1" t="s">
        <v>34110</v>
      </c>
      <c r="E17336" s="4" t="str">
        <f ca="1">IFERROR(__xludf.DUMMYFUNCTION("GOOGLETRANSLATE(A139 , ""tr"" , ""en"")"),"Rt @ebruzeybon: @drfahrettinkoca you don't read the appreciation of the nation. # Tbmmacityism")</f>
        <v>Rt @ebruzeybon: @drfahrettinkoca you don't read the appreciation of the nation. # Tbmmacityism</v>
      </c>
    </row>
    <row r="17337" spans="1:5" ht="15" customHeight="1" x14ac:dyDescent="0.25">
      <c r="A17337" s="1" t="s">
        <v>34111</v>
      </c>
      <c r="B17337" s="1">
        <v>0</v>
      </c>
      <c r="C17337" s="3">
        <v>44543.876261574071</v>
      </c>
      <c r="D17337" s="1" t="s">
        <v>34112</v>
      </c>
      <c r="E17337" s="4" t="str">
        <f ca="1">IFERROR(__xludf.DUMMYFUNCTION("GOOGLETRANSLATE(A140 , ""tr"" , ""en"")"),"RT @mevltgnydn: @drfahrettinkoca I wonder if the answer vaccine or is the imaginary afflicted with the number of unsaid cases @drfahrettinkoca # t ...")</f>
        <v>RT @mevltgnydn: @drfahrettinkoca I wonder if the answer vaccine or is the imaginary afflicted with the number of unsaid cases @drfahrettinkoca # t ...</v>
      </c>
    </row>
    <row r="17338" spans="1:5" ht="15" customHeight="1" x14ac:dyDescent="0.25">
      <c r="A17338" s="1" t="s">
        <v>34040</v>
      </c>
      <c r="B17338" s="1">
        <v>0</v>
      </c>
      <c r="C17338" s="3">
        <v>44543.874363425923</v>
      </c>
      <c r="D17338" s="1" t="s">
        <v>34113</v>
      </c>
      <c r="E17338" s="4" t="str">
        <f ca="1">IFERROR(__xludf.DUMMYFUNCTION("GOOGLETRANSLATE(A141 , ""tr"" , ""en"")"),"RT @ BURUS999: @drfahrettinkoca they spend that slight hope to have you in between what you say! # Tbmmnethikinonlinelitim")</f>
        <v>RT @ BURUS999: @drfahrettinkoca they spend that slight hope to have you in between what you say! # Tbmmnethikinonlinelitim</v>
      </c>
    </row>
    <row r="17339" spans="1:5" ht="15" customHeight="1" x14ac:dyDescent="0.25">
      <c r="A17339" s="1" t="s">
        <v>33981</v>
      </c>
      <c r="B17339" s="1">
        <v>0</v>
      </c>
      <c r="C17339" s="3">
        <v>44543.874097222222</v>
      </c>
      <c r="D17339" s="1" t="s">
        <v>34114</v>
      </c>
      <c r="E17339" s="4" t="str">
        <f ca="1">IFERROR(__xludf.DUMMYFUNCTION("GOOGLETRANSLATE(A142 , ""tr"" , ""en"")"),"RT @ LALA23111660: @drfahrettinka you are people who have answered to the question that even if you have case of Omicron. We don't believe in you in life # ...")</f>
        <v>RT @ LALA23111660: @drfahrettinka you are people who have answered to the question that even if you have case of Omicron. We don't believe in you in life # ...</v>
      </c>
    </row>
    <row r="17340" spans="1:5" ht="15" customHeight="1" x14ac:dyDescent="0.25">
      <c r="A17340" s="1" t="s">
        <v>34115</v>
      </c>
      <c r="B17340" s="1">
        <v>0</v>
      </c>
      <c r="C17340" s="3">
        <v>44543.87395833333</v>
      </c>
      <c r="D17340" s="1" t="s">
        <v>34116</v>
      </c>
      <c r="E17340" s="4" t="str">
        <f ca="1">IFERROR(__xludf.DUMMYFUNCTION("GOOGLETRANSLATE(A143 , ""tr"" , ""en"")"),"RT @ LALA23111660: What is the @drfahrettinkoca lie? You can see it in this table☺ # tbmmmaxicinonlineafter")</f>
        <v>RT @ LALA23111660: What is the @drfahrettinkoca lie? You can see it in this table☺ # tbmmmaxicinonlineafter</v>
      </c>
    </row>
    <row r="17341" spans="1:5" ht="15" customHeight="1" x14ac:dyDescent="0.25">
      <c r="A17341" s="1" t="s">
        <v>34117</v>
      </c>
      <c r="B17341" s="1">
        <v>0</v>
      </c>
      <c r="C17341" s="3">
        <v>44543.873831018522</v>
      </c>
      <c r="D17341" s="1" t="s">
        <v>34118</v>
      </c>
      <c r="E17341" s="4" t="str">
        <f ca="1">IFERROR(__xludf.DUMMYFUNCTION("GOOGLETRANSLATE(A144 , ""tr"" , ""en"")"),"RT @Online_Sart: @drfahrettinkoca Hear our voice We want online training for the obligation not enjoy our pleasure @rterdogan @tcmeb @ drfahre ...")</f>
        <v>RT @Online_Sart: @drfahrettinkoca Hear our voice We want online training for the obligation not enjoy our pleasure @rterdogan @tcmeb @ drfahre ...</v>
      </c>
    </row>
    <row r="17342" spans="1:5" ht="15" customHeight="1" x14ac:dyDescent="0.25">
      <c r="A17342" s="1" t="s">
        <v>34119</v>
      </c>
      <c r="B17342" s="1">
        <v>0</v>
      </c>
      <c r="C17342" s="3">
        <v>44543.873738425929</v>
      </c>
      <c r="D17342" s="1" t="s">
        <v>34120</v>
      </c>
      <c r="E17342" s="4" t="str">
        <f ca="1">IFERROR(__xludf.DUMMYFUNCTION("GOOGLETRANSLATE(A145 , ""tr"" , ""en"")"),"@drfahrettinkoca no halal, my ......miyiyemiyi https://t.co/y0ueiqyvla")</f>
        <v>@drfahrettinkoca no halal, my ......miyiyemiyi https://t.co/y0ueiqyvla</v>
      </c>
    </row>
    <row r="17343" spans="1:5" ht="15" customHeight="1" x14ac:dyDescent="0.25">
      <c r="A17343" s="1" t="s">
        <v>34121</v>
      </c>
      <c r="B17343" s="1">
        <v>0</v>
      </c>
      <c r="C17343" s="3">
        <v>44543.873483796298</v>
      </c>
      <c r="D17343" s="1" t="s">
        <v>34122</v>
      </c>
      <c r="E17343" s="4" t="str">
        <f ca="1">IFERROR(__xludf.DUMMYFUNCTION("GOOGLETRANSLATE(A146 , ""tr"" , ""en"")"),"RT @Acirask: @drfahrettinkoca Microsoft's Owner's Owner Software, Infectious Diseases Specialist Prof Dr Bill Gates says ...")</f>
        <v>RT @Acirask: @drfahrettinkoca Microsoft's Owner's Owner Software, Infectious Diseases Specialist Prof Dr Bill Gates says ...</v>
      </c>
    </row>
    <row r="17344" spans="1:5" ht="15" customHeight="1" x14ac:dyDescent="0.25">
      <c r="A17344" s="1" t="s">
        <v>34123</v>
      </c>
      <c r="B17344" s="1">
        <v>0</v>
      </c>
      <c r="C17344" s="3">
        <v>44543.872731481482</v>
      </c>
      <c r="D17344" s="1" t="s">
        <v>34124</v>
      </c>
      <c r="E17344" s="4" t="str">
        <f ca="1">IFERROR(__xludf.DUMMYFUNCTION("GOOGLETRANSLATE(A147 , ""tr"" , ""en"")"),"Rt @urzfrkkysm: @drfahrettinkoca I ask me. How to make a minister how to get a needle of emergency use approval. I answer ...")</f>
        <v>Rt @urzfrkkysm: @drfahrettinkoca I ask me. How to make a minister how to get a needle of emergency use approval. I answer ...</v>
      </c>
    </row>
    <row r="17345" spans="1:5" ht="15" customHeight="1" x14ac:dyDescent="0.25">
      <c r="A17345" s="1" t="s">
        <v>34125</v>
      </c>
      <c r="B17345" s="1">
        <v>0</v>
      </c>
      <c r="C17345" s="3">
        <v>44543.872627314813</v>
      </c>
      <c r="D17345" s="1" t="s">
        <v>34126</v>
      </c>
      <c r="E17345" s="4" t="str">
        <f ca="1">IFERROR(__xludf.DUMMYFUNCTION("GOOGLETRANSLATE(A148 , ""tr"" , ""en"")"),"Rt @ alivahab12: @drfahrettinkoca @Akadirkaraduman @AKAdirkaraduman @birgun_gazetesi @Avhamzadag @birincimucahit @mahirunal @osmannnurika vaccine compulsory ...")</f>
        <v>Rt @ alivahab12: @drfahrettinkoca @Akadirkaraduman @AKAdirkaraduman @birgun_gazetesi @Avhamzadag @birincimucahit @mahirunal @osmannnurika vaccine compulsory ...</v>
      </c>
    </row>
    <row r="17346" spans="1:5" ht="15" customHeight="1" x14ac:dyDescent="0.25">
      <c r="A17346" s="1" t="s">
        <v>33916</v>
      </c>
      <c r="B17346" s="1">
        <v>0</v>
      </c>
      <c r="C17346" s="3">
        <v>44543.872303240743</v>
      </c>
      <c r="D17346" s="1" t="s">
        <v>34127</v>
      </c>
      <c r="E17346" s="4" t="str">
        <f ca="1">IFERROR(__xludf.DUMMYFUNCTION("GOOGLETRANSLATE(A149 , ""tr"" , ""en"")"),"RT @ dr_uyssal18: @drfahrettinkoca sec Minister, professional training in the field of health, our state of health management graduates give the staff ...")</f>
        <v>RT @ dr_uyssal18: @drfahrettinkoca sec Minister, professional training in the field of health, our state of health management graduates give the staff ...</v>
      </c>
    </row>
    <row r="17347" spans="1:5" ht="15" customHeight="1" x14ac:dyDescent="0.25">
      <c r="A17347" s="1" t="s">
        <v>33911</v>
      </c>
      <c r="B17347" s="1">
        <v>0</v>
      </c>
      <c r="C17347" s="3">
        <v>44543.871319444443</v>
      </c>
      <c r="D17347" s="1" t="s">
        <v>34128</v>
      </c>
      <c r="E17347" s="4" t="str">
        <f ca="1">IFERROR(__xludf.DUMMYFUNCTION("GOOGLETRANSLATE(A150 , ""tr"" , ""en"")"),"RT @ Cemilcan5834: @drfahrettinkoca direct screenshot Get to Get Friendlier This tweet always comes enough, athletes Celebrities Stay ...")</f>
        <v>RT @ Cemilcan5834: @drfahrettinkoca direct screenshot Get to Get Friendlier This tweet always comes enough, athletes Celebrities Stay ...</v>
      </c>
    </row>
    <row r="17348" spans="1:5" ht="15" customHeight="1" x14ac:dyDescent="0.25">
      <c r="A17348" s="1" t="s">
        <v>33934</v>
      </c>
      <c r="B17348" s="1">
        <v>0</v>
      </c>
      <c r="C17348" s="3">
        <v>44543.871099537035</v>
      </c>
      <c r="D17348" s="1" t="s">
        <v>34129</v>
      </c>
      <c r="E17348" s="4" t="str">
        <f ca="1">IFERROR(__xludf.DUMMYFUNCTION("GOOGLETRANSLATE(A151 , ""tr"" , ""en"")"),"RT @EYMENGOKER: @drfahrettinkoca We are not forgiving!")</f>
        <v>RT @EYMENGOKER: @drfahrettinkoca We are not forgiving!</v>
      </c>
    </row>
    <row r="17349" spans="1:5" ht="15" customHeight="1" x14ac:dyDescent="0.25">
      <c r="A17349" s="1" t="s">
        <v>33995</v>
      </c>
      <c r="B17349" s="1">
        <v>0</v>
      </c>
      <c r="C17349" s="3">
        <v>44543.870798611111</v>
      </c>
      <c r="D17349" s="1" t="s">
        <v>34130</v>
      </c>
      <c r="E17349" s="4" t="str">
        <f ca="1">IFERROR(__xludf.DUMMYFUNCTION("GOOGLETRANSLATE(A152 , ""tr"" , ""en"")"),"RT @ AYHAN_002: @drfahrettinka Mr. Minister Our Minister Hbys Health Workers Hospitals Running on Day 7/24 in Hospitals Persone Persone ...")</f>
        <v>RT @ AYHAN_002: @drfahrettinka Mr. Minister Our Minister Hbys Health Workers Hospitals Running on Day 7/24 in Hospitals Persone Persone ...</v>
      </c>
    </row>
    <row r="17350" spans="1:5" ht="15" customHeight="1" x14ac:dyDescent="0.25">
      <c r="A17350" s="1" t="s">
        <v>34131</v>
      </c>
      <c r="B17350" s="1">
        <v>0</v>
      </c>
      <c r="C17350" s="3">
        <v>44543.870763888888</v>
      </c>
      <c r="D17350" s="1" t="s">
        <v>34132</v>
      </c>
      <c r="E17350" s="4" t="str">
        <f ca="1">IFERROR(__xludf.DUMMYFUNCTION("GOOGLETRANSLATE(A153 , ""tr"" , ""en"")"),"RT @ HBYS24: @drfahrettinka https://t.co/mnsi3xnmc0")</f>
        <v>RT @ HBYS24: @drfahrettinka https://t.co/mnsi3xnmc0</v>
      </c>
    </row>
    <row r="17351" spans="1:5" ht="15" customHeight="1" x14ac:dyDescent="0.25">
      <c r="A17351" s="1" t="s">
        <v>33898</v>
      </c>
      <c r="B17351" s="1">
        <v>0</v>
      </c>
      <c r="C17351" s="3">
        <v>44543.870659722219</v>
      </c>
      <c r="D17351" s="1" t="s">
        <v>34133</v>
      </c>
      <c r="E17351" s="4" t="str">
        <f ca="1">IFERROR(__xludf.DUMMYFUNCTION("GOOGLETRANSLATE(A154 , ""tr"" , ""en"")"),"RT @lartunamayayan: @drfahrettinkoca Rights No Halal Gezdir, You don't have to bed 7 Cotten blood vomits As you make the public, the people of the people ...")</f>
        <v>RT @lartunamayayan: @drfahrettinkoca Rights No Halal Gezdir, You don't have to bed 7 Cotten blood vomits As you make the public, the people of the people ...</v>
      </c>
    </row>
    <row r="17352" spans="1:5" ht="15" customHeight="1" x14ac:dyDescent="0.25">
      <c r="A17352" s="1" t="s">
        <v>34003</v>
      </c>
      <c r="B17352" s="1">
        <v>0</v>
      </c>
      <c r="C17352" s="3">
        <v>44543.870648148149</v>
      </c>
      <c r="D17352" s="1" t="s">
        <v>34134</v>
      </c>
      <c r="E17352" s="4" t="str">
        <f ca="1">IFERROR(__xludf.DUMMYFUNCTION("GOOGLETRANSLATE(A155 , ""tr"" , ""en"")"),"RT @Yunus_Duril: @drfahrettinka for many years HBYS computing personnel missing Missing Minister. @vedatbilgn https://t.co/pyqko0pljo")</f>
        <v>RT @Yunus_Duril: @drfahrettinka for many years HBYS computing personnel missing Missing Minister. @vedatbilgn https://t.co/pyqko0pljo</v>
      </c>
    </row>
    <row r="17353" spans="1:5" ht="15" customHeight="1" x14ac:dyDescent="0.25">
      <c r="A17353" s="1" t="s">
        <v>34005</v>
      </c>
      <c r="B17353" s="1">
        <v>0</v>
      </c>
      <c r="C17353" s="3">
        <v>44543.870613425926</v>
      </c>
      <c r="D17353" s="1" t="s">
        <v>34135</v>
      </c>
      <c r="E17353" s="4" t="str">
        <f ca="1">IFERROR(__xludf.DUMMYFUNCTION("GOOGLETRANSLATE(A156 , ""tr"" , ""en"")"),"Rt @sametincir_: @drfahrettinkoca Dear husband. Hospitals who work in hospitals have given words to HBYS computing / software experts. All H ...")</f>
        <v>Rt @sametincir_: @drfahrettinkoca Dear husband. Hospitals who work in hospitals have given words to HBYS computing / software experts. All H ...</v>
      </c>
    </row>
    <row r="17354" spans="1:5" ht="15" customHeight="1" x14ac:dyDescent="0.25">
      <c r="A17354" s="1" t="s">
        <v>34023</v>
      </c>
      <c r="B17354" s="1">
        <v>0</v>
      </c>
      <c r="C17354" s="3">
        <v>44543.870613425926</v>
      </c>
      <c r="D17354" s="1" t="s">
        <v>34136</v>
      </c>
      <c r="E17354" s="4" t="str">
        <f ca="1">IFERROR(__xludf.DUMMYFUNCTION("GOOGLETRANSLATE(A157 , ""tr"" , ""en"")"),"Rt @ebruzeybon: @drfahrettinkoca you don't read the appreciation of the nation. # Tbmmacityism")</f>
        <v>Rt @ebruzeybon: @drfahrettinkoca you don't read the appreciation of the nation. # Tbmmacityism</v>
      </c>
    </row>
    <row r="17355" spans="1:5" ht="15" customHeight="1" x14ac:dyDescent="0.25">
      <c r="A17355" s="1" t="s">
        <v>34053</v>
      </c>
      <c r="B17355" s="1">
        <v>0</v>
      </c>
      <c r="C17355" s="3">
        <v>44543.87060185185</v>
      </c>
      <c r="D17355" s="1" t="s">
        <v>34137</v>
      </c>
      <c r="E17355" s="4" t="str">
        <f ca="1">IFERROR(__xludf.DUMMYFUNCTION("GOOGLETRANSLATE(A158 , ""tr"" , ""en"")"),"RT @ DERYA26745389: @drfahrettinkoca kids breathe last year they have trained onLINE in the hygienic environment, and leave it very nice ...")</f>
        <v>RT @ DERYA26745389: @drfahrettinkoca kids breathe last year they have trained onLINE in the hygienic environment, and leave it very nice ...</v>
      </c>
    </row>
    <row r="17356" spans="1:5" ht="15" customHeight="1" x14ac:dyDescent="0.25">
      <c r="A17356" s="1" t="s">
        <v>33999</v>
      </c>
      <c r="B17356" s="1">
        <v>0</v>
      </c>
      <c r="C17356" s="3">
        <v>44543.870520833334</v>
      </c>
      <c r="D17356" s="1" t="s">
        <v>34138</v>
      </c>
      <c r="E17356" s="4" t="str">
        <f ca="1">IFERROR(__xludf.DUMMYFUNCTION("GOOGLETRANSLATE(A159 , ""tr"" , ""en"")"),"Rt @ o2turkahmet: @drfahrettinka Mr. Ministry No error-free handle, as a result we are all people in 2018 only in the Ministry of Ministry Disclaimer in 2018.")</f>
        <v>Rt @ o2turkahmet: @drfahrettinka Mr. Ministry No error-free handle, as a result we are all people in 2018 only in the Ministry of Ministry Disclaimer in 2018.</v>
      </c>
    </row>
    <row r="17357" spans="1:5" ht="15" customHeight="1" x14ac:dyDescent="0.25">
      <c r="A17357" s="1" t="s">
        <v>34080</v>
      </c>
      <c r="B17357" s="1">
        <v>0</v>
      </c>
      <c r="C17357" s="3">
        <v>44543.870439814818</v>
      </c>
      <c r="D17357" s="1" t="s">
        <v>34139</v>
      </c>
      <c r="E17357" s="4" t="str">
        <f ca="1">IFERROR(__xludf.DUMMYFUNCTION("GOOGLETRANSLATE(A160 , ""tr"" , ""en"")"),"RT @huseyinhbys: @drfahrettinka Mr. Minister Hbys - Hospital Information Processing Personnel Nin staff the promise of the staff and the coin of the deficiency ...")</f>
        <v>RT @huseyinhbys: @drfahrettinka Mr. Minister Hbys - Hospital Information Processing Personnel Nin staff the promise of the staff and the coin of the deficiency ...</v>
      </c>
    </row>
    <row r="17358" spans="1:5" ht="15" customHeight="1" x14ac:dyDescent="0.25">
      <c r="A17358" s="1" t="s">
        <v>33916</v>
      </c>
      <c r="B17358" s="1">
        <v>0</v>
      </c>
      <c r="C17358" s="3">
        <v>44543.870405092595</v>
      </c>
      <c r="D17358" s="1" t="s">
        <v>34140</v>
      </c>
      <c r="E17358" s="4" t="str">
        <f ca="1">IFERROR(__xludf.DUMMYFUNCTION("GOOGLETRANSLATE(A161 , ""tr"" , ""en"")"),"RT @ dr_uyssal18: @drfahrettinkoca sec Minister, professional training in the field of health, our state of health management graduates give the staff ...")</f>
        <v>RT @ dr_uyssal18: @drfahrettinkoca sec Minister, professional training in the field of health, our state of health management graduates give the staff ...</v>
      </c>
    </row>
    <row r="17359" spans="1:5" ht="15" customHeight="1" x14ac:dyDescent="0.25">
      <c r="A17359" s="1" t="s">
        <v>34007</v>
      </c>
      <c r="B17359" s="1">
        <v>0</v>
      </c>
      <c r="C17359" s="3">
        <v>44543.870370370372</v>
      </c>
      <c r="D17359" s="1" t="s">
        <v>34141</v>
      </c>
      <c r="E17359" s="4" t="str">
        <f ca="1">IFERROR(__xludf.DUMMYFUNCTION("GOOGLETRANSLATE(A162 , ""tr"" , ""en"")"),"RT @esarisaray: @drfahrettinkoca HBYS staff say, we will also say that our deficiency of the staff you don't give it to the staff. Let's love the staff ...")</f>
        <v>RT @esarisaray: @drfahrettinkoca HBYS staff say, we will also say that our deficiency of the staff you don't give it to the staff. Let's love the staff ...</v>
      </c>
    </row>
    <row r="17360" spans="1:5" ht="15" customHeight="1" x14ac:dyDescent="0.25">
      <c r="A17360" s="1" t="s">
        <v>34125</v>
      </c>
      <c r="B17360" s="1">
        <v>0</v>
      </c>
      <c r="C17360" s="3">
        <v>44543.87023148148</v>
      </c>
      <c r="D17360" s="1" t="s">
        <v>34142</v>
      </c>
      <c r="E17360" s="4" t="str">
        <f ca="1">IFERROR(__xludf.DUMMYFUNCTION("GOOGLETRANSLATE(A163 , ""tr"" , ""en"")"),"Rt @ alivahab12: @drfahrettinkoca @Akadirkaraduman @AKAdirkaraduman @birgun_gazetesi @Avhamzadag @birincimucahit @mahirunal @osmannnurika vaccine compulsory ...")</f>
        <v>Rt @ alivahab12: @drfahrettinkoca @Akadirkaraduman @AKAdirkaraduman @birgun_gazetesi @Avhamzadag @birincimucahit @mahirunal @osmannnurika vaccine compulsory ...</v>
      </c>
    </row>
    <row r="17361" spans="1:5" ht="15" customHeight="1" x14ac:dyDescent="0.25">
      <c r="A17361" s="1" t="s">
        <v>34143</v>
      </c>
      <c r="B17361" s="1">
        <v>0</v>
      </c>
      <c r="C17361" s="3">
        <v>44543.870208333334</v>
      </c>
      <c r="D17361" s="1" t="s">
        <v>34144</v>
      </c>
      <c r="E17361" s="4" t="str">
        <f ca="1">IFERROR(__xludf.DUMMYFUNCTION("GOOGLETRANSLATE(A164 , ""tr"" , ""en"")"),"RT @ishakbabat: @drfahrettinkoca You didn't see the health management graduates in these purchases @Drrecepakdag @Drrecepakdag @gozdeirisciogl @ saglikba ...")</f>
        <v>RT @ishakbabat: @drfahrettinkoca You didn't see the health management graduates in these purchases @Drrecepakdag @Drrecepakdag @gozdeirisciogl @ saglikba ...</v>
      </c>
    </row>
    <row r="17362" spans="1:5" ht="15" customHeight="1" x14ac:dyDescent="0.25">
      <c r="A17362" s="1" t="s">
        <v>34145</v>
      </c>
      <c r="B17362" s="1">
        <v>0</v>
      </c>
      <c r="C17362" s="3">
        <v>44543.870115740741</v>
      </c>
      <c r="D17362" s="1" t="s">
        <v>34146</v>
      </c>
      <c r="E17362" s="4" t="str">
        <f ca="1">IFERROR(__xludf.DUMMYFUNCTION("GOOGLETRANSLATE(A165 , ""tr"" , ""en"")"),"Rt @skyzeyn: @drfahrettinka https://t.co/tb3tkqkdn1")</f>
        <v>Rt @skyzeyn: @drfahrettinka https://t.co/tb3tkqkdn1</v>
      </c>
    </row>
    <row r="17363" spans="1:5" ht="15" customHeight="1" x14ac:dyDescent="0.25">
      <c r="A17363" s="1" t="s">
        <v>34125</v>
      </c>
      <c r="B17363" s="1">
        <v>0</v>
      </c>
      <c r="C17363" s="3">
        <v>44543.86990740741</v>
      </c>
      <c r="D17363" s="1" t="s">
        <v>34147</v>
      </c>
      <c r="E17363" s="4" t="str">
        <f ca="1">IFERROR(__xludf.DUMMYFUNCTION("GOOGLETRANSLATE(A166 , ""tr"" , ""en"")"),"Rt @ alivahab12: @drfahrettinkoca @Akadirkaraduman @AKAdirkaraduman @birgun_gazetesi @Avhamzadag @birincimucahit @mahirunal @osmannnurika vaccine compulsory ...")</f>
        <v>Rt @ alivahab12: @drfahrettinkoca @Akadirkaraduman @AKAdirkaraduman @birgun_gazetesi @Avhamzadag @birincimucahit @mahirunal @osmannnurika vaccine compulsory ...</v>
      </c>
    </row>
    <row r="17364" spans="1:5" ht="15" customHeight="1" x14ac:dyDescent="0.25">
      <c r="A17364" s="1" t="s">
        <v>33920</v>
      </c>
      <c r="B17364" s="1">
        <v>0</v>
      </c>
      <c r="C17364" s="3">
        <v>44543.869791666664</v>
      </c>
      <c r="D17364" s="1" t="s">
        <v>34148</v>
      </c>
      <c r="E17364" s="4" t="str">
        <f ca="1">IFERROR(__xludf.DUMMYFUNCTION("GOOGLETRANSLATE(A167 , ""tr"" , ""en"")"),"RT @klarsseref: @drfahrettinkoca I passed every children to be vaccinated to be vaccinated to be inquiry 1 Don't CLAIM maybe this job is the middle ...")</f>
        <v>RT @klarsseref: @drfahrettinkoca I passed every children to be vaccinated to be vaccinated to be inquiry 1 Don't CLAIM maybe this job is the middle ...</v>
      </c>
    </row>
    <row r="17365" spans="1:5" ht="15" customHeight="1" x14ac:dyDescent="0.25">
      <c r="A17365" s="1" t="s">
        <v>33971</v>
      </c>
      <c r="B17365" s="1">
        <v>0</v>
      </c>
      <c r="C17365" s="3">
        <v>44543.869606481479</v>
      </c>
      <c r="D17365" s="1" t="s">
        <v>34149</v>
      </c>
      <c r="E17365" s="4" t="str">
        <f ca="1">IFERROR(__xludf.DUMMYFUNCTION("GOOGLETRANSLATE(A168 , ""tr"" , ""en"")"),"RT @ İLENS8585: @drfahrettinkoca UK Omicron Case Number of Cases reached 3 thousand in a short time.")</f>
        <v>RT @ İLENS8585: @drfahrettinkoca UK Omicron Case Number of Cases reached 3 thousand in a short time.</v>
      </c>
    </row>
    <row r="17366" spans="1:5" ht="15" customHeight="1" x14ac:dyDescent="0.25">
      <c r="A17366" s="1" t="s">
        <v>34150</v>
      </c>
      <c r="B17366" s="1">
        <v>0</v>
      </c>
      <c r="C17366" s="3">
        <v>44543.869502314818</v>
      </c>
      <c r="D17366" s="1" t="s">
        <v>34151</v>
      </c>
      <c r="E17366" s="4" t="str">
        <f ca="1">IFERROR(__xludf.DUMMYFUNCTION("GOOGLETRANSLATE(A169 , ""tr"" , ""en"")"),"RT @Buradayalizma: @drfahrettinka you don't insist on online education. Why? If you also answer this, you'd better Mr. Minister # TBMM ...")</f>
        <v>RT @Buradayalizma: @drfahrettinka you don't insist on online education. Why? If you also answer this, you'd better Mr. Minister # TBMM ...</v>
      </c>
    </row>
    <row r="17367" spans="1:5" ht="15" customHeight="1" x14ac:dyDescent="0.25">
      <c r="A17367" s="1" t="s">
        <v>34111</v>
      </c>
      <c r="B17367" s="1">
        <v>0</v>
      </c>
      <c r="C17367" s="3">
        <v>44543.869456018518</v>
      </c>
      <c r="D17367" s="1" t="s">
        <v>34152</v>
      </c>
      <c r="E17367" s="4" t="str">
        <f ca="1">IFERROR(__xludf.DUMMYFUNCTION("GOOGLETRANSLATE(A170 , ""tr"" , ""en"")"),"RT @mevltgnydn: @drfahrettinkoca I wonder if the answer vaccine or is the imaginary afflicted with the number of unsaid cases @drfahrettinkoca # t ...")</f>
        <v>RT @mevltgnydn: @drfahrettinkoca I wonder if the answer vaccine or is the imaginary afflicted with the number of unsaid cases @drfahrettinkoca # t ...</v>
      </c>
    </row>
    <row r="17368" spans="1:5" ht="15" customHeight="1" x14ac:dyDescent="0.25">
      <c r="A17368" s="1" t="s">
        <v>34153</v>
      </c>
      <c r="B17368" s="1">
        <v>0</v>
      </c>
      <c r="C17368" s="3">
        <v>44543.869351851848</v>
      </c>
      <c r="D17368" s="1" t="s">
        <v>34154</v>
      </c>
      <c r="E17368" s="4" t="str">
        <f ca="1">IFERROR(__xludf.DUMMYFUNCTION("GOOGLETRANSLATE(A171 , ""tr"" , ""en"")"),"RT @ zdndrn2: @drfahrettinka has intention from start to finish.")</f>
        <v>RT @ zdndrn2: @drfahrettinka has intention from start to finish.</v>
      </c>
    </row>
    <row r="17369" spans="1:5" ht="15" customHeight="1" x14ac:dyDescent="0.25">
      <c r="A17369" s="1" t="s">
        <v>34155</v>
      </c>
      <c r="B17369" s="1">
        <v>0</v>
      </c>
      <c r="C17369" s="3">
        <v>44543.869340277779</v>
      </c>
      <c r="D17369" s="1" t="s">
        <v>34156</v>
      </c>
      <c r="E17369" s="4" t="str">
        <f ca="1">IFERROR(__xludf.DUMMYFUNCTION("GOOGLETRANSLATE(A172 , ""tr"" , ""en"")"),"RT @bayram_trkololu: @drfahrettinkoca Who is missing in this video? Bill Gates from the ASR's Pharaohs, the vaccination investment has been 20 gains for Htt ...")</f>
        <v>RT @bayram_trkololu: @drfahrettinkoca Who is missing in this video? Bill Gates from the ASR's Pharaohs, the vaccination investment has been 20 gains for Htt ...</v>
      </c>
    </row>
    <row r="17370" spans="1:5" ht="15" customHeight="1" x14ac:dyDescent="0.25">
      <c r="A17370" s="1" t="s">
        <v>33925</v>
      </c>
      <c r="B17370" s="1">
        <v>0</v>
      </c>
      <c r="C17370" s="3">
        <v>44543.86922453704</v>
      </c>
      <c r="D17370" s="1" t="s">
        <v>34157</v>
      </c>
      <c r="E17370" s="4" t="str">
        <f ca="1">IFERROR(__xludf.DUMMYFUNCTION("GOOGLETRANSLATE(A173 , ""tr"" , ""en"")"),"RT @irfanalgul: @drfahrettinkoca We suggest you re-check what you have said from the beginning, always denied the previous one ...")</f>
        <v>RT @irfanalgul: @drfahrettinkoca We suggest you re-check what you have said from the beginning, always denied the previous one ...</v>
      </c>
    </row>
    <row r="17371" spans="1:5" ht="15" customHeight="1" x14ac:dyDescent="0.25">
      <c r="A17371" s="1" t="s">
        <v>34158</v>
      </c>
      <c r="B17371" s="1">
        <v>0</v>
      </c>
      <c r="C17371" s="3">
        <v>44543.869143518517</v>
      </c>
      <c r="D17371" s="1" t="s">
        <v>34159</v>
      </c>
      <c r="E17371" s="4" t="str">
        <f ca="1">IFERROR(__xludf.DUMMYFUNCTION("GOOGLETRANSLATE(A174 , ""tr"" , ""en"")"),"@drfahrettinka https://t.co/c6kv91jx1c")</f>
        <v>@drfahrettinka https://t.co/c6kv91jx1c</v>
      </c>
    </row>
    <row r="17372" spans="1:5" ht="15" customHeight="1" x14ac:dyDescent="0.25">
      <c r="A17372" s="1" t="s">
        <v>34131</v>
      </c>
      <c r="B17372" s="1">
        <v>0</v>
      </c>
      <c r="C17372" s="3">
        <v>44543.869120370371</v>
      </c>
      <c r="D17372" s="1" t="s">
        <v>34160</v>
      </c>
      <c r="E17372" s="4" t="str">
        <f ca="1">IFERROR(__xludf.DUMMYFUNCTION("GOOGLETRANSLATE(A175 , ""tr"" , ""en"")"),"RT @ HBYS24: @drfahrettinka https://t.co/mnsi3xnmc0")</f>
        <v>RT @ HBYS24: @drfahrettinka https://t.co/mnsi3xnmc0</v>
      </c>
    </row>
    <row r="17373" spans="1:5" ht="15" customHeight="1" x14ac:dyDescent="0.25">
      <c r="A17373" s="1" t="s">
        <v>34161</v>
      </c>
      <c r="B17373" s="1">
        <v>0</v>
      </c>
      <c r="C17373" s="3">
        <v>44543.869074074071</v>
      </c>
      <c r="D17373" s="1" t="s">
        <v>34162</v>
      </c>
      <c r="E17373" s="4" t="str">
        <f ca="1">IFERROR(__xludf.DUMMYFUNCTION("GOOGLETRANSLATE(A176 , ""tr"" , ""en"")"),"RT @ hac6868: @drfahrettinkoca Your error is not giving the HBYS staff")</f>
        <v>RT @ hac6868: @drfahrettinkoca Your error is not giving the HBYS staff</v>
      </c>
    </row>
    <row r="17374" spans="1:5" ht="15" customHeight="1" x14ac:dyDescent="0.25">
      <c r="A17374" s="1" t="s">
        <v>34017</v>
      </c>
      <c r="B17374" s="1">
        <v>0</v>
      </c>
      <c r="C17374" s="3">
        <v>44543.869027777779</v>
      </c>
      <c r="D17374" s="1" t="s">
        <v>34163</v>
      </c>
      <c r="E17374" s="4" t="str">
        <f ca="1">IFERROR(__xludf.DUMMYFUNCTION("GOOGLETRANSLATE(A177 , ""tr"" , ""en"")"),"RT @ MUALLA0902: @drfahrettinka no count husband !! The rings you created from mistakes were chains !! We have many times on your authority to you ...")</f>
        <v>RT @ MUALLA0902: @drfahrettinka no count husband !! The rings you created from mistakes were chains !! We have many times on your authority to you ...</v>
      </c>
    </row>
    <row r="17375" spans="1:5" ht="15" customHeight="1" x14ac:dyDescent="0.25">
      <c r="A17375" s="1" t="s">
        <v>34003</v>
      </c>
      <c r="B17375" s="1">
        <v>0</v>
      </c>
      <c r="C17375" s="3">
        <v>44543.869027777779</v>
      </c>
      <c r="D17375" s="1" t="s">
        <v>34164</v>
      </c>
      <c r="E17375" s="4" t="str">
        <f ca="1">IFERROR(__xludf.DUMMYFUNCTION("GOOGLETRANSLATE(A178 , ""tr"" , ""en"")"),"RT @Yunus_Duril: @drfahrettinka for many years HBYS computing personnel missing Missing Minister. @vedatbilgn https://t.co/pyqko0pljo")</f>
        <v>RT @Yunus_Duril: @drfahrettinka for many years HBYS computing personnel missing Missing Minister. @vedatbilgn https://t.co/pyqko0pljo</v>
      </c>
    </row>
    <row r="17376" spans="1:5" ht="15" customHeight="1" x14ac:dyDescent="0.25">
      <c r="A17376" s="1" t="s">
        <v>34005</v>
      </c>
      <c r="B17376" s="1">
        <v>0</v>
      </c>
      <c r="C17376" s="3">
        <v>44543.868900462963</v>
      </c>
      <c r="D17376" s="1" t="s">
        <v>34165</v>
      </c>
      <c r="E17376" s="4" t="str">
        <f ca="1">IFERROR(__xludf.DUMMYFUNCTION("GOOGLETRANSLATE(A179 , ""tr"" , ""en"")"),"Rt @sametincir_: @drfahrettinkoca Dear husband. Hospitals who work in hospitals have given words to HBYS computing / software experts. All H ...")</f>
        <v>Rt @sametincir_: @drfahrettinkoca Dear husband. Hospitals who work in hospitals have given words to HBYS computing / software experts. All H ...</v>
      </c>
    </row>
    <row r="17377" spans="1:5" ht="15" customHeight="1" x14ac:dyDescent="0.25">
      <c r="A17377" s="1" t="s">
        <v>34080</v>
      </c>
      <c r="B17377" s="1">
        <v>0</v>
      </c>
      <c r="C17377" s="3">
        <v>44543.868842592594</v>
      </c>
      <c r="D17377" s="1" t="s">
        <v>34166</v>
      </c>
      <c r="E17377" s="4" t="str">
        <f ca="1">IFERROR(__xludf.DUMMYFUNCTION("GOOGLETRANSLATE(A180 , ""tr"" , ""en"")"),"RT @huseyinhbys: @drfahrettinka Mr. Minister Hbys - Hospital Information Processing Personnel Nin staff the promise of the staff and the coin of the deficiency ...")</f>
        <v>RT @huseyinhbys: @drfahrettinka Mr. Minister Hbys - Hospital Information Processing Personnel Nin staff the promise of the staff and the coin of the deficiency ...</v>
      </c>
    </row>
    <row r="17378" spans="1:5" ht="15" customHeight="1" x14ac:dyDescent="0.25">
      <c r="A17378" s="1" t="s">
        <v>33981</v>
      </c>
      <c r="B17378" s="1">
        <v>0</v>
      </c>
      <c r="C17378" s="3">
        <v>44543.868831018517</v>
      </c>
      <c r="D17378" s="1" t="s">
        <v>34167</v>
      </c>
      <c r="E17378" s="4" t="str">
        <f ca="1">IFERROR(__xludf.DUMMYFUNCTION("GOOGLETRANSLATE(A181 , ""tr"" , ""en"")"),"RT @ LALA23111660: @drfahrettinka you are people who have answered to the question that even if you have case of Omicron. We don't believe in you in life # ...")</f>
        <v>RT @ LALA23111660: @drfahrettinka you are people who have answered to the question that even if you have case of Omicron. We don't believe in you in life # ...</v>
      </c>
    </row>
    <row r="17379" spans="1:5" ht="15" customHeight="1" x14ac:dyDescent="0.25">
      <c r="A17379" s="1" t="s">
        <v>33999</v>
      </c>
      <c r="B17379" s="1">
        <v>0</v>
      </c>
      <c r="C17379" s="3">
        <v>44543.868784722225</v>
      </c>
      <c r="D17379" s="1" t="s">
        <v>34168</v>
      </c>
      <c r="E17379" s="4" t="str">
        <f ca="1">IFERROR(__xludf.DUMMYFUNCTION("GOOGLETRANSLATE(A182 , ""tr"" , ""en"")"),"Rt @ o2turkahmet: @drfahrettinka Mr. Ministry No error-free handle, as a result we are all people in 2018 only in the Ministry of Ministry Disclaimer in 2018.")</f>
        <v>Rt @ o2turkahmet: @drfahrettinka Mr. Ministry No error-free handle, as a result we are all people in 2018 only in the Ministry of Ministry Disclaimer in 2018.</v>
      </c>
    </row>
    <row r="17380" spans="1:5" ht="15" customHeight="1" x14ac:dyDescent="0.25">
      <c r="A17380" s="1" t="s">
        <v>34169</v>
      </c>
      <c r="B17380" s="1">
        <v>0</v>
      </c>
      <c r="C17380" s="3">
        <v>44543.868750000001</v>
      </c>
      <c r="D17380" s="1" t="s">
        <v>34170</v>
      </c>
      <c r="E17380" s="4" t="str">
        <f ca="1">IFERROR(__xludf.DUMMYFUNCTION("GOOGLETRANSLATE(A183 , ""tr"" , ""en"")"),"RT @kostenceseyfi: @drfahrettinkoca #hbys 696khkda excluded information personnel working with a tender 4D Exclusion of Continental Cadross ...")</f>
        <v>RT @kostenceseyfi: @drfahrettinkoca #hbys 696khkda excluded information personnel working with a tender 4D Exclusion of Continental Cadross ...</v>
      </c>
    </row>
    <row r="17381" spans="1:5" ht="15" customHeight="1" x14ac:dyDescent="0.25">
      <c r="A17381" s="1" t="s">
        <v>33993</v>
      </c>
      <c r="B17381" s="1">
        <v>0</v>
      </c>
      <c r="C17381" s="3">
        <v>44543.868715277778</v>
      </c>
      <c r="D17381" s="1" t="s">
        <v>34171</v>
      </c>
      <c r="E17381" s="4" t="str">
        <f ca="1">IFERROR(__xludf.DUMMYFUNCTION("GOOGLETRANSLATE(A184 , ""tr"" , ""en"")"),"Rt @kralsizkole: @drfahrettinkoca @drfahrettinkoca @saglikbakanligi Hospital Hospitalized HBBS So Data Processing Staff Subcontracting Law Victim Software Comp ...")</f>
        <v>Rt @kralsizkole: @drfahrettinkoca @drfahrettinkoca @saglikbakanligi Hospital Hospitalized HBBS So Data Processing Staff Subcontracting Law Victim Software Comp ...</v>
      </c>
    </row>
    <row r="17382" spans="1:5" ht="15" customHeight="1" x14ac:dyDescent="0.25">
      <c r="A17382" s="1" t="s">
        <v>33995</v>
      </c>
      <c r="B17382" s="1">
        <v>0</v>
      </c>
      <c r="C17382" s="3">
        <v>44543.868668981479</v>
      </c>
      <c r="D17382" s="1" t="s">
        <v>34172</v>
      </c>
      <c r="E17382" s="4" t="str">
        <f ca="1">IFERROR(__xludf.DUMMYFUNCTION("GOOGLETRANSLATE(A185 , ""tr"" , ""en"")"),"RT @ AYHAN_002: @drfahrettinka Mr. Minister Our Minister Hbys Health Workers Hospitals Running on Day 7/24 in Hospitals Persone Persone ...")</f>
        <v>RT @ AYHAN_002: @drfahrettinka Mr. Minister Our Minister Hbys Health Workers Hospitals Running on Day 7/24 in Hospitals Persone Persone ...</v>
      </c>
    </row>
    <row r="17383" spans="1:5" ht="15" customHeight="1" x14ac:dyDescent="0.25">
      <c r="A17383" s="1" t="s">
        <v>34007</v>
      </c>
      <c r="B17383" s="1">
        <v>0</v>
      </c>
      <c r="C17383" s="3">
        <v>44543.86859953704</v>
      </c>
      <c r="D17383" s="1" t="s">
        <v>34173</v>
      </c>
      <c r="E17383" s="4" t="str">
        <f ca="1">IFERROR(__xludf.DUMMYFUNCTION("GOOGLETRANSLATE(A186 , ""tr"" , ""en"")"),"RT @esarisaray: @drfahrettinkoca HBYS staff say, we will also say that our deficiency of the staff you don't give it to the staff. Let's love the staff ...")</f>
        <v>RT @esarisaray: @drfahrettinkoca HBYS staff say, we will also say that our deficiency of the staff you don't give it to the staff. Let's love the staff ...</v>
      </c>
    </row>
    <row r="17384" spans="1:5" ht="15" customHeight="1" x14ac:dyDescent="0.25">
      <c r="A17384" s="1" t="s">
        <v>34174</v>
      </c>
      <c r="B17384" s="1">
        <v>0</v>
      </c>
      <c r="C17384" s="3">
        <v>44543.86855324074</v>
      </c>
      <c r="D17384" s="1" t="s">
        <v>34175</v>
      </c>
      <c r="E17384" s="4" t="str">
        <f ca="1">IFERROR(__xludf.DUMMYFUNCTION("GOOGLETRANSLATE(A187 , ""tr"" , ""en"")"),"RT @ turkasil1: @drfahrettinkoca Hospitals at the beginning of the day without saying nights at the beginning of the Covid Positive Hbys employees' Rocket A ...")</f>
        <v>RT @ turkasil1: @drfahrettinkoca Hospitals at the beginning of the day without saying nights at the beginning of the Covid Positive Hbys employees' Rocket A ...</v>
      </c>
    </row>
    <row r="17385" spans="1:5" ht="15" customHeight="1" x14ac:dyDescent="0.25">
      <c r="A17385" s="1" t="s">
        <v>33911</v>
      </c>
      <c r="B17385" s="1">
        <v>0</v>
      </c>
      <c r="C17385" s="3">
        <v>44543.868541666663</v>
      </c>
      <c r="D17385" s="1" t="s">
        <v>34176</v>
      </c>
      <c r="E17385" s="4" t="str">
        <f ca="1">IFERROR(__xludf.DUMMYFUNCTION("GOOGLETRANSLATE(A188 , ""tr"" , ""en"")"),"RT @ Cemilcan5834: @drfahrettinkoca direct screenshot Get to Get Friendlier This tweet always comes enough, athletes Celebrities Stay ...")</f>
        <v>RT @ Cemilcan5834: @drfahrettinkoca direct screenshot Get to Get Friendlier This tweet always comes enough, athletes Celebrities Stay ...</v>
      </c>
    </row>
    <row r="17386" spans="1:5" ht="15" customHeight="1" x14ac:dyDescent="0.25">
      <c r="A17386" s="1" t="s">
        <v>34177</v>
      </c>
      <c r="B17386" s="1">
        <v>0</v>
      </c>
      <c r="C17386" s="3">
        <v>44543.868518518517</v>
      </c>
      <c r="D17386" s="1" t="s">
        <v>34178</v>
      </c>
      <c r="E17386" s="4" t="str">
        <f ca="1">IFERROR(__xludf.DUMMYFUNCTION("GOOGLETRANSLATE(A189 , ""tr"" , ""en"")"),"RT @ turkasil1: @drfahrettinka sn reisim @rterdogan work with 7 24 systems in the hospital for your own rank by giving you false information ...")</f>
        <v>RT @ turkasil1: @drfahrettinka sn reisim @rterdogan work with 7 24 systems in the hospital for your own rank by giving you false information ...</v>
      </c>
    </row>
    <row r="17387" spans="1:5" ht="15" customHeight="1" x14ac:dyDescent="0.25">
      <c r="A17387" s="1" t="s">
        <v>34179</v>
      </c>
      <c r="B17387" s="1">
        <v>0</v>
      </c>
      <c r="C17387" s="3">
        <v>44543.868437500001</v>
      </c>
      <c r="D17387" s="1" t="s">
        <v>34180</v>
      </c>
      <c r="E17387" s="4" t="str">
        <f ca="1">IFERROR(__xludf.DUMMYFUNCTION("GOOGLETRANSLATE(A190 , ""tr"" , ""en"")"),"RT @ turkasil1: @drfahrettinkoca Hospitals working in Hospitals724 The HBBY employees of the person who has always left subcontractors for the sake of interest in ...")</f>
        <v>RT @ turkasil1: @drfahrettinkoca Hospitals working in Hospitals724 The HBBY employees of the person who has always left subcontractors for the sake of interest in ...</v>
      </c>
    </row>
    <row r="17388" spans="1:5" ht="15" customHeight="1" x14ac:dyDescent="0.25">
      <c r="A17388" s="1" t="s">
        <v>33923</v>
      </c>
      <c r="B17388" s="1">
        <v>0</v>
      </c>
      <c r="C17388" s="3">
        <v>44543.868414351855</v>
      </c>
      <c r="D17388" s="1" t="s">
        <v>34181</v>
      </c>
      <c r="E17388" s="4" t="str">
        <f ca="1">IFERROR(__xludf.DUMMYFUNCTION("GOOGLETRANSLATE(A191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389" spans="1:5" ht="15" customHeight="1" x14ac:dyDescent="0.25">
      <c r="A17389" s="1" t="s">
        <v>33997</v>
      </c>
      <c r="B17389" s="1">
        <v>0</v>
      </c>
      <c r="C17389" s="3">
        <v>44543.868391203701</v>
      </c>
      <c r="D17389" s="1" t="s">
        <v>34182</v>
      </c>
      <c r="E17389" s="4" t="str">
        <f ca="1">IFERROR(__xludf.DUMMYFUNCTION("GOOGLETRANSLATE(A192 , ""tr"" , ""en"")"),"RT @ Batista0112: @drfahrettinka Mr. Minister Ministry of Health Subcontracting in your hospitals only HBYS computing studies ...")</f>
        <v>RT @ Batista0112: @drfahrettinka Mr. Minister Ministry of Health Subcontracting in your hospitals only HBYS computing studies ...</v>
      </c>
    </row>
    <row r="17390" spans="1:5" ht="15" customHeight="1" x14ac:dyDescent="0.25">
      <c r="A17390" s="1" t="s">
        <v>33888</v>
      </c>
      <c r="B17390" s="1">
        <v>0</v>
      </c>
      <c r="C17390" s="3">
        <v>44543.867858796293</v>
      </c>
      <c r="D17390" s="1" t="s">
        <v>34183</v>
      </c>
      <c r="E17390" s="4" t="str">
        <f ca="1">IFERROR(__xludf.DUMMYFUNCTION("GOOGLETRANSLATE(A193 , ""tr"" , ""en"")"),"RT @muzafarmuratov: @drfahrettinka you injected the liquid you don't know the results in this nation. The Turkish Nation will never forget you. https: //t....")</f>
        <v>RT @muzafarmuratov: @drfahrettinka you injected the liquid you don't know the results in this nation. The Turkish Nation will never forget you. https: //t....</v>
      </c>
    </row>
    <row r="17391" spans="1:5" ht="15" customHeight="1" x14ac:dyDescent="0.25">
      <c r="A17391" s="1" t="s">
        <v>34184</v>
      </c>
      <c r="B17391" s="1">
        <v>0</v>
      </c>
      <c r="C17391" s="3">
        <v>44543.867094907408</v>
      </c>
      <c r="D17391" s="1" t="s">
        <v>34185</v>
      </c>
      <c r="E17391" s="4" t="str">
        <f ca="1">IFERROR(__xludf.DUMMYFUNCTION("GOOGLETRANSLATE(A194 , ""tr"" , ""en"")"),"RT @ KEMAL7KRDS: @drfahrettinkoca @saglikbakanligi @rterdogan @hayat_hastanesi on 12.12.2021 Bursa Hay ...")</f>
        <v>RT @ KEMAL7KRDS: @drfahrettinkoca @saglikbakanligi @rterdogan @hayat_hastanesi on 12.12.2021 Bursa Hay ...</v>
      </c>
    </row>
    <row r="17392" spans="1:5" ht="15" customHeight="1" x14ac:dyDescent="0.25">
      <c r="A17392" s="1" t="s">
        <v>33923</v>
      </c>
      <c r="B17392" s="1">
        <v>0</v>
      </c>
      <c r="C17392" s="3">
        <v>44543.866805555554</v>
      </c>
      <c r="D17392" s="1" t="s">
        <v>34186</v>
      </c>
      <c r="E17392" s="4" t="str">
        <f ca="1">IFERROR(__xludf.DUMMYFUNCTION("GOOGLETRANSLATE(A195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393" spans="1:5" ht="15" customHeight="1" x14ac:dyDescent="0.25">
      <c r="A17393" s="1" t="s">
        <v>34187</v>
      </c>
      <c r="B17393" s="1">
        <v>0</v>
      </c>
      <c r="C17393" s="3">
        <v>44543.866793981484</v>
      </c>
      <c r="D17393" s="1" t="s">
        <v>34188</v>
      </c>
      <c r="E17393" s="4" t="str">
        <f ca="1">IFERROR(__xludf.DUMMYFUNCTION("GOOGLETRANSLATE(A196 , ""tr"" , ""en"")"),"@drfahrettinkoca @rterdogan https://t.co/fswgjrl5wo")</f>
        <v>@drfahrettinkoca @rterdogan https://t.co/fswgjrl5wo</v>
      </c>
    </row>
    <row r="17394" spans="1:5" ht="15" customHeight="1" x14ac:dyDescent="0.25">
      <c r="A17394" s="1" t="s">
        <v>33888</v>
      </c>
      <c r="B17394" s="1">
        <v>0</v>
      </c>
      <c r="C17394" s="3">
        <v>44543.866747685184</v>
      </c>
      <c r="D17394" s="1" t="s">
        <v>34189</v>
      </c>
      <c r="E17394" s="4" t="str">
        <f ca="1">IFERROR(__xludf.DUMMYFUNCTION("GOOGLETRANSLATE(A197 , ""tr"" , ""en"")"),"RT @muzafarmuratov: @drfahrettinka you injected the liquid you don't know the results in this nation. The Turkish Nation will never forget you. https: //t....")</f>
        <v>RT @muzafarmuratov: @drfahrettinka you injected the liquid you don't know the results in this nation. The Turkish Nation will never forget you. https: //t....</v>
      </c>
    </row>
    <row r="17395" spans="1:5" ht="15" customHeight="1" x14ac:dyDescent="0.25">
      <c r="A17395" s="1" t="s">
        <v>33981</v>
      </c>
      <c r="B17395" s="1">
        <v>0</v>
      </c>
      <c r="C17395" s="3">
        <v>44543.86650462963</v>
      </c>
      <c r="D17395" s="1" t="s">
        <v>34190</v>
      </c>
      <c r="E17395" s="4" t="str">
        <f ca="1">IFERROR(__xludf.DUMMYFUNCTION("GOOGLETRANSLATE(A198 , ""tr"" , ""en"")"),"RT @ LALA23111660: @drfahrettinka you are people who have answered to the question that even if you have case of Omicron. We don't believe in you in life # ...")</f>
        <v>RT @ LALA23111660: @drfahrettinka you are people who have answered to the question that even if you have case of Omicron. We don't believe in you in life # ...</v>
      </c>
    </row>
    <row r="17396" spans="1:5" ht="15" customHeight="1" x14ac:dyDescent="0.25">
      <c r="A17396" s="1" t="s">
        <v>34191</v>
      </c>
      <c r="B17396" s="1">
        <v>0</v>
      </c>
      <c r="C17396" s="3">
        <v>44543.866481481484</v>
      </c>
      <c r="D17396" s="1" t="s">
        <v>34192</v>
      </c>
      <c r="E17396" s="4" t="str">
        <f ca="1">IFERROR(__xludf.DUMMYFUNCTION("GOOGLETRANSLATE(A199 , ""tr"" , ""en"")"),"RT @ DERYA26745389: @drfahrettinkoca We don't trust you anymore. That's why # tbmmnethinoninelivery")</f>
        <v>RT @ DERYA26745389: @drfahrettinkoca We don't trust you anymore. That's why # tbmmnethinoninelivery</v>
      </c>
    </row>
    <row r="17397" spans="1:5" ht="15" customHeight="1" x14ac:dyDescent="0.25">
      <c r="A17397" s="1" t="s">
        <v>34117</v>
      </c>
      <c r="B17397" s="1">
        <v>0</v>
      </c>
      <c r="C17397" s="3">
        <v>44543.866354166668</v>
      </c>
      <c r="D17397" s="1" t="s">
        <v>34193</v>
      </c>
      <c r="E17397" s="4" t="str">
        <f ca="1">IFERROR(__xludf.DUMMYFUNCTION("GOOGLETRANSLATE(A200 , ""tr"" , ""en"")"),"RT @Online_Sart: @drfahrettinkoca Hear our voice We want online training for the obligation not enjoy our pleasure @rterdogan @tcmeb @ drfahre ...")</f>
        <v>RT @Online_Sart: @drfahrettinkoca Hear our voice We want online training for the obligation not enjoy our pleasure @rterdogan @tcmeb @ drfahre ...</v>
      </c>
    </row>
    <row r="17398" spans="1:5" ht="15" customHeight="1" x14ac:dyDescent="0.25">
      <c r="A17398" s="1" t="s">
        <v>34015</v>
      </c>
      <c r="B17398" s="1">
        <v>0</v>
      </c>
      <c r="C17398" s="3">
        <v>44543.866006944445</v>
      </c>
      <c r="D17398" s="1" t="s">
        <v>34194</v>
      </c>
      <c r="E17398" s="4" t="str">
        <f ca="1">IFERROR(__xludf.DUMMYFUNCTION("GOOGLETRANSLATE(A201 , ""tr"" , ""en"")"),"Rt @hulya_yalvac: @drfahrettinkoca We accept everything SN. You have tried to struggle with an unknown virus. Everything in this world ...")</f>
        <v>Rt @hulya_yalvac: @drfahrettinkoca We accept everything SN. You have tried to struggle with an unknown virus. Everything in this world ...</v>
      </c>
    </row>
    <row r="17399" spans="1:5" ht="15" customHeight="1" x14ac:dyDescent="0.25">
      <c r="A17399" s="1" t="s">
        <v>34195</v>
      </c>
      <c r="B17399" s="1">
        <v>0</v>
      </c>
      <c r="C17399" s="3">
        <v>44543.865972222222</v>
      </c>
      <c r="D17399" s="1" t="s">
        <v>34196</v>
      </c>
      <c r="E17399" s="4" t="str">
        <f ca="1">IFERROR(__xludf.DUMMYFUNCTION("GOOGLETRANSLATE(A202 , ""tr"" , ""en"")"),"RT @canerslkx: @drfahrettinkoca countries crossing the closure of the people at the time you are looking forward to the number of people who are intensive care of ...")</f>
        <v>RT @canerslkx: @drfahrettinkoca countries crossing the closure of the people at the time you are looking forward to the number of people who are intensive care of ...</v>
      </c>
    </row>
    <row r="17400" spans="1:5" ht="15" customHeight="1" x14ac:dyDescent="0.25">
      <c r="A17400" s="1" t="s">
        <v>34053</v>
      </c>
      <c r="B17400" s="1">
        <v>0</v>
      </c>
      <c r="C17400" s="3">
        <v>44543.865925925929</v>
      </c>
      <c r="D17400" s="1" t="s">
        <v>34197</v>
      </c>
      <c r="E17400" s="4" t="str">
        <f ca="1">IFERROR(__xludf.DUMMYFUNCTION("GOOGLETRANSLATE(A203 , ""tr"" , ""en"")"),"RT @ DERYA26745389: @drfahrettinkoca kids breathe last year they have trained onLINE in the hygienic environment, and leave it very nice ...")</f>
        <v>RT @ DERYA26745389: @drfahrettinkoca kids breathe last year they have trained onLINE in the hygienic environment, and leave it very nice ...</v>
      </c>
    </row>
    <row r="17401" spans="1:5" ht="15" customHeight="1" x14ac:dyDescent="0.25">
      <c r="A17401" s="1" t="s">
        <v>34010</v>
      </c>
      <c r="B17401" s="1">
        <v>0</v>
      </c>
      <c r="C17401" s="3">
        <v>44543.865902777776</v>
      </c>
      <c r="D17401" s="1" t="s">
        <v>34198</v>
      </c>
      <c r="E17401" s="4" t="str">
        <f ca="1">IFERROR(__xludf.DUMMYFUNCTION("GOOGLETRANSLATE(A204 , ""tr"" , ""en"")"),"RT @ DERYA26745389: @drfahrettinkoca hand goes to Mersin we go reverse the reverse # tbmmnethism")</f>
        <v>RT @ DERYA26745389: @drfahrettinkoca hand goes to Mersin we go reverse the reverse # tbmmnethism</v>
      </c>
    </row>
    <row r="17402" spans="1:5" ht="15" customHeight="1" x14ac:dyDescent="0.25">
      <c r="A17402" s="1" t="s">
        <v>34199</v>
      </c>
      <c r="B17402" s="1">
        <v>0</v>
      </c>
      <c r="C17402" s="3">
        <v>44543.865868055553</v>
      </c>
      <c r="D17402" s="1" t="s">
        <v>34200</v>
      </c>
      <c r="E17402" s="4" t="str">
        <f ca="1">IFERROR(__xludf.DUMMYFUNCTION("GOOGLETRANSLATE(A205 , ""tr"" , ""en"")"),"RT @ DERYA26745389: @drfahrettinkoca then correct your mistake importance to human health. Kids care about the safety of life Protect the arm ...")</f>
        <v>RT @ DERYA26745389: @drfahrettinkoca then correct your mistake importance to human health. Kids care about the safety of life Protect the arm ...</v>
      </c>
    </row>
    <row r="17403" spans="1:5" ht="15" customHeight="1" x14ac:dyDescent="0.25">
      <c r="A17403" s="1" t="s">
        <v>34042</v>
      </c>
      <c r="B17403" s="1">
        <v>0</v>
      </c>
      <c r="C17403" s="3">
        <v>44543.865844907406</v>
      </c>
      <c r="D17403" s="1" t="s">
        <v>34201</v>
      </c>
      <c r="E17403" s="4" t="str">
        <f ca="1">IFERROR(__xludf.DUMMYFUNCTION("GOOGLETRANSLATE(A206 , ""tr"" , ""en"")"),"RT @ DERYA26745389: @drfahrettinka we were fed up in the year we were exhausted. We are unable to protect the health of our children as parents ...")</f>
        <v>RT @ DERYA26745389: @drfahrettinka we were fed up in the year we were exhausted. We are unable to protect the health of our children as parents ...</v>
      </c>
    </row>
    <row r="17404" spans="1:5" ht="15" customHeight="1" x14ac:dyDescent="0.25">
      <c r="A17404" s="1" t="s">
        <v>34202</v>
      </c>
      <c r="B17404" s="1">
        <v>0</v>
      </c>
      <c r="C17404" s="3">
        <v>44543.861250000002</v>
      </c>
      <c r="D17404" s="1" t="s">
        <v>34203</v>
      </c>
      <c r="E17404" s="4" t="str">
        <f ca="1">IFERROR(__xludf.DUMMYFUNCTION("GOOGLETRANSLATE(A207 , ""tr"" , ""en"")"),"@drfahrettinkoca @nureddinnebati what do you call this job 🤔 https://t.co/j1tvr1ros6")</f>
        <v>@drfahrettinkoca @nureddinnebati what do you call this job 🤔 https://t.co/j1tvr1ros6</v>
      </c>
    </row>
    <row r="17405" spans="1:5" ht="15" customHeight="1" x14ac:dyDescent="0.25">
      <c r="A17405" s="1" t="s">
        <v>34204</v>
      </c>
      <c r="B17405" s="1">
        <v>0</v>
      </c>
      <c r="C17405" s="3">
        <v>44543.860590277778</v>
      </c>
      <c r="D17405" s="1" t="s">
        <v>34205</v>
      </c>
      <c r="E17405" s="4" t="str">
        <f ca="1">IFERROR(__xludf.DUMMYFUNCTION("GOOGLETRANSLATE(A208 , ""tr"" , ""en"")"),"@drfahrettinkoca you are the assignment of eldercare technicians.")</f>
        <v>@drfahrettinkoca you are the assignment of eldercare technicians.</v>
      </c>
    </row>
    <row r="17406" spans="1:5" ht="15" customHeight="1" x14ac:dyDescent="0.25">
      <c r="A17406" s="1" t="s">
        <v>34206</v>
      </c>
      <c r="B17406" s="1">
        <v>0</v>
      </c>
      <c r="C17406" s="3">
        <v>44543.859305555554</v>
      </c>
      <c r="D17406" s="1" t="s">
        <v>34207</v>
      </c>
      <c r="E17406" s="4" t="str">
        <f ca="1">IFERROR(__xludf.DUMMYFUNCTION("GOOGLETRANSLATE(A209 , ""tr"" , ""en"")"),"RT @ Polatal68485222: @drfahrettinkoca daily lying table")</f>
        <v>RT @ Polatal68485222: @drfahrettinkoca daily lying table</v>
      </c>
    </row>
    <row r="17407" spans="1:5" ht="15" customHeight="1" x14ac:dyDescent="0.25">
      <c r="A17407" s="1" t="s">
        <v>34208</v>
      </c>
      <c r="B17407" s="1">
        <v>0</v>
      </c>
      <c r="C17407" s="3">
        <v>44543.858472222222</v>
      </c>
      <c r="D17407" s="1" t="s">
        <v>34209</v>
      </c>
      <c r="E17407" s="4" t="str">
        <f ca="1">IFERROR(__xludf.DUMMYFUNCTION("GOOGLETRANSLATE(A210 , ""tr"" , ""en"")"),"RT @mdkubilay: @drfahrettinka Physician DISI PERSONAL MUZDE 20 hikes and equalizing the salary of the physician and nurse. Adjustment of physician ...")</f>
        <v>RT @mdkubilay: @drfahrettinka Physician DISI PERSONAL MUZDE 20 hikes and equalizing the salary of the physician and nurse. Adjustment of physician ...</v>
      </c>
    </row>
    <row r="17408" spans="1:5" ht="15" customHeight="1" x14ac:dyDescent="0.25">
      <c r="A17408" s="1" t="s">
        <v>33923</v>
      </c>
      <c r="B17408" s="1">
        <v>0</v>
      </c>
      <c r="C17408" s="3">
        <v>44543.858449074076</v>
      </c>
      <c r="D17408" s="1" t="s">
        <v>34210</v>
      </c>
      <c r="E17408" s="4" t="str">
        <f ca="1">IFERROR(__xludf.DUMMYFUNCTION("GOOGLETRANSLATE(A211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409" spans="1:5" ht="15" customHeight="1" x14ac:dyDescent="0.25">
      <c r="A17409" s="1" t="s">
        <v>34184</v>
      </c>
      <c r="B17409" s="1">
        <v>0</v>
      </c>
      <c r="C17409" s="3">
        <v>44543.858414351853</v>
      </c>
      <c r="D17409" s="1" t="s">
        <v>34211</v>
      </c>
      <c r="E17409" s="4" t="str">
        <f ca="1">IFERROR(__xludf.DUMMYFUNCTION("GOOGLETRANSLATE(A212 , ""tr"" , ""en"")"),"RT @ KEMAL7KRDS: @drfahrettinkoca @saglikbakanligi @rterdogan @hayat_hastanesi on 12.12.2021 Bursa Hay ...")</f>
        <v>RT @ KEMAL7KRDS: @drfahrettinkoca @saglikbakanligi @rterdogan @hayat_hastanesi on 12.12.2021 Bursa Hay ...</v>
      </c>
    </row>
    <row r="17410" spans="1:5" ht="15" customHeight="1" x14ac:dyDescent="0.25">
      <c r="A17410" s="1" t="s">
        <v>34212</v>
      </c>
      <c r="B17410" s="1">
        <v>2</v>
      </c>
      <c r="C17410" s="3">
        <v>44543.858391203707</v>
      </c>
      <c r="D17410" s="1" t="s">
        <v>34213</v>
      </c>
      <c r="E17410" s="4" t="str">
        <f ca="1">IFERROR(__xludf.DUMMYFUNCTION("GOOGLETRANSLATE(A213 , ""tr"" , ""en"")"),"@drfahrettinkoca @saglikbakanligi I looked at the vaccine right every day, the omicron variant is rapidly spreading ... https://t.co/u7pıidjzur")</f>
        <v>@drfahrettinkoca @saglikbakanligi I looked at the vaccine right every day, the omicron variant is rapidly spreading ... https://t.co/u7pıidjzur</v>
      </c>
    </row>
    <row r="17411" spans="1:5" ht="15" customHeight="1" x14ac:dyDescent="0.25">
      <c r="A17411" s="1" t="s">
        <v>33911</v>
      </c>
      <c r="B17411" s="1">
        <v>0</v>
      </c>
      <c r="C17411" s="3">
        <v>44543.858043981483</v>
      </c>
      <c r="D17411" s="1" t="s">
        <v>34214</v>
      </c>
      <c r="E17411" s="4" t="str">
        <f ca="1">IFERROR(__xludf.DUMMYFUNCTION("GOOGLETRANSLATE(A214 , ""tr"" , ""en"")"),"RT @ Cemilcan5834: @drfahrettinkoca direct screenshot Get to Get Friendlier This tweet always comes enough, athletes Celebrities Stay ...")</f>
        <v>RT @ Cemilcan5834: @drfahrettinkoca direct screenshot Get to Get Friendlier This tweet always comes enough, athletes Celebrities Stay ...</v>
      </c>
    </row>
    <row r="17412" spans="1:5" ht="15" customHeight="1" x14ac:dyDescent="0.25">
      <c r="A17412" s="1" t="s">
        <v>34215</v>
      </c>
      <c r="B17412" s="1">
        <v>0</v>
      </c>
      <c r="C17412" s="3">
        <v>44543.857939814814</v>
      </c>
      <c r="D17412" s="1" t="s">
        <v>34216</v>
      </c>
      <c r="E17412" s="4" t="str">
        <f ca="1">IFERROR(__xludf.DUMMYFUNCTION("GOOGLETRANSLATE(A215 , ""tr"" , ""en"")"),"RT @ saglikci112112: @drfahrettinkoca people are everyone's fault that the ammunition is not to compensate for the minister. @drfahrettinkoca")</f>
        <v>RT @ saglikci112112: @drfahrettinkoca people are everyone's fault that the ammunition is not to compensate for the minister. @drfahrettinkoca</v>
      </c>
    </row>
    <row r="17413" spans="1:5" ht="15" customHeight="1" x14ac:dyDescent="0.25">
      <c r="A17413" s="1" t="s">
        <v>33956</v>
      </c>
      <c r="B17413" s="1">
        <v>0</v>
      </c>
      <c r="C17413" s="3">
        <v>44543.857592592591</v>
      </c>
      <c r="D17413" s="1" t="s">
        <v>34217</v>
      </c>
      <c r="E17413" s="4" t="str">
        <f ca="1">IFERROR(__xludf.DUMMYFUNCTION("GOOGLETRANSLATE(A216 , ""tr"" , ""en"")"),"RT @ MER64765933: @drfahrettinkoca Let me tell you the first answer of the reasons. !!! You are comfortable and unpredentry as if you weren't having an epidemic ...")</f>
        <v>RT @ MER64765933: @drfahrettinkoca Let me tell you the first answer of the reasons. !!! You are comfortable and unpredentry as if you weren't having an epidemic ...</v>
      </c>
    </row>
    <row r="17414" spans="1:5" ht="15" customHeight="1" x14ac:dyDescent="0.25">
      <c r="A17414" s="1" t="s">
        <v>34218</v>
      </c>
      <c r="B17414" s="1">
        <v>0</v>
      </c>
      <c r="C17414" s="3">
        <v>44543.857037037036</v>
      </c>
      <c r="D17414" s="1" t="s">
        <v>34219</v>
      </c>
      <c r="E17414" s="4" t="str">
        <f ca="1">IFERROR(__xludf.DUMMYFUNCTION("GOOGLETRANSLATE(A217 , ""tr"" , ""en"")"),"RT @ sirpereira61: @drfahrettinkoca you can say how to decrease young people by sending it to school, open your eyes now! #TheirEducation is a hack ...")</f>
        <v>RT @ sirpereira61: @drfahrettinkoca you can say how to decrease young people by sending it to school, open your eyes now! #TheirEducation is a hack ...</v>
      </c>
    </row>
    <row r="17415" spans="1:5" ht="15" customHeight="1" x14ac:dyDescent="0.25">
      <c r="A17415" s="1" t="s">
        <v>34220</v>
      </c>
      <c r="B17415" s="1">
        <v>0</v>
      </c>
      <c r="C17415" s="3">
        <v>44543.856874999998</v>
      </c>
      <c r="D17415" s="1" t="s">
        <v>34221</v>
      </c>
      <c r="E17415" s="4" t="str">
        <f ca="1">IFERROR(__xludf.DUMMYFUNCTION("GOOGLETRANSLATE(A218 , ""tr"" , ""en"")"),"@drfahrettinkoca What diyosun of this news https://t.co/gjasfehr8j")</f>
        <v>@drfahrettinkoca What diyosun of this news https://t.co/gjasfehr8j</v>
      </c>
    </row>
    <row r="17416" spans="1:5" ht="15" customHeight="1" x14ac:dyDescent="0.25">
      <c r="A17416" s="1" t="s">
        <v>34222</v>
      </c>
      <c r="B17416" s="1">
        <v>0</v>
      </c>
      <c r="C17416" s="3">
        <v>44543.85528935185</v>
      </c>
      <c r="D17416" s="1" t="s">
        <v>34223</v>
      </c>
      <c r="E17416" s="4" t="str">
        <f ca="1">IFERROR(__xludf.DUMMYFUNCTION("GOOGLETRANSLATE(A219 , ""tr"" , ""en"")"),"@drfahrettinka https://t.co/qzzbzk5jzi")</f>
        <v>@drfahrettinka https://t.co/qzzbzk5jzi</v>
      </c>
    </row>
    <row r="17417" spans="1:5" ht="15" customHeight="1" x14ac:dyDescent="0.25">
      <c r="A17417" s="1" t="s">
        <v>33923</v>
      </c>
      <c r="B17417" s="1">
        <v>0</v>
      </c>
      <c r="C17417" s="3">
        <v>44543.855254629627</v>
      </c>
      <c r="D17417" s="1" t="s">
        <v>34224</v>
      </c>
      <c r="E17417" s="4" t="str">
        <f ca="1">IFERROR(__xludf.DUMMYFUNCTION("GOOGLETRANSLATE(A220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418" spans="1:5" ht="15" customHeight="1" x14ac:dyDescent="0.25">
      <c r="A17418" s="1" t="s">
        <v>34184</v>
      </c>
      <c r="B17418" s="1">
        <v>0</v>
      </c>
      <c r="C17418" s="3">
        <v>44543.855000000003</v>
      </c>
      <c r="D17418" s="1" t="s">
        <v>34225</v>
      </c>
      <c r="E17418" s="4" t="str">
        <f ca="1">IFERROR(__xludf.DUMMYFUNCTION("GOOGLETRANSLATE(A221 , ""tr"" , ""en"")"),"RT @ KEMAL7KRDS: @drfahrettinkoca @saglikbakanligi @rterdogan @hayat_hastanesi on 12.12.2021 Bursa Hay ...")</f>
        <v>RT @ KEMAL7KRDS: @drfahrettinkoca @saglikbakanligi @rterdogan @hayat_hastanesi on 12.12.2021 Bursa Hay ...</v>
      </c>
    </row>
    <row r="17419" spans="1:5" ht="15" customHeight="1" x14ac:dyDescent="0.25">
      <c r="A17419" s="1" t="s">
        <v>33923</v>
      </c>
      <c r="B17419" s="1">
        <v>0</v>
      </c>
      <c r="C17419" s="3">
        <v>44543.854930555557</v>
      </c>
      <c r="D17419" s="1" t="s">
        <v>34226</v>
      </c>
      <c r="E17419" s="4" t="str">
        <f ca="1">IFERROR(__xludf.DUMMYFUNCTION("GOOGLETRANSLATE(A222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420" spans="1:5" ht="15" customHeight="1" x14ac:dyDescent="0.25">
      <c r="A17420" s="1" t="s">
        <v>33894</v>
      </c>
      <c r="B17420" s="1">
        <v>0</v>
      </c>
      <c r="C17420" s="3">
        <v>44543.854895833334</v>
      </c>
      <c r="D17420" s="1" t="s">
        <v>34227</v>
      </c>
      <c r="E17420" s="4" t="str">
        <f ca="1">IFERROR(__xludf.DUMMYFUNCTION("GOOGLETRANSLATE(A223 , ""tr"" , ""en"")"),"RT @ EE20356218: @drfahrettinkoca then hear the call of moms that fear the health of their children first.")</f>
        <v>RT @ EE20356218: @drfahrettinkoca then hear the call of moms that fear the health of their children first.</v>
      </c>
    </row>
    <row r="17421" spans="1:5" ht="15" customHeight="1" x14ac:dyDescent="0.25">
      <c r="A17421" s="1" t="s">
        <v>34184</v>
      </c>
      <c r="B17421" s="1">
        <v>0</v>
      </c>
      <c r="C17421" s="3">
        <v>44543.854884259257</v>
      </c>
      <c r="D17421" s="1" t="s">
        <v>34228</v>
      </c>
      <c r="E17421" s="4" t="str">
        <f ca="1">IFERROR(__xludf.DUMMYFUNCTION("GOOGLETRANSLATE(A224 , ""tr"" , ""en"")"),"RT @ KEMAL7KRDS: @drfahrettinkoca @saglikbakanligi @rterdogan @hayat_hastanesi on 12.12.2021 Bursa Hay ...")</f>
        <v>RT @ KEMAL7KRDS: @drfahrettinkoca @saglikbakanligi @rterdogan @hayat_hastanesi on 12.12.2021 Bursa Hay ...</v>
      </c>
    </row>
    <row r="17422" spans="1:5" ht="15" customHeight="1" x14ac:dyDescent="0.25">
      <c r="A17422" s="1" t="s">
        <v>34229</v>
      </c>
      <c r="B17422" s="1">
        <v>0</v>
      </c>
      <c r="C17422" s="3">
        <v>44543.854872685188</v>
      </c>
      <c r="D17422" s="1" t="s">
        <v>34230</v>
      </c>
      <c r="E17422" s="4" t="str">
        <f ca="1">IFERROR(__xludf.DUMMYFUNCTION("GOOGLETRANSLATE(A225 , ""tr"" , ""en"")"),"@drfahrettinka are there no intentions in them? Intentionally made by willingly. Leave vaccine without knowledge of families ... https://t.co/ydchylor2p")</f>
        <v>@drfahrettinka are there no intentions in them? Intentionally made by willingly. Leave vaccine without knowledge of families ... https://t.co/ydchylor2p</v>
      </c>
    </row>
    <row r="17423" spans="1:5" ht="15" customHeight="1" x14ac:dyDescent="0.25">
      <c r="A17423" s="1" t="s">
        <v>33888</v>
      </c>
      <c r="B17423" s="1">
        <v>0</v>
      </c>
      <c r="C17423" s="3">
        <v>44543.853356481479</v>
      </c>
      <c r="D17423" s="1" t="s">
        <v>34231</v>
      </c>
      <c r="E17423" s="4" t="str">
        <f ca="1">IFERROR(__xludf.DUMMYFUNCTION("GOOGLETRANSLATE(A226 , ""tr"" , ""en"")"),"RT @muzafarmuratov: @drfahrettinka you injected the liquid you don't know the results in this nation. The Turkish Nation will never forget you. https: //t....")</f>
        <v>RT @muzafarmuratov: @drfahrettinka you injected the liquid you don't know the results in this nation. The Turkish Nation will never forget you. https: //t....</v>
      </c>
    </row>
    <row r="17424" spans="1:5" ht="15" customHeight="1" x14ac:dyDescent="0.25">
      <c r="A17424" s="1" t="s">
        <v>34232</v>
      </c>
      <c r="B17424" s="1">
        <v>0</v>
      </c>
      <c r="C17424" s="3">
        <v>44543.852337962962</v>
      </c>
      <c r="D17424" s="1" t="s">
        <v>34233</v>
      </c>
      <c r="E17424" s="4" t="str">
        <f ca="1">IFERROR(__xludf.DUMMYFUNCTION("GOOGLETRANSLATE(A227 , ""tr"" , ""en"")"),"@drfahrettinka https://t.co/yq8nf8w04j")</f>
        <v>@drfahrettinka https://t.co/yq8nf8w04j</v>
      </c>
    </row>
    <row r="17425" spans="1:5" ht="15" customHeight="1" x14ac:dyDescent="0.25">
      <c r="A17425" s="1" t="s">
        <v>33923</v>
      </c>
      <c r="B17425" s="1">
        <v>0</v>
      </c>
      <c r="C17425" s="3">
        <v>44543.851099537038</v>
      </c>
      <c r="D17425" s="1" t="s">
        <v>34234</v>
      </c>
      <c r="E17425" s="4" t="str">
        <f ca="1">IFERROR(__xludf.DUMMYFUNCTION("GOOGLETRANSLATE(A228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426" spans="1:5" ht="15" customHeight="1" x14ac:dyDescent="0.25">
      <c r="A17426" s="1" t="s">
        <v>33923</v>
      </c>
      <c r="B17426" s="1">
        <v>0</v>
      </c>
      <c r="C17426" s="3">
        <v>44543.849849537037</v>
      </c>
      <c r="D17426" s="1" t="s">
        <v>34235</v>
      </c>
      <c r="E17426" s="4" t="str">
        <f ca="1">IFERROR(__xludf.DUMMYFUNCTION("GOOGLETRANSLATE(A229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427" spans="1:5" ht="15" customHeight="1" x14ac:dyDescent="0.25">
      <c r="A17427" s="1" t="s">
        <v>34208</v>
      </c>
      <c r="B17427" s="1">
        <v>0</v>
      </c>
      <c r="C17427" s="3">
        <v>44543.848263888889</v>
      </c>
      <c r="D17427" s="1" t="s">
        <v>34236</v>
      </c>
      <c r="E17427" s="4" t="str">
        <f ca="1">IFERROR(__xludf.DUMMYFUNCTION("GOOGLETRANSLATE(A230 , ""tr"" , ""en"")"),"RT @mdkubilay: @drfahrettinka Physician DISI PERSONAL MUZDE 20 hikes and equalizing the salary of the physician and nurse. Adjustment of physician ...")</f>
        <v>RT @mdkubilay: @drfahrettinka Physician DISI PERSONAL MUZDE 20 hikes and equalizing the salary of the physician and nurse. Adjustment of physician ...</v>
      </c>
    </row>
    <row r="17428" spans="1:5" ht="15" customHeight="1" x14ac:dyDescent="0.25">
      <c r="A17428" s="1" t="s">
        <v>34042</v>
      </c>
      <c r="B17428" s="1">
        <v>0</v>
      </c>
      <c r="C17428" s="3">
        <v>44543.847928240742</v>
      </c>
      <c r="D17428" s="1" t="s">
        <v>34237</v>
      </c>
      <c r="E17428" s="4" t="str">
        <f ca="1">IFERROR(__xludf.DUMMYFUNCTION("GOOGLETRANSLATE(A231 , ""tr"" , ""en"")"),"RT @ DERYA26745389: @drfahrettinka we were fed up in the year we were exhausted. We are unable to protect the health of our children as parents ...")</f>
        <v>RT @ DERYA26745389: @drfahrettinka we were fed up in the year we were exhausted. We are unable to protect the health of our children as parents ...</v>
      </c>
    </row>
    <row r="17429" spans="1:5" ht="15" customHeight="1" x14ac:dyDescent="0.25">
      <c r="A17429" s="1" t="s">
        <v>34184</v>
      </c>
      <c r="B17429" s="1">
        <v>0</v>
      </c>
      <c r="C17429" s="3">
        <v>44543.847905092596</v>
      </c>
      <c r="D17429" s="1" t="s">
        <v>34238</v>
      </c>
      <c r="E17429" s="4" t="str">
        <f ca="1">IFERROR(__xludf.DUMMYFUNCTION("GOOGLETRANSLATE(A232 , ""tr"" , ""en"")"),"RT @ KEMAL7KRDS: @drfahrettinkoca @saglikbakanligi @rterdogan @hayat_hastanesi on 12.12.2021 Bursa Hay ...")</f>
        <v>RT @ KEMAL7KRDS: @drfahrettinkoca @saglikbakanligi @rterdogan @hayat_hastanesi on 12.12.2021 Bursa Hay ...</v>
      </c>
    </row>
    <row r="17430" spans="1:5" ht="15" customHeight="1" x14ac:dyDescent="0.25">
      <c r="A17430" s="1" t="s">
        <v>33923</v>
      </c>
      <c r="B17430" s="1">
        <v>0</v>
      </c>
      <c r="C17430" s="3">
        <v>44543.847511574073</v>
      </c>
      <c r="D17430" s="1" t="s">
        <v>34239</v>
      </c>
      <c r="E17430" s="4" t="str">
        <f ca="1">IFERROR(__xludf.DUMMYFUNCTION("GOOGLETRANSLATE(A233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431" spans="1:5" ht="15" customHeight="1" x14ac:dyDescent="0.25">
      <c r="A17431" s="1" t="s">
        <v>33898</v>
      </c>
      <c r="B17431" s="1">
        <v>0</v>
      </c>
      <c r="C17431" s="3">
        <v>44543.847199074073</v>
      </c>
      <c r="D17431" s="1" t="s">
        <v>34240</v>
      </c>
      <c r="E17431" s="4" t="str">
        <f ca="1">IFERROR(__xludf.DUMMYFUNCTION("GOOGLETRANSLATE(A234 , ""tr"" , ""en"")"),"RT @lartunamayayan: @drfahrettinkoca Rights No Halal Gezdir, You don't have to bed 7 Cotten blood vomits As you make the public, the people of the people ...")</f>
        <v>RT @lartunamayayan: @drfahrettinkoca Rights No Halal Gezdir, You don't have to bed 7 Cotten blood vomits As you make the public, the people of the people ...</v>
      </c>
    </row>
    <row r="17432" spans="1:5" ht="15" customHeight="1" x14ac:dyDescent="0.25">
      <c r="A17432" s="1" t="s">
        <v>34184</v>
      </c>
      <c r="B17432" s="1">
        <v>0</v>
      </c>
      <c r="C17432" s="3">
        <v>44543.846076388887</v>
      </c>
      <c r="D17432" s="1" t="s">
        <v>34241</v>
      </c>
      <c r="E17432" s="4" t="str">
        <f ca="1">IFERROR(__xludf.DUMMYFUNCTION("GOOGLETRANSLATE(A235 , ""tr"" , ""en"")"),"RT @ KEMAL7KRDS: @drfahrettinkoca @saglikbakanligi @rterdogan @hayat_hastanesi on 12.12.2021 Bursa Hay ...")</f>
        <v>RT @ KEMAL7KRDS: @drfahrettinkoca @saglikbakanligi @rterdogan @hayat_hastanesi on 12.12.2021 Bursa Hay ...</v>
      </c>
    </row>
    <row r="17433" spans="1:5" ht="15" customHeight="1" x14ac:dyDescent="0.25">
      <c r="A17433" s="1" t="s">
        <v>34242</v>
      </c>
      <c r="B17433" s="1">
        <v>0</v>
      </c>
      <c r="C17433" s="3">
        <v>44543.845601851855</v>
      </c>
      <c r="D17433" s="1" t="s">
        <v>34243</v>
      </c>
      <c r="E17433" s="4" t="str">
        <f ca="1">IFERROR(__xludf.DUMMYFUNCTION("GOOGLETRANSLATE(A236 , ""tr"" , ""en"")"),"RT @ERDEMARABICICI: @drfahrettinkoca If you want to see the difference there look at where you dated")</f>
        <v>RT @ERDEMARABICICI: @drfahrettinkoca If you want to see the difference there look at where you dated</v>
      </c>
    </row>
    <row r="17434" spans="1:5" ht="15" customHeight="1" x14ac:dyDescent="0.25">
      <c r="A17434" s="1" t="s">
        <v>34242</v>
      </c>
      <c r="B17434" s="1">
        <v>0</v>
      </c>
      <c r="C17434" s="3">
        <v>44543.845543981479</v>
      </c>
      <c r="D17434" s="1" t="s">
        <v>34244</v>
      </c>
      <c r="E17434" s="4" t="str">
        <f ca="1">IFERROR(__xludf.DUMMYFUNCTION("GOOGLETRANSLATE(A237 , ""tr"" , ""en"")"),"RT @ERDEMARABICICI: @drfahrettinkoca If you want to see the difference there look at where you dated")</f>
        <v>RT @ERDEMARABICICI: @drfahrettinkoca If you want to see the difference there look at where you dated</v>
      </c>
    </row>
    <row r="17435" spans="1:5" ht="15" customHeight="1" x14ac:dyDescent="0.25">
      <c r="A17435" s="1" t="s">
        <v>34242</v>
      </c>
      <c r="B17435" s="1">
        <v>0</v>
      </c>
      <c r="C17435" s="3">
        <v>44543.84542824074</v>
      </c>
      <c r="D17435" s="1" t="s">
        <v>34245</v>
      </c>
      <c r="E17435" s="4" t="str">
        <f ca="1">IFERROR(__xludf.DUMMYFUNCTION("GOOGLETRANSLATE(A238 , ""tr"" , ""en"")"),"RT @ERDEMARABICICI: @drfahrettinkoca If you want to see the difference there look at where you dated")</f>
        <v>RT @ERDEMARABICICI: @drfahrettinkoca If you want to see the difference there look at where you dated</v>
      </c>
    </row>
    <row r="17436" spans="1:5" ht="15" customHeight="1" x14ac:dyDescent="0.25">
      <c r="A17436" s="1" t="s">
        <v>34184</v>
      </c>
      <c r="B17436" s="1">
        <v>0</v>
      </c>
      <c r="C17436" s="3">
        <v>44543.845335648148</v>
      </c>
      <c r="D17436" s="1" t="s">
        <v>34246</v>
      </c>
      <c r="E17436" s="4" t="str">
        <f ca="1">IFERROR(__xludf.DUMMYFUNCTION("GOOGLETRANSLATE(A239 , ""tr"" , ""en"")"),"RT @ KEMAL7KRDS: @drfahrettinkoca @saglikbakanligi @rterdogan @hayat_hastanesi on 12.12.2021 Bursa Hay ...")</f>
        <v>RT @ KEMAL7KRDS: @drfahrettinkoca @saglikbakanligi @rterdogan @hayat_hastanesi on 12.12.2021 Bursa Hay ...</v>
      </c>
    </row>
    <row r="17437" spans="1:5" ht="15" customHeight="1" x14ac:dyDescent="0.25">
      <c r="A17437" s="1" t="s">
        <v>33923</v>
      </c>
      <c r="B17437" s="1">
        <v>0</v>
      </c>
      <c r="C17437" s="3">
        <v>44543.844305555554</v>
      </c>
      <c r="D17437" s="1" t="s">
        <v>34247</v>
      </c>
      <c r="E17437" s="4" t="str">
        <f ca="1">IFERROR(__xludf.DUMMYFUNCTION("GOOGLETRANSLATE(A240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438" spans="1:5" ht="15" customHeight="1" x14ac:dyDescent="0.25">
      <c r="A17438" s="1" t="s">
        <v>34248</v>
      </c>
      <c r="B17438" s="1">
        <v>0</v>
      </c>
      <c r="C17438" s="3">
        <v>44543.844097222223</v>
      </c>
      <c r="D17438" s="1" t="s">
        <v>34249</v>
      </c>
      <c r="E17438" s="4" t="str">
        <f ca="1">IFERROR(__xludf.DUMMYFUNCTION("GOOGLETRANSLATE(A241 , ""tr"" , ""en"")"),"RT @ BAHADR07459033: @drfahrettinkoca Health Management Department As if the adoption child name doesn't even go through thousands of graduates still ...")</f>
        <v>RT @ BAHADR07459033: @drfahrettinkoca Health Management Department As if the adoption child name doesn't even go through thousands of graduates still ...</v>
      </c>
    </row>
    <row r="17439" spans="1:5" ht="15" customHeight="1" x14ac:dyDescent="0.25">
      <c r="A17439" s="1" t="s">
        <v>33886</v>
      </c>
      <c r="B17439" s="1">
        <v>0</v>
      </c>
      <c r="C17439" s="3">
        <v>44543.844039351854</v>
      </c>
      <c r="D17439" s="1" t="s">
        <v>34250</v>
      </c>
      <c r="E17439" s="4" t="str">
        <f ca="1">IFERROR(__xludf.DUMMYFUNCTION("GOOGLETRANSLATE(A242 , ""tr"" , ""en"")"),"RT @lartutunamayan: @drfahrettinkoca What is this intentional? https://t.co/gstjmlqa9o")</f>
        <v>RT @lartutunamayan: @drfahrettinkoca What is this intentional? https://t.co/gstjmlqa9o</v>
      </c>
    </row>
    <row r="17440" spans="1:5" ht="15" customHeight="1" x14ac:dyDescent="0.25">
      <c r="A17440" s="1" t="s">
        <v>33916</v>
      </c>
      <c r="B17440" s="1">
        <v>0</v>
      </c>
      <c r="C17440" s="3">
        <v>44543.8440162037</v>
      </c>
      <c r="D17440" s="1" t="s">
        <v>34251</v>
      </c>
      <c r="E17440" s="4" t="str">
        <f ca="1">IFERROR(__xludf.DUMMYFUNCTION("GOOGLETRANSLATE(A243 , ""tr"" , ""en"")"),"RT @ dr_uyssal18: @drfahrettinkoca sec Minister, professional training in the field of health, our state of health management graduates give the staff ...")</f>
        <v>RT @ dr_uyssal18: @drfahrettinkoca sec Minister, professional training in the field of health, our state of health management graduates give the staff ...</v>
      </c>
    </row>
    <row r="17441" spans="1:5" ht="15" customHeight="1" x14ac:dyDescent="0.25">
      <c r="A17441" s="1" t="s">
        <v>34252</v>
      </c>
      <c r="B17441" s="1">
        <v>0</v>
      </c>
      <c r="C17441" s="3">
        <v>44543.843599537038</v>
      </c>
      <c r="D17441" s="1" t="s">
        <v>34253</v>
      </c>
      <c r="E17441" s="4" t="str">
        <f ca="1">IFERROR(__xludf.DUMMYFUNCTION("GOOGLETRANSLATE(A244 , ""tr"" , ""en"")"),"RT @ FakePandemi1: @drfahrettinkoca 2. The rate of being vaccinations is 82% but hospitals are filled with the vaccine.")</f>
        <v>RT @ FakePandemi1: @drfahrettinkoca 2. The rate of being vaccinations is 82% but hospitals are filled with the vaccine.</v>
      </c>
    </row>
    <row r="17442" spans="1:5" ht="15" customHeight="1" x14ac:dyDescent="0.25">
      <c r="A17442" s="1" t="s">
        <v>34254</v>
      </c>
      <c r="B17442" s="1">
        <v>0</v>
      </c>
      <c r="C17442" s="3">
        <v>44543.842118055552</v>
      </c>
      <c r="D17442" s="1" t="s">
        <v>34255</v>
      </c>
      <c r="E17442" s="4" t="str">
        <f ca="1">IFERROR(__xludf.DUMMYFUNCTION("GOOGLETRANSLATE(A245 , ""tr"" , ""en"")"),"RT @ERDEMARABICICIA: @drfahrettinkoca Ulan You say more than you will güçeri are all the Allah that don't have Beside Allah Allah")</f>
        <v>RT @ERDEMARABICICIA: @drfahrettinkoca Ulan You say more than you will güçeri are all the Allah that don't have Beside Allah Allah</v>
      </c>
    </row>
    <row r="17443" spans="1:5" ht="15" customHeight="1" x14ac:dyDescent="0.25">
      <c r="A17443" s="1" t="s">
        <v>34256</v>
      </c>
      <c r="B17443" s="1">
        <v>0</v>
      </c>
      <c r="C17443" s="3">
        <v>44543.841643518521</v>
      </c>
      <c r="D17443" s="1" t="s">
        <v>34257</v>
      </c>
      <c r="E17443" s="4" t="str">
        <f ca="1">IFERROR(__xludf.DUMMYFUNCTION("GOOGLETRANSLATE(A246 , ""tr"" , ""en"")"),"Rt @beko_bekous: @drfahrettinkoca Mr. Minister, this terrorist folk enemy, physician regulator for lows and children's explosion for drying, pf ...")</f>
        <v>Rt @beko_bekous: @drfahrettinkoca Mr. Minister, this terrorist folk enemy, physician regulator for lows and children's explosion for drying, pf ...</v>
      </c>
    </row>
    <row r="17444" spans="1:5" ht="15" customHeight="1" x14ac:dyDescent="0.25">
      <c r="A17444" s="1" t="s">
        <v>33997</v>
      </c>
      <c r="B17444" s="1">
        <v>0</v>
      </c>
      <c r="C17444" s="3">
        <v>44543.841631944444</v>
      </c>
      <c r="D17444" s="1" t="s">
        <v>34258</v>
      </c>
      <c r="E17444" s="4" t="str">
        <f ca="1">IFERROR(__xludf.DUMMYFUNCTION("GOOGLETRANSLATE(A247 , ""tr"" , ""en"")"),"RT @ Batista0112: @drfahrettinka Mr. Minister Ministry of Health Subcontracting in your hospitals only HBYS computing studies ...")</f>
        <v>RT @ Batista0112: @drfahrettinka Mr. Minister Ministry of Health Subcontracting in your hospitals only HBYS computing studies ...</v>
      </c>
    </row>
    <row r="17445" spans="1:5" ht="15" customHeight="1" x14ac:dyDescent="0.25">
      <c r="A17445" s="1" t="s">
        <v>33896</v>
      </c>
      <c r="B17445" s="1">
        <v>0</v>
      </c>
      <c r="C17445" s="3">
        <v>44543.841631944444</v>
      </c>
      <c r="D17445" s="1" t="s">
        <v>34259</v>
      </c>
      <c r="E17445" s="4" t="str">
        <f ca="1">IFERROR(__xludf.DUMMYFUNCTION("GOOGLETRANSLATE(A248 , ""tr"" , ""en"")"),"RT @ GNLAYYLDZ2: @drfahrettinkoca compensation of faults that have been forgiven or do not compensate then the Ahlar you have received")</f>
        <v>RT @ GNLAYYLDZ2: @drfahrettinkoca compensation of faults that have been forgiven or do not compensate then the Ahlar you have received</v>
      </c>
    </row>
    <row r="17446" spans="1:5" ht="15" customHeight="1" x14ac:dyDescent="0.25">
      <c r="A17446" s="1" t="s">
        <v>33888</v>
      </c>
      <c r="B17446" s="1">
        <v>0</v>
      </c>
      <c r="C17446" s="3">
        <v>44543.841562499998</v>
      </c>
      <c r="D17446" s="1" t="s">
        <v>34260</v>
      </c>
      <c r="E17446" s="4" t="str">
        <f ca="1">IFERROR(__xludf.DUMMYFUNCTION("GOOGLETRANSLATE(A249 , ""tr"" , ""en"")"),"RT @muzafarmuratov: @drfahrettinka you injected the liquid you don't know the results in this nation. The Turkish Nation will never forget you. https: //t....")</f>
        <v>RT @muzafarmuratov: @drfahrettinka you injected the liquid you don't know the results in this nation. The Turkish Nation will never forget you. https: //t....</v>
      </c>
    </row>
    <row r="17447" spans="1:5" ht="15" customHeight="1" x14ac:dyDescent="0.25">
      <c r="A17447" s="1" t="s">
        <v>34261</v>
      </c>
      <c r="B17447" s="1">
        <v>0</v>
      </c>
      <c r="C17447" s="3">
        <v>44543.841377314813</v>
      </c>
      <c r="D17447" s="1" t="s">
        <v>34262</v>
      </c>
      <c r="E17447" s="4" t="str">
        <f ca="1">IFERROR(__xludf.DUMMYFUNCTION("GOOGLETRANSLATE(A250 , ""tr"" , ""en"")"),"RT @ FakePandemi1: @drfahrettinka https://t.co/fhxzzf5loq")</f>
        <v>RT @ FakePandemi1: @drfahrettinka https://t.co/fhxzzf5loq</v>
      </c>
    </row>
    <row r="17448" spans="1:5" ht="15" customHeight="1" x14ac:dyDescent="0.25">
      <c r="A17448" s="1" t="s">
        <v>34254</v>
      </c>
      <c r="B17448" s="1">
        <v>0</v>
      </c>
      <c r="C17448" s="3">
        <v>44543.840682870374</v>
      </c>
      <c r="D17448" s="1" t="s">
        <v>34263</v>
      </c>
      <c r="E17448" s="4" t="str">
        <f ca="1">IFERROR(__xludf.DUMMYFUNCTION("GOOGLETRANSLATE(A251 , ""tr"" , ""en"")"),"RT @ERDEMARABICICIA: @drfahrettinkoca Ulan You say more than you will güçeri are all the Allah that don't have Beside Allah Allah")</f>
        <v>RT @ERDEMARABICICIA: @drfahrettinkoca Ulan You say more than you will güçeri are all the Allah that don't have Beside Allah Allah</v>
      </c>
    </row>
    <row r="17449" spans="1:5" ht="15" customHeight="1" x14ac:dyDescent="0.25">
      <c r="A17449" s="1" t="s">
        <v>34264</v>
      </c>
      <c r="B17449" s="1">
        <v>0</v>
      </c>
      <c r="C17449" s="3">
        <v>44543.840486111112</v>
      </c>
      <c r="D17449" s="1" t="s">
        <v>34265</v>
      </c>
      <c r="E17449" s="4" t="str">
        <f ca="1">IFERROR(__xludf.DUMMYFUNCTION("GOOGLETRANSLATE(A252 , ""tr"" , ""en"")"),"@drfahrettinkoca medication is not available There is no such thing that you say that you were in the last parliament. Unable to find my mother's blood pressure drugs ... https://t.co/1dixewltx5")</f>
        <v>@drfahrettinkoca medication is not available There is no such thing that you say that you were in the last parliament. Unable to find my mother's blood pressure drugs ... https://t.co/1dixewltx5</v>
      </c>
    </row>
    <row r="17450" spans="1:5" ht="15" customHeight="1" x14ac:dyDescent="0.25">
      <c r="A17450" s="1" t="s">
        <v>34266</v>
      </c>
      <c r="B17450" s="1">
        <v>0</v>
      </c>
      <c r="C17450" s="3">
        <v>44543.839907407404</v>
      </c>
      <c r="D17450" s="1" t="s">
        <v>34267</v>
      </c>
      <c r="E17450" s="4" t="str">
        <f ca="1">IFERROR(__xludf.DUMMYFUNCTION("GOOGLETRANSLATE(A253 , ""tr"" , ""en"")"),"RT @ nuraygne4: @drfahrettinkoca # The Health of the Health # Healthcare #Shexlings")</f>
        <v>RT @ nuraygne4: @drfahrettinkoca # The Health of the Health # Healthcare #Shexlings</v>
      </c>
    </row>
    <row r="17451" spans="1:5" ht="15" customHeight="1" x14ac:dyDescent="0.25">
      <c r="A17451" s="1" t="s">
        <v>34268</v>
      </c>
      <c r="B17451" s="1">
        <v>0</v>
      </c>
      <c r="C17451" s="3">
        <v>44543.839791666665</v>
      </c>
      <c r="D17451" s="1" t="s">
        <v>34269</v>
      </c>
      <c r="E17451" s="4" t="str">
        <f ca="1">IFERROR(__xludf.DUMMYFUNCTION("GOOGLETRANSLATE(A254 , ""tr"" , ""en"")"),"RT @ERDEMARABICICIA: @drfahrettinkoca Because of your impositions I've been to my job on September 6 I have never forgotten my economy Bottom Mounted Payments ...")</f>
        <v>RT @ERDEMARABICICIA: @drfahrettinkoca Because of your impositions I've been to my job on September 6 I have never forgotten my economy Bottom Mounted Payments ...</v>
      </c>
    </row>
    <row r="17452" spans="1:5" ht="15" customHeight="1" x14ac:dyDescent="0.25">
      <c r="A17452" s="1" t="s">
        <v>34270</v>
      </c>
      <c r="B17452" s="1">
        <v>0</v>
      </c>
      <c r="C17452" s="3">
        <v>44543.839768518519</v>
      </c>
      <c r="D17452" s="1" t="s">
        <v>34271</v>
      </c>
      <c r="E17452" s="4" t="str">
        <f ca="1">IFERROR(__xludf.DUMMYFUNCTION("GOOGLETRANSLATE(A255 , ""tr"" , ""en"")"),"Rt @nedenbilm is: @drfahrettinkoca currently says the vaccine either #tbmm")</f>
        <v>Rt @nedenbilm is: @drfahrettinkoca currently says the vaccine either #tbmm</v>
      </c>
    </row>
    <row r="17453" spans="1:5" ht="15" customHeight="1" x14ac:dyDescent="0.25">
      <c r="A17453" s="1" t="s">
        <v>33923</v>
      </c>
      <c r="B17453" s="1">
        <v>0</v>
      </c>
      <c r="C17453" s="3">
        <v>44543.838796296295</v>
      </c>
      <c r="D17453" s="1" t="s">
        <v>34272</v>
      </c>
      <c r="E17453" s="4" t="str">
        <f ca="1">IFERROR(__xludf.DUMMYFUNCTION("GOOGLETRANSLATE(A256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454" spans="1:5" ht="15" customHeight="1" x14ac:dyDescent="0.25">
      <c r="A17454" s="1" t="s">
        <v>33995</v>
      </c>
      <c r="B17454" s="1">
        <v>0</v>
      </c>
      <c r="C17454" s="3">
        <v>44543.838680555556</v>
      </c>
      <c r="D17454" s="1" t="s">
        <v>34273</v>
      </c>
      <c r="E17454" s="4" t="str">
        <f ca="1">IFERROR(__xludf.DUMMYFUNCTION("GOOGLETRANSLATE(A257 , ""tr"" , ""en"")"),"RT @ AYHAN_002: @drfahrettinka Mr. Minister Our Minister Hbys Health Workers Hospitals Running on Day 7/24 in Hospitals Persone Persone ...")</f>
        <v>RT @ AYHAN_002: @drfahrettinka Mr. Minister Our Minister Hbys Health Workers Hospitals Running on Day 7/24 in Hospitals Persone Persone ...</v>
      </c>
    </row>
    <row r="17455" spans="1:5" ht="15" customHeight="1" x14ac:dyDescent="0.25">
      <c r="A17455" s="1" t="s">
        <v>34184</v>
      </c>
      <c r="B17455" s="1">
        <v>0</v>
      </c>
      <c r="C17455" s="3">
        <v>44543.838553240741</v>
      </c>
      <c r="D17455" s="1" t="s">
        <v>34274</v>
      </c>
      <c r="E17455" s="4" t="str">
        <f ca="1">IFERROR(__xludf.DUMMYFUNCTION("GOOGLETRANSLATE(A258 , ""tr"" , ""en"")"),"RT @ KEMAL7KRDS: @drfahrettinkoca @saglikbakanligi @rterdogan @hayat_hastanesi on 12.12.2021 Bursa Hay ...")</f>
        <v>RT @ KEMAL7KRDS: @drfahrettinkoca @saglikbakanligi @rterdogan @hayat_hastanesi on 12.12.2021 Bursa Hay ...</v>
      </c>
    </row>
    <row r="17456" spans="1:5" ht="15" customHeight="1" x14ac:dyDescent="0.25">
      <c r="A17456" s="1" t="s">
        <v>34275</v>
      </c>
      <c r="B17456" s="1">
        <v>0</v>
      </c>
      <c r="C17456" s="3">
        <v>44543.838171296295</v>
      </c>
      <c r="D17456" s="1" t="s">
        <v>34276</v>
      </c>
      <c r="E17456" s="4" t="str">
        <f ca="1">IFERROR(__xludf.DUMMYFUNCTION("GOOGLETRANSLATE(A259 , ""tr"" , ""en"")"),"@drfahrettinkoca @saglikbakanligi https://t.co/z4x0r9wwec")</f>
        <v>@drfahrettinkoca @saglikbakanligi https://t.co/z4x0r9wwec</v>
      </c>
    </row>
    <row r="17457" spans="1:5" ht="15" customHeight="1" x14ac:dyDescent="0.25">
      <c r="A17457" s="1" t="s">
        <v>34277</v>
      </c>
      <c r="B17457" s="1">
        <v>0</v>
      </c>
      <c r="C17457" s="3">
        <v>44543.838055555556</v>
      </c>
      <c r="D17457" s="1" t="s">
        <v>34278</v>
      </c>
      <c r="E17457" s="4" t="str">
        <f ca="1">IFERROR(__xludf.DUMMYFUNCTION("GOOGLETRANSLATE(A260 , ""tr"" , ""en"")"),"RT @ EE20356218: @drfahrettinka When all countries take precautions on the precaution, we are only 8 hours in crowded grades with our children ...")</f>
        <v>RT @ EE20356218: @drfahrettinka When all countries take precautions on the precaution, we are only 8 hours in crowded grades with our children ...</v>
      </c>
    </row>
    <row r="17458" spans="1:5" ht="15" customHeight="1" x14ac:dyDescent="0.25">
      <c r="A17458" s="1" t="s">
        <v>34279</v>
      </c>
      <c r="B17458" s="1">
        <v>0</v>
      </c>
      <c r="C17458" s="3">
        <v>44543.83761574074</v>
      </c>
      <c r="D17458" s="1" t="s">
        <v>34280</v>
      </c>
      <c r="E17458" s="4" t="str">
        <f ca="1">IFERROR(__xludf.DUMMYFUNCTION("GOOGLETRANSLATE(A261 , ""tr"" , ""en"")"),"RT @ ARSEL26484113: @drfahrettinkoca Hbys Personnel 4Yild Out Waiting Waiting Waiting Web")</f>
        <v>RT @ ARSEL26484113: @drfahrettinkoca Hbys Personnel 4Yild Out Waiting Waiting Waiting Web</v>
      </c>
    </row>
    <row r="17459" spans="1:5" ht="15" customHeight="1" x14ac:dyDescent="0.25">
      <c r="A17459" s="1" t="s">
        <v>33997</v>
      </c>
      <c r="B17459" s="1">
        <v>0</v>
      </c>
      <c r="C17459" s="3">
        <v>44543.837141203701</v>
      </c>
      <c r="D17459" s="1" t="s">
        <v>34281</v>
      </c>
      <c r="E17459" s="4" t="str">
        <f ca="1">IFERROR(__xludf.DUMMYFUNCTION("GOOGLETRANSLATE(A262 , ""tr"" , ""en"")"),"RT @ Batista0112: @drfahrettinka Mr. Minister Ministry of Health Subcontracting in your hospitals only HBYS computing studies ...")</f>
        <v>RT @ Batista0112: @drfahrettinka Mr. Minister Ministry of Health Subcontracting in your hospitals only HBYS computing studies ...</v>
      </c>
    </row>
    <row r="17460" spans="1:5" ht="15" customHeight="1" x14ac:dyDescent="0.25">
      <c r="A17460" s="1" t="s">
        <v>34282</v>
      </c>
      <c r="B17460" s="1">
        <v>0</v>
      </c>
      <c r="C17460" s="3">
        <v>44543.837037037039</v>
      </c>
      <c r="D17460" s="1" t="s">
        <v>34283</v>
      </c>
      <c r="E17460" s="4" t="str">
        <f ca="1">IFERROR(__xludf.DUMMYFUNCTION("GOOGLETRANSLATE(A263 , ""tr"" , ""en"")"),"@drfahrettinkoca @saglikbakanligi https://t.co/1cppzqz8oq")</f>
        <v>@drfahrettinkoca @saglikbakanligi https://t.co/1cppzqz8oq</v>
      </c>
    </row>
    <row r="17461" spans="1:5" ht="15" customHeight="1" x14ac:dyDescent="0.25">
      <c r="A17461" s="1" t="s">
        <v>34268</v>
      </c>
      <c r="B17461" s="1">
        <v>0</v>
      </c>
      <c r="C17461" s="3">
        <v>44543.836956018517</v>
      </c>
      <c r="D17461" s="1" t="s">
        <v>34284</v>
      </c>
      <c r="E17461" s="4" t="str">
        <f ca="1">IFERROR(__xludf.DUMMYFUNCTION("GOOGLETRANSLATE(A264 , ""tr"" , ""en"")"),"RT @ERDEMARABICICIA: @drfahrettinkoca Because of your impositions I've been to my job on September 6 I have never forgotten my economy Bottom Mounted Payments ...")</f>
        <v>RT @ERDEMARABICICIA: @drfahrettinkoca Because of your impositions I've been to my job on September 6 I have never forgotten my economy Bottom Mounted Payments ...</v>
      </c>
    </row>
    <row r="17462" spans="1:5" ht="15" customHeight="1" x14ac:dyDescent="0.25">
      <c r="A17462" s="1" t="s">
        <v>34184</v>
      </c>
      <c r="B17462" s="1">
        <v>0</v>
      </c>
      <c r="C17462" s="3">
        <v>44543.836296296293</v>
      </c>
      <c r="D17462" s="1" t="s">
        <v>34285</v>
      </c>
      <c r="E17462" s="4" t="str">
        <f ca="1">IFERROR(__xludf.DUMMYFUNCTION("GOOGLETRANSLATE(A265 , ""tr"" , ""en"")"),"RT @ KEMAL7KRDS: @drfahrettinkoca @saglikbakanligi @rterdogan @hayat_hastanesi on 12.12.2021 Bursa Hay ...")</f>
        <v>RT @ KEMAL7KRDS: @drfahrettinkoca @saglikbakanligi @rterdogan @hayat_hastanesi on 12.12.2021 Bursa Hay ...</v>
      </c>
    </row>
    <row r="17463" spans="1:5" ht="15" customHeight="1" x14ac:dyDescent="0.25">
      <c r="A17463" s="1" t="s">
        <v>34266</v>
      </c>
      <c r="B17463" s="1">
        <v>0</v>
      </c>
      <c r="C17463" s="3">
        <v>44543.836006944446</v>
      </c>
      <c r="D17463" s="1" t="s">
        <v>34286</v>
      </c>
      <c r="E17463" s="4" t="str">
        <f ca="1">IFERROR(__xludf.DUMMYFUNCTION("GOOGLETRANSLATE(A266 , ""tr"" , ""en"")"),"RT @ nuraygne4: @drfahrettinkoca # The Health of the Health # Healthcare #Shexlings")</f>
        <v>RT @ nuraygne4: @drfahrettinkoca # The Health of the Health # Healthcare #Shexlings</v>
      </c>
    </row>
    <row r="17464" spans="1:5" ht="15" customHeight="1" x14ac:dyDescent="0.25">
      <c r="A17464" s="1" t="s">
        <v>34287</v>
      </c>
      <c r="B17464" s="1">
        <v>0</v>
      </c>
      <c r="C17464" s="3">
        <v>44543.835995370369</v>
      </c>
      <c r="D17464" s="1" t="s">
        <v>34288</v>
      </c>
      <c r="E17464" s="4" t="str">
        <f ca="1">IFERROR(__xludf.DUMMYFUNCTION("GOOGLETRANSLATE(A267 , ""tr"" , ""en"")"),"@Drfahrettinkoca @drfahrettinkoca @vedatbilgn @_aliyalcin_ @onderkahveci @neciotaskin @ssbsemihdurmus")</f>
        <v>@Drfahrettinkoca @drfahrettinkoca @vedatbilgn @_aliyalcin_ @onderkahveci @neciotaskin @ssbsemihdurmus</v>
      </c>
    </row>
    <row r="17465" spans="1:5" ht="15" customHeight="1" x14ac:dyDescent="0.25">
      <c r="A17465" s="1" t="s">
        <v>34289</v>
      </c>
      <c r="B17465" s="1">
        <v>1</v>
      </c>
      <c r="C17465" s="3">
        <v>44543.835844907408</v>
      </c>
      <c r="D17465" s="1" t="s">
        <v>34290</v>
      </c>
      <c r="E17465" s="4" t="str">
        <f ca="1">IFERROR(__xludf.DUMMYFUNCTION("GOOGLETRANSLATE(A268 , ""tr"" , ""en"")"),"@drfahrettinkoca @saglikbakanligi https://t.co/kb3bzsugh9")</f>
        <v>@drfahrettinkoca @saglikbakanligi https://t.co/kb3bzsugh9</v>
      </c>
    </row>
    <row r="17466" spans="1:5" ht="15" customHeight="1" x14ac:dyDescent="0.25">
      <c r="A17466" s="1" t="s">
        <v>34040</v>
      </c>
      <c r="B17466" s="1">
        <v>0</v>
      </c>
      <c r="C17466" s="3">
        <v>44543.8356712963</v>
      </c>
      <c r="D17466" s="1" t="s">
        <v>34291</v>
      </c>
      <c r="E17466" s="4" t="str">
        <f ca="1">IFERROR(__xludf.DUMMYFUNCTION("GOOGLETRANSLATE(A269 , ""tr"" , ""en"")"),"RT @ BURUS999: @drfahrettinkoca they spend that slight hope to have you in between what you say! # Tbmmnethikinonlinelitim")</f>
        <v>RT @ BURUS999: @drfahrettinkoca they spend that slight hope to have you in between what you say! # Tbmmnethikinonlinelitim</v>
      </c>
    </row>
    <row r="17467" spans="1:5" ht="15" customHeight="1" x14ac:dyDescent="0.25">
      <c r="A17467" s="1" t="s">
        <v>34184</v>
      </c>
      <c r="B17467" s="1">
        <v>0</v>
      </c>
      <c r="C17467" s="3">
        <v>44543.835231481484</v>
      </c>
      <c r="D17467" s="1" t="s">
        <v>34292</v>
      </c>
      <c r="E17467" s="4" t="str">
        <f ca="1">IFERROR(__xludf.DUMMYFUNCTION("GOOGLETRANSLATE(A270 , ""tr"" , ""en"")"),"RT @ KEMAL7KRDS: @drfahrettinkoca @saglikbakanligi @rterdogan @hayat_hastanesi on 12.12.2021 Bursa Hay ...")</f>
        <v>RT @ KEMAL7KRDS: @drfahrettinkoca @saglikbakanligi @rterdogan @hayat_hastanesi on 12.12.2021 Bursa Hay ...</v>
      </c>
    </row>
    <row r="17468" spans="1:5" ht="15" customHeight="1" x14ac:dyDescent="0.25">
      <c r="A17468" s="1" t="s">
        <v>34293</v>
      </c>
      <c r="B17468" s="1">
        <v>0</v>
      </c>
      <c r="C17468" s="3">
        <v>44543.834976851853</v>
      </c>
      <c r="D17468" s="1" t="s">
        <v>34294</v>
      </c>
      <c r="E17468" s="4" t="str">
        <f ca="1">IFERROR(__xludf.DUMMYFUNCTION("GOOGLETRANSLATE(A271 , ""tr"" , ""en"")"),"RT @ FARAT24: @drfahrettinka https://t.co/axwpvs5xut")</f>
        <v>RT @ FARAT24: @drfahrettinka https://t.co/axwpvs5xut</v>
      </c>
    </row>
    <row r="17469" spans="1:5" ht="15" customHeight="1" x14ac:dyDescent="0.25">
      <c r="A17469" s="1" t="s">
        <v>34295</v>
      </c>
      <c r="B17469" s="1">
        <v>0</v>
      </c>
      <c r="C17469" s="3">
        <v>44543.834907407407</v>
      </c>
      <c r="D17469" s="1" t="s">
        <v>34296</v>
      </c>
      <c r="E17469" s="4" t="str">
        <f ca="1">IFERROR(__xludf.DUMMYFUNCTION("GOOGLETRANSLATE(A272 , ""tr"" , ""en"")"),"RT @ERDEMARABICICI: @drfahrettinkoca If you want to sin Go to church FAHA I don't Halal on my right to you")</f>
        <v>RT @ERDEMARABICICI: @drfahrettinkoca If you want to sin Go to church FAHA I don't Halal on my right to you</v>
      </c>
    </row>
    <row r="17470" spans="1:5" ht="15" customHeight="1" x14ac:dyDescent="0.25">
      <c r="A17470" s="1" t="s">
        <v>34297</v>
      </c>
      <c r="B17470" s="1">
        <v>0</v>
      </c>
      <c r="C17470" s="3">
        <v>44543.834907407407</v>
      </c>
      <c r="D17470" s="1" t="s">
        <v>34298</v>
      </c>
      <c r="E17470" s="4" t="str">
        <f ca="1">IFERROR(__xludf.DUMMYFUNCTION("GOOGLETRANSLATE(A273 , ""tr"" , ""en"")"),"RT @ FARAT24: @drfahrettinka https://t.co/f4pwq4w8tv")</f>
        <v>RT @ FARAT24: @drfahrettinka https://t.co/f4pwq4w8tv</v>
      </c>
    </row>
    <row r="17471" spans="1:5" ht="15" customHeight="1" x14ac:dyDescent="0.25">
      <c r="A17471" s="1" t="s">
        <v>34295</v>
      </c>
      <c r="B17471" s="1">
        <v>0</v>
      </c>
      <c r="C17471" s="3">
        <v>44543.834861111114</v>
      </c>
      <c r="D17471" s="1" t="s">
        <v>34299</v>
      </c>
      <c r="E17471" s="4" t="str">
        <f ca="1">IFERROR(__xludf.DUMMYFUNCTION("GOOGLETRANSLATE(A274 , ""tr"" , ""en"")"),"RT @ERDEMARABICICI: @drfahrettinkoca If you want to sin Go to church FAHA I don't Halal on my right to you")</f>
        <v>RT @ERDEMARABICICI: @drfahrettinkoca If you want to sin Go to church FAHA I don't Halal on my right to you</v>
      </c>
    </row>
    <row r="17472" spans="1:5" ht="15" customHeight="1" x14ac:dyDescent="0.25">
      <c r="A17472" s="1" t="s">
        <v>34295</v>
      </c>
      <c r="B17472" s="1">
        <v>0</v>
      </c>
      <c r="C17472" s="3">
        <v>44543.834768518522</v>
      </c>
      <c r="D17472" s="1" t="s">
        <v>34300</v>
      </c>
      <c r="E17472" s="4" t="str">
        <f ca="1">IFERROR(__xludf.DUMMYFUNCTION("GOOGLETRANSLATE(A275 , ""tr"" , ""en"")"),"RT @ERDEMARABICICI: @drfahrettinkoca If you want to sin Go to church FAHA I don't Halal on my right to you")</f>
        <v>RT @ERDEMARABICICI: @drfahrettinkoca If you want to sin Go to church FAHA I don't Halal on my right to you</v>
      </c>
    </row>
    <row r="17473" spans="1:5" ht="15" customHeight="1" x14ac:dyDescent="0.25">
      <c r="A17473" s="1" t="s">
        <v>34301</v>
      </c>
      <c r="B17473" s="1">
        <v>3</v>
      </c>
      <c r="C17473" s="3">
        <v>44543.834606481483</v>
      </c>
      <c r="D17473" s="1" t="s">
        <v>34302</v>
      </c>
      <c r="E17473" s="4" t="str">
        <f ca="1">IFERROR(__xludf.DUMMYFUNCTION("GOOGLETRANSLATE(A276 , ""tr"" , ""en"")"),"@drfahrettinkoca # Healthcare # Healthcore's Healthcare #Shexyms: https://t.co/xwqjnnthm0")</f>
        <v>@drfahrettinkoca # Healthcare # Healthcore's Healthcare #Shexyms: https://t.co/xwqjnnthm0</v>
      </c>
    </row>
    <row r="17474" spans="1:5" ht="15" customHeight="1" x14ac:dyDescent="0.25">
      <c r="A17474" s="1" t="s">
        <v>34184</v>
      </c>
      <c r="B17474" s="1">
        <v>0</v>
      </c>
      <c r="C17474" s="3">
        <v>44543.834583333337</v>
      </c>
      <c r="D17474" s="1" t="s">
        <v>34303</v>
      </c>
      <c r="E17474" s="4" t="str">
        <f ca="1">IFERROR(__xludf.DUMMYFUNCTION("GOOGLETRANSLATE(A277 , ""tr"" , ""en"")"),"RT @ KEMAL7KRDS: @drfahrettinkoca @saglikbakanligi @rterdogan @hayat_hastanesi on 12.12.2021 Bursa Hay ...")</f>
        <v>RT @ KEMAL7KRDS: @drfahrettinkoca @saglikbakanligi @rterdogan @hayat_hastanesi on 12.12.2021 Bursa Hay ...</v>
      </c>
    </row>
    <row r="17475" spans="1:5" ht="15" customHeight="1" x14ac:dyDescent="0.25">
      <c r="A17475" s="1" t="s">
        <v>33911</v>
      </c>
      <c r="B17475" s="1">
        <v>0</v>
      </c>
      <c r="C17475" s="3">
        <v>44543.834479166668</v>
      </c>
      <c r="D17475" s="1" t="s">
        <v>34304</v>
      </c>
      <c r="E17475" s="4" t="str">
        <f ca="1">IFERROR(__xludf.DUMMYFUNCTION("GOOGLETRANSLATE(A278 , ""tr"" , ""en"")"),"RT @ Cemilcan5834: @drfahrettinkoca direct screenshot Get to Get Friendlier This tweet always comes enough, athletes Celebrities Stay ...")</f>
        <v>RT @ Cemilcan5834: @drfahrettinkoca direct screenshot Get to Get Friendlier This tweet always comes enough, athletes Celebrities Stay ...</v>
      </c>
    </row>
    <row r="17476" spans="1:5" ht="15" customHeight="1" x14ac:dyDescent="0.25">
      <c r="A17476" s="1" t="s">
        <v>34305</v>
      </c>
      <c r="B17476" s="1">
        <v>0</v>
      </c>
      <c r="C17476" s="3">
        <v>44543.834270833337</v>
      </c>
      <c r="D17476" s="1" t="s">
        <v>34306</v>
      </c>
      <c r="E17476" s="4" t="str">
        <f ca="1">IFERROR(__xludf.DUMMYFUNCTION("GOOGLETRANSLATE(A279 , ""tr"" , ""en"")"),"RT @eyvllh: @drfahrettinkoca Our children are doing the mask with the mask in schools. Now give it an end to it. The child with a trouble of nasal ...")</f>
        <v>RT @eyvllh: @drfahrettinkoca Our children are doing the mask with the mask in schools. Now give it an end to it. The child with a trouble of nasal ...</v>
      </c>
    </row>
    <row r="17477" spans="1:5" ht="15" customHeight="1" x14ac:dyDescent="0.25">
      <c r="A17477" s="1" t="s">
        <v>33999</v>
      </c>
      <c r="B17477" s="1">
        <v>0</v>
      </c>
      <c r="C17477" s="3">
        <v>44543.83421296296</v>
      </c>
      <c r="D17477" s="1" t="s">
        <v>34307</v>
      </c>
      <c r="E17477" s="4" t="str">
        <f ca="1">IFERROR(__xludf.DUMMYFUNCTION("GOOGLETRANSLATE(A280 , ""tr"" , ""en"")"),"Rt @ o2turkahmet: @drfahrettinka Mr. Ministry No error-free handle, as a result we are all people in 2018 only in the Ministry of Ministry Disclaimer in 2018.")</f>
        <v>Rt @ o2turkahmet: @drfahrettinka Mr. Ministry No error-free handle, as a result we are all people in 2018 only in the Ministry of Ministry Disclaimer in 2018.</v>
      </c>
    </row>
    <row r="17478" spans="1:5" ht="15" customHeight="1" x14ac:dyDescent="0.25">
      <c r="A17478" s="1" t="s">
        <v>33993</v>
      </c>
      <c r="B17478" s="1">
        <v>0</v>
      </c>
      <c r="C17478" s="3">
        <v>44543.834166666667</v>
      </c>
      <c r="D17478" s="1" t="s">
        <v>34308</v>
      </c>
      <c r="E17478" s="4" t="str">
        <f ca="1">IFERROR(__xludf.DUMMYFUNCTION("GOOGLETRANSLATE(A281 , ""tr"" , ""en"")"),"Rt @kralsizkole: @drfahrettinkoca @drfahrettinkoca @saglikbakanligi Hospital Hospitalized HBBS So Data Processing Staff Subcontracting Law Victim Software Comp ...")</f>
        <v>Rt @kralsizkole: @drfahrettinkoca @drfahrettinkoca @saglikbakanligi Hospital Hospitalized HBBS So Data Processing Staff Subcontracting Law Victim Software Comp ...</v>
      </c>
    </row>
    <row r="17479" spans="1:5" ht="15" customHeight="1" x14ac:dyDescent="0.25">
      <c r="A17479" s="1" t="s">
        <v>33995</v>
      </c>
      <c r="B17479" s="1">
        <v>0</v>
      </c>
      <c r="C17479" s="3">
        <v>44543.834120370368</v>
      </c>
      <c r="D17479" s="1" t="s">
        <v>34309</v>
      </c>
      <c r="E17479" s="4" t="str">
        <f ca="1">IFERROR(__xludf.DUMMYFUNCTION("GOOGLETRANSLATE(A282 , ""tr"" , ""en"")"),"RT @ AYHAN_002: @drfahrettinka Mr. Minister Our Minister Hbys Health Workers Hospitals Running on Day 7/24 in Hospitals Persone Persone ...")</f>
        <v>RT @ AYHAN_002: @drfahrettinka Mr. Minister Our Minister Hbys Health Workers Hospitals Running on Day 7/24 in Hospitals Persone Persone ...</v>
      </c>
    </row>
    <row r="17480" spans="1:5" ht="15" customHeight="1" x14ac:dyDescent="0.25">
      <c r="A17480" s="1" t="s">
        <v>34007</v>
      </c>
      <c r="B17480" s="1">
        <v>0</v>
      </c>
      <c r="C17480" s="3">
        <v>44543.834050925929</v>
      </c>
      <c r="D17480" s="1" t="s">
        <v>34310</v>
      </c>
      <c r="E17480" s="4" t="str">
        <f ca="1">IFERROR(__xludf.DUMMYFUNCTION("GOOGLETRANSLATE(A283 , ""tr"" , ""en"")"),"RT @esarisaray: @drfahrettinkoca HBYS staff say, we will also say that our deficiency of the staff you don't give it to the staff. Let's love the staff ...")</f>
        <v>RT @esarisaray: @drfahrettinkoca HBYS staff say, we will also say that our deficiency of the staff you don't give it to the staff. Let's love the staff ...</v>
      </c>
    </row>
    <row r="17481" spans="1:5" ht="15" customHeight="1" x14ac:dyDescent="0.25">
      <c r="A17481" s="1" t="s">
        <v>34179</v>
      </c>
      <c r="B17481" s="1">
        <v>0</v>
      </c>
      <c r="C17481" s="3">
        <v>44543.834027777775</v>
      </c>
      <c r="D17481" s="1" t="s">
        <v>34311</v>
      </c>
      <c r="E17481" s="4" t="str">
        <f ca="1">IFERROR(__xludf.DUMMYFUNCTION("GOOGLETRANSLATE(A284 , ""tr"" , ""en"")"),"RT @ turkasil1: @drfahrettinkoca Hospitals working in Hospitals724 The HBBY employees of the person who has always left subcontractors for the sake of interest in ...")</f>
        <v>RT @ turkasil1: @drfahrettinkoca Hospitals working in Hospitals724 The HBBY employees of the person who has always left subcontractors for the sake of interest in ...</v>
      </c>
    </row>
    <row r="17482" spans="1:5" ht="15" customHeight="1" x14ac:dyDescent="0.25">
      <c r="A17482" s="1" t="s">
        <v>34312</v>
      </c>
      <c r="B17482" s="1">
        <v>0</v>
      </c>
      <c r="C17482" s="3">
        <v>44543.83388888889</v>
      </c>
      <c r="D17482" s="1" t="s">
        <v>34313</v>
      </c>
      <c r="E17482" s="4" t="str">
        <f ca="1">IFERROR(__xludf.DUMMYFUNCTION("GOOGLETRANSLATE(A285 , ""tr"" , ""en"")"),"RT @ERDEMARABICICI: @drfahrettinkoca Science Board Well wrongly output in the halvalization air.")</f>
        <v>RT @ERDEMARABICICI: @drfahrettinkoca Science Board Well wrongly output in the halvalization air.</v>
      </c>
    </row>
    <row r="17483" spans="1:5" ht="15" customHeight="1" x14ac:dyDescent="0.25">
      <c r="A17483" s="1" t="s">
        <v>34314</v>
      </c>
      <c r="B17483" s="1">
        <v>0</v>
      </c>
      <c r="C17483" s="3">
        <v>44543.83388888889</v>
      </c>
      <c r="D17483" s="1" t="s">
        <v>34315</v>
      </c>
      <c r="E17483" s="4" t="str">
        <f ca="1">IFERROR(__xludf.DUMMYFUNCTION("GOOGLETRANSLATE(A286 , ""tr"" , ""en"")"),"RT @Berkoc: @drfahrettinka Mr. Minister. The hospital information management system did not receive the staff in HBBS employees. We have been issued words in us ...")</f>
        <v>RT @Berkoc: @drfahrettinka Mr. Minister. The hospital information management system did not receive the staff in HBBS employees. We have been issued words in us ...</v>
      </c>
    </row>
    <row r="17484" spans="1:5" ht="15" customHeight="1" x14ac:dyDescent="0.25">
      <c r="A17484" s="1" t="s">
        <v>34312</v>
      </c>
      <c r="B17484" s="1">
        <v>0</v>
      </c>
      <c r="C17484" s="3">
        <v>44543.833738425928</v>
      </c>
      <c r="D17484" s="1" t="s">
        <v>34316</v>
      </c>
      <c r="E17484" s="4" t="str">
        <f ca="1">IFERROR(__xludf.DUMMYFUNCTION("GOOGLETRANSLATE(A287 , ""tr"" , ""en"")"),"RT @ERDEMARABICICI: @drfahrettinkoca Science Board Well wrongly output in the halvalization air.")</f>
        <v>RT @ERDEMARABICICI: @drfahrettinkoca Science Board Well wrongly output in the halvalization air.</v>
      </c>
    </row>
    <row r="17485" spans="1:5" ht="15" customHeight="1" x14ac:dyDescent="0.25">
      <c r="A17485" s="1" t="s">
        <v>34317</v>
      </c>
      <c r="B17485" s="1">
        <v>0</v>
      </c>
      <c r="C17485" s="3">
        <v>44543.833726851852</v>
      </c>
      <c r="D17485" s="1" t="s">
        <v>34318</v>
      </c>
      <c r="E17485" s="4" t="str">
        <f ca="1">IFERROR(__xludf.DUMMYFUNCTION("GOOGLETRANSLATE(A288 , ""tr"" , ""en"")"),"RT @ERDEMARABICICIA: @drfahrettinkoca hiiiic ass shaking the head of the nation of the nation of saints who have underestimate the Turkish nation ...")</f>
        <v>RT @ERDEMARABICICIA: @drfahrettinkoca hiiiic ass shaking the head of the nation of the nation of saints who have underestimate the Turkish nation ...</v>
      </c>
    </row>
    <row r="17486" spans="1:5" ht="15" customHeight="1" x14ac:dyDescent="0.25">
      <c r="A17486" s="1" t="s">
        <v>34312</v>
      </c>
      <c r="B17486" s="1">
        <v>0</v>
      </c>
      <c r="C17486" s="3">
        <v>44543.833645833336</v>
      </c>
      <c r="D17486" s="1" t="s">
        <v>34319</v>
      </c>
      <c r="E17486" s="4" t="str">
        <f ca="1">IFERROR(__xludf.DUMMYFUNCTION("GOOGLETRANSLATE(A289 , ""tr"" , ""en"")"),"RT @ERDEMARABICICI: @drfahrettinkoca Science Board Well wrongly output in the halvalization air.")</f>
        <v>RT @ERDEMARABICICI: @drfahrettinkoca Science Board Well wrongly output in the halvalization air.</v>
      </c>
    </row>
    <row r="17487" spans="1:5" ht="15" customHeight="1" x14ac:dyDescent="0.25">
      <c r="A17487" s="1" t="s">
        <v>34317</v>
      </c>
      <c r="B17487" s="1">
        <v>0</v>
      </c>
      <c r="C17487" s="3">
        <v>44543.833622685182</v>
      </c>
      <c r="D17487" s="1" t="s">
        <v>34320</v>
      </c>
      <c r="E17487" s="4" t="str">
        <f ca="1">IFERROR(__xludf.DUMMYFUNCTION("GOOGLETRANSLATE(A290 , ""tr"" , ""en"")"),"RT @ERDEMARABICICIA: @drfahrettinkoca hiiiic ass shaking the head of the nation of the nation of saints who have underestimate the Turkish nation ...")</f>
        <v>RT @ERDEMARABICICIA: @drfahrettinkoca hiiiic ass shaking the head of the nation of the nation of saints who have underestimate the Turkish nation ...</v>
      </c>
    </row>
    <row r="17488" spans="1:5" ht="15" customHeight="1" x14ac:dyDescent="0.25">
      <c r="A17488" s="1" t="s">
        <v>33923</v>
      </c>
      <c r="B17488" s="1">
        <v>0</v>
      </c>
      <c r="C17488" s="3">
        <v>44543.833495370367</v>
      </c>
      <c r="D17488" s="1" t="s">
        <v>34321</v>
      </c>
      <c r="E17488" s="4" t="str">
        <f ca="1">IFERROR(__xludf.DUMMYFUNCTION("GOOGLETRANSLATE(A291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489" spans="1:5" ht="15" customHeight="1" x14ac:dyDescent="0.25">
      <c r="A17489" s="1" t="s">
        <v>33923</v>
      </c>
      <c r="B17489" s="1">
        <v>0</v>
      </c>
      <c r="C17489" s="3">
        <v>44543.83321759259</v>
      </c>
      <c r="D17489" s="1" t="s">
        <v>34322</v>
      </c>
      <c r="E17489" s="4" t="str">
        <f ca="1">IFERROR(__xludf.DUMMYFUNCTION("GOOGLETRANSLATE(A292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490" spans="1:5" ht="15" customHeight="1" x14ac:dyDescent="0.25">
      <c r="A17490" s="1" t="s">
        <v>34191</v>
      </c>
      <c r="B17490" s="1">
        <v>0</v>
      </c>
      <c r="C17490" s="3">
        <v>44543.832881944443</v>
      </c>
      <c r="D17490" s="1" t="s">
        <v>34323</v>
      </c>
      <c r="E17490" s="4" t="str">
        <f ca="1">IFERROR(__xludf.DUMMYFUNCTION("GOOGLETRANSLATE(A293 , ""tr"" , ""en"")"),"RT @ DERYA26745389: @drfahrettinkoca We don't trust you anymore. That's why # tbmmnethinoninelivery")</f>
        <v>RT @ DERYA26745389: @drfahrettinkoca We don't trust you anymore. That's why # tbmmnethinoninelivery</v>
      </c>
    </row>
    <row r="17491" spans="1:5" ht="15" customHeight="1" x14ac:dyDescent="0.25">
      <c r="A17491" s="1" t="s">
        <v>34268</v>
      </c>
      <c r="B17491" s="1">
        <v>0</v>
      </c>
      <c r="C17491" s="3">
        <v>44543.832430555558</v>
      </c>
      <c r="D17491" s="1" t="s">
        <v>34324</v>
      </c>
      <c r="E17491" s="4" t="str">
        <f ca="1">IFERROR(__xludf.DUMMYFUNCTION("GOOGLETRANSLATE(A294 , ""tr"" , ""en"")"),"RT @ERDEMARABICICIA: @drfahrettinkoca Because of your impositions I've been to my job on September 6 I have never forgotten my economy Bottom Mounted Payments ...")</f>
        <v>RT @ERDEMARABICICIA: @drfahrettinkoca Because of your impositions I've been to my job on September 6 I have never forgotten my economy Bottom Mounted Payments ...</v>
      </c>
    </row>
    <row r="17492" spans="1:5" ht="15" customHeight="1" x14ac:dyDescent="0.25">
      <c r="A17492" s="1" t="s">
        <v>34268</v>
      </c>
      <c r="B17492" s="1">
        <v>0</v>
      </c>
      <c r="C17492" s="3">
        <v>44543.832418981481</v>
      </c>
      <c r="D17492" s="1" t="s">
        <v>34325</v>
      </c>
      <c r="E17492" s="4" t="str">
        <f ca="1">IFERROR(__xludf.DUMMYFUNCTION("GOOGLETRANSLATE(A295 , ""tr"" , ""en"")"),"RT @ERDEMARABICICIA: @drfahrettinkoca Because of your impositions I've been to my job on September 6 I have never forgotten my economy Bottom Mounted Payments ...")</f>
        <v>RT @ERDEMARABICICIA: @drfahrettinkoca Because of your impositions I've been to my job on September 6 I have never forgotten my economy Bottom Mounted Payments ...</v>
      </c>
    </row>
    <row r="17493" spans="1:5" ht="15" customHeight="1" x14ac:dyDescent="0.25">
      <c r="A17493" s="1" t="s">
        <v>34268</v>
      </c>
      <c r="B17493" s="1">
        <v>0</v>
      </c>
      <c r="C17493" s="3">
        <v>44543.832268518519</v>
      </c>
      <c r="D17493" s="1" t="s">
        <v>34326</v>
      </c>
      <c r="E17493" s="4" t="str">
        <f ca="1">IFERROR(__xludf.DUMMYFUNCTION("GOOGLETRANSLATE(A296 , ""tr"" , ""en"")"),"RT @ERDEMARABICICIA: @drfahrettinkoca Because of your impositions I've been to my job on September 6 I have never forgotten my economy Bottom Mounted Payments ...")</f>
        <v>RT @ERDEMARABICICIA: @drfahrettinkoca Because of your impositions I've been to my job on September 6 I have never forgotten my economy Bottom Mounted Payments ...</v>
      </c>
    </row>
    <row r="17494" spans="1:5" ht="15" customHeight="1" x14ac:dyDescent="0.25">
      <c r="A17494" s="1" t="s">
        <v>34327</v>
      </c>
      <c r="B17494" s="1">
        <v>0</v>
      </c>
      <c r="C17494" s="3">
        <v>44543.831712962965</v>
      </c>
      <c r="D17494" s="1" t="s">
        <v>34328</v>
      </c>
      <c r="E17494" s="4" t="str">
        <f ca="1">IFERROR(__xludf.DUMMYFUNCTION("GOOGLETRANSLATE(A297 , ""tr"" , ""en"")"),"RT @Ozturkaytul: @drfahrettinkoca Error and deficiency is not given to the bolums that are not performed.")</f>
        <v>RT @Ozturkaytul: @drfahrettinkoca Error and deficiency is not given to the bolums that are not performed.</v>
      </c>
    </row>
    <row r="17495" spans="1:5" ht="15" customHeight="1" x14ac:dyDescent="0.25">
      <c r="A17495" s="1" t="s">
        <v>34329</v>
      </c>
      <c r="B17495" s="1">
        <v>0</v>
      </c>
      <c r="C17495" s="3">
        <v>44543.830995370372</v>
      </c>
      <c r="D17495" s="1" t="s">
        <v>34330</v>
      </c>
      <c r="E17495" s="4" t="str">
        <f ca="1">IFERROR(__xludf.DUMMYFUNCTION("GOOGLETRANSLATE(A298 , ""tr"" , ""en"")"),"RT @huseyinhbys: @drfahrettinka Mr. Minister, working in hospitals, we are working on HABS - Computing employees, including continuous workers' staff ...")</f>
        <v>RT @huseyinhbys: @drfahrettinka Mr. Minister, working in hospitals, we are working on HABS - Computing employees, including continuous workers' staff ...</v>
      </c>
    </row>
    <row r="17496" spans="1:5" ht="15" customHeight="1" x14ac:dyDescent="0.25">
      <c r="A17496" s="1" t="s">
        <v>34184</v>
      </c>
      <c r="B17496" s="1">
        <v>0</v>
      </c>
      <c r="C17496" s="3">
        <v>44543.83084490741</v>
      </c>
      <c r="D17496" s="1" t="s">
        <v>34331</v>
      </c>
      <c r="E17496" s="4" t="str">
        <f ca="1">IFERROR(__xludf.DUMMYFUNCTION("GOOGLETRANSLATE(A299 , ""tr"" , ""en"")"),"RT @ KEMAL7KRDS: @drfahrettinkoca @saglikbakanligi @rterdogan @hayat_hastanesi on 12.12.2021 Bursa Hay ...")</f>
        <v>RT @ KEMAL7KRDS: @drfahrettinkoca @saglikbakanligi @rterdogan @hayat_hastanesi on 12.12.2021 Bursa Hay ...</v>
      </c>
    </row>
    <row r="17497" spans="1:5" ht="15" customHeight="1" x14ac:dyDescent="0.25">
      <c r="A17497" s="1" t="s">
        <v>34332</v>
      </c>
      <c r="B17497" s="1">
        <v>0</v>
      </c>
      <c r="C17497" s="3">
        <v>44543.830706018518</v>
      </c>
      <c r="D17497" s="1" t="s">
        <v>34333</v>
      </c>
      <c r="E17497" s="4" t="str">
        <f ca="1">IFERROR(__xludf.DUMMYFUNCTION("GOOGLETRANSLATE(A300 , ""tr"" , ""en"")"),"Rt @mhmtmmm: @drfahrettinka https://t.co/97qom3ymi")</f>
        <v>Rt @mhmtmmm: @drfahrettinka https://t.co/97qom3ymi</v>
      </c>
    </row>
    <row r="17498" spans="1:5" ht="15" customHeight="1" x14ac:dyDescent="0.25">
      <c r="A17498" s="1" t="s">
        <v>34334</v>
      </c>
      <c r="B17498" s="1">
        <v>0</v>
      </c>
      <c r="C17498" s="3">
        <v>44543.830196759256</v>
      </c>
      <c r="D17498" s="1" t="s">
        <v>34335</v>
      </c>
      <c r="E17498" s="4" t="str">
        <f ca="1">IFERROR(__xludf.DUMMYFUNCTION("GOOGLETRANSLATE(A301 , ""tr"" , ""en"")"),"Rt @zbt_zbt_: @drfahrettinkoca Mom spent 21 years in the service of this Ministry of Ministry; it is a health that has fallen to the beds when he lost his patient http ...")</f>
        <v>Rt @zbt_zbt_: @drfahrettinkoca Mom spent 21 years in the service of this Ministry of Ministry; it is a health that has fallen to the beds when he lost his patient http ...</v>
      </c>
    </row>
    <row r="17499" spans="1:5" ht="15" customHeight="1" x14ac:dyDescent="0.25">
      <c r="A17499" s="1" t="s">
        <v>34336</v>
      </c>
      <c r="B17499" s="1">
        <v>0</v>
      </c>
      <c r="C17499" s="3">
        <v>44543.829780092594</v>
      </c>
      <c r="D17499" s="1" t="s">
        <v>34337</v>
      </c>
      <c r="E17499" s="4" t="str">
        <f ca="1">IFERROR(__xludf.DUMMYFUNCTION("GOOGLETRANSLATE(A302 , ""tr"" , ""en"")"),"RT @ AYYCE57791796: @drfahrettinkoca you finish us at the minister 😁 Why? We want a pardon")</f>
        <v>RT @ AYYCE57791796: @drfahrettinkoca you finish us at the minister 😁 Why? We want a pardon</v>
      </c>
    </row>
    <row r="17500" spans="1:5" ht="15" customHeight="1" x14ac:dyDescent="0.25">
      <c r="A17500" s="1" t="s">
        <v>34161</v>
      </c>
      <c r="B17500" s="1">
        <v>0</v>
      </c>
      <c r="C17500" s="3">
        <v>44543.829108796293</v>
      </c>
      <c r="D17500" s="1" t="s">
        <v>34338</v>
      </c>
      <c r="E17500" s="4" t="str">
        <f ca="1">IFERROR(__xludf.DUMMYFUNCTION("GOOGLETRANSLATE(A303 , ""tr"" , ""en"")"),"RT @ hac6868: @drfahrettinkoca Your error is not giving the HBYS staff")</f>
        <v>RT @ hac6868: @drfahrettinkoca Your error is not giving the HBYS staff</v>
      </c>
    </row>
    <row r="17501" spans="1:5" ht="15" customHeight="1" x14ac:dyDescent="0.25">
      <c r="A17501" s="1" t="s">
        <v>33943</v>
      </c>
      <c r="B17501" s="1">
        <v>0</v>
      </c>
      <c r="C17501" s="3">
        <v>44543.829085648147</v>
      </c>
      <c r="D17501" s="1" t="s">
        <v>34339</v>
      </c>
      <c r="E17501" s="4" t="str">
        <f ca="1">IFERROR(__xludf.DUMMYFUNCTION("GOOGLETRANSLATE(A304 , ""tr"" , ""en"")"),"RT @beytader: @drfahrettinkoca masallah 🧿🧿🧿🧿 Elhamdulillah 🤲🤲🤲🤲🤲🤲 either Safi")</f>
        <v>RT @beytader: @drfahrettinkoca masallah 🧿🧿🧿🧿 Elhamdulillah 🤲🤲🤲🤲🤲🤲 either Safi</v>
      </c>
    </row>
    <row r="17502" spans="1:5" ht="15" customHeight="1" x14ac:dyDescent="0.25">
      <c r="A17502" s="1" t="s">
        <v>33995</v>
      </c>
      <c r="B17502" s="1">
        <v>0</v>
      </c>
      <c r="C17502" s="3">
        <v>44543.829027777778</v>
      </c>
      <c r="D17502" s="1" t="s">
        <v>34340</v>
      </c>
      <c r="E17502" s="4" t="str">
        <f ca="1">IFERROR(__xludf.DUMMYFUNCTION("GOOGLETRANSLATE(A305 , ""tr"" , ""en"")"),"RT @ AYHAN_002: @drfahrettinka Mr. Minister Our Minister Hbys Health Workers Hospitals Running on Day 7/24 in Hospitals Persone Persone ...")</f>
        <v>RT @ AYHAN_002: @drfahrettinka Mr. Minister Our Minister Hbys Health Workers Hospitals Running on Day 7/24 in Hospitals Persone Persone ...</v>
      </c>
    </row>
    <row r="17503" spans="1:5" ht="15" customHeight="1" x14ac:dyDescent="0.25">
      <c r="A17503" s="1" t="s">
        <v>34007</v>
      </c>
      <c r="B17503" s="1">
        <v>0</v>
      </c>
      <c r="C17503" s="3">
        <v>44543.829004629632</v>
      </c>
      <c r="D17503" s="1" t="s">
        <v>34341</v>
      </c>
      <c r="E17503" s="4" t="str">
        <f ca="1">IFERROR(__xludf.DUMMYFUNCTION("GOOGLETRANSLATE(A306 , ""tr"" , ""en"")"),"RT @esarisaray: @drfahrettinkoca HBYS staff say, we will also say that our deficiency of the staff you don't give it to the staff. Let's love the staff ...")</f>
        <v>RT @esarisaray: @drfahrettinkoca HBYS staff say, we will also say that our deficiency of the staff you don't give it to the staff. Let's love the staff ...</v>
      </c>
    </row>
    <row r="17504" spans="1:5" ht="15" customHeight="1" x14ac:dyDescent="0.25">
      <c r="A17504" s="1" t="s">
        <v>33993</v>
      </c>
      <c r="B17504" s="1">
        <v>0</v>
      </c>
      <c r="C17504" s="3">
        <v>44543.828888888886</v>
      </c>
      <c r="D17504" s="1" t="s">
        <v>34342</v>
      </c>
      <c r="E17504" s="4" t="str">
        <f ca="1">IFERROR(__xludf.DUMMYFUNCTION("GOOGLETRANSLATE(A307 , ""tr"" , ""en"")"),"Rt @kralsizkole: @drfahrettinkoca @drfahrettinkoca @saglikbakanligi Hospital Hospitalized HBBS So Data Processing Staff Subcontracting Law Victim Software Comp ...")</f>
        <v>Rt @kralsizkole: @drfahrettinkoca @drfahrettinkoca @saglikbakanligi Hospital Hospitalized HBBS So Data Processing Staff Subcontracting Law Victim Software Comp ...</v>
      </c>
    </row>
    <row r="17505" spans="1:5" ht="15" customHeight="1" x14ac:dyDescent="0.25">
      <c r="A17505" s="1" t="s">
        <v>34111</v>
      </c>
      <c r="B17505" s="1">
        <v>0</v>
      </c>
      <c r="C17505" s="3">
        <v>44543.828483796293</v>
      </c>
      <c r="D17505" s="1" t="s">
        <v>34343</v>
      </c>
      <c r="E17505" s="4" t="str">
        <f ca="1">IFERROR(__xludf.DUMMYFUNCTION("GOOGLETRANSLATE(A308 , ""tr"" , ""en"")"),"RT @mevltgnydn: @drfahrettinkoca I wonder if the answer vaccine or is the imaginary afflicted with the number of unsaid cases @drfahrettinkoca # t ...")</f>
        <v>RT @mevltgnydn: @drfahrettinkoca I wonder if the answer vaccine or is the imaginary afflicted with the number of unsaid cases @drfahrettinkoca # t ...</v>
      </c>
    </row>
    <row r="17506" spans="1:5" ht="15" customHeight="1" x14ac:dyDescent="0.25">
      <c r="A17506" s="1" t="s">
        <v>34040</v>
      </c>
      <c r="B17506" s="1">
        <v>0</v>
      </c>
      <c r="C17506" s="3">
        <v>44543.828449074077</v>
      </c>
      <c r="D17506" s="1" t="s">
        <v>34344</v>
      </c>
      <c r="E17506" s="4" t="str">
        <f ca="1">IFERROR(__xludf.DUMMYFUNCTION("GOOGLETRANSLATE(A309 , ""tr"" , ""en"")"),"RT @ BURUS999: @drfahrettinkoca they spend that slight hope to have you in between what you say! # Tbmmnethikinonlinelitim")</f>
        <v>RT @ BURUS999: @drfahrettinkoca they spend that slight hope to have you in between what you say! # Tbmmnethikinonlinelitim</v>
      </c>
    </row>
    <row r="17507" spans="1:5" ht="15" customHeight="1" x14ac:dyDescent="0.25">
      <c r="A17507" s="1" t="s">
        <v>34345</v>
      </c>
      <c r="B17507" s="1">
        <v>0</v>
      </c>
      <c r="C17507" s="3">
        <v>44543.828402777777</v>
      </c>
      <c r="D17507" s="1" t="s">
        <v>34346</v>
      </c>
      <c r="E17507" s="4" t="str">
        <f ca="1">IFERROR(__xludf.DUMMYFUNCTION("GOOGLETRANSLATE(A310 , ""tr"" , ""en"")"),"RT @ LALA23111660: @drfahrettinkoca Omicron comes, online training comes, coming closure. 📢")</f>
        <v>RT @ LALA23111660: @drfahrettinkoca Omicron comes, online training comes, coming closure. 📢</v>
      </c>
    </row>
    <row r="17508" spans="1:5" ht="15" customHeight="1" x14ac:dyDescent="0.25">
      <c r="A17508" s="1" t="s">
        <v>34270</v>
      </c>
      <c r="B17508" s="1">
        <v>0</v>
      </c>
      <c r="C17508" s="3">
        <v>44543.828333333331</v>
      </c>
      <c r="D17508" s="1" t="s">
        <v>34347</v>
      </c>
      <c r="E17508" s="4" t="str">
        <f ca="1">IFERROR(__xludf.DUMMYFUNCTION("GOOGLETRANSLATE(A311 , ""tr"" , ""en"")"),"Rt @nedenbilm is: @drfahrettinkoca currently says the vaccine either #tbmm")</f>
        <v>Rt @nedenbilm is: @drfahrettinkoca currently says the vaccine either #tbmm</v>
      </c>
    </row>
    <row r="17509" spans="1:5" ht="15" customHeight="1" x14ac:dyDescent="0.25">
      <c r="A17509" s="1" t="s">
        <v>34150</v>
      </c>
      <c r="B17509" s="1">
        <v>0</v>
      </c>
      <c r="C17509" s="3">
        <v>44543.828310185185</v>
      </c>
      <c r="D17509" s="1" t="s">
        <v>34348</v>
      </c>
      <c r="E17509" s="4" t="str">
        <f ca="1">IFERROR(__xludf.DUMMYFUNCTION("GOOGLETRANSLATE(A312 , ""tr"" , ""en"")"),"RT @Buradayalizma: @drfahrettinka you don't insist on online education. Why? If you also answer this, you'd better Mr. Minister # TBMM ...")</f>
        <v>RT @Buradayalizma: @drfahrettinka you don't insist on online education. Why? If you also answer this, you'd better Mr. Minister # TBMM ...</v>
      </c>
    </row>
    <row r="17510" spans="1:5" ht="15" customHeight="1" x14ac:dyDescent="0.25">
      <c r="A17510" s="1" t="s">
        <v>34349</v>
      </c>
      <c r="B17510" s="1">
        <v>0</v>
      </c>
      <c r="C17510" s="3">
        <v>44543.828287037039</v>
      </c>
      <c r="D17510" s="1" t="s">
        <v>34350</v>
      </c>
      <c r="E17510" s="4" t="str">
        <f ca="1">IFERROR(__xludf.DUMMYFUNCTION("GOOGLETRANSLATE(A313 , ""tr"" , ""en"")"),"Rt @cigdemgursoyyy: @drfahrettinkoca you describe your o ""mistake"", but it is clear, even the treatment of the WHO you agree to request ...")</f>
        <v>Rt @cigdemgursoyyy: @drfahrettinkoca you describe your o "mistake", but it is clear, even the treatment of the WHO you agree to request ...</v>
      </c>
    </row>
    <row r="17511" spans="1:5" ht="15" customHeight="1" x14ac:dyDescent="0.25">
      <c r="A17511" s="1" t="s">
        <v>34336</v>
      </c>
      <c r="B17511" s="1">
        <v>0</v>
      </c>
      <c r="C17511" s="3">
        <v>44543.828217592592</v>
      </c>
      <c r="D17511" s="1" t="s">
        <v>34351</v>
      </c>
      <c r="E17511" s="4" t="str">
        <f ca="1">IFERROR(__xludf.DUMMYFUNCTION("GOOGLETRANSLATE(A314 , ""tr"" , ""en"")"),"RT @ AYYCE57791796: @drfahrettinkoca you finish us at the minister 😁 Why? We want a pardon")</f>
        <v>RT @ AYYCE57791796: @drfahrettinkoca you finish us at the minister 😁 Why? We want a pardon</v>
      </c>
    </row>
    <row r="17512" spans="1:5" ht="15" customHeight="1" x14ac:dyDescent="0.25">
      <c r="A17512" s="1" t="s">
        <v>34352</v>
      </c>
      <c r="B17512" s="1">
        <v>0</v>
      </c>
      <c r="C17512" s="3">
        <v>44543.828206018516</v>
      </c>
      <c r="D17512" s="1" t="s">
        <v>34353</v>
      </c>
      <c r="E17512" s="4" t="str">
        <f ca="1">IFERROR(__xludf.DUMMYFUNCTION("GOOGLETRANSLATE(A315 , ""tr"" , ""en"")"),"RT @ HBYS123456: @drfahrettinkoca HBYS What will be promised. You have separated personnel working in the same unit. X patient ...")</f>
        <v>RT @ HBYS123456: @drfahrettinkoca HBYS What will be promised. You have separated personnel working in the same unit. X patient ...</v>
      </c>
    </row>
    <row r="17513" spans="1:5" ht="15" customHeight="1" x14ac:dyDescent="0.25">
      <c r="A17513" s="1" t="s">
        <v>34354</v>
      </c>
      <c r="B17513" s="1">
        <v>0</v>
      </c>
      <c r="C17513" s="3">
        <v>44543.828090277777</v>
      </c>
      <c r="D17513" s="1" t="s">
        <v>34355</v>
      </c>
      <c r="E17513" s="4" t="str">
        <f ca="1">IFERROR(__xludf.DUMMYFUNCTION("GOOGLETRANSLATE(A316 , ""tr"" , ""en"")"),"Rt @elosh_: @drfahrettinkoca We paid with us What do you forgive what you will forgive how you talk cheeky ... We were the perpendicular of your head ...")</f>
        <v>Rt @elosh_: @drfahrettinkoca We paid with us What do you forgive what you will forgive how you talk cheeky ... We were the perpendicular of your head ...</v>
      </c>
    </row>
    <row r="17514" spans="1:5" ht="15" customHeight="1" x14ac:dyDescent="0.25">
      <c r="A17514" s="1" t="s">
        <v>34356</v>
      </c>
      <c r="B17514" s="1">
        <v>0</v>
      </c>
      <c r="C17514" s="3">
        <v>44543.828009259261</v>
      </c>
      <c r="D17514" s="1" t="s">
        <v>34357</v>
      </c>
      <c r="E17514" s="4" t="str">
        <f ca="1">IFERROR(__xludf.DUMMYFUNCTION("GOOGLETRANSLATE(A317 , ""tr"" , ""en"")"),"RT @FrknTSB: @drfahrettinkoca and @saglikbakanligi have 12 thousand subcontractors. Hundreds of other public institutions ... https://t.co/2bucqas5ox")</f>
        <v>RT @FrknTSB: @drfahrettinkoca and @saglikbakanligi have 12 thousand subcontractors. Hundreds of other public institutions ... https://t.co/2bucqas5ox</v>
      </c>
    </row>
    <row r="17515" spans="1:5" ht="15" customHeight="1" x14ac:dyDescent="0.25">
      <c r="A17515" s="1" t="s">
        <v>34279</v>
      </c>
      <c r="B17515" s="1">
        <v>0</v>
      </c>
      <c r="C17515" s="3">
        <v>44543.827986111108</v>
      </c>
      <c r="D17515" s="1" t="s">
        <v>34358</v>
      </c>
      <c r="E17515" s="4" t="str">
        <f ca="1">IFERROR(__xludf.DUMMYFUNCTION("GOOGLETRANSLATE(A318 , ""tr"" , ""en"")"),"RT @ ARSEL26484113: @drfahrettinkoca Hbys Personnel 4Yild Out Waiting Waiting Waiting Web")</f>
        <v>RT @ ARSEL26484113: @drfahrettinkoca Hbys Personnel 4Yild Out Waiting Waiting Waiting Web</v>
      </c>
    </row>
    <row r="17516" spans="1:5" ht="15" customHeight="1" x14ac:dyDescent="0.25">
      <c r="A17516" s="1" t="s">
        <v>34359</v>
      </c>
      <c r="B17516" s="1">
        <v>0</v>
      </c>
      <c r="C17516" s="3">
        <v>44543.827962962961</v>
      </c>
      <c r="D17516" s="1" t="s">
        <v>34360</v>
      </c>
      <c r="E17516" s="4" t="str">
        <f ca="1">IFERROR(__xludf.DUMMYFUNCTION("GOOGLETRANSLATE(A319 , ""tr"" , ""en"")"),"RT @ EE20356218: @drfahrettinka We are afraid of our children.")</f>
        <v>RT @ EE20356218: @drfahrettinka We are afraid of our children.</v>
      </c>
    </row>
    <row r="17517" spans="1:5" ht="15" customHeight="1" x14ac:dyDescent="0.25">
      <c r="A17517" s="1" t="s">
        <v>34361</v>
      </c>
      <c r="B17517" s="1">
        <v>0</v>
      </c>
      <c r="C17517" s="3">
        <v>44543.827824074076</v>
      </c>
      <c r="D17517" s="1" t="s">
        <v>34362</v>
      </c>
      <c r="E17517" s="4" t="str">
        <f ca="1">IFERROR(__xludf.DUMMYFUNCTION("GOOGLETRANSLATE(A320 , ""tr"" , ""en"")"),"RT @ SerapblBl7: @drfahrettinkoca Neither AFFI, I remit you to Allah. Apologize to the vabic of those who died so? You will be taken care of. Motherist ...")</f>
        <v>RT @ SerapblBl7: @drfahrettinkoca Neither AFFI, I remit you to Allah. Apologize to the vabic of those who died so? You will be taken care of. Motherist ...</v>
      </c>
    </row>
    <row r="17518" spans="1:5" ht="15" customHeight="1" x14ac:dyDescent="0.25">
      <c r="A17518" s="1" t="s">
        <v>34363</v>
      </c>
      <c r="B17518" s="1">
        <v>0</v>
      </c>
      <c r="C17518" s="3">
        <v>44543.827604166669</v>
      </c>
      <c r="D17518" s="1" t="s">
        <v>34364</v>
      </c>
      <c r="E17518" s="4" t="str">
        <f ca="1">IFERROR(__xludf.DUMMYFUNCTION("GOOGLETRANSLATE(A321 , ""tr"" , ""en"")"),"RT @mevltgnydn: @drfahrettinkoca UK status I'm saying over and over again in the middle is a patient before the precaution you said.")</f>
        <v>RT @mevltgnydn: @drfahrettinkoca UK status I'm saying over and over again in the middle is a patient before the precaution you said.</v>
      </c>
    </row>
    <row r="17519" spans="1:5" ht="15" customHeight="1" x14ac:dyDescent="0.25">
      <c r="A17519" s="1" t="s">
        <v>34365</v>
      </c>
      <c r="B17519" s="1">
        <v>0</v>
      </c>
      <c r="C17519" s="3">
        <v>44543.827592592592</v>
      </c>
      <c r="D17519" s="1" t="s">
        <v>34366</v>
      </c>
      <c r="E17519" s="4" t="str">
        <f ca="1">IFERROR(__xludf.DUMMYFUNCTION("GOOGLETRANSLATE(A322 , ""tr"" , ""en"")"),"RT @ Batista0112: @drfahrettinka @vedatbilgn @Jsarieroglu @hakiskonf @turkisconf @ hakantoy06 @by @suyabInecti @kilicdarogluk @ fet")</f>
        <v>RT @ Batista0112: @drfahrettinka @vedatbilgn @Jsarieroglu @hakiskonf @turkisconf @ hakantoy06 @by @suyabInecti @kilicdarogluk @ fet</v>
      </c>
    </row>
    <row r="17520" spans="1:5" ht="15" customHeight="1" x14ac:dyDescent="0.25">
      <c r="A17520" s="1" t="s">
        <v>34367</v>
      </c>
      <c r="B17520" s="1">
        <v>0</v>
      </c>
      <c r="C17520" s="3">
        <v>44543.827476851853</v>
      </c>
      <c r="D17520" s="1" t="s">
        <v>34368</v>
      </c>
      <c r="E17520" s="4" t="str">
        <f ca="1">IFERROR(__xludf.DUMMYFUNCTION("GOOGLETRANSLATE(A323 , ""tr"" , ""en"")"),"RT @ MELOO005: @drfahrettinkoca @vedatbilgn @Jsarieroglu @hakiskonf @turkisconf @ hakantoy06 @by @suyibayi @BY @SuyabIYIFEUR @kilicdarogluk @ convenience")</f>
        <v>RT @ MELOO005: @drfahrettinkoca @vedatbilgn @Jsarieroglu @hakiskonf @turkisconf @ hakantoy06 @by @suyibayi @BY @SuyabIYIFEUR @kilicdarogluk @ convenience</v>
      </c>
    </row>
    <row r="17521" spans="1:5" ht="15" customHeight="1" x14ac:dyDescent="0.25">
      <c r="A17521" s="1" t="s">
        <v>34369</v>
      </c>
      <c r="B17521" s="1">
        <v>0</v>
      </c>
      <c r="C17521" s="3">
        <v>44543.82739583333</v>
      </c>
      <c r="D17521" s="1" t="s">
        <v>34370</v>
      </c>
      <c r="E17521" s="4" t="str">
        <f ca="1">IFERROR(__xludf.DUMMYFUNCTION("GOOGLETRANSLATE(A324 , ""tr"" , ""en"")"),"RT @ bar12366817: @drfahrettinkoca guide is my ignorant if I'm ignored? @halis_aygun @osymbaskanligi @drfahrettinkoca #halisaygunsagligakilavuz")</f>
        <v>RT @ bar12366817: @drfahrettinkoca guide is my ignorant if I'm ignored? @halis_aygun @osymbaskanligi @drfahrettinkoca #halisaygunsagligakilavuz</v>
      </c>
    </row>
    <row r="17522" spans="1:5" ht="15" customHeight="1" x14ac:dyDescent="0.25">
      <c r="A17522" s="1" t="s">
        <v>33923</v>
      </c>
      <c r="B17522" s="1">
        <v>0</v>
      </c>
      <c r="C17522" s="3">
        <v>44543.827268518522</v>
      </c>
      <c r="D17522" s="1" t="s">
        <v>34371</v>
      </c>
      <c r="E17522" s="4" t="str">
        <f ca="1">IFERROR(__xludf.DUMMYFUNCTION("GOOGLETRANSLATE(A325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523" spans="1:5" ht="15" customHeight="1" x14ac:dyDescent="0.25">
      <c r="A17523" s="1" t="s">
        <v>34015</v>
      </c>
      <c r="B17523" s="1">
        <v>0</v>
      </c>
      <c r="C17523" s="3">
        <v>44543.827118055553</v>
      </c>
      <c r="D17523" s="1" t="s">
        <v>34372</v>
      </c>
      <c r="E17523" s="4" t="str">
        <f ca="1">IFERROR(__xludf.DUMMYFUNCTION("GOOGLETRANSLATE(A326 , ""tr"" , ""en"")"),"Rt @hulya_yalvac: @drfahrettinkoca We accept everything SN. You have tried to struggle with an unknown virus. Everything in this world ...")</f>
        <v>Rt @hulya_yalvac: @drfahrettinkoca We accept everything SN. You have tried to struggle with an unknown virus. Everything in this world ...</v>
      </c>
    </row>
    <row r="17524" spans="1:5" ht="15" customHeight="1" x14ac:dyDescent="0.25">
      <c r="A17524" s="1" t="s">
        <v>34373</v>
      </c>
      <c r="B17524" s="1">
        <v>0</v>
      </c>
      <c r="C17524" s="3">
        <v>44543.826956018522</v>
      </c>
      <c r="D17524" s="1" t="s">
        <v>34374</v>
      </c>
      <c r="E17524" s="4" t="str">
        <f ca="1">IFERROR(__xludf.DUMMYFUNCTION("GOOGLETRANSLATE(A327 , ""tr"" , ""en"")"),"Rt @pnarozn: @drfahrettinkoca ""Ayyyyy Pardon Gunde 16 we sent your village of your relatives with 16 grain pills and sciences. Vaccine side effects ...")</f>
        <v>Rt @pnarozn: @drfahrettinkoca "Ayyyyy Pardon Gunde 16 we sent your village of your relatives with 16 grain pills and sciences. Vaccine side effects ...</v>
      </c>
    </row>
    <row r="17525" spans="1:5" ht="15" customHeight="1" x14ac:dyDescent="0.25">
      <c r="A17525" s="1" t="s">
        <v>34184</v>
      </c>
      <c r="B17525" s="1">
        <v>0</v>
      </c>
      <c r="C17525" s="3">
        <v>44543.826273148145</v>
      </c>
      <c r="D17525" s="1" t="s">
        <v>34375</v>
      </c>
      <c r="E17525" s="4" t="str">
        <f ca="1">IFERROR(__xludf.DUMMYFUNCTION("GOOGLETRANSLATE(A328 , ""tr"" , ""en"")"),"RT @ KEMAL7KRDS: @drfahrettinkoca @saglikbakanligi @rterdogan @hayat_hastanesi on 12.12.2021 Bursa Hay ...")</f>
        <v>RT @ KEMAL7KRDS: @drfahrettinkoca @saglikbakanligi @rterdogan @hayat_hastanesi on 12.12.2021 Bursa Hay ...</v>
      </c>
    </row>
    <row r="17526" spans="1:5" ht="15" customHeight="1" x14ac:dyDescent="0.25">
      <c r="A17526" s="1" t="s">
        <v>34376</v>
      </c>
      <c r="B17526" s="1">
        <v>0</v>
      </c>
      <c r="C17526" s="3">
        <v>44543.825659722221</v>
      </c>
      <c r="D17526" s="1" t="s">
        <v>34377</v>
      </c>
      <c r="E17526" s="4" t="str">
        <f ca="1">IFERROR(__xludf.DUMMYFUNCTION("GOOGLETRANSLATE(A329 , ""tr"" , ""en"")"),"RT @atama_ads: If this is the number you are trying to increase the @drfahrettinkoca We have been very curious about the number of Mr. Minister (!) Health History ...")</f>
        <v>RT @atama_ads: If this is the number you are trying to increase the @drfahrettinkoca We have been very curious about the number of Mr. Minister (!) Health History ...</v>
      </c>
    </row>
    <row r="17527" spans="1:5" ht="15" customHeight="1" x14ac:dyDescent="0.25">
      <c r="A17527" s="1" t="s">
        <v>34367</v>
      </c>
      <c r="B17527" s="1">
        <v>0</v>
      </c>
      <c r="C17527" s="3">
        <v>44543.825648148151</v>
      </c>
      <c r="D17527" s="1" t="s">
        <v>34378</v>
      </c>
      <c r="E17527" s="4" t="str">
        <f ca="1">IFERROR(__xludf.DUMMYFUNCTION("GOOGLETRANSLATE(A330 , ""tr"" , ""en"")"),"RT @ MELOO005: @drfahrettinkoca @vedatbilgn @Jsarieroglu @hakiskonf @turkisconf @ hakantoy06 @by @suyibayi @BY @SuyabIYIFEUR @kilicdarogluk @ convenience")</f>
        <v>RT @ MELOO005: @drfahrettinkoca @vedatbilgn @Jsarieroglu @hakiskonf @turkisconf @ hakantoy06 @by @suyibayi @BY @SuyabIYIFEUR @kilicdarogluk @ convenience</v>
      </c>
    </row>
    <row r="17528" spans="1:5" ht="15" customHeight="1" x14ac:dyDescent="0.25">
      <c r="A17528" s="1" t="s">
        <v>34365</v>
      </c>
      <c r="B17528" s="1">
        <v>0</v>
      </c>
      <c r="C17528" s="3">
        <v>44543.825509259259</v>
      </c>
      <c r="D17528" s="1" t="s">
        <v>34379</v>
      </c>
      <c r="E17528" s="4" t="str">
        <f ca="1">IFERROR(__xludf.DUMMYFUNCTION("GOOGLETRANSLATE(A331 , ""tr"" , ""en"")"),"RT @ Batista0112: @drfahrettinka @vedatbilgn @Jsarieroglu @hakiskonf @turkisconf @ hakantoy06 @by @suyabInecti @kilicdarogluk @ fet")</f>
        <v>RT @ Batista0112: @drfahrettinka @vedatbilgn @Jsarieroglu @hakiskonf @turkisconf @ hakantoy06 @by @suyabInecti @kilicdarogluk @ fet</v>
      </c>
    </row>
    <row r="17529" spans="1:5" ht="15" customHeight="1" x14ac:dyDescent="0.25">
      <c r="A17529" s="1" t="s">
        <v>33923</v>
      </c>
      <c r="B17529" s="1">
        <v>0</v>
      </c>
      <c r="C17529" s="3">
        <v>44543.825335648151</v>
      </c>
      <c r="D17529" s="1" t="s">
        <v>34380</v>
      </c>
      <c r="E17529" s="4" t="str">
        <f ca="1">IFERROR(__xludf.DUMMYFUNCTION("GOOGLETRANSLATE(A332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530" spans="1:5" ht="15" customHeight="1" x14ac:dyDescent="0.25">
      <c r="A17530" s="1" t="s">
        <v>33923</v>
      </c>
      <c r="B17530" s="1">
        <v>0</v>
      </c>
      <c r="C17530" s="3">
        <v>44543.825312499997</v>
      </c>
      <c r="D17530" s="1" t="s">
        <v>34381</v>
      </c>
      <c r="E17530" s="4" t="str">
        <f ca="1">IFERROR(__xludf.DUMMYFUNCTION("GOOGLETRANSLATE(A333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531" spans="1:5" ht="15" customHeight="1" x14ac:dyDescent="0.25">
      <c r="A17531" s="1" t="s">
        <v>33943</v>
      </c>
      <c r="B17531" s="1">
        <v>0</v>
      </c>
      <c r="C17531" s="3">
        <v>44543.825300925928</v>
      </c>
      <c r="D17531" s="1" t="s">
        <v>34382</v>
      </c>
      <c r="E17531" s="4" t="str">
        <f ca="1">IFERROR(__xludf.DUMMYFUNCTION("GOOGLETRANSLATE(A334 , ""tr"" , ""en"")"),"RT @beytader: @drfahrettinkoca masallah 🧿🧿🧿🧿 Elhamdulillah 🤲🤲🤲🤲🤲🤲 either Safi")</f>
        <v>RT @beytader: @drfahrettinkoca masallah 🧿🧿🧿🧿 Elhamdulillah 🤲🤲🤲🤲🤲🤲 either Safi</v>
      </c>
    </row>
    <row r="17532" spans="1:5" ht="15" customHeight="1" x14ac:dyDescent="0.25">
      <c r="A17532" s="1" t="s">
        <v>34383</v>
      </c>
      <c r="B17532" s="1">
        <v>0</v>
      </c>
      <c r="C17532" s="3">
        <v>44543.825196759259</v>
      </c>
      <c r="D17532" s="1" t="s">
        <v>34384</v>
      </c>
      <c r="E17532" s="4" t="str">
        <f ca="1">IFERROR(__xludf.DUMMYFUNCTION("GOOGLETRANSLATE(A335 , ""tr"" , ""en"")"),"RT @X___Rayy: @drfahrettinkoca You have not departed with your compilation, avoided hand-paw DIVan stood with WHO and pockets ...")</f>
        <v>RT @X___Rayy: @drfahrettinkoca You have not departed with your compilation, avoided hand-paw DIVan stood with WHO and pockets ...</v>
      </c>
    </row>
    <row r="17533" spans="1:5" ht="15" customHeight="1" x14ac:dyDescent="0.25">
      <c r="A17533" s="1" t="s">
        <v>33923</v>
      </c>
      <c r="B17533" s="1">
        <v>0</v>
      </c>
      <c r="C17533" s="3">
        <v>44543.825069444443</v>
      </c>
      <c r="D17533" s="1" t="s">
        <v>34385</v>
      </c>
      <c r="E17533" s="4" t="str">
        <f ca="1">IFERROR(__xludf.DUMMYFUNCTION("GOOGLETRANSLATE(A336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534" spans="1:5" ht="15" customHeight="1" x14ac:dyDescent="0.25">
      <c r="A17534" s="1" t="s">
        <v>33993</v>
      </c>
      <c r="B17534" s="1">
        <v>0</v>
      </c>
      <c r="C17534" s="3">
        <v>44543.824270833335</v>
      </c>
      <c r="D17534" s="1" t="s">
        <v>34386</v>
      </c>
      <c r="E17534" s="4" t="str">
        <f ca="1">IFERROR(__xludf.DUMMYFUNCTION("GOOGLETRANSLATE(A337 , ""tr"" , ""en"")"),"Rt @kralsizkole: @drfahrettinkoca @drfahrettinkoca @saglikbakanligi Hospital Hospitalized HBBS So Data Processing Staff Subcontracting Law Victim Software Comp ...")</f>
        <v>Rt @kralsizkole: @drfahrettinkoca @drfahrettinkoca @saglikbakanligi Hospital Hospitalized HBBS So Data Processing Staff Subcontracting Law Victim Software Comp ...</v>
      </c>
    </row>
    <row r="17535" spans="1:5" ht="15" customHeight="1" x14ac:dyDescent="0.25">
      <c r="A17535" s="1" t="s">
        <v>33991</v>
      </c>
      <c r="B17535" s="1">
        <v>0</v>
      </c>
      <c r="C17535" s="3">
        <v>44543.824050925927</v>
      </c>
      <c r="D17535" s="1" t="s">
        <v>34387</v>
      </c>
      <c r="E17535" s="4" t="str">
        <f ca="1">IFERROR(__xludf.DUMMYFUNCTION("GOOGLETRANSLATE(A338 , ""tr"" , ""en"")"),"RT @Ebruzeybon: Why is @drfahrettinkoca why is it like this ... Why are children not protected? # Tbmmnethikinonlinelitim")</f>
        <v>RT @Ebruzeybon: Why is @drfahrettinkoca why is it like this ... Why are children not protected? # Tbmmnethikinonlinelitim</v>
      </c>
    </row>
    <row r="17536" spans="1:5" ht="15" customHeight="1" x14ac:dyDescent="0.25">
      <c r="A17536" s="1" t="s">
        <v>34388</v>
      </c>
      <c r="B17536" s="1">
        <v>0</v>
      </c>
      <c r="C17536" s="3">
        <v>44543.82402777778</v>
      </c>
      <c r="D17536" s="1" t="s">
        <v>34389</v>
      </c>
      <c r="E17536" s="4" t="str">
        <f ca="1">IFERROR(__xludf.DUMMYFUNCTION("GOOGLETRANSLATE(A339 , ""tr"" , ""en"")"),"RT @Ozeroznuurr: @drfahrettinka Don't think you don't believe in dietitians and many more professionals with high scores @drfahrettinkca")</f>
        <v>RT @Ozeroznuurr: @drfahrettinka Don't think you don't believe in dietitians and many more professionals with high scores @drfahrettinkca</v>
      </c>
    </row>
    <row r="17537" spans="1:5" ht="15" customHeight="1" x14ac:dyDescent="0.25">
      <c r="A17537" s="1" t="s">
        <v>34143</v>
      </c>
      <c r="B17537" s="1">
        <v>0</v>
      </c>
      <c r="C17537" s="3">
        <v>44543.82371527778</v>
      </c>
      <c r="D17537" s="1" t="s">
        <v>34390</v>
      </c>
      <c r="E17537" s="4" t="str">
        <f ca="1">IFERROR(__xludf.DUMMYFUNCTION("GOOGLETRANSLATE(A340 , ""tr"" , ""en"")"),"RT @ishakbabat: @drfahrettinkoca You didn't see the health management graduates in these purchases @Drrecepakdag @Drrecepakdag @gozdeirisciogl @ saglikba ...")</f>
        <v>RT @ishakbabat: @drfahrettinkoca You didn't see the health management graduates in these purchases @Drrecepakdag @Drrecepakdag @gozdeirisciogl @ saglikba ...</v>
      </c>
    </row>
    <row r="17538" spans="1:5" ht="15" customHeight="1" x14ac:dyDescent="0.25">
      <c r="A17538" s="1" t="s">
        <v>34391</v>
      </c>
      <c r="B17538" s="1">
        <v>0</v>
      </c>
      <c r="C17538" s="3">
        <v>44543.823680555557</v>
      </c>
      <c r="D17538" s="1" t="s">
        <v>34392</v>
      </c>
      <c r="E17538" s="4" t="str">
        <f ca="1">IFERROR(__xludf.DUMMYFUNCTION("GOOGLETRANSLATE(A341 , ""tr"" , ""en"")"),"RT @altaymalik: @drfahrettinkoca When will be given the right to health management graduates")</f>
        <v>RT @altaymalik: @drfahrettinkoca When will be given the right to health management graduates</v>
      </c>
    </row>
    <row r="17539" spans="1:5" ht="15" customHeight="1" x14ac:dyDescent="0.25">
      <c r="A17539" s="1" t="s">
        <v>34393</v>
      </c>
      <c r="B17539" s="1">
        <v>0</v>
      </c>
      <c r="C17539" s="3">
        <v>44543.823541666665</v>
      </c>
      <c r="D17539" s="1" t="s">
        <v>34394</v>
      </c>
      <c r="E17539" s="4" t="str">
        <f ca="1">IFERROR(__xludf.DUMMYFUNCTION("GOOGLETRANSLATE(A342 , ""tr"" , ""en"")"),"RT @ ayse50916517: @drfahrettinkoca where is the health management where justice? Let the pity @rterdogan @drfahrettinkoca")</f>
        <v>RT @ ayse50916517: @drfahrettinkoca where is the health management where justice? Let the pity @rterdogan @drfahrettinkoca</v>
      </c>
    </row>
    <row r="17540" spans="1:5" ht="15" customHeight="1" x14ac:dyDescent="0.25">
      <c r="A17540" s="1" t="s">
        <v>33882</v>
      </c>
      <c r="B17540" s="1">
        <v>0</v>
      </c>
      <c r="C17540" s="3">
        <v>44543.823391203703</v>
      </c>
      <c r="D17540" s="1" t="s">
        <v>34395</v>
      </c>
      <c r="E17540" s="4" t="str">
        <f ca="1">IFERROR(__xludf.DUMMYFUNCTION("GOOGLETRANSLATE(A343 , ""tr"" , ""en"")"),"Rt @lartutunamayan: @drfahrettinkoca is not this intention? https://t.co/ehzvlainhc")</f>
        <v>Rt @lartutunamayan: @drfahrettinkoca is not this intention? https://t.co/ehzvlainhc</v>
      </c>
    </row>
    <row r="17541" spans="1:5" ht="15" customHeight="1" x14ac:dyDescent="0.25">
      <c r="A17541" s="1" t="s">
        <v>33991</v>
      </c>
      <c r="B17541" s="1">
        <v>0</v>
      </c>
      <c r="C17541" s="3">
        <v>44543.823217592595</v>
      </c>
      <c r="D17541" s="1" t="s">
        <v>34396</v>
      </c>
      <c r="E17541" s="4" t="str">
        <f ca="1">IFERROR(__xludf.DUMMYFUNCTION("GOOGLETRANSLATE(A344 , ""tr"" , ""en"")"),"RT @Ebruzeybon: Why is @drfahrettinkoca why is it like this ... Why are children not protected? # Tbmmnethikinonlinelitim")</f>
        <v>RT @Ebruzeybon: Why is @drfahrettinkoca why is it like this ... Why are children not protected? # Tbmmnethikinonlinelitim</v>
      </c>
    </row>
    <row r="17542" spans="1:5" ht="15" customHeight="1" x14ac:dyDescent="0.25">
      <c r="A17542" s="1" t="s">
        <v>33916</v>
      </c>
      <c r="B17542" s="1">
        <v>0</v>
      </c>
      <c r="C17542" s="3">
        <v>44543.822997685187</v>
      </c>
      <c r="D17542" s="1" t="s">
        <v>34397</v>
      </c>
      <c r="E17542" s="4" t="str">
        <f ca="1">IFERROR(__xludf.DUMMYFUNCTION("GOOGLETRANSLATE(A345 , ""tr"" , ""en"")"),"RT @ dr_uyssal18: @drfahrettinkoca sec Minister, professional training in the field of health, our state of health management graduates give the staff ...")</f>
        <v>RT @ dr_uyssal18: @drfahrettinkoca sec Minister, professional training in the field of health, our state of health management graduates give the staff ...</v>
      </c>
    </row>
    <row r="17543" spans="1:5" ht="15" customHeight="1" x14ac:dyDescent="0.25">
      <c r="A17543" s="1" t="s">
        <v>33916</v>
      </c>
      <c r="B17543" s="1">
        <v>0</v>
      </c>
      <c r="C17543" s="3">
        <v>44543.822847222225</v>
      </c>
      <c r="D17543" s="1" t="s">
        <v>34398</v>
      </c>
      <c r="E17543" s="4" t="str">
        <f ca="1">IFERROR(__xludf.DUMMYFUNCTION("GOOGLETRANSLATE(A346 , ""tr"" , ""en"")"),"RT @ dr_uyssal18: @drfahrettinkoca sec Minister, professional training in the field of health, our state of health management graduates give the staff ...")</f>
        <v>RT @ dr_uyssal18: @drfahrettinkoca sec Minister, professional training in the field of health, our state of health management graduates give the staff ...</v>
      </c>
    </row>
    <row r="17544" spans="1:5" ht="15" customHeight="1" x14ac:dyDescent="0.25">
      <c r="A17544" s="1" t="s">
        <v>34007</v>
      </c>
      <c r="B17544" s="1">
        <v>0</v>
      </c>
      <c r="C17544" s="3">
        <v>44543.822488425925</v>
      </c>
      <c r="D17544" s="1" t="s">
        <v>34399</v>
      </c>
      <c r="E17544" s="4" t="str">
        <f ca="1">IFERROR(__xludf.DUMMYFUNCTION("GOOGLETRANSLATE(A347 , ""tr"" , ""en"")"),"RT @esarisaray: @drfahrettinkoca HBYS staff say, we will also say that our deficiency of the staff you don't give it to the staff. Let's love the staff ...")</f>
        <v>RT @esarisaray: @drfahrettinkoca HBYS staff say, we will also say that our deficiency of the staff you don't give it to the staff. Let's love the staff ...</v>
      </c>
    </row>
    <row r="17545" spans="1:5" ht="15" customHeight="1" x14ac:dyDescent="0.25">
      <c r="A17545" s="1" t="s">
        <v>34329</v>
      </c>
      <c r="B17545" s="1">
        <v>0</v>
      </c>
      <c r="C17545" s="3">
        <v>44543.822245370371</v>
      </c>
      <c r="D17545" s="1" t="s">
        <v>34400</v>
      </c>
      <c r="E17545" s="4" t="str">
        <f ca="1">IFERROR(__xludf.DUMMYFUNCTION("GOOGLETRANSLATE(A348 , ""tr"" , ""en"")"),"RT @huseyinhbys: @drfahrettinka Mr. Minister, working in hospitals, we are working on HABS - Computing employees, including continuous workers' staff ...")</f>
        <v>RT @huseyinhbys: @drfahrettinka Mr. Minister, working in hospitals, we are working on HABS - Computing employees, including continuous workers' staff ...</v>
      </c>
    </row>
    <row r="17546" spans="1:5" ht="15" customHeight="1" x14ac:dyDescent="0.25">
      <c r="A17546" s="1" t="s">
        <v>34401</v>
      </c>
      <c r="B17546" s="1">
        <v>0</v>
      </c>
      <c r="C17546" s="3">
        <v>44543.822199074071</v>
      </c>
      <c r="D17546" s="1" t="s">
        <v>34402</v>
      </c>
      <c r="E17546" s="4" t="str">
        <f ca="1">IFERROR(__xludf.DUMMYFUNCTION("GOOGLETRANSLATE(A349 , ""tr"" , ""en"")"),"RT @Eypmng: @drfahrettinkoca Come on Bride Let's query this together Why is it in the #istevelopment?")</f>
        <v>RT @Eypmng: @drfahrettinkoca Come on Bride Let's query this together Why is it in the #istevelopment?</v>
      </c>
    </row>
    <row r="17547" spans="1:5" ht="15" customHeight="1" x14ac:dyDescent="0.25">
      <c r="A17547" s="1" t="s">
        <v>34184</v>
      </c>
      <c r="B17547" s="1">
        <v>0</v>
      </c>
      <c r="C17547" s="3">
        <v>44543.821666666663</v>
      </c>
      <c r="D17547" s="1" t="s">
        <v>34403</v>
      </c>
      <c r="E17547" s="4" t="str">
        <f ca="1">IFERROR(__xludf.DUMMYFUNCTION("GOOGLETRANSLATE(A350 , ""tr"" , ""en"")"),"RT @ KEMAL7KRDS: @drfahrettinkoca @saglikbakanligi @rterdogan @hayat_hastanesi on 12.12.2021 Bursa Hay ...")</f>
        <v>RT @ KEMAL7KRDS: @drfahrettinkoca @saglikbakanligi @rterdogan @hayat_hastanesi on 12.12.2021 Bursa Hay ...</v>
      </c>
    </row>
    <row r="17548" spans="1:5" ht="15" customHeight="1" x14ac:dyDescent="0.25">
      <c r="A17548" s="1" t="s">
        <v>34404</v>
      </c>
      <c r="B17548" s="1">
        <v>0</v>
      </c>
      <c r="C17548" s="3">
        <v>44543.82068287037</v>
      </c>
      <c r="D17548" s="1" t="s">
        <v>34405</v>
      </c>
      <c r="E17548" s="4" t="str">
        <f ca="1">IFERROR(__xludf.DUMMYFUNCTION("GOOGLETRANSLATE(A351 , ""tr"" , ""en"")"),"RT @ 182Alperen1905: We said @drfahrettinkoca timely that you will wish for a pardon. But we said we were also a dry disability ...")</f>
        <v>RT @ 182Alperen1905: We said @drfahrettinkoca timely that you will wish for a pardon. But we said we were also a dry disability ...</v>
      </c>
    </row>
    <row r="17549" spans="1:5" ht="15" customHeight="1" x14ac:dyDescent="0.25">
      <c r="A17549" s="1" t="s">
        <v>34406</v>
      </c>
      <c r="B17549" s="1">
        <v>0</v>
      </c>
      <c r="C17549" s="3">
        <v>44543.820543981485</v>
      </c>
      <c r="D17549" s="1" t="s">
        <v>34407</v>
      </c>
      <c r="E17549" s="4" t="str">
        <f ca="1">IFERROR(__xludf.DUMMYFUNCTION("GOOGLETRANSLATE(A352 , ""tr"" , ""en"")"),"RT @endrumanson: @drfahrettinkoca What is not going to be a pardon in the world in this world. First then install Favipiravir after hydroxycrookin ...")</f>
        <v>RT @endrumanson: @drfahrettinkoca What is not going to be a pardon in the world in this world. First then install Favipiravir after hydroxycrookin ...</v>
      </c>
    </row>
    <row r="17550" spans="1:5" ht="15" customHeight="1" x14ac:dyDescent="0.25">
      <c r="A17550" s="1" t="s">
        <v>33923</v>
      </c>
      <c r="B17550" s="1">
        <v>0</v>
      </c>
      <c r="C17550" s="3">
        <v>44543.820520833331</v>
      </c>
      <c r="D17550" s="1" t="s">
        <v>34408</v>
      </c>
      <c r="E17550" s="4" t="str">
        <f ca="1">IFERROR(__xludf.DUMMYFUNCTION("GOOGLETRANSLATE(A353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551" spans="1:5" ht="15" customHeight="1" x14ac:dyDescent="0.25">
      <c r="A17551" s="1" t="s">
        <v>33923</v>
      </c>
      <c r="B17551" s="1">
        <v>0</v>
      </c>
      <c r="C17551" s="3">
        <v>44543.8200462963</v>
      </c>
      <c r="D17551" s="1" t="s">
        <v>34409</v>
      </c>
      <c r="E17551" s="4" t="str">
        <f ca="1">IFERROR(__xludf.DUMMYFUNCTION("GOOGLETRANSLATE(A354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552" spans="1:5" ht="15" customHeight="1" x14ac:dyDescent="0.25">
      <c r="A17552" s="1" t="s">
        <v>33923</v>
      </c>
      <c r="B17552" s="1">
        <v>0</v>
      </c>
      <c r="C17552" s="3">
        <v>44543.819849537038</v>
      </c>
      <c r="D17552" s="1" t="s">
        <v>34410</v>
      </c>
      <c r="E17552" s="4" t="str">
        <f ca="1">IFERROR(__xludf.DUMMYFUNCTION("GOOGLETRANSLATE(A355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553" spans="1:5" ht="15" customHeight="1" x14ac:dyDescent="0.25">
      <c r="A17553" s="1" t="s">
        <v>33923</v>
      </c>
      <c r="B17553" s="1">
        <v>0</v>
      </c>
      <c r="C17553" s="3">
        <v>44543.819305555553</v>
      </c>
      <c r="D17553" s="1" t="s">
        <v>34411</v>
      </c>
      <c r="E17553" s="4" t="str">
        <f ca="1">IFERROR(__xludf.DUMMYFUNCTION("GOOGLETRANSLATE(A356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554" spans="1:5" ht="15" customHeight="1" x14ac:dyDescent="0.25">
      <c r="A17554" s="1" t="s">
        <v>33991</v>
      </c>
      <c r="B17554" s="1">
        <v>0</v>
      </c>
      <c r="C17554" s="3">
        <v>44543.819224537037</v>
      </c>
      <c r="D17554" s="1" t="s">
        <v>34412</v>
      </c>
      <c r="E17554" s="4" t="str">
        <f ca="1">IFERROR(__xludf.DUMMYFUNCTION("GOOGLETRANSLATE(A357 , ""tr"" , ""en"")"),"RT @Ebruzeybon: Why is @drfahrettinkoca why is it like this ... Why are children not protected? # Tbmmnethikinonlinelitim")</f>
        <v>RT @Ebruzeybon: Why is @drfahrettinkoca why is it like this ... Why are children not protected? # Tbmmnethikinonlinelitim</v>
      </c>
    </row>
    <row r="17555" spans="1:5" ht="15" customHeight="1" x14ac:dyDescent="0.25">
      <c r="A17555" s="1" t="s">
        <v>34413</v>
      </c>
      <c r="B17555" s="1">
        <v>0</v>
      </c>
      <c r="C17555" s="3">
        <v>44543.81894675926</v>
      </c>
      <c r="D17555" s="1" t="s">
        <v>34414</v>
      </c>
      <c r="E17555" s="4" t="str">
        <f ca="1">IFERROR(__xludf.DUMMYFUNCTION("GOOGLETRANSLATE(A358 , ""tr"" , ""en"")"),"@drfahrettinkca is a lie Olmus https://t.co/hu21maezfj")</f>
        <v>@drfahrettinkca is a lie Olmus https://t.co/hu21maezfj</v>
      </c>
    </row>
    <row r="17556" spans="1:5" ht="15" customHeight="1" x14ac:dyDescent="0.25">
      <c r="A17556" s="1" t="s">
        <v>34415</v>
      </c>
      <c r="B17556" s="1">
        <v>2</v>
      </c>
      <c r="C17556" s="3">
        <v>44543.818599537037</v>
      </c>
      <c r="D17556" s="1" t="s">
        <v>34416</v>
      </c>
      <c r="E17556" s="4" t="str">
        <f ca="1">IFERROR(__xludf.DUMMYFUNCTION("GOOGLETRANSLATE(A359 , ""tr"" , ""en"")"),"@drfahrettinkoca technicians even bigger bigger license partitions physiotherapist, psychologist, dietician uf ... https://t.co/ocfjrzcjav")</f>
        <v>@drfahrettinkoca technicians even bigger bigger license partitions physiotherapist, psychologist, dietician uf ... https://t.co/ocfjrzcjav</v>
      </c>
    </row>
    <row r="17557" spans="1:5" ht="15" customHeight="1" x14ac:dyDescent="0.25">
      <c r="A17557" s="1" t="s">
        <v>33923</v>
      </c>
      <c r="B17557" s="1">
        <v>0</v>
      </c>
      <c r="C17557" s="3">
        <v>44543.818020833336</v>
      </c>
      <c r="D17557" s="1" t="s">
        <v>34417</v>
      </c>
      <c r="E17557" s="4" t="str">
        <f ca="1">IFERROR(__xludf.DUMMYFUNCTION("GOOGLETRANSLATE(A360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558" spans="1:5" ht="15" customHeight="1" x14ac:dyDescent="0.25">
      <c r="A17558" s="1" t="s">
        <v>34345</v>
      </c>
      <c r="B17558" s="1">
        <v>0</v>
      </c>
      <c r="C17558" s="3">
        <v>44543.817847222221</v>
      </c>
      <c r="D17558" s="1" t="s">
        <v>34418</v>
      </c>
      <c r="E17558" s="4" t="str">
        <f ca="1">IFERROR(__xludf.DUMMYFUNCTION("GOOGLETRANSLATE(A361 , ""tr"" , ""en"")"),"RT @ LALA23111660: @drfahrettinkoca Omicron comes, online training comes, coming closure. 📢")</f>
        <v>RT @ LALA23111660: @drfahrettinkoca Omicron comes, online training comes, coming closure. 📢</v>
      </c>
    </row>
    <row r="17559" spans="1:5" ht="15" customHeight="1" x14ac:dyDescent="0.25">
      <c r="A17559" s="1" t="s">
        <v>33923</v>
      </c>
      <c r="B17559" s="1">
        <v>0</v>
      </c>
      <c r="C17559" s="3">
        <v>44543.817743055559</v>
      </c>
      <c r="D17559" s="1" t="s">
        <v>34419</v>
      </c>
      <c r="E17559" s="4" t="str">
        <f ca="1">IFERROR(__xludf.DUMMYFUNCTION("GOOGLETRANSLATE(A362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560" spans="1:5" ht="15" customHeight="1" x14ac:dyDescent="0.25">
      <c r="A17560" s="1" t="s">
        <v>34040</v>
      </c>
      <c r="B17560" s="1">
        <v>0</v>
      </c>
      <c r="C17560" s="3">
        <v>44543.817627314813</v>
      </c>
      <c r="D17560" s="1" t="s">
        <v>34420</v>
      </c>
      <c r="E17560" s="4" t="str">
        <f ca="1">IFERROR(__xludf.DUMMYFUNCTION("GOOGLETRANSLATE(A363 , ""tr"" , ""en"")"),"RT @ BURUS999: @drfahrettinkoca they spend that slight hope to have you in between what you say! # Tbmmnethikinonlinelitim")</f>
        <v>RT @ BURUS999: @drfahrettinkoca they spend that slight hope to have you in between what you say! # Tbmmnethikinonlinelitim</v>
      </c>
    </row>
    <row r="17561" spans="1:5" ht="15" customHeight="1" x14ac:dyDescent="0.25">
      <c r="A17561" s="1" t="s">
        <v>34388</v>
      </c>
      <c r="B17561" s="1">
        <v>0</v>
      </c>
      <c r="C17561" s="3">
        <v>44543.817511574074</v>
      </c>
      <c r="D17561" s="1" t="s">
        <v>34421</v>
      </c>
      <c r="E17561" s="4" t="str">
        <f ca="1">IFERROR(__xludf.DUMMYFUNCTION("GOOGLETRANSLATE(A364 , ""tr"" , ""en"")"),"RT @Ozeroznuurr: @drfahrettinka Don't think you don't believe in dietitians and many more professionals with high scores @drfahrettinkca")</f>
        <v>RT @Ozeroznuurr: @drfahrettinka Don't think you don't believe in dietitians and many more professionals with high scores @drfahrettinkca</v>
      </c>
    </row>
    <row r="17562" spans="1:5" ht="15" customHeight="1" x14ac:dyDescent="0.25">
      <c r="A17562" s="1" t="s">
        <v>33923</v>
      </c>
      <c r="B17562" s="1">
        <v>0</v>
      </c>
      <c r="C17562" s="3">
        <v>44543.817175925928</v>
      </c>
      <c r="D17562" s="1" t="s">
        <v>34422</v>
      </c>
      <c r="E17562" s="4" t="str">
        <f ca="1">IFERROR(__xludf.DUMMYFUNCTION("GOOGLETRANSLATE(A365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563" spans="1:5" ht="15" customHeight="1" x14ac:dyDescent="0.25">
      <c r="A17563" s="1" t="s">
        <v>34423</v>
      </c>
      <c r="B17563" s="1">
        <v>0</v>
      </c>
      <c r="C17563" s="3">
        <v>44543.817013888889</v>
      </c>
      <c r="D17563" s="1" t="s">
        <v>34424</v>
      </c>
      <c r="E17563" s="4" t="str">
        <f ca="1">IFERROR(__xludf.DUMMYFUNCTION("GOOGLETRANSLATE(A366 , ""tr"" , ""en"")"),"@drfahrettinkoca Nevertheless use I have never been used to avail still I know how I came to this day ... https://t.co/feuaaye3dd")</f>
        <v>@drfahrettinkoca Nevertheless use I have never been used to avail still I know how I came to this day ... https://t.co/feuaaye3dd</v>
      </c>
    </row>
    <row r="17564" spans="1:5" ht="15" customHeight="1" x14ac:dyDescent="0.25">
      <c r="A17564" s="1" t="s">
        <v>34169</v>
      </c>
      <c r="B17564" s="1">
        <v>0</v>
      </c>
      <c r="C17564" s="3">
        <v>44543.816979166666</v>
      </c>
      <c r="D17564" s="1" t="s">
        <v>34425</v>
      </c>
      <c r="E17564" s="4" t="str">
        <f ca="1">IFERROR(__xludf.DUMMYFUNCTION("GOOGLETRANSLATE(A367 , ""tr"" , ""en"")"),"RT @kostenceseyfi: @drfahrettinkoca #hbys 696khkda excluded information personnel working with a tender 4D Exclusion of Continental Cadross ...")</f>
        <v>RT @kostenceseyfi: @drfahrettinkoca #hbys 696khkda excluded information personnel working with a tender 4D Exclusion of Continental Cadross ...</v>
      </c>
    </row>
    <row r="17565" spans="1:5" ht="15" customHeight="1" x14ac:dyDescent="0.25">
      <c r="A17565" s="1" t="s">
        <v>34367</v>
      </c>
      <c r="B17565" s="1">
        <v>0</v>
      </c>
      <c r="C17565" s="3">
        <v>44543.816736111112</v>
      </c>
      <c r="D17565" s="1" t="s">
        <v>34426</v>
      </c>
      <c r="E17565" s="4" t="str">
        <f ca="1">IFERROR(__xludf.DUMMYFUNCTION("GOOGLETRANSLATE(A368 , ""tr"" , ""en"")"),"RT @ MELOO005: @drfahrettinkoca @vedatbilgn @Jsarieroglu @hakiskonf @turkisconf @ hakantoy06 @by @suyibayi @BY @SuyabIYIFEUR @kilicdarogluk @ convenience")</f>
        <v>RT @ MELOO005: @drfahrettinkoca @vedatbilgn @Jsarieroglu @hakiskonf @turkisconf @ hakantoy06 @by @suyibayi @BY @SuyabIYIFEUR @kilicdarogluk @ convenience</v>
      </c>
    </row>
    <row r="17566" spans="1:5" ht="15" customHeight="1" x14ac:dyDescent="0.25">
      <c r="A17566" s="1" t="s">
        <v>34329</v>
      </c>
      <c r="B17566" s="1">
        <v>0</v>
      </c>
      <c r="C17566" s="3">
        <v>44543.816041666665</v>
      </c>
      <c r="D17566" s="1" t="s">
        <v>34427</v>
      </c>
      <c r="E17566" s="4" t="str">
        <f ca="1">IFERROR(__xludf.DUMMYFUNCTION("GOOGLETRANSLATE(A369 , ""tr"" , ""en"")"),"RT @huseyinhbys: @drfahrettinka Mr. Minister, working in hospitals, we are working on HABS - Computing employees, including continuous workers' staff ...")</f>
        <v>RT @huseyinhbys: @drfahrettinka Mr. Minister, working in hospitals, we are working on HABS - Computing employees, including continuous workers' staff ...</v>
      </c>
    </row>
    <row r="17567" spans="1:5" ht="15" customHeight="1" x14ac:dyDescent="0.25">
      <c r="A17567" s="1" t="s">
        <v>34428</v>
      </c>
      <c r="B17567" s="1">
        <v>0</v>
      </c>
      <c r="C17567" s="3">
        <v>44543.815983796296</v>
      </c>
      <c r="D17567" s="1" t="s">
        <v>34429</v>
      </c>
      <c r="E17567" s="4" t="str">
        <f ca="1">IFERROR(__xludf.DUMMYFUNCTION("GOOGLETRANSLATE(A370 , ""tr"" , ""en"")"),"Rt @ hakanozturk08: @drfahrettinka https://t.co/b4n1kkof7x")</f>
        <v>Rt @ hakanozturk08: @drfahrettinka https://t.co/b4n1kkof7x</v>
      </c>
    </row>
    <row r="17568" spans="1:5" ht="15" customHeight="1" x14ac:dyDescent="0.25">
      <c r="A17568" s="1" t="s">
        <v>34430</v>
      </c>
      <c r="B17568" s="1">
        <v>0</v>
      </c>
      <c r="C17568" s="3">
        <v>44543.815821759257</v>
      </c>
      <c r="D17568" s="1" t="s">
        <v>34431</v>
      </c>
      <c r="E17568" s="4" t="str">
        <f ca="1">IFERROR(__xludf.DUMMYFUNCTION("GOOGLETRANSLATE(A371 , ""tr"" , ""en"")"),"Rt @hbys_platformu: @drfahrettinkoca #hbys Locate in your descriptions to the personnel staff in the tender. Make in our description. ...")</f>
        <v>Rt @hbys_platformu: @drfahrettinkoca #hbys Locate in your descriptions to the personnel staff in the tender. Make in our description. ...</v>
      </c>
    </row>
    <row r="17569" spans="1:5" ht="15" customHeight="1" x14ac:dyDescent="0.25">
      <c r="A17569" s="1" t="s">
        <v>33923</v>
      </c>
      <c r="B17569" s="1">
        <v>0</v>
      </c>
      <c r="C17569" s="3">
        <v>44543.815740740742</v>
      </c>
      <c r="D17569" s="1" t="s">
        <v>34432</v>
      </c>
      <c r="E17569" s="4" t="str">
        <f ca="1">IFERROR(__xludf.DUMMYFUNCTION("GOOGLETRANSLATE(A372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570" spans="1:5" ht="15" customHeight="1" x14ac:dyDescent="0.25">
      <c r="A17570" s="1" t="s">
        <v>33923</v>
      </c>
      <c r="B17570" s="1">
        <v>0</v>
      </c>
      <c r="C17570" s="3">
        <v>44543.815682870372</v>
      </c>
      <c r="D17570" s="1" t="s">
        <v>34433</v>
      </c>
      <c r="E17570" s="4" t="str">
        <f ca="1">IFERROR(__xludf.DUMMYFUNCTION("GOOGLETRANSLATE(A373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571" spans="1:5" ht="15" customHeight="1" x14ac:dyDescent="0.25">
      <c r="A17571" s="1" t="s">
        <v>34434</v>
      </c>
      <c r="B17571" s="1">
        <v>0</v>
      </c>
      <c r="C17571" s="3">
        <v>44543.815509259257</v>
      </c>
      <c r="D17571" s="1" t="s">
        <v>34435</v>
      </c>
      <c r="E17571" s="4" t="str">
        <f ca="1">IFERROR(__xludf.DUMMYFUNCTION("GOOGLETRANSLATE(A374 , ""tr"" , ""en"")"),"RT @ HBYS123456: With @drfahrettinkoca khk with a portion of the roster and the other part of the HBBY staff are working on the staff ...")</f>
        <v>RT @ HBYS123456: With @drfahrettinkoca khk with a portion of the roster and the other part of the HBBY staff are working on the staff ...</v>
      </c>
    </row>
    <row r="17572" spans="1:5" ht="15" customHeight="1" x14ac:dyDescent="0.25">
      <c r="A17572" s="1" t="s">
        <v>33923</v>
      </c>
      <c r="B17572" s="1">
        <v>0</v>
      </c>
      <c r="C17572" s="3">
        <v>44543.815509259257</v>
      </c>
      <c r="D17572" s="1" t="s">
        <v>34436</v>
      </c>
      <c r="E17572" s="4" t="str">
        <f ca="1">IFERROR(__xludf.DUMMYFUNCTION("GOOGLETRANSLATE(A375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573" spans="1:5" ht="15" customHeight="1" x14ac:dyDescent="0.25">
      <c r="A17573" s="1" t="s">
        <v>34184</v>
      </c>
      <c r="B17573" s="1">
        <v>0</v>
      </c>
      <c r="C17573" s="3">
        <v>44543.815486111111</v>
      </c>
      <c r="D17573" s="1" t="s">
        <v>34437</v>
      </c>
      <c r="E17573" s="4" t="str">
        <f ca="1">IFERROR(__xludf.DUMMYFUNCTION("GOOGLETRANSLATE(A376 , ""tr"" , ""en"")"),"RT @ KEMAL7KRDS: @drfahrettinkoca @saglikbakanligi @rterdogan @hayat_hastanesi on 12.12.2021 Bursa Hay ...")</f>
        <v>RT @ KEMAL7KRDS: @drfahrettinkoca @saglikbakanligi @rterdogan @hayat_hastanesi on 12.12.2021 Bursa Hay ...</v>
      </c>
    </row>
    <row r="17574" spans="1:5" ht="15" customHeight="1" x14ac:dyDescent="0.25">
      <c r="A17574" s="1" t="s">
        <v>34332</v>
      </c>
      <c r="B17574" s="1">
        <v>0</v>
      </c>
      <c r="C17574" s="3">
        <v>44543.815405092595</v>
      </c>
      <c r="D17574" s="1" t="s">
        <v>34438</v>
      </c>
      <c r="E17574" s="4" t="str">
        <f ca="1">IFERROR(__xludf.DUMMYFUNCTION("GOOGLETRANSLATE(A377 , ""tr"" , ""en"")"),"Rt @mhmtmmm: @drfahrettinka https://t.co/97qom3ymi")</f>
        <v>Rt @mhmtmmm: @drfahrettinka https://t.co/97qom3ymi</v>
      </c>
    </row>
    <row r="17575" spans="1:5" ht="15" customHeight="1" x14ac:dyDescent="0.25">
      <c r="A17575" s="1" t="s">
        <v>34439</v>
      </c>
      <c r="B17575" s="1">
        <v>0</v>
      </c>
      <c r="C17575" s="3">
        <v>44543.815312500003</v>
      </c>
      <c r="D17575" s="1" t="s">
        <v>34440</v>
      </c>
      <c r="E17575" s="4" t="str">
        <f ca="1">IFERROR(__xludf.DUMMYFUNCTION("GOOGLETRANSLATE(A378 , ""tr"" , ""en"")"),"RT @Ekremkirazz: @drfahrettinkoca Promised Hospital Information Management System Employees will be what will be an answer to us ...")</f>
        <v>RT @Ekremkirazz: @drfahrettinkoca Promised Hospital Information Management System Employees will be what will be an answer to us ...</v>
      </c>
    </row>
    <row r="17576" spans="1:5" ht="15" customHeight="1" x14ac:dyDescent="0.25">
      <c r="A17576" s="1" t="s">
        <v>34441</v>
      </c>
      <c r="B17576" s="1">
        <v>0</v>
      </c>
      <c r="C17576" s="3">
        <v>44543.814965277779</v>
      </c>
      <c r="D17576" s="1" t="s">
        <v>34442</v>
      </c>
      <c r="E17576" s="4" t="str">
        <f ca="1">IFERROR(__xludf.DUMMYFUNCTION("GOOGLETRANSLATE(A379 , ""tr"" , ""en"")"),"RT @ Geniusheads00: @drfahrettinkoca After this time no one can believe that the AAA pardon TV can believe that no believe you")</f>
        <v>RT @ Geniusheads00: @drfahrettinkoca After this time no one can believe that the AAA pardon TV can believe that no believe you</v>
      </c>
    </row>
    <row r="17577" spans="1:5" ht="15" customHeight="1" x14ac:dyDescent="0.25">
      <c r="A17577" s="1" t="s">
        <v>33923</v>
      </c>
      <c r="B17577" s="1">
        <v>0</v>
      </c>
      <c r="C17577" s="3">
        <v>44543.814756944441</v>
      </c>
      <c r="D17577" s="1" t="s">
        <v>34443</v>
      </c>
      <c r="E17577" s="4" t="str">
        <f ca="1">IFERROR(__xludf.DUMMYFUNCTION("GOOGLETRANSLATE(A380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578" spans="1:5" ht="15" customHeight="1" x14ac:dyDescent="0.25">
      <c r="A17578" s="1" t="s">
        <v>34184</v>
      </c>
      <c r="B17578" s="1">
        <v>0</v>
      </c>
      <c r="C17578" s="3">
        <v>44543.814710648148</v>
      </c>
      <c r="D17578" s="1" t="s">
        <v>34444</v>
      </c>
      <c r="E17578" s="4" t="str">
        <f ca="1">IFERROR(__xludf.DUMMYFUNCTION("GOOGLETRANSLATE(A381 , ""tr"" , ""en"")"),"RT @ KEMAL7KRDS: @drfahrettinkoca @saglikbakanligi @rterdogan @hayat_hastanesi on 12.12.2021 Bursa Hay ...")</f>
        <v>RT @ KEMAL7KRDS: @drfahrettinkoca @saglikbakanligi @rterdogan @hayat_hastanesi on 12.12.2021 Bursa Hay ...</v>
      </c>
    </row>
    <row r="17579" spans="1:5" ht="15" customHeight="1" x14ac:dyDescent="0.25">
      <c r="A17579" s="1" t="s">
        <v>33923</v>
      </c>
      <c r="B17579" s="1">
        <v>0</v>
      </c>
      <c r="C17579" s="3">
        <v>44543.814687500002</v>
      </c>
      <c r="D17579" s="1" t="s">
        <v>34445</v>
      </c>
      <c r="E17579" s="4" t="str">
        <f ca="1">IFERROR(__xludf.DUMMYFUNCTION("GOOGLETRANSLATE(A382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580" spans="1:5" ht="15" customHeight="1" x14ac:dyDescent="0.25">
      <c r="A17580" s="1" t="s">
        <v>33923</v>
      </c>
      <c r="B17580" s="1">
        <v>0</v>
      </c>
      <c r="C17580" s="3">
        <v>44543.814398148148</v>
      </c>
      <c r="D17580" s="1" t="s">
        <v>34446</v>
      </c>
      <c r="E17580" s="4" t="str">
        <f ca="1">IFERROR(__xludf.DUMMYFUNCTION("GOOGLETRANSLATE(A383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581" spans="1:5" ht="15" customHeight="1" x14ac:dyDescent="0.25">
      <c r="A17581" s="1" t="s">
        <v>33923</v>
      </c>
      <c r="B17581" s="1">
        <v>0</v>
      </c>
      <c r="C17581" s="3">
        <v>44543.814351851855</v>
      </c>
      <c r="D17581" s="1" t="s">
        <v>34447</v>
      </c>
      <c r="E17581" s="4" t="str">
        <f ca="1">IFERROR(__xludf.DUMMYFUNCTION("GOOGLETRANSLATE(A384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582" spans="1:5" ht="15" customHeight="1" x14ac:dyDescent="0.25">
      <c r="A17582" s="1" t="s">
        <v>33923</v>
      </c>
      <c r="B17582" s="1">
        <v>0</v>
      </c>
      <c r="C17582" s="3">
        <v>44543.814131944448</v>
      </c>
      <c r="D17582" s="1" t="s">
        <v>34448</v>
      </c>
      <c r="E17582" s="4" t="str">
        <f ca="1">IFERROR(__xludf.DUMMYFUNCTION("GOOGLETRANSLATE(A385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583" spans="1:5" ht="15" customHeight="1" x14ac:dyDescent="0.25">
      <c r="A17583" s="1" t="s">
        <v>33962</v>
      </c>
      <c r="B17583" s="1">
        <v>0</v>
      </c>
      <c r="C17583" s="3">
        <v>44543.813900462963</v>
      </c>
      <c r="D17583" s="1" t="s">
        <v>34449</v>
      </c>
      <c r="E17583" s="4" t="str">
        <f ca="1">IFERROR(__xludf.DUMMYFUNCTION("GOOGLETRANSLATE(A386 , ""tr"" , ""en"")"),"RT @EbruerN: @drfahrettinkoca where to be dropped from this reliable figures? What about the age of 12 years old, public health ...")</f>
        <v>RT @EbruerN: @drfahrettinkoca where to be dropped from this reliable figures? What about the age of 12 years old, public health ...</v>
      </c>
    </row>
    <row r="17584" spans="1:5" ht="15" customHeight="1" x14ac:dyDescent="0.25">
      <c r="A17584" s="1" t="s">
        <v>34450</v>
      </c>
      <c r="B17584" s="1">
        <v>0</v>
      </c>
      <c r="C17584" s="3">
        <v>44543.813680555555</v>
      </c>
      <c r="D17584" s="1" t="s">
        <v>34451</v>
      </c>
      <c r="E17584" s="4" t="str">
        <f ca="1">IFERROR(__xludf.DUMMYFUNCTION("GOOGLETRANSLATE(A387 , ""tr"" , ""en"")"),"RT @baglum_: @drfahrettinkoca This is very important, it was very important that you don't even do the practitioner physician, the last class TIB. No missing, TA ...")</f>
        <v>RT @baglum_: @drfahrettinkoca This is very important, it was very important that you don't even do the practitioner physician, the last class TIB. No missing, TA ...</v>
      </c>
    </row>
    <row r="17585" spans="1:5" ht="15" customHeight="1" x14ac:dyDescent="0.25">
      <c r="A17585" s="1" t="s">
        <v>33923</v>
      </c>
      <c r="B17585" s="1">
        <v>0</v>
      </c>
      <c r="C17585" s="3">
        <v>44543.81355324074</v>
      </c>
      <c r="D17585" s="1" t="s">
        <v>34452</v>
      </c>
      <c r="E17585" s="4" t="str">
        <f ca="1">IFERROR(__xludf.DUMMYFUNCTION("GOOGLETRANSLATE(A388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586" spans="1:5" ht="15" customHeight="1" x14ac:dyDescent="0.25">
      <c r="A17586" s="1" t="s">
        <v>34007</v>
      </c>
      <c r="B17586" s="1">
        <v>0</v>
      </c>
      <c r="C17586" s="3">
        <v>44543.813472222224</v>
      </c>
      <c r="D17586" s="1" t="s">
        <v>34453</v>
      </c>
      <c r="E17586" s="4" t="str">
        <f ca="1">IFERROR(__xludf.DUMMYFUNCTION("GOOGLETRANSLATE(A389 , ""tr"" , ""en"")"),"RT @esarisaray: @drfahrettinkoca HBYS staff say, we will also say that our deficiency of the staff you don't give it to the staff. Let's love the staff ...")</f>
        <v>RT @esarisaray: @drfahrettinkoca HBYS staff say, we will also say that our deficiency of the staff you don't give it to the staff. Let's love the staff ...</v>
      </c>
    </row>
    <row r="17587" spans="1:5" ht="15" customHeight="1" x14ac:dyDescent="0.25">
      <c r="A17587" s="1" t="s">
        <v>33923</v>
      </c>
      <c r="B17587" s="1">
        <v>0</v>
      </c>
      <c r="C17587" s="3">
        <v>44543.813402777778</v>
      </c>
      <c r="D17587" s="1" t="s">
        <v>34454</v>
      </c>
      <c r="E17587" s="4" t="str">
        <f ca="1">IFERROR(__xludf.DUMMYFUNCTION("GOOGLETRANSLATE(A390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588" spans="1:5" ht="15" customHeight="1" x14ac:dyDescent="0.25">
      <c r="A17588" s="1" t="s">
        <v>33923</v>
      </c>
      <c r="B17588" s="1">
        <v>0</v>
      </c>
      <c r="C17588" s="3">
        <v>44543.813391203701</v>
      </c>
      <c r="D17588" s="1" t="s">
        <v>34455</v>
      </c>
      <c r="E17588" s="4" t="str">
        <f ca="1">IFERROR(__xludf.DUMMYFUNCTION("GOOGLETRANSLATE(A391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589" spans="1:5" ht="15" customHeight="1" x14ac:dyDescent="0.25">
      <c r="A17589" s="1" t="s">
        <v>34439</v>
      </c>
      <c r="B17589" s="1">
        <v>0</v>
      </c>
      <c r="C17589" s="3">
        <v>44543.813379629632</v>
      </c>
      <c r="D17589" s="1" t="s">
        <v>34456</v>
      </c>
      <c r="E17589" s="4" t="str">
        <f ca="1">IFERROR(__xludf.DUMMYFUNCTION("GOOGLETRANSLATE(A392 , ""tr"" , ""en"")"),"RT @Ekremkirazz: @drfahrettinkoca Promised Hospital Information Management System Employees will be what will be an answer to us ...")</f>
        <v>RT @Ekremkirazz: @drfahrettinkoca Promised Hospital Information Management System Employees will be what will be an answer to us ...</v>
      </c>
    </row>
    <row r="17590" spans="1:5" ht="15" customHeight="1" x14ac:dyDescent="0.25">
      <c r="A17590" s="1" t="s">
        <v>34457</v>
      </c>
      <c r="B17590" s="1">
        <v>0</v>
      </c>
      <c r="C17590" s="3">
        <v>44543.813310185185</v>
      </c>
      <c r="D17590" s="1" t="s">
        <v>34458</v>
      </c>
      <c r="E17590" s="4" t="str">
        <f ca="1">IFERROR(__xludf.DUMMYFUNCTION("GOOGLETRANSLATE(A393 , ""tr"" , ""en"")"),"RT @ AYCE_08_53: @drfahrettinkca we have entrusted our nation to the conscience of our nation.")</f>
        <v>RT @ AYCE_08_53: @drfahrettinkca we have entrusted our nation to the conscience of our nation.</v>
      </c>
    </row>
    <row r="17591" spans="1:5" ht="15" customHeight="1" x14ac:dyDescent="0.25">
      <c r="A17591" s="1" t="s">
        <v>33923</v>
      </c>
      <c r="B17591" s="1">
        <v>0</v>
      </c>
      <c r="C17591" s="3">
        <v>44543.813101851854</v>
      </c>
      <c r="D17591" s="1" t="s">
        <v>34459</v>
      </c>
      <c r="E17591" s="4" t="str">
        <f ca="1">IFERROR(__xludf.DUMMYFUNCTION("GOOGLETRANSLATE(A394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592" spans="1:5" ht="15" customHeight="1" x14ac:dyDescent="0.25">
      <c r="A17592" s="1" t="s">
        <v>34460</v>
      </c>
      <c r="B17592" s="1">
        <v>0</v>
      </c>
      <c r="C17592" s="3">
        <v>44543.813101851854</v>
      </c>
      <c r="D17592" s="1" t="s">
        <v>34461</v>
      </c>
      <c r="E17592" s="4" t="str">
        <f ca="1">IFERROR(__xludf.DUMMYFUNCTION("GOOGLETRANSLATE(A395 , ""tr"" , ""en"")"),"RT @ Yasinyn8722: @drfahrettinka deliberately for compulsory vaccination and mask necessity without sufficient scientific study, so called sci ...")</f>
        <v>RT @ Yasinyn8722: @drfahrettinka deliberately for compulsory vaccination and mask necessity without sufficient scientific study, so called sci ...</v>
      </c>
    </row>
    <row r="17593" spans="1:5" ht="15" customHeight="1" x14ac:dyDescent="0.25">
      <c r="A17593" s="1" t="s">
        <v>34462</v>
      </c>
      <c r="B17593" s="1">
        <v>0</v>
      </c>
      <c r="C17593" s="3">
        <v>44543.813101851854</v>
      </c>
      <c r="D17593" s="1" t="s">
        <v>34463</v>
      </c>
      <c r="E17593" s="4" t="str">
        <f ca="1">IFERROR(__xludf.DUMMYFUNCTION("GOOGLETRANSLATE(A396 , ""tr"" , ""en"")"),"Rt @hakaksheghduekk: @drfahrettinkoca would like to announce your family voice a twitle support 👇👇👇 is not accident murder! Boys with a ...")</f>
        <v>Rt @hakaksheghduekk: @drfahrettinkoca would like to announce your family voice a twitle support 👇👇👇 is not accident murder! Boys with a ...</v>
      </c>
    </row>
    <row r="17594" spans="1:5" ht="15" customHeight="1" x14ac:dyDescent="0.25">
      <c r="A17594" s="1" t="s">
        <v>33923</v>
      </c>
      <c r="B17594" s="1">
        <v>0</v>
      </c>
      <c r="C17594" s="3">
        <v>44543.813032407408</v>
      </c>
      <c r="D17594" s="1" t="s">
        <v>34464</v>
      </c>
      <c r="E17594" s="4" t="str">
        <f ca="1">IFERROR(__xludf.DUMMYFUNCTION("GOOGLETRANSLATE(A397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595" spans="1:5" ht="15" customHeight="1" x14ac:dyDescent="0.25">
      <c r="A17595" s="1" t="s">
        <v>34044</v>
      </c>
      <c r="B17595" s="1">
        <v>0</v>
      </c>
      <c r="C17595" s="3">
        <v>44543.812962962962</v>
      </c>
      <c r="D17595" s="1" t="s">
        <v>34465</v>
      </c>
      <c r="E17595" s="4" t="str">
        <f ca="1">IFERROR(__xludf.DUMMYFUNCTION("GOOGLETRANSLATE(A398 , ""tr"" , ""en"")"),"RT @ HDremmi3: @drfahrettinkoca yaw happens, we have never seen your right that you haven't seen your")</f>
        <v>RT @ HDremmi3: @drfahrettinkoca yaw happens, we have never seen your right that you haven't seen your</v>
      </c>
    </row>
    <row r="17596" spans="1:5" ht="15" customHeight="1" x14ac:dyDescent="0.25">
      <c r="A17596" s="1" t="s">
        <v>34466</v>
      </c>
      <c r="B17596" s="1">
        <v>1</v>
      </c>
      <c r="C17596" s="3">
        <v>44543.8128125</v>
      </c>
      <c r="D17596" s="1" t="s">
        <v>34467</v>
      </c>
      <c r="E17596" s="4" t="str">
        <f ca="1">IFERROR(__xludf.DUMMYFUNCTION("GOOGLETRANSLATE(A399 , ""tr"" , ""en"")"),"@drfahrettinka https://t.co/klquheowg8")</f>
        <v>@drfahrettinka https://t.co/klquheowg8</v>
      </c>
    </row>
    <row r="17597" spans="1:5" ht="15" customHeight="1" x14ac:dyDescent="0.25">
      <c r="A17597" s="1" t="s">
        <v>33923</v>
      </c>
      <c r="B17597" s="1">
        <v>0</v>
      </c>
      <c r="C17597" s="3">
        <v>44543.8125</v>
      </c>
      <c r="D17597" s="1" t="s">
        <v>34468</v>
      </c>
      <c r="E17597" s="4" t="str">
        <f ca="1">IFERROR(__xludf.DUMMYFUNCTION("GOOGLETRANSLATE(A400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598" spans="1:5" ht="15" customHeight="1" x14ac:dyDescent="0.25">
      <c r="A17598" s="1" t="s">
        <v>33923</v>
      </c>
      <c r="B17598" s="1">
        <v>0</v>
      </c>
      <c r="C17598" s="3">
        <v>44543.812465277777</v>
      </c>
      <c r="D17598" s="1" t="s">
        <v>34469</v>
      </c>
      <c r="E17598" s="4" t="str">
        <f ca="1">IFERROR(__xludf.DUMMYFUNCTION("GOOGLETRANSLATE(A401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599" spans="1:5" ht="15" customHeight="1" x14ac:dyDescent="0.25">
      <c r="A17599" s="1" t="s">
        <v>34470</v>
      </c>
      <c r="B17599" s="1">
        <v>0</v>
      </c>
      <c r="C17599" s="3">
        <v>44543.812442129631</v>
      </c>
      <c r="D17599" s="1" t="s">
        <v>34471</v>
      </c>
      <c r="E17599" s="4" t="str">
        <f ca="1">IFERROR(__xludf.DUMMYFUNCTION("GOOGLETRANSLATE(A402 , ""tr"" , ""en"")"),"RT @ Babaninoglu6134: @drfahrettinkoca from the beginning to finish the intentionally overcome from the beginning !! Don't try to strip thousands of information ...")</f>
        <v>RT @ Babaninoglu6134: @drfahrettinkoca from the beginning to finish the intentionally overcome from the beginning !! Don't try to strip thousands of information ...</v>
      </c>
    </row>
    <row r="17600" spans="1:5" ht="15" customHeight="1" x14ac:dyDescent="0.25">
      <c r="A17600" s="1" t="s">
        <v>33923</v>
      </c>
      <c r="B17600" s="1">
        <v>0</v>
      </c>
      <c r="C17600" s="3">
        <v>44543.812337962961</v>
      </c>
      <c r="D17600" s="1" t="s">
        <v>34472</v>
      </c>
      <c r="E17600" s="4" t="str">
        <f ca="1">IFERROR(__xludf.DUMMYFUNCTION("GOOGLETRANSLATE(A403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601" spans="1:5" ht="15" customHeight="1" x14ac:dyDescent="0.25">
      <c r="A17601" s="1" t="s">
        <v>33923</v>
      </c>
      <c r="B17601" s="1">
        <v>0</v>
      </c>
      <c r="C17601" s="3">
        <v>44543.812199074076</v>
      </c>
      <c r="D17601" s="1" t="s">
        <v>34473</v>
      </c>
      <c r="E17601" s="4" t="str">
        <f ca="1">IFERROR(__xludf.DUMMYFUNCTION("GOOGLETRANSLATE(A404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602" spans="1:5" ht="15" customHeight="1" x14ac:dyDescent="0.25">
      <c r="A17602" s="1" t="s">
        <v>34474</v>
      </c>
      <c r="B17602" s="1">
        <v>0</v>
      </c>
      <c r="C17602" s="3">
        <v>44543.812060185184</v>
      </c>
      <c r="D17602" s="1" t="s">
        <v>34475</v>
      </c>
      <c r="E17602" s="4" t="str">
        <f ca="1">IFERROR(__xludf.DUMMYFUNCTION("GOOGLETRANSLATE(A405 , ""tr"" , ""en"")"),"RT @ YLDZ77_: @drfahrettinkoca I forgot the fucking ministry of work. Ins of bosses with a lot of people with unlawful circles ...")</f>
        <v>RT @ YLDZ77_: @drfahrettinkoca I forgot the fucking ministry of work. Ins of bosses with a lot of people with unlawful circles ...</v>
      </c>
    </row>
    <row r="17603" spans="1:5" ht="15" customHeight="1" x14ac:dyDescent="0.25">
      <c r="A17603" s="1" t="s">
        <v>33923</v>
      </c>
      <c r="B17603" s="1">
        <v>0</v>
      </c>
      <c r="C17603" s="3">
        <v>44543.811828703707</v>
      </c>
      <c r="D17603" s="1" t="s">
        <v>34476</v>
      </c>
      <c r="E17603" s="4" t="str">
        <f ca="1">IFERROR(__xludf.DUMMYFUNCTION("GOOGLETRANSLATE(A406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604" spans="1:5" ht="15" customHeight="1" x14ac:dyDescent="0.25">
      <c r="A17604" s="1" t="s">
        <v>33923</v>
      </c>
      <c r="B17604" s="1">
        <v>0</v>
      </c>
      <c r="C17604" s="3">
        <v>44543.811782407407</v>
      </c>
      <c r="D17604" s="1" t="s">
        <v>34477</v>
      </c>
      <c r="E17604" s="4" t="str">
        <f ca="1">IFERROR(__xludf.DUMMYFUNCTION("GOOGLETRANSLATE(A407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605" spans="1:5" ht="15" customHeight="1" x14ac:dyDescent="0.25">
      <c r="A17605" s="1" t="s">
        <v>34252</v>
      </c>
      <c r="B17605" s="1">
        <v>0</v>
      </c>
      <c r="C17605" s="3">
        <v>44543.811747685184</v>
      </c>
      <c r="D17605" s="1" t="s">
        <v>34478</v>
      </c>
      <c r="E17605" s="4" t="str">
        <f ca="1">IFERROR(__xludf.DUMMYFUNCTION("GOOGLETRANSLATE(A408 , ""tr"" , ""en"")"),"RT @ FakePandemi1: @drfahrettinkoca 2. The rate of being vaccinations is 82% but hospitals are filled with the vaccine.")</f>
        <v>RT @ FakePandemi1: @drfahrettinkoca 2. The rate of being vaccinations is 82% but hospitals are filled with the vaccine.</v>
      </c>
    </row>
    <row r="17606" spans="1:5" ht="15" customHeight="1" x14ac:dyDescent="0.25">
      <c r="A17606" s="1" t="s">
        <v>33923</v>
      </c>
      <c r="B17606" s="1">
        <v>0</v>
      </c>
      <c r="C17606" s="3">
        <v>44543.811284722222</v>
      </c>
      <c r="D17606" s="1" t="s">
        <v>34479</v>
      </c>
      <c r="E17606" s="4" t="str">
        <f ca="1">IFERROR(__xludf.DUMMYFUNCTION("GOOGLETRANSLATE(A409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607" spans="1:5" ht="15" customHeight="1" x14ac:dyDescent="0.25">
      <c r="A17607" s="1" t="s">
        <v>33888</v>
      </c>
      <c r="B17607" s="1">
        <v>0</v>
      </c>
      <c r="C17607" s="3">
        <v>44543.811226851853</v>
      </c>
      <c r="D17607" s="1" t="s">
        <v>34480</v>
      </c>
      <c r="E17607" s="4" t="str">
        <f ca="1">IFERROR(__xludf.DUMMYFUNCTION("GOOGLETRANSLATE(A410 , ""tr"" , ""en"")"),"RT @muzafarmuratov: @drfahrettinka you injected the liquid you don't know the results in this nation. The Turkish Nation will never forget you. https: //t....")</f>
        <v>RT @muzafarmuratov: @drfahrettinka you injected the liquid you don't know the results in this nation. The Turkish Nation will never forget you. https: //t....</v>
      </c>
    </row>
    <row r="17608" spans="1:5" ht="15" customHeight="1" x14ac:dyDescent="0.25">
      <c r="A17608" s="1" t="s">
        <v>33923</v>
      </c>
      <c r="B17608" s="1">
        <v>0</v>
      </c>
      <c r="C17608" s="3">
        <v>44543.811192129629</v>
      </c>
      <c r="D17608" s="1" t="s">
        <v>34481</v>
      </c>
      <c r="E17608" s="4" t="str">
        <f ca="1">IFERROR(__xludf.DUMMYFUNCTION("GOOGLETRANSLATE(A411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609" spans="1:5" ht="15" customHeight="1" x14ac:dyDescent="0.25">
      <c r="A17609" s="1" t="s">
        <v>33923</v>
      </c>
      <c r="B17609" s="1">
        <v>0</v>
      </c>
      <c r="C17609" s="3">
        <v>44543.810983796298</v>
      </c>
      <c r="D17609" s="1" t="s">
        <v>34482</v>
      </c>
      <c r="E17609" s="4" t="str">
        <f ca="1">IFERROR(__xludf.DUMMYFUNCTION("GOOGLETRANSLATE(A412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610" spans="1:5" ht="15" customHeight="1" x14ac:dyDescent="0.25">
      <c r="A17610" s="1" t="s">
        <v>33923</v>
      </c>
      <c r="B17610" s="1">
        <v>0</v>
      </c>
      <c r="C17610" s="3">
        <v>44543.810752314814</v>
      </c>
      <c r="D17610" s="1" t="s">
        <v>34483</v>
      </c>
      <c r="E17610" s="4" t="str">
        <f ca="1">IFERROR(__xludf.DUMMYFUNCTION("GOOGLETRANSLATE(A413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611" spans="1:5" ht="15" customHeight="1" x14ac:dyDescent="0.25">
      <c r="A17611" s="1" t="s">
        <v>34007</v>
      </c>
      <c r="B17611" s="1">
        <v>0</v>
      </c>
      <c r="C17611" s="3">
        <v>44543.810381944444</v>
      </c>
      <c r="D17611" s="1" t="s">
        <v>34484</v>
      </c>
      <c r="E17611" s="4" t="str">
        <f ca="1">IFERROR(__xludf.DUMMYFUNCTION("GOOGLETRANSLATE(A414 , ""tr"" , ""en"")"),"RT @esarisaray: @drfahrettinkoca HBYS staff say, we will also say that our deficiency of the staff you don't give it to the staff. Let's love the staff ...")</f>
        <v>RT @esarisaray: @drfahrettinkoca HBYS staff say, we will also say that our deficiency of the staff you don't give it to the staff. Let's love the staff ...</v>
      </c>
    </row>
    <row r="17612" spans="1:5" ht="15" customHeight="1" x14ac:dyDescent="0.25">
      <c r="A17612" s="1" t="s">
        <v>33923</v>
      </c>
      <c r="B17612" s="1">
        <v>0</v>
      </c>
      <c r="C17612" s="3">
        <v>44543.81</v>
      </c>
      <c r="D17612" s="1" t="s">
        <v>34485</v>
      </c>
      <c r="E17612" s="4" t="str">
        <f ca="1">IFERROR(__xludf.DUMMYFUNCTION("GOOGLETRANSLATE(A415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613" spans="1:5" ht="15" customHeight="1" x14ac:dyDescent="0.25">
      <c r="A17613" s="1" t="s">
        <v>33995</v>
      </c>
      <c r="B17613" s="1">
        <v>0</v>
      </c>
      <c r="C17613" s="3">
        <v>44543.809675925928</v>
      </c>
      <c r="D17613" s="1" t="s">
        <v>34486</v>
      </c>
      <c r="E17613" s="4" t="str">
        <f ca="1">IFERROR(__xludf.DUMMYFUNCTION("GOOGLETRANSLATE(A416 , ""tr"" , ""en"")"),"RT @ AYHAN_002: @drfahrettinka Mr. Minister Our Minister Hbys Health Workers Hospitals Running on Day 7/24 in Hospitals Persone Persone ...")</f>
        <v>RT @ AYHAN_002: @drfahrettinka Mr. Minister Our Minister Hbys Health Workers Hospitals Running on Day 7/24 in Hospitals Persone Persone ...</v>
      </c>
    </row>
    <row r="17614" spans="1:5" ht="15" customHeight="1" x14ac:dyDescent="0.25">
      <c r="A17614" s="1" t="s">
        <v>34487</v>
      </c>
      <c r="B17614" s="1">
        <v>0</v>
      </c>
      <c r="C17614" s="3">
        <v>44543.809131944443</v>
      </c>
      <c r="D17614" s="1" t="s">
        <v>34488</v>
      </c>
      <c r="E17614" s="4" t="str">
        <f ca="1">IFERROR(__xludf.DUMMYFUNCTION("GOOGLETRANSLATE(A417 , ""tr"" , ""en"")"),"RT @lartunamayayan: @drfahrettinkoca Health workers who play into the tirbs when the patient is eaten.")</f>
        <v>RT @lartunamayayan: @drfahrettinkoca Health workers who play into the tirbs when the patient is eaten.</v>
      </c>
    </row>
    <row r="17615" spans="1:5" ht="15" customHeight="1" x14ac:dyDescent="0.25">
      <c r="A17615" s="1" t="s">
        <v>34115</v>
      </c>
      <c r="B17615" s="1">
        <v>0</v>
      </c>
      <c r="C17615" s="3">
        <v>44543.808842592596</v>
      </c>
      <c r="D17615" s="1" t="s">
        <v>34489</v>
      </c>
      <c r="E17615" s="4" t="str">
        <f ca="1">IFERROR(__xludf.DUMMYFUNCTION("GOOGLETRANSLATE(A418 , ""tr"" , ""en"")"),"RT @ LALA23111660: What is the @drfahrettinkoca lie? You can see it in this table☺ # tbmmmaxicinonlineafter")</f>
        <v>RT @ LALA23111660: What is the @drfahrettinkoca lie? You can see it in this table☺ # tbmmmaxicinonlineafter</v>
      </c>
    </row>
    <row r="17616" spans="1:5" ht="15" customHeight="1" x14ac:dyDescent="0.25">
      <c r="A17616" s="1" t="s">
        <v>33981</v>
      </c>
      <c r="B17616" s="1">
        <v>0</v>
      </c>
      <c r="C17616" s="3">
        <v>44543.808807870373</v>
      </c>
      <c r="D17616" s="1" t="s">
        <v>34490</v>
      </c>
      <c r="E17616" s="4" t="str">
        <f ca="1">IFERROR(__xludf.DUMMYFUNCTION("GOOGLETRANSLATE(A419 , ""tr"" , ""en"")"),"RT @ LALA23111660: @drfahrettinka you are people who have answered to the question that even if you have case of Omicron. We don't believe in you in life # ...")</f>
        <v>RT @ LALA23111660: @drfahrettinka you are people who have answered to the question that even if you have case of Omicron. We don't believe in you in life # ...</v>
      </c>
    </row>
    <row r="17617" spans="1:5" ht="15" customHeight="1" x14ac:dyDescent="0.25">
      <c r="A17617" s="1" t="s">
        <v>34491</v>
      </c>
      <c r="B17617" s="1">
        <v>0</v>
      </c>
      <c r="C17617" s="3">
        <v>44543.808344907404</v>
      </c>
      <c r="D17617" s="1" t="s">
        <v>34492</v>
      </c>
      <c r="E17617" s="4" t="str">
        <f ca="1">IFERROR(__xludf.DUMMYFUNCTION("GOOGLETRANSLATE(A420 , ""tr"" , ""en"")"),"RT @ fizyoterap1st: @drfahrettinkoca words remain uncompromising anymore I'm writing no longer let me write to the successful teens of the country ...")</f>
        <v>RT @ fizyoterap1st: @drfahrettinkoca words remain uncompromising anymore I'm writing no longer let me write to the successful teens of the country ...</v>
      </c>
    </row>
    <row r="17618" spans="1:5" ht="15" customHeight="1" x14ac:dyDescent="0.25">
      <c r="A17618" s="1" t="s">
        <v>34493</v>
      </c>
      <c r="B17618" s="1">
        <v>0</v>
      </c>
      <c r="C17618" s="3">
        <v>44543.808310185188</v>
      </c>
      <c r="D17618" s="1" t="s">
        <v>34494</v>
      </c>
      <c r="E17618" s="4" t="str">
        <f ca="1">IFERROR(__xludf.DUMMYFUNCTION("GOOGLETRANSLATE(A421 , ""tr"" , ""en"")"),"RT @empirebmw: @drfahrettinkoca This is a confession. We have been mistaken. By means of the pardon will this work end?")</f>
        <v>RT @empirebmw: @drfahrettinkoca This is a confession. We have been mistaken. By means of the pardon will this work end?</v>
      </c>
    </row>
    <row r="17619" spans="1:5" ht="15" customHeight="1" x14ac:dyDescent="0.25">
      <c r="A17619" s="1" t="s">
        <v>34495</v>
      </c>
      <c r="B17619" s="1">
        <v>0</v>
      </c>
      <c r="C17619" s="3">
        <v>44543.808263888888</v>
      </c>
      <c r="D17619" s="1" t="s">
        <v>34496</v>
      </c>
      <c r="E17619" s="4" t="str">
        <f ca="1">IFERROR(__xludf.DUMMYFUNCTION("GOOGLETRANSLATE(A422 , ""tr"" , ""en"")"),"@Drfahrettinkoca @drfahrettinkoca @saglikbakanligi @tc_icisleri @kadinhaklarikom @Adilipak @semamarasli @semrakuytul Today Antalya Da Bus ...")</f>
        <v>@Drfahrettinkoca @drfahrettinkoca @saglikbakanligi @tc_icisleri @kadinhaklarikom @Adilipak @semamarasli @semrakuytul Today Antalya Da Bus ...</v>
      </c>
    </row>
    <row r="17620" spans="1:5" ht="15" customHeight="1" x14ac:dyDescent="0.25">
      <c r="A17620" s="1" t="s">
        <v>34195</v>
      </c>
      <c r="B17620" s="1">
        <v>0</v>
      </c>
      <c r="C17620" s="3">
        <v>44543.808217592596</v>
      </c>
      <c r="D17620" s="1" t="s">
        <v>34497</v>
      </c>
      <c r="E17620" s="4" t="str">
        <f ca="1">IFERROR(__xludf.DUMMYFUNCTION("GOOGLETRANSLATE(A423 , ""tr"" , ""en"")"),"RT @canerslkx: @drfahrettinkoca countries crossing the closure of the people at the time you are looking forward to the number of people who are intensive care of ...")</f>
        <v>RT @canerslkx: @drfahrettinkoca countries crossing the closure of the people at the time you are looking forward to the number of people who are intensive care of ...</v>
      </c>
    </row>
    <row r="17621" spans="1:5" ht="15" customHeight="1" x14ac:dyDescent="0.25">
      <c r="A17621" s="1" t="s">
        <v>34498</v>
      </c>
      <c r="B17621" s="1">
        <v>0</v>
      </c>
      <c r="C17621" s="3">
        <v>44543.808171296296</v>
      </c>
      <c r="D17621" s="1" t="s">
        <v>34499</v>
      </c>
      <c r="E17621" s="4" t="str">
        <f ca="1">IFERROR(__xludf.DUMMYFUNCTION("GOOGLETRANSLATE(A424 , ""tr"" , ""en"")"),"RT @yasaksezgin: @drfahrettinkoca Health Management Department is not issued to the assignment is a deliberatile?")</f>
        <v>RT @yasaksezgin: @drfahrettinkoca Health Management Department is not issued to the assignment is a deliberatile?</v>
      </c>
    </row>
    <row r="17622" spans="1:5" ht="15" customHeight="1" x14ac:dyDescent="0.25">
      <c r="A17622" s="1" t="s">
        <v>34184</v>
      </c>
      <c r="B17622" s="1">
        <v>0</v>
      </c>
      <c r="C17622" s="3">
        <v>44543.808159722219</v>
      </c>
      <c r="D17622" s="1" t="s">
        <v>34500</v>
      </c>
      <c r="E17622" s="4" t="str">
        <f ca="1">IFERROR(__xludf.DUMMYFUNCTION("GOOGLETRANSLATE(A425 , ""tr"" , ""en"")"),"RT @ KEMAL7KRDS: @drfahrettinkoca @saglikbakanligi @rterdogan @hayat_hastanesi on 12.12.2021 Bursa Hay ...")</f>
        <v>RT @ KEMAL7KRDS: @drfahrettinkoca @saglikbakanligi @rterdogan @hayat_hastanesi on 12.12.2021 Bursa Hay ...</v>
      </c>
    </row>
    <row r="17623" spans="1:5" ht="15" customHeight="1" x14ac:dyDescent="0.25">
      <c r="A17623" s="1" t="s">
        <v>34495</v>
      </c>
      <c r="B17623" s="1">
        <v>0</v>
      </c>
      <c r="C17623" s="3">
        <v>44543.808159722219</v>
      </c>
      <c r="D17623" s="1" t="s">
        <v>34501</v>
      </c>
      <c r="E17623" s="4" t="str">
        <f ca="1">IFERROR(__xludf.DUMMYFUNCTION("GOOGLETRANSLATE(A426 , ""tr"" , ""en"")"),"@Drfahrettinkoca @drfahrettinkoca @saglikbakanligi @tc_icisleri @kadinhaklarikom @Adilipak @semamarasli @semrakuytul Today Antalya Da Bus ...")</f>
        <v>@Drfahrettinkoca @drfahrettinkoca @saglikbakanligi @tc_icisleri @kadinhaklarikom @Adilipak @semamarasli @semrakuytul Today Antalya Da Bus ...</v>
      </c>
    </row>
    <row r="17624" spans="1:5" ht="15" customHeight="1" x14ac:dyDescent="0.25">
      <c r="A17624" s="1" t="s">
        <v>34015</v>
      </c>
      <c r="B17624" s="1">
        <v>0</v>
      </c>
      <c r="C17624" s="3">
        <v>44543.808136574073</v>
      </c>
      <c r="D17624" s="1" t="s">
        <v>34502</v>
      </c>
      <c r="E17624" s="4" t="str">
        <f ca="1">IFERROR(__xludf.DUMMYFUNCTION("GOOGLETRANSLATE(A427 , ""tr"" , ""en"")"),"Rt @hulya_yalvac: @drfahrettinkoca We accept everything SN. You have tried to struggle with an unknown virus. Everything in this world ...")</f>
        <v>Rt @hulya_yalvac: @drfahrettinkoca We accept everything SN. You have tried to struggle with an unknown virus. Everything in this world ...</v>
      </c>
    </row>
    <row r="17625" spans="1:5" ht="15" customHeight="1" x14ac:dyDescent="0.25">
      <c r="A17625" s="1" t="s">
        <v>34503</v>
      </c>
      <c r="B17625" s="1">
        <v>0</v>
      </c>
      <c r="C17625" s="3">
        <v>44543.808032407411</v>
      </c>
      <c r="D17625" s="1" t="s">
        <v>34504</v>
      </c>
      <c r="E17625" s="4" t="str">
        <f ca="1">IFERROR(__xludf.DUMMYFUNCTION("GOOGLETRANSLATE(A428 , ""tr"" , ""en"")"),"RT @ Burakdemirci88: @drfahrettinkoca Do you speak to you. You didn't say money or something?")</f>
        <v>RT @ Burakdemirci88: @drfahrettinkoca Do you speak to you. You didn't say money or something?</v>
      </c>
    </row>
    <row r="17626" spans="1:5" ht="15" customHeight="1" x14ac:dyDescent="0.25">
      <c r="A17626" s="1" t="s">
        <v>34012</v>
      </c>
      <c r="B17626" s="1">
        <v>0</v>
      </c>
      <c r="C17626" s="3">
        <v>44543.807928240742</v>
      </c>
      <c r="D17626" s="1" t="s">
        <v>34505</v>
      </c>
      <c r="E17626" s="4" t="str">
        <f ca="1">IFERROR(__xludf.DUMMYFUNCTION("GOOGLETRANSLATE(A429 , ""tr"" , ""en"")"),"RT @ebruern: @drfahrettinkoca but continuously error is not made? Me and many moms are now more than the months but don't take into account until today ...")</f>
        <v>RT @ebruern: @drfahrettinkoca but continuously error is not made? Me and many moms are now more than the months but don't take into account until today ...</v>
      </c>
    </row>
    <row r="17627" spans="1:5" ht="15" customHeight="1" x14ac:dyDescent="0.25">
      <c r="A17627" s="1" t="s">
        <v>34017</v>
      </c>
      <c r="B17627" s="1">
        <v>0</v>
      </c>
      <c r="C17627" s="3">
        <v>44543.807905092595</v>
      </c>
      <c r="D17627" s="1" t="s">
        <v>34506</v>
      </c>
      <c r="E17627" s="4" t="str">
        <f ca="1">IFERROR(__xludf.DUMMYFUNCTION("GOOGLETRANSLATE(A430 , ""tr"" , ""en"")"),"RT @ MUALLA0902: @drfahrettinka no count husband !! The rings you created from mistakes were chains !! We have many times on your authority to you ...")</f>
        <v>RT @ MUALLA0902: @drfahrettinka no count husband !! The rings you created from mistakes were chains !! We have many times on your authority to you ...</v>
      </c>
    </row>
    <row r="17628" spans="1:5" ht="15" customHeight="1" x14ac:dyDescent="0.25">
      <c r="A17628" s="1" t="s">
        <v>34507</v>
      </c>
      <c r="B17628" s="1">
        <v>0</v>
      </c>
      <c r="C17628" s="3">
        <v>44543.807256944441</v>
      </c>
      <c r="D17628" s="1" t="s">
        <v>34508</v>
      </c>
      <c r="E17628" s="4" t="str">
        <f ca="1">IFERROR(__xludf.DUMMYFUNCTION("GOOGLETRANSLATE(A431 , ""tr"" , ""en"")"),"RT @ AYSE50916517: @drfahrettinkoca Health Management Wants Justice")</f>
        <v>RT @ AYSE50916517: @drfahrettinkoca Health Management Wants Justice</v>
      </c>
    </row>
    <row r="17629" spans="1:5" ht="15" customHeight="1" x14ac:dyDescent="0.25">
      <c r="A17629" s="1" t="s">
        <v>34439</v>
      </c>
      <c r="B17629" s="1">
        <v>0</v>
      </c>
      <c r="C17629" s="3">
        <v>44543.806562500002</v>
      </c>
      <c r="D17629" s="1" t="s">
        <v>34509</v>
      </c>
      <c r="E17629" s="4" t="str">
        <f ca="1">IFERROR(__xludf.DUMMYFUNCTION("GOOGLETRANSLATE(A432 , ""tr"" , ""en"")"),"RT @Ekremkirazz: @drfahrettinkoca Promised Hospital Information Management System Employees will be what will be an answer to us ...")</f>
        <v>RT @Ekremkirazz: @drfahrettinkoca Promised Hospital Information Management System Employees will be what will be an answer to us ...</v>
      </c>
    </row>
    <row r="17630" spans="1:5" ht="15" customHeight="1" x14ac:dyDescent="0.25">
      <c r="A17630" s="1" t="s">
        <v>34184</v>
      </c>
      <c r="B17630" s="1">
        <v>0</v>
      </c>
      <c r="C17630" s="3">
        <v>44543.806064814817</v>
      </c>
      <c r="D17630" s="1" t="s">
        <v>34510</v>
      </c>
      <c r="E17630" s="4" t="str">
        <f ca="1">IFERROR(__xludf.DUMMYFUNCTION("GOOGLETRANSLATE(A433 , ""tr"" , ""en"")"),"RT @ KEMAL7KRDS: @drfahrettinkoca @saglikbakanligi @rterdogan @hayat_hastanesi on 12.12.2021 Bursa Hay ...")</f>
        <v>RT @ KEMAL7KRDS: @drfahrettinkoca @saglikbakanligi @rterdogan @hayat_hastanesi on 12.12.2021 Bursa Hay ...</v>
      </c>
    </row>
    <row r="17631" spans="1:5" ht="15" customHeight="1" x14ac:dyDescent="0.25">
      <c r="A17631" s="1" t="s">
        <v>34401</v>
      </c>
      <c r="B17631" s="1">
        <v>0</v>
      </c>
      <c r="C17631" s="3">
        <v>44543.806018518517</v>
      </c>
      <c r="D17631" s="1" t="s">
        <v>34511</v>
      </c>
      <c r="E17631" s="4" t="str">
        <f ca="1">IFERROR(__xludf.DUMMYFUNCTION("GOOGLETRANSLATE(A434 , ""tr"" , ""en"")"),"RT @Eypmng: @drfahrettinkoca Come on Bride Let's query this together Why is it in the #istevelopment?")</f>
        <v>RT @Eypmng: @drfahrettinkoca Come on Bride Let's query this together Why is it in the #istevelopment?</v>
      </c>
    </row>
    <row r="17632" spans="1:5" ht="15" customHeight="1" x14ac:dyDescent="0.25">
      <c r="A17632" s="1" t="s">
        <v>34252</v>
      </c>
      <c r="B17632" s="1">
        <v>0</v>
      </c>
      <c r="C17632" s="3">
        <v>44543.805821759262</v>
      </c>
      <c r="D17632" s="1" t="s">
        <v>34512</v>
      </c>
      <c r="E17632" s="4" t="str">
        <f ca="1">IFERROR(__xludf.DUMMYFUNCTION("GOOGLETRANSLATE(A435 , ""tr"" , ""en"")"),"RT @ FakePandemi1: @drfahrettinkoca 2. The rate of being vaccinations is 82% but hospitals are filled with the vaccine.")</f>
        <v>RT @ FakePandemi1: @drfahrettinkoca 2. The rate of being vaccinations is 82% but hospitals are filled with the vaccine.</v>
      </c>
    </row>
    <row r="17633" spans="1:5" ht="15" customHeight="1" x14ac:dyDescent="0.25">
      <c r="A17633" s="1" t="s">
        <v>34513</v>
      </c>
      <c r="B17633" s="1">
        <v>1</v>
      </c>
      <c r="C17633" s="3">
        <v>44543.804756944446</v>
      </c>
      <c r="D17633" s="1" t="s">
        <v>34514</v>
      </c>
      <c r="E17633" s="4" t="str">
        <f ca="1">IFERROR(__xludf.DUMMYFUNCTION("GOOGLETRANSLATE(A436 , ""tr"" , ""en"")"),"@drfahrettinkoca Come on Bride Let's query it together Why do you #isture?")</f>
        <v>@drfahrettinkoca Come on Bride Let's query it together Why do you #isture?</v>
      </c>
    </row>
    <row r="17634" spans="1:5" ht="15" customHeight="1" x14ac:dyDescent="0.25">
      <c r="A17634" s="1" t="s">
        <v>33995</v>
      </c>
      <c r="B17634" s="1">
        <v>0</v>
      </c>
      <c r="C17634" s="3">
        <v>44543.804664351854</v>
      </c>
      <c r="D17634" s="1" t="s">
        <v>34515</v>
      </c>
      <c r="E17634" s="4" t="str">
        <f ca="1">IFERROR(__xludf.DUMMYFUNCTION("GOOGLETRANSLATE(A437 , ""tr"" , ""en"")"),"RT @ AYHAN_002: @drfahrettinka Mr. Minister Our Minister Hbys Health Workers Hospitals Running on Day 7/24 in Hospitals Persone Persone ...")</f>
        <v>RT @ AYHAN_002: @drfahrettinka Mr. Minister Our Minister Hbys Health Workers Hospitals Running on Day 7/24 in Hospitals Persone Persone ...</v>
      </c>
    </row>
    <row r="17635" spans="1:5" ht="15" customHeight="1" x14ac:dyDescent="0.25">
      <c r="A17635" s="1" t="s">
        <v>34007</v>
      </c>
      <c r="B17635" s="1">
        <v>0</v>
      </c>
      <c r="C17635" s="3">
        <v>44543.804618055554</v>
      </c>
      <c r="D17635" s="1" t="s">
        <v>34516</v>
      </c>
      <c r="E17635" s="4" t="str">
        <f ca="1">IFERROR(__xludf.DUMMYFUNCTION("GOOGLETRANSLATE(A438 , ""tr"" , ""en"")"),"RT @esarisaray: @drfahrettinkoca HBYS staff say, we will also say that our deficiency of the staff you don't give it to the staff. Let's love the staff ...")</f>
        <v>RT @esarisaray: @drfahrettinkoca HBYS staff say, we will also say that our deficiency of the staff you don't give it to the staff. Let's love the staff ...</v>
      </c>
    </row>
    <row r="17636" spans="1:5" ht="15" customHeight="1" x14ac:dyDescent="0.25">
      <c r="A17636" s="1" t="s">
        <v>33993</v>
      </c>
      <c r="B17636" s="1">
        <v>0</v>
      </c>
      <c r="C17636" s="3">
        <v>44543.804583333331</v>
      </c>
      <c r="D17636" s="1" t="s">
        <v>34517</v>
      </c>
      <c r="E17636" s="4" t="str">
        <f ca="1">IFERROR(__xludf.DUMMYFUNCTION("GOOGLETRANSLATE(A439 , ""tr"" , ""en"")"),"Rt @kralsizkole: @drfahrettinkoca @drfahrettinkoca @saglikbakanligi Hospital Hospitalized HBBS So Data Processing Staff Subcontracting Law Victim Software Comp ...")</f>
        <v>Rt @kralsizkole: @drfahrettinkoca @drfahrettinkoca @saglikbakanligi Hospital Hospitalized HBBS So Data Processing Staff Subcontracting Law Victim Software Comp ...</v>
      </c>
    </row>
    <row r="17637" spans="1:5" ht="15" customHeight="1" x14ac:dyDescent="0.25">
      <c r="A17637" s="1" t="s">
        <v>33911</v>
      </c>
      <c r="B17637" s="1">
        <v>0</v>
      </c>
      <c r="C17637" s="3">
        <v>44543.803912037038</v>
      </c>
      <c r="D17637" s="1" t="s">
        <v>34518</v>
      </c>
      <c r="E17637" s="4" t="str">
        <f ca="1">IFERROR(__xludf.DUMMYFUNCTION("GOOGLETRANSLATE(A440 , ""tr"" , ""en"")"),"RT @ Cemilcan5834: @drfahrettinkoca direct screenshot Get to Get Friendlier This tweet always comes enough, athletes Celebrities Stay ...")</f>
        <v>RT @ Cemilcan5834: @drfahrettinkoca direct screenshot Get to Get Friendlier This tweet always comes enough, athletes Celebrities Stay ...</v>
      </c>
    </row>
    <row r="17638" spans="1:5" ht="15" customHeight="1" x14ac:dyDescent="0.25">
      <c r="A17638" s="1" t="s">
        <v>34519</v>
      </c>
      <c r="B17638" s="1">
        <v>0</v>
      </c>
      <c r="C17638" s="3">
        <v>44543.803865740738</v>
      </c>
      <c r="D17638" s="1" t="s">
        <v>34520</v>
      </c>
      <c r="E17638" s="4" t="str">
        <f ca="1">IFERROR(__xludf.DUMMYFUNCTION("GOOGLETRANSLATE(A441 , ""tr"" , ""en"")"),"RT @Ozeroznuurr: @drfahrettinka dietitian, physiotherapist, psychologist professions such as psychologist displayed the high success of the kpss thrown on the background ...")</f>
        <v>RT @Ozeroznuurr: @drfahrettinka dietitian, physiotherapist, psychologist professions such as psychologist displayed the high success of the kpss thrown on the background ...</v>
      </c>
    </row>
    <row r="17639" spans="1:5" ht="15" customHeight="1" x14ac:dyDescent="0.25">
      <c r="A17639" s="1" t="s">
        <v>33888</v>
      </c>
      <c r="B17639" s="1">
        <v>0</v>
      </c>
      <c r="C17639" s="3">
        <v>44543.803796296299</v>
      </c>
      <c r="D17639" s="1" t="s">
        <v>34521</v>
      </c>
      <c r="E17639" s="4" t="str">
        <f ca="1">IFERROR(__xludf.DUMMYFUNCTION("GOOGLETRANSLATE(A442 , ""tr"" , ""en"")"),"RT @muzafarmuratov: @drfahrettinka you injected the liquid you don't know the results in this nation. The Turkish Nation will never forget you. https: //t....")</f>
        <v>RT @muzafarmuratov: @drfahrettinka you injected the liquid you don't know the results in this nation. The Turkish Nation will never forget you. https: //t....</v>
      </c>
    </row>
    <row r="17640" spans="1:5" ht="15" customHeight="1" x14ac:dyDescent="0.25">
      <c r="A17640" s="1" t="s">
        <v>33977</v>
      </c>
      <c r="B17640" s="1">
        <v>0</v>
      </c>
      <c r="C17640" s="3">
        <v>44543.801979166667</v>
      </c>
      <c r="D17640" s="1" t="s">
        <v>34522</v>
      </c>
      <c r="E17640" s="4" t="str">
        <f ca="1">IFERROR(__xludf.DUMMYFUNCTION("GOOGLETRANSLATE(A443 , ""tr"" , ""en"")"),"RT @ Lavinia56398957: @drfahrettinkoca Fahrettin I think we will be able to make the misconception on the hubby. The cases of the cases are very much ...")</f>
        <v>RT @ Lavinia56398957: @drfahrettinkoca Fahrettin I think we will be able to make the misconception on the hubby. The cases of the cases are very much ...</v>
      </c>
    </row>
    <row r="17641" spans="1:5" ht="15" customHeight="1" x14ac:dyDescent="0.25">
      <c r="A17641" s="1" t="s">
        <v>34111</v>
      </c>
      <c r="B17641" s="1">
        <v>0</v>
      </c>
      <c r="C17641" s="3">
        <v>44543.801631944443</v>
      </c>
      <c r="D17641" s="1" t="s">
        <v>34523</v>
      </c>
      <c r="E17641" s="4" t="str">
        <f ca="1">IFERROR(__xludf.DUMMYFUNCTION("GOOGLETRANSLATE(A444 , ""tr"" , ""en"")"),"RT @mevltgnydn: @drfahrettinkoca I wonder if the answer vaccine or is the imaginary afflicted with the number of unsaid cases @drfahrettinkoca # t ...")</f>
        <v>RT @mevltgnydn: @drfahrettinkoca I wonder if the answer vaccine or is the imaginary afflicted with the number of unsaid cases @drfahrettinkoca # t ...</v>
      </c>
    </row>
    <row r="17642" spans="1:5" ht="15" customHeight="1" x14ac:dyDescent="0.25">
      <c r="A17642" s="1" t="s">
        <v>34524</v>
      </c>
      <c r="B17642" s="1">
        <v>0</v>
      </c>
      <c r="C17642" s="3">
        <v>44543.801539351851</v>
      </c>
      <c r="D17642" s="1" t="s">
        <v>34525</v>
      </c>
      <c r="E17642" s="4" t="str">
        <f ca="1">IFERROR(__xludf.DUMMYFUNCTION("GOOGLETRANSLATE(A445 , ""tr"" , ""en"")"),"Rt @nefretormm: @drfahrettinkoca you get pity you # tbmmmazikicinonlinelitim")</f>
        <v>Rt @nefretormm: @drfahrettinkoca you get pity you # tbmmmazikicinonlinelitim</v>
      </c>
    </row>
    <row r="17643" spans="1:5" ht="15" customHeight="1" x14ac:dyDescent="0.25">
      <c r="A17643" s="1" t="s">
        <v>34526</v>
      </c>
      <c r="B17643" s="1">
        <v>0</v>
      </c>
      <c r="C17643" s="3">
        <v>44543.801493055558</v>
      </c>
      <c r="D17643" s="1" t="s">
        <v>34527</v>
      </c>
      <c r="E17643" s="4" t="str">
        <f ca="1">IFERROR(__xludf.DUMMYFUNCTION("GOOGLETRANSLATE(A446 , ""tr"" , ""en"")"),"RT @ tubaasi2: @drfahrettinkoca collected in the parliament of the consciented vicinity Bridal Turkey Exception Every Country Passed to Online Training Vincana Groin Bennn")</f>
        <v>RT @ tubaasi2: @drfahrettinkoca collected in the parliament of the consciented vicinity Bridal Turkey Exception Every Country Passed to Online Training Vincana Groin Bennn</v>
      </c>
    </row>
    <row r="17644" spans="1:5" ht="15" customHeight="1" x14ac:dyDescent="0.25">
      <c r="A17644" s="1" t="s">
        <v>33960</v>
      </c>
      <c r="B17644" s="1">
        <v>0</v>
      </c>
      <c r="C17644" s="3">
        <v>44543.801388888889</v>
      </c>
      <c r="D17644" s="1" t="s">
        <v>34528</v>
      </c>
      <c r="E17644" s="4" t="str">
        <f ca="1">IFERROR(__xludf.DUMMYFUNCTION("GOOGLETRANSLATE(A447 , ""tr"" , ""en"")"),"RT @karaktero: @drfahrettinkoca What is the difference? Online education in 1000 cases, students are now protected from the closed areas in the winter ...")</f>
        <v>RT @karaktero: @drfahrettinkoca What is the difference? Online education in 1000 cases, students are now protected from the closed areas in the winter ...</v>
      </c>
    </row>
    <row r="17645" spans="1:5" ht="15" customHeight="1" x14ac:dyDescent="0.25">
      <c r="A17645" s="1" t="s">
        <v>34044</v>
      </c>
      <c r="B17645" s="1">
        <v>0</v>
      </c>
      <c r="C17645" s="3">
        <v>44543.801365740743</v>
      </c>
      <c r="D17645" s="1" t="s">
        <v>34529</v>
      </c>
      <c r="E17645" s="4" t="str">
        <f ca="1">IFERROR(__xludf.DUMMYFUNCTION("GOOGLETRANSLATE(A448 , ""tr"" , ""en"")"),"RT @ HDremmi3: @drfahrettinkoca yaw happens, we have never seen your right that you haven't seen your")</f>
        <v>RT @ HDremmi3: @drfahrettinkoca yaw happens, we have never seen your right that you haven't seen your</v>
      </c>
    </row>
    <row r="17646" spans="1:5" ht="15" customHeight="1" x14ac:dyDescent="0.25">
      <c r="A17646" s="1" t="s">
        <v>34044</v>
      </c>
      <c r="B17646" s="1">
        <v>0</v>
      </c>
      <c r="C17646" s="3">
        <v>44543.801319444443</v>
      </c>
      <c r="D17646" s="1" t="s">
        <v>34530</v>
      </c>
      <c r="E17646" s="4" t="str">
        <f ca="1">IFERROR(__xludf.DUMMYFUNCTION("GOOGLETRANSLATE(A449 , ""tr"" , ""en"")"),"RT @ HDremmi3: @drfahrettinkoca yaw happens, we have never seen your right that you haven't seen your")</f>
        <v>RT @ HDremmi3: @drfahrettinkoca yaw happens, we have never seen your right that you haven't seen your</v>
      </c>
    </row>
    <row r="17647" spans="1:5" ht="15" customHeight="1" x14ac:dyDescent="0.25">
      <c r="A17647" s="1" t="s">
        <v>33923</v>
      </c>
      <c r="B17647" s="1">
        <v>0</v>
      </c>
      <c r="C17647" s="3">
        <v>44543.801180555558</v>
      </c>
      <c r="D17647" s="1" t="s">
        <v>34531</v>
      </c>
      <c r="E17647" s="4" t="str">
        <f ca="1">IFERROR(__xludf.DUMMYFUNCTION("GOOGLETRANSLATE(A450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648" spans="1:5" ht="15" customHeight="1" x14ac:dyDescent="0.25">
      <c r="A17648" s="1" t="s">
        <v>34040</v>
      </c>
      <c r="B17648" s="1">
        <v>0</v>
      </c>
      <c r="C17648" s="3">
        <v>44543.800879629627</v>
      </c>
      <c r="D17648" s="1" t="s">
        <v>34532</v>
      </c>
      <c r="E17648" s="4" t="str">
        <f ca="1">IFERROR(__xludf.DUMMYFUNCTION("GOOGLETRANSLATE(A451 , ""tr"" , ""en"")"),"RT @ BURUS999: @drfahrettinkoca they spend that slight hope to have you in between what you say! # Tbmmnethikinonlinelitim")</f>
        <v>RT @ BURUS999: @drfahrettinkoca they spend that slight hope to have you in between what you say! # Tbmmnethikinonlinelitim</v>
      </c>
    </row>
    <row r="17649" spans="1:5" ht="15" customHeight="1" x14ac:dyDescent="0.25">
      <c r="A17649" s="1" t="s">
        <v>33958</v>
      </c>
      <c r="B17649" s="1">
        <v>0</v>
      </c>
      <c r="C17649" s="3">
        <v>44543.800636574073</v>
      </c>
      <c r="D17649" s="1" t="s">
        <v>34533</v>
      </c>
      <c r="E17649" s="4" t="str">
        <f ca="1">IFERROR(__xludf.DUMMYFUNCTION("GOOGLETRANSLATE(A452 , ""tr"" , ""en"")"),"RT @PembGomesi: @drfahrettinka We believe in it's already #TBMMSticinonlinelivery")</f>
        <v>RT @PembGomesi: @drfahrettinka We believe in it's already #TBMMSticinonlinelivery</v>
      </c>
    </row>
    <row r="17650" spans="1:5" ht="15" customHeight="1" x14ac:dyDescent="0.25">
      <c r="A17650" s="1" t="s">
        <v>34534</v>
      </c>
      <c r="B17650" s="1">
        <v>0</v>
      </c>
      <c r="C17650" s="3">
        <v>44543.80059027778</v>
      </c>
      <c r="D17650" s="1" t="s">
        <v>34535</v>
      </c>
      <c r="E17650" s="4" t="str">
        <f ca="1">IFERROR(__xludf.DUMMYFUNCTION("GOOGLETRANSLATE(A453 , ""tr"" , ""en"")"),"RT @yvztncy: @drfahrettinka you have transferred to God's sin of so many people on you, the Lord is neither in the world neither in this world ...")</f>
        <v>RT @yvztncy: @drfahrettinka you have transferred to God's sin of so many people on you, the Lord is neither in the world neither in this world ...</v>
      </c>
    </row>
    <row r="17651" spans="1:5" ht="15" customHeight="1" x14ac:dyDescent="0.25">
      <c r="A17651" s="1" t="s">
        <v>33962</v>
      </c>
      <c r="B17651" s="1">
        <v>0</v>
      </c>
      <c r="C17651" s="3">
        <v>44543.800520833334</v>
      </c>
      <c r="D17651" s="1" t="s">
        <v>34536</v>
      </c>
      <c r="E17651" s="4" t="str">
        <f ca="1">IFERROR(__xludf.DUMMYFUNCTION("GOOGLETRANSLATE(A454 , ""tr"" , ""en"")"),"RT @EbruerN: @drfahrettinkoca where to be dropped from this reliable figures? What about the age of 12 years old, public health ...")</f>
        <v>RT @EbruerN: @drfahrettinkoca where to be dropped from this reliable figures? What about the age of 12 years old, public health ...</v>
      </c>
    </row>
    <row r="17652" spans="1:5" ht="15" customHeight="1" x14ac:dyDescent="0.25">
      <c r="A17652" s="1" t="s">
        <v>34044</v>
      </c>
      <c r="B17652" s="1">
        <v>0</v>
      </c>
      <c r="C17652" s="3">
        <v>44543.800474537034</v>
      </c>
      <c r="D17652" s="1" t="s">
        <v>34537</v>
      </c>
      <c r="E17652" s="4" t="str">
        <f ca="1">IFERROR(__xludf.DUMMYFUNCTION("GOOGLETRANSLATE(A455 , ""tr"" , ""en"")"),"RT @ HDremmi3: @drfahrettinkoca yaw happens, we have never seen your right that you haven't seen your")</f>
        <v>RT @ HDremmi3: @drfahrettinkoca yaw happens, we have never seen your right that you haven't seen your</v>
      </c>
    </row>
    <row r="17653" spans="1:5" ht="15" customHeight="1" x14ac:dyDescent="0.25">
      <c r="A17653" s="1" t="s">
        <v>34184</v>
      </c>
      <c r="B17653" s="1">
        <v>0</v>
      </c>
      <c r="C17653" s="3">
        <v>44543.800462962965</v>
      </c>
      <c r="D17653" s="1" t="s">
        <v>34538</v>
      </c>
      <c r="E17653" s="4" t="str">
        <f ca="1">IFERROR(__xludf.DUMMYFUNCTION("GOOGLETRANSLATE(A456 , ""tr"" , ""en"")"),"RT @ KEMAL7KRDS: @drfahrettinkoca @saglikbakanligi @rterdogan @hayat_hastanesi on 12.12.2021 Bursa Hay ...")</f>
        <v>RT @ KEMAL7KRDS: @drfahrettinkoca @saglikbakanligi @rterdogan @hayat_hastanesi on 12.12.2021 Bursa Hay ...</v>
      </c>
    </row>
    <row r="17654" spans="1:5" ht="15" customHeight="1" x14ac:dyDescent="0.25">
      <c r="A17654" s="1" t="s">
        <v>34150</v>
      </c>
      <c r="B17654" s="1">
        <v>0</v>
      </c>
      <c r="C17654" s="3">
        <v>44543.800428240742</v>
      </c>
      <c r="D17654" s="1" t="s">
        <v>34539</v>
      </c>
      <c r="E17654" s="4" t="str">
        <f ca="1">IFERROR(__xludf.DUMMYFUNCTION("GOOGLETRANSLATE(A457 , ""tr"" , ""en"")"),"RT @Buradayalizma: @drfahrettinka you don't insist on online education. Why? If you also answer this, you'd better Mr. Minister # TBMM ...")</f>
        <v>RT @Buradayalizma: @drfahrettinka you don't insist on online education. Why? If you also answer this, you'd better Mr. Minister # TBMM ...</v>
      </c>
    </row>
    <row r="17655" spans="1:5" ht="15" customHeight="1" x14ac:dyDescent="0.25">
      <c r="A17655" s="1" t="s">
        <v>34540</v>
      </c>
      <c r="B17655" s="1">
        <v>0</v>
      </c>
      <c r="C17655" s="3">
        <v>44543.80028935185</v>
      </c>
      <c r="D17655" s="1" t="s">
        <v>34541</v>
      </c>
      <c r="E17655" s="4" t="str">
        <f ca="1">IFERROR(__xludf.DUMMYFUNCTION("GOOGLETRANSLATE(A458 , ""tr"" , ""en"")"),"RT @ nurtenturcan3: @drfahrettinka is not a law such as 6284 in this country?")</f>
        <v>RT @ nurtenturcan3: @drfahrettinka is not a law such as 6284 in this country?</v>
      </c>
    </row>
    <row r="17656" spans="1:5" ht="15" customHeight="1" x14ac:dyDescent="0.25">
      <c r="A17656" s="1" t="s">
        <v>33932</v>
      </c>
      <c r="B17656" s="1">
        <v>0</v>
      </c>
      <c r="C17656" s="3">
        <v>44543.800208333334</v>
      </c>
      <c r="D17656" s="1" t="s">
        <v>34542</v>
      </c>
      <c r="E17656" s="4" t="str">
        <f ca="1">IFERROR(__xludf.DUMMYFUNCTION("GOOGLETRANSLATE(A459 , ""tr"" , ""en"")"),"RT @EbruerN: Even @drfahrettinkoca is even forced to go to the imprudent schools without taking measures. No testing no dilution ...")</f>
        <v>RT @EbruerN: Even @drfahrettinkoca is even forced to go to the imprudent schools without taking measures. No testing no dilution ...</v>
      </c>
    </row>
    <row r="17657" spans="1:5" ht="15" customHeight="1" x14ac:dyDescent="0.25">
      <c r="A17657" s="1" t="s">
        <v>33888</v>
      </c>
      <c r="B17657" s="1">
        <v>0</v>
      </c>
      <c r="C17657" s="3">
        <v>44543.800092592595</v>
      </c>
      <c r="D17657" s="1" t="s">
        <v>34543</v>
      </c>
      <c r="E17657" s="4" t="str">
        <f ca="1">IFERROR(__xludf.DUMMYFUNCTION("GOOGLETRANSLATE(A460 , ""tr"" , ""en"")"),"RT @muzafarmuratov: @drfahrettinka you injected the liquid you don't know the results in this nation. The Turkish Nation will never forget you. https: //t....")</f>
        <v>RT @muzafarmuratov: @drfahrettinka you injected the liquid you don't know the results in this nation. The Turkish Nation will never forget you. https: //t....</v>
      </c>
    </row>
    <row r="17658" spans="1:5" ht="15" customHeight="1" x14ac:dyDescent="0.25">
      <c r="A17658" s="1" t="s">
        <v>34025</v>
      </c>
      <c r="B17658" s="1">
        <v>0</v>
      </c>
      <c r="C17658" s="3">
        <v>44543.799953703703</v>
      </c>
      <c r="D17658" s="1" t="s">
        <v>34544</v>
      </c>
      <c r="E17658" s="4" t="str">
        <f ca="1">IFERROR(__xludf.DUMMYFUNCTION("GOOGLETRANSLATE(A461 , ""tr"" , ""en"")"),"Rt @vicdanadirdir: @drfahrettinkoca PCR-Mask-Mask-HEPP Code-closures We still continue to accept with our own request and circular ...")</f>
        <v>Rt @vicdanadirdir: @drfahrettinkoca PCR-Mask-Mask-HEPP Code-closures We still continue to accept with our own request and circular ...</v>
      </c>
    </row>
    <row r="17659" spans="1:5" ht="15" customHeight="1" x14ac:dyDescent="0.25">
      <c r="A17659" s="1" t="s">
        <v>33923</v>
      </c>
      <c r="B17659" s="1">
        <v>0</v>
      </c>
      <c r="C17659" s="3">
        <v>44543.799942129626</v>
      </c>
      <c r="D17659" s="1" t="s">
        <v>34545</v>
      </c>
      <c r="E17659" s="4" t="str">
        <f ca="1">IFERROR(__xludf.DUMMYFUNCTION("GOOGLETRANSLATE(A462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660" spans="1:5" ht="15" customHeight="1" x14ac:dyDescent="0.25">
      <c r="A17660" s="1" t="s">
        <v>34546</v>
      </c>
      <c r="B17660" s="1">
        <v>0</v>
      </c>
      <c r="C17660" s="3">
        <v>44543.799722222226</v>
      </c>
      <c r="D17660" s="1" t="s">
        <v>34547</v>
      </c>
      <c r="E17660" s="4" t="str">
        <f ca="1">IFERROR(__xludf.DUMMYFUNCTION("GOOGLETRANSLATE(A463 , ""tr"" , ""en"")"),"RT @ BYKOBRA7: @drfahrettinkoca will be 16 or 17 thousand tomorrow. Follow my fsystem # Tbmmacity ...")</f>
        <v>RT @ BYKOBRA7: @drfahrettinkoca will be 16 or 17 thousand tomorrow. Follow my fsystem # Tbmmacity ...</v>
      </c>
    </row>
    <row r="17661" spans="1:5" ht="15" customHeight="1" x14ac:dyDescent="0.25">
      <c r="A17661" s="1" t="s">
        <v>33923</v>
      </c>
      <c r="B17661" s="1">
        <v>0</v>
      </c>
      <c r="C17661" s="3">
        <v>44543.799710648149</v>
      </c>
      <c r="D17661" s="1" t="s">
        <v>34548</v>
      </c>
      <c r="E17661" s="4" t="str">
        <f ca="1">IFERROR(__xludf.DUMMYFUNCTION("GOOGLETRANSLATE(A464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662" spans="1:5" ht="15" customHeight="1" x14ac:dyDescent="0.25">
      <c r="A17662" s="1" t="s">
        <v>34549</v>
      </c>
      <c r="B17662" s="1">
        <v>0</v>
      </c>
      <c r="C17662" s="3">
        <v>44543.799675925926</v>
      </c>
      <c r="D17662" s="1" t="s">
        <v>34550</v>
      </c>
      <c r="E17662" s="4" t="str">
        <f ca="1">IFERROR(__xludf.DUMMYFUNCTION("GOOGLETRANSLATE(A465 , ""tr"" , ""en"")"),"RT @timberarchitec: As @drfahrettinkoca folks, our appreciation is to quit and because of your DSO Basliligi along with your Science Board ...")</f>
        <v>RT @timberarchitec: As @drfahrettinkoca folks, our appreciation is to quit and because of your DSO Basliligi along with your Science Board ...</v>
      </c>
    </row>
    <row r="17663" spans="1:5" ht="15" customHeight="1" x14ac:dyDescent="0.25">
      <c r="A17663" s="1" t="s">
        <v>34549</v>
      </c>
      <c r="B17663" s="1">
        <v>0</v>
      </c>
      <c r="C17663" s="3">
        <v>44543.79965277778</v>
      </c>
      <c r="D17663" s="1" t="s">
        <v>34551</v>
      </c>
      <c r="E17663" s="4" t="str">
        <f ca="1">IFERROR(__xludf.DUMMYFUNCTION("GOOGLETRANSLATE(A466 , ""tr"" , ""en"")"),"RT @timberarchitec: As @drfahrettinkoca folks, our appreciation is to quit and because of your DSO Basliligi along with your Science Board ...")</f>
        <v>RT @timberarchitec: As @drfahrettinkoca folks, our appreciation is to quit and because of your DSO Basliligi along with your Science Board ...</v>
      </c>
    </row>
    <row r="17664" spans="1:5" ht="15" customHeight="1" x14ac:dyDescent="0.25">
      <c r="A17664" s="1" t="s">
        <v>34552</v>
      </c>
      <c r="B17664" s="1">
        <v>0</v>
      </c>
      <c r="C17664" s="3">
        <v>44543.799618055556</v>
      </c>
      <c r="D17664" s="1" t="s">
        <v>34553</v>
      </c>
      <c r="E17664" s="4" t="str">
        <f ca="1">IFERROR(__xludf.DUMMYFUNCTION("GOOGLETRANSLATE(A467 , ""tr"" , ""en"")"),"RT @ narinblack1: @drfahrettinkoca hospitals loading and carrying a lot of cases while the case is only 18 thousand ?? Turkey's certainty ...")</f>
        <v>RT @ narinblack1: @drfahrettinkoca hospitals loading and carrying a lot of cases while the case is only 18 thousand ?? Turkey's certainty ...</v>
      </c>
    </row>
    <row r="17665" spans="1:5" ht="15" customHeight="1" x14ac:dyDescent="0.25">
      <c r="A17665" s="1" t="s">
        <v>34554</v>
      </c>
      <c r="B17665" s="1">
        <v>0</v>
      </c>
      <c r="C17665" s="3">
        <v>44543.799490740741</v>
      </c>
      <c r="D17665" s="1" t="s">
        <v>34555</v>
      </c>
      <c r="E17665" s="4" t="str">
        <f ca="1">IFERROR(__xludf.DUMMYFUNCTION("GOOGLETRANSLATE(A468 , ""tr"" , ""en"")"),"RT @sumeyyepoyrazz: @drfahrettinkoca is the fair that you say fair purchase. You don't even say that they are outside two branches. Months of months.")</f>
        <v>RT @sumeyyepoyrazz: @drfahrettinkoca is the fair that you say fair purchase. You don't even say that they are outside two branches. Months of months.</v>
      </c>
    </row>
    <row r="17666" spans="1:5" ht="15" customHeight="1" x14ac:dyDescent="0.25">
      <c r="A17666" s="1" t="s">
        <v>33950</v>
      </c>
      <c r="B17666" s="1">
        <v>0</v>
      </c>
      <c r="C17666" s="3">
        <v>44543.799479166664</v>
      </c>
      <c r="D17666" s="1" t="s">
        <v>34556</v>
      </c>
      <c r="E17666" s="4" t="str">
        <f ca="1">IFERROR(__xludf.DUMMYFUNCTION("GOOGLETRANSLATE(A469 , ""tr"" , ""en"")"),"Rt @yedekhesapflm: @drfahrettinkoca are you kidding me dear #tbmmmbikicinonlinelivery")</f>
        <v>Rt @yedekhesapflm: @drfahrettinkoca are you kidding me dear #tbmmmbikicinonlinelivery</v>
      </c>
    </row>
    <row r="17667" spans="1:5" ht="15" customHeight="1" x14ac:dyDescent="0.25">
      <c r="A17667" s="1" t="s">
        <v>33952</v>
      </c>
      <c r="B17667" s="1">
        <v>0</v>
      </c>
      <c r="C17667" s="3">
        <v>44543.79923611111</v>
      </c>
      <c r="D17667" s="1" t="s">
        <v>34557</v>
      </c>
      <c r="E17667" s="4" t="str">
        <f ca="1">IFERROR(__xludf.DUMMYFUNCTION("GOOGLETRANSLATE(A470 , ""tr"" , ""en"")"),"RT @Jigell_: @drfahrettinkoca oo, 18 thousand cases, corona finished, decompose masks, what is friends? As if coronavirus is over.")</f>
        <v>RT @Jigell_: @drfahrettinkoca oo, 18 thousand cases, corona finished, decompose masks, what is friends? As if coronavirus is over.</v>
      </c>
    </row>
    <row r="17668" spans="1:5" ht="15" customHeight="1" x14ac:dyDescent="0.25">
      <c r="A17668" s="1" t="s">
        <v>33923</v>
      </c>
      <c r="B17668" s="1">
        <v>0</v>
      </c>
      <c r="C17668" s="3">
        <v>44543.799189814818</v>
      </c>
      <c r="D17668" s="1" t="s">
        <v>34558</v>
      </c>
      <c r="E17668" s="4" t="str">
        <f ca="1">IFERROR(__xludf.DUMMYFUNCTION("GOOGLETRANSLATE(A471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669" spans="1:5" ht="15" customHeight="1" x14ac:dyDescent="0.25">
      <c r="A17669" s="1" t="s">
        <v>34150</v>
      </c>
      <c r="B17669" s="1">
        <v>0</v>
      </c>
      <c r="C17669" s="3">
        <v>44543.799074074072</v>
      </c>
      <c r="D17669" s="1" t="s">
        <v>34559</v>
      </c>
      <c r="E17669" s="4" t="str">
        <f ca="1">IFERROR(__xludf.DUMMYFUNCTION("GOOGLETRANSLATE(A472 , ""tr"" , ""en"")"),"RT @Buradayalizma: @drfahrettinka you don't insist on online education. Why? If you also answer this, you'd better Mr. Minister # TBMM ...")</f>
        <v>RT @Buradayalizma: @drfahrettinka you don't insist on online education. Why? If you also answer this, you'd better Mr. Minister # TBMM ...</v>
      </c>
    </row>
    <row r="17670" spans="1:5" ht="15" customHeight="1" x14ac:dyDescent="0.25">
      <c r="A17670" s="1" t="s">
        <v>34560</v>
      </c>
      <c r="B17670" s="1">
        <v>0</v>
      </c>
      <c r="C17670" s="3">
        <v>44543.798958333333</v>
      </c>
      <c r="D17670" s="1" t="s">
        <v>34561</v>
      </c>
      <c r="E17670" s="4" t="str">
        <f ca="1">IFERROR(__xludf.DUMMYFUNCTION("GOOGLETRANSLATE(A473 , ""tr"" , ""en"")"),"RT @ ONLNE2021: @drfahrettinkoca is not as frightening as it starts? Lonely people still die case pattern exploded. How to fear ...")</f>
        <v>RT @ ONLNE2021: @drfahrettinkoca is not as frightening as it starts? Lonely people still die case pattern exploded. How to fear ...</v>
      </c>
    </row>
    <row r="17671" spans="1:5" ht="15" customHeight="1" x14ac:dyDescent="0.25">
      <c r="A17671" s="1" t="s">
        <v>34562</v>
      </c>
      <c r="B17671" s="1">
        <v>0</v>
      </c>
      <c r="C17671" s="3">
        <v>44543.798807870371</v>
      </c>
      <c r="D17671" s="1" t="s">
        <v>34563</v>
      </c>
      <c r="E17671" s="4" t="str">
        <f ca="1">IFERROR(__xludf.DUMMYFUNCTION("GOOGLETRANSLATE(A474 , ""tr"" , ""en"")"),"RT @ Yusuf17944329: @drfahrettinkoca https://t.co/ykzksgthak")</f>
        <v>RT @ Yusuf17944329: @drfahrettinkoca https://t.co/ykzksgthak</v>
      </c>
    </row>
    <row r="17672" spans="1:5" ht="15" customHeight="1" x14ac:dyDescent="0.25">
      <c r="A17672" s="1" t="s">
        <v>33975</v>
      </c>
      <c r="B17672" s="1">
        <v>0</v>
      </c>
      <c r="C17672" s="3">
        <v>44543.798761574071</v>
      </c>
      <c r="D17672" s="1" t="s">
        <v>34564</v>
      </c>
      <c r="E17672" s="4" t="str">
        <f ca="1">IFERROR(__xludf.DUMMYFUNCTION("GOOGLETRANSLATE(A475 , ""tr"" , ""en"")"),"Rt @buradayim: @drfahrettinkoca 171 people died and what you are died, just put yourself in place of the family of 171 people. ...")</f>
        <v>Rt @buradayim: @drfahrettinkoca 171 people died and what you are died, just put yourself in place of the family of 171 people. ...</v>
      </c>
    </row>
    <row r="17673" spans="1:5" ht="15" customHeight="1" x14ac:dyDescent="0.25">
      <c r="A17673" s="1" t="s">
        <v>33991</v>
      </c>
      <c r="B17673" s="1">
        <v>0</v>
      </c>
      <c r="C17673" s="3">
        <v>44543.79859953704</v>
      </c>
      <c r="D17673" s="1" t="s">
        <v>34565</v>
      </c>
      <c r="E17673" s="4" t="str">
        <f ca="1">IFERROR(__xludf.DUMMYFUNCTION("GOOGLETRANSLATE(A476 , ""tr"" , ""en"")"),"RT @Ebruzeybon: Why is @drfahrettinkoca why is it like this ... Why are children not protected? # Tbmmnethikinonlinelitim")</f>
        <v>RT @Ebruzeybon: Why is @drfahrettinkoca why is it like this ... Why are children not protected? # Tbmmnethikinonlinelitim</v>
      </c>
    </row>
    <row r="17674" spans="1:5" ht="15" customHeight="1" x14ac:dyDescent="0.25">
      <c r="A17674" s="1" t="s">
        <v>33966</v>
      </c>
      <c r="B17674" s="1">
        <v>0</v>
      </c>
      <c r="C17674" s="3">
        <v>44543.798541666663</v>
      </c>
      <c r="D17674" s="1" t="s">
        <v>34566</v>
      </c>
      <c r="E17674" s="4" t="str">
        <f ca="1">IFERROR(__xludf.DUMMYFUNCTION("GOOGLETRANSLATE(A477 , ""tr"" , ""en"")"),"RT @handantuncalp: @drfahrettinkoca is amazing to take the same number of tests every day. Schools Crowded environments are extremely contagious ...")</f>
        <v>RT @handantuncalp: @drfahrettinkoca is amazing to take the same number of tests every day. Schools Crowded environments are extremely contagious ...</v>
      </c>
    </row>
    <row r="17675" spans="1:5" ht="15" customHeight="1" x14ac:dyDescent="0.25">
      <c r="A17675" s="1" t="s">
        <v>33916</v>
      </c>
      <c r="B17675" s="1">
        <v>0</v>
      </c>
      <c r="C17675" s="3">
        <v>44543.797719907408</v>
      </c>
      <c r="D17675" s="1" t="s">
        <v>34567</v>
      </c>
      <c r="E17675" s="4" t="str">
        <f ca="1">IFERROR(__xludf.DUMMYFUNCTION("GOOGLETRANSLATE(A478 , ""tr"" , ""en"")"),"RT @ dr_uyssal18: @drfahrettinkoca sec Minister, professional training in the field of health, our state of health management graduates give the staff ...")</f>
        <v>RT @ dr_uyssal18: @drfahrettinkoca sec Minister, professional training in the field of health, our state of health management graduates give the staff ...</v>
      </c>
    </row>
    <row r="17676" spans="1:5" ht="15" customHeight="1" x14ac:dyDescent="0.25">
      <c r="A17676" s="1" t="s">
        <v>34040</v>
      </c>
      <c r="B17676" s="1">
        <v>0</v>
      </c>
      <c r="C17676" s="3">
        <v>44543.797500000001</v>
      </c>
      <c r="D17676" s="1" t="s">
        <v>34568</v>
      </c>
      <c r="E17676" s="4" t="str">
        <f ca="1">IFERROR(__xludf.DUMMYFUNCTION("GOOGLETRANSLATE(A479 , ""tr"" , ""en"")"),"RT @ BURUS999: @drfahrettinkoca they spend that slight hope to have you in between what you say! # Tbmmnethikinonlinelitim")</f>
        <v>RT @ BURUS999: @drfahrettinkoca they spend that slight hope to have you in between what you say! # Tbmmnethikinonlinelitim</v>
      </c>
    </row>
    <row r="17677" spans="1:5" ht="15" customHeight="1" x14ac:dyDescent="0.25">
      <c r="A17677" s="1" t="s">
        <v>34040</v>
      </c>
      <c r="B17677" s="1">
        <v>0</v>
      </c>
      <c r="C17677" s="3">
        <v>44543.796342592592</v>
      </c>
      <c r="D17677" s="1" t="s">
        <v>34569</v>
      </c>
      <c r="E17677" s="4" t="str">
        <f ca="1">IFERROR(__xludf.DUMMYFUNCTION("GOOGLETRANSLATE(A480 , ""tr"" , ""en"")"),"RT @ BURUS999: @drfahrettinkoca they spend that slight hope to have you in between what you say! # Tbmmnethikinonlinelitim")</f>
        <v>RT @ BURUS999: @drfahrettinkoca they spend that slight hope to have you in between what you say! # Tbmmnethikinonlinelitim</v>
      </c>
    </row>
    <row r="17678" spans="1:5" ht="15" customHeight="1" x14ac:dyDescent="0.25">
      <c r="A17678" s="1" t="s">
        <v>34570</v>
      </c>
      <c r="B17678" s="1">
        <v>0</v>
      </c>
      <c r="C17678" s="3">
        <v>44543.796168981484</v>
      </c>
      <c r="D17678" s="1" t="s">
        <v>34571</v>
      </c>
      <c r="E17678" s="4" t="str">
        <f ca="1">IFERROR(__xludf.DUMMYFUNCTION("GOOGLETRANSLATE(A481 , ""tr"" , ""en"")"),"RT @ eaydn0000: @drfahrettinkoca is a gesture of using the following order mode The country is not your farm.")</f>
        <v>RT @ eaydn0000: @drfahrettinkoca is a gesture of using the following order mode The country is not your farm.</v>
      </c>
    </row>
    <row r="17679" spans="1:5" ht="15" customHeight="1" x14ac:dyDescent="0.25">
      <c r="A17679" s="1" t="s">
        <v>33911</v>
      </c>
      <c r="B17679" s="1">
        <v>0</v>
      </c>
      <c r="C17679" s="3">
        <v>44543.796030092592</v>
      </c>
      <c r="D17679" s="1" t="s">
        <v>34572</v>
      </c>
      <c r="E17679" s="4" t="str">
        <f ca="1">IFERROR(__xludf.DUMMYFUNCTION("GOOGLETRANSLATE(A482 , ""tr"" , ""en"")"),"RT @ Cemilcan5834: @drfahrettinkoca direct screenshot Get to Get Friendlier This tweet always comes enough, athletes Celebrities Stay ...")</f>
        <v>RT @ Cemilcan5834: @drfahrettinkoca direct screenshot Get to Get Friendlier This tweet always comes enough, athletes Celebrities Stay ...</v>
      </c>
    </row>
    <row r="17680" spans="1:5" ht="15" customHeight="1" x14ac:dyDescent="0.25">
      <c r="A17680" s="1" t="s">
        <v>33923</v>
      </c>
      <c r="B17680" s="1">
        <v>0</v>
      </c>
      <c r="C17680" s="3">
        <v>44543.795682870368</v>
      </c>
      <c r="D17680" s="1" t="s">
        <v>34573</v>
      </c>
      <c r="E17680" s="4" t="str">
        <f ca="1">IFERROR(__xludf.DUMMYFUNCTION("GOOGLETRANSLATE(A483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681" spans="1:5" ht="15" customHeight="1" x14ac:dyDescent="0.25">
      <c r="A17681" s="1" t="s">
        <v>34363</v>
      </c>
      <c r="B17681" s="1">
        <v>0</v>
      </c>
      <c r="C17681" s="3">
        <v>44543.795682870368</v>
      </c>
      <c r="D17681" s="1" t="s">
        <v>34574</v>
      </c>
      <c r="E17681" s="4" t="str">
        <f ca="1">IFERROR(__xludf.DUMMYFUNCTION("GOOGLETRANSLATE(A484 , ""tr"" , ""en"")"),"RT @mevltgnydn: @drfahrettinkoca UK status I'm saying over and over again in the middle is a patient before the precaution you said.")</f>
        <v>RT @mevltgnydn: @drfahrettinkoca UK status I'm saying over and over again in the middle is a patient before the precaution you said.</v>
      </c>
    </row>
    <row r="17682" spans="1:5" ht="15" customHeight="1" x14ac:dyDescent="0.25">
      <c r="A17682" s="1" t="s">
        <v>33923</v>
      </c>
      <c r="B17682" s="1">
        <v>0</v>
      </c>
      <c r="C17682" s="3">
        <v>44543.795208333337</v>
      </c>
      <c r="D17682" s="1" t="s">
        <v>34575</v>
      </c>
      <c r="E17682" s="4" t="str">
        <f ca="1">IFERROR(__xludf.DUMMYFUNCTION("GOOGLETRANSLATE(A485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683" spans="1:5" ht="15" customHeight="1" x14ac:dyDescent="0.25">
      <c r="A17683" s="1" t="s">
        <v>33923</v>
      </c>
      <c r="B17683" s="1">
        <v>0</v>
      </c>
      <c r="C17683" s="3">
        <v>44543.795173611114</v>
      </c>
      <c r="D17683" s="1" t="s">
        <v>34576</v>
      </c>
      <c r="E17683" s="4" t="str">
        <f ca="1">IFERROR(__xludf.DUMMYFUNCTION("GOOGLETRANSLATE(A486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684" spans="1:5" ht="15" customHeight="1" x14ac:dyDescent="0.25">
      <c r="A17684" s="1" t="s">
        <v>33993</v>
      </c>
      <c r="B17684" s="1">
        <v>0</v>
      </c>
      <c r="C17684" s="3">
        <v>44543.795115740744</v>
      </c>
      <c r="D17684" s="1" t="s">
        <v>34577</v>
      </c>
      <c r="E17684" s="4" t="str">
        <f ca="1">IFERROR(__xludf.DUMMYFUNCTION("GOOGLETRANSLATE(A487 , ""tr"" , ""en"")"),"Rt @kralsizkole: @drfahrettinkoca @drfahrettinkoca @saglikbakanligi Hospital Hospitalized HBBS So Data Processing Staff Subcontracting Law Victim Software Comp ...")</f>
        <v>Rt @kralsizkole: @drfahrettinkoca @drfahrettinkoca @saglikbakanligi Hospital Hospitalized HBBS So Data Processing Staff Subcontracting Law Victim Software Comp ...</v>
      </c>
    </row>
    <row r="17685" spans="1:5" ht="15" customHeight="1" x14ac:dyDescent="0.25">
      <c r="A17685" s="1" t="s">
        <v>34179</v>
      </c>
      <c r="B17685" s="1">
        <v>0</v>
      </c>
      <c r="C17685" s="3">
        <v>44543.795046296298</v>
      </c>
      <c r="D17685" s="1" t="s">
        <v>34578</v>
      </c>
      <c r="E17685" s="4" t="str">
        <f ca="1">IFERROR(__xludf.DUMMYFUNCTION("GOOGLETRANSLATE(A488 , ""tr"" , ""en"")"),"RT @ turkasil1: @drfahrettinkoca Hospitals working in Hospitals724 The HBBY employees of the person who has always left subcontractors for the sake of interest in ...")</f>
        <v>RT @ turkasil1: @drfahrettinkoca Hospitals working in Hospitals724 The HBBY employees of the person who has always left subcontractors for the sake of interest in ...</v>
      </c>
    </row>
    <row r="17686" spans="1:5" ht="15" customHeight="1" x14ac:dyDescent="0.25">
      <c r="A17686" s="1" t="s">
        <v>33981</v>
      </c>
      <c r="B17686" s="1">
        <v>0</v>
      </c>
      <c r="C17686" s="3">
        <v>44543.794953703706</v>
      </c>
      <c r="D17686" s="1" t="s">
        <v>34579</v>
      </c>
      <c r="E17686" s="4" t="str">
        <f ca="1">IFERROR(__xludf.DUMMYFUNCTION("GOOGLETRANSLATE(A489 , ""tr"" , ""en"")"),"RT @ LALA23111660: @drfahrettinka you are people who have answered to the question that even if you have case of Omicron. We don't believe in you in life # ...")</f>
        <v>RT @ LALA23111660: @drfahrettinka you are people who have answered to the question that even if you have case of Omicron. We don't believe in you in life # ...</v>
      </c>
    </row>
    <row r="17687" spans="1:5" ht="15" customHeight="1" x14ac:dyDescent="0.25">
      <c r="A17687" s="1" t="s">
        <v>33991</v>
      </c>
      <c r="B17687" s="1">
        <v>0</v>
      </c>
      <c r="C17687" s="3">
        <v>44543.794768518521</v>
      </c>
      <c r="D17687" s="1" t="s">
        <v>34580</v>
      </c>
      <c r="E17687" s="4" t="str">
        <f ca="1">IFERROR(__xludf.DUMMYFUNCTION("GOOGLETRANSLATE(A490 , ""tr"" , ""en"")"),"RT @Ebruzeybon: Why is @drfahrettinkoca why is it like this ... Why are children not protected? # Tbmmnethikinonlinelitim")</f>
        <v>RT @Ebruzeybon: Why is @drfahrettinkoca why is it like this ... Why are children not protected? # Tbmmnethikinonlinelitim</v>
      </c>
    </row>
    <row r="17688" spans="1:5" ht="15" customHeight="1" x14ac:dyDescent="0.25">
      <c r="A17688" s="1" t="s">
        <v>33923</v>
      </c>
      <c r="B17688" s="1">
        <v>0</v>
      </c>
      <c r="C17688" s="3">
        <v>44543.794733796298</v>
      </c>
      <c r="D17688" s="1" t="s">
        <v>34581</v>
      </c>
      <c r="E17688" s="4" t="str">
        <f ca="1">IFERROR(__xludf.DUMMYFUNCTION("GOOGLETRANSLATE(A491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689" spans="1:5" ht="15" customHeight="1" x14ac:dyDescent="0.25">
      <c r="A17689" s="1" t="s">
        <v>33923</v>
      </c>
      <c r="B17689" s="1">
        <v>0</v>
      </c>
      <c r="C17689" s="3">
        <v>44543.794687499998</v>
      </c>
      <c r="D17689" s="1" t="s">
        <v>34582</v>
      </c>
      <c r="E17689" s="4" t="str">
        <f ca="1">IFERROR(__xludf.DUMMYFUNCTION("GOOGLETRANSLATE(A492 , ""tr"" , ""en"")"),"RT @HBYS_PLATFORMU: @drfahrettinkoca #hbys 696khkda excluded information personnel who are working with a tender 4D Disclosure of Continquitive Cadross ...")</f>
        <v>RT @HBYS_PLATFORMU: @drfahrettinkoca #hbys 696khkda excluded information personnel who are working with a tender 4D Disclosure of Continquitive Cadross ...</v>
      </c>
    </row>
    <row r="17690" spans="1:5" ht="15" customHeight="1" x14ac:dyDescent="0.25">
      <c r="A17690" s="1" t="s">
        <v>34583</v>
      </c>
      <c r="B17690" s="1">
        <v>0</v>
      </c>
      <c r="C17690" s="3">
        <v>44535.989733796298</v>
      </c>
      <c r="D17690" s="1" t="s">
        <v>34584</v>
      </c>
      <c r="E17690" s="4" t="str">
        <f ca="1">IFERROR(__xludf.DUMMYFUNCTION("GOOGLETRANSLATE(A493 , ""tr"" , ""en"")"),"@drfahrettinkoca @sagliklicozum The historic day came fractured. # Healthcare")</f>
        <v>@drfahrettinkoca @sagliklicozum The historic day came fractured. # Healthcare</v>
      </c>
    </row>
    <row r="17691" spans="1:5" ht="15" customHeight="1" x14ac:dyDescent="0.25">
      <c r="A17691" s="1" t="s">
        <v>34585</v>
      </c>
      <c r="B17691" s="1">
        <v>0</v>
      </c>
      <c r="C17691" s="3">
        <v>44535.952476851853</v>
      </c>
      <c r="D17691" s="1" t="s">
        <v>34586</v>
      </c>
      <c r="E17691" s="4" t="str">
        <f ca="1">IFERROR(__xludf.DUMMYFUNCTION("GOOGLETRANSLATE(A494 , ""tr"" , ""en"")"),"@drfahrettinkoca @saglikbakanligi @adalet_bakanlik Doesn't do anything, insensitive to deaths. Try in the Ministry of Health ... https://t.co/m8I1Injab8")</f>
        <v>@drfahrettinkoca @saglikbakanligi @adalet_bakanlik Doesn't do anything, insensitive to deaths. Try in the Ministry of Health ... https://t.co/m8I1Injab8</v>
      </c>
    </row>
    <row r="17692" spans="1:5" ht="15" customHeight="1" x14ac:dyDescent="0.25">
      <c r="A17692" s="1" t="s">
        <v>34587</v>
      </c>
      <c r="B17692" s="1">
        <v>0</v>
      </c>
      <c r="C17692" s="3">
        <v>44535.939953703702</v>
      </c>
      <c r="D17692" s="1" t="s">
        <v>34588</v>
      </c>
      <c r="E17692" s="4" t="str">
        <f ca="1">IFERROR(__xludf.DUMMYFUNCTION("GOOGLETRANSLATE(A495 , ""tr"" , ""en"")"),"@drfahrettinkoca water sma patients neoldu aga ????? Gene Treatment Neoldi ???? Don't be embarrassed, the fear of allahhh ... https://t.co/lvhebhzmnq")</f>
        <v>@drfahrettinkoca water sma patients neoldu aga ????? Gene Treatment Neoldi ???? Don't be embarrassed, the fear of allahhh ... https://t.co/lvhebhzmnq</v>
      </c>
    </row>
    <row r="17693" spans="1:5" ht="15" customHeight="1" x14ac:dyDescent="0.25">
      <c r="A17693" s="1" t="s">
        <v>34589</v>
      </c>
      <c r="B17693" s="1">
        <v>0</v>
      </c>
      <c r="C17693" s="3">
        <v>44535.933136574073</v>
      </c>
      <c r="D17693" s="1" t="s">
        <v>34590</v>
      </c>
      <c r="E17693" s="4" t="str">
        <f ca="1">IFERROR(__xludf.DUMMYFUNCTION("GOOGLETRANSLATE(A496 , ""tr"" , ""en"")"),"@drfahrettinkoca Mr. Minister You are the parents of the parents of your parents Always Inserting you in Aksehirli ... https://t.co/g4c43mwahw")</f>
        <v>@drfahrettinkoca Mr. Minister You are the parents of the parents of your parents Always Inserting you in Aksehirli ... https://t.co/g4c43mwahw</v>
      </c>
    </row>
    <row r="17694" spans="1:5" ht="15" customHeight="1" x14ac:dyDescent="0.25">
      <c r="A17694" s="1" t="s">
        <v>34591</v>
      </c>
      <c r="B17694" s="1">
        <v>2</v>
      </c>
      <c r="C17694" s="3">
        <v>44535.929675925923</v>
      </c>
      <c r="D17694" s="1" t="s">
        <v>34592</v>
      </c>
      <c r="E17694" s="4" t="str">
        <f ca="1">IFERROR(__xludf.DUMMYFUNCTION("GOOGLETRANSLATE(A497 , ""tr"" , ""en"")"),"@drfahrettinkoca @saglikbakanligi Yes what will be waiting. Every polo every pole is the same story. Stays next to the structure ... https://t.co/QVIEI3NGFE")</f>
        <v>@drfahrettinkoca @saglikbakanligi Yes what will be waiting. Every polo every pole is the same story. Stays next to the structure ... https://t.co/QVIEI3NGFE</v>
      </c>
    </row>
    <row r="17695" spans="1:5" ht="15" customHeight="1" x14ac:dyDescent="0.25">
      <c r="A17695" s="1" t="s">
        <v>34593</v>
      </c>
      <c r="B17695" s="1">
        <v>5</v>
      </c>
      <c r="C17695" s="3">
        <v>44535.929027777776</v>
      </c>
      <c r="D17695" s="1" t="s">
        <v>34594</v>
      </c>
      <c r="E17695" s="4" t="str">
        <f ca="1">IFERROR(__xludf.DUMMYFUNCTION("GOOGLETRANSLATE(A498 , ""tr"" , ""en"")"),"@drfahrettinkoca @saglikbakanligi @hekimsensndk #Sheekimleristifaording #peakers Https://t.co/0gh68vdneq")</f>
        <v>@drfahrettinkoca @saglikbakanligi @hekimsensndk #Sheekimleristifaording #peakers Https://t.co/0gh68vdneq</v>
      </c>
    </row>
    <row r="17696" spans="1:5" ht="15" customHeight="1" x14ac:dyDescent="0.25">
      <c r="A17696" s="1" t="s">
        <v>34595</v>
      </c>
      <c r="B17696" s="1">
        <v>0</v>
      </c>
      <c r="C17696" s="3">
        <v>44535.927604166667</v>
      </c>
      <c r="D17696" s="1" t="s">
        <v>34596</v>
      </c>
      <c r="E17696" s="4" t="str">
        <f ca="1">IFERROR(__xludf.DUMMYFUNCTION("GOOGLETRANSLATE(A499 , ""tr"" , ""en"")"),"@drfahrettinka Mr. Ministry of Ministry I want in their examinations https://t.co/IMCSPWhi5r")</f>
        <v>@drfahrettinka Mr. Ministry of Ministry I want in their examinations https://t.co/IMCSPWhi5r</v>
      </c>
    </row>
    <row r="17697" spans="1:5" ht="15" customHeight="1" x14ac:dyDescent="0.25">
      <c r="A17697" s="1" t="s">
        <v>34597</v>
      </c>
      <c r="B17697" s="1">
        <v>0</v>
      </c>
      <c r="C17697" s="3">
        <v>44535.923263888886</v>
      </c>
      <c r="D17697" s="1" t="s">
        <v>34598</v>
      </c>
      <c r="E17697" s="4" t="str">
        <f ca="1">IFERROR(__xludf.DUMMYFUNCTION("GOOGLETRANSLATE(A500 , ""tr"" , ""en"")"),"@drfahrettinkoca prescription over the e-state, the firisium medicine did not come for a long time .Telefo ... https://t.co/txwhkq4zlll")</f>
        <v>@drfahrettinkoca prescription over the e-state, the firisium medicine did not come for a long time .Telefo ... https://t.co/txwhkq4zlll</v>
      </c>
    </row>
    <row r="17698" spans="1:5" ht="15" customHeight="1" x14ac:dyDescent="0.25">
      <c r="A17698" s="1" t="s">
        <v>34599</v>
      </c>
      <c r="B17698" s="1">
        <v>0</v>
      </c>
      <c r="C17698" s="3">
        <v>44535.92</v>
      </c>
      <c r="D17698" s="1" t="s">
        <v>34600</v>
      </c>
      <c r="E17698" s="4" t="str">
        <f ca="1">IFERROR(__xludf.DUMMYFUNCTION("GOOGLETRANSLATE(A501 , ""tr"" , ""en"")"),"@drfahrettinkoca Mr. Ministry of Epilepsy We can't find the medicine called Firisium from abroad")</f>
        <v>@drfahrettinkoca Mr. Ministry of Epilepsy We can't find the medicine called Firisium from abroad</v>
      </c>
    </row>
    <row r="17699" spans="1:5" ht="15" customHeight="1" x14ac:dyDescent="0.25">
      <c r="A17699" s="1" t="s">
        <v>34601</v>
      </c>
      <c r="B17699" s="1">
        <v>2</v>
      </c>
      <c r="C17699" s="3">
        <v>44535.917916666665</v>
      </c>
      <c r="D17699" s="1" t="s">
        <v>34602</v>
      </c>
      <c r="E17699" s="4" t="str">
        <f ca="1">IFERROR(__xludf.DUMMYFUNCTION("GOOGLETRANSLATE(A502 , ""tr"" , ""en"")"),"@drfahrettinkoca #the physicians Https://t.co/ndvbouxcl3")</f>
        <v>@drfahrettinkoca #the physicians Https://t.co/ndvbouxcl3</v>
      </c>
    </row>
    <row r="17700" spans="1:5" ht="15" customHeight="1" x14ac:dyDescent="0.25">
      <c r="A17700" s="1" t="s">
        <v>34603</v>
      </c>
      <c r="B17700" s="1">
        <v>0</v>
      </c>
      <c r="C17700" s="3">
        <v>44535.913368055553</v>
      </c>
      <c r="D17700" s="1" t="s">
        <v>34604</v>
      </c>
      <c r="E17700" s="4" t="str">
        <f ca="1">IFERROR(__xludf.DUMMYFUNCTION("GOOGLETRANSLATE(A503 , ""tr"" , ""en"")"),"@drfahrettinkoca @rterdogan https://t.co/8sx5ujuhb5")</f>
        <v>@drfahrettinkoca @rterdogan https://t.co/8sx5ujuhb5</v>
      </c>
    </row>
    <row r="17701" spans="1:5" ht="15" customHeight="1" x14ac:dyDescent="0.25">
      <c r="A17701" s="1" t="s">
        <v>34605</v>
      </c>
      <c r="B17701" s="1">
        <v>0</v>
      </c>
      <c r="C17701" s="3">
        <v>44535.904699074075</v>
      </c>
      <c r="D17701" s="1" t="s">
        <v>34606</v>
      </c>
      <c r="E17701" s="4" t="str">
        <f ca="1">IFERROR(__xludf.DUMMYFUNCTION("GOOGLETRANSLATE(A504 , ""tr"" , ""en"")"),"@drfahrettinkoca #health https://t.co/zkuqyjxxdj")</f>
        <v>@drfahrettinkoca #health https://t.co/zkuqyjxxdj</v>
      </c>
    </row>
    <row r="17702" spans="1:5" ht="15" customHeight="1" x14ac:dyDescent="0.25">
      <c r="A17702" s="1" t="s">
        <v>34607</v>
      </c>
      <c r="B17702" s="1">
        <v>6</v>
      </c>
      <c r="C17702" s="3">
        <v>44535.899247685185</v>
      </c>
      <c r="D17702" s="1" t="s">
        <v>34608</v>
      </c>
      <c r="E17702" s="4" t="str">
        <f ca="1">IFERROR(__xludf.DUMMYFUNCTION("GOOGLETRANSLATE(A505 , ""tr"" , ""en"")"),"@drfahrettinkoca @saglikbakanligi is incapable of exiting your doctors.We will lose a great location ...")</f>
        <v>@drfahrettinkoca @saglikbakanligi is incapable of exiting your doctors.We will lose a great location ...</v>
      </c>
    </row>
    <row r="17703" spans="1:5" ht="15" customHeight="1" x14ac:dyDescent="0.25">
      <c r="A17703" s="1" t="s">
        <v>34609</v>
      </c>
      <c r="B17703" s="1">
        <v>1</v>
      </c>
      <c r="C17703" s="3">
        <v>44535.89640046296</v>
      </c>
      <c r="D17703" s="1" t="s">
        <v>34610</v>
      </c>
      <c r="E17703" s="4" t="str">
        <f ca="1">IFERROR(__xludf.DUMMYFUNCTION("GOOGLETRANSLATE(A506 , ""tr"" , ""en"")"),"@drfahrettinkoca Mr. Minister, Eagle to close and patients with emergency doctors in the city hospital ... https://t.co/unvhkeojdt")</f>
        <v>@drfahrettinkoca Mr. Minister, Eagle to close and patients with emergency doctors in the city hospital ... https://t.co/unvhkeojdt</v>
      </c>
    </row>
    <row r="17704" spans="1:5" ht="15" customHeight="1" x14ac:dyDescent="0.25">
      <c r="A17704" s="1" t="s">
        <v>34611</v>
      </c>
      <c r="B17704" s="1">
        <v>0</v>
      </c>
      <c r="C17704" s="3">
        <v>44535.894293981481</v>
      </c>
      <c r="D17704" s="1" t="s">
        <v>34612</v>
      </c>
      <c r="E17704" s="4" t="str">
        <f ca="1">IFERROR(__xludf.DUMMYFUNCTION("GOOGLETRANSLATE(A507 , ""tr"" , ""en"")"),"@drfahrettinkoca sec. Minister has been an appointment for an appointment of 182 for a year 182 No Appointment for an appointment YEW ... https://t.co/xgjgvbwxsz")</f>
        <v>@drfahrettinkoca sec. Minister has been an appointment for an appointment of 182 for a year 182 No Appointment for an appointment YEW ... https://t.co/xgjgvbwxsz</v>
      </c>
    </row>
    <row r="17705" spans="1:5" ht="15" customHeight="1" x14ac:dyDescent="0.25">
      <c r="A17705" s="1" t="s">
        <v>34613</v>
      </c>
      <c r="B17705" s="1">
        <v>0</v>
      </c>
      <c r="C17705" s="3">
        <v>44535.892835648148</v>
      </c>
      <c r="D17705" s="1" t="s">
        <v>34614</v>
      </c>
      <c r="E17705" s="4" t="str">
        <f ca="1">IFERROR(__xludf.DUMMYFUNCTION("GOOGLETRANSLATE(A508 , ""tr"" , ""en"")"),"@drfahrettinkoca lying seriously, you seriously believe we will believe we will believe the din with religion")</f>
        <v>@drfahrettinkoca lying seriously, you seriously believe we will believe we will believe the din with religion</v>
      </c>
    </row>
    <row r="17706" spans="1:5" ht="15" customHeight="1" x14ac:dyDescent="0.25">
      <c r="A17706" s="1" t="s">
        <v>34615</v>
      </c>
      <c r="B17706" s="1">
        <v>0</v>
      </c>
      <c r="C17706" s="3">
        <v>44535.882777777777</v>
      </c>
      <c r="D17706" s="1" t="s">
        <v>34616</v>
      </c>
      <c r="E17706" s="4" t="str">
        <f ca="1">IFERROR(__xludf.DUMMYFUNCTION("GOOGLETRANSLATE(A509 , ""tr"" , ""en"")"),"@drfahrettinka Dear Minister Are you a follower? https://t.co/a35zrtmwlm")</f>
        <v>@drfahrettinka Dear Minister Are you a follower? https://t.co/a35zrtmwlm</v>
      </c>
    </row>
    <row r="17707" spans="1:5" ht="15" customHeight="1" x14ac:dyDescent="0.25">
      <c r="A17707" s="1" t="s">
        <v>34617</v>
      </c>
      <c r="B17707" s="1">
        <v>0</v>
      </c>
      <c r="C17707" s="3">
        <v>44535.878425925926</v>
      </c>
      <c r="D17707" s="1" t="s">
        <v>34618</v>
      </c>
      <c r="E17707" s="4" t="str">
        <f ca="1">IFERROR(__xludf.DUMMYFUNCTION("GOOGLETRANSLATE(A510 , ""tr"" , ""en"")"),"@drfahrettinkoca @saglikbakanligi This person is to prevent health labor from doing their job and ... https://t.co/8mlquwwoqv")</f>
        <v>@drfahrettinkoca @saglikbakanligi This person is to prevent health labor from doing their job and ... https://t.co/8mlquwwoqv</v>
      </c>
    </row>
    <row r="17708" spans="1:5" ht="15" customHeight="1" x14ac:dyDescent="0.25">
      <c r="A17708" s="1" t="s">
        <v>34619</v>
      </c>
      <c r="B17708" s="1">
        <v>2</v>
      </c>
      <c r="C17708" s="3">
        <v>44535.874282407407</v>
      </c>
      <c r="D17708" s="1" t="s">
        <v>34620</v>
      </c>
      <c r="E17708" s="4" t="str">
        <f ca="1">IFERROR(__xludf.DUMMYFUNCTION("GOOGLETRANSLATE(A511 , ""tr"" , ""en"")"),"@drfahrettinkoca @nocontextsag @saglikbakanligi @humanistresmi @caliskanerh #SmobileLaroEluemeterChemy Https://t.co/ypntd4mke7")</f>
        <v>@drfahrettinkoca @nocontextsag @saglikbakanligi @humanistresmi @caliskanerh #SmobileLaroEluemeterChemy Https://t.co/ypntd4mke7</v>
      </c>
    </row>
    <row r="17709" spans="1:5" ht="15" customHeight="1" x14ac:dyDescent="0.25">
      <c r="A17709" s="1" t="s">
        <v>34621</v>
      </c>
      <c r="B17709" s="1">
        <v>5</v>
      </c>
      <c r="C17709" s="3">
        <v>44535.861226851855</v>
      </c>
      <c r="D17709" s="1" t="s">
        <v>34622</v>
      </c>
      <c r="E17709" s="4" t="str">
        <f ca="1">IFERROR(__xludf.DUMMYFUNCTION("GOOGLETRANSLATE(A512 , ""tr"" , ""en"")"),"@drfahrettinkoca @sagliklicozum @saglikligiligi @saglikbakanligi Safra K. has been given a day at the 6arch2021 for my surgery. PCR T ... https://t.co/touzpg4qfr")</f>
        <v>@drfahrettinkoca @sagliklicozum @saglikligiligi @saglikbakanligi Safra K. has been given a day at the 6arch2021 for my surgery. PCR T ... https://t.co/touzpg4qfr</v>
      </c>
    </row>
    <row r="17710" spans="1:5" ht="15" customHeight="1" x14ac:dyDescent="0.25">
      <c r="A17710" s="1" t="s">
        <v>34623</v>
      </c>
      <c r="B17710" s="1">
        <v>0</v>
      </c>
      <c r="C17710" s="3">
        <v>44535.854317129626</v>
      </c>
      <c r="D17710" s="1" t="s">
        <v>34624</v>
      </c>
      <c r="E17710" s="4" t="str">
        <f ca="1">IFERROR(__xludf.DUMMYFUNCTION("GOOGLETRANSLATE(A513 , ""tr"" , ""en"")"),"@drfahrettinka https://t.coogegeqsz5edo")</f>
        <v>@drfahrettinka https://t.coogegeqsz5edo</v>
      </c>
    </row>
    <row r="17711" spans="1:5" ht="15" customHeight="1" x14ac:dyDescent="0.25">
      <c r="A17711" s="1" t="s">
        <v>34625</v>
      </c>
      <c r="B17711" s="1">
        <v>0</v>
      </c>
      <c r="C17711" s="3">
        <v>44535.843321759261</v>
      </c>
      <c r="D17711" s="1" t="s">
        <v>34626</v>
      </c>
      <c r="E17711" s="4" t="str">
        <f ca="1">IFERROR(__xludf.DUMMYFUNCTION("GOOGLETRANSLATE(A514 , ""tr"" , ""en"")"),"@drfahrettinka which hospital is canceled if we are canceled an appointment is a look at what you want to die in this person ... https://t.co/tg4kambr8n")</f>
        <v>@drfahrettinka which hospital is canceled if we are canceled an appointment is a look at what you want to die in this person ... https://t.co/tg4kambr8n</v>
      </c>
    </row>
    <row r="17712" spans="1:5" ht="15" customHeight="1" x14ac:dyDescent="0.25">
      <c r="A17712" s="1" t="s">
        <v>34627</v>
      </c>
      <c r="B17712" s="1">
        <v>0</v>
      </c>
      <c r="C17712" s="3">
        <v>44535.842881944445</v>
      </c>
      <c r="D17712" s="1" t="s">
        <v>34628</v>
      </c>
      <c r="E17712" s="4" t="str">
        <f ca="1">IFERROR(__xludf.DUMMYFUNCTION("GOOGLETRANSLATE(A515 , ""tr"" , ""en"")"),"@drfahrettinkoca Mr. Ministry I can't disappear such a health system I can't be a hospital at all in Babademi ... https://t.co/kwklfdbpr9")</f>
        <v>@drfahrettinkoca Mr. Ministry I can't disappear such a health system I can't be a hospital at all in Babademi ... https://t.co/kwklfdbpr9</v>
      </c>
    </row>
    <row r="17713" spans="1:5" ht="15" customHeight="1" x14ac:dyDescent="0.25">
      <c r="A17713" s="1" t="s">
        <v>34629</v>
      </c>
      <c r="B17713" s="1">
        <v>3</v>
      </c>
      <c r="C17713" s="3">
        <v>44535.836469907408</v>
      </c>
      <c r="D17713" s="1" t="s">
        <v>34630</v>
      </c>
      <c r="E17713" s="4" t="str">
        <f ca="1">IFERROR(__xludf.DUMMYFUNCTION("GOOGLETRANSLATE(A516 , ""tr"" , ""en"")"),"@drfahrettinkoca #istics")</f>
        <v>@drfahrettinkoca #istics</v>
      </c>
    </row>
    <row r="17714" spans="1:5" ht="15" customHeight="1" x14ac:dyDescent="0.25">
      <c r="A17714" s="1" t="s">
        <v>34631</v>
      </c>
      <c r="B17714" s="1">
        <v>1</v>
      </c>
      <c r="C17714" s="3">
        <v>44535.831087962964</v>
      </c>
      <c r="D17714" s="1" t="s">
        <v>34632</v>
      </c>
      <c r="E17714" s="4" t="str">
        <f ca="1">IFERROR(__xludf.DUMMYFUNCTION("GOOGLETRANSLATE(A517 , ""tr"" , ""en"")"),"@drfahrettinkoca Mr. Ministry of Winter Most of the Winter Most of the Most Dates to AFI Face Facial Exams on January 8 and 9 ... https://t.co/gd9dcdtyfj")</f>
        <v>@drfahrettinkoca Mr. Ministry of Winter Most of the Winter Most of the Most Dates to AFI Face Facial Exams on January 8 and 9 ... https://t.co/gd9dcdtyfj</v>
      </c>
    </row>
    <row r="17715" spans="1:5" ht="15" customHeight="1" x14ac:dyDescent="0.25">
      <c r="A17715" s="1" t="s">
        <v>34633</v>
      </c>
      <c r="B17715" s="1">
        <v>2</v>
      </c>
      <c r="C17715" s="3">
        <v>44535.825231481482</v>
      </c>
      <c r="D17715" s="1" t="s">
        <v>34634</v>
      </c>
      <c r="E17715" s="4" t="str">
        <f ca="1">IFERROR(__xludf.DUMMYFUNCTION("GOOGLETRANSLATE(A518 , ""tr"" , ""en"")"),"@drfahrettinkoca @ttborgtr @ a ahof2008 #isturklariklarişinistişeri Https://t.co/kz7cebas5y")</f>
        <v>@drfahrettinkoca @ttborgtr @ a ahof2008 #isturklariklarişinistişeri Https://t.co/kz7cebas5y</v>
      </c>
    </row>
    <row r="17716" spans="1:5" ht="15" customHeight="1" x14ac:dyDescent="0.25">
      <c r="A17716" s="1" t="s">
        <v>34635</v>
      </c>
      <c r="B17716" s="1">
        <v>0</v>
      </c>
      <c r="C17716" s="3">
        <v>44535.819328703707</v>
      </c>
      <c r="D17716" s="1" t="s">
        <v>34636</v>
      </c>
      <c r="E17716" s="4" t="str">
        <f ca="1">IFERROR(__xludf.DUMMYFUNCTION("GOOGLETRANSLATE(A519 , ""tr"" , ""en"")"),"@drfahrettinkoca @erolozvar @tcmeb #ThrewEditectivity")</f>
        <v>@drfahrettinkoca @erolozvar @tcmeb #ThrewEditectivity</v>
      </c>
    </row>
    <row r="17717" spans="1:5" ht="15" customHeight="1" x14ac:dyDescent="0.25">
      <c r="A17717" s="1" t="s">
        <v>34637</v>
      </c>
      <c r="B17717" s="1">
        <v>0</v>
      </c>
      <c r="C17717" s="3">
        <v>44535.818356481483</v>
      </c>
      <c r="D17717" s="1" t="s">
        <v>34638</v>
      </c>
      <c r="E17717" s="4" t="str">
        <f ca="1">IFERROR(__xludf.DUMMYFUNCTION("GOOGLETRANSLATE(A520 , ""tr"" , ""en"")"),"@drfahrettinkoca what happened to the doctor does not ask the hikes?")</f>
        <v>@drfahrettinkoca what happened to the doctor does not ask the hikes?</v>
      </c>
    </row>
    <row r="17718" spans="1:5" ht="15" customHeight="1" x14ac:dyDescent="0.25">
      <c r="A17718" s="1" t="s">
        <v>34639</v>
      </c>
      <c r="B17718" s="1">
        <v>2</v>
      </c>
      <c r="C17718" s="3">
        <v>44535.818206018521</v>
      </c>
      <c r="D17718" s="1" t="s">
        <v>34640</v>
      </c>
      <c r="E17718" s="4" t="str">
        <f ca="1">IFERROR(__xludf.DUMMYFUNCTION("GOOGLETRANSLATE(A521 , ""tr"" , ""en"")"),"@drfahrettinkoca #istics")</f>
        <v>@drfahrettinkoca #istics</v>
      </c>
    </row>
    <row r="17719" spans="1:5" ht="15" customHeight="1" x14ac:dyDescent="0.25">
      <c r="A17719" s="1" t="s">
        <v>34641</v>
      </c>
      <c r="B17719" s="1">
        <v>3</v>
      </c>
      <c r="C17719" s="3">
        <v>44535.818136574075</v>
      </c>
      <c r="D17719" s="1" t="s">
        <v>34642</v>
      </c>
      <c r="E17719" s="4" t="str">
        <f ca="1">IFERROR(__xludf.DUMMYFUNCTION("GOOGLETRANSLATE(A522 , ""tr"" , ""en"")"),"@drfahrettinkoca @tcmeb @erolozva #TCMEB @Erolozva #Customizations We are not onlineDiciphery ... HTTPS://T.CO/J8Z4AIEQLJ")</f>
        <v>@drfahrettinkoca @tcmeb @erolozva #TCMEB @Erolozva #Customizations We are not onlineDiciphery ... HTTPS://T.CO/J8Z4AIEQLJ</v>
      </c>
    </row>
    <row r="17720" spans="1:5" ht="15" customHeight="1" x14ac:dyDescent="0.25">
      <c r="A17720" s="1" t="s">
        <v>34639</v>
      </c>
      <c r="B17720" s="1">
        <v>3</v>
      </c>
      <c r="C17720" s="3">
        <v>44535.817847222221</v>
      </c>
      <c r="D17720" s="1" t="s">
        <v>34643</v>
      </c>
      <c r="E17720" s="4" t="str">
        <f ca="1">IFERROR(__xludf.DUMMYFUNCTION("GOOGLETRANSLATE(A523 , ""tr"" , ""en"")"),"@drfahrettinkoca #istics")</f>
        <v>@drfahrettinkoca #istics</v>
      </c>
    </row>
    <row r="17721" spans="1:5" ht="15" customHeight="1" x14ac:dyDescent="0.25">
      <c r="A17721" s="1" t="s">
        <v>34644</v>
      </c>
      <c r="B17721" s="1">
        <v>5</v>
      </c>
      <c r="C17721" s="3">
        <v>44535.81354166667</v>
      </c>
      <c r="D17721" s="1" t="s">
        <v>34645</v>
      </c>
      <c r="E17721" s="4" t="str">
        <f ca="1">IFERROR(__xludf.DUMMYFUNCTION("GOOGLETRANSLATE(A524 , ""tr"" , ""en"")"),"@drfahrettinkoca you and @nureddinnebati @tcbestepe How are you people or why don't you make medical febrile pay ... https://t.co/c2wcfsgs65")</f>
        <v>@drfahrettinkoca you and @nureddinnebati @tcbestepe How are you people or why don't you make medical febrile pay ... https://t.co/c2wcfsgs65</v>
      </c>
    </row>
    <row r="17722" spans="1:5" ht="15" customHeight="1" x14ac:dyDescent="0.25">
      <c r="A17722" s="1" t="s">
        <v>34646</v>
      </c>
      <c r="B17722" s="1">
        <v>0</v>
      </c>
      <c r="C17722" s="3">
        <v>44535.812476851854</v>
      </c>
      <c r="D17722" s="1" t="s">
        <v>34647</v>
      </c>
      <c r="E17722" s="4" t="str">
        <f ca="1">IFERROR(__xludf.DUMMYFUNCTION("GOOGLETRANSLATE(A525 , ""tr"" , ""en"")"),"@drfahrettinka https://t.co/ktgtrw81zy")</f>
        <v>@drfahrettinka https://t.co/ktgtrw81zy</v>
      </c>
    </row>
    <row r="17723" spans="1:5" ht="15" customHeight="1" x14ac:dyDescent="0.25">
      <c r="A17723" s="1" t="s">
        <v>34648</v>
      </c>
      <c r="B17723" s="1">
        <v>3</v>
      </c>
      <c r="C17723" s="3">
        <v>44535.811678240738</v>
      </c>
      <c r="D17723" s="1" t="s">
        <v>34649</v>
      </c>
      <c r="E17723" s="4" t="str">
        <f ca="1">IFERROR(__xludf.DUMMYFUNCTION("GOOGLETRANSLATE(A526 , ""tr"" , ""en"")"),"@drfahrettinkoca @saglikbakanligi @Akparti @mkulunk I want to be vaccine in this way me 😀😀 https://t.co/nrh8f4mvmq")</f>
        <v>@drfahrettinkoca @saglikbakanligi @Akparti @mkulunk I want to be vaccine in this way me 😀😀 https://t.co/nrh8f4mvmq</v>
      </c>
    </row>
    <row r="17724" spans="1:5" ht="15" customHeight="1" x14ac:dyDescent="0.25">
      <c r="A17724" s="1" t="s">
        <v>34650</v>
      </c>
      <c r="B17724" s="1">
        <v>2</v>
      </c>
      <c r="C17724" s="3">
        <v>44535.810486111113</v>
      </c>
      <c r="D17724" s="1" t="s">
        <v>34651</v>
      </c>
      <c r="E17724" s="4" t="str">
        <f ca="1">IFERROR(__xludf.DUMMYFUNCTION("GOOGLETRANSLATE(A527 , ""tr"" , ""en"")"),"@drfahrettinkoca @fatihaltayli @fatihportakal @cuneytozdemir @cuneytozdemir @Yukselhos @ttborgtr @muratmmturk @ srknincin ... https://t.co/tf2e6cz2mj")</f>
        <v>@drfahrettinkoca @fatihaltayli @fatihportakal @cuneytozdemir @cuneytozdemir @Yukselhos @ttborgtr @muratmmturk @ srknincin ... https://t.co/tf2e6cz2mj</v>
      </c>
    </row>
    <row r="17725" spans="1:5" ht="15" customHeight="1" x14ac:dyDescent="0.25">
      <c r="A17725" s="1" t="s">
        <v>34639</v>
      </c>
      <c r="B17725" s="1">
        <v>3</v>
      </c>
      <c r="C17725" s="3">
        <v>44535.801539351851</v>
      </c>
      <c r="D17725" s="1" t="s">
        <v>34652</v>
      </c>
      <c r="E17725" s="4" t="str">
        <f ca="1">IFERROR(__xludf.DUMMYFUNCTION("GOOGLETRANSLATE(A528 , ""tr"" , ""en"")"),"@drfahrettinkoca #istics")</f>
        <v>@drfahrettinkoca #istics</v>
      </c>
    </row>
    <row r="17726" spans="1:5" ht="15" customHeight="1" x14ac:dyDescent="0.25">
      <c r="A17726" s="1" t="s">
        <v>34653</v>
      </c>
      <c r="B17726" s="1">
        <v>0</v>
      </c>
      <c r="C17726" s="3">
        <v>44535.799583333333</v>
      </c>
      <c r="D17726" s="1" t="s">
        <v>34654</v>
      </c>
      <c r="E17726" s="4" t="str">
        <f ca="1">IFERROR(__xludf.DUMMYFUNCTION("GOOGLETRANSLATE(A529 , ""tr"" , ""en"")"),"@drfahrettinkoca #the capital citywriting doctors are not interested in patients. Know the nurses vascular road ... https://t.co/3ufyhplujz")</f>
        <v>@drfahrettinkoca #the capital citywriting doctors are not interested in patients. Know the nurses vascular road ... https://t.co/3ufyhplujz</v>
      </c>
    </row>
    <row r="17727" spans="1:5" ht="15" customHeight="1" x14ac:dyDescent="0.25">
      <c r="A17727" s="1" t="s">
        <v>34655</v>
      </c>
      <c r="B17727" s="1">
        <v>26</v>
      </c>
      <c r="C17727" s="3">
        <v>44535.793391203704</v>
      </c>
      <c r="D17727" s="1" t="s">
        <v>34656</v>
      </c>
      <c r="E17727" s="4" t="str">
        <f ca="1">IFERROR(__xludf.DUMMYFUNCTION("GOOGLETRANSLATE(A530 , ""tr"" , ""en"")"),"@drfahrettinkoca @rterdogan @nureddinnebati @lutfielvan # medical haze that is so human being worked for years of work ... https://t.co/dwotsr4erg")</f>
        <v>@drfahrettinkoca @rterdogan @nureddinnebati @lutfielvan # medical haze that is so human being worked for years of work ... https://t.co/dwotsr4erg</v>
      </c>
    </row>
    <row r="17728" spans="1:5" ht="15" customHeight="1" x14ac:dyDescent="0.25">
      <c r="A17728" s="1" t="s">
        <v>34657</v>
      </c>
      <c r="B17728" s="1">
        <v>1</v>
      </c>
      <c r="C17728" s="3">
        <v>44535.790081018517</v>
      </c>
      <c r="D17728" s="1" t="s">
        <v>34658</v>
      </c>
      <c r="E17728" s="4" t="str">
        <f ca="1">IFERROR(__xludf.DUMMYFUNCTION("GOOGLETRANSLATE(A531 , ""tr"" , ""en"")"),"@drfahrettinkoca What are your movie board members to say how are the ones who make Ašï work at the same time? You are ... https://t.co/4htksplzvw")</f>
        <v>@drfahrettinkoca What are your movie board members to say how are the ones who make Ašï work at the same time? You are ... https://t.co/4htksplzvw</v>
      </c>
    </row>
    <row r="17729" spans="1:5" ht="15" customHeight="1" x14ac:dyDescent="0.25">
      <c r="A17729" s="1" t="s">
        <v>34659</v>
      </c>
      <c r="B17729" s="1">
        <v>4</v>
      </c>
      <c r="C17729" s="3">
        <v>44535.78638888889</v>
      </c>
      <c r="D17729" s="1" t="s">
        <v>34660</v>
      </c>
      <c r="E17729" s="4" t="str">
        <f ca="1">IFERROR(__xludf.DUMMYFUNCTION("GOOGLETRANSLATE(A532 , ""tr"" , ""en"")"),"@drfahrettinkoca @saglikbakanligi #ShekimlerhaklarisiYor https://t.co/mhqh1fzksy")</f>
        <v>@drfahrettinkoca @saglikbakanligi #ShekimlerhaklarisiYor https://t.co/mhqh1fzksy</v>
      </c>
    </row>
    <row r="17730" spans="1:5" ht="15" customHeight="1" x14ac:dyDescent="0.25">
      <c r="A17730" s="1" t="s">
        <v>34661</v>
      </c>
      <c r="B17730" s="1">
        <v>4</v>
      </c>
      <c r="C17730" s="3">
        <v>44535.786145833335</v>
      </c>
      <c r="D17730" s="1" t="s">
        <v>34662</v>
      </c>
      <c r="E17730" s="4" t="str">
        <f ca="1">IFERROR(__xludf.DUMMYFUNCTION("GOOGLETRANSLATE(A533 , ""tr"" , ""en"")"),"@drfahrettinkoca #the physicians Https://T.CO/N5XAWIUQH8")</f>
        <v>@drfahrettinkoca #the physicians Https://T.CO/N5XAWIUQH8</v>
      </c>
    </row>
    <row r="17731" spans="1:5" ht="15" customHeight="1" x14ac:dyDescent="0.25">
      <c r="A17731" s="1" t="s">
        <v>34663</v>
      </c>
      <c r="B17731" s="1">
        <v>2</v>
      </c>
      <c r="C17731" s="3">
        <v>44535.785590277781</v>
      </c>
      <c r="D17731" s="1" t="s">
        <v>34664</v>
      </c>
      <c r="E17731" s="4" t="str">
        <f ca="1">IFERROR(__xludf.DUMMYFUNCTION("GOOGLETRANSLATE(A534 , ""tr"" , ""en"")"),"@drfahrettinka https://t.co/mhqh1fzksy")</f>
        <v>@drfahrettinka https://t.co/mhqh1fzksy</v>
      </c>
    </row>
    <row r="17732" spans="1:5" ht="15" customHeight="1" x14ac:dyDescent="0.25">
      <c r="A17732" s="1" t="s">
        <v>34665</v>
      </c>
      <c r="B17732" s="1">
        <v>0</v>
      </c>
      <c r="C17732" s="3">
        <v>44535.783437500002</v>
      </c>
      <c r="D17732" s="1" t="s">
        <v>34666</v>
      </c>
      <c r="E17732" s="4" t="str">
        <f ca="1">IFERROR(__xludf.DUMMYFUNCTION("GOOGLETRANSLATE(A535 , ""tr"" , ""en"")"),"@drfahrettinkoca @rterdogan https://t.co/kewkvk2smz")</f>
        <v>@drfahrettinkoca @rterdogan https://t.co/kewkvk2smz</v>
      </c>
    </row>
    <row r="17733" spans="1:5" ht="15" customHeight="1" x14ac:dyDescent="0.25">
      <c r="A17733" s="1" t="s">
        <v>34667</v>
      </c>
      <c r="B17733" s="1">
        <v>2</v>
      </c>
      <c r="C17733" s="3">
        <v>44535.779629629629</v>
      </c>
      <c r="D17733" s="1" t="s">
        <v>34668</v>
      </c>
      <c r="E17733" s="4" t="str">
        <f ca="1">IFERROR(__xludf.DUMMYFUNCTION("GOOGLETRANSLATE(A536 , ""tr"" , ""en"")"),"@drfahrettinkoca Doctor What is this? https://t.co/haqluyklyj")</f>
        <v>@drfahrettinkoca Doctor What is this? https://t.co/haqluyklyj</v>
      </c>
    </row>
    <row r="17734" spans="1:5" ht="15" customHeight="1" x14ac:dyDescent="0.25">
      <c r="A17734" s="1" t="s">
        <v>34669</v>
      </c>
      <c r="B17734" s="1">
        <v>0</v>
      </c>
      <c r="C17734" s="3">
        <v>44535.779502314814</v>
      </c>
      <c r="D17734" s="1" t="s">
        <v>34670</v>
      </c>
      <c r="E17734" s="4" t="str">
        <f ca="1">IFERROR(__xludf.DUMMYFUNCTION("GOOGLETRANSLATE(A537 , ""tr"" , ""en"")"),"@drfahrettinkoca @rterdogan Remove Zulmu Enough Now https://t.co/8tgksef88e")</f>
        <v>@drfahrettinkoca @rterdogan Remove Zulmu Enough Now https://t.co/8tgksef88e</v>
      </c>
    </row>
    <row r="17735" spans="1:5" ht="15" customHeight="1" x14ac:dyDescent="0.25">
      <c r="A17735" s="1" t="s">
        <v>34671</v>
      </c>
      <c r="B17735" s="1">
        <v>0</v>
      </c>
      <c r="C17735" s="3">
        <v>44535.776932870373</v>
      </c>
      <c r="D17735" s="1" t="s">
        <v>34672</v>
      </c>
      <c r="E17735" s="4" t="str">
        <f ca="1">IFERROR(__xludf.DUMMYFUNCTION("GOOGLETRANSLATE(A538 , ""tr"" , ""en"")"),"@drfahrettinka Mr. Tayyip Bey You share it by taking leave these fake data. ? Nobody wears mask in Turkey ... https://t.co/7USOIA2IAK")</f>
        <v>@drfahrettinka Mr. Tayyip Bey You share it by taking leave these fake data. ? Nobody wears mask in Turkey ... https://t.co/7USOIA2IAK</v>
      </c>
    </row>
    <row r="17736" spans="1:5" ht="15" customHeight="1" x14ac:dyDescent="0.25">
      <c r="A17736" s="1" t="s">
        <v>34673</v>
      </c>
      <c r="B17736" s="1">
        <v>0</v>
      </c>
      <c r="C17736" s="3">
        <v>44535.776273148149</v>
      </c>
      <c r="D17736" s="1" t="s">
        <v>34674</v>
      </c>
      <c r="E17736" s="4" t="str">
        <f ca="1">IFERROR(__xludf.DUMMYFUNCTION("GOOGLETRANSLATE(A539 , ""tr"" , ""en"")"),"@drfahrettinka https://t.co/rz6pwqhe84")</f>
        <v>@drfahrettinka https://t.co/rz6pwqhe84</v>
      </c>
    </row>
    <row r="17737" spans="1:5" ht="15" customHeight="1" x14ac:dyDescent="0.25">
      <c r="A17737" s="1" t="s">
        <v>34675</v>
      </c>
      <c r="B17737" s="1">
        <v>0</v>
      </c>
      <c r="C17737" s="3">
        <v>44535.776030092595</v>
      </c>
      <c r="D17737" s="1" t="s">
        <v>34676</v>
      </c>
      <c r="E17737" s="4" t="str">
        <f ca="1">IFERROR(__xludf.DUMMYFUNCTION("GOOGLETRANSLATE(A540 , ""tr"" , ""en"")"),"@drfahrettinkoca @haluklevent @diskamu @atesateskara https://t.co/dq4p7uryok")</f>
        <v>@drfahrettinkoca @haluklevent @diskamu @atesateskara https://t.co/dq4p7uryok</v>
      </c>
    </row>
    <row r="17738" spans="1:5" ht="15" customHeight="1" x14ac:dyDescent="0.25">
      <c r="A17738" s="1" t="s">
        <v>34677</v>
      </c>
      <c r="B17738" s="1">
        <v>6</v>
      </c>
      <c r="C17738" s="3">
        <v>44535.76835648148</v>
      </c>
      <c r="D17738" s="1" t="s">
        <v>34678</v>
      </c>
      <c r="E17738" s="4" t="str">
        <f ca="1">IFERROR(__xludf.DUMMYFUNCTION("GOOGLETRANSLATE(A541 , ""tr"" , ""en"")"),"@drfahrettinkoca hikam When you say that even when you say that we have been lied to the society we delete the bi pen of their salaries ... https://t.co/om1k2tsruz")</f>
        <v>@drfahrettinkoca hikam When you say that even when you say that we have been lied to the society we delete the bi pen of their salaries ... https://t.co/om1k2tsruz</v>
      </c>
    </row>
    <row r="17739" spans="1:5" ht="15" customHeight="1" x14ac:dyDescent="0.25">
      <c r="A17739" s="1" t="s">
        <v>34679</v>
      </c>
      <c r="B17739" s="1">
        <v>2</v>
      </c>
      <c r="C17739" s="3">
        <v>44535.756388888891</v>
      </c>
      <c r="D17739" s="1" t="s">
        <v>34680</v>
      </c>
      <c r="E17739" s="4" t="str">
        <f ca="1">IFERROR(__xludf.DUMMYFUNCTION("GOOGLETRANSLATE(A542 , ""tr"" , ""en"")"),"@drfahrettinkoca #the physicians have a disturbance in every area. Physicians hard case https://t.co/jIaswaole0")</f>
        <v>@drfahrettinkoca #the physicians have a disturbance in every area. Physicians hard case https://t.co/jIaswaole0</v>
      </c>
    </row>
    <row r="17740" spans="1:5" ht="15" customHeight="1" x14ac:dyDescent="0.25">
      <c r="A17740" s="1" t="s">
        <v>34681</v>
      </c>
      <c r="B17740" s="1">
        <v>0</v>
      </c>
      <c r="C17740" s="3">
        <v>44535.752141203702</v>
      </c>
      <c r="D17740" s="1" t="s">
        <v>34682</v>
      </c>
      <c r="E17740" s="4" t="str">
        <f ca="1">IFERROR(__xludf.DUMMYFUNCTION("GOOGLETRANSLATE(A543 , ""tr"" , ""en"")"),"@drfahrettinkoca Describe Today Bi 5000 Explain more hikes Tomorrow After Bi But Deaf Sultan when explaining ... HTTPS://T.CO/8SXSND6U94")</f>
        <v>@drfahrettinkoca Describe Today Bi 5000 Explain more hikes Tomorrow After Bi But Deaf Sultan when explaining ... HTTPS://T.CO/8SXSND6U94</v>
      </c>
    </row>
    <row r="17741" spans="1:5" ht="15" customHeight="1" x14ac:dyDescent="0.25">
      <c r="A17741" s="1" t="s">
        <v>18196</v>
      </c>
      <c r="B17741" s="1">
        <v>0</v>
      </c>
      <c r="C17741" s="3">
        <v>44535.751238425924</v>
      </c>
      <c r="D17741" s="1" t="s">
        <v>34683</v>
      </c>
      <c r="E17741" s="4" t="str">
        <f ca="1">IFERROR(__xludf.DUMMYFUNCTION("GOOGLETRANSLATE(A544 , ""tr"" , ""en"")"),"@drfahrettinkoca # fkuyumanerede40binatama")</f>
        <v>@drfahrettinkoca # fkuyumanerede40binatama</v>
      </c>
    </row>
    <row r="17742" spans="1:5" ht="15" customHeight="1" x14ac:dyDescent="0.25">
      <c r="A17742" s="1" t="s">
        <v>34684</v>
      </c>
      <c r="B17742" s="1">
        <v>0</v>
      </c>
      <c r="C17742" s="3">
        <v>44535.749293981484</v>
      </c>
      <c r="D17742" s="1" t="s">
        <v>34685</v>
      </c>
      <c r="E17742" s="4" t="str">
        <f ca="1">IFERROR(__xludf.DUMMYFUNCTION("GOOGLETRANSLATE(A545 , ""tr"" , ""en"")"),"@drfahrettinkoca #isthacimlerişlarıkırışışıking")</f>
        <v>@drfahrettinkoca #isthacimlerişlarıkırışışıking</v>
      </c>
    </row>
    <row r="17743" spans="1:5" ht="15" customHeight="1" x14ac:dyDescent="0.25">
      <c r="A17743" s="1" t="s">
        <v>34686</v>
      </c>
      <c r="B17743" s="1">
        <v>0</v>
      </c>
      <c r="C17743" s="3">
        <v>44535.748761574076</v>
      </c>
      <c r="D17743" s="1" t="s">
        <v>34687</v>
      </c>
      <c r="E17743" s="4" t="str">
        <f ca="1">IFERROR(__xludf.DUMMYFUNCTION("GOOGLETRANSLATE(A546 , ""tr"" , ""en"")"),"@drfahrettinka https://t.co/c3bqydmxwp")</f>
        <v>@drfahrettinka https://t.co/c3bqydmxwp</v>
      </c>
    </row>
    <row r="17744" spans="1:5" ht="15" customHeight="1" x14ac:dyDescent="0.25">
      <c r="A17744" s="1" t="s">
        <v>34688</v>
      </c>
      <c r="B17744" s="1">
        <v>0</v>
      </c>
      <c r="C17744" s="3">
        <v>44535.748148148145</v>
      </c>
      <c r="D17744" s="1" t="s">
        <v>34689</v>
      </c>
      <c r="E17744" s="4" t="str">
        <f ca="1">IFERROR(__xludf.DUMMYFUNCTION("GOOGLETRANSLATE(A547 , ""tr"" , ""en"")"),"@drfahrettinka https://t.co/awl63wnx6n")</f>
        <v>@drfahrettinka https://t.co/awl63wnx6n</v>
      </c>
    </row>
    <row r="17745" spans="1:5" ht="15" customHeight="1" x14ac:dyDescent="0.25">
      <c r="A17745" s="1" t="s">
        <v>34690</v>
      </c>
      <c r="B17745" s="1">
        <v>0</v>
      </c>
      <c r="C17745" s="3">
        <v>44535.747662037036</v>
      </c>
      <c r="D17745" s="1" t="s">
        <v>34691</v>
      </c>
      <c r="E17745" s="4" t="str">
        <f ca="1">IFERROR(__xludf.DUMMYFUNCTION("GOOGLETRANSLATE(A548 , ""tr"" , ""en"")"),"@drfahrettinka https://t.co/eoetIalh3r")</f>
        <v>@drfahrettinka https://t.co/eoetIalh3r</v>
      </c>
    </row>
    <row r="17746" spans="1:5" ht="15" customHeight="1" x14ac:dyDescent="0.25">
      <c r="A17746" s="1" t="s">
        <v>34692</v>
      </c>
      <c r="B17746" s="1">
        <v>1</v>
      </c>
      <c r="C17746" s="3">
        <v>44535.741932870369</v>
      </c>
      <c r="D17746" s="1" t="s">
        <v>34693</v>
      </c>
      <c r="E17746" s="4" t="str">
        <f ca="1">IFERROR(__xludf.DUMMYFUNCTION("GOOGLETRANSLATE(A549 , ""tr"" , ""en"")"),"@drfahrettinka https://t.co/mlcjkybg1x")</f>
        <v>@drfahrettinka https://t.co/mlcjkybg1x</v>
      </c>
    </row>
    <row r="17747" spans="1:5" ht="15" customHeight="1" x14ac:dyDescent="0.25">
      <c r="A17747" s="1" t="s">
        <v>34694</v>
      </c>
      <c r="B17747" s="1">
        <v>0</v>
      </c>
      <c r="C17747" s="3">
        <v>44535.740497685183</v>
      </c>
      <c r="D17747" s="1" t="s">
        <v>34695</v>
      </c>
      <c r="E17747" s="4" t="str">
        <f ca="1">IFERROR(__xludf.DUMMYFUNCTION("GOOGLETRANSLATE(A550 , ""tr"" , ""en"")"),"@drfahrettinkoca @bengibaser @serapssimsekyvz @ mehmetceyhan23 @drzekibay @secondvirus @h_ciloglu @ adilipak ... https://t.co/FTC4FT7NIW")</f>
        <v>@drfahrettinkoca @bengibaser @serapssimsekyvz @ mehmetceyhan23 @drzekibay @secondvirus @h_ciloglu @ adilipak ... https://t.co/FTC4FT7NIW</v>
      </c>
    </row>
    <row r="17748" spans="1:5" ht="15" customHeight="1" x14ac:dyDescent="0.25">
      <c r="A17748" s="1" t="s">
        <v>34696</v>
      </c>
      <c r="B17748" s="1">
        <v>0</v>
      </c>
      <c r="C17748" s="3">
        <v>44535.738136574073</v>
      </c>
      <c r="D17748" s="1" t="s">
        <v>34697</v>
      </c>
      <c r="E17748" s="4" t="str">
        <f ca="1">IFERROR(__xludf.DUMMYFUNCTION("GOOGLETRANSLATE(A551 , ""tr"" , ""en"")"),"@ drfahrettinkoca #the physicians")</f>
        <v>@ drfahrettinkoca #the physicians</v>
      </c>
    </row>
    <row r="17749" spans="1:5" ht="15" customHeight="1" x14ac:dyDescent="0.25">
      <c r="A17749" s="1" t="s">
        <v>34698</v>
      </c>
      <c r="B17749" s="1">
        <v>0</v>
      </c>
      <c r="C17749" s="3">
        <v>44535.7343287037</v>
      </c>
      <c r="D17749" s="1" t="s">
        <v>34699</v>
      </c>
      <c r="E17749" s="4" t="str">
        <f ca="1">IFERROR(__xludf.DUMMYFUNCTION("GOOGLETRANSLATE(A552 , ""tr"" , ""en"")"),"@drfahrettinka bkm rose is a rose video! #Telectock https://t.co/7kzmoabuby")</f>
        <v>@drfahrettinka bkm rose is a rose video! #Telectock https://t.co/7kzmoabuby</v>
      </c>
    </row>
    <row r="17750" spans="1:5" ht="15" customHeight="1" x14ac:dyDescent="0.25">
      <c r="A17750" s="1" t="s">
        <v>34700</v>
      </c>
      <c r="B17750" s="1">
        <v>0</v>
      </c>
      <c r="C17750" s="3">
        <v>44535.729398148149</v>
      </c>
      <c r="D17750" s="1" t="s">
        <v>34701</v>
      </c>
      <c r="E17750" s="4" t="str">
        <f ca="1">IFERROR(__xludf.DUMMYFUNCTION("GOOGLETRANSLATE(A553 , ""tr"" , ""en"")"),"@drfahrettinkoca @bengibaser @serapsimsekyvz @ mehmetceyhan23 https://t.co/awaqa3aqfk")</f>
        <v>@drfahrettinkoca @bengibaser @serapsimsekyvz @ mehmetceyhan23 https://t.co/awaqa3aqfk</v>
      </c>
    </row>
    <row r="17751" spans="1:5" ht="15" customHeight="1" x14ac:dyDescent="0.25">
      <c r="A17751" s="1" t="s">
        <v>34702</v>
      </c>
      <c r="B17751" s="1">
        <v>0</v>
      </c>
      <c r="C17751" s="3">
        <v>44535.727754629632</v>
      </c>
      <c r="D17751" s="1" t="s">
        <v>34703</v>
      </c>
      <c r="E17751" s="4" t="str">
        <f ca="1">IFERROR(__xludf.DUMMYFUNCTION("GOOGLETRANSLATE(A554 , ""tr"" , ""en"")"),"@drfahrettinkoca @bengibaser @serapssimsekyvz @ mehmetceyhan23 @drzekibay @secondvirus @H_ciloglu @ Adilipak ... https://t.co/dhi5rgvauI")</f>
        <v>@drfahrettinkoca @bengibaser @serapssimsekyvz @ mehmetceyhan23 @drzekibay @secondvirus @H_ciloglu @ Adilipak ... https://t.co/dhi5rgvauI</v>
      </c>
    </row>
    <row r="17752" spans="1:5" ht="15" customHeight="1" x14ac:dyDescent="0.25">
      <c r="A17752" s="1" t="s">
        <v>34704</v>
      </c>
      <c r="B17752" s="1">
        <v>0</v>
      </c>
      <c r="C17752" s="3">
        <v>44535.727488425924</v>
      </c>
      <c r="D17752" s="1" t="s">
        <v>34705</v>
      </c>
      <c r="E17752" s="4" t="str">
        <f ca="1">IFERROR(__xludf.DUMMYFUNCTION("GOOGLETRANSLATE(A555 , ""tr"" , ""en"")"),"@drfahrettinka https://t.co/lsre5v77g8")</f>
        <v>@drfahrettinka https://t.co/lsre5v77g8</v>
      </c>
    </row>
    <row r="17753" spans="1:5" ht="15" customHeight="1" x14ac:dyDescent="0.25">
      <c r="A17753" s="1" t="s">
        <v>34706</v>
      </c>
      <c r="B17753" s="1">
        <v>0</v>
      </c>
      <c r="C17753" s="3">
        <v>44535.726724537039</v>
      </c>
      <c r="D17753" s="1" t="s">
        <v>34707</v>
      </c>
      <c r="E17753" s="4" t="str">
        <f ca="1">IFERROR(__xludf.DUMMYFUNCTION("GOOGLETRANSLATE(A556 , ""tr"" , ""en"")"),"@drfahrettinka https://t.co/dm78kol2pt")</f>
        <v>@drfahrettinka https://t.co/dm78kol2pt</v>
      </c>
    </row>
    <row r="17754" spans="1:5" ht="15" customHeight="1" x14ac:dyDescent="0.25">
      <c r="A17754" s="1" t="s">
        <v>34708</v>
      </c>
      <c r="B17754" s="1">
        <v>0</v>
      </c>
      <c r="C17754" s="3">
        <v>44535.725046296298</v>
      </c>
      <c r="D17754" s="1" t="s">
        <v>34709</v>
      </c>
      <c r="E17754" s="4" t="str">
        <f ca="1">IFERROR(__xludf.DUMMYFUNCTION("GOOGLETRANSLATE(A557 , ""tr"" , ""en"")"),"@drfahrettinkoca @saglikbakanligi If you have such an assertion to look at the invention of immediately! https://t.co/6dexfq7jcr")</f>
        <v>@drfahrettinkoca @saglikbakanligi If you have such an assertion to look at the invention of immediately! https://t.co/6dexfq7jcr</v>
      </c>
    </row>
    <row r="17755" spans="1:5" ht="15" customHeight="1" x14ac:dyDescent="0.25">
      <c r="A17755" s="1" t="s">
        <v>34710</v>
      </c>
      <c r="B17755" s="1">
        <v>0</v>
      </c>
      <c r="C17755" s="3">
        <v>44535.724224537036</v>
      </c>
      <c r="D17755" s="1" t="s">
        <v>34711</v>
      </c>
      <c r="E17755" s="4" t="str">
        <f ca="1">IFERROR(__xludf.DUMMYFUNCTION("GOOGLETRANSLATE(A558 , ""tr"" , ""en"")"),"@drfahrettinka https://t.co/kq1ujfmokc")</f>
        <v>@drfahrettinka https://t.co/kq1ujfmokc</v>
      </c>
    </row>
    <row r="17756" spans="1:5" ht="15" customHeight="1" x14ac:dyDescent="0.25">
      <c r="A17756" s="1" t="s">
        <v>34712</v>
      </c>
      <c r="B17756" s="1">
        <v>1</v>
      </c>
      <c r="C17756" s="3">
        <v>44535.72042824074</v>
      </c>
      <c r="D17756" s="1" t="s">
        <v>34713</v>
      </c>
      <c r="E17756" s="4" t="str">
        <f ca="1">IFERROR(__xludf.DUMMYFUNCTION("GOOGLETRANSLATE(A559 , ""tr"" , ""en"")"),"@drfahrettinkoca's promises that do not have any kinds of promises; The sensor's intendiction, publications of the messengers ... https://t.co/fbkwn26v70")</f>
        <v>@drfahrettinkoca's promises that do not have any kinds of promises; The sensor's intendiction, publications of the messengers ... https://t.co/fbkwn26v70</v>
      </c>
    </row>
    <row r="17757" spans="1:5" ht="15" customHeight="1" x14ac:dyDescent="0.25">
      <c r="A17757" s="1" t="s">
        <v>34714</v>
      </c>
      <c r="B17757" s="1">
        <v>0</v>
      </c>
      <c r="C17757" s="3">
        <v>44535.720185185186</v>
      </c>
      <c r="D17757" s="1" t="s">
        <v>34715</v>
      </c>
      <c r="E17757" s="4" t="str">
        <f ca="1">IFERROR(__xludf.DUMMYFUNCTION("GOOGLETRANSLATE(A560 , ""tr"" , ""en"")"),"@drfahrettinkoca @bengibaser @serapssimsekyvz @ mehmetceyhan23 @drzekibay @secondvirus @h_ciloglu @ adilipak ... https://t.co/hw2rvxf7vj")</f>
        <v>@drfahrettinkoca @bengibaser @serapssimsekyvz @ mehmetceyhan23 @drzekibay @secondvirus @h_ciloglu @ adilipak ... https://t.co/hw2rvxf7vj</v>
      </c>
    </row>
    <row r="17758" spans="1:5" ht="15" customHeight="1" x14ac:dyDescent="0.25">
      <c r="A17758" s="1" t="s">
        <v>34716</v>
      </c>
      <c r="B17758" s="1">
        <v>2</v>
      </c>
      <c r="C17758" s="3">
        <v>44535.719884259262</v>
      </c>
      <c r="D17758" s="1" t="s">
        <v>34717</v>
      </c>
      <c r="E17758" s="4" t="str">
        <f ca="1">IFERROR(__xludf.DUMMYFUNCTION("GOOGLETRANSLATE(A561 , ""tr"" , ""en"")"),"@drfahrettinkoca? # Fkuyumanerine40binatama")</f>
        <v>@drfahrettinkoca? # Fkuyumanerine40binatama</v>
      </c>
    </row>
    <row r="17759" spans="1:5" ht="15" customHeight="1" x14ac:dyDescent="0.25">
      <c r="A17759" s="1" t="s">
        <v>18196</v>
      </c>
      <c r="B17759" s="1">
        <v>2</v>
      </c>
      <c r="C17759" s="3">
        <v>44535.716365740744</v>
      </c>
      <c r="D17759" s="1" t="s">
        <v>34718</v>
      </c>
      <c r="E17759" s="4" t="str">
        <f ca="1">IFERROR(__xludf.DUMMYFUNCTION("GOOGLETRANSLATE(A562 , ""tr"" , ""en"")"),"@drfahrettinkoca # fkuyumanerede40binatama")</f>
        <v>@drfahrettinkoca # fkuyumanerede40binatama</v>
      </c>
    </row>
    <row r="17760" spans="1:5" ht="15" customHeight="1" x14ac:dyDescent="0.25">
      <c r="A17760" s="1" t="s">
        <v>34719</v>
      </c>
      <c r="B17760" s="1">
        <v>0</v>
      </c>
      <c r="C17760" s="3">
        <v>44535.713530092595</v>
      </c>
      <c r="D17760" s="1" t="s">
        <v>34720</v>
      </c>
      <c r="E17760" s="4" t="str">
        <f ca="1">IFERROR(__xludf.DUMMYFUNCTION("GOOGLETRANSLATE(A563 , ""tr"" , ""en"")"),"@drfahrettinkoca #birthdaysalfeldurde")</f>
        <v>@drfahrettinkoca #birthdaysalfeldurde</v>
      </c>
    </row>
    <row r="17761" spans="1:5" ht="15" customHeight="1" x14ac:dyDescent="0.25">
      <c r="A17761" s="1" t="s">
        <v>34721</v>
      </c>
      <c r="B17761" s="1">
        <v>0</v>
      </c>
      <c r="C17761" s="3">
        <v>44535.712152777778</v>
      </c>
      <c r="D17761" s="1" t="s">
        <v>34722</v>
      </c>
      <c r="E17761" s="4" t="str">
        <f ca="1">IFERROR(__xludf.DUMMYFUNCTION("GOOGLETRANSLATE(A564 , ""tr"" , ""en"")"),"@drfahrettinkoca Mr. Overlooking This Cavit I will finish when it's enough to be enough in the queue. #biontechyanetki")</f>
        <v>@drfahrettinkoca Mr. Overlooking This Cavit I will finish when it's enough to be enough in the queue. #biontechyanetki</v>
      </c>
    </row>
    <row r="17762" spans="1:5" ht="15" customHeight="1" x14ac:dyDescent="0.25">
      <c r="A17762" s="1" t="s">
        <v>34723</v>
      </c>
      <c r="B17762" s="1">
        <v>1</v>
      </c>
      <c r="C17762" s="3">
        <v>44535.706631944442</v>
      </c>
      <c r="D17762" s="1" t="s">
        <v>34724</v>
      </c>
      <c r="E17762" s="4" t="str">
        <f ca="1">IFERROR(__xludf.DUMMYFUNCTION("GOOGLETRANSLATE(A565 , ""tr"" , ""en"")"),"@drfahrettinka https://t.co/01eoqwma76")</f>
        <v>@drfahrettinka https://t.co/01eoqwma76</v>
      </c>
    </row>
    <row r="17763" spans="1:5" ht="15" customHeight="1" x14ac:dyDescent="0.25">
      <c r="A17763" s="1" t="s">
        <v>34725</v>
      </c>
      <c r="B17763" s="1">
        <v>3</v>
      </c>
      <c r="C17763" s="3">
        <v>44535.703865740739</v>
      </c>
      <c r="D17763" s="1" t="s">
        <v>34726</v>
      </c>
      <c r="E17763" s="4" t="str">
        <f ca="1">IFERROR(__xludf.DUMMYFUNCTION("GOOGLETRANSLATE(A566 , ""tr"" , ""en"")"),"@drfahrettinkoca; You are clamped to my heart, loop loop, treated as if you're like Hasretin, heart, where is it, a ... https://t.co/o63zsdjjjxg")</f>
        <v>@drfahrettinkoca; You are clamped to my heart, loop loop, treated as if you're like Hasretin, heart, where is it, a ... https://t.co/o63zsdjjjxg</v>
      </c>
    </row>
    <row r="17764" spans="1:5" ht="15" customHeight="1" x14ac:dyDescent="0.25">
      <c r="A17764" s="1" t="s">
        <v>34727</v>
      </c>
      <c r="B17764" s="1">
        <v>0</v>
      </c>
      <c r="C17764" s="3">
        <v>44535.701550925929</v>
      </c>
      <c r="D17764" s="1" t="s">
        <v>34728</v>
      </c>
      <c r="E17764" s="4" t="str">
        <f ca="1">IFERROR(__xludf.DUMMYFUNCTION("GOOGLETRANSLATE(A567 , ""tr"" , ""en"")"),"@drfahrettinkoca Ministry Where are you at the Minister @drfahrettinkoca # fkuyumanerede40binatama")</f>
        <v>@drfahrettinkoca Ministry Where are you at the Minister @drfahrettinkoca # fkuyumanerede40binatama</v>
      </c>
    </row>
    <row r="17765" spans="1:5" ht="15" customHeight="1" x14ac:dyDescent="0.25">
      <c r="A17765" s="1" t="s">
        <v>34729</v>
      </c>
      <c r="B17765" s="1">
        <v>0</v>
      </c>
      <c r="C17765" s="3">
        <v>44535.70071759259</v>
      </c>
      <c r="D17765" s="1" t="s">
        <v>34730</v>
      </c>
      <c r="E17765" s="4" t="str">
        <f ca="1">IFERROR(__xludf.DUMMYFUNCTION("GOOGLETRANSLATE(A568 , ""tr"" , ""en"")"),"@drfahrettinka https://t.co/c5moxy4xlq")</f>
        <v>@drfahrettinka https://t.co/c5moxy4xlq</v>
      </c>
    </row>
    <row r="17766" spans="1:5" ht="15" customHeight="1" x14ac:dyDescent="0.25">
      <c r="A17766" s="1" t="s">
        <v>34731</v>
      </c>
      <c r="B17766" s="1">
        <v>0</v>
      </c>
      <c r="C17766" s="3">
        <v>44537.936157407406</v>
      </c>
      <c r="D17766" s="1" t="s">
        <v>34732</v>
      </c>
      <c r="E17766" s="4" t="str">
        <f ca="1">IFERROR(__xludf.DUMMYFUNCTION("GOOGLETRANSLATE(A569 , ""tr"" , ""en"")"),"@drfahrettinkoca @saglikbakanligi @sagliklicozum https://t.co/3vIehuno4o")</f>
        <v>@drfahrettinkoca @saglikbakanligi @sagliklicozum https://t.co/3vIehuno4o</v>
      </c>
    </row>
    <row r="17767" spans="1:5" ht="15" customHeight="1" x14ac:dyDescent="0.25">
      <c r="A17767" s="1" t="s">
        <v>34733</v>
      </c>
      <c r="B17767" s="1">
        <v>0</v>
      </c>
      <c r="C17767" s="3">
        <v>44537.935902777775</v>
      </c>
      <c r="D17767" s="1" t="s">
        <v>34734</v>
      </c>
      <c r="E17767" s="4" t="str">
        <f ca="1">IFERROR(__xludf.DUMMYFUNCTION("GOOGLETRANSLATE(A570 , ""tr"" , ""en"")"),"@drfahrettinkoca @saglikbakanligi @sagliklicozum https://t.co/7nnhuaghtf")</f>
        <v>@drfahrettinkoca @saglikbakanligi @sagliklicozum https://t.co/7nnhuaghtf</v>
      </c>
    </row>
    <row r="17768" spans="1:5" ht="15" customHeight="1" x14ac:dyDescent="0.25">
      <c r="A17768" s="1" t="s">
        <v>34735</v>
      </c>
      <c r="B17768" s="1">
        <v>0</v>
      </c>
      <c r="C17768" s="3">
        <v>44537.934664351851</v>
      </c>
      <c r="D17768" s="1" t="s">
        <v>34736</v>
      </c>
      <c r="E17768" s="4" t="str">
        <f ca="1">IFERROR(__xludf.DUMMYFUNCTION("GOOGLETRANSLATE(A571 , ""tr"" , ""en"")"),"@drfahrettinkoca @rterdogan @tcmeb https://t.co/cypkai3jaf")</f>
        <v>@drfahrettinkoca @rterdogan @tcmeb https://t.co/cypkai3jaf</v>
      </c>
    </row>
    <row r="17769" spans="1:5" ht="15" customHeight="1" x14ac:dyDescent="0.25">
      <c r="A17769" s="1" t="s">
        <v>34737</v>
      </c>
      <c r="B17769" s="1">
        <v>1</v>
      </c>
      <c r="C17769" s="3">
        <v>44537.934050925927</v>
      </c>
      <c r="D17769" s="1" t="s">
        <v>34738</v>
      </c>
      <c r="E17769" s="4" t="str">
        <f ca="1">IFERROR(__xludf.DUMMYFUNCTION("GOOGLETRANSLATE(A572 , ""tr"" , ""en"")"),"@drfahrettinkoca @saglikbakanligi @sagliklicozum @ProfSaltik @ProfSaltik @Thoscorulu @ttborgtr @tcmeb https://t.co/xnhhd1cjur")</f>
        <v>@drfahrettinkoca @saglikbakanligi @sagliklicozum @ProfSaltik @ProfSaltik @Thoscorulu @ttborgtr @tcmeb https://t.co/xnhhd1cjur</v>
      </c>
    </row>
    <row r="17770" spans="1:5" ht="15" customHeight="1" x14ac:dyDescent="0.25">
      <c r="A17770" s="1" t="s">
        <v>34739</v>
      </c>
      <c r="B17770" s="1">
        <v>0</v>
      </c>
      <c r="C17770" s="3">
        <v>44537.920208333337</v>
      </c>
      <c r="D17770" s="1" t="s">
        <v>34740</v>
      </c>
      <c r="E17770" s="4" t="str">
        <f ca="1">IFERROR(__xludf.DUMMYFUNCTION("GOOGLETRANSLATE(A573 , ""tr"" , ""en"")"),"@drfahrettinkoca is the master overlooking you. Do you have a BI honor crumbs? https://t.co/zfba5obfls")</f>
        <v>@drfahrettinkoca is the master overlooking you. Do you have a BI honor crumbs? https://t.co/zfba5obfls</v>
      </c>
    </row>
    <row r="17771" spans="1:5" ht="15" customHeight="1" x14ac:dyDescent="0.25">
      <c r="A17771" s="1" t="s">
        <v>34741</v>
      </c>
      <c r="B17771" s="1">
        <v>0</v>
      </c>
      <c r="C17771" s="3">
        <v>44537.915069444447</v>
      </c>
      <c r="D17771" s="1" t="s">
        <v>34742</v>
      </c>
      <c r="E17771" s="4" t="str">
        <f ca="1">IFERROR(__xludf.DUMMYFUNCTION("GOOGLETRANSLATE(A574 , ""tr"" , ""en"")"),"@drfahrettinkoca and the SAZ team's filim board do you have? # 12 https://t.co/DHPIDKJVZ5")</f>
        <v>@drfahrettinkoca and the SAZ team's filim board do you have? # 12 https://t.co/DHPIDKJVZ5</v>
      </c>
    </row>
    <row r="17772" spans="1:5" ht="15" customHeight="1" x14ac:dyDescent="0.25">
      <c r="A17772" s="1" t="s">
        <v>34743</v>
      </c>
      <c r="B17772" s="1">
        <v>0</v>
      </c>
      <c r="C17772" s="3">
        <v>44537.910243055558</v>
      </c>
      <c r="D17772" s="1" t="s">
        <v>34744</v>
      </c>
      <c r="E17772" s="4" t="str">
        <f ca="1">IFERROR(__xludf.DUMMYFUNCTION("GOOGLETRANSLATE(A575 , ""tr"" , ""en"")"),"@drfahrettinkoca Read! Although you don't read it's like you don't read the Pampa mode you are installed with the faith I'm suplel ... https://t.co/0hk3cnepgb")</f>
        <v>@drfahrettinkoca Read! Although you don't read it's like you don't read the Pampa mode you are installed with the faith I'm suplel ... https://t.co/0hk3cnepgb</v>
      </c>
    </row>
    <row r="17773" spans="1:5" ht="15" customHeight="1" x14ac:dyDescent="0.25">
      <c r="A17773" s="1" t="s">
        <v>34745</v>
      </c>
      <c r="B17773" s="1">
        <v>0</v>
      </c>
      <c r="C17773" s="3">
        <v>44537.908194444448</v>
      </c>
      <c r="D17773" s="1" t="s">
        <v>34746</v>
      </c>
      <c r="E17773" s="4" t="str">
        <f ca="1">IFERROR(__xludf.DUMMYFUNCTION("GOOGLETRANSLATE(A576 , ""tr"" , ""en"")"),"@drfahrettinkoca @bengibaser @serapssimsekyvz @ mehmetceyhan23 https://t.co/kvqwmhblhs")</f>
        <v>@drfahrettinkoca @bengibaser @serapssimsekyvz @ mehmetceyhan23 https://t.co/kvqwmhblhs</v>
      </c>
    </row>
    <row r="17774" spans="1:5" ht="15" customHeight="1" x14ac:dyDescent="0.25">
      <c r="A17774" s="1" t="s">
        <v>34747</v>
      </c>
      <c r="B17774" s="1">
        <v>0</v>
      </c>
      <c r="C17774" s="3">
        <v>44537.903356481482</v>
      </c>
      <c r="D17774" s="1" t="s">
        <v>34748</v>
      </c>
      <c r="E17774" s="4" t="str">
        <f ca="1">IFERROR(__xludf.DUMMYFUNCTION("GOOGLETRANSLATE(A577 , ""tr"" , ""en"")"),"@drfahrettinkoca Mr. Minister Minister Neyapacak We expect https://t.co/hdtvkvaIdm")</f>
        <v>@drfahrettinkoca Mr. Minister Minister Neyapacak We expect https://t.co/hdtvkvaIdm</v>
      </c>
    </row>
    <row r="17775" spans="1:5" ht="15" customHeight="1" x14ac:dyDescent="0.25">
      <c r="A17775" s="1" t="s">
        <v>34749</v>
      </c>
      <c r="B17775" s="1">
        <v>0</v>
      </c>
      <c r="C17775" s="3">
        <v>44537.900347222225</v>
      </c>
      <c r="D17775" s="1" t="s">
        <v>34750</v>
      </c>
      <c r="E17775" s="4" t="str">
        <f ca="1">IFERROR(__xludf.DUMMYFUNCTION("GOOGLETRANSLATE(A578 , ""tr"" , ""en"")"),"@drfahrettinkoca @bengibaser @serapsimsekyvz @ mehmetceyhan23 @drzekibay https://t.co/aq3isgspeo")</f>
        <v>@drfahrettinkoca @bengibaser @serapsimsekyvz @ mehmetceyhan23 @drzekibay https://t.co/aq3isgspeo</v>
      </c>
    </row>
    <row r="17776" spans="1:5" ht="15" customHeight="1" x14ac:dyDescent="0.25">
      <c r="A17776" s="1" t="s">
        <v>34751</v>
      </c>
      <c r="B17776" s="1">
        <v>0</v>
      </c>
      <c r="C17776" s="3">
        <v>44537.898414351854</v>
      </c>
      <c r="D17776" s="1" t="s">
        <v>34752</v>
      </c>
      <c r="E17776" s="4" t="str">
        <f ca="1">IFERROR(__xludf.DUMMYFUNCTION("GOOGLETRANSLATE(A579 , ""tr"" , ""en"")"),"@drfahrettinkoca @saglikbakanligi @sagliklicozum @Condiolu @ttborgtr https://t.co/yids37xkeu")</f>
        <v>@drfahrettinkoca @saglikbakanligi @sagliklicozum @Condiolu @ttborgtr https://t.co/yids37xkeu</v>
      </c>
    </row>
    <row r="17777" spans="1:5" ht="15" customHeight="1" x14ac:dyDescent="0.25">
      <c r="A17777" s="1" t="s">
        <v>34753</v>
      </c>
      <c r="B17777" s="1">
        <v>5</v>
      </c>
      <c r="C17777" s="3">
        <v>44537.898159722223</v>
      </c>
      <c r="D17777" s="1" t="s">
        <v>34754</v>
      </c>
      <c r="E17777" s="4" t="str">
        <f ca="1">IFERROR(__xludf.DUMMYFUNCTION("GOOGLETRANSLATE(A580 , ""tr"" , ""en"")"),"@drfahrettinkoca @hekimsensndk @sagimsensndk @saglikbakanligi @rterdogan @KilicDarogluk @dbdevletbahceli @ t_karamollaoglu ... https://t.co/sjws3tvvry")</f>
        <v>@drfahrettinkoca @hekimsensndk @sagimsensndk @saglikbakanligi @rterdogan @KilicDarogluk @dbdevletbahceli @ t_karamollaoglu ... https://t.co/sjws3tvvry</v>
      </c>
    </row>
    <row r="17778" spans="1:5" ht="15" customHeight="1" x14ac:dyDescent="0.25">
      <c r="A17778" s="1" t="s">
        <v>34755</v>
      </c>
      <c r="B17778" s="1">
        <v>3</v>
      </c>
      <c r="C17778" s="3">
        <v>44537.897881944446</v>
      </c>
      <c r="D17778" s="1" t="s">
        <v>34756</v>
      </c>
      <c r="E17778" s="4" t="str">
        <f ca="1">IFERROR(__xludf.DUMMYFUNCTION("GOOGLETRANSLATE(A581 , ""tr"" , ""en"")"),"@drfahrettinkoca @hekimsensndk @sagimsensndk @saglikbakanligi @rterdogan @KilicDarogluk @dbdevletbahceli @ t_karamollaoglu ... https://t.co/mabajkeı6w")</f>
        <v>@drfahrettinkoca @hekimsensndk @sagimsensndk @saglikbakanligi @rterdogan @KilicDarogluk @dbdevletbahceli @ t_karamollaoglu ... https://t.co/mabajkeı6w</v>
      </c>
    </row>
    <row r="17779" spans="1:5" ht="15" customHeight="1" x14ac:dyDescent="0.25">
      <c r="A17779" s="1" t="s">
        <v>34757</v>
      </c>
      <c r="B17779" s="1">
        <v>3</v>
      </c>
      <c r="C17779" s="3">
        <v>44537.89770833333</v>
      </c>
      <c r="D17779" s="1" t="s">
        <v>34758</v>
      </c>
      <c r="E17779" s="4" t="str">
        <f ca="1">IFERROR(__xludf.DUMMYFUNCTION("GOOGLETRANSLATE(A582 , ""tr"" , ""en"")"),"@drfahrettinkoca @hekimsensndk @sagimsensndk @saglikbakanligi @rterdogan @kilicdari @rterdogan @kilicdarogluk @dbdevletbahceli @ t_karamollaoglu ... https://t.co/mdx6v7csfp")</f>
        <v>@drfahrettinkoca @hekimsensndk @sagimsensndk @saglikbakanligi @rterdogan @kilicdari @rterdogan @kilicdarogluk @dbdevletbahceli @ t_karamollaoglu ... https://t.co/mdx6v7csfp</v>
      </c>
    </row>
    <row r="17780" spans="1:5" ht="15" customHeight="1" x14ac:dyDescent="0.25">
      <c r="A17780" s="1" t="s">
        <v>34759</v>
      </c>
      <c r="B17780" s="1">
        <v>0</v>
      </c>
      <c r="C17780" s="3">
        <v>44537.894837962966</v>
      </c>
      <c r="D17780" s="1" t="s">
        <v>34760</v>
      </c>
      <c r="E17780" s="4" t="str">
        <f ca="1">IFERROR(__xludf.DUMMYFUNCTION("GOOGLETRANSLATE(A583 , ""tr"" , ""en"")"),"@drfahrettinkoca @bengibaser @serapsimsekyvz @tcmeb @saglikbakanligi @sagliklicozum @ProfSaltik @ SciCluku ... https://t.co/svnn2mcrsu")</f>
        <v>@drfahrettinkoca @bengibaser @serapsimsekyvz @tcmeb @saglikbakanligi @sagliklicozum @ProfSaltik @ SciCluku ... https://t.co/svnn2mcrsu</v>
      </c>
    </row>
    <row r="17781" spans="1:5" ht="15" customHeight="1" x14ac:dyDescent="0.25">
      <c r="A17781" s="1" t="s">
        <v>34761</v>
      </c>
      <c r="B17781" s="1">
        <v>0</v>
      </c>
      <c r="C17781" s="3">
        <v>44537.894097222219</v>
      </c>
      <c r="D17781" s="1" t="s">
        <v>34762</v>
      </c>
      <c r="E17781" s="4" t="str">
        <f ca="1">IFERROR(__xludf.DUMMYFUNCTION("GOOGLETRANSLATE(A584 , ""tr"" , ""en"")"),"@drfahrettinka https://t.co/jsl8wbhrut")</f>
        <v>@drfahrettinka https://t.co/jsl8wbhrut</v>
      </c>
    </row>
    <row r="17782" spans="1:5" ht="15" customHeight="1" x14ac:dyDescent="0.25">
      <c r="A17782" s="1" t="s">
        <v>34763</v>
      </c>
      <c r="B17782" s="1">
        <v>0</v>
      </c>
      <c r="C17782" s="3">
        <v>44537.893738425926</v>
      </c>
      <c r="D17782" s="1" t="s">
        <v>34764</v>
      </c>
      <c r="E17782" s="4" t="str">
        <f ca="1">IFERROR(__xludf.DUMMYFUNCTION("GOOGLETRANSLATE(A585 , ""tr"" , ""en"")"),"@drfahrettinkoca @rterdogan @tcmeb @saglikbakanligi @sagliklicozum @ProfSaltik @CrofSaltik @tiklaru @ttborgtr https://t.co/3ujkgrmfl9")</f>
        <v>@drfahrettinkoca @rterdogan @tcmeb @saglikbakanligi @sagliklicozum @ProfSaltik @CrofSaltik @tiklaru @ttborgtr https://t.co/3ujkgrmfl9</v>
      </c>
    </row>
    <row r="17783" spans="1:5" ht="15" customHeight="1" x14ac:dyDescent="0.25">
      <c r="A17783" s="1" t="s">
        <v>34765</v>
      </c>
      <c r="B17783" s="1">
        <v>0</v>
      </c>
      <c r="C17783" s="3">
        <v>44537.892210648148</v>
      </c>
      <c r="D17783" s="1" t="s">
        <v>34766</v>
      </c>
      <c r="E17783" s="4" t="str">
        <f ca="1">IFERROR(__xludf.DUMMYFUNCTION("GOOGLETRANSLATE(A586 , ""tr"" , ""en"")"),"@drfahrettinkoca @bengibaser @serapssimsekyvz @ mehmetceyhan23 @drzekibay @secondvirus @H_ciloglu @ Adilipak ... https://t.co/jom5f5zwz2")</f>
        <v>@drfahrettinkoca @bengibaser @serapssimsekyvz @ mehmetceyhan23 @drzekibay @secondvirus @H_ciloglu @ Adilipak ... https://t.co/jom5f5zwz2</v>
      </c>
    </row>
    <row r="17784" spans="1:5" ht="15" customHeight="1" x14ac:dyDescent="0.25">
      <c r="A17784" s="1" t="s">
        <v>34767</v>
      </c>
      <c r="B17784" s="1">
        <v>0</v>
      </c>
      <c r="C17784" s="3">
        <v>44537.890752314815</v>
      </c>
      <c r="D17784" s="1" t="s">
        <v>34768</v>
      </c>
      <c r="E17784" s="4" t="str">
        <f ca="1">IFERROR(__xludf.DUMMYFUNCTION("GOOGLETRANSLATE(A587 , ""tr"" , ""en"")"),"@drfahrettinkoca @bengibaser @serapsimsekyvz @ mehmetceyhan23 @drzekibay @secondvirus @H_ciloglu @ Adilipak ... https://t.co/arql5uo3og")</f>
        <v>@drfahrettinkoca @bengibaser @serapsimsekyvz @ mehmetceyhan23 @drzekibay @secondvirus @H_ciloglu @ Adilipak ... https://t.co/arql5uo3og</v>
      </c>
    </row>
    <row r="17785" spans="1:5" ht="15" customHeight="1" x14ac:dyDescent="0.25">
      <c r="A17785" s="1" t="s">
        <v>34769</v>
      </c>
      <c r="B17785" s="1">
        <v>1</v>
      </c>
      <c r="C17785" s="3">
        <v>44537.889826388891</v>
      </c>
      <c r="D17785" s="1" t="s">
        <v>34770</v>
      </c>
      <c r="E17785" s="4" t="str">
        <f ca="1">IFERROR(__xludf.DUMMYFUNCTION("GOOGLETRANSLATE(A588 , ""tr"" , ""en"")"),"@drfahrettinkoca When you arrive that day, ""I didn't know, I didn't know,"" You won't be aware "". Each opportunity, each figure ... https://t.co/yvcwmclpew")</f>
        <v>@drfahrettinkoca When you arrive that day, "I didn't know, I didn't know," You won't be aware ". Each opportunity, each figure ... https://t.co/yvcwmclpew</v>
      </c>
    </row>
    <row r="17786" spans="1:5" ht="15" customHeight="1" x14ac:dyDescent="0.25">
      <c r="A17786" s="1" t="s">
        <v>34771</v>
      </c>
      <c r="B17786" s="1">
        <v>0</v>
      </c>
      <c r="C17786" s="3">
        <v>44537.880185185182</v>
      </c>
      <c r="D17786" s="1" t="s">
        <v>34772</v>
      </c>
      <c r="E17786" s="4" t="str">
        <f ca="1">IFERROR(__xludf.DUMMYFUNCTION("GOOGLETRANSLATE(A589 , ""tr"" , ""en"")"),"@drfahrettinka https://t.co/wk2hphg3ra")</f>
        <v>@drfahrettinka https://t.co/wk2hphg3ra</v>
      </c>
    </row>
    <row r="17787" spans="1:5" ht="15" customHeight="1" x14ac:dyDescent="0.25">
      <c r="A17787" s="1" t="s">
        <v>34773</v>
      </c>
      <c r="B17787" s="1">
        <v>0</v>
      </c>
      <c r="C17787" s="3">
        <v>44537.879293981481</v>
      </c>
      <c r="D17787" s="1" t="s">
        <v>34774</v>
      </c>
      <c r="E17787" s="4" t="str">
        <f ca="1">IFERROR(__xludf.DUMMYFUNCTION("GOOGLETRANSLATE(A590 , ""tr"" , ""en"")"),"@drfahrettinkoca @rterdogan https://t.co/9DW6GIY8T7")</f>
        <v>@drfahrettinkoca @rterdogan https://t.co/9DW6GIY8T7</v>
      </c>
    </row>
    <row r="17788" spans="1:5" ht="15" customHeight="1" x14ac:dyDescent="0.25">
      <c r="A17788" s="1" t="s">
        <v>34775</v>
      </c>
      <c r="B17788" s="1">
        <v>3</v>
      </c>
      <c r="C17788" s="3">
        <v>44537.875416666669</v>
      </c>
      <c r="D17788" s="1" t="s">
        <v>34776</v>
      </c>
      <c r="E17788" s="4" t="str">
        <f ca="1">IFERROR(__xludf.DUMMYFUNCTION("GOOGLETRANSLATE(A591 , ""tr"" , ""en"")"),"@drfahrettinkoca #sonhekimgit from https://t.co/kpjxaewmsl")</f>
        <v>@drfahrettinkoca #sonhekimgit from https://t.co/kpjxaewmsl</v>
      </c>
    </row>
    <row r="17789" spans="1:5" ht="15" customHeight="1" x14ac:dyDescent="0.25">
      <c r="A17789" s="1" t="s">
        <v>34777</v>
      </c>
      <c r="B17789" s="1">
        <v>0</v>
      </c>
      <c r="C17789" s="3">
        <v>44537.870787037034</v>
      </c>
      <c r="D17789" s="1" t="s">
        <v>34778</v>
      </c>
      <c r="E17789" s="4" t="str">
        <f ca="1">IFERROR(__xludf.DUMMYFUNCTION("GOOGLETRANSLATE(A592 , ""tr"" , ""en"")"),"@drfahrettinka Mr. Minister The @vakifbank calls for a very simple process as you can stay at home. Listen to you ... https://t.co/pqbhcefg3d")</f>
        <v>@drfahrettinka Mr. Minister The @vakifbank calls for a very simple process as you can stay at home. Listen to you ... https://t.co/pqbhcefg3d</v>
      </c>
    </row>
    <row r="17790" spans="1:5" ht="15" customHeight="1" x14ac:dyDescent="0.25">
      <c r="A17790" s="1" t="s">
        <v>34779</v>
      </c>
      <c r="B17790" s="1">
        <v>1</v>
      </c>
      <c r="C17790" s="3">
        <v>44537.870625000003</v>
      </c>
      <c r="D17790" s="1" t="s">
        <v>34780</v>
      </c>
      <c r="E17790" s="4" t="str">
        <f ca="1">IFERROR(__xludf.DUMMYFUNCTION("GOOGLETRANSLATE(A593 , ""tr"" , ""en"")"),"@drfahrettinkoca @rterdogan State Daddy is a difference of expert doctor salaries Including additional payment Senses 800 euro in the world Anc ... https://t.co/akjjfbbrmc")</f>
        <v>@drfahrettinkoca @rterdogan State Daddy is a difference of expert doctor salaries Including additional payment Senses 800 euro in the world Anc ... https://t.co/akjjfbbrmc</v>
      </c>
    </row>
    <row r="17791" spans="1:5" ht="15" customHeight="1" x14ac:dyDescent="0.25">
      <c r="A17791" s="1" t="s">
        <v>34781</v>
      </c>
      <c r="B17791" s="1">
        <v>1</v>
      </c>
      <c r="C17791" s="3">
        <v>44537.866851851853</v>
      </c>
      <c r="D17791" s="1" t="s">
        <v>34782</v>
      </c>
      <c r="E17791" s="4" t="str">
        <f ca="1">IFERROR(__xludf.DUMMYFUNCTION("GOOGLETRANSLATE(A594 , ""tr"" , ""en"")"),"@drfahrettinkoca @saglikbakanligi @sagliklicozum #sonhekimgit")</f>
        <v>@drfahrettinkoca @saglikbakanligi @sagliklicozum #sonhekimgit</v>
      </c>
    </row>
    <row r="17792" spans="1:5" ht="15" customHeight="1" x14ac:dyDescent="0.25">
      <c r="A17792" s="1" t="s">
        <v>34783</v>
      </c>
      <c r="B17792" s="1">
        <v>6</v>
      </c>
      <c r="C17792" s="3">
        <v>44537.855891203704</v>
      </c>
      <c r="D17792" s="1" t="s">
        <v>34784</v>
      </c>
      <c r="E17792" s="4" t="str">
        <f ca="1">IFERROR(__xludf.DUMMYFUNCTION("GOOGLETRANSLATE(A595 , ""tr"" , ""en"")"),"@drfahrettinkoca now steals our documents 36 hours but still doctors are contrary to human life ... https://t.co/6wghbt4fır")</f>
        <v>@drfahrettinkoca now steals our documents 36 hours but still doctors are contrary to human life ... https://t.co/6wghbt4fır</v>
      </c>
    </row>
    <row r="17793" spans="1:5" ht="15" customHeight="1" x14ac:dyDescent="0.25">
      <c r="A17793" s="1" t="s">
        <v>34785</v>
      </c>
      <c r="B17793" s="1">
        <v>0</v>
      </c>
      <c r="C17793" s="3">
        <v>44537.855150462965</v>
      </c>
      <c r="D17793" s="1" t="s">
        <v>34786</v>
      </c>
      <c r="E17793" s="4" t="str">
        <f ca="1">IFERROR(__xludf.DUMMYFUNCTION("GOOGLETRANSLATE(A596 , ""tr"" , ""en"")"),"@drfahrettinkoca @rterdogan hear our voice please !!! https://t.co/E4BISAJ6TB")</f>
        <v>@drfahrettinkoca @rterdogan hear our voice please !!! https://t.co/E4BISAJ6TB</v>
      </c>
    </row>
    <row r="17794" spans="1:5" ht="15" customHeight="1" x14ac:dyDescent="0.25">
      <c r="A17794" s="1" t="s">
        <v>34787</v>
      </c>
      <c r="B17794" s="1">
        <v>0</v>
      </c>
      <c r="C17794" s="3">
        <v>44537.853229166663</v>
      </c>
      <c r="D17794" s="1" t="s">
        <v>34788</v>
      </c>
      <c r="E17794" s="4" t="str">
        <f ca="1">IFERROR(__xludf.DUMMYFUNCTION("GOOGLETRANSLATE(A597 , ""tr"" , ""en"")"),"@drfahrettinkoca")</f>
        <v>@drfahrettinkoca</v>
      </c>
    </row>
    <row r="17795" spans="1:5" ht="15" customHeight="1" x14ac:dyDescent="0.25">
      <c r="A17795" s="1" t="s">
        <v>16701</v>
      </c>
      <c r="B17795" s="1">
        <v>2</v>
      </c>
      <c r="C17795" s="3">
        <v>44537.84207175926</v>
      </c>
      <c r="D17795" s="1" t="s">
        <v>34789</v>
      </c>
      <c r="E17795" s="4" t="str">
        <f ca="1">IFERROR(__xludf.DUMMYFUNCTION("GOOGLETRANSLATE(A598 , ""tr"" , ""en"")"),"@drfahrettinkoca #sonhexygit")</f>
        <v>@drfahrettinkoca #sonhexygit</v>
      </c>
    </row>
    <row r="17796" spans="1:5" ht="15" customHeight="1" x14ac:dyDescent="0.25">
      <c r="A17796" s="1" t="s">
        <v>34790</v>
      </c>
      <c r="B17796" s="1">
        <v>0</v>
      </c>
      <c r="C17796" s="3">
        <v>44537.841967592591</v>
      </c>
      <c r="D17796" s="1" t="s">
        <v>34791</v>
      </c>
      <c r="E17796" s="4" t="str">
        <f ca="1">IFERROR(__xludf.DUMMYFUNCTION("GOOGLETRANSLATE(A599 , ""tr"" , ""en"")"),"@drfahrettinka https://t.co/ucdhmp053z")</f>
        <v>@drfahrettinka https://t.co/ucdhmp053z</v>
      </c>
    </row>
    <row r="17797" spans="1:5" ht="15" customHeight="1" x14ac:dyDescent="0.25">
      <c r="A17797" s="1" t="s">
        <v>34792</v>
      </c>
      <c r="B17797" s="1">
        <v>0</v>
      </c>
      <c r="C17797" s="3">
        <v>44537.840648148151</v>
      </c>
      <c r="D17797" s="1" t="s">
        <v>34793</v>
      </c>
      <c r="E17797" s="4" t="str">
        <f ca="1">IFERROR(__xludf.DUMMYFUNCTION("GOOGLETRANSLATE(A600 , ""tr"" , ""en"")"),"@drfahrettinkoca 36")</f>
        <v>@drfahrettinkoca 36</v>
      </c>
    </row>
    <row r="17798" spans="1:5" ht="15" customHeight="1" x14ac:dyDescent="0.25">
      <c r="A17798" s="1" t="s">
        <v>34794</v>
      </c>
      <c r="B17798" s="1">
        <v>1</v>
      </c>
      <c r="C17798" s="3">
        <v>44537.827430555553</v>
      </c>
      <c r="D17798" s="1" t="s">
        <v>34795</v>
      </c>
      <c r="E17798" s="4" t="str">
        <f ca="1">IFERROR(__xludf.DUMMYFUNCTION("GOOGLETRANSLATE(A601 , ""tr"" , ""en"")"),"@drfahrettinka https://t.co/rlhe7buow2")</f>
        <v>@drfahrettinka https://t.co/rlhe7buow2</v>
      </c>
    </row>
    <row r="17799" spans="1:5" ht="15" customHeight="1" x14ac:dyDescent="0.25">
      <c r="A17799" s="1" t="s">
        <v>34796</v>
      </c>
      <c r="B17799" s="1">
        <v>0</v>
      </c>
      <c r="C17799" s="3">
        <v>44537.824155092596</v>
      </c>
      <c r="D17799" s="1" t="s">
        <v>34797</v>
      </c>
      <c r="E17799" s="4" t="str">
        <f ca="1">IFERROR(__xludf.DUMMYFUNCTION("GOOGLETRANSLATE(A602 , ""tr"" , ""en"")"),"@drfahrettinkoca why is all the time 6")</f>
        <v>@drfahrettinkoca why is all the time 6</v>
      </c>
    </row>
    <row r="17800" spans="1:5" ht="15" customHeight="1" x14ac:dyDescent="0.25">
      <c r="A17800" s="1" t="s">
        <v>34798</v>
      </c>
      <c r="B17800" s="1">
        <v>0</v>
      </c>
      <c r="C17800" s="3">
        <v>44537.820613425924</v>
      </c>
      <c r="D17800" s="1" t="s">
        <v>34799</v>
      </c>
      <c r="E17800" s="4" t="str">
        <f ca="1">IFERROR(__xludf.DUMMYFUNCTION("GOOGLETRANSLATE(A603 , ""tr"" , ""en"")"),"@drfahrettinkoca ... You have been vaccine from Harbi ...? https://t.co/46gs4yzgav")</f>
        <v>@drfahrettinkoca ... You have been vaccine from Harbi ...? https://t.co/46gs4yzgav</v>
      </c>
    </row>
    <row r="17801" spans="1:5" ht="15" customHeight="1" x14ac:dyDescent="0.25">
      <c r="A17801" s="1" t="s">
        <v>34800</v>
      </c>
      <c r="B17801" s="1">
        <v>0</v>
      </c>
      <c r="C17801" s="3">
        <v>44537.820185185185</v>
      </c>
      <c r="D17801" s="1" t="s">
        <v>34801</v>
      </c>
      <c r="E17801" s="4" t="str">
        <f ca="1">IFERROR(__xludf.DUMMYFUNCTION("GOOGLETRANSLATE(A604 , ""tr"" , ""en"")"),"@drfahrettinkoca Marmara University Two days in Pendik Hospital Emergency Interfered in Merchandise Room ... https://t.co/4kdouwjg4u")</f>
        <v>@drfahrettinkoca Marmara University Two days in Pendik Hospital Emergency Interfered in Merchandise Room ... https://t.co/4kdouwjg4u</v>
      </c>
    </row>
    <row r="17802" spans="1:5" ht="15" customHeight="1" x14ac:dyDescent="0.25">
      <c r="A17802" s="1" t="s">
        <v>34802</v>
      </c>
      <c r="B17802" s="1">
        <v>0</v>
      </c>
      <c r="C17802" s="3">
        <v>44537.819618055553</v>
      </c>
      <c r="D17802" s="1" t="s">
        <v>34803</v>
      </c>
      <c r="E17802" s="4" t="str">
        <f ca="1">IFERROR(__xludf.DUMMYFUNCTION("GOOGLETRANSLATE(A605 , ""tr"" , ""en"")"),"@drfahrettinka https://t.co/16c6qqvgbv")</f>
        <v>@drfahrettinka https://t.co/16c6qqvgbv</v>
      </c>
    </row>
    <row r="17803" spans="1:5" ht="15" customHeight="1" x14ac:dyDescent="0.25">
      <c r="A17803" s="1" t="s">
        <v>34804</v>
      </c>
      <c r="B17803" s="1">
        <v>0</v>
      </c>
      <c r="C17803" s="3">
        <v>44537.819097222222</v>
      </c>
      <c r="D17803" s="1" t="s">
        <v>34805</v>
      </c>
      <c r="E17803" s="4" t="str">
        <f ca="1">IFERROR(__xludf.DUMMYFUNCTION("GOOGLETRANSLATE(A606 , ""tr"" , ""en"")"),"@drfahrettinka https://t.co/6iawg1tswf")</f>
        <v>@drfahrettinka https://t.co/6iawg1tswf</v>
      </c>
    </row>
    <row r="17804" spans="1:5" ht="15" customHeight="1" x14ac:dyDescent="0.25">
      <c r="A17804" s="1" t="s">
        <v>34806</v>
      </c>
      <c r="B17804" s="1">
        <v>0</v>
      </c>
      <c r="C17804" s="3">
        <v>44537.818043981482</v>
      </c>
      <c r="D17804" s="1" t="s">
        <v>34807</v>
      </c>
      <c r="E17804" s="4" t="str">
        <f ca="1">IFERROR(__xludf.DUMMYFUNCTION("GOOGLETRANSLATE(A607 , ""tr"" , ""en"")"),"@drfahrettinkoca. # Healthier")</f>
        <v>@drfahrettinkoca. # Healthier</v>
      </c>
    </row>
    <row r="17805" spans="1:5" ht="15" customHeight="1" x14ac:dyDescent="0.25">
      <c r="A17805" s="1" t="s">
        <v>34808</v>
      </c>
      <c r="B17805" s="1">
        <v>0</v>
      </c>
      <c r="C17805" s="3">
        <v>44537.817430555559</v>
      </c>
      <c r="D17805" s="1" t="s">
        <v>34809</v>
      </c>
      <c r="E17805" s="4" t="str">
        <f ca="1">IFERROR(__xludf.DUMMYFUNCTION("GOOGLETRANSLATE(A608 , ""tr"" , ""en"")"),"@drfahrettinkoca # Healthier")</f>
        <v>@drfahrettinkoca # Healthier</v>
      </c>
    </row>
    <row r="17806" spans="1:5" ht="15" customHeight="1" x14ac:dyDescent="0.25">
      <c r="A17806" s="1" t="s">
        <v>34810</v>
      </c>
      <c r="B17806" s="1">
        <v>0</v>
      </c>
      <c r="C17806" s="3">
        <v>44537.816307870373</v>
      </c>
      <c r="D17806" s="1" t="s">
        <v>34811</v>
      </c>
      <c r="E17806" s="4" t="str">
        <f ca="1">IFERROR(__xludf.DUMMYFUNCTION("GOOGLETRANSLATE(A609 , ""tr"" , ""en"")"),"@drfahrettinka https://t.co/76tbw7g5ng")</f>
        <v>@drfahrettinka https://t.co/76tbw7g5ng</v>
      </c>
    </row>
    <row r="17807" spans="1:5" ht="15" customHeight="1" x14ac:dyDescent="0.25">
      <c r="A17807" s="1" t="s">
        <v>34812</v>
      </c>
      <c r="B17807" s="1">
        <v>0</v>
      </c>
      <c r="C17807" s="3">
        <v>44537.806168981479</v>
      </c>
      <c r="D17807" s="1" t="s">
        <v>34813</v>
      </c>
      <c r="E17807" s="4" t="str">
        <f ca="1">IFERROR(__xludf.DUMMYFUNCTION("GOOGLETRANSLATE(A610 , ""tr"" , ""en"")"),"@drfahrettinkoca #sondakika 🟠 Z belt # Call with Cabinethoutlinlinist TagI with MEB and YÖK. Heard is ... https://t.co/ox2lvt4oma")</f>
        <v>@drfahrettinkoca #sondakika 🟠 Z belt # Call with Cabinethoutlinlinist TagI with MEB and YÖK. Heard is ... https://t.co/ox2lvt4oma</v>
      </c>
    </row>
    <row r="17808" spans="1:5" ht="15" customHeight="1" x14ac:dyDescent="0.25">
      <c r="A17808" s="1" t="s">
        <v>34787</v>
      </c>
      <c r="B17808" s="1">
        <v>0</v>
      </c>
      <c r="C17808" s="3">
        <v>44537.80133101852</v>
      </c>
      <c r="D17808" s="1" t="s">
        <v>34814</v>
      </c>
      <c r="E17808" s="4" t="str">
        <f ca="1">IFERROR(__xludf.DUMMYFUNCTION("GOOGLETRANSLATE(A611 , ""tr"" , ""en"")"),"@drfahrettinkoca")</f>
        <v>@drfahrettinkoca</v>
      </c>
    </row>
    <row r="17809" spans="1:5" ht="15" customHeight="1" x14ac:dyDescent="0.25">
      <c r="A17809" s="1" t="s">
        <v>34815</v>
      </c>
      <c r="B17809" s="1">
        <v>0</v>
      </c>
      <c r="C17809" s="3">
        <v>44537.797442129631</v>
      </c>
      <c r="D17809" s="1" t="s">
        <v>34816</v>
      </c>
      <c r="E17809" s="4" t="str">
        <f ca="1">IFERROR(__xludf.DUMMYFUNCTION("GOOGLETRANSLATE(A612 , ""tr"" , ""en"")"),"@drfahrettinkoca yesterday, due to the boycott of the nurses of the nurses is a 76-year-old hardy appointment Mummy 1 hour Road ... https://t.co/toyjldkhf3")</f>
        <v>@drfahrettinkoca yesterday, due to the boycott of the nurses of the nurses is a 76-year-old hardy appointment Mummy 1 hour Road ... https://t.co/toyjldkhf3</v>
      </c>
    </row>
    <row r="17810" spans="1:5" ht="15" customHeight="1" x14ac:dyDescent="0.25">
      <c r="A17810" s="1" t="s">
        <v>34817</v>
      </c>
      <c r="B17810" s="1">
        <v>5</v>
      </c>
      <c r="C17810" s="3">
        <v>44537.796539351853</v>
      </c>
      <c r="D17810" s="1" t="s">
        <v>34818</v>
      </c>
      <c r="E17810" s="4" t="str">
        <f ca="1">IFERROR(__xludf.DUMMYFUNCTION("GOOGLETRANSLATE(A613 , ""tr"" , ""en"")"),"@drfahrettinkoca @rterdogan comei now healthpieces waiting # cbonaylakochacuzuya")</f>
        <v>@drfahrettinkoca @rterdogan comei now healthpieces waiting # cbonaylakochacuzuya</v>
      </c>
    </row>
    <row r="17811" spans="1:5" ht="15" customHeight="1" x14ac:dyDescent="0.25">
      <c r="A17811" s="1" t="s">
        <v>34819</v>
      </c>
      <c r="B17811" s="1">
        <v>0</v>
      </c>
      <c r="C17811" s="3">
        <v>44537.795844907407</v>
      </c>
      <c r="D17811" s="1" t="s">
        <v>34820</v>
      </c>
      <c r="E17811" s="4" t="str">
        <f ca="1">IFERROR(__xludf.DUMMYFUNCTION("GOOGLETRANSLATE(A614 , ""tr"" , ""en"")"),"@drfahrettinka https://t.co/sjmrkjlep4")</f>
        <v>@drfahrettinka https://t.co/sjmrkjlep4</v>
      </c>
    </row>
    <row r="17812" spans="1:5" ht="15" customHeight="1" x14ac:dyDescent="0.25">
      <c r="A17812" s="1" t="s">
        <v>34821</v>
      </c>
      <c r="B17812" s="1">
        <v>0</v>
      </c>
      <c r="C17812" s="3">
        <v>44537.792094907411</v>
      </c>
      <c r="D17812" s="1" t="s">
        <v>34822</v>
      </c>
      <c r="E17812" s="4" t="str">
        <f ca="1">IFERROR(__xludf.DUMMYFUNCTION("GOOGLETRANSLATE(A615 , ""tr"" , ""en"")"),"@drfahrettinka https://t.co/7meuyrudvw")</f>
        <v>@drfahrettinka https://t.co/7meuyrudvw</v>
      </c>
    </row>
    <row r="17813" spans="1:5" ht="15" customHeight="1" x14ac:dyDescent="0.25">
      <c r="A17813" s="1" t="s">
        <v>34823</v>
      </c>
      <c r="B17813" s="1">
        <v>0</v>
      </c>
      <c r="C17813" s="3">
        <v>44537.785011574073</v>
      </c>
      <c r="D17813" s="1" t="s">
        <v>34824</v>
      </c>
      <c r="E17813" s="4" t="str">
        <f ca="1">IFERROR(__xludf.DUMMYFUNCTION("GOOGLETRANSLATE(A616 , ""tr"" , ""en"")"),"@drfahrettinka https://t.co/ju7b4or5zm")</f>
        <v>@drfahrettinka https://t.co/ju7b4or5zm</v>
      </c>
    </row>
    <row r="17814" spans="1:5" ht="15" customHeight="1" x14ac:dyDescent="0.25">
      <c r="A17814" s="1" t="s">
        <v>34825</v>
      </c>
      <c r="B17814" s="1">
        <v>0</v>
      </c>
      <c r="C17814" s="3">
        <v>44537.784456018519</v>
      </c>
      <c r="D17814" s="1" t="s">
        <v>34826</v>
      </c>
      <c r="E17814" s="4" t="str">
        <f ca="1">IFERROR(__xludf.DUMMYFUNCTION("GOOGLETRANSLATE(A617 , ""tr"" , ""en"")"),"@drfahrettinka https://t.co/xdmeuzo8J0")</f>
        <v>@drfahrettinka https://t.co/xdmeuzo8J0</v>
      </c>
    </row>
    <row r="17815" spans="1:5" ht="15" customHeight="1" x14ac:dyDescent="0.25">
      <c r="A17815" s="1" t="s">
        <v>34827</v>
      </c>
      <c r="B17815" s="1">
        <v>1</v>
      </c>
      <c r="C17815" s="3">
        <v>44537.783946759257</v>
      </c>
      <c r="D17815" s="1" t="s">
        <v>34828</v>
      </c>
      <c r="E17815" s="4" t="str">
        <f ca="1">IFERROR(__xludf.DUMMYFUNCTION("GOOGLETRANSLATE(A618 , ""tr"" , ""en"")"),"@drfahrettinka https://t.co/O87ISGBXI9")</f>
        <v>@drfahrettinka https://t.co/O87ISGBXI9</v>
      </c>
    </row>
    <row r="17816" spans="1:5" ht="15" customHeight="1" x14ac:dyDescent="0.25">
      <c r="A17816" s="1" t="s">
        <v>34829</v>
      </c>
      <c r="B17816" s="1">
        <v>0</v>
      </c>
      <c r="C17816" s="3">
        <v>44537.783877314818</v>
      </c>
      <c r="D17816" s="1" t="s">
        <v>34830</v>
      </c>
      <c r="E17816" s="4" t="str">
        <f ca="1">IFERROR(__xludf.DUMMYFUNCTION("GOOGLETRANSLATE(A619 , ""tr"" , ""en"")"),"@drfahrettinkoca pandemia due to the opportunity because of it. https://t.co/jz12czrxya")</f>
        <v>@drfahrettinkoca pandemia due to the opportunity because of it. https://t.co/jz12czrxya</v>
      </c>
    </row>
    <row r="17817" spans="1:5" ht="15" customHeight="1" x14ac:dyDescent="0.25">
      <c r="A17817" s="1" t="s">
        <v>34831</v>
      </c>
      <c r="B17817" s="1">
        <v>0</v>
      </c>
      <c r="C17817" s="3">
        <v>44537.778506944444</v>
      </c>
      <c r="D17817" s="1" t="s">
        <v>34832</v>
      </c>
      <c r="E17817" s="4" t="str">
        <f ca="1">IFERROR(__xludf.DUMMYFUNCTION("GOOGLETRANSLATE(A620 , ""tr"" , ""en"")"),"@drfahrettinkoca Mr. Minister Health Workers Among the Health Workers for the Prophet to the Prophet ... HTTPS://T.CO/A6C10CT88I")</f>
        <v>@drfahrettinkoca Mr. Minister Health Workers Among the Health Workers for the Prophet to the Prophet ... HTTPS://T.CO/A6C10CT88I</v>
      </c>
    </row>
    <row r="17818" spans="1:5" ht="15" customHeight="1" x14ac:dyDescent="0.25">
      <c r="A17818" s="1" t="s">
        <v>34833</v>
      </c>
      <c r="B17818" s="1">
        <v>0</v>
      </c>
      <c r="C17818" s="3">
        <v>44537.774942129632</v>
      </c>
      <c r="D17818" s="1" t="s">
        <v>34834</v>
      </c>
      <c r="E17818" s="4" t="str">
        <f ca="1">IFERROR(__xludf.DUMMYFUNCTION("GOOGLETRANSLATE(A621 , ""tr"" , ""en"")"),"@drfahrettinkoca @saglikbakanligi This physician is not perfect to reward in front of our friend's press? # Mask ... https://t.co/g2epyr8vp0")</f>
        <v>@drfahrettinkoca @saglikbakanligi This physician is not perfect to reward in front of our friend's press? # Mask ... https://t.co/g2epyr8vp0</v>
      </c>
    </row>
    <row r="17819" spans="1:5" ht="15" customHeight="1" x14ac:dyDescent="0.25">
      <c r="A17819" s="1" t="s">
        <v>17710</v>
      </c>
      <c r="B17819" s="1">
        <v>1</v>
      </c>
      <c r="C17819" s="3">
        <v>44537.772615740738</v>
      </c>
      <c r="D17819" s="1" t="s">
        <v>34835</v>
      </c>
      <c r="E17819" s="4" t="str">
        <f ca="1">IFERROR(__xludf.DUMMYFUNCTION("GOOGLETRANSLATE(A622 , ""tr"" , ""en"")"),"@drfahrettinkoca I'm #cbonaylakochave")</f>
        <v>@drfahrettinkoca I'm #cbonaylakochave</v>
      </c>
    </row>
    <row r="17820" spans="1:5" ht="15" customHeight="1" x14ac:dyDescent="0.25">
      <c r="A17820" s="1" t="s">
        <v>34836</v>
      </c>
      <c r="B17820" s="1">
        <v>0</v>
      </c>
      <c r="C17820" s="3">
        <v>44537.77140046296</v>
      </c>
      <c r="D17820" s="1" t="s">
        <v>34837</v>
      </c>
      <c r="E17820" s="4" t="str">
        <f ca="1">IFERROR(__xludf.DUMMYFUNCTION("GOOGLETRANSLATE(A623 , ""tr"" , ""en"")"),"@drfahrettinkoca @cuneytozdemir @esaskenan @Avukatergunn has a lot of laugh. 😂😂😂: https://t.co/rk3py0o545")</f>
        <v>@drfahrettinkoca @cuneytozdemir @esaskenan @Avukatergunn has a lot of laugh. 😂😂😂: https://t.co/rk3py0o545</v>
      </c>
    </row>
    <row r="17821" spans="1:5" ht="15" customHeight="1" x14ac:dyDescent="0.25">
      <c r="A17821" s="1" t="s">
        <v>34838</v>
      </c>
      <c r="B17821" s="1">
        <v>1</v>
      </c>
      <c r="C17821" s="3">
        <v>44537.771249999998</v>
      </c>
      <c r="D17821" s="1" t="s">
        <v>34839</v>
      </c>
      <c r="E17821" s="4" t="str">
        <f ca="1">IFERROR(__xludf.DUMMYFUNCTION("GOOGLETRANSLATE(A624 , ""tr"" , ""en"")"),"|")</f>
        <v>|</v>
      </c>
    </row>
    <row r="17822" spans="1:5" ht="15" customHeight="1" x14ac:dyDescent="0.25">
      <c r="A17822" s="1" t="s">
        <v>34840</v>
      </c>
      <c r="B17822" s="1">
        <v>2</v>
      </c>
      <c r="C17822" s="3">
        <v>44537.768495370372</v>
      </c>
      <c r="D17822" s="1" t="s">
        <v>34841</v>
      </c>
      <c r="E17822" s="4" t="str">
        <f ca="1">IFERROR(__xludf.DUMMYFUNCTION("GOOGLETRANSLATE(A625 , ""tr"" , ""en"")"),"@drfahrettinkoca @rterdogan i'm #cbonaylakochavuzuya")</f>
        <v>@drfahrettinkoca @rterdogan i'm #cbonaylakochavuzuya</v>
      </c>
    </row>
    <row r="17823" spans="1:5" ht="15" customHeight="1" x14ac:dyDescent="0.25">
      <c r="A17823" s="1" t="s">
        <v>34842</v>
      </c>
      <c r="B17823" s="1">
        <v>4</v>
      </c>
      <c r="C17823" s="3">
        <v>44537.765486111108</v>
      </c>
      <c r="D17823" s="1" t="s">
        <v>34843</v>
      </c>
      <c r="E17823" s="4" t="str">
        <f ca="1">IFERROR(__xludf.DUMMYFUNCTION("GOOGLETRANSLATE(A626 , ""tr"" , ""en"")"),"@drfahrettinkoca 🤲 I'm #cbonaylakochave")</f>
        <v>@drfahrettinkoca 🤲 I'm #cbonaylakochave</v>
      </c>
    </row>
    <row r="17824" spans="1:5" ht="15" customHeight="1" x14ac:dyDescent="0.25">
      <c r="A17824" s="1" t="s">
        <v>34844</v>
      </c>
      <c r="B17824" s="1">
        <v>1</v>
      </c>
      <c r="C17824" s="3">
        <v>44537.762511574074</v>
      </c>
      <c r="D17824" s="1" t="s">
        <v>34845</v>
      </c>
      <c r="E17824" s="4" t="str">
        <f ca="1">IFERROR(__xludf.DUMMYFUNCTION("GOOGLETRANSLATE(A627 , ""tr"" , ""en"")"),"@drfahrettinka Mr. Ministry of Mr.:sonhekimgit Please earn the physicians. will not compensate when there are not enough physicians in the country")</f>
        <v>@drfahrettinka Mr. Ministry of Mr.:sonhekimgit Please earn the physicians. will not compensate when there are not enough physicians in the country</v>
      </c>
    </row>
    <row r="17825" spans="1:5" ht="15" customHeight="1" x14ac:dyDescent="0.25">
      <c r="A17825" s="1" t="s">
        <v>34846</v>
      </c>
      <c r="B17825" s="1">
        <v>0</v>
      </c>
      <c r="C17825" s="3">
        <v>44537.762349537035</v>
      </c>
      <c r="D17825" s="1" t="s">
        <v>34847</v>
      </c>
      <c r="E17825" s="4" t="str">
        <f ca="1">IFERROR(__xludf.DUMMYFUNCTION("GOOGLETRANSLATE(A628 , ""tr"" , ""en"")"),"@drfahrettinkoca Mr. Minister at hospitals only working my doctors? both in contact with patients ... https://t.co/s49wrwmlkd")</f>
        <v>@drfahrettinkoca Mr. Minister at hospitals only working my doctors? both in contact with patients ... https://t.co/s49wrwmlkd</v>
      </c>
    </row>
    <row r="17826" spans="1:5" ht="15" customHeight="1" x14ac:dyDescent="0.25">
      <c r="A17826" s="1" t="s">
        <v>34848</v>
      </c>
      <c r="B17826" s="1">
        <v>1</v>
      </c>
      <c r="C17826" s="3">
        <v>44537.760000000002</v>
      </c>
      <c r="D17826" s="1" t="s">
        <v>34849</v>
      </c>
      <c r="E17826" s="4" t="str">
        <f ca="1">IFERROR(__xludf.DUMMYFUNCTION("GOOGLETRANSLATE(A629 , ""tr"" , ""en"")"),"@drfahrettinkoca @kilicdarogluk @meral_aksener https://t.co/8zd6ofb9yo")</f>
        <v>@drfahrettinkoca @kilicdarogluk @meral_aksener https://t.co/8zd6ofb9yo</v>
      </c>
    </row>
    <row r="17827" spans="1:5" ht="15" customHeight="1" x14ac:dyDescent="0.25">
      <c r="A17827" s="1" t="s">
        <v>34850</v>
      </c>
      <c r="B17827" s="1">
        <v>0</v>
      </c>
      <c r="C17827" s="3">
        <v>44537.759583333333</v>
      </c>
      <c r="D17827" s="1" t="s">
        <v>34851</v>
      </c>
      <c r="E17827" s="4" t="str">
        <f ca="1">IFERROR(__xludf.DUMMYFUNCTION("GOOGLETRANSLATE(A630 , ""tr"" , ""en"")"),"@drfahrettinkoca we want #cbonaylakochacuzu")</f>
        <v>@drfahrettinkoca we want #cbonaylakochacuzu</v>
      </c>
    </row>
    <row r="17828" spans="1:5" ht="15" customHeight="1" x14ac:dyDescent="0.25">
      <c r="A17828" s="1" t="s">
        <v>34852</v>
      </c>
      <c r="B17828" s="1">
        <v>2</v>
      </c>
      <c r="C17828" s="3">
        <v>44537.759340277778</v>
      </c>
      <c r="D17828" s="1" t="s">
        <v>34853</v>
      </c>
      <c r="E17828" s="4" t="str">
        <f ca="1">IFERROR(__xludf.DUMMYFUNCTION("GOOGLETRANSLATE(A631 , ""tr"" , ""en"")"),"@drfahrettinkoca #mbonaylakocağmuzuyıma I'm https://t.co/uattj5hmcl")</f>
        <v>@drfahrettinkoca #mbonaylakocağmuzuyıma I'm https://t.co/uattj5hmcl</v>
      </c>
    </row>
    <row r="17829" spans="1:5" ht="15" customHeight="1" x14ac:dyDescent="0.25">
      <c r="A17829" s="1" t="s">
        <v>34854</v>
      </c>
      <c r="B17829" s="1">
        <v>1</v>
      </c>
      <c r="C17829" s="3">
        <v>44537.753796296296</v>
      </c>
      <c r="D17829" s="1" t="s">
        <v>34855</v>
      </c>
      <c r="E17829" s="4" t="str">
        <f ca="1">IFERROR(__xludf.DUMMYFUNCTION("GOOGLETRANSLATE(A632 , ""tr"" , ""en"")"),"@drfahrettinkoca I'm #cbonaylakochave")</f>
        <v>@drfahrettinkoca I'm #cbonaylakochave</v>
      </c>
    </row>
    <row r="17830" spans="1:5" ht="15" customHeight="1" x14ac:dyDescent="0.25">
      <c r="A17830" s="1" t="s">
        <v>34856</v>
      </c>
      <c r="B17830" s="1">
        <v>0</v>
      </c>
      <c r="C17830" s="3">
        <v>44537.753738425927</v>
      </c>
      <c r="D17830" s="1" t="s">
        <v>34857</v>
      </c>
      <c r="E17830" s="4" t="str">
        <f ca="1">IFERROR(__xludf.DUMMYFUNCTION("GOOGLETRANSLATE(A633 , ""tr"" , ""en"")"),"@drfahrettinkoca @rterdogan i'm #cbonaylakochavuzuya")</f>
        <v>@drfahrettinkoca @rterdogan i'm #cbonaylakochavuzuya</v>
      </c>
    </row>
    <row r="17831" spans="1:5" ht="15" customHeight="1" x14ac:dyDescent="0.25">
      <c r="A17831" s="1" t="s">
        <v>34858</v>
      </c>
      <c r="B17831" s="1">
        <v>0</v>
      </c>
      <c r="C17831" s="3">
        <v>44537.752650462964</v>
      </c>
      <c r="D17831" s="1" t="s">
        <v>34859</v>
      </c>
      <c r="E17831" s="4" t="str">
        <f ca="1">IFERROR(__xludf.DUMMYFUNCTION("GOOGLETRANSLATE(A634 , ""tr"" , ""en"")"),"@drfahrettinkoca expects to be the minister # cbonaylakochaguzu")</f>
        <v>@drfahrettinkoca expects to be the minister # cbonaylakochaguzu</v>
      </c>
    </row>
    <row r="17832" spans="1:5" ht="15" customHeight="1" x14ac:dyDescent="0.25">
      <c r="A17832" s="1" t="s">
        <v>17710</v>
      </c>
      <c r="B17832" s="1">
        <v>0</v>
      </c>
      <c r="C17832" s="3">
        <v>44537.749803240738</v>
      </c>
      <c r="D17832" s="1" t="s">
        <v>34860</v>
      </c>
      <c r="E17832" s="4" t="str">
        <f ca="1">IFERROR(__xludf.DUMMYFUNCTION("GOOGLETRANSLATE(A635 , ""tr"" , ""en"")"),"@drfahrettinkoca I'm #cbonaylakochave")</f>
        <v>@drfahrettinkoca I'm #cbonaylakochave</v>
      </c>
    </row>
    <row r="17833" spans="1:5" ht="15" customHeight="1" x14ac:dyDescent="0.25">
      <c r="A17833" s="1" t="s">
        <v>34861</v>
      </c>
      <c r="B17833" s="1">
        <v>1</v>
      </c>
      <c r="C17833" s="3">
        <v>44537.749710648146</v>
      </c>
      <c r="D17833" s="1" t="s">
        <v>34862</v>
      </c>
      <c r="E17833" s="4" t="str">
        <f ca="1">IFERROR(__xludf.DUMMYFUNCTION("GOOGLETRANSLATE(A636 , ""tr"" , ""en"")"),"@drfahrettinkoca @rterdogan @halis_aygun I'm #cbonaylakochage")</f>
        <v>@drfahrettinkoca @rterdogan @halis_aygun I'm #cbonaylakochage</v>
      </c>
    </row>
    <row r="17834" spans="1:5" ht="15" customHeight="1" x14ac:dyDescent="0.25">
      <c r="A17834" s="1" t="s">
        <v>34863</v>
      </c>
      <c r="B17834" s="1">
        <v>0</v>
      </c>
      <c r="C17834" s="3">
        <v>44537.746539351851</v>
      </c>
      <c r="D17834" s="1" t="s">
        <v>34864</v>
      </c>
      <c r="E17834" s="4" t="str">
        <f ca="1">IFERROR(__xludf.DUMMYFUNCTION("GOOGLETRANSLATE(A637 , ""tr"" , ""en"")"),"@drfahrettinkoca @haluklevent @haintrn https://t.co/ucb8hm8FJI")</f>
        <v>@drfahrettinkoca @haluklevent @haintrn https://t.co/ucb8hm8FJI</v>
      </c>
    </row>
    <row r="17835" spans="1:5" ht="15" customHeight="1" x14ac:dyDescent="0.25">
      <c r="A17835" s="1" t="s">
        <v>34865</v>
      </c>
      <c r="B17835" s="1">
        <v>0</v>
      </c>
      <c r="C17835" s="3">
        <v>44537.743101851855</v>
      </c>
      <c r="D17835" s="1" t="s">
        <v>34866</v>
      </c>
      <c r="E17835" s="4" t="str">
        <f ca="1">IFERROR(__xludf.DUMMYFUNCTION("GOOGLETRANSLATE(A638 , ""tr"" , ""en"")"),"@drfahrettinkoca @fatihaltayli @meral_aksener @kilicdarogucuk https://t.co/gvtctattuo")</f>
        <v>@drfahrettinkoca @fatihaltayli @meral_aksener @kilicdarogucuk https://t.co/gvtctattuo</v>
      </c>
    </row>
    <row r="17836" spans="1:5" ht="15" customHeight="1" x14ac:dyDescent="0.25">
      <c r="A17836" s="1" t="s">
        <v>34867</v>
      </c>
      <c r="B17836" s="1">
        <v>6</v>
      </c>
      <c r="C17836" s="3">
        <v>44537.739363425928</v>
      </c>
      <c r="D17836" s="1" t="s">
        <v>34868</v>
      </c>
      <c r="E17836" s="4" t="str">
        <f ca="1">IFERROR(__xludf.DUMMYFUNCTION("GOOGLETRANSLATE(A639 , ""tr"" , ""en"")"),"@drfahrettinkoca Expectations from you: -The definite solution of violent solution - Assistant and equivalent conditions at all ... https://t.co/fx4ohssxfa")</f>
        <v>@drfahrettinkoca Expectations from you: -The definite solution of violent solution - Assistant and equivalent conditions at all ... https://t.co/fx4ohssxfa</v>
      </c>
    </row>
    <row r="17837" spans="1:5" ht="15" customHeight="1" x14ac:dyDescent="0.25">
      <c r="A17837" s="1" t="s">
        <v>34869</v>
      </c>
      <c r="B17837" s="1">
        <v>0</v>
      </c>
      <c r="C17837" s="3">
        <v>44537.73541666667</v>
      </c>
      <c r="D17837" s="1" t="s">
        <v>34870</v>
      </c>
      <c r="E17837" s="4" t="str">
        <f ca="1">IFERROR(__xludf.DUMMYFUNCTION("GOOGLETRANSLATE(A640 , ""tr"" , ""en"")"),"@drfahrettinkoca Why did you see us REVA? https://t.co/1xi8lxaqxm")</f>
        <v>@drfahrettinkoca Why did you see us REVA? https://t.co/1xi8lxaqxm</v>
      </c>
    </row>
    <row r="17838" spans="1:5" ht="15" customHeight="1" x14ac:dyDescent="0.25">
      <c r="A17838" s="1" t="s">
        <v>34871</v>
      </c>
      <c r="B17838" s="1">
        <v>0</v>
      </c>
      <c r="C17838" s="3">
        <v>44537.734942129631</v>
      </c>
      <c r="D17838" s="1" t="s">
        <v>34872</v>
      </c>
      <c r="E17838" s="4" t="str">
        <f ca="1">IFERROR(__xludf.DUMMYFUNCTION("GOOGLETRANSLATE(A641 , ""tr"" , ""en"")"),"@drfahrettinkoca @saglikbakanligi @sahadernegi @saglikperssonel @sagltum @saglikcalisan @selcukktepeli @Foxhaber Https://t.co/5yltk5fkr3")</f>
        <v>@drfahrettinkoca @saglikbakanligi @sahadernegi @saglikperssonel @sagltum @saglikcalisan @selcukktepeli @Foxhaber Https://t.co/5yltk5fkr3</v>
      </c>
    </row>
    <row r="17839" spans="1:5" ht="15" customHeight="1" x14ac:dyDescent="0.25">
      <c r="A17839" s="1" t="s">
        <v>34873</v>
      </c>
      <c r="B17839" s="1">
        <v>0</v>
      </c>
      <c r="C17839" s="3">
        <v>44537.726898148147</v>
      </c>
      <c r="D17839" s="1" t="s">
        <v>34874</v>
      </c>
      <c r="E17839" s="4" t="str">
        <f ca="1">IFERROR(__xludf.DUMMYFUNCTION("GOOGLETRANSLATE(A642 , ""tr"" , ""en"")"),"@drfahrettinka https://t.co/rl38uhnw3m")</f>
        <v>@drfahrettinka https://t.co/rl38uhnw3m</v>
      </c>
    </row>
    <row r="17840" spans="1:5" ht="15" customHeight="1" x14ac:dyDescent="0.25">
      <c r="A17840" s="1" t="s">
        <v>34875</v>
      </c>
      <c r="B17840" s="1">
        <v>0</v>
      </c>
      <c r="C17840" s="3">
        <v>44537.723981481482</v>
      </c>
      <c r="D17840" s="1" t="s">
        <v>34876</v>
      </c>
      <c r="E17840" s="4" t="str">
        <f ca="1">IFERROR(__xludf.DUMMYFUNCTION("GOOGLETRANSLATE(A643 , ""tr"" , ""en"")"),"@drfahrettinkoca @fatihaltayli @kubrapc @Vekilince @serapbelet #sonhekimgitli https://t.co/5jczfnkntw")</f>
        <v>@drfahrettinkoca @fatihaltayli @kubrapc @Vekilince @serapbelet #sonhekimgitli https://t.co/5jczfnkntw</v>
      </c>
    </row>
    <row r="17841" spans="1:5" ht="15" customHeight="1" x14ac:dyDescent="0.25">
      <c r="A17841" s="1" t="s">
        <v>34877</v>
      </c>
      <c r="B17841" s="1">
        <v>1</v>
      </c>
      <c r="C17841" s="3">
        <v>44537.718136574076</v>
      </c>
      <c r="D17841" s="1" t="s">
        <v>34878</v>
      </c>
      <c r="E17841" s="4" t="str">
        <f ca="1">IFERROR(__xludf.DUMMYFUNCTION("GOOGLETRANSLATE(A644 , ""tr"" , ""en"")"),"@drfahrettinkoca #sonhekimgitizing #ponsults #isthoughts #istics")</f>
        <v>@drfahrettinkoca #sonhekimgitizing #ponsults #isthoughts #istics</v>
      </c>
    </row>
    <row r="17842" spans="1:5" ht="15" customHeight="1" x14ac:dyDescent="0.25">
      <c r="A17842" s="1" t="s">
        <v>34879</v>
      </c>
      <c r="B17842" s="1">
        <v>0</v>
      </c>
      <c r="C17842" s="3">
        <v>44537.713136574072</v>
      </c>
      <c r="D17842" s="1" t="s">
        <v>34880</v>
      </c>
      <c r="E17842" s="4" t="str">
        <f ca="1">IFERROR(__xludf.DUMMYFUNCTION("GOOGLETRANSLATE(A645 , ""tr"" , ""en"")"),"@drfahrettinkoca Sayin Health Minister Erzurum Single Special Hospital and Emergency Service Click box https://t.co/jgijp9aspc")</f>
        <v>@drfahrettinkoca Sayin Health Minister Erzurum Single Special Hospital and Emergency Service Click box https://t.co/jgijp9aspc</v>
      </c>
    </row>
    <row r="17843" spans="1:5" ht="15" customHeight="1" x14ac:dyDescent="0.25">
      <c r="A17843" s="1" t="s">
        <v>34881</v>
      </c>
      <c r="B17843" s="1">
        <v>0</v>
      </c>
      <c r="C17843" s="3">
        <v>44537.712789351855</v>
      </c>
      <c r="D17843" s="1" t="s">
        <v>34882</v>
      </c>
      <c r="E17843" s="4" t="str">
        <f ca="1">IFERROR(__xludf.DUMMYFUNCTION("GOOGLETRANSLATE(A646 , ""tr"" , ""en"")"),"@drfahrettinkoca @fatihportakal https://t.co/kmtq7mbxfc")</f>
        <v>@drfahrettinkoca @fatihportakal https://t.co/kmtq7mbxfc</v>
      </c>
    </row>
    <row r="17844" spans="1:5" ht="15" customHeight="1" x14ac:dyDescent="0.25">
      <c r="A17844" s="1" t="s">
        <v>34883</v>
      </c>
      <c r="B17844" s="1">
        <v>3</v>
      </c>
      <c r="C17844" s="3">
        <v>44537.711712962962</v>
      </c>
      <c r="D17844" s="1" t="s">
        <v>34884</v>
      </c>
      <c r="E17844" s="4" t="str">
        <f ca="1">IFERROR(__xludf.DUMMYFUNCTION("GOOGLETRANSLATE(A647 , ""tr"" , ""en"")"),"@drfahrettinkoca #sonhekimgity https://t.co/qducsvytn6")</f>
        <v>@drfahrettinkoca #sonhekimgity https://t.co/qducsvytn6</v>
      </c>
    </row>
    <row r="17845" spans="1:5" ht="15" customHeight="1" x14ac:dyDescent="0.25">
      <c r="A17845" s="1" t="s">
        <v>34885</v>
      </c>
      <c r="B17845" s="1">
        <v>0</v>
      </c>
      <c r="C17845" s="3">
        <v>44537.708715277775</v>
      </c>
      <c r="D17845" s="1" t="s">
        <v>34886</v>
      </c>
      <c r="E17845" s="4" t="str">
        <f ca="1">IFERROR(__xludf.DUMMYFUNCTION("GOOGLETRANSLATE(A648 , ""tr"" , ""en"")"),"@drfahrettinkoca I know you are not very interested but I still want to share in Hani Maybe we are in your mind https://t.co/kvuuimp6cn")</f>
        <v>@drfahrettinkoca I know you are not very interested but I still want to share in Hani Maybe we are in your mind https://t.co/kvuuimp6cn</v>
      </c>
    </row>
    <row r="17846" spans="1:5" ht="15" customHeight="1" x14ac:dyDescent="0.25">
      <c r="A17846" s="1" t="s">
        <v>34887</v>
      </c>
      <c r="B17846" s="1">
        <v>6</v>
      </c>
      <c r="C17846" s="3">
        <v>44537.708495370367</v>
      </c>
      <c r="D17846" s="1" t="s">
        <v>34888</v>
      </c>
      <c r="E17846" s="4" t="str">
        <f ca="1">IFERROR(__xludf.DUMMYFUNCTION("GOOGLETRANSLATE(A649 , ""tr"" , ""en"")"),"@drfahrettinkoca # HEALTHGRESSTE HTTPS://T.CO/QCXR9FKBSU")</f>
        <v>@drfahrettinkoca # HEALTHGRESSTE HTTPS://T.CO/QCXR9FKBSU</v>
      </c>
    </row>
    <row r="17847" spans="1:5" ht="15" customHeight="1" x14ac:dyDescent="0.25">
      <c r="A17847" s="1" t="s">
        <v>34889</v>
      </c>
      <c r="B17847" s="1">
        <v>1</v>
      </c>
      <c r="C17847" s="3">
        <v>44537.706006944441</v>
      </c>
      <c r="D17847" s="1" t="s">
        <v>34890</v>
      </c>
      <c r="E17847" s="4" t="str">
        <f ca="1">IFERROR(__xludf.DUMMYFUNCTION("GOOGLETRANSLATE(A650 , ""tr"" , ""en"")"),"@drfahrettinkoca @tc_icisler @adalet_bakanlik https://t.co/dllxulv5l6")</f>
        <v>@drfahrettinkoca @tc_icisler @adalet_bakanlik https://t.co/dllxulv5l6</v>
      </c>
    </row>
    <row r="17848" spans="1:5" ht="15" customHeight="1" x14ac:dyDescent="0.25">
      <c r="A17848" s="1" t="s">
        <v>34891</v>
      </c>
      <c r="B17848" s="1">
        <v>0</v>
      </c>
      <c r="C17848" s="3">
        <v>44537.703229166669</v>
      </c>
      <c r="D17848" s="1" t="s">
        <v>34892</v>
      </c>
      <c r="E17848" s="4" t="str">
        <f ca="1">IFERROR(__xludf.DUMMYFUNCTION("GOOGLETRANSLATE(A651 , ""tr"" , ""en"")"),"@drfahrettinkoca @Alparti @rterdogan @mkulunk @rterdogan @mkulunk @ samiltoyyar27 @birincimucahit @by @birincimucahit @by @birinozaşalı35 nationality ... https://t.co/jvdbllq2q6")</f>
        <v>@drfahrettinkoca @Alparti @rterdogan @mkulunk @rterdogan @mkulunk @ samiltoyyar27 @birincimucahit @by @birincimucahit @by @birinozaşalı35 nationality ... https://t.co/jvdbllq2q6</v>
      </c>
    </row>
    <row r="17849" spans="1:5" ht="15" customHeight="1" x14ac:dyDescent="0.25">
      <c r="A17849" s="1" t="s">
        <v>34893</v>
      </c>
      <c r="B17849" s="1">
        <v>1</v>
      </c>
      <c r="C17849" s="3">
        <v>44537.703009259261</v>
      </c>
      <c r="D17849" s="1" t="s">
        <v>34894</v>
      </c>
      <c r="E17849" s="4" t="str">
        <f ca="1">IFERROR(__xludf.DUMMYFUNCTION("GOOGLETRANSLATE(A652 , ""tr"" , ""en"")"),"@drfahrettinkoca @saglikbakanligi @Acilafetgovtr @suayabInectaurus @ghanevalilik @Celalettin_Kose #Dayuzu Village, ... https://t.co/isp0kyofha")</f>
        <v>@drfahrettinkoca @saglikbakanligi @Acilafetgovtr @suayabInectaurus @ghanevalilik @Celalettin_Kose #Dayuzu Village, ... https://t.co/isp0kyofha</v>
      </c>
    </row>
    <row r="17850" spans="1:5" ht="15" customHeight="1" x14ac:dyDescent="0.25">
      <c r="A17850" s="1" t="s">
        <v>34895</v>
      </c>
      <c r="B17850" s="1">
        <v>0</v>
      </c>
      <c r="C17850" s="3">
        <v>44537.700208333335</v>
      </c>
      <c r="D17850" s="1" t="s">
        <v>34896</v>
      </c>
      <c r="E17850" s="4" t="str">
        <f ca="1">IFERROR(__xludf.DUMMYFUNCTION("GOOGLETRANSLATE(A653 , ""tr"" , ""en"")"),"@drfahrettinkoca We continue to wait. I'm #cbonaylakochave")</f>
        <v>@drfahrettinkoca We continue to wait. I'm #cbonaylakochave</v>
      </c>
    </row>
    <row r="17851" spans="1:5" ht="15" customHeight="1" x14ac:dyDescent="0.25">
      <c r="A17851" s="1" t="s">
        <v>34897</v>
      </c>
      <c r="B17851" s="1">
        <v>0</v>
      </c>
      <c r="C17851" s="3">
        <v>44537.694872685184</v>
      </c>
      <c r="D17851" s="1" t="s">
        <v>34898</v>
      </c>
      <c r="E17851" s="4" t="str">
        <f ca="1">IFERROR(__xludf.DUMMYFUNCTION("GOOGLETRANSLATE(A654 , ""tr"" , ""en"")"),"@drfahrettinkoca Mr. Ministry Tell you Bisey Peney I'm contacted I'm not inhabitant.")</f>
        <v>@drfahrettinkoca Mr. Ministry Tell you Bisey Peney I'm contacted I'm not inhabitant.</v>
      </c>
    </row>
    <row r="17852" spans="1:5" ht="15" customHeight="1" x14ac:dyDescent="0.25">
      <c r="A17852" s="1" t="s">
        <v>34899</v>
      </c>
      <c r="B17852" s="1">
        <v>0</v>
      </c>
      <c r="C17852" s="3">
        <v>44537.691817129627</v>
      </c>
      <c r="D17852" s="1" t="s">
        <v>34900</v>
      </c>
      <c r="E17852" s="4" t="str">
        <f ca="1">IFERROR(__xludf.DUMMYFUNCTION("GOOGLETRANSLATE(A655 , ""tr"" , ""en"")"),"@drfahrettinkoca I want to be a volunteer of the hope vaccine. So despair and tilliness not to me. Haya ... https://t.co/r6uc8ugayt")</f>
        <v>@drfahrettinkoca I want to be a volunteer of the hope vaccine. So despair and tilliness not to me. Haya ... https://t.co/r6uc8ugayt</v>
      </c>
    </row>
    <row r="17853" spans="1:5" ht="15" customHeight="1" x14ac:dyDescent="0.25">
      <c r="A17853" s="1" t="s">
        <v>34901</v>
      </c>
      <c r="B17853" s="1">
        <v>0</v>
      </c>
      <c r="C17853" s="3">
        <v>44537.688726851855</v>
      </c>
      <c r="D17853" s="1" t="s">
        <v>34902</v>
      </c>
      <c r="E17853" s="4" t="str">
        <f ca="1">IFERROR(__xludf.DUMMYFUNCTION("GOOGLETRANSLATE(A656 , ""tr"" , ""en"")"),"@drfahrettinka https://t.co/7beeylbygn")</f>
        <v>@drfahrettinka https://t.co/7beeylbygn</v>
      </c>
    </row>
    <row r="17854" spans="1:5" ht="15" customHeight="1" x14ac:dyDescent="0.25">
      <c r="A17854" s="1" t="s">
        <v>34903</v>
      </c>
      <c r="B17854" s="1">
        <v>2</v>
      </c>
      <c r="C17854" s="3">
        <v>44537.68476851852</v>
      </c>
      <c r="D17854" s="1" t="s">
        <v>34904</v>
      </c>
      <c r="E17854" s="4" t="str">
        <f ca="1">IFERROR(__xludf.DUMMYFUNCTION("GOOGLETRANSLATE(A657 , ""tr"" , ""en"")"),"@drfahrettinkoca #mbonaylakocacıma I'm https://t.co/2dyraybtzi")</f>
        <v>@drfahrettinkoca #mbonaylakocacıma I'm https://t.co/2dyraybtzi</v>
      </c>
    </row>
    <row r="17855" spans="1:5" ht="15" customHeight="1" x14ac:dyDescent="0.25">
      <c r="A17855" s="1" t="s">
        <v>34905</v>
      </c>
      <c r="B17855" s="1">
        <v>2</v>
      </c>
      <c r="C17855" s="3">
        <v>44537.67769675926</v>
      </c>
      <c r="D17855" s="1" t="s">
        <v>34906</v>
      </c>
      <c r="E17855" s="4" t="str">
        <f ca="1">IFERROR(__xludf.DUMMYFUNCTION("GOOGLETRANSLATE(A658 , ""tr"" , ""en"")"),"@drfahrettinkoca @nureddinnebati @hmbsosyalmedya @hmbakanligi @sagliklicozum @saglikbakanligi # medical haze ... https://t.co/3lndciflhh")</f>
        <v>@drfahrettinkoca @nureddinnebati @hmbsosyalmedya @hmbakanligi @sagliklicozum @saglikbakanligi # medical haze ... https://t.co/3lndciflhh</v>
      </c>
    </row>
    <row r="17856" spans="1:5" ht="15" customHeight="1" x14ac:dyDescent="0.25">
      <c r="A17856" s="1" t="s">
        <v>34907</v>
      </c>
      <c r="B17856" s="1">
        <v>5</v>
      </c>
      <c r="C17856" s="3">
        <v>44537.675057870372</v>
      </c>
      <c r="D17856" s="1" t="s">
        <v>34908</v>
      </c>
      <c r="E17856" s="4" t="str">
        <f ca="1">IFERROR(__xludf.DUMMYFUNCTION("GOOGLETRANSLATE(A659 , ""tr"" , ""en"")"),"@drfahrettinkoca 2020 kpss scores are happening heba # cbonaylakochavuzuya")</f>
        <v>@drfahrettinkoca 2020 kpss scores are happening heba # cbonaylakochavuzuya</v>
      </c>
    </row>
    <row r="17857" spans="1:5" ht="15" customHeight="1" x14ac:dyDescent="0.25">
      <c r="A17857" s="1" t="s">
        <v>34909</v>
      </c>
      <c r="B17857" s="1">
        <v>2</v>
      </c>
      <c r="C17857" s="3">
        <v>44537.673761574071</v>
      </c>
      <c r="D17857" s="1" t="s">
        <v>34910</v>
      </c>
      <c r="E17857" s="4" t="str">
        <f ca="1">IFERROR(__xludf.DUMMYFUNCTION("GOOGLETRANSLATE(A660 , ""tr"" , ""en"")"),"@drfahrettinkoca We continue to wait #mbonaylakochacuzuya")</f>
        <v>@drfahrettinkoca We continue to wait #mbonaylakochacuzuya</v>
      </c>
    </row>
    <row r="17858" spans="1:5" ht="15" customHeight="1" x14ac:dyDescent="0.25">
      <c r="A17858" s="1" t="s">
        <v>34911</v>
      </c>
      <c r="B17858" s="1">
        <v>1</v>
      </c>
      <c r="C17858" s="3">
        <v>44537.673344907409</v>
      </c>
      <c r="D17858" s="1" t="s">
        <v>34912</v>
      </c>
      <c r="E17858" s="4" t="str">
        <f ca="1">IFERROR(__xludf.DUMMYFUNCTION("GOOGLETRANSLATE(A661 , ""tr"" , ""en"")"),"@drfahrettinkoca Description We are waiting for the Minister # cbonaylakochacuzuya")</f>
        <v>@drfahrettinkoca Description We are waiting for the Minister # cbonaylakochacuzuya</v>
      </c>
    </row>
    <row r="17859" spans="1:5" ht="15" customHeight="1" x14ac:dyDescent="0.25">
      <c r="A17859" s="1" t="s">
        <v>17710</v>
      </c>
      <c r="B17859" s="1">
        <v>2</v>
      </c>
      <c r="C17859" s="3">
        <v>44537.658865740741</v>
      </c>
      <c r="D17859" s="1" t="s">
        <v>34913</v>
      </c>
      <c r="E17859" s="4" t="str">
        <f ca="1">IFERROR(__xludf.DUMMYFUNCTION("GOOGLETRANSLATE(A662 , ""tr"" , ""en"")"),"@drfahrettinkoca I'm #cbonaylakochave")</f>
        <v>@drfahrettinkoca I'm #cbonaylakochave</v>
      </c>
    </row>
    <row r="17860" spans="1:5" ht="15" customHeight="1" x14ac:dyDescent="0.25">
      <c r="A17860" s="1" t="s">
        <v>34914</v>
      </c>
      <c r="B17860" s="1">
        <v>0</v>
      </c>
      <c r="C17860" s="3">
        <v>44537.654803240737</v>
      </c>
      <c r="D17860" s="1" t="s">
        <v>34915</v>
      </c>
      <c r="E17860" s="4" t="str">
        <f ca="1">IFERROR(__xludf.DUMMYFUNCTION("GOOGLETRANSLATE(A663 , ""tr"" , ""en"")"),"@drfahrettinka Mr. Minister.")</f>
        <v>@drfahrettinka Mr. Minister.</v>
      </c>
    </row>
    <row r="17861" spans="1:5" ht="15" customHeight="1" x14ac:dyDescent="0.25">
      <c r="A17861" s="1" t="s">
        <v>34916</v>
      </c>
      <c r="B17861" s="1">
        <v>0</v>
      </c>
      <c r="C17861" s="3">
        <v>44537.652789351851</v>
      </c>
      <c r="D17861" s="1" t="s">
        <v>34917</v>
      </c>
      <c r="E17861" s="4" t="str">
        <f ca="1">IFERROR(__xludf.DUMMYFUNCTION("GOOGLETRANSLATE(A664 , ""tr"" , ""en"")"),"@drfahrettinkoca @rterdogan @Gozdekirisciogl @fuatoktay @kilicdarogluk @selcukktepeli @ foxhaber ... https://t.co/nkpnkac9kg")</f>
        <v>@drfahrettinkoca @rterdogan @Gozdekirisciogl @fuatoktay @kilicdarogluk @selcukktepeli @ foxhaber ... https://t.co/nkpnkac9kg</v>
      </c>
    </row>
    <row r="17862" spans="1:5" ht="15" customHeight="1" x14ac:dyDescent="0.25">
      <c r="A17862" s="1" t="s">
        <v>34918</v>
      </c>
      <c r="B17862" s="1">
        <v>0</v>
      </c>
      <c r="C17862" s="3">
        <v>44537.651226851849</v>
      </c>
      <c r="D17862" s="1" t="s">
        <v>34919</v>
      </c>
      <c r="E17862" s="4" t="str">
        <f ca="1">IFERROR(__xludf.DUMMYFUNCTION("GOOGLETRANSLATE(A665 , ""tr"" , ""en"")"),"@drfahrettinkoca I'm #cbonaylakochave")</f>
        <v>@drfahrettinkoca I'm #cbonaylakochave</v>
      </c>
    </row>
    <row r="17863" spans="1:5" ht="15" customHeight="1" x14ac:dyDescent="0.25">
      <c r="A17863" s="1" t="s">
        <v>34920</v>
      </c>
      <c r="B17863" s="1">
        <v>0</v>
      </c>
      <c r="C17863" s="3">
        <v>44537.651087962964</v>
      </c>
      <c r="D17863" s="1" t="s">
        <v>34921</v>
      </c>
      <c r="E17863" s="4" t="str">
        <f ca="1">IFERROR(__xludf.DUMMYFUNCTION("GOOGLETRANSLATE(A666 , ""tr"" , ""en"")"),"@drfahrettinkoca @rterdogan @ mehmetceyhan23 @drzekibay @bengibaser @serapsimsekyvz @tcmeb @ saglikbakanligi ... https://t.co/yctug69szi")</f>
        <v>@drfahrettinkoca @rterdogan @ mehmetceyhan23 @drzekibay @bengibaser @serapsimsekyvz @tcmeb @ saglikbakanligi ... https://t.co/yctug69szi</v>
      </c>
    </row>
    <row r="17864" spans="1:5" ht="15" customHeight="1" x14ac:dyDescent="0.25">
      <c r="A17864" s="1" t="s">
        <v>34922</v>
      </c>
      <c r="B17864" s="1">
        <v>9</v>
      </c>
      <c r="C17864" s="3">
        <v>44537.650069444448</v>
      </c>
      <c r="D17864" s="1" t="s">
        <v>34923</v>
      </c>
      <c r="E17864" s="4" t="str">
        <f ca="1">IFERROR(__xludf.DUMMYFUNCTION("GOOGLETRANSLATE(A667 , ""tr"" , ""en"")"),"@drfahrettinkoca @rterdogan we will get 40 thousand healthcare people immediately when they say that they are immediately in revenue. I'm #cbonaylakochave")</f>
        <v>@drfahrettinkoca @rterdogan we will get 40 thousand healthcare people immediately when they say that they are immediately in revenue. I'm #cbonaylakochave</v>
      </c>
    </row>
    <row r="17865" spans="1:5" ht="15" customHeight="1" x14ac:dyDescent="0.25">
      <c r="A17865" s="1" t="s">
        <v>34924</v>
      </c>
      <c r="B17865" s="1">
        <v>47</v>
      </c>
      <c r="C17865" s="3">
        <v>44537.647418981483</v>
      </c>
      <c r="D17865" s="1" t="s">
        <v>34925</v>
      </c>
      <c r="E17865" s="4" t="str">
        <f ca="1">IFERROR(__xludf.DUMMYFUNCTION("GOOGLETRANSLATE(A668 , ""tr"" , ""en"")"),"Buy @drfahrettinkoca who emits the document virus who emits vaccination doses and case rates virus vaccinated and ... https://t.co/lfnfgn5oo4")</f>
        <v>Buy @drfahrettinkoca who emits the document virus who emits vaccination doses and case rates virus vaccinated and ... https://t.co/lfnfgn5oo4</v>
      </c>
    </row>
    <row r="17866" spans="1:5" ht="15" customHeight="1" x14ac:dyDescent="0.25">
      <c r="A17866" s="1" t="s">
        <v>34926</v>
      </c>
      <c r="B17866" s="1">
        <v>2</v>
      </c>
      <c r="C17866" s="3">
        <v>44537.647256944445</v>
      </c>
      <c r="D17866" s="1" t="s">
        <v>34927</v>
      </c>
      <c r="E17866" s="4" t="str">
        <f ca="1">IFERROR(__xludf.DUMMYFUNCTION("GOOGLETRANSLATE(A669 , ""tr"" , ""en"")"),"@drfahrettinka how long are we going to wait, how much we will shift. I'm #cbonaylakochave")</f>
        <v>@drfahrettinka how long are we going to wait, how much we will shift. I'm #cbonaylakochave</v>
      </c>
    </row>
    <row r="17867" spans="1:5" ht="15" customHeight="1" x14ac:dyDescent="0.25">
      <c r="A17867" s="1" t="s">
        <v>34928</v>
      </c>
      <c r="B17867" s="1">
        <v>0</v>
      </c>
      <c r="C17867" s="3">
        <v>44537.64435185185</v>
      </c>
      <c r="D17867" s="1" t="s">
        <v>34929</v>
      </c>
      <c r="E17867" s="4" t="str">
        <f ca="1">IFERROR(__xludf.DUMMYFUNCTION("GOOGLETRANSLATE(A670 , ""tr"" , ""en"")"),"@drfahrettinkoca @saglikbakanligi https://t.co/1RJProu15J")</f>
        <v>@drfahrettinkoca @saglikbakanligi https://t.co/1RJProu15J</v>
      </c>
    </row>
    <row r="17868" spans="1:5" ht="15" customHeight="1" x14ac:dyDescent="0.25">
      <c r="A17868" s="1" t="s">
        <v>34930</v>
      </c>
      <c r="B17868" s="1">
        <v>1</v>
      </c>
      <c r="C17868" s="3">
        <v>44537.628668981481</v>
      </c>
      <c r="D17868" s="1" t="s">
        <v>34931</v>
      </c>
      <c r="E17868" s="4" t="str">
        <f ca="1">IFERROR(__xludf.DUMMYFUNCTION("GOOGLETRANSLATE(A671 , ""tr"" , ""en"")"),"@drfahrettinkoca @saglikbakanligi @rterdogan @Akparti Do you have answer to this ?? https://t.co/lxmpduj78x")</f>
        <v>@drfahrettinkoca @saglikbakanligi @rterdogan @Akparti Do you have answer to this ?? https://t.co/lxmpduj78x</v>
      </c>
    </row>
    <row r="17869" spans="1:5" ht="15" customHeight="1" x14ac:dyDescent="0.25">
      <c r="A17869" s="1" t="s">
        <v>34932</v>
      </c>
      <c r="B17869" s="1">
        <v>0</v>
      </c>
      <c r="C17869" s="3">
        <v>44537.625416666669</v>
      </c>
      <c r="D17869" s="1" t="s">
        <v>34933</v>
      </c>
      <c r="E17869" s="4" t="str">
        <f ca="1">IFERROR(__xludf.DUMMYFUNCTION("GOOGLETRANSLATE(A672 , ""tr"" , ""en"")"),"@drfahrettinkoca @diyanetbasin Attempt to Closet Inspence in Hospitals, We are Muslims to bezets Asshole Nest ... https://t.co/yjuslqjmka")</f>
        <v>@drfahrettinkoca @diyanetbasin Attempt to Closet Inspence in Hospitals, We are Muslims to bezets Asshole Nest ... https://t.co/yjuslqjmka</v>
      </c>
    </row>
    <row r="17870" spans="1:5" ht="15" customHeight="1" x14ac:dyDescent="0.25">
      <c r="A17870" s="1" t="s">
        <v>34856</v>
      </c>
      <c r="B17870" s="1">
        <v>2</v>
      </c>
      <c r="C17870" s="3">
        <v>44537.621631944443</v>
      </c>
      <c r="D17870" s="1" t="s">
        <v>34934</v>
      </c>
      <c r="E17870" s="4" t="str">
        <f ca="1">IFERROR(__xludf.DUMMYFUNCTION("GOOGLETRANSLATE(A673 , ""tr"" , ""en"")"),"@drfahrettinkoca @rterdogan i'm #cbonaylakochavuzuya")</f>
        <v>@drfahrettinkoca @rterdogan i'm #cbonaylakochavuzuya</v>
      </c>
    </row>
    <row r="17871" spans="1:5" ht="15" customHeight="1" x14ac:dyDescent="0.25">
      <c r="A17871" s="1" t="s">
        <v>17710</v>
      </c>
      <c r="B17871" s="1">
        <v>4</v>
      </c>
      <c r="C17871" s="3">
        <v>44537.621331018519</v>
      </c>
      <c r="D17871" s="1" t="s">
        <v>34935</v>
      </c>
      <c r="E17871" s="4" t="str">
        <f ca="1">IFERROR(__xludf.DUMMYFUNCTION("GOOGLETRANSLATE(A674 , ""tr"" , ""en"")"),"@drfahrettinkoca I'm #cbonaylakochave")</f>
        <v>@drfahrettinkoca I'm #cbonaylakochave</v>
      </c>
    </row>
    <row r="17872" spans="1:5" ht="15" customHeight="1" x14ac:dyDescent="0.25">
      <c r="A17872" s="1" t="s">
        <v>34936</v>
      </c>
      <c r="B17872" s="1">
        <v>3</v>
      </c>
      <c r="C17872" s="3">
        <v>44537.615879629629</v>
      </c>
      <c r="D17872" s="1" t="s">
        <v>34937</v>
      </c>
      <c r="E17872" s="4" t="str">
        <f ca="1">IFERROR(__xludf.DUMMYFUNCTION("GOOGLETRANSLATE(A675 , ""tr"" , ""en"")"),"@drfahrettinkoca Tell me that Omicron comes to Turkey !! # kabineuzaktanılitimsart")</f>
        <v>@drfahrettinkoca Tell me that Omicron comes to Turkey !! # kabineuzaktanılitimsart</v>
      </c>
    </row>
    <row r="17873" spans="1:5" ht="15" customHeight="1" x14ac:dyDescent="0.25">
      <c r="A17873" s="1" t="s">
        <v>34938</v>
      </c>
      <c r="B17873" s="1">
        <v>0</v>
      </c>
      <c r="C17873" s="3">
        <v>44537.610300925924</v>
      </c>
      <c r="D17873" s="1" t="s">
        <v>34939</v>
      </c>
      <c r="E17873" s="4" t="str">
        <f ca="1">IFERROR(__xludf.DUMMYFUNCTION("GOOGLETRANSLATE(A676 , ""tr"" , ""en"")"),"@drfahrettinkoca meant the grinds made to the nationality happy https://t.co/0bmu0a6gc9")</f>
        <v>@drfahrettinkoca meant the grinds made to the nationality happy https://t.co/0bmu0a6gc9</v>
      </c>
    </row>
    <row r="17874" spans="1:5" ht="15" customHeight="1" x14ac:dyDescent="0.25">
      <c r="A17874" s="1" t="s">
        <v>34940</v>
      </c>
      <c r="B17874" s="1">
        <v>4</v>
      </c>
      <c r="C17874" s="3">
        <v>44537.599305555559</v>
      </c>
      <c r="D17874" s="1" t="s">
        <v>34941</v>
      </c>
      <c r="E17874" s="4" t="str">
        <f ca="1">IFERROR(__xludf.DUMMYFUNCTION("GOOGLETRANSLATE(A677 , ""tr"" , ""en"")"),"@drfahrettinkoca let me come #mbonaylakochave now")</f>
        <v>@drfahrettinkoca let me come #mbonaylakochave now</v>
      </c>
    </row>
    <row r="17875" spans="1:5" ht="15" customHeight="1" x14ac:dyDescent="0.25">
      <c r="A17875" s="1" t="s">
        <v>34942</v>
      </c>
      <c r="B17875" s="1">
        <v>1</v>
      </c>
      <c r="C17875" s="3">
        <v>44537.597129629627</v>
      </c>
      <c r="D17875" s="1" t="s">
        <v>34943</v>
      </c>
      <c r="E17875" s="4" t="str">
        <f ca="1">IFERROR(__xludf.DUMMYFUNCTION("GOOGLETRANSLATE(A678 , ""tr"" , ""en"")"),"@drfahrettinkoca @saglikbakanligi @Adalet_bakanlik @Abdulhamitgula single question a prosecutor of a prosecutor in the courthouse is a judge Beye M ... https://t.co/fxmdvs9w4y")</f>
        <v>@drfahrettinkoca @saglikbakanligi @Adalet_bakanlik @Abdulhamitgula single question a prosecutor of a prosecutor in the courthouse is a judge Beye M ... https://t.co/fxmdvs9w4y</v>
      </c>
    </row>
    <row r="17876" spans="1:5" ht="15" customHeight="1" x14ac:dyDescent="0.25">
      <c r="A17876" s="1" t="s">
        <v>34944</v>
      </c>
      <c r="B17876" s="1">
        <v>5</v>
      </c>
      <c r="C17876" s="3">
        <v>44537.596493055556</v>
      </c>
      <c r="D17876" s="1" t="s">
        <v>34945</v>
      </c>
      <c r="E17876" s="4" t="str">
        <f ca="1">IFERROR(__xludf.DUMMYFUNCTION("GOOGLETRANSLATE(A679 , ""tr"" , ""en"")"),"@drfahrettinkoca where #wealthygreek")</f>
        <v>@drfahrettinkoca where #wealthygreek</v>
      </c>
    </row>
    <row r="17877" spans="1:5" ht="15" customHeight="1" x14ac:dyDescent="0.25">
      <c r="A17877" s="1" t="s">
        <v>34946</v>
      </c>
      <c r="B17877" s="1">
        <v>2</v>
      </c>
      <c r="C17877" s="3">
        <v>44537.595532407409</v>
      </c>
      <c r="D17877" s="1" t="s">
        <v>34947</v>
      </c>
      <c r="E17877" s="4" t="str">
        <f ca="1">IFERROR(__xludf.DUMMYFUNCTION("GOOGLETRANSLATE(A680 , ""tr"" , ""en"")"),"@drfahrettinka 1. I'm #cbonaylakochave")</f>
        <v>@drfahrettinka 1. I'm #cbonaylakochave</v>
      </c>
    </row>
    <row r="17878" spans="1:5" ht="15" customHeight="1" x14ac:dyDescent="0.25">
      <c r="A17878" s="1" t="s">
        <v>34948</v>
      </c>
      <c r="B17878" s="1">
        <v>2</v>
      </c>
      <c r="C17878" s="3">
        <v>44537.595324074071</v>
      </c>
      <c r="D17878" s="1" t="s">
        <v>34949</v>
      </c>
      <c r="E17878" s="4" t="str">
        <f ca="1">IFERROR(__xludf.DUMMYFUNCTION("GOOGLETRANSLATE(A681 , ""tr"" , ""en"")"),"@drfahrettinkoca ..... I'm #cbonaylakochave")</f>
        <v>@drfahrettinkoca ..... I'm #cbonaylakochave</v>
      </c>
    </row>
    <row r="17879" spans="1:5" ht="15" customHeight="1" x14ac:dyDescent="0.25">
      <c r="A17879" s="1" t="s">
        <v>34950</v>
      </c>
      <c r="B17879" s="1">
        <v>2</v>
      </c>
      <c r="C17879" s="3">
        <v>44537.594976851855</v>
      </c>
      <c r="D17879" s="1" t="s">
        <v>34951</v>
      </c>
      <c r="E17879" s="4" t="str">
        <f ca="1">IFERROR(__xludf.DUMMYFUNCTION("GOOGLETRANSLATE(A682 , ""tr"" , ""en"")"),"@drfahrettinkoca Moon ends now Come now Clavy # CBONAYLAKOCKAVUZUZ")</f>
        <v>@drfahrettinkoca Moon ends now Come now Clavy # CBONAYLAKOCKAVUZUZ</v>
      </c>
    </row>
    <row r="17880" spans="1:5" ht="15" customHeight="1" x14ac:dyDescent="0.25">
      <c r="A17880" s="1" t="s">
        <v>34952</v>
      </c>
      <c r="B17880" s="1">
        <v>3</v>
      </c>
      <c r="C17880" s="3">
        <v>44537.593668981484</v>
      </c>
      <c r="D17880" s="1" t="s">
        <v>34953</v>
      </c>
      <c r="E17880" s="4" t="str">
        <f ca="1">IFERROR(__xludf.DUMMYFUNCTION("GOOGLETRANSLATE(A683 , ""tr"" , ""en"")"),"@drfahrettinkoca #mbonaylakochage I'm https://t.co/o2yiqeqwqc")</f>
        <v>@drfahrettinkoca #mbonaylakochage I'm https://t.co/o2yiqeqwqc</v>
      </c>
    </row>
    <row r="17881" spans="1:5" ht="15" customHeight="1" x14ac:dyDescent="0.25">
      <c r="A17881" s="1" t="s">
        <v>34954</v>
      </c>
      <c r="B17881" s="1">
        <v>5</v>
      </c>
      <c r="C17881" s="3">
        <v>44537.59202546296</v>
      </c>
      <c r="D17881" s="1" t="s">
        <v>34955</v>
      </c>
      <c r="E17881" s="4" t="str">
        <f ca="1">IFERROR(__xludf.DUMMYFUNCTION("GOOGLETRANSLATE(A684 , ""tr"" , ""en"")"),"@drfahrettinkoca @rterdogan #cbonaylakocakacağıma I'm a husbandry Bey We are not Hz Eyüp (S.A) We are flat people we don't have so much sabri ...")</f>
        <v>@drfahrettinkoca @rterdogan #cbonaylakocakacağıma I'm a husbandry Bey We are not Hz Eyüp (S.A) We are flat people we don't have so much sabri ...</v>
      </c>
    </row>
    <row r="17882" spans="1:5" ht="15" customHeight="1" x14ac:dyDescent="0.25">
      <c r="A17882" s="1" t="s">
        <v>34956</v>
      </c>
      <c r="B17882" s="1">
        <v>2</v>
      </c>
      <c r="C17882" s="3">
        <v>44537.591539351852</v>
      </c>
      <c r="D17882" s="1" t="s">
        <v>34957</v>
      </c>
      <c r="E17882" s="4" t="str">
        <f ca="1">IFERROR(__xludf.DUMMYFUNCTION("GOOGLETRANSLATE(A685 , ""tr"" , ""en"")"),"@drfahrettinkoca @osymbaskanligi # cbonaylakochacuzuya")</f>
        <v>@drfahrettinkoca @osymbaskanligi # cbonaylakochacuzuya</v>
      </c>
    </row>
    <row r="17883" spans="1:5" ht="15" customHeight="1" x14ac:dyDescent="0.25">
      <c r="A17883" s="1" t="s">
        <v>34958</v>
      </c>
      <c r="B17883" s="1">
        <v>0</v>
      </c>
      <c r="C17883" s="3">
        <v>44537.590057870373</v>
      </c>
      <c r="D17883" s="1" t="s">
        <v>34959</v>
      </c>
      <c r="E17883" s="4" t="str">
        <f ca="1">IFERROR(__xludf.DUMMYFUNCTION("GOOGLETRANSLATE(A686 , ""tr"" , ""en"")"),"@drfahrettinkoca What you say to these news Though the Zerve Mushaf owner is not an authority to Erdogan, the knees titre ... https://t.co/qsyhxshfqn")</f>
        <v>@drfahrettinkoca What you say to these news Though the Zerve Mushaf owner is not an authority to Erdogan, the knees titre ... https://t.co/qsyhxshfqn</v>
      </c>
    </row>
    <row r="17884" spans="1:5" ht="15" customHeight="1" x14ac:dyDescent="0.25">
      <c r="A17884" s="1" t="s">
        <v>34960</v>
      </c>
      <c r="B17884" s="1">
        <v>0</v>
      </c>
      <c r="C17884" s="3">
        <v>44537.589120370372</v>
      </c>
      <c r="D17884" s="1" t="s">
        <v>34961</v>
      </c>
      <c r="E17884" s="4" t="str">
        <f ca="1">IFERROR(__xludf.DUMMYFUNCTION("GOOGLETRANSLATE(A687 , ""tr"" , ""en"")"),"@drfahrettinka Mr. Minister Ankara Kecioren De Hospitals are being closed to city hospitals, ... https://t.co/rll2rvqvpk")</f>
        <v>@drfahrettinka Mr. Minister Ankara Kecioren De Hospitals are being closed to city hospitals, ... https://t.co/rll2rvqvpk</v>
      </c>
    </row>
    <row r="17885" spans="1:5" ht="15" customHeight="1" x14ac:dyDescent="0.25">
      <c r="A17885" s="1" t="s">
        <v>34962</v>
      </c>
      <c r="B17885" s="1">
        <v>4</v>
      </c>
      <c r="C17885" s="3">
        <v>44537.587592592594</v>
      </c>
      <c r="D17885" s="1" t="s">
        <v>34963</v>
      </c>
      <c r="E17885" s="4" t="str">
        <f ca="1">IFERROR(__xludf.DUMMYFUNCTION("GOOGLETRANSLATE(A688 , ""tr"" , ""en"")"),"@drfahrettinkoca guide you come. I'm #cbonaylakochave")</f>
        <v>@drfahrettinkoca guide you come. I'm #cbonaylakochave</v>
      </c>
    </row>
    <row r="17886" spans="1:5" ht="15" customHeight="1" x14ac:dyDescent="0.25">
      <c r="A17886" s="1" t="s">
        <v>34964</v>
      </c>
      <c r="B17886" s="1">
        <v>1</v>
      </c>
      <c r="C17886" s="3">
        <v>44537.586909722224</v>
      </c>
      <c r="D17886" s="1" t="s">
        <v>34965</v>
      </c>
      <c r="E17886" s="4" t="str">
        <f ca="1">IFERROR(__xludf.DUMMYFUNCTION("GOOGLETRANSLATE(A689 , ""tr"" , ""en"")"),"@drfahrettinkoca * # I'm #cbonaylakochave")</f>
        <v>@drfahrettinkoca * # I'm #cbonaylakochave</v>
      </c>
    </row>
    <row r="17887" spans="1:5" ht="15" customHeight="1" x14ac:dyDescent="0.25">
      <c r="A17887" s="1" t="s">
        <v>34966</v>
      </c>
      <c r="B17887" s="1">
        <v>0</v>
      </c>
      <c r="C17887" s="3">
        <v>44537.586782407408</v>
      </c>
      <c r="D17887" s="1" t="s">
        <v>34967</v>
      </c>
      <c r="E17887" s="4" t="str">
        <f ca="1">IFERROR(__xludf.DUMMYFUNCTION("GOOGLETRANSLATE(A690 , ""tr"" , ""en"")"),"@drfahrettinkoca @rterdogan online # kabineuzaktanılitimşartart")</f>
        <v>@drfahrettinkoca @rterdogan online # kabineuzaktanılitimşartart</v>
      </c>
    </row>
    <row r="17888" spans="1:5" ht="15" customHeight="1" x14ac:dyDescent="0.25">
      <c r="A17888" s="1" t="s">
        <v>34946</v>
      </c>
      <c r="B17888" s="1">
        <v>1</v>
      </c>
      <c r="C17888" s="3">
        <v>44537.586539351854</v>
      </c>
      <c r="D17888" s="1" t="s">
        <v>34968</v>
      </c>
      <c r="E17888" s="4" t="str">
        <f ca="1">IFERROR(__xludf.DUMMYFUNCTION("GOOGLETRANSLATE(A691 , ""tr"" , ""en"")"),"@drfahrettinka 1. I'm #cbonaylakochave")</f>
        <v>@drfahrettinka 1. I'm #cbonaylakochave</v>
      </c>
    </row>
    <row r="17889" spans="1:5" ht="15" customHeight="1" x14ac:dyDescent="0.25">
      <c r="A17889" s="1" t="s">
        <v>34969</v>
      </c>
      <c r="B17889" s="1">
        <v>0</v>
      </c>
      <c r="C17889" s="3">
        <v>44537.586458333331</v>
      </c>
      <c r="D17889" s="1" t="s">
        <v>34970</v>
      </c>
      <c r="E17889" s="4" t="str">
        <f ca="1">IFERROR(__xludf.DUMMYFUNCTION("GOOGLETRANSLATE(A692 , ""tr"" , ""en"")"),"@drfahrettinkoca @drfahrettinkoca @drfahrettinkoca @trovakkurulu_ # kabineuzakaktanılitimşarteArt")</f>
        <v>@drfahrettinkoca @drfahrettinkoca @drfahrettinkoca @trovakkurulu_ # kabineuzakaktanılitimşarteArt</v>
      </c>
    </row>
    <row r="17890" spans="1:5" ht="15" customHeight="1" x14ac:dyDescent="0.25">
      <c r="A17890" s="1" t="s">
        <v>34971</v>
      </c>
      <c r="B17890" s="1">
        <v>0</v>
      </c>
      <c r="C17890" s="3">
        <v>44537.585902777777</v>
      </c>
      <c r="D17890" s="1" t="s">
        <v>34972</v>
      </c>
      <c r="E17890" s="4" t="str">
        <f ca="1">IFERROR(__xludf.DUMMYFUNCTION("GOOGLETRANSLATE(A693 , ""tr"" , ""en"")"),"See @drfahrettinkoca. There is 3-4 response to the eye for sightseeing. https://t.co/nj3xc8agzc")</f>
        <v>See @drfahrettinkoca. There is 3-4 response to the eye for sightseeing. https://t.co/nj3xc8agzc</v>
      </c>
    </row>
    <row r="17891" spans="1:5" ht="15" customHeight="1" x14ac:dyDescent="0.25">
      <c r="A17891" s="1" t="s">
        <v>34973</v>
      </c>
      <c r="B17891" s="1">
        <v>2</v>
      </c>
      <c r="C17891" s="3">
        <v>44528.959374999999</v>
      </c>
      <c r="D17891" s="1" t="s">
        <v>34974</v>
      </c>
      <c r="E17891" s="4" t="str">
        <f ca="1">IFERROR(__xludf.DUMMYFUNCTION("GOOGLETRANSLATE(A694 , ""tr"" , ""en"")"),"@drfahrettinka https://t.co/7sbbwkjjlv")</f>
        <v>@drfahrettinka https://t.co/7sbbwkjjlv</v>
      </c>
    </row>
    <row r="17892" spans="1:5" ht="15" customHeight="1" x14ac:dyDescent="0.25">
      <c r="A17892" s="1" t="s">
        <v>34975</v>
      </c>
      <c r="B17892" s="1">
        <v>0</v>
      </c>
      <c r="C17892" s="3">
        <v>44528.928055555552</v>
      </c>
      <c r="D17892" s="1" t="s">
        <v>34976</v>
      </c>
      <c r="E17892" s="4" t="str">
        <f ca="1">IFERROR(__xludf.DUMMYFUNCTION("GOOGLETRANSLATE(A695 , ""tr"" , ""en"")"),"@drfahrettinkoca @rterdogan Remove the persecution is enough no longer people die ... https://t.co/umjluoqg3q")</f>
        <v>@drfahrettinkoca @rterdogan Remove the persecution is enough no longer people die ... https://t.co/umjluoqg3q</v>
      </c>
    </row>
    <row r="17893" spans="1:5" ht="15" customHeight="1" x14ac:dyDescent="0.25">
      <c r="A17893" s="1" t="s">
        <v>34977</v>
      </c>
      <c r="B17893" s="1">
        <v>15</v>
      </c>
      <c r="C17893" s="3">
        <v>44528.903043981481</v>
      </c>
      <c r="D17893" s="1" t="s">
        <v>34978</v>
      </c>
      <c r="E17893" s="4" t="str">
        <f ca="1">IFERROR(__xludf.DUMMYFUNCTION("GOOGLETRANSLATE(A696 , ""tr"" , ""en"")"),"In response to @drfahrettinkoca, Mr. Ministry is facing the doctoral syd.")</f>
        <v>In response to @drfahrettinkoca, Mr. Ministry is facing the doctoral syd.</v>
      </c>
    </row>
    <row r="17894" spans="1:5" ht="15" customHeight="1" x14ac:dyDescent="0.25">
      <c r="A17894" s="1" t="s">
        <v>34979</v>
      </c>
      <c r="B17894" s="1">
        <v>4</v>
      </c>
      <c r="C17894" s="3">
        <v>44528.90283564815</v>
      </c>
      <c r="D17894" s="1" t="s">
        <v>34980</v>
      </c>
      <c r="E17894" s="4" t="str">
        <f ca="1">IFERROR(__xludf.DUMMYFUNCTION("GOOGLETRANSLATE(A697 , ""tr"" , ""en"")"),"@drfahrettinkoca @selcukktepeli #mebyökkurtuşuşturuzakit")</f>
        <v>@drfahrettinkoca @selcukktepeli #mebyökkurtuşuşturuzakit</v>
      </c>
    </row>
    <row r="17895" spans="1:5" ht="15" customHeight="1" x14ac:dyDescent="0.25">
      <c r="A17895" s="1" t="s">
        <v>34981</v>
      </c>
      <c r="B17895" s="1">
        <v>0</v>
      </c>
      <c r="C17895" s="3">
        <v>44528.901342592595</v>
      </c>
      <c r="D17895" s="1" t="s">
        <v>34982</v>
      </c>
      <c r="E17895" s="4" t="str">
        <f ca="1">IFERROR(__xludf.DUMMYFUNCTION("GOOGLETRANSLATE(A698 , ""tr"" , ""en"")"),"@drfahrettinkoca @saglikbakanligi @tcbestepe @rterdogan Find situation in Eskişehir Osmangazi patient to patient to patient ... https://t.co/xmd8I8xfvb")</f>
        <v>@drfahrettinkoca @saglikbakanligi @tcbestepe @rterdogan Find situation in Eskişehir Osmangazi patient to patient to patient ... https://t.co/xmd8I8xfvb</v>
      </c>
    </row>
    <row r="17896" spans="1:5" ht="15" customHeight="1" x14ac:dyDescent="0.25">
      <c r="A17896" s="1" t="s">
        <v>34983</v>
      </c>
      <c r="B17896" s="1">
        <v>0</v>
      </c>
      <c r="C17896" s="3">
        <v>44528.876435185186</v>
      </c>
      <c r="D17896" s="1" t="s">
        <v>34984</v>
      </c>
      <c r="E17896" s="4" t="str">
        <f ca="1">IFERROR(__xludf.DUMMYFUNCTION("GOOGLETRANSLATE(A699 , ""tr"" , ""en"")"),"@drfahrettinkoca When you say almost the opposite and ineffective drugs, with new variant in your product ... https://t.co/ejnejxnb38")</f>
        <v>@drfahrettinkoca When you say almost the opposite and ineffective drugs, with new variant in your product ... https://t.co/ejnejxnb38</v>
      </c>
    </row>
    <row r="17897" spans="1:5" ht="15" customHeight="1" x14ac:dyDescent="0.25">
      <c r="A17897" s="1" t="s">
        <v>34985</v>
      </c>
      <c r="B17897" s="1">
        <v>1</v>
      </c>
      <c r="C17897" s="3">
        <v>44528.87190972222</v>
      </c>
      <c r="D17897" s="1" t="s">
        <v>34986</v>
      </c>
      <c r="E17897" s="4" t="str">
        <f ca="1">IFERROR(__xludf.DUMMYFUNCTION("GOOGLETRANSLATE(A700 , ""tr"" , ""en"")"),"@drfahrettinka https://t.co/0g8slsf06p")</f>
        <v>@drfahrettinka https://t.co/0g8slsf06p</v>
      </c>
    </row>
    <row r="17898" spans="1:5" ht="15" customHeight="1" x14ac:dyDescent="0.25">
      <c r="A17898" s="1" t="s">
        <v>34987</v>
      </c>
      <c r="B17898" s="1">
        <v>0</v>
      </c>
      <c r="C17898" s="3">
        <v>44528.870532407411</v>
      </c>
      <c r="D17898" s="1" t="s">
        <v>34988</v>
      </c>
      <c r="E17898" s="4" t="str">
        <f ca="1">IFERROR(__xludf.DUMMYFUNCTION("GOOGLETRANSLATE(A701 , ""tr"" , ""en"")"),"@drfahrettinkoca @rterdogan https://t.co/bg1z5voodu")</f>
        <v>@drfahrettinkoca @rterdogan https://t.co/bg1z5voodu</v>
      </c>
    </row>
    <row r="17899" spans="1:5" ht="15" customHeight="1" x14ac:dyDescent="0.25">
      <c r="A17899" s="1" t="s">
        <v>34989</v>
      </c>
      <c r="B17899" s="1">
        <v>0</v>
      </c>
      <c r="C17899" s="3">
        <v>44528.868043981478</v>
      </c>
      <c r="D17899" s="1" t="s">
        <v>34990</v>
      </c>
      <c r="E17899" s="4" t="str">
        <f ca="1">IFERROR(__xludf.DUMMYFUNCTION("GOOGLETRANSLATE(A702 , ""tr"" , ""en"")"),"@drfahrettinkoca TÜGVA Instead of spending money on foundations such as TÜGVA, please have the remedy to families. https://t.co/hepoogc0xk")</f>
        <v>@drfahrettinkoca TÜGVA Instead of spending money on foundations such as TÜGVA, please have the remedy to families. https://t.co/hepoogc0xk</v>
      </c>
    </row>
    <row r="17900" spans="1:5" ht="15" customHeight="1" x14ac:dyDescent="0.25">
      <c r="A17900" s="1" t="s">
        <v>34991</v>
      </c>
      <c r="B17900" s="1">
        <v>1</v>
      </c>
      <c r="C17900" s="3">
        <v>44528.853483796294</v>
      </c>
      <c r="D17900" s="1" t="s">
        <v>34992</v>
      </c>
      <c r="E17900" s="4" t="str">
        <f ca="1">IFERROR(__xludf.DUMMYFUNCTION("GOOGLETRANSLATE(A703 , ""tr"" , ""en"")"),"@drfahrettinka syn. My Funator Minister can we have anymore lovers? @Atique6")</f>
        <v>@drfahrettinka syn. My Funator Minister can we have anymore lovers? @Atique6</v>
      </c>
    </row>
    <row r="17901" spans="1:5" ht="15" customHeight="1" x14ac:dyDescent="0.25">
      <c r="A17901" s="1" t="s">
        <v>34993</v>
      </c>
      <c r="B17901" s="1">
        <v>0</v>
      </c>
      <c r="C17901" s="3">
        <v>44528.852395833332</v>
      </c>
      <c r="D17901" s="1" t="s">
        <v>34994</v>
      </c>
      <c r="E17901" s="4" t="str">
        <f ca="1">IFERROR(__xludf.DUMMYFUNCTION("GOOGLETRANSLATE(A704 , ""tr"" , ""en"")"),"@drfahrettinkoca @sagliklicozum @saglikbakanligi is no longer tired of psychological balance ...")</f>
        <v>@drfahrettinkoca @sagliklicozum @saglikbakanligi is no longer tired of psychological balance ...</v>
      </c>
    </row>
    <row r="17902" spans="1:5" ht="15" customHeight="1" x14ac:dyDescent="0.25">
      <c r="A17902" s="1" t="s">
        <v>34995</v>
      </c>
      <c r="B17902" s="1">
        <v>1</v>
      </c>
      <c r="C17902" s="3">
        <v>44528.850289351853</v>
      </c>
      <c r="D17902" s="1" t="s">
        <v>34996</v>
      </c>
      <c r="E17902" s="4" t="str">
        <f ca="1">IFERROR(__xludf.DUMMYFUNCTION("GOOGLETRANSLATE(A705 , ""tr"" , ""en"")"),"@drfahrettinkoca you have a very toxic relationship between us and this is very special.")</f>
        <v>@drfahrettinkoca you have a very toxic relationship between us and this is very special.</v>
      </c>
    </row>
    <row r="17903" spans="1:5" ht="15" customHeight="1" x14ac:dyDescent="0.25">
      <c r="A17903" s="1" t="s">
        <v>34997</v>
      </c>
      <c r="B17903" s="1">
        <v>0</v>
      </c>
      <c r="C17903" s="3">
        <v>44528.843032407407</v>
      </c>
      <c r="D17903" s="1" t="s">
        <v>34998</v>
      </c>
      <c r="E17903" s="4" t="str">
        <f ca="1">IFERROR(__xludf.DUMMYFUNCTION("GOOGLETRANSLATE(A706 , ""tr"" , ""en"")"),"@drfahrettinkoca @rterdogan Medical Expertise Exam, Assistant Examination TUS Examination System We do not want to change ... https://t.co/qyrolk79dr")</f>
        <v>@drfahrettinkoca @rterdogan Medical Expertise Exam, Assistant Examination TUS Examination System We do not want to change ... https://t.co/qyrolk79dr</v>
      </c>
    </row>
    <row r="17904" spans="1:5" ht="15" customHeight="1" x14ac:dyDescent="0.25">
      <c r="A17904" s="1" t="s">
        <v>34999</v>
      </c>
      <c r="B17904" s="1">
        <v>1</v>
      </c>
      <c r="C17904" s="3">
        <v>44528.840254629627</v>
      </c>
      <c r="D17904" s="1" t="s">
        <v>35000</v>
      </c>
      <c r="E17904" s="4" t="str">
        <f ca="1">IFERROR(__xludf.DUMMYFUNCTION("GOOGLETRANSLATE(A707 , ""tr"" , ""en"")"),"@drfahrettinkoca hocam I love your eye Nolur Don't expect us to believe! No changes to be at all. Fitted again 20 b ... https://t.co/fsibd0gzwp")</f>
        <v>@drfahrettinkoca hocam I love your eye Nolur Don't expect us to believe! No changes to be at all. Fitted again 20 b ... https://t.co/fsibd0gzwp</v>
      </c>
    </row>
    <row r="17905" spans="1:5" ht="15" customHeight="1" x14ac:dyDescent="0.25">
      <c r="A17905" s="1" t="s">
        <v>35001</v>
      </c>
      <c r="B17905" s="1">
        <v>0</v>
      </c>
      <c r="C17905" s="3">
        <v>44528.829305555555</v>
      </c>
      <c r="D17905" s="1" t="s">
        <v>35002</v>
      </c>
      <c r="E17905" s="4" t="str">
        <f ca="1">IFERROR(__xludf.DUMMYFUNCTION("GOOGLETRANSLATE(A708 , ""tr"" , ""en"")"),"@drfahrettinkoca Dear Minister Look at the Pool Channels at the Pool Channels Canan Karatay What Says HTTPS://T.CO/ERAPQOBLKP")</f>
        <v>@drfahrettinkoca Dear Minister Look at the Pool Channels at the Pool Channels Canan Karatay What Says HTTPS://T.CO/ERAPQOBLKP</v>
      </c>
    </row>
    <row r="17906" spans="1:5" ht="15" customHeight="1" x14ac:dyDescent="0.25">
      <c r="A17906" s="1" t="s">
        <v>35003</v>
      </c>
      <c r="B17906" s="1">
        <v>0</v>
      </c>
      <c r="C17906" s="3">
        <v>44528.82916666667</v>
      </c>
      <c r="D17906" s="1" t="s">
        <v>35004</v>
      </c>
      <c r="E17906" s="4" t="str">
        <f ca="1">IFERROR(__xludf.DUMMYFUNCTION("GOOGLETRANSLATE(A709 , ""tr"" , ""en"")"),"@drfahrettinkoca all the limits should be turned off.")</f>
        <v>@drfahrettinkoca all the limits should be turned off.</v>
      </c>
    </row>
    <row r="17907" spans="1:5" ht="15" customHeight="1" x14ac:dyDescent="0.25">
      <c r="A17907" s="1" t="s">
        <v>35005</v>
      </c>
      <c r="B17907" s="1">
        <v>0</v>
      </c>
      <c r="C17907" s="3">
        <v>44528.826238425929</v>
      </c>
      <c r="D17907" s="1" t="s">
        <v>35006</v>
      </c>
      <c r="E17907" s="4" t="str">
        <f ca="1">IFERROR(__xludf.DUMMYFUNCTION("GOOGLETRANSLATE(A710 , ""tr"" , ""en"")"),"@drfahrettinkoca we invite you to the task .. https://t.co/babcgydtql")</f>
        <v>@drfahrettinkoca we invite you to the task .. https://t.co/babcgydtql</v>
      </c>
    </row>
    <row r="17908" spans="1:5" ht="15" customHeight="1" x14ac:dyDescent="0.25">
      <c r="A17908" s="1" t="s">
        <v>35007</v>
      </c>
      <c r="B17908" s="1">
        <v>0</v>
      </c>
      <c r="C17908" s="3">
        <v>44528.825185185182</v>
      </c>
      <c r="D17908" s="1" t="s">
        <v>35008</v>
      </c>
      <c r="E17908" s="4" t="str">
        <f ca="1">IFERROR(__xludf.DUMMYFUNCTION("GOOGLETRANSLATE(A711 , ""tr"" , ""en"")"),"@drfahrettinkoca @ mehmetceyhan23 You lie in the peak Gunahta in lying in Gunahta Dunya championusunjz https://t.co/rzblb0ykbg")</f>
        <v>@drfahrettinkoca @ mehmetceyhan23 You lie in the peak Gunahta in lying in Gunahta Dunya championusunjz https://t.co/rzblb0ykbg</v>
      </c>
    </row>
    <row r="17909" spans="1:5" ht="15" customHeight="1" x14ac:dyDescent="0.25">
      <c r="A17909" s="1" t="s">
        <v>35009</v>
      </c>
      <c r="B17909" s="1">
        <v>1</v>
      </c>
      <c r="C17909" s="3">
        <v>44525.983032407406</v>
      </c>
      <c r="D17909" s="1" t="s">
        <v>35010</v>
      </c>
      <c r="E17909" s="4" t="str">
        <f ca="1">IFERROR(__xludf.DUMMYFUNCTION("GOOGLETRANSLATE(A712 , ""tr"" , ""en"")"),"@drfahrettinkoca @saglikbakanligi @savcilikc @siberayegm https://t.co/mmt2xw0g3s https://t.co/sfwnqo3t9c")</f>
        <v>@drfahrettinkoca @saglikbakanligi @savcilikc @siberayegm https://t.co/mmt2xw0g3s https://t.co/sfwnqo3t9c</v>
      </c>
    </row>
    <row r="17910" spans="1:5" ht="15" customHeight="1" x14ac:dyDescent="0.25">
      <c r="A17910" s="1" t="s">
        <v>35011</v>
      </c>
      <c r="B17910" s="1">
        <v>0</v>
      </c>
      <c r="C17910" s="3">
        <v>44525.967581018522</v>
      </c>
      <c r="D17910" s="1" t="s">
        <v>35012</v>
      </c>
      <c r="E17910" s="4" t="str">
        <f ca="1">IFERROR(__xludf.DUMMYFUNCTION("GOOGLETRANSLATE(A713 , ""tr"" , ""en"")"),"@drfahrettinkoca @drkarenk yes yes unable to respond to vaccine pro dr and to the ministry this https://t.co/warzy7hdby")</f>
        <v>@drfahrettinkoca @drkarenk yes yes unable to respond to vaccine pro dr and to the ministry this https://t.co/warzy7hdby</v>
      </c>
    </row>
    <row r="17911" spans="1:5" ht="15" customHeight="1" x14ac:dyDescent="0.25">
      <c r="A17911" s="1" t="s">
        <v>35013</v>
      </c>
      <c r="B17911" s="1">
        <v>0</v>
      </c>
      <c r="C17911" s="3">
        <v>44525.956226851849</v>
      </c>
      <c r="D17911" s="1" t="s">
        <v>35014</v>
      </c>
      <c r="E17911" s="4" t="str">
        <f ca="1">IFERROR(__xludf.DUMMYFUNCTION("GOOGLETRANSLATE(A714 , ""tr"" , ""en"")"),"@drfahrettinkoca @vedatbilgn is made of ready allocation while running #hbys working in auction of hospital career personnel ... https://t.co/ea63c00gfo")</f>
        <v>@drfahrettinkoca @vedatbilgn is made of ready allocation while running #hbys working in auction of hospital career personnel ... https://t.co/ea63c00gfo</v>
      </c>
    </row>
    <row r="17912" spans="1:5" ht="15" customHeight="1" x14ac:dyDescent="0.25">
      <c r="A17912" s="1" t="s">
        <v>35015</v>
      </c>
      <c r="B17912" s="1">
        <v>0</v>
      </c>
      <c r="C17912" s="3">
        <v>44525.95590277778</v>
      </c>
      <c r="D17912" s="1" t="s">
        <v>35016</v>
      </c>
      <c r="E17912" s="4" t="str">
        <f ca="1">IFERROR(__xludf.DUMMYFUNCTION("GOOGLETRANSLATE(A715 , ""tr"" , ""en"")"),"@drfahrettinkoca @vedatbilgn is made of ready allocation, while the hospital person working in the tender is made of the ... https://t.co/bte6t1rvfi")</f>
        <v>@drfahrettinkoca @vedatbilgn is made of ready allocation, while the hospital person working in the tender is made of the ... https://t.co/bte6t1rvfi</v>
      </c>
    </row>
    <row r="17913" spans="1:5" ht="15" customHeight="1" x14ac:dyDescent="0.25">
      <c r="A17913" s="1" t="s">
        <v>35017</v>
      </c>
      <c r="B17913" s="1">
        <v>0</v>
      </c>
      <c r="C17913" s="3">
        <v>44525.955601851849</v>
      </c>
      <c r="D17913" s="1" t="s">
        <v>35018</v>
      </c>
      <c r="E17913" s="4" t="str">
        <f ca="1">IFERROR(__xludf.DUMMYFUNCTION("GOOGLETRANSLATE(A716 , ""tr"" , ""en"")"),"@drfahrettinkoca @vedatbilgn is made of ready allocation while running #hbys working in auction with the personnel personnel ... https://t.co/k2b6sy8g4c")</f>
        <v>@drfahrettinkoca @vedatbilgn is made of ready allocation while running #hbys working in auction with the personnel personnel ... https://t.co/k2b6sy8g4c</v>
      </c>
    </row>
    <row r="17914" spans="1:5" ht="15" customHeight="1" x14ac:dyDescent="0.25">
      <c r="A17914" s="1" t="s">
        <v>35019</v>
      </c>
      <c r="B17914" s="1">
        <v>0</v>
      </c>
      <c r="C17914" s="3">
        <v>44525.955520833333</v>
      </c>
      <c r="D17914" s="1" t="s">
        <v>35020</v>
      </c>
      <c r="E17914" s="4" t="str">
        <f ca="1">IFERROR(__xludf.DUMMYFUNCTION("GOOGLETRANSLATE(A717 , ""tr"" , ""en"")"),"@drfahrettinkoca @vedatbilgn when ready allocation made of #hbys working in auction of hospital career staff ... https://t.co/jxdtwzoufz")</f>
        <v>@drfahrettinkoca @vedatbilgn when ready allocation made of #hbys working in auction of hospital career staff ... https://t.co/jxdtwzoufz</v>
      </c>
    </row>
    <row r="17915" spans="1:5" ht="15" customHeight="1" x14ac:dyDescent="0.25">
      <c r="A17915" s="1" t="s">
        <v>35021</v>
      </c>
      <c r="B17915" s="1">
        <v>0</v>
      </c>
      <c r="C17915" s="3">
        <v>44525.95517361111</v>
      </c>
      <c r="D17915" s="1" t="s">
        <v>35022</v>
      </c>
      <c r="E17915" s="4" t="str">
        <f ca="1">IFERROR(__xludf.DUMMYFUNCTION("GOOGLETRANSLATE(A718 , ""tr"" , ""en"")"),"@drfahrettinkoca @vedatbilgn is made of ready allocation, while the hospital information employee working in the BUYS tender ... https://t.co/ew9is56IQR")</f>
        <v>@drfahrettinkoca @vedatbilgn is made of ready allocation, while the hospital information employee working in the BUYS tender ... https://t.co/ew9is56IQR</v>
      </c>
    </row>
    <row r="17916" spans="1:5" ht="15" customHeight="1" x14ac:dyDescent="0.25">
      <c r="A17916" s="1" t="s">
        <v>35023</v>
      </c>
      <c r="B17916" s="1">
        <v>0</v>
      </c>
      <c r="C17916" s="3">
        <v>44525.954907407409</v>
      </c>
      <c r="D17916" s="1" t="s">
        <v>35024</v>
      </c>
      <c r="E17916" s="4" t="str">
        <f ca="1">IFERROR(__xludf.DUMMYFUNCTION("GOOGLETRANSLATE(A719 , ""tr"" , ""en"")"),"@drfahrettinkoca @vedatbilgn while the ready allocation is made of #hbys working in a tender with the patient information staff ... https://t.co/pbosgd209o")</f>
        <v>@drfahrettinkoca @vedatbilgn while the ready allocation is made of #hbys working in a tender with the patient information staff ... https://t.co/pbosgd209o</v>
      </c>
    </row>
    <row r="17917" spans="1:5" ht="15" customHeight="1" x14ac:dyDescent="0.25">
      <c r="A17917" s="1" t="s">
        <v>35025</v>
      </c>
      <c r="B17917" s="1">
        <v>0</v>
      </c>
      <c r="C17917" s="3">
        <v>44525.948159722226</v>
      </c>
      <c r="D17917" s="1" t="s">
        <v>35026</v>
      </c>
      <c r="E17917" s="4" t="str">
        <f ca="1">IFERROR(__xludf.DUMMYFUNCTION("GOOGLETRANSLATE(A720 , ""tr"" , ""en"")"),"@drfahrettinkoca @vedatbilgn is made of ready allocation while running #hbys working in the tender with the personnel personnel ... https://t.co/ghjxwt8jrf")</f>
        <v>@drfahrettinkoca @vedatbilgn is made of ready allocation while running #hbys working in the tender with the personnel personnel ... https://t.co/ghjxwt8jrf</v>
      </c>
    </row>
    <row r="17918" spans="1:5" ht="15" customHeight="1" x14ac:dyDescent="0.25">
      <c r="A17918" s="1" t="s">
        <v>35027</v>
      </c>
      <c r="B17918" s="1">
        <v>0</v>
      </c>
      <c r="C17918" s="3">
        <v>44525.948125000003</v>
      </c>
      <c r="D17918" s="1" t="s">
        <v>35028</v>
      </c>
      <c r="E17918" s="4" t="str">
        <f ca="1">IFERROR(__xludf.DUMMYFUNCTION("GOOGLETRANSLATE(A721 , ""tr"" , ""en"")"),"@drfahrettinkoca @vedatbilgn is made of ready allocation while working in the #hbys tender with the patient information staff ... https://t.co/GPIGLV1ucj")</f>
        <v>@drfahrettinkoca @vedatbilgn is made of ready allocation while working in the #hbys tender with the patient information staff ... https://t.co/GPIGLV1ucj</v>
      </c>
    </row>
    <row r="17919" spans="1:5" ht="15" customHeight="1" x14ac:dyDescent="0.25">
      <c r="A17919" s="1" t="s">
        <v>35029</v>
      </c>
      <c r="B17919" s="1">
        <v>0</v>
      </c>
      <c r="C17919" s="3">
        <v>44525.947546296295</v>
      </c>
      <c r="D17919" s="1" t="s">
        <v>35030</v>
      </c>
      <c r="E17919" s="4" t="str">
        <f ca="1">IFERROR(__xludf.DUMMYFUNCTION("GOOGLETRANSLATE(A722 , ""tr"" , ""en"")"),"@drfahrettinkoca @vedatbilgn is made of ready allocation, while the hospital information worker working in the #hbys tender ... HTTPS://T.CO/VISOLQ0L0V")</f>
        <v>@drfahrettinkoca @vedatbilgn is made of ready allocation, while the hospital information worker working in the #hbys tender ... HTTPS://T.CO/VISOLQ0L0V</v>
      </c>
    </row>
    <row r="17920" spans="1:5" ht="15" customHeight="1" x14ac:dyDescent="0.25">
      <c r="A17920" s="1" t="s">
        <v>35031</v>
      </c>
      <c r="B17920" s="1">
        <v>0</v>
      </c>
      <c r="C17920" s="3">
        <v>44525.94730324074</v>
      </c>
      <c r="D17920" s="1" t="s">
        <v>35032</v>
      </c>
      <c r="E17920" s="4" t="str">
        <f ca="1">IFERROR(__xludf.DUMMYFUNCTION("GOOGLETRANSLATE(A723 , ""tr"" , ""en"")"),"@drfahrettinkoca @vedatbilgn, while the ready allocation of @vedatbilgn is made in the BUYS tender with the patient information staff ... https://t.co/xunztmov4l")</f>
        <v>@drfahrettinkoca @vedatbilgn, while the ready allocation of @vedatbilgn is made in the BUYS tender with the patient information staff ... https://t.co/xunztmov4l</v>
      </c>
    </row>
    <row r="17921" spans="1:5" ht="15" customHeight="1" x14ac:dyDescent="0.25">
      <c r="A17921" s="1" t="s">
        <v>35033</v>
      </c>
      <c r="B17921" s="1">
        <v>0</v>
      </c>
      <c r="C17921" s="3">
        <v>44525.947083333333</v>
      </c>
      <c r="D17921" s="1" t="s">
        <v>35034</v>
      </c>
      <c r="E17921" s="4" t="str">
        <f ca="1">IFERROR(__xludf.DUMMYFUNCTION("GOOGLETRANSLATE(A724 , ""tr"" , ""en"")"),"@drfahrettinkoca @vedatbilgn is made of ready allocation while working in the #hbys tender with the hospital dealing personnel ... https://t.co/kckp67ufnj")</f>
        <v>@drfahrettinkoca @vedatbilgn is made of ready allocation while working in the #hbys tender with the hospital dealing personnel ... https://t.co/kckp67ufnj</v>
      </c>
    </row>
    <row r="17922" spans="1:5" ht="15" customHeight="1" x14ac:dyDescent="0.25">
      <c r="A17922" s="1" t="s">
        <v>35035</v>
      </c>
      <c r="B17922" s="1">
        <v>0</v>
      </c>
      <c r="C17922" s="3">
        <v>44525.933229166665</v>
      </c>
      <c r="D17922" s="1" t="s">
        <v>35036</v>
      </c>
      <c r="E17922" s="4" t="str">
        <f ca="1">IFERROR(__xludf.DUMMYFUNCTION("GOOGLETRANSLATE(A725 , ""tr"" , ""en"")"),"@drfahrettinkoca @vedatbilgn is made of ready allocation while working in the #hbys tender with the patient information staff ... https://t.co/1ebzs6sopb")</f>
        <v>@drfahrettinkoca @vedatbilgn is made of ready allocation while working in the #hbys tender with the patient information staff ... https://t.co/1ebzs6sopb</v>
      </c>
    </row>
    <row r="17923" spans="1:5" ht="15" customHeight="1" x14ac:dyDescent="0.25">
      <c r="A17923" s="1" t="s">
        <v>35037</v>
      </c>
      <c r="B17923" s="1">
        <v>0</v>
      </c>
      <c r="C17923" s="3">
        <v>44525.932337962964</v>
      </c>
      <c r="D17923" s="1" t="s">
        <v>35038</v>
      </c>
      <c r="E17923" s="4" t="str">
        <f ca="1">IFERROR(__xludf.DUMMYFUNCTION("GOOGLETRANSLATE(A726 , ""tr"" , ""en"")"),"@drfahrettinkoca @vedatbilgn is made of ready allocation is made in #hbys tender working with the personnel personnel ... https://t.co/wk4zvqf3ni")</f>
        <v>@drfahrettinkoca @vedatbilgn is made of ready allocation is made in #hbys tender working with the personnel personnel ... https://t.co/wk4zvqf3ni</v>
      </c>
    </row>
    <row r="17924" spans="1:5" ht="15" customHeight="1" x14ac:dyDescent="0.25">
      <c r="A17924" s="1" t="s">
        <v>35039</v>
      </c>
      <c r="B17924" s="1">
        <v>0</v>
      </c>
      <c r="C17924" s="3">
        <v>44525.932233796295</v>
      </c>
      <c r="D17924" s="1" t="s">
        <v>35040</v>
      </c>
      <c r="E17924" s="4" t="str">
        <f ca="1">IFERROR(__xludf.DUMMYFUNCTION("GOOGLETRANSLATE(A727 , ""tr"" , ""en"")"),"@drfahrettinkoca @vedatbilgn, while the ready allocation of the ready-made hospital in the bundle of the hospital in the tender ... https://t.co/DZXM20IAVF")</f>
        <v>@drfahrettinkoca @vedatbilgn, while the ready allocation of the ready-made hospital in the bundle of the hospital in the tender ... https://t.co/DZXM20IAVF</v>
      </c>
    </row>
    <row r="17925" spans="1:5" ht="15" customHeight="1" x14ac:dyDescent="0.25">
      <c r="A17925" s="1" t="s">
        <v>35041</v>
      </c>
      <c r="B17925" s="1">
        <v>0</v>
      </c>
      <c r="C17925" s="3">
        <v>44525.931944444441</v>
      </c>
      <c r="D17925" s="1" t="s">
        <v>35042</v>
      </c>
      <c r="E17925" s="4" t="str">
        <f ca="1">IFERROR(__xludf.DUMMYFUNCTION("GOOGLETRANSLATE(A728 , ""tr"" , ""en"")"),"@drfahrettinkoca @vedatbilgn is made of ready allocation of the hospital in the tender of the hospital in the tender, with the staff ... https://t.co/gknukofnhp")</f>
        <v>@drfahrettinkoca @vedatbilgn is made of ready allocation of the hospital in the tender of the hospital in the tender, with the staff ... https://t.co/gknukofnhp</v>
      </c>
    </row>
    <row r="17926" spans="1:5" ht="15" customHeight="1" x14ac:dyDescent="0.25">
      <c r="A17926" s="1" t="s">
        <v>35043</v>
      </c>
      <c r="B17926" s="1">
        <v>0</v>
      </c>
      <c r="C17926" s="3">
        <v>44525.93178240741</v>
      </c>
      <c r="D17926" s="1" t="s">
        <v>35044</v>
      </c>
      <c r="E17926" s="4" t="str">
        <f ca="1">IFERROR(__xludf.DUMMYFUNCTION("GOOGLETRANSLATE(A729 , ""tr"" , ""en"")"),"@drfahrettinkoca @vedatbilgn is made of ready allocation, while the hospital career personnel working in the tender ... https://t.co/5zmftbgob2")</f>
        <v>@drfahrettinkoca @vedatbilgn is made of ready allocation, while the hospital career personnel working in the tender ... https://t.co/5zmftbgob2</v>
      </c>
    </row>
    <row r="17927" spans="1:5" ht="15" customHeight="1" x14ac:dyDescent="0.25">
      <c r="A17927" s="1" t="s">
        <v>35045</v>
      </c>
      <c r="B17927" s="1">
        <v>0</v>
      </c>
      <c r="C17927" s="3">
        <v>44525.931643518517</v>
      </c>
      <c r="D17927" s="1" t="s">
        <v>35046</v>
      </c>
      <c r="E17927" s="4" t="str">
        <f ca="1">IFERROR(__xludf.DUMMYFUNCTION("GOOGLETRANSLATE(A730 , ""tr"" , ""en"")"),"@drfahrettinkoca @vedatbilgn is made of ready allocation while working in the #hbys tender with the patient information staff ... https://t.co/1xjhdhcchr")</f>
        <v>@drfahrettinkoca @vedatbilgn is made of ready allocation while working in the #hbys tender with the patient information staff ... https://t.co/1xjhdhcchr</v>
      </c>
    </row>
    <row r="17928" spans="1:5" ht="15" customHeight="1" x14ac:dyDescent="0.25">
      <c r="A17928" s="1" t="s">
        <v>35047</v>
      </c>
      <c r="B17928" s="1">
        <v>0</v>
      </c>
      <c r="C17928" s="3">
        <v>44525.931273148148</v>
      </c>
      <c r="D17928" s="1" t="s">
        <v>35048</v>
      </c>
      <c r="E17928" s="4" t="str">
        <f ca="1">IFERROR(__xludf.DUMMYFUNCTION("GOOGLETRANSLATE(A731 , ""tr"" , ""en"")"),"@drfahrettinkoca @vedatbilgn is made of ready allocation, while working in the #hbys tender with the patient information staff ... https://t.co/0jdxqj4xt88")</f>
        <v>@drfahrettinkoca @vedatbilgn is made of ready allocation, while working in the #hbys tender with the patient information staff ... https://t.co/0jdxqj4xt88</v>
      </c>
    </row>
    <row r="17929" spans="1:5" ht="15" customHeight="1" x14ac:dyDescent="0.25">
      <c r="A17929" s="1" t="s">
        <v>35049</v>
      </c>
      <c r="B17929" s="1">
        <v>0</v>
      </c>
      <c r="C17929" s="3">
        <v>44525.931168981479</v>
      </c>
      <c r="D17929" s="1" t="s">
        <v>35050</v>
      </c>
      <c r="E17929" s="4" t="str">
        <f ca="1">IFERROR(__xludf.DUMMYFUNCTION("GOOGLETRANSLATE(A732 , ""tr"" , ""en"")"),"@drfahrettinkoca @vedatbilgn is made of ready allocation, while working in the #hbys tender with the patient information staff ... https://t.co/excvuwmuvw")</f>
        <v>@drfahrettinkoca @vedatbilgn is made of ready allocation, while working in the #hbys tender with the patient information staff ... https://t.co/excvuwmuvw</v>
      </c>
    </row>
    <row r="17930" spans="1:5" ht="15" customHeight="1" x14ac:dyDescent="0.25">
      <c r="A17930" s="1" t="s">
        <v>35051</v>
      </c>
      <c r="B17930" s="1">
        <v>0</v>
      </c>
      <c r="C17930" s="3">
        <v>44525.930983796294</v>
      </c>
      <c r="D17930" s="1" t="s">
        <v>35052</v>
      </c>
      <c r="E17930" s="4" t="str">
        <f ca="1">IFERROR(__xludf.DUMMYFUNCTION("GOOGLETRANSLATE(A733 , ""tr"" , ""en"")"),"@drfahrettinkoca @vedatbilgn is made of ready allocation, while the hospital information is working in the tender of the #hbys ... https://t.co/qkg2ouldjx")</f>
        <v>@drfahrettinkoca @vedatbilgn is made of ready allocation, while the hospital information is working in the tender of the #hbys ... https://t.co/qkg2ouldjx</v>
      </c>
    </row>
    <row r="17931" spans="1:5" ht="15" customHeight="1" x14ac:dyDescent="0.25">
      <c r="A17931" s="1" t="s">
        <v>35053</v>
      </c>
      <c r="B17931" s="1">
        <v>0</v>
      </c>
      <c r="C17931" s="3">
        <v>44525.930960648147</v>
      </c>
      <c r="D17931" s="1" t="s">
        <v>35054</v>
      </c>
      <c r="E17931" s="4" t="str">
        <f ca="1">IFERROR(__xludf.DUMMYFUNCTION("GOOGLETRANSLATE(A734 , ""tr"" , ""en"")"),"@drfahrettinkoca @vedatbilgn is made of ready allocation, while the hospital patient working in the tender is made of #hbys tender ... https://t.co/b1eymsncjt")</f>
        <v>@drfahrettinkoca @vedatbilgn is made of ready allocation, while the hospital patient working in the tender is made of #hbys tender ... https://t.co/b1eymsncjt</v>
      </c>
    </row>
    <row r="17932" spans="1:5" ht="15" customHeight="1" x14ac:dyDescent="0.25">
      <c r="A17932" s="1" t="s">
        <v>35055</v>
      </c>
      <c r="B17932" s="1">
        <v>0</v>
      </c>
      <c r="C17932" s="3">
        <v>44525.930509259262</v>
      </c>
      <c r="D17932" s="1" t="s">
        <v>35056</v>
      </c>
      <c r="E17932" s="4" t="str">
        <f ca="1">IFERROR(__xludf.DUMMYFUNCTION("GOOGLETRANSLATE(A735 , ""tr"" , ""en"")"),"@drfahrettinkoca @vedatbilgn is made of ready allocation of running #hbys while working in the bundle of the hospital information ... https://t.co/n5j3tkpp5m")</f>
        <v>@drfahrettinkoca @vedatbilgn is made of ready allocation of running #hbys while working in the bundle of the hospital information ... https://t.co/n5j3tkpp5m</v>
      </c>
    </row>
    <row r="17933" spans="1:5" ht="15" customHeight="1" x14ac:dyDescent="0.25">
      <c r="A17933" s="1" t="s">
        <v>35057</v>
      </c>
      <c r="B17933" s="1">
        <v>0</v>
      </c>
      <c r="C17933" s="3">
        <v>44525.930266203701</v>
      </c>
      <c r="D17933" s="1" t="s">
        <v>35058</v>
      </c>
      <c r="E17933" s="4" t="str">
        <f ca="1">IFERROR(__xludf.DUMMYFUNCTION("GOOGLETRANSLATE(A736 , ""tr"" , ""en"")"),"@drfahrettinkoca @vedatbilgn ready allocation made of #hbys working in auction of hospital career personnel ... https://t.co/9k2kkqdzwg")</f>
        <v>@drfahrettinkoca @vedatbilgn ready allocation made of #hbys working in auction of hospital career personnel ... https://t.co/9k2kkqdzwg</v>
      </c>
    </row>
    <row r="17934" spans="1:5" ht="15" customHeight="1" x14ac:dyDescent="0.25">
      <c r="A17934" s="1" t="s">
        <v>35059</v>
      </c>
      <c r="B17934" s="1">
        <v>0</v>
      </c>
      <c r="C17934" s="3">
        <v>44525.929872685185</v>
      </c>
      <c r="D17934" s="1" t="s">
        <v>35060</v>
      </c>
      <c r="E17934" s="4" t="str">
        <f ca="1">IFERROR(__xludf.DUMMYFUNCTION("GOOGLETRANSLATE(A737 , ""tr"" , ""en"")"),"@drfahrettinkoca @vedatbilgn is made of ready allocation, while running in the #hbys tender with the patient information staff ... https://t.co/rjpoorgxlp")</f>
        <v>@drfahrettinkoca @vedatbilgn is made of ready allocation, while running in the #hbys tender with the patient information staff ... https://t.co/rjpoorgxlp</v>
      </c>
    </row>
    <row r="17935" spans="1:5" ht="15" customHeight="1" x14ac:dyDescent="0.25">
      <c r="A17935" s="1" t="s">
        <v>35061</v>
      </c>
      <c r="B17935" s="1">
        <v>0</v>
      </c>
      <c r="C17935" s="3">
        <v>44525.929826388892</v>
      </c>
      <c r="D17935" s="1" t="s">
        <v>35062</v>
      </c>
      <c r="E17935" s="4" t="str">
        <f ca="1">IFERROR(__xludf.DUMMYFUNCTION("GOOGLETRANSLATE(A738 , ""tr"" , ""en"")"),"@drfahrettinkoca @vedatbilgn is made of ready allocation, while working in the #hbys tender with the patient information staff ... https://t.co/00rjzro4yo")</f>
        <v>@drfahrettinkoca @vedatbilgn is made of ready allocation, while working in the #hbys tender with the patient information staff ... https://t.co/00rjzro4yo</v>
      </c>
    </row>
    <row r="17936" spans="1:5" ht="15" customHeight="1" x14ac:dyDescent="0.25">
      <c r="A17936" s="1" t="s">
        <v>35063</v>
      </c>
      <c r="B17936" s="1">
        <v>0</v>
      </c>
      <c r="C17936" s="3">
        <v>44525.929201388892</v>
      </c>
      <c r="D17936" s="1" t="s">
        <v>35064</v>
      </c>
      <c r="E17936" s="4" t="str">
        <f ca="1">IFERROR(__xludf.DUMMYFUNCTION("GOOGLETRANSLATE(A739 , ""tr"" , ""en"")"),"@drfahrettinkoca @vedatbilgn is made of ready allocation, while working in the #hbys tender with the patient information staff ... https://t.co/5q0wocruvr")</f>
        <v>@drfahrettinkoca @vedatbilgn is made of ready allocation, while working in the #hbys tender with the patient information staff ... https://t.co/5q0wocruvr</v>
      </c>
    </row>
    <row r="17937" spans="1:5" ht="15" customHeight="1" x14ac:dyDescent="0.25">
      <c r="A17937" s="1" t="s">
        <v>35065</v>
      </c>
      <c r="B17937" s="1">
        <v>0</v>
      </c>
      <c r="C17937" s="3">
        <v>44525.928819444445</v>
      </c>
      <c r="D17937" s="1" t="s">
        <v>35066</v>
      </c>
      <c r="E17937" s="4" t="str">
        <f ca="1">IFERROR(__xludf.DUMMYFUNCTION("GOOGLETRANSLATE(A740 , ""tr"" , ""en"")"),"@drfahrettinkoca @vedatbilgn is made of ready allocation while running #hbys running in auction with the personnel personnel ... https://t.co/y7ufiayf9q")</f>
        <v>@drfahrettinkoca @vedatbilgn is made of ready allocation while running #hbys running in auction with the personnel personnel ... https://t.co/y7ufiayf9q</v>
      </c>
    </row>
    <row r="17938" spans="1:5" ht="15" customHeight="1" x14ac:dyDescent="0.25">
      <c r="A17938" s="1" t="s">
        <v>35067</v>
      </c>
      <c r="B17938" s="1">
        <v>0</v>
      </c>
      <c r="C17938" s="3">
        <v>44525.928576388891</v>
      </c>
      <c r="D17938" s="1" t="s">
        <v>35068</v>
      </c>
      <c r="E17938" s="4" t="str">
        <f ca="1">IFERROR(__xludf.DUMMYFUNCTION("GOOGLETRANSLATE(A741 , ""tr"" , ""en"")"),"@drfahrettinkoca @vedatbilgn is ready allocation made of #hbys working in auction of hospital career personnel ... https://t.co/ppssvxlbyr")</f>
        <v>@drfahrettinkoca @vedatbilgn is ready allocation made of #hbys working in auction of hospital career personnel ... https://t.co/ppssvxlbyr</v>
      </c>
    </row>
    <row r="17939" spans="1:5" ht="15" customHeight="1" x14ac:dyDescent="0.25">
      <c r="A17939" s="1" t="s">
        <v>35069</v>
      </c>
      <c r="B17939" s="1">
        <v>1</v>
      </c>
      <c r="C17939" s="3">
        <v>44525.92664351852</v>
      </c>
      <c r="D17939" s="1" t="s">
        <v>35070</v>
      </c>
      <c r="E17939" s="4" t="str">
        <f ca="1">IFERROR(__xludf.DUMMYFUNCTION("GOOGLETRANSLATE(A742 , ""tr"" , ""en"")"),"@drfahrettinkoca we were tired of it from waiting. Please give back our mind # guide-on-site")</f>
        <v>@drfahrettinkoca we were tired of it from waiting. Please give back our mind # guide-on-site</v>
      </c>
    </row>
    <row r="17940" spans="1:5" ht="15" customHeight="1" x14ac:dyDescent="0.25">
      <c r="A17940" s="1" t="s">
        <v>35071</v>
      </c>
      <c r="B17940" s="1">
        <v>0</v>
      </c>
      <c r="C17940" s="3">
        <v>44525.922175925924</v>
      </c>
      <c r="D17940" s="1" t="s">
        <v>35072</v>
      </c>
      <c r="E17940" s="4" t="str">
        <f ca="1">IFERROR(__xludf.DUMMYFUNCTION("GOOGLETRANSLATE(A743 , ""tr"" , ""en"")"),"@drfahrettinkoca thy still ends Guney Africa immediately stopped! https://t.co/pekm8i90na")</f>
        <v>@drfahrettinkoca thy still ends Guney Africa immediately stopped! https://t.co/pekm8i90na</v>
      </c>
    </row>
    <row r="17941" spans="1:5" ht="15" customHeight="1" x14ac:dyDescent="0.25">
      <c r="A17941" s="1" t="s">
        <v>35073</v>
      </c>
      <c r="B17941" s="1">
        <v>0</v>
      </c>
      <c r="C17941" s="3">
        <v>44525.921724537038</v>
      </c>
      <c r="D17941" s="1" t="s">
        <v>35074</v>
      </c>
      <c r="E17941" s="4" t="str">
        <f ca="1">IFERROR(__xludf.DUMMYFUNCTION("GOOGLETRANSLATE(A744 , ""tr"" , ""en"")"),"@drfahrettinkoca @saglikbakanligi @titckgovtr @sagliklicozum https://t.co/8ycxbcmwuj")</f>
        <v>@drfahrettinkoca @saglikbakanligi @titckgovtr @sagliklicozum https://t.co/8ycxbcmwuj</v>
      </c>
    </row>
    <row r="17942" spans="1:5" ht="15" customHeight="1" x14ac:dyDescent="0.25">
      <c r="A17942" s="1" t="s">
        <v>35075</v>
      </c>
      <c r="B17942" s="1">
        <v>0</v>
      </c>
      <c r="C17942" s="3">
        <v>44525.92083333333</v>
      </c>
      <c r="D17942" s="1" t="s">
        <v>35076</v>
      </c>
      <c r="E17942" s="4" t="str">
        <f ca="1">IFERROR(__xludf.DUMMYFUNCTION("GOOGLETRANSLATE(A745 , ""tr"" , ""en"")"),"@drfahrettinkoca @saglikbakanligi @kubraacar__ https://t.co/2sua5hogqw")</f>
        <v>@drfahrettinkoca @saglikbakanligi @kubraacar__ https://t.co/2sua5hogqw</v>
      </c>
    </row>
    <row r="17943" spans="1:5" ht="15" customHeight="1" x14ac:dyDescent="0.25">
      <c r="A17943" s="1" t="s">
        <v>35077</v>
      </c>
      <c r="B17943" s="1">
        <v>0</v>
      </c>
      <c r="C17943" s="3">
        <v>44525.918321759258</v>
      </c>
      <c r="D17943" s="1" t="s">
        <v>35078</v>
      </c>
      <c r="E17943" s="4" t="str">
        <f ca="1">IFERROR(__xludf.DUMMYFUNCTION("GOOGLETRANSLATE(A746 , ""tr"" , ""en"")"),"@drfahrettinkoca @vedatbilgn is made of ready allocation, while the hospital information employee working in the tender of the #hbys ... https://t.co/j561iwju7t")</f>
        <v>@drfahrettinkoca @vedatbilgn is made of ready allocation, while the hospital information employee working in the tender of the #hbys ... https://t.co/j561iwju7t</v>
      </c>
    </row>
    <row r="17944" spans="1:5" ht="15" customHeight="1" x14ac:dyDescent="0.25">
      <c r="A17944" s="1" t="s">
        <v>35079</v>
      </c>
      <c r="B17944" s="1">
        <v>0</v>
      </c>
      <c r="C17944" s="3">
        <v>44525.918194444443</v>
      </c>
      <c r="D17944" s="1" t="s">
        <v>35080</v>
      </c>
      <c r="E17944" s="4" t="str">
        <f ca="1">IFERROR(__xludf.DUMMYFUNCTION("GOOGLETRANSLATE(A747 , ""tr"" , ""en"")"),"@drfahrettinkoca @vedatbilgn is ready allocation made of #hbys working in auction in the tender with the personnel personnel ... https://t.co/bjim5mxcs7")</f>
        <v>@drfahrettinkoca @vedatbilgn is ready allocation made of #hbys working in auction in the tender with the personnel personnel ... https://t.co/bjim5mxcs7</v>
      </c>
    </row>
    <row r="17945" spans="1:5" ht="15" customHeight="1" x14ac:dyDescent="0.25">
      <c r="A17945" s="1" t="s">
        <v>35081</v>
      </c>
      <c r="B17945" s="1">
        <v>0</v>
      </c>
      <c r="C17945" s="3">
        <v>44525.918090277781</v>
      </c>
      <c r="D17945" s="1" t="s">
        <v>35082</v>
      </c>
      <c r="E17945" s="4" t="str">
        <f ca="1">IFERROR(__xludf.DUMMYFUNCTION("GOOGLETRANSLATE(A748 , ""tr"" , ""en"")"),"@drfahrettinkoca @vedatbilgn is made of ready allocation, while running in the #hbys tender with the patient information staff ... https://t.co/bby2rbtvr6")</f>
        <v>@drfahrettinkoca @vedatbilgn is made of ready allocation, while running in the #hbys tender with the patient information staff ... https://t.co/bby2rbtvr6</v>
      </c>
    </row>
    <row r="17946" spans="1:5" ht="15" customHeight="1" x14ac:dyDescent="0.25">
      <c r="A17946" s="1" t="s">
        <v>35083</v>
      </c>
      <c r="B17946" s="1">
        <v>0</v>
      </c>
      <c r="C17946" s="3">
        <v>44525.917997685188</v>
      </c>
      <c r="D17946" s="1" t="s">
        <v>35084</v>
      </c>
      <c r="E17946" s="4" t="str">
        <f ca="1">IFERROR(__xludf.DUMMYFUNCTION("GOOGLETRANSLATE(A749 , ""tr"" , ""en"")"),"@drfahrettinkoca @vedatbilgn, while the ready allocation of @vedatbilgn is made in the hospital person who works in the tender ... https://t.co/9qnpadbsaz")</f>
        <v>@drfahrettinkoca @vedatbilgn, while the ready allocation of @vedatbilgn is made in the hospital person who works in the tender ... https://t.co/9qnpadbsaz</v>
      </c>
    </row>
    <row r="17947" spans="1:5" ht="15" customHeight="1" x14ac:dyDescent="0.25">
      <c r="A17947" s="1" t="s">
        <v>35085</v>
      </c>
      <c r="B17947" s="1">
        <v>1</v>
      </c>
      <c r="C17947" s="3">
        <v>44525.917870370373</v>
      </c>
      <c r="D17947" s="1" t="s">
        <v>35086</v>
      </c>
      <c r="E17947" s="4" t="str">
        <f ca="1">IFERROR(__xludf.DUMMYFUNCTION("GOOGLETRANSLATE(A750 , ""tr"" , ""en"")"),"@drfahrettinkoca @vedatbilgn is made of ready allocation, while working in the #hbys tender, with the patient information staff ... https://t.co/8xkyc8ine9")</f>
        <v>@drfahrettinkoca @vedatbilgn is made of ready allocation, while working in the #hbys tender, with the patient information staff ... https://t.co/8xkyc8ine9</v>
      </c>
    </row>
    <row r="17948" spans="1:5" ht="15" customHeight="1" x14ac:dyDescent="0.25">
      <c r="A17948" s="1" t="s">
        <v>35087</v>
      </c>
      <c r="B17948" s="1">
        <v>0</v>
      </c>
      <c r="C17948" s="3">
        <v>44525.917754629627</v>
      </c>
      <c r="D17948" s="1" t="s">
        <v>35088</v>
      </c>
      <c r="E17948" s="4" t="str">
        <f ca="1">IFERROR(__xludf.DUMMYFUNCTION("GOOGLETRANSLATE(A751 , ""tr"" , ""en"")"),"@drfahrettinkoca @vedatbilgn is made of ready allocation while working in the #hbys tender with the hospital career personnel ... https://t.co/wjdhex7jc0")</f>
        <v>@drfahrettinkoca @vedatbilgn is made of ready allocation while working in the #hbys tender with the hospital career personnel ... https://t.co/wjdhex7jc0</v>
      </c>
    </row>
    <row r="17949" spans="1:5" ht="15" customHeight="1" x14ac:dyDescent="0.25">
      <c r="A17949" s="1" t="s">
        <v>35089</v>
      </c>
      <c r="B17949" s="1">
        <v>1</v>
      </c>
      <c r="C17949" s="3">
        <v>44525.917557870373</v>
      </c>
      <c r="D17949" s="1" t="s">
        <v>35090</v>
      </c>
      <c r="E17949" s="4" t="str">
        <f ca="1">IFERROR(__xludf.DUMMYFUNCTION("GOOGLETRANSLATE(A752 , ""tr"" , ""en"")"),"@drfahrettinkoca @vedatbilgn is made of ready allocation while working in the #hbys tender with hospital career personnel ... https://t.co/zxmcfckmcz")</f>
        <v>@drfahrettinkoca @vedatbilgn is made of ready allocation while working in the #hbys tender with hospital career personnel ... https://t.co/zxmcfckmcz</v>
      </c>
    </row>
    <row r="17950" spans="1:5" ht="15" customHeight="1" x14ac:dyDescent="0.25">
      <c r="A17950" s="1" t="s">
        <v>35091</v>
      </c>
      <c r="B17950" s="1">
        <v>0</v>
      </c>
      <c r="C17950" s="3">
        <v>44525.917256944442</v>
      </c>
      <c r="D17950" s="1" t="s">
        <v>35092</v>
      </c>
      <c r="E17950" s="4" t="str">
        <f ca="1">IFERROR(__xludf.DUMMYFUNCTION("GOOGLETRANSLATE(A753 , ""tr"" , ""en"")"),"@drfahrettinkoca @vedatbilgn is made of ready allocation while working in the #hbys tender with the hospital career staff ... https://t.co/k1oh2tfj8e")</f>
        <v>@drfahrettinkoca @vedatbilgn is made of ready allocation while working in the #hbys tender with the hospital career staff ... https://t.co/k1oh2tfj8e</v>
      </c>
    </row>
    <row r="17951" spans="1:5" ht="15" customHeight="1" x14ac:dyDescent="0.25">
      <c r="A17951" s="1" t="s">
        <v>35093</v>
      </c>
      <c r="B17951" s="1">
        <v>0</v>
      </c>
      <c r="C17951" s="3">
        <v>44525.917118055557</v>
      </c>
      <c r="D17951" s="1" t="s">
        <v>35094</v>
      </c>
      <c r="E17951" s="4" t="str">
        <f ca="1">IFERROR(__xludf.DUMMYFUNCTION("GOOGLETRANSLATE(A754 , ""tr"" , ""en"")"),"@drfahrettinkoca @vedatbilgn is made of ready allocation while running #hbys in auction with the patient information staff ... https://t.co/9oa9tczn8f")</f>
        <v>@drfahrettinkoca @vedatbilgn is made of ready allocation while running #hbys in auction with the patient information staff ... https://t.co/9oa9tczn8f</v>
      </c>
    </row>
    <row r="17952" spans="1:5" ht="15" customHeight="1" x14ac:dyDescent="0.25">
      <c r="A17952" s="1" t="s">
        <v>35095</v>
      </c>
      <c r="B17952" s="1">
        <v>0</v>
      </c>
      <c r="C17952" s="3">
        <v>44525.916851851849</v>
      </c>
      <c r="D17952" s="1" t="s">
        <v>35096</v>
      </c>
      <c r="E17952" s="4" t="str">
        <f ca="1">IFERROR(__xludf.DUMMYFUNCTION("GOOGLETRANSLATE(A755 , ""tr"" , ""en"")"),"@drfahrettinka Once you've proved more than the Ministry of Dear, you are the Ministry of Doctors ... We are there with you ... https://t.co/3otlt9xcpk")</f>
        <v>@drfahrettinka Once you've proved more than the Ministry of Dear, you are the Ministry of Doctors ... We are there with you ... https://t.co/3otlt9xcpk</v>
      </c>
    </row>
    <row r="17953" spans="1:5" ht="15" customHeight="1" x14ac:dyDescent="0.25">
      <c r="A17953" s="1" t="s">
        <v>35097</v>
      </c>
      <c r="B17953" s="1">
        <v>0</v>
      </c>
      <c r="C17953" s="3">
        <v>44525.916446759256</v>
      </c>
      <c r="D17953" s="1" t="s">
        <v>35098</v>
      </c>
      <c r="E17953" s="4" t="str">
        <f ca="1">IFERROR(__xludf.DUMMYFUNCTION("GOOGLETRANSLATE(A756 , ""tr"" , ""en"")"),"@drfahrettinkoca @vedatbilgn is made of ready allocation while working in the #hbys tender with the patient personnel personnel ... https://t.co/ocrwftktbi")</f>
        <v>@drfahrettinkoca @vedatbilgn is made of ready allocation while working in the #hbys tender with the patient personnel personnel ... https://t.co/ocrwftktbi</v>
      </c>
    </row>
    <row r="17954" spans="1:5" ht="15" customHeight="1" x14ac:dyDescent="0.25">
      <c r="A17954" s="1" t="s">
        <v>35099</v>
      </c>
      <c r="B17954" s="1">
        <v>0</v>
      </c>
      <c r="C17954" s="3">
        <v>44525.916365740741</v>
      </c>
      <c r="D17954" s="1" t="s">
        <v>35100</v>
      </c>
      <c r="E17954" s="4" t="str">
        <f ca="1">IFERROR(__xludf.DUMMYFUNCTION("GOOGLETRANSLATE(A757 , ""tr"" , ""en"")"),"@drfahrettinkoca @vedatbilgn, while the ready allocation of @vedatbilgn has been working in the bundle of the hospital in the tender ... https://t.co/uxejxnmruv")</f>
        <v>@drfahrettinkoca @vedatbilgn, while the ready allocation of @vedatbilgn has been working in the bundle of the hospital in the tender ... https://t.co/uxejxnmruv</v>
      </c>
    </row>
    <row r="17955" spans="1:5" ht="15" customHeight="1" x14ac:dyDescent="0.25">
      <c r="A17955" s="1" t="s">
        <v>35101</v>
      </c>
      <c r="B17955" s="1">
        <v>0</v>
      </c>
      <c r="C17955" s="3">
        <v>44525.916238425925</v>
      </c>
      <c r="D17955" s="1" t="s">
        <v>35102</v>
      </c>
      <c r="E17955" s="4" t="str">
        <f ca="1">IFERROR(__xludf.DUMMYFUNCTION("GOOGLETRANSLATE(A758 , ""tr"" , ""en"")"),"@drfahrettinkoca @vedatbilgn ready allocation made of #hbys working in a tender with the patient information staff ... https://t.co/ejeqvvTIAW")</f>
        <v>@drfahrettinkoca @vedatbilgn ready allocation made of #hbys working in a tender with the patient information staff ... https://t.co/ejeqvvTIAW</v>
      </c>
    </row>
    <row r="17956" spans="1:5" ht="15" customHeight="1" x14ac:dyDescent="0.25">
      <c r="A17956" s="1" t="s">
        <v>35103</v>
      </c>
      <c r="B17956" s="1">
        <v>0</v>
      </c>
      <c r="C17956" s="3">
        <v>44525.916134259256</v>
      </c>
      <c r="D17956" s="1" t="s">
        <v>35104</v>
      </c>
      <c r="E17956" s="4" t="str">
        <f ca="1">IFERROR(__xludf.DUMMYFUNCTION("GOOGLETRANSLATE(A759 , ""tr"" , ""en"")"),"@drfahrettinkoca @vedatbilgn is made of ready allocation while running #hbys working in a tender with the personnel personnel ... https://t.co/bhynoijzeq")</f>
        <v>@drfahrettinkoca @vedatbilgn is made of ready allocation while running #hbys working in a tender with the personnel personnel ... https://t.co/bhynoijzeq</v>
      </c>
    </row>
    <row r="17957" spans="1:5" ht="15" customHeight="1" x14ac:dyDescent="0.25">
      <c r="A17957" s="1" t="s">
        <v>35105</v>
      </c>
      <c r="B17957" s="1">
        <v>0</v>
      </c>
      <c r="C17957" s="3">
        <v>44525.91574074074</v>
      </c>
      <c r="D17957" s="1" t="s">
        <v>35106</v>
      </c>
      <c r="E17957" s="4" t="str">
        <f ca="1">IFERROR(__xludf.DUMMYFUNCTION("GOOGLETRANSLATE(A760 , ""tr"" , ""en"")"),"@drfahrettinkoca @vedatbilgn is made of ready allocation while working in the #hbys tender with the hospital career staff ... https://t.co/m76wdn7hgq")</f>
        <v>@drfahrettinkoca @vedatbilgn is made of ready allocation while working in the #hbys tender with the hospital career staff ... https://t.co/m76wdn7hgq</v>
      </c>
    </row>
    <row r="17958" spans="1:5" ht="15" customHeight="1" x14ac:dyDescent="0.25">
      <c r="A17958" s="1" t="s">
        <v>35107</v>
      </c>
      <c r="B17958" s="1">
        <v>0</v>
      </c>
      <c r="C17958" s="3">
        <v>44525.915451388886</v>
      </c>
      <c r="D17958" s="1" t="s">
        <v>35108</v>
      </c>
      <c r="E17958" s="4" t="str">
        <f ca="1">IFERROR(__xludf.DUMMYFUNCTION("GOOGLETRANSLATE(A761 , ""tr"" , ""en"")"),"@drfahrettinkoca @vedatbilgn is made of ready allocation, while the hospital career person working in the #hbys tender ... https://t.co/u49q3dd5qn")</f>
        <v>@drfahrettinkoca @vedatbilgn is made of ready allocation, while the hospital career person working in the #hbys tender ... https://t.co/u49q3dd5qn</v>
      </c>
    </row>
    <row r="17959" spans="1:5" ht="15" customHeight="1" x14ac:dyDescent="0.25">
      <c r="A17959" s="1" t="s">
        <v>35109</v>
      </c>
      <c r="B17959" s="1">
        <v>0</v>
      </c>
      <c r="C17959" s="3">
        <v>44525.91542824074</v>
      </c>
      <c r="D17959" s="1" t="s">
        <v>35110</v>
      </c>
      <c r="E17959" s="4" t="str">
        <f ca="1">IFERROR(__xludf.DUMMYFUNCTION("GOOGLETRANSLATE(A762 , ""tr"" , ""en"")"),"@drfahrettinkoca @vedatbilgn is made of ready allocation while working in the #hbys tender with the patient personnel personnel ... https://t.co/vdgflf4unq")</f>
        <v>@drfahrettinkoca @vedatbilgn is made of ready allocation while working in the #hbys tender with the patient personnel personnel ... https://t.co/vdgflf4unq</v>
      </c>
    </row>
    <row r="17960" spans="1:5" ht="15" customHeight="1" x14ac:dyDescent="0.25">
      <c r="A17960" s="1" t="s">
        <v>35111</v>
      </c>
      <c r="B17960" s="1">
        <v>0</v>
      </c>
      <c r="C17960" s="3">
        <v>44525.914363425924</v>
      </c>
      <c r="D17960" s="1" t="s">
        <v>35112</v>
      </c>
      <c r="E17960" s="4" t="str">
        <f ca="1">IFERROR(__xludf.DUMMYFUNCTION("GOOGLETRANSLATE(A763 , ""tr"" , ""en"")"),"@drfahrettinkoca get up and kiss the hand @ mansuryavas06")</f>
        <v>@drfahrettinkoca get up and kiss the hand @ mansuryavas06</v>
      </c>
    </row>
    <row r="17961" spans="1:5" ht="15" customHeight="1" x14ac:dyDescent="0.25">
      <c r="A17961" s="1" t="s">
        <v>35113</v>
      </c>
      <c r="B17961" s="1">
        <v>0</v>
      </c>
      <c r="C17961" s="3">
        <v>44525.913993055554</v>
      </c>
      <c r="D17961" s="1" t="s">
        <v>35114</v>
      </c>
      <c r="E17961" s="4" t="str">
        <f ca="1">IFERROR(__xludf.DUMMYFUNCTION("GOOGLETRANSLATE(A764 , ""tr"" , ""en"")"),"@drfahrettinkoca @vedatbilgn is made of ready allocation while working in the #hbys tender with the hospital dealing personnel ... https://t.co/DCYMI9PMGD")</f>
        <v>@drfahrettinkoca @vedatbilgn is made of ready allocation while working in the #hbys tender with the hospital dealing personnel ... https://t.co/DCYMI9PMGD</v>
      </c>
    </row>
    <row r="17962" spans="1:5" ht="15" customHeight="1" x14ac:dyDescent="0.25">
      <c r="A17962" s="1" t="s">
        <v>35115</v>
      </c>
      <c r="B17962" s="1">
        <v>0</v>
      </c>
      <c r="C17962" s="3">
        <v>44525.913761574076</v>
      </c>
      <c r="D17962" s="1" t="s">
        <v>35116</v>
      </c>
      <c r="E17962" s="4" t="str">
        <f ca="1">IFERROR(__xludf.DUMMYFUNCTION("GOOGLETRANSLATE(A765 , ""tr"" , ""en"")"),"@drfahrettinkoca @vedatbilgn is made of ready allocation, while working in the #hbys tender with the patient information staff ... https://t.co/olebs8bmtm")</f>
        <v>@drfahrettinkoca @vedatbilgn is made of ready allocation, while working in the #hbys tender with the patient information staff ... https://t.co/olebs8bmtm</v>
      </c>
    </row>
    <row r="17963" spans="1:5" ht="15" customHeight="1" x14ac:dyDescent="0.25">
      <c r="A17963" s="1" t="s">
        <v>35117</v>
      </c>
      <c r="B17963" s="1">
        <v>0</v>
      </c>
      <c r="C17963" s="3">
        <v>44525.913182870368</v>
      </c>
      <c r="D17963" s="1" t="s">
        <v>35118</v>
      </c>
      <c r="E17963" s="4" t="str">
        <f ca="1">IFERROR(__xludf.DUMMYFUNCTION("GOOGLETRANSLATE(A766 , ""tr"" , ""en"")"),"@drfahrettinkoca @vedatbilgn is made of ready allocation while running #hbys working in auction with the patient personnel ... https://t.co/8wyrnszc8f")</f>
        <v>@drfahrettinkoca @vedatbilgn is made of ready allocation while running #hbys working in auction with the patient personnel ... https://t.co/8wyrnszc8f</v>
      </c>
    </row>
    <row r="17964" spans="1:5" ht="15" customHeight="1" x14ac:dyDescent="0.25">
      <c r="A17964" s="1" t="s">
        <v>35119</v>
      </c>
      <c r="B17964" s="1">
        <v>0</v>
      </c>
      <c r="C17964" s="3">
        <v>44525.91306712963</v>
      </c>
      <c r="D17964" s="1" t="s">
        <v>35120</v>
      </c>
      <c r="E17964" s="4" t="str">
        <f ca="1">IFERROR(__xludf.DUMMYFUNCTION("GOOGLETRANSLATE(A767 , ""tr"" , ""en"")"),"@drfahrettinkoca @vedatbilgn is made of ready allocation while running #hbys in auction with the patient information staff ... https://t.co/yoreckj7wh")</f>
        <v>@drfahrettinkoca @vedatbilgn is made of ready allocation while running #hbys in auction with the patient information staff ... https://t.co/yoreckj7wh</v>
      </c>
    </row>
    <row r="17965" spans="1:5" ht="15" customHeight="1" x14ac:dyDescent="0.25">
      <c r="A17965" s="1" t="s">
        <v>35121</v>
      </c>
      <c r="B17965" s="1">
        <v>0</v>
      </c>
      <c r="C17965" s="3">
        <v>44525.912928240738</v>
      </c>
      <c r="D17965" s="1" t="s">
        <v>35122</v>
      </c>
      <c r="E17965" s="4" t="str">
        <f ca="1">IFERROR(__xludf.DUMMYFUNCTION("GOOGLETRANSLATE(A768 , ""tr"" , ""en"")"),"@drfahrettinkoca Dear Ministry of Hospitals in Polyclinics (College Hasts) The event I live in myself is a single doct ... https://t.co/nkb5tc9I2w")</f>
        <v>@drfahrettinkoca Dear Ministry of Hospitals in Polyclinics (College Hasts) The event I live in myself is a single doct ... https://t.co/nkb5tc9I2w</v>
      </c>
    </row>
    <row r="17966" spans="1:5" ht="15" customHeight="1" x14ac:dyDescent="0.25">
      <c r="A17966" s="1" t="s">
        <v>35123</v>
      </c>
      <c r="B17966" s="1">
        <v>0</v>
      </c>
      <c r="C17966" s="3">
        <v>44525.912812499999</v>
      </c>
      <c r="D17966" s="1" t="s">
        <v>35124</v>
      </c>
      <c r="E17966" s="4" t="str">
        <f ca="1">IFERROR(__xludf.DUMMYFUNCTION("GOOGLETRANSLATE(A769 , ""tr"" , ""en"")"),"@drfahrettinkoca @vedatbilgn is made of ready allocation while running in the #hbys tender with the patient information staff ... https://t.co/iermvuwgl2")</f>
        <v>@drfahrettinkoca @vedatbilgn is made of ready allocation while running in the #hbys tender with the patient information staff ... https://t.co/iermvuwgl2</v>
      </c>
    </row>
    <row r="17967" spans="1:5" ht="15" customHeight="1" x14ac:dyDescent="0.25">
      <c r="A17967" s="1" t="s">
        <v>35125</v>
      </c>
      <c r="B17967" s="1">
        <v>0</v>
      </c>
      <c r="C17967" s="3">
        <v>44525.912638888891</v>
      </c>
      <c r="D17967" s="1" t="s">
        <v>35126</v>
      </c>
      <c r="E17967" s="4" t="str">
        <f ca="1">IFERROR(__xludf.DUMMYFUNCTION("GOOGLETRANSLATE(A770 , ""tr"" , ""en"")"),"@drfahrettinkoca @vedatbilgn is ready allocation made of #hbys working in auction of hospital career personnel ... https://t.co/lmsz9wqhhc")</f>
        <v>@drfahrettinkoca @vedatbilgn is ready allocation made of #hbys working in auction of hospital career personnel ... https://t.co/lmsz9wqhhc</v>
      </c>
    </row>
    <row r="17968" spans="1:5" ht="15" customHeight="1" x14ac:dyDescent="0.25">
      <c r="A17968" s="1" t="s">
        <v>35127</v>
      </c>
      <c r="B17968" s="1">
        <v>0</v>
      </c>
      <c r="C17968" s="3">
        <v>44525.911643518521</v>
      </c>
      <c r="D17968" s="1" t="s">
        <v>35128</v>
      </c>
      <c r="E17968" s="4" t="str">
        <f ca="1">IFERROR(__xludf.DUMMYFUNCTION("GOOGLETRANSLATE(A771 , ""tr"" , ""en"")"),"@drfahrettinkoca @ ikalin1 @saglikbakanligi @RterDogan @TC_Disites @Bilaleksithy Don't waste now now. Is ... https://t.co/ycfqmprzyx")</f>
        <v>@drfahrettinkoca @ ikalin1 @saglikbakanligi @RterDogan @TC_Disites @Bilaleksithy Don't waste now now. Is ... https://t.co/ycfqmprzyx</v>
      </c>
    </row>
    <row r="17969" spans="1:5" ht="15" customHeight="1" x14ac:dyDescent="0.25">
      <c r="A17969" s="1" t="s">
        <v>35129</v>
      </c>
      <c r="B17969" s="1">
        <v>0</v>
      </c>
      <c r="C17969" s="3">
        <v>44525.911412037036</v>
      </c>
      <c r="D17969" s="1" t="s">
        <v>35130</v>
      </c>
      <c r="E17969" s="4" t="str">
        <f ca="1">IFERROR(__xludf.DUMMYFUNCTION("GOOGLETRANSLATE(A772 , ""tr"" , ""en"")"),"@drfahrettinkoca @vedatbilgn is made of ready allocation, while the hospital information employee working in the tender of the #hbys ... https://t.co/wsla4o3rei")</f>
        <v>@drfahrettinkoca @vedatbilgn is made of ready allocation, while the hospital information employee working in the tender of the #hbys ... https://t.co/wsla4o3rei</v>
      </c>
    </row>
    <row r="17970" spans="1:5" ht="15" customHeight="1" x14ac:dyDescent="0.25">
      <c r="A17970" s="1" t="s">
        <v>35131</v>
      </c>
      <c r="B17970" s="1">
        <v>0</v>
      </c>
      <c r="C17970" s="3">
        <v>44525.91133101852</v>
      </c>
      <c r="D17970" s="1" t="s">
        <v>35132</v>
      </c>
      <c r="E17970" s="4" t="str">
        <f ca="1">IFERROR(__xludf.DUMMYFUNCTION("GOOGLETRANSLATE(A773 , ""tr"" , ""en"")"),"@drfahrettinkoca @vedatbilgn is made of ready allocation while running in the #hbys tender with the patient personnel personnel ... https://t.co/vmgk6v5xlk")</f>
        <v>@drfahrettinkoca @vedatbilgn is made of ready allocation while running in the #hbys tender with the patient personnel personnel ... https://t.co/vmgk6v5xlk</v>
      </c>
    </row>
    <row r="17971" spans="1:5" ht="15" customHeight="1" x14ac:dyDescent="0.25">
      <c r="A17971" s="1" t="s">
        <v>35133</v>
      </c>
      <c r="B17971" s="1">
        <v>0</v>
      </c>
      <c r="C17971" s="3">
        <v>44525.911238425928</v>
      </c>
      <c r="D17971" s="1" t="s">
        <v>35134</v>
      </c>
      <c r="E17971" s="4" t="str">
        <f ca="1">IFERROR(__xludf.DUMMYFUNCTION("GOOGLETRANSLATE(A774 , ""tr"" , ""en"")"),"@drfahrettinkoca @vedatbilgn is made of ready allocation, while the hospital person working in the tender is made in the tender ... https://t.co/0ph8n9xsqw")</f>
        <v>@drfahrettinkoca @vedatbilgn is made of ready allocation, while the hospital person working in the tender is made in the tender ... https://t.co/0ph8n9xsqw</v>
      </c>
    </row>
    <row r="17972" spans="1:5" ht="15" customHeight="1" x14ac:dyDescent="0.25">
      <c r="A17972" s="1" t="s">
        <v>35135</v>
      </c>
      <c r="B17972" s="1">
        <v>0</v>
      </c>
      <c r="C17972" s="3">
        <v>44525.910983796297</v>
      </c>
      <c r="D17972" s="1" t="s">
        <v>35136</v>
      </c>
      <c r="E17972" s="4" t="str">
        <f ca="1">IFERROR(__xludf.DUMMYFUNCTION("GOOGLETRANSLATE(A775 , ""tr"" , ""en"")"),"@drfahrettinkoca @vedatbilgn is made of ready allocation, while working in the #hbys tender with the patient information staff ... https://t.co/eoyb9pefiz")</f>
        <v>@drfahrettinkoca @vedatbilgn is made of ready allocation, while working in the #hbys tender with the patient information staff ... https://t.co/eoyb9pefiz</v>
      </c>
    </row>
    <row r="17973" spans="1:5" ht="15" customHeight="1" x14ac:dyDescent="0.25">
      <c r="A17973" s="1" t="s">
        <v>35137</v>
      </c>
      <c r="B17973" s="1">
        <v>0</v>
      </c>
      <c r="C17973" s="3">
        <v>44525.908518518518</v>
      </c>
      <c r="D17973" s="1" t="s">
        <v>35138</v>
      </c>
      <c r="E17973" s="4" t="str">
        <f ca="1">IFERROR(__xludf.DUMMYFUNCTION("GOOGLETRANSLATE(A776 , ""tr"" , ""en"")"),"@drfahrettinkoca @vedatbilgn is made of ready allocation while working in the #hbys tender with the patient information staff ... https://t.co/6IMMEDE3G3")</f>
        <v>@drfahrettinkoca @vedatbilgn is made of ready allocation while working in the #hbys tender with the patient information staff ... https://t.co/6IMMEDE3G3</v>
      </c>
    </row>
    <row r="17974" spans="1:5" ht="15" customHeight="1" x14ac:dyDescent="0.25">
      <c r="A17974" s="1" t="s">
        <v>35139</v>
      </c>
      <c r="B17974" s="1">
        <v>0</v>
      </c>
      <c r="C17974" s="3">
        <v>44525.908402777779</v>
      </c>
      <c r="D17974" s="1" t="s">
        <v>35140</v>
      </c>
      <c r="E17974" s="4" t="str">
        <f ca="1">IFERROR(__xludf.DUMMYFUNCTION("GOOGLETRANSLATE(A777 , ""tr"" , ""en"")"),"@drfahrettinkoca @vedatbilgn is made of ready allocation while running #hbys in auction of hospital career personnel ... https://t.co/qcye4gds8c")</f>
        <v>@drfahrettinkoca @vedatbilgn is made of ready allocation while running #hbys in auction of hospital career personnel ... https://t.co/qcye4gds8c</v>
      </c>
    </row>
    <row r="17975" spans="1:5" ht="15" customHeight="1" x14ac:dyDescent="0.25">
      <c r="A17975" s="1" t="s">
        <v>35141</v>
      </c>
      <c r="B17975" s="1">
        <v>0</v>
      </c>
      <c r="C17975" s="3">
        <v>44525.907766203702</v>
      </c>
      <c r="D17975" s="1" t="s">
        <v>35142</v>
      </c>
      <c r="E17975" s="4" t="str">
        <f ca="1">IFERROR(__xludf.DUMMYFUNCTION("GOOGLETRANSLATE(A778 , ""tr"" , ""en"")"),"@drfahrettinkoca @vedatbilgn is made of ready allocation, while the hospital information employee working in the tender of the #hbys ... https://t.co/9yvzwbh6qt")</f>
        <v>@drfahrettinkoca @vedatbilgn is made of ready allocation, while the hospital information employee working in the tender of the #hbys ... https://t.co/9yvzwbh6qt</v>
      </c>
    </row>
    <row r="17976" spans="1:5" ht="15" customHeight="1" x14ac:dyDescent="0.25">
      <c r="A17976" s="1" t="s">
        <v>35143</v>
      </c>
      <c r="B17976" s="1">
        <v>0</v>
      </c>
      <c r="C17976" s="3">
        <v>44525.907569444447</v>
      </c>
      <c r="D17976" s="1" t="s">
        <v>35144</v>
      </c>
      <c r="E17976" s="4" t="str">
        <f ca="1">IFERROR(__xludf.DUMMYFUNCTION("GOOGLETRANSLATE(A779 , ""tr"" , ""en"")"),"@drfahrettinkoca @vedatbilgn is made of ready allocation, while the hospital career person working in the #hbys tender ... https://t.co/r9swdqedcg")</f>
        <v>@drfahrettinkoca @vedatbilgn is made of ready allocation, while the hospital career person working in the #hbys tender ... https://t.co/r9swdqedcg</v>
      </c>
    </row>
    <row r="17977" spans="1:5" ht="15" customHeight="1" x14ac:dyDescent="0.25">
      <c r="A17977" s="1" t="s">
        <v>35145</v>
      </c>
      <c r="B17977" s="1">
        <v>0</v>
      </c>
      <c r="C17977" s="3">
        <v>44525.907372685186</v>
      </c>
      <c r="D17977" s="1" t="s">
        <v>35146</v>
      </c>
      <c r="E17977" s="4" t="str">
        <f ca="1">IFERROR(__xludf.DUMMYFUNCTION("GOOGLETRANSLATE(A780 , ""tr"" , ""en"")"),"@drfahrettinkoca @vedatbilgn is made of ready allocation while working in the #hbys tender with the hospital dealing personnel ... https://t.co/w6zbmkmytm")</f>
        <v>@drfahrettinkoca @vedatbilgn is made of ready allocation while working in the #hbys tender with the hospital dealing personnel ... https://t.co/w6zbmkmytm</v>
      </c>
    </row>
    <row r="17978" spans="1:5" ht="15" customHeight="1" x14ac:dyDescent="0.25">
      <c r="A17978" s="1" t="s">
        <v>35147</v>
      </c>
      <c r="B17978" s="1">
        <v>14</v>
      </c>
      <c r="C17978" s="3">
        <v>44525.907210648147</v>
      </c>
      <c r="D17978" s="1" t="s">
        <v>35148</v>
      </c>
      <c r="E17978" s="4" t="str">
        <f ca="1">IFERROR(__xludf.DUMMYFUNCTION("GOOGLETRANSLATE(A781 , ""tr"" , ""en"")"),"@drfahrettinkoca @vedatbilgn is made of ready allocation, while the hospital information employee working in the tender ... https://t.co/l8veaovfxh")</f>
        <v>@drfahrettinkoca @vedatbilgn is made of ready allocation, while the hospital information employee working in the tender ... https://t.co/l8veaovfxh</v>
      </c>
    </row>
    <row r="17979" spans="1:5" ht="15" customHeight="1" x14ac:dyDescent="0.25">
      <c r="A17979" s="1" t="s">
        <v>35149</v>
      </c>
      <c r="B17979" s="1">
        <v>0</v>
      </c>
      <c r="C17979" s="3">
        <v>44525.907037037039</v>
      </c>
      <c r="D17979" s="1" t="s">
        <v>35150</v>
      </c>
      <c r="E17979" s="4" t="str">
        <f ca="1">IFERROR(__xludf.DUMMYFUNCTION("GOOGLETRANSLATE(A782 , ""tr"" , ""en"")"),"@drfahrettinkoca @vedatbilgn is made of ready allocation, while the hospital information is working in the #hbys tender ... https://t.co/wt7ydlzq7r")</f>
        <v>@drfahrettinkoca @vedatbilgn is made of ready allocation, while the hospital information is working in the #hbys tender ... https://t.co/wt7ydlzq7r</v>
      </c>
    </row>
    <row r="17980" spans="1:5" ht="15" customHeight="1" x14ac:dyDescent="0.25">
      <c r="A17980" s="1" t="s">
        <v>35151</v>
      </c>
      <c r="B17980" s="1">
        <v>0</v>
      </c>
      <c r="C17980" s="3">
        <v>44525.906944444447</v>
      </c>
      <c r="D17980" s="1" t="s">
        <v>35152</v>
      </c>
      <c r="E17980" s="4" t="str">
        <f ca="1">IFERROR(__xludf.DUMMYFUNCTION("GOOGLETRANSLATE(A783 , ""tr"" , ""en"")"),"@drfahrettinkoca @vedatbilgn is made of ready allocation while working in the #hbys tender with the patient information staff ... https://t.co/0cbgfae8mt")</f>
        <v>@drfahrettinkoca @vedatbilgn is made of ready allocation while working in the #hbys tender with the patient information staff ... https://t.co/0cbgfae8mt</v>
      </c>
    </row>
    <row r="17981" spans="1:5" ht="15" customHeight="1" x14ac:dyDescent="0.25">
      <c r="A17981" s="1" t="s">
        <v>35153</v>
      </c>
      <c r="B17981" s="1">
        <v>0</v>
      </c>
      <c r="C17981" s="3">
        <v>44525.906770833331</v>
      </c>
      <c r="D17981" s="1" t="s">
        <v>35154</v>
      </c>
      <c r="E17981" s="4" t="str">
        <f ca="1">IFERROR(__xludf.DUMMYFUNCTION("GOOGLETRANSLATE(A784 , ""tr"" , ""en"")"),"@drfahrettinkoca @vedatbilgn is made of ready allocation, while the hospital information employee working in the #hbys tender ... https://t.co/mtijzepb05")</f>
        <v>@drfahrettinkoca @vedatbilgn is made of ready allocation, while the hospital information employee working in the #hbys tender ... https://t.co/mtijzepb05</v>
      </c>
    </row>
    <row r="17982" spans="1:5" ht="15" customHeight="1" x14ac:dyDescent="0.25">
      <c r="A17982" s="1" t="s">
        <v>35155</v>
      </c>
      <c r="B17982" s="1">
        <v>0</v>
      </c>
      <c r="C17982" s="3">
        <v>44525.9065625</v>
      </c>
      <c r="D17982" s="1" t="s">
        <v>35156</v>
      </c>
      <c r="E17982" s="4" t="str">
        <f ca="1">IFERROR(__xludf.DUMMYFUNCTION("GOOGLETRANSLATE(A785 , ""tr"" , ""en"")"),"@drfahrettinkoca @vedatbilgn is made of ready allocation, while the hospital information of the hospital working in the tender ... https://t.co/zwtyohFIU6")</f>
        <v>@drfahrettinkoca @vedatbilgn is made of ready allocation, while the hospital information of the hospital working in the tender ... https://t.co/zwtyohFIU6</v>
      </c>
    </row>
    <row r="17983" spans="1:5" ht="15" customHeight="1" x14ac:dyDescent="0.25">
      <c r="A17983" s="1" t="s">
        <v>35157</v>
      </c>
      <c r="B17983" s="1">
        <v>0</v>
      </c>
      <c r="C17983" s="3">
        <v>44525.905370370368</v>
      </c>
      <c r="D17983" s="1" t="s">
        <v>35158</v>
      </c>
      <c r="E17983" s="4" t="str">
        <f ca="1">IFERROR(__xludf.DUMMYFUNCTION("GOOGLETRANSLATE(A786 , ""tr"" , ""en"")"),"@drfahrettinkoca @vedatbilgn is made of ready allocation, while working in the #hbys tender with the patient information staff ... https://t.co/c9w90npqqz")</f>
        <v>@drfahrettinkoca @vedatbilgn is made of ready allocation, while working in the #hbys tender with the patient information staff ... https://t.co/c9w90npqqz</v>
      </c>
    </row>
    <row r="17984" spans="1:5" ht="15" customHeight="1" x14ac:dyDescent="0.25">
      <c r="A17984" s="1" t="s">
        <v>35159</v>
      </c>
      <c r="B17984" s="1">
        <v>0</v>
      </c>
      <c r="C17984" s="3">
        <v>44525.904699074075</v>
      </c>
      <c r="D17984" s="1" t="s">
        <v>35160</v>
      </c>
      <c r="E17984" s="4" t="str">
        <f ca="1">IFERROR(__xludf.DUMMYFUNCTION("GOOGLETRANSLATE(A787 , ""tr"" , ""en"")"),"@drfahrettinkoca 🤩 https://t.co/enjrx5seoc")</f>
        <v>@drfahrettinkoca 🤩 https://t.co/enjrx5seoc</v>
      </c>
    </row>
    <row r="17985" spans="1:5" ht="15" customHeight="1" x14ac:dyDescent="0.25">
      <c r="A17985" s="1" t="s">
        <v>35161</v>
      </c>
      <c r="B17985" s="1">
        <v>4</v>
      </c>
      <c r="C17985" s="3">
        <v>44525.904513888891</v>
      </c>
      <c r="D17985" s="1" t="s">
        <v>35162</v>
      </c>
      <c r="E17985" s="4" t="str">
        <f ca="1">IFERROR(__xludf.DUMMYFUNCTION("GOOGLETRANSLATE(A788 , ""tr"" , ""en"")"),"@drfahrettinkoca @vedatbilgn is made of ready allocation, while the hospital information employee working in the tender ... https://t.co/5ldnos9szt")</f>
        <v>@drfahrettinkoca @vedatbilgn is made of ready allocation, while the hospital information employee working in the tender ... https://t.co/5ldnos9szt</v>
      </c>
    </row>
    <row r="17986" spans="1:5" ht="15" customHeight="1" x14ac:dyDescent="0.25">
      <c r="A17986" s="1" t="s">
        <v>35163</v>
      </c>
      <c r="B17986" s="1">
        <v>0</v>
      </c>
      <c r="C17986" s="3">
        <v>44525.90425925926</v>
      </c>
      <c r="D17986" s="1" t="s">
        <v>35164</v>
      </c>
      <c r="E17986" s="4" t="str">
        <f ca="1">IFERROR(__xludf.DUMMYFUNCTION("GOOGLETRANSLATE(A789 , ""tr"" , ""en"")"),"@drfahrettinkoca @vedatbilgn is made of ready allocation, while the hospital person working in the tender is made of the Hospital ... https://t.co/yzvpıszvfw")</f>
        <v>@drfahrettinkoca @vedatbilgn is made of ready allocation, while the hospital person working in the tender is made of the Hospital ... https://t.co/yzvpıszvfw</v>
      </c>
    </row>
    <row r="17987" spans="1:5" ht="15" customHeight="1" x14ac:dyDescent="0.25">
      <c r="A17987" s="1" t="s">
        <v>35165</v>
      </c>
      <c r="B17987" s="1">
        <v>1</v>
      </c>
      <c r="C17987" s="3">
        <v>44525.903287037036</v>
      </c>
      <c r="D17987" s="1" t="s">
        <v>35166</v>
      </c>
      <c r="E17987" s="4" t="str">
        <f ca="1">IFERROR(__xludf.DUMMYFUNCTION("GOOGLETRANSLATE(A790 , ""tr"" , ""en"")"),"@drfahrettinka https://t.co/0bu0hzemt9")</f>
        <v>@drfahrettinka https://t.co/0bu0hzemt9</v>
      </c>
    </row>
    <row r="17988" spans="1:5" ht="15" customHeight="1" x14ac:dyDescent="0.25">
      <c r="A17988" s="1" t="s">
        <v>35167</v>
      </c>
      <c r="B17988" s="1">
        <v>0</v>
      </c>
      <c r="C17988" s="3">
        <v>44525.900648148148</v>
      </c>
      <c r="D17988" s="1" t="s">
        <v>35168</v>
      </c>
      <c r="E17988" s="4" t="str">
        <f ca="1">IFERROR(__xludf.DUMMYFUNCTION("GOOGLETRANSLATE(A791 , ""tr"" , ""en"")"),"@drfahrettinkoca @vedatbilgn is made of ready allocation while working in the #hbys tender with the patient information staff ... https://t.co/u7qt60acts")</f>
        <v>@drfahrettinkoca @vedatbilgn is made of ready allocation while working in the #hbys tender with the patient information staff ... https://t.co/u7qt60acts</v>
      </c>
    </row>
    <row r="17989" spans="1:5" ht="15" customHeight="1" x14ac:dyDescent="0.25">
      <c r="A17989" s="1" t="s">
        <v>35169</v>
      </c>
      <c r="B17989" s="1">
        <v>0</v>
      </c>
      <c r="C17989" s="3">
        <v>44525.900439814817</v>
      </c>
      <c r="D17989" s="1" t="s">
        <v>35170</v>
      </c>
      <c r="E17989" s="4" t="str">
        <f ca="1">IFERROR(__xludf.DUMMYFUNCTION("GOOGLETRANSLATE(A792 , ""tr"" , ""en"")"),"@drfahrettinkoca @vedatbilgn is made of ready allocation while running in the #hbys tender with the patient personnel personnel ... https://t.co/c0gxbnyjkn")</f>
        <v>@drfahrettinkoca @vedatbilgn is made of ready allocation while running in the #hbys tender with the patient personnel personnel ... https://t.co/c0gxbnyjkn</v>
      </c>
    </row>
    <row r="17990" spans="1:5" ht="15" customHeight="1" x14ac:dyDescent="0.25">
      <c r="A17990" s="1" t="s">
        <v>35171</v>
      </c>
      <c r="B17990" s="1">
        <v>0</v>
      </c>
      <c r="C17990" s="3">
        <v>44525.899814814817</v>
      </c>
      <c r="D17990" s="1" t="s">
        <v>35172</v>
      </c>
      <c r="E17990" s="4" t="str">
        <f ca="1">IFERROR(__xludf.DUMMYFUNCTION("GOOGLETRANSLATE(A793 , ""tr"" , ""en"")"),"@drfahrettinkoca @vedatbilgn is made of ready allocation while working in the #hbys tender with the hospital career personnel ... https://t.co/I9f4r1oql2")</f>
        <v>@drfahrettinkoca @vedatbilgn is made of ready allocation while working in the #hbys tender with the hospital career personnel ... https://t.co/I9f4r1oql2</v>
      </c>
    </row>
    <row r="17991" spans="1:5" ht="15" customHeight="1" x14ac:dyDescent="0.25">
      <c r="A17991" s="1" t="s">
        <v>35173</v>
      </c>
      <c r="B17991" s="1">
        <v>0</v>
      </c>
      <c r="C17991" s="3">
        <v>44525.899664351855</v>
      </c>
      <c r="D17991" s="1" t="s">
        <v>35174</v>
      </c>
      <c r="E17991" s="4" t="str">
        <f ca="1">IFERROR(__xludf.DUMMYFUNCTION("GOOGLETRANSLATE(A794 , ""tr"" , ""en"")"),"@drfahrettinkoca @vedatbilgn is made of ready allocation while working in the #hbys tender with the patient information staff ... https://t.co/y0vdhpqsxu")</f>
        <v>@drfahrettinkoca @vedatbilgn is made of ready allocation while working in the #hbys tender with the patient information staff ... https://t.co/y0vdhpqsxu</v>
      </c>
    </row>
    <row r="17992" spans="1:5" ht="15" customHeight="1" x14ac:dyDescent="0.25">
      <c r="A17992" s="1" t="s">
        <v>35175</v>
      </c>
      <c r="B17992" s="1">
        <v>0</v>
      </c>
      <c r="C17992" s="3">
        <v>44525.899560185186</v>
      </c>
      <c r="D17992" s="1" t="s">
        <v>35176</v>
      </c>
      <c r="E17992" s="4" t="str">
        <f ca="1">IFERROR(__xludf.DUMMYFUNCTION("GOOGLETRANSLATE(A795 , ""tr"" , ""en"")"),"@drfahrettinkoca @vedatbilgn is made of ready allocation, while the hospital career person working in the #hbys tender ... https://t.co/ser1ayTIVC")</f>
        <v>@drfahrettinkoca @vedatbilgn is made of ready allocation, while the hospital career person working in the #hbys tender ... https://t.co/ser1ayTIVC</v>
      </c>
    </row>
    <row r="17993" spans="1:5" ht="15" customHeight="1" x14ac:dyDescent="0.25">
      <c r="A17993" s="1" t="s">
        <v>35177</v>
      </c>
      <c r="B17993" s="1">
        <v>0</v>
      </c>
      <c r="C17993" s="3">
        <v>44525.899386574078</v>
      </c>
      <c r="D17993" s="1" t="s">
        <v>35178</v>
      </c>
      <c r="E17993" s="4" t="str">
        <f ca="1">IFERROR(__xludf.DUMMYFUNCTION("GOOGLETRANSLATE(A796 , ""tr"" , ""en"")"),"@drfahrettinkoca @vedatbilgn is made of ready allocation while working in the #hbys tender with the patient information staff ... https://t.co/ISNW6RBQG7")</f>
        <v>@drfahrettinkoca @vedatbilgn is made of ready allocation while working in the #hbys tender with the patient information staff ... https://t.co/ISNW6RBQG7</v>
      </c>
    </row>
    <row r="17994" spans="1:5" ht="15" customHeight="1" x14ac:dyDescent="0.25">
      <c r="A17994" s="1" t="s">
        <v>35179</v>
      </c>
      <c r="B17994" s="1">
        <v>0</v>
      </c>
      <c r="C17994" s="3">
        <v>44525.898935185185</v>
      </c>
      <c r="D17994" s="1" t="s">
        <v>35180</v>
      </c>
      <c r="E17994" s="4" t="str">
        <f ca="1">IFERROR(__xludf.DUMMYFUNCTION("GOOGLETRANSLATE(A797 , ""tr"" , ""en"")"),"@drfahrettinkoca @vedatbilgn is made of ready allocation while working in the #hbys tender with the hospital information staff ... https://t.co/BP9H87ZOIY")</f>
        <v>@drfahrettinkoca @vedatbilgn is made of ready allocation while working in the #hbys tender with the hospital information staff ... https://t.co/BP9H87ZOIY</v>
      </c>
    </row>
    <row r="17995" spans="1:5" ht="15" customHeight="1" x14ac:dyDescent="0.25">
      <c r="A17995" s="1" t="s">
        <v>35181</v>
      </c>
      <c r="B17995" s="1">
        <v>0</v>
      </c>
      <c r="C17995" s="3">
        <v>44525.898831018516</v>
      </c>
      <c r="D17995" s="1" t="s">
        <v>35182</v>
      </c>
      <c r="E17995" s="4" t="str">
        <f ca="1">IFERROR(__xludf.DUMMYFUNCTION("GOOGLETRANSLATE(A798 , ""tr"" , ""en"")"),"@drfahrettinkoca @vedatbilgn is made of ready allocation, while running in the #hbys tender with the patient information staff ... https://t.co/jufnopj6pv")</f>
        <v>@drfahrettinkoca @vedatbilgn is made of ready allocation, while running in the #hbys tender with the patient information staff ... https://t.co/jufnopj6pv</v>
      </c>
    </row>
    <row r="17996" spans="1:5" ht="15" customHeight="1" x14ac:dyDescent="0.25">
      <c r="A17996" s="1" t="s">
        <v>35183</v>
      </c>
      <c r="B17996" s="1">
        <v>0</v>
      </c>
      <c r="C17996" s="3">
        <v>44525.898668981485</v>
      </c>
      <c r="D17996" s="1" t="s">
        <v>35184</v>
      </c>
      <c r="E17996" s="4" t="str">
        <f ca="1">IFERROR(__xludf.DUMMYFUNCTION("GOOGLETRANSLATE(A799 , ""tr"" , ""en"")"),"@drfahrettinkoca @vedatbilgn is made of ready allocation while working in the #hbys tender with the patient information staff ... https://t.co/vcjstsmo9g")</f>
        <v>@drfahrettinkoca @vedatbilgn is made of ready allocation while working in the #hbys tender with the patient information staff ... https://t.co/vcjstsmo9g</v>
      </c>
    </row>
    <row r="17997" spans="1:5" ht="15" customHeight="1" x14ac:dyDescent="0.25">
      <c r="A17997" s="1" t="s">
        <v>35185</v>
      </c>
      <c r="B17997" s="1">
        <v>0</v>
      </c>
      <c r="C17997" s="3">
        <v>44525.898495370369</v>
      </c>
      <c r="D17997" s="1" t="s">
        <v>35186</v>
      </c>
      <c r="E17997" s="4" t="str">
        <f ca="1">IFERROR(__xludf.DUMMYFUNCTION("GOOGLETRANSLATE(A800 , ""tr"" , ""en"")"),"@drfahrettinkoca @vedatbilgn is made of ready allocation while working in the #hbys tender with the patient information staff ... https://t.co/4plibdoqtt")</f>
        <v>@drfahrettinkoca @vedatbilgn is made of ready allocation while working in the #hbys tender with the patient information staff ... https://t.co/4plibdoqtt</v>
      </c>
    </row>
    <row r="17998" spans="1:5" ht="15" customHeight="1" x14ac:dyDescent="0.25">
      <c r="A17998" s="1" t="s">
        <v>35187</v>
      </c>
      <c r="B17998" s="1">
        <v>0</v>
      </c>
      <c r="C17998" s="3">
        <v>44525.898449074077</v>
      </c>
      <c r="D17998" s="1" t="s">
        <v>35188</v>
      </c>
      <c r="E17998" s="4" t="str">
        <f ca="1">IFERROR(__xludf.DUMMYFUNCTION("GOOGLETRANSLATE(A801 , ""tr"" , ""en"")"),"@drfahrettinkoca @vedatbilgn is made of ready allocation, while working in the #hbys tender with the hospital career personnel ... https://t.co/nr7clththtyr7")</f>
        <v>@drfahrettinkoca @vedatbilgn is made of ready allocation, while working in the #hbys tender with the hospital career personnel ... https://t.co/nr7clththtyr7</v>
      </c>
    </row>
    <row r="17999" spans="1:5" ht="15" customHeight="1" x14ac:dyDescent="0.25">
      <c r="A17999" s="1" t="s">
        <v>35189</v>
      </c>
      <c r="B17999" s="1">
        <v>0</v>
      </c>
      <c r="C17999" s="3">
        <v>44525.898194444446</v>
      </c>
      <c r="D17999" s="1" t="s">
        <v>35190</v>
      </c>
      <c r="E17999" s="4" t="str">
        <f ca="1">IFERROR(__xludf.DUMMYFUNCTION("GOOGLETRANSLATE(A802 , ""tr"" , ""en"")"),"@drfahrettinkoca @vedatbilgn is made of ready allocation while working in the #hbys tender with the patient information staff ... https://t.co/j1qf6y0htg")</f>
        <v>@drfahrettinkoca @vedatbilgn is made of ready allocation while working in the #hbys tender with the patient information staff ... https://t.co/j1qf6y0htg</v>
      </c>
    </row>
    <row r="18000" spans="1:5" ht="15" customHeight="1" x14ac:dyDescent="0.25">
      <c r="A18000" s="1" t="s">
        <v>35191</v>
      </c>
      <c r="B18000" s="1">
        <v>0</v>
      </c>
      <c r="C18000" s="3">
        <v>44525.897962962961</v>
      </c>
      <c r="D18000" s="1" t="s">
        <v>35192</v>
      </c>
      <c r="E18000" s="4" t="str">
        <f ca="1">IFERROR(__xludf.DUMMYFUNCTION("GOOGLETRANSLATE(A803 , ""tr"" , ""en"")"),"@drfahrettinkoca @vedatbilgn is made of ready allocation while running #hbys working in auction of the hospital with the personnel ... https://t.co/clf99ci7wb")</f>
        <v>@drfahrettinkoca @vedatbilgn is made of ready allocation while running #hbys working in auction of the hospital with the personnel ... https://t.co/clf99ci7wb</v>
      </c>
    </row>
    <row r="18001" spans="1:5" ht="15" customHeight="1" x14ac:dyDescent="0.25">
      <c r="A18001" s="1" t="s">
        <v>35193</v>
      </c>
      <c r="B18001" s="1">
        <v>1</v>
      </c>
      <c r="C18001" s="3">
        <v>44525.897824074076</v>
      </c>
      <c r="D18001" s="1" t="s">
        <v>35194</v>
      </c>
      <c r="E18001" s="4" t="str">
        <f ca="1">IFERROR(__xludf.DUMMYFUNCTION("GOOGLETRANSLATE(A804 , ""tr"" , ""en"")"),"@drfahrettinkoca @vedatbilgn is made of ready allocation while running #hbys in auction of hospital career personnel ... https://t.co/wuIst3hdqv")</f>
        <v>@drfahrettinkoca @vedatbilgn is made of ready allocation while running #hbys in auction of hospital career personnel ... https://t.co/wuIst3hdqv</v>
      </c>
    </row>
    <row r="18002" spans="1:5" ht="15" customHeight="1" x14ac:dyDescent="0.25">
      <c r="A18002" s="1" t="s">
        <v>35195</v>
      </c>
      <c r="B18002" s="1">
        <v>0</v>
      </c>
      <c r="C18002" s="3">
        <v>44525.897696759261</v>
      </c>
      <c r="D18002" s="1" t="s">
        <v>35196</v>
      </c>
      <c r="E18002" s="4" t="str">
        <f ca="1">IFERROR(__xludf.DUMMYFUNCTION("GOOGLETRANSLATE(A805 , ""tr"" , ""en"")"),"@drfahrettinkoca @vedatbilgn is made of ready allocation, while the hospital career personnel working in the #hbys tender ... https://t.co/cvxhhdasqu")</f>
        <v>@drfahrettinkoca @vedatbilgn is made of ready allocation, while the hospital career personnel working in the #hbys tender ... https://t.co/cvxhhdasqu</v>
      </c>
    </row>
    <row r="18003" spans="1:5" ht="15" customHeight="1" x14ac:dyDescent="0.25">
      <c r="A18003" s="1" t="s">
        <v>35197</v>
      </c>
      <c r="B18003" s="1">
        <v>0</v>
      </c>
      <c r="C18003" s="3">
        <v>44525.89744212963</v>
      </c>
      <c r="D18003" s="1" t="s">
        <v>35198</v>
      </c>
      <c r="E18003" s="4" t="str">
        <f ca="1">IFERROR(__xludf.DUMMYFUNCTION("GOOGLETRANSLATE(A806 , ""tr"" , ""en"")"),"@drfahrettinkoca @vedatbilgn is ready allocation while running #hbys working in auction with the personnel personnel ... https://t.co/tzjljkbvv8")</f>
        <v>@drfahrettinkoca @vedatbilgn is ready allocation while running #hbys working in auction with the personnel personnel ... https://t.co/tzjljkbvv8</v>
      </c>
    </row>
    <row r="18004" spans="1:5" ht="15" customHeight="1" x14ac:dyDescent="0.25">
      <c r="A18004" s="1" t="s">
        <v>35199</v>
      </c>
      <c r="B18004" s="1">
        <v>0</v>
      </c>
      <c r="C18004" s="3">
        <v>44525.897407407407</v>
      </c>
      <c r="D18004" s="1" t="s">
        <v>35200</v>
      </c>
      <c r="E18004" s="4" t="str">
        <f ca="1">IFERROR(__xludf.DUMMYFUNCTION("GOOGLETRANSLATE(A807 , ""tr"" , ""en"")"),"@drfahrettinkoca @vedatbilgn, while the ready allocation of @vedatbilgn is running in the bundle of the hospital in the tender ... https://t.co/vviokplv5q")</f>
        <v>@drfahrettinkoca @vedatbilgn, while the ready allocation of @vedatbilgn is running in the bundle of the hospital in the tender ... https://t.co/vviokplv5q</v>
      </c>
    </row>
    <row r="18005" spans="1:5" ht="15" customHeight="1" x14ac:dyDescent="0.25">
      <c r="A18005" s="1" t="s">
        <v>35201</v>
      </c>
      <c r="B18005" s="1">
        <v>0</v>
      </c>
      <c r="C18005" s="3">
        <v>44539.982245370367</v>
      </c>
      <c r="D18005" s="1" t="s">
        <v>35202</v>
      </c>
      <c r="E18005" s="4" t="str">
        <f ca="1">IFERROR(__xludf.DUMMYFUNCTION("GOOGLETRANSLATE(A808 , ""tr"" , ""en"")"),"@drfahrettinka https://t.co/juow6bortx")</f>
        <v>@drfahrettinka https://t.co/juow6bortx</v>
      </c>
    </row>
    <row r="18006" spans="1:5" ht="15" customHeight="1" x14ac:dyDescent="0.25">
      <c r="A18006" s="1" t="s">
        <v>35203</v>
      </c>
      <c r="B18006" s="1">
        <v>0</v>
      </c>
      <c r="C18006" s="3">
        <v>44539.901898148149</v>
      </c>
      <c r="D18006" s="1" t="s">
        <v>35204</v>
      </c>
      <c r="E18006" s="4" t="str">
        <f ca="1">IFERROR(__xludf.DUMMYFUNCTION("GOOGLETRANSLATE(A809 , ""tr"" , ""en"")"),"@drfahrettinkoca Mr. Ministry of Ankara City Hospital If you are examined at Ankara City Hospital, find the second day to the end of the day ... https://t.co/cjwzkzmp0l")</f>
        <v>@drfahrettinkoca Mr. Ministry of Ankara City Hospital If you are examined at Ankara City Hospital, find the second day to the end of the day ... https://t.co/cjwzkzmp0l</v>
      </c>
    </row>
    <row r="18007" spans="1:5" ht="15" customHeight="1" x14ac:dyDescent="0.25">
      <c r="A18007" s="1" t="s">
        <v>35205</v>
      </c>
      <c r="B18007" s="1">
        <v>0</v>
      </c>
      <c r="C18007" s="3">
        <v>44539.89162037037</v>
      </c>
      <c r="D18007" s="1" t="s">
        <v>35206</v>
      </c>
      <c r="E18007" s="4" t="str">
        <f ca="1">IFERROR(__xludf.DUMMYFUNCTION("GOOGLETRANSLATE(A810 , ""tr"" , ""en"")"),"Will @drfahrettinkoca will be granted to those who appointed as 4b ???")</f>
        <v>Will @drfahrettinkoca will be granted to those who appointed as 4b ???</v>
      </c>
    </row>
    <row r="18008" spans="1:5" ht="15" customHeight="1" x14ac:dyDescent="0.25">
      <c r="A18008" s="1" t="s">
        <v>35207</v>
      </c>
      <c r="B18008" s="1">
        <v>0</v>
      </c>
      <c r="C18008" s="3">
        <v>44539.890682870369</v>
      </c>
      <c r="D18008" s="1" t="s">
        <v>35208</v>
      </c>
      <c r="E18008" s="4" t="str">
        <f ca="1">IFERROR(__xludf.DUMMYFUNCTION("GOOGLETRANSLATE(A811 , ""tr"" , ""en"")"),"@drfahrettinkoca @ mehmetceyhan23 You sign the bad jobs https://t.co/jovpwn1h9x")</f>
        <v>@drfahrettinkoca @ mehmetceyhan23 You sign the bad jobs https://t.co/jovpwn1h9x</v>
      </c>
    </row>
    <row r="18009" spans="1:5" ht="15" customHeight="1" x14ac:dyDescent="0.25">
      <c r="A18009" s="1" t="s">
        <v>35209</v>
      </c>
      <c r="B18009" s="1">
        <v>0</v>
      </c>
      <c r="C18009" s="3">
        <v>44539.883715277778</v>
      </c>
      <c r="D18009" s="1" t="s">
        <v>35210</v>
      </c>
      <c r="E18009" s="4" t="str">
        <f ca="1">IFERROR(__xludf.DUMMYFUNCTION("GOOGLETRANSLATE(A812 , ""tr"" , ""en"")"),"@drfahrettinkoca Hitherte Bass Bass Yelling Corona Test I will be free in State Hospitals What 00.05 i ... https://t.co/wyjtzhrrwq")</f>
        <v>@drfahrettinkoca Hitherte Bass Bass Yelling Corona Test I will be free in State Hospitals What 00.05 i ... https://t.co/wyjtzhrrwq</v>
      </c>
    </row>
    <row r="18010" spans="1:5" ht="15" customHeight="1" x14ac:dyDescent="0.25">
      <c r="A18010" s="1" t="s">
        <v>35211</v>
      </c>
      <c r="B18010" s="1">
        <v>0</v>
      </c>
      <c r="C18010" s="3">
        <v>44539.879351851851</v>
      </c>
      <c r="D18010" s="1" t="s">
        <v>35212</v>
      </c>
      <c r="E18010" s="4" t="str">
        <f ca="1">IFERROR(__xludf.DUMMYFUNCTION("GOOGLETRANSLATE(A813 , ""tr"" , ""en"")"),"@drfahrettinkoca: The epidemic has been watched with similar daily cases of cases in the last 6 weeks. Sudden increases seen in Europe Country ... https://t.co/2hvdijhbot")</f>
        <v>@drfahrettinkoca: The epidemic has been watched with similar daily cases of cases in the last 6 weeks. Sudden increases seen in Europe Country ... https://t.co/2hvdijhbot</v>
      </c>
    </row>
    <row r="18011" spans="1:5" ht="15" customHeight="1" x14ac:dyDescent="0.25">
      <c r="A18011" s="1" t="s">
        <v>35213</v>
      </c>
      <c r="B18011" s="1">
        <v>0</v>
      </c>
      <c r="C18011" s="3">
        <v>44539.863506944443</v>
      </c>
      <c r="D18011" s="1" t="s">
        <v>35214</v>
      </c>
      <c r="E18011" s="4" t="str">
        <f ca="1">IFERROR(__xludf.DUMMYFUNCTION("GOOGLETRANSLATE(A814 , ""tr"" , ""en"")"),"@drfahrettinka https://t.co/7v3m0hgl2z")</f>
        <v>@drfahrettinka https://t.co/7v3m0hgl2z</v>
      </c>
    </row>
    <row r="18012" spans="1:5" ht="15" customHeight="1" x14ac:dyDescent="0.25">
      <c r="A18012" s="1" t="s">
        <v>35215</v>
      </c>
      <c r="B18012" s="1">
        <v>0</v>
      </c>
      <c r="C18012" s="3">
        <v>44539.863402777781</v>
      </c>
      <c r="D18012" s="1" t="s">
        <v>35216</v>
      </c>
      <c r="E18012" s="4" t="str">
        <f ca="1">IFERROR(__xludf.DUMMYFUNCTION("GOOGLETRANSLATE(A815 , ""tr"" , ""en"")"),"@drfahrettinkoca Why don't you do dose over 18 years of age, what do you expect? We understood the vaccine contrast to an investment ... https://t.co/csonlxj2rc")</f>
        <v>@drfahrettinkoca Why don't you do dose over 18 years of age, what do you expect? We understood the vaccine contrast to an investment ... https://t.co/csonlxj2rc</v>
      </c>
    </row>
    <row r="18013" spans="1:5" ht="15" customHeight="1" x14ac:dyDescent="0.25">
      <c r="A18013" s="1" t="s">
        <v>35217</v>
      </c>
      <c r="B18013" s="1">
        <v>2</v>
      </c>
      <c r="C18013" s="3">
        <v>44539.847071759257</v>
      </c>
      <c r="D18013" s="1" t="s">
        <v>35218</v>
      </c>
      <c r="E18013" s="4" t="str">
        <f ca="1">IFERROR(__xludf.DUMMYFUNCTION("GOOGLETRANSLATE(A816 , ""tr"" , ""en"")"),"@drfahrettinkoca What are we waiting for? #Acilonlineegitim #kabineomicrongongelmedonline # kabineuzaktanevitimsart ... https://t.co/qhgwcyeqoz")</f>
        <v>@drfahrettinkoca What are we waiting for? #Acilonlineegitim #kabineomicrongongelmedonline # kabineuzaktanevitimsart ... https://t.co/qhgwcyeqoz</v>
      </c>
    </row>
    <row r="18014" spans="1:5" ht="15" customHeight="1" x14ac:dyDescent="0.25">
      <c r="A18014" s="1" t="s">
        <v>35219</v>
      </c>
      <c r="B18014" s="1">
        <v>0</v>
      </c>
      <c r="C18014" s="3">
        <v>44539.843194444446</v>
      </c>
      <c r="D18014" s="1" t="s">
        <v>35220</v>
      </c>
      <c r="E18014" s="4" t="str">
        <f ca="1">IFERROR(__xludf.DUMMYFUNCTION("GOOGLETRANSLATE(A817 , ""tr"" , ""en"")"),"@drfahrettinkoca @saglikbakanligi @sagayı @Azizalperbiten @Alileldemir @halileldemir @Alileldemir @drtolgatolunay 40 thousand staff buy ... https://t.co/p7btx0zcur")</f>
        <v>@drfahrettinkoca @saglikbakanligi @sagayı @Azizalperbiten @Alileldemir @halileldemir @Alileldemir @drtolgatolunay 40 thousand staff buy ... https://t.co/p7btx0zcur</v>
      </c>
    </row>
    <row r="18015" spans="1:5" ht="15" customHeight="1" x14ac:dyDescent="0.25">
      <c r="A18015" s="1" t="s">
        <v>35221</v>
      </c>
      <c r="B18015" s="1">
        <v>0</v>
      </c>
      <c r="C18015" s="3">
        <v>44539.838807870372</v>
      </c>
      <c r="D18015" s="1" t="s">
        <v>35222</v>
      </c>
      <c r="E18015" s="4" t="str">
        <f ca="1">IFERROR(__xludf.DUMMYFUNCTION("GOOGLETRANSLATE(A818 , ""tr"" , ""en"")"),"@drfahrettinkoca @saglikbakanligi @vedatbilgn @Akparti @rterdogan @nureddinnebati @tcbestepe Health Workers Workers ... https://t.co/rubbk6z4yz")</f>
        <v>@drfahrettinkoca @saglikbakanligi @vedatbilgn @Akparti @rterdogan @nureddinnebati @tcbestepe Health Workers Workers ... https://t.co/rubbk6z4yz</v>
      </c>
    </row>
    <row r="18016" spans="1:5" ht="15" customHeight="1" x14ac:dyDescent="0.25">
      <c r="A18016" s="1" t="s">
        <v>35223</v>
      </c>
      <c r="B18016" s="1">
        <v>0</v>
      </c>
      <c r="C18016" s="3">
        <v>44539.821469907409</v>
      </c>
      <c r="D18016" s="1" t="s">
        <v>35224</v>
      </c>
      <c r="E18016" s="4" t="str">
        <f ca="1">IFERROR(__xludf.DUMMYFUNCTION("GOOGLETRANSLATE(A819 , ""tr"" , ""en"")"),"@drfahrettinkoca @rterdogan Who more tags ❗❗❗️❗️ https://t.co/nhlgjbvINZ")</f>
        <v>@drfahrettinkoca @rterdogan Who more tags ❗❗❗️❗️ https://t.co/nhlgjbvINZ</v>
      </c>
    </row>
    <row r="18017" spans="1:5" ht="15" customHeight="1" x14ac:dyDescent="0.25">
      <c r="A18017" s="1" t="s">
        <v>35225</v>
      </c>
      <c r="B18017" s="1">
        <v>0</v>
      </c>
      <c r="C18017" s="3">
        <v>44539.819722222222</v>
      </c>
      <c r="D18017" s="1" t="s">
        <v>35226</v>
      </c>
      <c r="E18017" s="4" t="str">
        <f ca="1">IFERROR(__xludf.DUMMYFUNCTION("GOOGLETRANSLATE(A820 , ""tr"" , ""en"")"),"@drfahrettinkoca people are on the street, in the field, in the steering wheel attack. Increased after the liquid named vaccine ... https://t.co/looweIPDBD")</f>
        <v>@drfahrettinkoca people are on the street, in the field, in the steering wheel attack. Increased after the liquid named vaccine ... https://t.co/looweIPDBD</v>
      </c>
    </row>
    <row r="18018" spans="1:5" ht="15" customHeight="1" x14ac:dyDescent="0.25">
      <c r="A18018" s="1" t="s">
        <v>35227</v>
      </c>
      <c r="B18018" s="1">
        <v>0</v>
      </c>
      <c r="C18018" s="3">
        <v>44539.790370370371</v>
      </c>
      <c r="D18018" s="1" t="s">
        <v>35228</v>
      </c>
      <c r="E18018" s="4" t="str">
        <f ca="1">IFERROR(__xludf.DUMMYFUNCTION("GOOGLETRANSLATE(A821 , ""tr"" , ""en"")"),"@drfahrettinkoca Did you get Reis permission to make an explanation? No one can talk without permission from the long man. https://t.co/gbgoh4mqrt")</f>
        <v>@drfahrettinkoca Did you get Reis permission to make an explanation? No one can talk without permission from the long man. https://t.co/gbgoh4mqrt</v>
      </c>
    </row>
    <row r="18019" spans="1:5" ht="15" customHeight="1" x14ac:dyDescent="0.25">
      <c r="A18019" s="1" t="s">
        <v>35229</v>
      </c>
      <c r="B18019" s="1">
        <v>3</v>
      </c>
      <c r="C18019" s="3">
        <v>44539.789409722223</v>
      </c>
      <c r="D18019" s="1" t="s">
        <v>35230</v>
      </c>
      <c r="E18019" s="4" t="str">
        <f ca="1">IFERROR(__xludf.DUMMYFUNCTION("GOOGLETRANSLATE(A822 , ""tr"" , ""en"")"),"@drfahrettinkoca # fkocayakilavuzyaistifa")</f>
        <v>@drfahrettinkoca # fkocayakilavuzyaistifa</v>
      </c>
    </row>
    <row r="18020" spans="1:5" ht="15" customHeight="1" x14ac:dyDescent="0.25">
      <c r="A18020" s="1" t="s">
        <v>35231</v>
      </c>
      <c r="B18020" s="1">
        <v>0</v>
      </c>
      <c r="C18020" s="3">
        <v>44539.777372685188</v>
      </c>
      <c r="D18020" s="1" t="s">
        <v>35232</v>
      </c>
      <c r="E18020" s="4" t="str">
        <f ca="1">IFERROR(__xludf.DUMMYFUNCTION("GOOGLETRANSLATE(A823 , ""tr"" , ""en"")"),"@drfahrettinka https://t.co/3jpspjn7sl")</f>
        <v>@drfahrettinka https://t.co/3jpspjn7sl</v>
      </c>
    </row>
    <row r="18021" spans="1:5" ht="15" customHeight="1" x14ac:dyDescent="0.25">
      <c r="A18021" s="1" t="s">
        <v>35233</v>
      </c>
      <c r="B18021" s="1">
        <v>0</v>
      </c>
      <c r="C18021" s="3">
        <v>44539.759652777779</v>
      </c>
      <c r="D18021" s="1" t="s">
        <v>35234</v>
      </c>
      <c r="E18021" s="4" t="str">
        <f ca="1">IFERROR(__xludf.DUMMYFUNCTION("GOOGLETRANSLATE(A824 , ""tr"" , ""en"")"),"@drfahrettinkoca I hate the name I hope 2022 I don't hear such a name ... # fkocayakilavuzyaistifa")</f>
        <v>@drfahrettinkoca I hate the name I hope 2022 I don't hear such a name ... # fkocayakilavuzyaistifa</v>
      </c>
    </row>
    <row r="18022" spans="1:5" ht="15" customHeight="1" x14ac:dyDescent="0.25">
      <c r="A18022" s="1" t="s">
        <v>35235</v>
      </c>
      <c r="B18022" s="1">
        <v>0</v>
      </c>
      <c r="C18022" s="3">
        <v>44539.75917824074</v>
      </c>
      <c r="D18022" s="1" t="s">
        <v>35236</v>
      </c>
      <c r="E18022" s="4" t="str">
        <f ca="1">IFERROR(__xludf.DUMMYFUNCTION("GOOGLETRANSLATE(A825 , ""tr"" , ""en"")"),"@drfahrettinkoca Mr. Minister Izmir Provincial Health Directorate Izmir Karsiyaka Mouth and Dental Health Center What Appointment ... https://t.co/u4jnzzkrxi")</f>
        <v>@drfahrettinkoca Mr. Minister Izmir Provincial Health Directorate Izmir Karsiyaka Mouth and Dental Health Center What Appointment ... https://t.co/u4jnzzkrxi</v>
      </c>
    </row>
    <row r="18023" spans="1:5" ht="15" customHeight="1" x14ac:dyDescent="0.25">
      <c r="A18023" s="1" t="s">
        <v>35237</v>
      </c>
      <c r="B18023" s="1">
        <v>0</v>
      </c>
      <c r="C18023" s="3">
        <v>44539.752754629626</v>
      </c>
      <c r="D18023" s="1" t="s">
        <v>35238</v>
      </c>
      <c r="E18023" s="4" t="str">
        <f ca="1">IFERROR(__xludf.DUMMYFUNCTION("GOOGLETRANSLATE(A826 , ""tr"" , ""en"")"),"@drfahrettinkoca Ministry of Health Workers What has been appointed")</f>
        <v>@drfahrettinkoca Ministry of Health Workers What has been appointed</v>
      </c>
    </row>
    <row r="18024" spans="1:5" ht="15" customHeight="1" x14ac:dyDescent="0.25">
      <c r="A18024" s="1" t="s">
        <v>35239</v>
      </c>
      <c r="B18024" s="1">
        <v>0</v>
      </c>
      <c r="C18024" s="3">
        <v>44539.751747685186</v>
      </c>
      <c r="D18024" s="1" t="s">
        <v>35240</v>
      </c>
      <c r="E18024" s="4" t="str">
        <f ca="1">IFERROR(__xludf.DUMMYFUNCTION("GOOGLETRANSLATE(A827 , ""tr"" , ""en"")"),"@drfahrettinkoca Give your guide and give your resignation petition if possible :) # fkocayakilavuzyaistifa")</f>
        <v>@drfahrettinkoca Give your guide and give your resignation petition if possible :) # fkocayakilavuzyaistifa</v>
      </c>
    </row>
    <row r="18025" spans="1:5" ht="15" customHeight="1" x14ac:dyDescent="0.25">
      <c r="A18025" s="1" t="s">
        <v>35241</v>
      </c>
      <c r="B18025" s="1">
        <v>1</v>
      </c>
      <c r="C18025" s="3">
        <v>44539.745081018518</v>
      </c>
      <c r="D18025" s="1" t="s">
        <v>35242</v>
      </c>
      <c r="E18025" s="4" t="str">
        <f ca="1">IFERROR(__xludf.DUMMYFUNCTION("GOOGLETRANSLATE(A828 , ""tr"" , ""en"")"),"@drfahrettinkoca is the minister that you are stuck. Don't buy all these teenagers anymore. # Fkocayakilavuzyaistifa")</f>
        <v>@drfahrettinkoca is the minister that you are stuck. Don't buy all these teenagers anymore. # Fkocayakilavuzyaistifa</v>
      </c>
    </row>
    <row r="18026" spans="1:5" ht="15" customHeight="1" x14ac:dyDescent="0.25">
      <c r="A18026" s="1" t="s">
        <v>35243</v>
      </c>
      <c r="B18026" s="1">
        <v>1</v>
      </c>
      <c r="C18026" s="3">
        <v>44539.739791666667</v>
      </c>
      <c r="D18026" s="1" t="s">
        <v>35244</v>
      </c>
      <c r="E18026" s="4" t="str">
        <f ca="1">IFERROR(__xludf.DUMMYFUNCTION("GOOGLETRANSLATE(A829 , ""tr"" , ""en"")"),"@drfahrettinkoca @rterdogan https://t.co/afrrbkbtfo")</f>
        <v>@drfahrettinkoca @rterdogan https://t.co/afrrbkbtfo</v>
      </c>
    </row>
    <row r="18027" spans="1:5" ht="15" customHeight="1" x14ac:dyDescent="0.25">
      <c r="A18027" s="1" t="s">
        <v>35245</v>
      </c>
      <c r="B18027" s="1">
        <v>0</v>
      </c>
      <c r="C18027" s="3">
        <v>44539.727650462963</v>
      </c>
      <c r="D18027" s="1" t="s">
        <v>35246</v>
      </c>
      <c r="E18027" s="4" t="str">
        <f ca="1">IFERROR(__xludf.DUMMYFUNCTION("GOOGLETRANSLATE(A830 , ""tr"" , ""en"")"),"@drfahrettinkoca @saglikbakanligi What are you expecting to be @agricaster? 😓😞😡 https://t.co/dogn2s9xzz")</f>
        <v>@drfahrettinkoca @saglikbakanligi What are you expecting to be @agricaster? 😓😞😡 https://t.co/dogn2s9xzz</v>
      </c>
    </row>
    <row r="18028" spans="1:5" ht="15" customHeight="1" x14ac:dyDescent="0.25">
      <c r="A18028" s="1" t="s">
        <v>35229</v>
      </c>
      <c r="B18028" s="1">
        <v>0</v>
      </c>
      <c r="C18028" s="3">
        <v>44539.727210648147</v>
      </c>
      <c r="D18028" s="1" t="s">
        <v>35247</v>
      </c>
      <c r="E18028" s="4" t="str">
        <f ca="1">IFERROR(__xludf.DUMMYFUNCTION("GOOGLETRANSLATE(A831 , ""tr"" , ""en"")"),"@drfahrettinkoca # fkocayakilavuzyaistifa")</f>
        <v>@drfahrettinkoca # fkocayakilavuzyaistifa</v>
      </c>
    </row>
    <row r="18029" spans="1:5" ht="15" customHeight="1" x14ac:dyDescent="0.25">
      <c r="A18029" s="1" t="s">
        <v>35248</v>
      </c>
      <c r="B18029" s="1">
        <v>0</v>
      </c>
      <c r="C18029" s="3">
        <v>44539.718194444446</v>
      </c>
      <c r="D18029" s="1" t="s">
        <v>35249</v>
      </c>
      <c r="E18029" s="4" t="str">
        <f ca="1">IFERROR(__xludf.DUMMYFUNCTION("GOOGLETRANSLATE(A832 , ""tr"" , ""en"")"),"@drfahrettinka https://t.co/lelqjbpya7")</f>
        <v>@drfahrettinka https://t.co/lelqjbpya7</v>
      </c>
    </row>
    <row r="18030" spans="1:5" ht="15" customHeight="1" x14ac:dyDescent="0.25">
      <c r="A18030" s="1" t="s">
        <v>35250</v>
      </c>
      <c r="B18030" s="1">
        <v>0</v>
      </c>
      <c r="C18030" s="3">
        <v>44539.715682870374</v>
      </c>
      <c r="D18030" s="1" t="s">
        <v>35251</v>
      </c>
      <c r="E18030" s="4" t="str">
        <f ca="1">IFERROR(__xludf.DUMMYFUNCTION("GOOGLETRANSLATE(A833 , ""tr"" , ""en"")"),"@drfahrettinkoca @rterdogan # fkocayakilavuzyaistifa")</f>
        <v>@drfahrettinkoca @rterdogan # fkocayakilavuzyaistifa</v>
      </c>
    </row>
    <row r="18031" spans="1:5" ht="15" customHeight="1" x14ac:dyDescent="0.25">
      <c r="A18031" s="1" t="s">
        <v>35252</v>
      </c>
      <c r="B18031" s="1">
        <v>1</v>
      </c>
      <c r="C18031" s="3">
        <v>44539.7108912037</v>
      </c>
      <c r="D18031" s="1" t="s">
        <v>35253</v>
      </c>
      <c r="E18031" s="4" t="str">
        <f ca="1">IFERROR(__xludf.DUMMYFUNCTION("GOOGLETRANSLATE(A834 , ""tr"" , ""en"")"),"@drfahrettinkoca # fkocayakilavuzyaistifa")</f>
        <v>@drfahrettinkoca # fkocayakilavuzyaistifa</v>
      </c>
    </row>
    <row r="18032" spans="1:5" ht="15" customHeight="1" x14ac:dyDescent="0.25">
      <c r="A18032" s="1" t="s">
        <v>35250</v>
      </c>
      <c r="B18032" s="1">
        <v>1</v>
      </c>
      <c r="C18032" s="3">
        <v>44539.710601851853</v>
      </c>
      <c r="D18032" s="1" t="s">
        <v>35254</v>
      </c>
      <c r="E18032" s="4" t="str">
        <f ca="1">IFERROR(__xludf.DUMMYFUNCTION("GOOGLETRANSLATE(A835 , ""tr"" , ""en"")"),"@drfahrettinkoca @rterdogan # fkocayakilavuzyaistifa")</f>
        <v>@drfahrettinkoca @rterdogan # fkocayakilavuzyaistifa</v>
      </c>
    </row>
    <row r="18033" spans="1:5" ht="15" customHeight="1" x14ac:dyDescent="0.25">
      <c r="A18033" s="1" t="s">
        <v>35229</v>
      </c>
      <c r="B18033" s="1">
        <v>4</v>
      </c>
      <c r="C18033" s="3">
        <v>44539.70385416667</v>
      </c>
      <c r="D18033" s="1" t="s">
        <v>35255</v>
      </c>
      <c r="E18033" s="4" t="str">
        <f ca="1">IFERROR(__xludf.DUMMYFUNCTION("GOOGLETRANSLATE(A836 , ""tr"" , ""en"")"),"@drfahrettinkoca # fkocayakilavuzyaistifa")</f>
        <v>@drfahrettinkoca # fkocayakilavuzyaistifa</v>
      </c>
    </row>
    <row r="18034" spans="1:5" ht="15" customHeight="1" x14ac:dyDescent="0.25">
      <c r="A18034" s="1" t="s">
        <v>35256</v>
      </c>
      <c r="B18034" s="1">
        <v>0</v>
      </c>
      <c r="C18034" s="3">
        <v>44539.701944444445</v>
      </c>
      <c r="D18034" s="1" t="s">
        <v>35257</v>
      </c>
      <c r="E18034" s="4" t="str">
        <f ca="1">IFERROR(__xludf.DUMMYFUNCTION("GOOGLETRANSLATE(A837 , ""tr"" , ""en"")"),"@drfahrettinkoca @rterdogan @saglikbakanligi https://t.co/swethcesr")</f>
        <v>@drfahrettinkoca @rterdogan @saglikbakanligi https://t.co/swethcesr</v>
      </c>
    </row>
    <row r="18035" spans="1:5" ht="15" customHeight="1" x14ac:dyDescent="0.25">
      <c r="A18035" s="1" t="s">
        <v>35258</v>
      </c>
      <c r="B18035" s="1">
        <v>0</v>
      </c>
      <c r="C18035" s="3">
        <v>44539.694039351853</v>
      </c>
      <c r="D18035" s="1" t="s">
        <v>35259</v>
      </c>
      <c r="E18035" s="4" t="str">
        <f ca="1">IFERROR(__xludf.DUMMYFUNCTION("GOOGLETRANSLATE(A838 , ""tr"" , ""en"")"),"@drfahrettinka Mr. Health The Ministry of Health is entering the mall a lot of people in the outside of the people ... https://t.co/DOIJXWnPF3")</f>
        <v>@drfahrettinka Mr. Health The Ministry of Health is entering the mall a lot of people in the outside of the people ... https://t.co/DOIJXWnPF3</v>
      </c>
    </row>
    <row r="18036" spans="1:5" ht="15" customHeight="1" x14ac:dyDescent="0.25">
      <c r="A18036" s="1" t="s">
        <v>35260</v>
      </c>
      <c r="B18036" s="1">
        <v>0</v>
      </c>
      <c r="C18036" s="3">
        <v>44539.692175925928</v>
      </c>
      <c r="D18036" s="1" t="s">
        <v>35261</v>
      </c>
      <c r="E18036" s="4" t="str">
        <f ca="1">IFERROR(__xludf.DUMMYFUNCTION("GOOGLETRANSLATE(A839 , ""tr"" , ""en"")"),"@drfahrettinkoca @saglikbakanligi today Aydın State Hospital is the pain. Amazingly clean, a hygiene-filled environment. https://t.co/537blv4mts")</f>
        <v>@drfahrettinkoca @saglikbakanligi today Aydın State Hospital is the pain. Amazingly clean, a hygiene-filled environment. https://t.co/537blv4mts</v>
      </c>
    </row>
    <row r="18037" spans="1:5" ht="15" customHeight="1" x14ac:dyDescent="0.25">
      <c r="A18037" s="1" t="s">
        <v>35262</v>
      </c>
      <c r="B18037" s="1">
        <v>1</v>
      </c>
      <c r="C18037" s="3">
        <v>44539.689895833333</v>
      </c>
      <c r="D18037" s="1" t="s">
        <v>35263</v>
      </c>
      <c r="E18037" s="4" t="str">
        <f ca="1">IFERROR(__xludf.DUMMYFUNCTION("GOOGLETRANSLATE(A840 , ""tr"" , ""en"")"),"@drfahrettinkoca @osymbaskanligi # fkocayakilavuzyaistifa")</f>
        <v>@drfahrettinkoca @osymbaskanligi # fkocayakilavuzyaistifa</v>
      </c>
    </row>
    <row r="18038" spans="1:5" ht="15" customHeight="1" x14ac:dyDescent="0.25">
      <c r="A18038" s="1" t="s">
        <v>35264</v>
      </c>
      <c r="B18038" s="1">
        <v>2</v>
      </c>
      <c r="C18038" s="3">
        <v>44539.683217592596</v>
      </c>
      <c r="D18038" s="1" t="s">
        <v>35265</v>
      </c>
      <c r="E18038" s="4" t="str">
        <f ca="1">IFERROR(__xludf.DUMMYFUNCTION("GOOGLETRANSLATE(A841 , ""tr"" , ""en"")"),"@drfahrettinka Minister Is it hot or Cold Say him Bari")</f>
        <v>@drfahrettinka Minister Is it hot or Cold Say him Bari</v>
      </c>
    </row>
    <row r="18039" spans="1:5" ht="15" customHeight="1" x14ac:dyDescent="0.25">
      <c r="A18039" s="1" t="s">
        <v>35266</v>
      </c>
      <c r="B18039" s="1">
        <v>1</v>
      </c>
      <c r="C18039" s="3">
        <v>44539.671481481484</v>
      </c>
      <c r="D18039" s="1" t="s">
        <v>35267</v>
      </c>
      <c r="E18039" s="4" t="str">
        <f ca="1">IFERROR(__xludf.DUMMYFUNCTION("GOOGLETRANSLATE(A842 , ""tr"" , ""en"")"),"@drfahrettinkoca #türkiyned")</f>
        <v>@drfahrettinkoca #türkiyned</v>
      </c>
    </row>
    <row r="18040" spans="1:5" ht="15" customHeight="1" x14ac:dyDescent="0.25">
      <c r="A18040" s="1" t="s">
        <v>35268</v>
      </c>
      <c r="B18040" s="1">
        <v>0</v>
      </c>
      <c r="C18040" s="3">
        <v>44539.659675925926</v>
      </c>
      <c r="D18040" s="1" t="s">
        <v>35269</v>
      </c>
      <c r="E18040" s="4" t="str">
        <f ca="1">IFERROR(__xludf.DUMMYFUNCTION("GOOGLETRANSLATE(A843 , ""tr"" , ""en"")"),"@drfahrettinkoca Health system is like this is free. Bursa City Hospital Sleeping Date for Surgery ... https://t.co/iamngq3u9g")</f>
        <v>@drfahrettinkoca Health system is like this is free. Bursa City Hospital Sleeping Date for Surgery ... https://t.co/iamngq3u9g</v>
      </c>
    </row>
    <row r="18041" spans="1:5" ht="15" customHeight="1" x14ac:dyDescent="0.25">
      <c r="A18041" s="1" t="s">
        <v>35270</v>
      </c>
      <c r="B18041" s="1">
        <v>4</v>
      </c>
      <c r="C18041" s="3">
        <v>44539.648263888892</v>
      </c>
      <c r="D18041" s="1" t="s">
        <v>35271</v>
      </c>
      <c r="E18041" s="4" t="str">
        <f ca="1">IFERROR(__xludf.DUMMYFUNCTION("GOOGLETRANSLATE(A844 , ""tr"" , ""en"")"),"@drfahrettinkoca # fkocayakilavuzyaistifa https://t.co/eny5vkmr3x")</f>
        <v>@drfahrettinkoca # fkocayakilavuzyaistifa https://t.co/eny5vkmr3x</v>
      </c>
    </row>
    <row r="18042" spans="1:5" ht="15" customHeight="1" x14ac:dyDescent="0.25">
      <c r="A18042" s="1" t="s">
        <v>35272</v>
      </c>
      <c r="B18042" s="1">
        <v>0</v>
      </c>
      <c r="C18042" s="3">
        <v>44539.64570601852</v>
      </c>
      <c r="D18042" s="1" t="s">
        <v>35273</v>
      </c>
      <c r="E18042" s="4" t="str">
        <f ca="1">IFERROR(__xludf.DUMMYFUNCTION("GOOGLETRANSLATE(A845 , ""tr"" , ""en"")"),"@drfahrettinkoca @mesutyar @saglikbakanligi Revolutionary Health Revolution You really make an appointment already hard bidet 1 A ... https://t.co/v5snerrvj7")</f>
        <v>@drfahrettinkoca @mesutyar @saglikbakanligi Revolutionary Health Revolution You really make an appointment already hard bidet 1 A ... https://t.co/v5snerrvj7</v>
      </c>
    </row>
    <row r="18043" spans="1:5" ht="15" customHeight="1" x14ac:dyDescent="0.25">
      <c r="A18043" s="1" t="s">
        <v>35274</v>
      </c>
      <c r="B18043" s="1">
        <v>1</v>
      </c>
      <c r="C18043" s="3">
        <v>44539.644097222219</v>
      </c>
      <c r="D18043" s="1" t="s">
        <v>35275</v>
      </c>
      <c r="E18043" s="4" t="str">
        <f ca="1">IFERROR(__xludf.DUMMYFUNCTION("GOOGLETRANSLATE(A846 , ""tr"" , ""en"")"),"@drfahrettinka https://t.co/xwctxhhgsb")</f>
        <v>@drfahrettinka https://t.co/xwctxhhgsb</v>
      </c>
    </row>
    <row r="18044" spans="1:5" ht="15" customHeight="1" x14ac:dyDescent="0.25">
      <c r="A18044" s="1" t="s">
        <v>35276</v>
      </c>
      <c r="B18044" s="1">
        <v>0</v>
      </c>
      <c r="C18044" s="3">
        <v>44539.639710648145</v>
      </c>
      <c r="D18044" s="1" t="s">
        <v>35277</v>
      </c>
      <c r="E18044" s="4" t="str">
        <f ca="1">IFERROR(__xludf.DUMMYFUNCTION("GOOGLETRANSLATE(A847 , ""tr"" , ""en"")"),"@drfahrettinka https://t.co/c5d0bfmclk")</f>
        <v>@drfahrettinka https://t.co/c5d0bfmclk</v>
      </c>
    </row>
    <row r="18045" spans="1:5" ht="15" customHeight="1" x14ac:dyDescent="0.25">
      <c r="A18045" s="1" t="s">
        <v>35278</v>
      </c>
      <c r="B18045" s="1">
        <v>2</v>
      </c>
      <c r="C18045" s="3">
        <v>44539.637812499997</v>
      </c>
      <c r="D18045" s="1" t="s">
        <v>35279</v>
      </c>
      <c r="E18045" s="4" t="str">
        <f ca="1">IFERROR(__xludf.DUMMYFUNCTION("GOOGLETRANSLATE(A848 , ""tr"" , ""en"")"),"@drfahrettinkoca center before assigning the guide you publish # fkocayakilavuzyaistifa")</f>
        <v>@drfahrettinkoca center before assigning the guide you publish # fkocayakilavuzyaistifa</v>
      </c>
    </row>
    <row r="18046" spans="1:5" ht="15" customHeight="1" x14ac:dyDescent="0.25">
      <c r="A18046" s="1" t="s">
        <v>35280</v>
      </c>
      <c r="B18046" s="1">
        <v>1</v>
      </c>
      <c r="C18046" s="3">
        <v>44539.634143518517</v>
      </c>
      <c r="D18046" s="1" t="s">
        <v>35281</v>
      </c>
      <c r="E18046" s="4" t="str">
        <f ca="1">IFERROR(__xludf.DUMMYFUNCTION("GOOGLETRANSLATE(A849 , ""tr"" , ""en"")"),"@drfahrettinkoca # fkocayakilavuzyaistifa https://t.co/f2nn2wtqpm")</f>
        <v>@drfahrettinkoca # fkocayakilavuzyaistifa https://t.co/f2nn2wtqpm</v>
      </c>
    </row>
    <row r="18047" spans="1:5" ht="15" customHeight="1" x14ac:dyDescent="0.25">
      <c r="A18047" s="1" t="s">
        <v>35282</v>
      </c>
      <c r="B18047" s="1">
        <v>1</v>
      </c>
      <c r="C18047" s="3">
        <v>44539.629849537036</v>
      </c>
      <c r="D18047" s="1" t="s">
        <v>35283</v>
      </c>
      <c r="E18047" s="4" t="str">
        <f ca="1">IFERROR(__xludf.DUMMYFUNCTION("GOOGLETRANSLATE(A850 , ""tr"" , ""en"")"),"@drfahrettinkoca @osymbaskanligi @adalet_bakanlik @halis_aygun @hekimsensndk @diskamu @ dishygugu ... https://t.co/8QIXG10UPV")</f>
        <v>@drfahrettinkoca @osymbaskanligi @adalet_bakanlik @halis_aygun @hekimsensndk @diskamu @ dishygugu ... https://t.co/8QIXG10UPV</v>
      </c>
    </row>
    <row r="18048" spans="1:5" ht="15" customHeight="1" x14ac:dyDescent="0.25">
      <c r="A18048" s="1" t="s">
        <v>35284</v>
      </c>
      <c r="B18048" s="1">
        <v>0</v>
      </c>
      <c r="C18048" s="3">
        <v>44539.626875000002</v>
      </c>
      <c r="D18048" s="1" t="s">
        <v>35285</v>
      </c>
      <c r="E18048" s="4" t="str">
        <f ca="1">IFERROR(__xludf.DUMMYFUNCTION("GOOGLETRANSLATE(A851 , ""tr"" , ""en"")"),"@drfahrettinkoca we all know very well that this is real! Already having difficult times health laborers ... https://t.co/fpte5xaq0n")</f>
        <v>@drfahrettinkoca we all know very well that this is real! Already having difficult times health laborers ... https://t.co/fpte5xaq0n</v>
      </c>
    </row>
    <row r="18049" spans="1:5" ht="15" customHeight="1" x14ac:dyDescent="0.25">
      <c r="A18049" s="1" t="s">
        <v>35286</v>
      </c>
      <c r="B18049" s="1">
        <v>6</v>
      </c>
      <c r="C18049" s="3">
        <v>44539.620532407411</v>
      </c>
      <c r="D18049" s="1" t="s">
        <v>35287</v>
      </c>
      <c r="E18049" s="4" t="str">
        <f ca="1">IFERROR(__xludf.DUMMYFUNCTION("GOOGLETRANSLATE(A852 , ""tr"" , ""en"")"),"@drfahrettinkoca assignments when you will do when you will make the minister, we are waiting for the attestation we are waiting for it is enough YAHU!")</f>
        <v>@drfahrettinkoca assignments when you will do when you will make the minister, we are waiting for the attestation we are waiting for it is enough YAHU!</v>
      </c>
    </row>
    <row r="18050" spans="1:5" ht="15" customHeight="1" x14ac:dyDescent="0.25">
      <c r="A18050" s="1" t="s">
        <v>35288</v>
      </c>
      <c r="B18050" s="1">
        <v>11</v>
      </c>
      <c r="C18050" s="3">
        <v>44539.619432870371</v>
      </c>
      <c r="D18050" s="1" t="s">
        <v>35289</v>
      </c>
      <c r="E18050" s="4" t="str">
        <f ca="1">IFERROR(__xludf.DUMMYFUNCTION("GOOGLETRANSLATE(A853 , ""tr"" , ""en"")"),"@drfahrettinkoca assigning assignment pending friends is no longer and assigned to the fiscal depression if they are assigned ... https://t.co/sohp6gzwde")</f>
        <v>@drfahrettinkoca assigning assignment pending friends is no longer and assigned to the fiscal depression if they are assigned ... https://t.co/sohp6gzwde</v>
      </c>
    </row>
    <row r="18051" spans="1:5" ht="15" customHeight="1" x14ac:dyDescent="0.25">
      <c r="A18051" s="1" t="s">
        <v>35290</v>
      </c>
      <c r="B18051" s="1">
        <v>0</v>
      </c>
      <c r="C18051" s="3">
        <v>44539.618472222224</v>
      </c>
      <c r="D18051" s="1" t="s">
        <v>35291</v>
      </c>
      <c r="E18051" s="4" t="str">
        <f ca="1">IFERROR(__xludf.DUMMYFUNCTION("GOOGLETRANSLATE(A854 , ""tr"" , ""en"")"),"@drfahrettinka https://t.co/4h6othyrte")</f>
        <v>@drfahrettinka https://t.co/4h6othyrte</v>
      </c>
    </row>
    <row r="18052" spans="1:5" ht="15" customHeight="1" x14ac:dyDescent="0.25">
      <c r="A18052" s="1" t="s">
        <v>35292</v>
      </c>
      <c r="B18052" s="1">
        <v>0</v>
      </c>
      <c r="C18052" s="3">
        <v>44539.617569444446</v>
      </c>
      <c r="D18052" s="1" t="s">
        <v>35293</v>
      </c>
      <c r="E18052" s="4" t="str">
        <f ca="1">IFERROR(__xludf.DUMMYFUNCTION("GOOGLETRANSLATE(A855 , ""tr"" , ""en"")"),"@drfahrettinkoca third dose vaccines Nezamaz Olucaz Mr. Minister has passed 5 months over the last dose over 50 years old")</f>
        <v>@drfahrettinkoca third dose vaccines Nezamaz Olucaz Mr. Minister has passed 5 months over the last dose over 50 years old</v>
      </c>
    </row>
    <row r="18053" spans="1:5" ht="15" customHeight="1" x14ac:dyDescent="0.25">
      <c r="A18053" s="1" t="s">
        <v>35294</v>
      </c>
      <c r="B18053" s="1">
        <v>4</v>
      </c>
      <c r="C18053" s="3">
        <v>44539.61451388889</v>
      </c>
      <c r="D18053" s="1" t="s">
        <v>35295</v>
      </c>
      <c r="E18053" s="4" t="str">
        <f ca="1">IFERROR(__xludf.DUMMYFUNCTION("GOOGLETRANSLATE(A856 , ""tr"" , ""en"")"),"@drfahrettinkoca @halis_aygun @osymbaskanligi Dussonuclari Nezaman htaman https://t.co/tak6dxgnge")</f>
        <v>@drfahrettinkoca @halis_aygun @osymbaskanligi Dussonuclari Nezaman htaman https://t.co/tak6dxgnge</v>
      </c>
    </row>
    <row r="18054" spans="1:5" ht="15" customHeight="1" x14ac:dyDescent="0.25">
      <c r="A18054" s="1" t="s">
        <v>35296</v>
      </c>
      <c r="B18054" s="1">
        <v>0</v>
      </c>
      <c r="C18054" s="3">
        <v>44539.614490740743</v>
      </c>
      <c r="D18054" s="1" t="s">
        <v>35297</v>
      </c>
      <c r="E18054" s="4" t="str">
        <f ca="1">IFERROR(__xludf.DUMMYFUNCTION("GOOGLETRANSLATE(A857 , ""tr"" , ""en"")"),"@drfahrettinkoca. # SbmerkezaatamaoeClavuz")</f>
        <v>@drfahrettinkoca. # SbmerkezaatamaoeClavuz</v>
      </c>
    </row>
    <row r="18055" spans="1:5" ht="15" customHeight="1" x14ac:dyDescent="0.25">
      <c r="A18055" s="1" t="s">
        <v>35298</v>
      </c>
      <c r="B18055" s="1">
        <v>0</v>
      </c>
      <c r="C18055" s="3">
        <v>44539.612511574072</v>
      </c>
      <c r="D18055" s="1" t="s">
        <v>35299</v>
      </c>
      <c r="E18055" s="4" t="str">
        <f ca="1">IFERROR(__xludf.DUMMYFUNCTION("GOOGLETRANSLATE(A858 , ""tr"" , ""en"")"),"@drfahrettinkoca # sbmerkeziatamaOneClavuz")</f>
        <v>@drfahrettinkoca # sbmerkeziatamaOneClavuz</v>
      </c>
    </row>
    <row r="18056" spans="1:5" ht="15" customHeight="1" x14ac:dyDescent="0.25">
      <c r="A18056" s="1" t="s">
        <v>35300</v>
      </c>
      <c r="B18056" s="1">
        <v>5</v>
      </c>
      <c r="C18056" s="3">
        <v>44539.606840277775</v>
      </c>
      <c r="D18056" s="1" t="s">
        <v>35301</v>
      </c>
      <c r="E18056" s="4" t="str">
        <f ca="1">IFERROR(__xludf.DUMMYFUNCTION("GOOGLETRANSLATE(A859 , ""tr"" , ""en"")"),"@drfahrettinkoca @saglikbakanligi @adalet_bakanlik @Adalet_basin @halis_aygun @OSymbaskanci Description Describe Dussonuclari Nezaman")</f>
        <v>@drfahrettinkoca @saglikbakanligi @adalet_bakanlik @Adalet_basin @halis_aygun @OSymbaskanci Description Describe Dussonuclari Nezaman</v>
      </c>
    </row>
    <row r="18057" spans="1:5" ht="15" customHeight="1" x14ac:dyDescent="0.25">
      <c r="A18057" s="1" t="s">
        <v>35302</v>
      </c>
      <c r="B18057" s="1">
        <v>0</v>
      </c>
      <c r="C18057" s="3">
        <v>44539.604108796295</v>
      </c>
      <c r="D18057" s="1" t="s">
        <v>35303</v>
      </c>
      <c r="E18057" s="4" t="str">
        <f ca="1">IFERROR(__xludf.DUMMYFUNCTION("GOOGLETRANSLATE(A860 , ""tr"" , ""en"")"),"@drfahrettinkoca @saglikbakanligi 112 Hair is free from beard? State moral or officer's moral did not remain? 1 ka ... https://t.co/dzyhpwacgc")</f>
        <v>@drfahrettinkoca @saglikbakanligi 112 Hair is free from beard? State moral or officer's moral did not remain? 1 ka ... https://t.co/dzyhpwacgc</v>
      </c>
    </row>
    <row r="18058" spans="1:5" ht="15" customHeight="1" x14ac:dyDescent="0.25">
      <c r="A18058" s="1" t="s">
        <v>35304</v>
      </c>
      <c r="B18058" s="1">
        <v>0</v>
      </c>
      <c r="C18058" s="3">
        <v>44539.598865740743</v>
      </c>
      <c r="D18058" s="1" t="s">
        <v>35305</v>
      </c>
      <c r="E18058" s="4" t="str">
        <f ca="1">IFERROR(__xludf.DUMMYFUNCTION("GOOGLETRANSLATE(A861 , ""tr"" , ""en"")"),"@drfahrettinka is enough")</f>
        <v>@drfahrettinka is enough</v>
      </c>
    </row>
    <row r="18059" spans="1:5" ht="15" customHeight="1" x14ac:dyDescent="0.25">
      <c r="A18059" s="1" t="s">
        <v>35306</v>
      </c>
      <c r="B18059" s="1">
        <v>0</v>
      </c>
      <c r="C18059" s="3">
        <v>44539.57135416667</v>
      </c>
      <c r="D18059" s="1" t="s">
        <v>35307</v>
      </c>
      <c r="E18059" s="4" t="str">
        <f ca="1">IFERROR(__xludf.DUMMYFUNCTION("GOOGLETRANSLATE(A862 , ""tr"" , ""en"")"),"@drfahrettinkoca Who said @saglikbakanli ??? Why do you see the patient at 5 min too. Madem is not true, k ... https://t.co/eh5ttjo2ud")</f>
        <v>@drfahrettinkoca Who said @saglikbakanli ??? Why do you see the patient at 5 min too. Madem is not true, k ... https://t.co/eh5ttjo2ud</v>
      </c>
    </row>
    <row r="18060" spans="1:5" ht="15" customHeight="1" x14ac:dyDescent="0.25">
      <c r="A18060" s="1" t="s">
        <v>35308</v>
      </c>
      <c r="B18060" s="1">
        <v>1</v>
      </c>
      <c r="C18060" s="3">
        <v>44539.562905092593</v>
      </c>
      <c r="D18060" s="1" t="s">
        <v>35309</v>
      </c>
      <c r="E18060" s="4" t="str">
        <f ca="1">IFERROR(__xludf.DUMMYFUNCTION("GOOGLETRANSLATE(A863 , ""tr"" , ""en"")"),"@drfahrettinkoca hear your voice now !!! https://t.co/vzmma2qedl")</f>
        <v>@drfahrettinkoca hear your voice now !!! https://t.co/vzmma2qedl</v>
      </c>
    </row>
    <row r="18061" spans="1:5" ht="15" customHeight="1" x14ac:dyDescent="0.25">
      <c r="A18061" s="1" t="s">
        <v>35310</v>
      </c>
      <c r="B18061" s="1">
        <v>0</v>
      </c>
      <c r="C18061" s="3">
        <v>44539.56077546296</v>
      </c>
      <c r="D18061" s="1" t="s">
        <v>35311</v>
      </c>
      <c r="E18061" s="4" t="str">
        <f ca="1">IFERROR(__xludf.DUMMYFUNCTION("GOOGLETRANSLATE(A864 , ""tr"" , ""en"")"),"@drfahrettinkoca Mr. Ministry I am residing in Kocaeli and for months Darica mouth and dental health hawk ... https://t.co/xn8gylpbst")</f>
        <v>@drfahrettinkoca Mr. Ministry I am residing in Kocaeli and for months Darica mouth and dental health hawk ... https://t.co/xn8gylpbst</v>
      </c>
    </row>
    <row r="18062" spans="1:5" ht="15" customHeight="1" x14ac:dyDescent="0.25">
      <c r="A18062" s="1" t="s">
        <v>35312</v>
      </c>
      <c r="B18062" s="1">
        <v>0</v>
      </c>
      <c r="C18062" s="3">
        <v>44539.553842592592</v>
      </c>
      <c r="D18062" s="1" t="s">
        <v>35313</v>
      </c>
      <c r="E18062" s="4" t="str">
        <f ca="1">IFERROR(__xludf.DUMMYFUNCTION("GOOGLETRANSLATE(A865 , ""tr"" , ""en"")"),"@drfahrettinkoca o'clock 16 16 Allah Your and Iskender Pasha Congregation Give Bin Trusts Https://t.co/rfq9zd6ycc")</f>
        <v>@drfahrettinkoca o'clock 16 16 Allah Your and Iskender Pasha Congregation Give Bin Trusts Https://t.co/rfq9zd6ycc</v>
      </c>
    </row>
    <row r="18063" spans="1:5" ht="15" customHeight="1" x14ac:dyDescent="0.25">
      <c r="A18063" s="1" t="s">
        <v>35314</v>
      </c>
      <c r="B18063" s="1">
        <v>0</v>
      </c>
      <c r="C18063" s="3">
        <v>44539.541805555556</v>
      </c>
      <c r="D18063" s="1" t="s">
        <v>35315</v>
      </c>
      <c r="E18063" s="4" t="str">
        <f ca="1">IFERROR(__xludf.DUMMYFUNCTION("GOOGLETRANSLATE(A866 , ""tr"" , ""en"")"),"@drfahrettinkoca Mr. Health Minister Drug Stokectors When the people who will be handed in Sunramy? #Fahrettin Koca")</f>
        <v>@drfahrettinkoca Mr. Health Minister Drug Stokectors When the people who will be handed in Sunramy? #Fahrettin Koca</v>
      </c>
    </row>
    <row r="18064" spans="1:5" ht="15" customHeight="1" x14ac:dyDescent="0.25">
      <c r="A18064" s="1" t="s">
        <v>35316</v>
      </c>
      <c r="B18064" s="1">
        <v>24</v>
      </c>
      <c r="C18064" s="3">
        <v>44539.524259259262</v>
      </c>
      <c r="D18064" s="1" t="s">
        <v>35317</v>
      </c>
      <c r="E18064" s="4" t="str">
        <f ca="1">IFERROR(__xludf.DUMMYFUNCTION("GOOGLETRANSLATE(A867 , ""tr"" , ""en"")"),"@drfahrettinkoca @saglikbakanligi @rterdogan @halis_aygun https://t.co/znm7exjj")</f>
        <v>@drfahrettinkoca @saglikbakanligi @rterdogan @halis_aygun https://t.co/znm7exjj</v>
      </c>
    </row>
    <row r="18065" spans="1:5" ht="15" customHeight="1" x14ac:dyDescent="0.25">
      <c r="A18065" s="1" t="s">
        <v>35318</v>
      </c>
      <c r="B18065" s="1">
        <v>0</v>
      </c>
      <c r="C18065" s="3">
        <v>44539.518935185188</v>
      </c>
      <c r="D18065" s="1" t="s">
        <v>35319</v>
      </c>
      <c r="E18065" s="4" t="str">
        <f ca="1">IFERROR(__xludf.DUMMYFUNCTION("GOOGLETRANSLATE(A868 , ""tr"" , ""en"")"),"@drfahrettinkoca @rterdogan https://t.co/unl0iym3ke")</f>
        <v>@drfahrettinkoca @rterdogan https://t.co/unl0iym3ke</v>
      </c>
    </row>
    <row r="18066" spans="1:5" ht="15" customHeight="1" x14ac:dyDescent="0.25">
      <c r="A18066" s="1" t="s">
        <v>35320</v>
      </c>
      <c r="B18066" s="1">
        <v>1</v>
      </c>
      <c r="C18066" s="3">
        <v>44539.51284722222</v>
      </c>
      <c r="D18066" s="1" t="s">
        <v>35321</v>
      </c>
      <c r="E18066" s="4" t="str">
        <f ca="1">IFERROR(__xludf.DUMMYFUNCTION("GOOGLETRANSLATE(A869 , ""tr"" , ""en"")"),"@drfahrettinkoca Mr. Minister Hakan Ural threatened to remove his eye! This figure is allowed to provocation ... https://t.co/lo82gkmlqh")</f>
        <v>@drfahrettinkoca Mr. Minister Hakan Ural threatened to remove his eye! This figure is allowed to provocation ... https://t.co/lo82gkmlqh</v>
      </c>
    </row>
    <row r="18067" spans="1:5" ht="15" customHeight="1" x14ac:dyDescent="0.25">
      <c r="A18067" s="1" t="s">
        <v>35322</v>
      </c>
      <c r="B18067" s="1">
        <v>0</v>
      </c>
      <c r="C18067" s="3">
        <v>44539.46980324074</v>
      </c>
      <c r="D18067" s="1" t="s">
        <v>35323</v>
      </c>
      <c r="E18067" s="4" t="str">
        <f ca="1">IFERROR(__xludf.DUMMYFUNCTION("GOOGLETRANSLATE(A870 , ""tr"" , ""en"")"),"@drfahrettinkoca Ministry of this friend to bring to somewhere in the Ministry of Health Considered to be serious ... https://t.co/qvwiszeexI")</f>
        <v>@drfahrettinkoca Ministry of this friend to bring to somewhere in the Ministry of Health Considered to be serious ... https://t.co/qvwiszeexI</v>
      </c>
    </row>
    <row r="18068" spans="1:5" ht="15" customHeight="1" x14ac:dyDescent="0.25">
      <c r="A18068" s="1" t="s">
        <v>35324</v>
      </c>
      <c r="B18068" s="1">
        <v>0</v>
      </c>
      <c r="C18068" s="3">
        <v>44539.468194444446</v>
      </c>
      <c r="D18068" s="1" t="s">
        <v>35325</v>
      </c>
      <c r="E18068" s="4" t="str">
        <f ca="1">IFERROR(__xludf.DUMMYFUNCTION("GOOGLETRANSLATE(A871 , ""tr"" , ""en"")"),"@drfahrettinkoca @saglikbakanligi @onderkahveci @ssbsemihdurmus In the health oral and actual violence when the last ... https://t.co/wbq5s3lywt")</f>
        <v>@drfahrettinkoca @saglikbakanligi @onderkahveci @ssbsemihdurmus In the health oral and actual violence when the last ... https://t.co/wbq5s3lywt</v>
      </c>
    </row>
    <row r="18069" spans="1:5" ht="15" customHeight="1" x14ac:dyDescent="0.25">
      <c r="A18069" s="1" t="s">
        <v>35326</v>
      </c>
      <c r="B18069" s="1">
        <v>0</v>
      </c>
      <c r="C18069" s="3">
        <v>44539.463599537034</v>
      </c>
      <c r="D18069" s="1" t="s">
        <v>35327</v>
      </c>
      <c r="E18069" s="4" t="str">
        <f ca="1">IFERROR(__xludf.DUMMYFUNCTION("GOOGLETRANSLATE(A872 , ""tr"" , ""en"")"),"@drfahrettinkoca how was this? Disgrowed https://t.co/dldh5o8p2h")</f>
        <v>@drfahrettinkoca how was this? Disgrowed https://t.co/dldh5o8p2h</v>
      </c>
    </row>
    <row r="18070" spans="1:5" ht="15" customHeight="1" x14ac:dyDescent="0.25">
      <c r="A18070" s="1" t="s">
        <v>35328</v>
      </c>
      <c r="B18070" s="1">
        <v>0</v>
      </c>
      <c r="C18070" s="3">
        <v>44539.459548611114</v>
      </c>
      <c r="D18070" s="1" t="s">
        <v>35329</v>
      </c>
      <c r="E18070" s="4" t="str">
        <f ca="1">IFERROR(__xludf.DUMMYFUNCTION("GOOGLETRANSLATE(A873 , ""tr"" , ""en"")"),"@drfahrettinkoca Şanliurfa Mehmet Akif Inan Training Research Hospital Emergency DR U and Child Health Diseases Hali ... https://t.co/wrr4nh6qht")</f>
        <v>@drfahrettinkoca Şanliurfa Mehmet Akif Inan Training Research Hospital Emergency DR U and Child Health Diseases Hali ... https://t.co/wrr4nh6qht</v>
      </c>
    </row>
    <row r="18071" spans="1:5" ht="15" customHeight="1" x14ac:dyDescent="0.25">
      <c r="A18071" s="1" t="s">
        <v>35330</v>
      </c>
      <c r="B18071" s="1">
        <v>0</v>
      </c>
      <c r="C18071" s="3">
        <v>44539.457083333335</v>
      </c>
      <c r="D18071" s="1" t="s">
        <v>35331</v>
      </c>
      <c r="E18071" s="4" t="str">
        <f ca="1">IFERROR(__xludf.DUMMYFUNCTION("GOOGLETRANSLATE(A874 , ""tr"" , ""en"")"),"@drfahrettinkoca Left-uncontrolled Mehmet Akif Inan Training Research Hospital Additional Building Dr Lari Insult Ediyo ... https://t.co/rup6lbmj24")</f>
        <v>@drfahrettinkoca Left-uncontrolled Mehmet Akif Inan Training Research Hospital Additional Building Dr Lari Insult Ediyo ... https://t.co/rup6lbmj24</v>
      </c>
    </row>
    <row r="18072" spans="1:5" ht="15" customHeight="1" x14ac:dyDescent="0.25">
      <c r="A18072" s="1" t="s">
        <v>35332</v>
      </c>
      <c r="B18072" s="1">
        <v>1</v>
      </c>
      <c r="C18072" s="3">
        <v>44539.456759259258</v>
      </c>
      <c r="D18072" s="1" t="s">
        <v>35333</v>
      </c>
      <c r="E18072" s="4" t="str">
        <f ca="1">IFERROR(__xludf.DUMMYFUNCTION("GOOGLETRANSLATE(A875 , ""tr"" , ""en"")"),"@drfahrettinkoca @rterdogan @osymbaskcanligi # SbmerkezItiaTaMonelavuz Https://t.co/nmlszl764u")</f>
        <v>@drfahrettinkoca @rterdogan @osymbaskcanligi # SbmerkezItiaTaMonelavuz Https://t.co/nmlszl764u</v>
      </c>
    </row>
    <row r="18073" spans="1:5" ht="15" customHeight="1" x14ac:dyDescent="0.25">
      <c r="A18073" s="1" t="s">
        <v>35334</v>
      </c>
      <c r="B18073" s="1">
        <v>10</v>
      </c>
      <c r="C18073" s="3">
        <v>44539.441574074073</v>
      </c>
      <c r="D18073" s="1" t="s">
        <v>35335</v>
      </c>
      <c r="E18073" s="4" t="str">
        <f ca="1">IFERROR(__xludf.DUMMYFUNCTION("GOOGLETRANSLATE(A876 , ""tr"" , ""en"")"),"@drfahrettinkoca and @diarchorettinkoca and @tiobilulu_ promptly questioned until they should be queried and they say that they say: HTTPS://T.CO/5Z6GIUKMIT")</f>
        <v>@drfahrettinkoca and @diarchorettinkoca and @tiobilulu_ promptly questioned until they should be queried and they say that they say: HTTPS://T.CO/5Z6GIUKMIT</v>
      </c>
    </row>
    <row r="18074" spans="1:5" ht="15" customHeight="1" x14ac:dyDescent="0.25">
      <c r="A18074" s="1" t="s">
        <v>35336</v>
      </c>
      <c r="B18074" s="1">
        <v>0</v>
      </c>
      <c r="C18074" s="3">
        <v>44539.432430555556</v>
      </c>
      <c r="D18074" s="1" t="s">
        <v>35337</v>
      </c>
      <c r="E18074" s="4" t="str">
        <f ca="1">IFERROR(__xludf.DUMMYFUNCTION("GOOGLETRANSLATE(A877 , ""tr"" , ""en"")"),"@drfahrettinkoca @rterdogan https://t.co/xz99jvgops")</f>
        <v>@drfahrettinkoca @rterdogan https://t.co/xz99jvgops</v>
      </c>
    </row>
    <row r="18075" spans="1:5" ht="15" customHeight="1" x14ac:dyDescent="0.25">
      <c r="A18075" s="1" t="s">
        <v>35338</v>
      </c>
      <c r="B18075" s="1">
        <v>0</v>
      </c>
      <c r="C18075" s="3">
        <v>44539.431655092594</v>
      </c>
      <c r="D18075" s="1" t="s">
        <v>35339</v>
      </c>
      <c r="E18075" s="4" t="str">
        <f ca="1">IFERROR(__xludf.DUMMYFUNCTION("GOOGLETRANSLATE(A878 , ""tr"" , ""en"")"),"@drfahrettinkoca @saglikbakanligi is that correct? https://t.co/eutxFIFFLB")</f>
        <v>@drfahrettinkoca @saglikbakanligi is that correct? https://t.co/eutxFIFFLB</v>
      </c>
    </row>
    <row r="18076" spans="1:5" ht="15" customHeight="1" x14ac:dyDescent="0.25">
      <c r="A18076" s="1" t="s">
        <v>35340</v>
      </c>
      <c r="B18076" s="1">
        <v>2</v>
      </c>
      <c r="C18076" s="3">
        <v>44539.425000000003</v>
      </c>
      <c r="D18076" s="1" t="s">
        <v>35341</v>
      </c>
      <c r="E18076" s="4" t="str">
        <f ca="1">IFERROR(__xludf.DUMMYFUNCTION("GOOGLETRANSLATE(A879 , ""tr"" , ""en"")"),"@drfahrettinkoca # sbmerkeziataMaüçücilavuz")</f>
        <v>@drfahrettinkoca # sbmerkeziataMaüçücilavuz</v>
      </c>
    </row>
    <row r="18077" spans="1:5" ht="15" customHeight="1" x14ac:dyDescent="0.25">
      <c r="A18077" s="1" t="s">
        <v>35342</v>
      </c>
      <c r="B18077" s="1">
        <v>2</v>
      </c>
      <c r="C18077" s="3">
        <v>44539.423831018517</v>
      </c>
      <c r="D18077" s="1" t="s">
        <v>35343</v>
      </c>
      <c r="E18077" s="4" t="str">
        <f ca="1">IFERROR(__xludf.DUMMYFUNCTION("GOOGLETRANSLATE(A880 , ""tr"" , ""en"")"),"@drfahrettinkoca Why have you so tested, or your love COVIDi have seen my dream? https://t.co/zoj07u7jgm")</f>
        <v>@drfahrettinkoca Why have you so tested, or your love COVIDi have seen my dream? https://t.co/zoj07u7jgm</v>
      </c>
    </row>
    <row r="18078" spans="1:5" ht="15" customHeight="1" x14ac:dyDescent="0.25">
      <c r="A18078" s="1" t="s">
        <v>35344</v>
      </c>
      <c r="B18078" s="1">
        <v>6</v>
      </c>
      <c r="C18078" s="3">
        <v>44539.412418981483</v>
      </c>
      <c r="D18078" s="1" t="s">
        <v>35345</v>
      </c>
      <c r="E18078" s="4" t="str">
        <f ca="1">IFERROR(__xludf.DUMMYFUNCTION("GOOGLETRANSLATE(A881 , ""tr"" , ""en"")"),"@drfahrettinkoca @saglikbakanligi https://t.co/ulwzfr9t9l")</f>
        <v>@drfahrettinkoca @saglikbakanligi https://t.co/ulwzfr9t9l</v>
      </c>
    </row>
    <row r="18079" spans="1:5" ht="15" customHeight="1" x14ac:dyDescent="0.25">
      <c r="A18079" s="1" t="s">
        <v>35346</v>
      </c>
      <c r="B18079" s="1">
        <v>1</v>
      </c>
      <c r="C18079" s="3">
        <v>44539.41128472222</v>
      </c>
      <c r="D18079" s="1" t="s">
        <v>35347</v>
      </c>
      <c r="E18079" s="4" t="str">
        <f ca="1">IFERROR(__xludf.DUMMYFUNCTION("GOOGLETRANSLATE(A882 , ""tr"" , ""en"")"),"@drfahrettinkoca Hi, I have been intubating in Germany in Istanbul.")</f>
        <v>@drfahrettinkoca Hi, I have been intubating in Germany in Istanbul.</v>
      </c>
    </row>
    <row r="18080" spans="1:5" ht="15" customHeight="1" x14ac:dyDescent="0.25">
      <c r="A18080" s="1" t="s">
        <v>35348</v>
      </c>
      <c r="B18080" s="1">
        <v>0</v>
      </c>
      <c r="C18080" s="3">
        <v>44539.410543981481</v>
      </c>
      <c r="D18080" s="1" t="s">
        <v>35349</v>
      </c>
      <c r="E18080" s="4" t="str">
        <f ca="1">IFERROR(__xludf.DUMMYFUNCTION("GOOGLETRANSLATE(A883 , ""tr"" , ""en"")"),"@drfahrettinkoca Mr. Minister, even though the doctor is the right to the doctor, the appointment is to be examined to the assistants at the time of appointment ... https://t.co/q4tr4i2z8t")</f>
        <v>@drfahrettinkoca Mr. Minister, even though the doctor is the right to the doctor, the appointment is to be examined to the assistants at the time of appointment ... https://t.co/q4tr4i2z8t</v>
      </c>
    </row>
    <row r="18081" spans="1:5" ht="15" customHeight="1" x14ac:dyDescent="0.25">
      <c r="A18081" s="1" t="s">
        <v>35350</v>
      </c>
      <c r="B18081" s="1">
        <v>0</v>
      </c>
      <c r="C18081" s="3">
        <v>44539.401087962964</v>
      </c>
      <c r="D18081" s="1" t="s">
        <v>35351</v>
      </c>
      <c r="E18081" s="4" t="str">
        <f ca="1">IFERROR(__xludf.DUMMYFUNCTION("GOOGLETRANSLATE(A884 , ""tr"" , ""en"")"),"@drfahrettinkoca you have this perverted dishonestly carefully https://t.co/rdchmsefae")</f>
        <v>@drfahrettinkoca you have this perverted dishonestly carefully https://t.co/rdchmsefae</v>
      </c>
    </row>
    <row r="18082" spans="1:5" ht="15" customHeight="1" x14ac:dyDescent="0.25">
      <c r="A18082" s="1" t="s">
        <v>35352</v>
      </c>
      <c r="B18082" s="1">
        <v>1</v>
      </c>
      <c r="C18082" s="3">
        <v>44539.391053240739</v>
      </c>
      <c r="D18082" s="1" t="s">
        <v>35353</v>
      </c>
      <c r="E18082" s="4" t="str">
        <f ca="1">IFERROR(__xludf.DUMMYFUNCTION("GOOGLETRANSLATE(A885 , ""tr"" , ""en"")"),"@drfahrettinkoca how to turn this man https://t.co/apqqes870e")</f>
        <v>@drfahrettinkoca how to turn this man https://t.co/apqqes870e</v>
      </c>
    </row>
    <row r="18083" spans="1:5" ht="15" customHeight="1" x14ac:dyDescent="0.25">
      <c r="A18083" s="1" t="s">
        <v>35354</v>
      </c>
      <c r="B18083" s="1">
        <v>0</v>
      </c>
      <c r="C18083" s="3">
        <v>44539.370092592595</v>
      </c>
      <c r="D18083" s="1" t="s">
        <v>35355</v>
      </c>
      <c r="E18083" s="4" t="str">
        <f ca="1">IFERROR(__xludf.DUMMYFUNCTION("GOOGLETRANSLATE(A886 , ""tr"" , ""en"")"),"@drfahrettinkoca @rterdogan Allah's account in the thesis in the thesis time ... Https://t.co/agzs0qbztg")</f>
        <v>@drfahrettinkoca @rterdogan Allah's account in the thesis in the thesis time ... Https://t.co/agzs0qbztg</v>
      </c>
    </row>
    <row r="18084" spans="1:5" ht="15" customHeight="1" x14ac:dyDescent="0.25">
      <c r="A18084" s="1" t="s">
        <v>35356</v>
      </c>
      <c r="B18084" s="1">
        <v>0</v>
      </c>
      <c r="C18084" s="3">
        <v>44539.36855324074</v>
      </c>
      <c r="D18084" s="1" t="s">
        <v>35357</v>
      </c>
      <c r="E18084" s="4" t="str">
        <f ca="1">IFERROR(__xludf.DUMMYFUNCTION("GOOGLETRANSLATE(A887 , ""tr"" , ""en"")"),"@drfahrettinkoca Remove @rterdogan Remove sufficient now, drown in your hate ... https://t.co/fkwxz8lldce")</f>
        <v>@drfahrettinkoca Remove @rterdogan Remove sufficient now, drown in your hate ... https://t.co/fkwxz8lldce</v>
      </c>
    </row>
    <row r="18085" spans="1:5" ht="15" customHeight="1" x14ac:dyDescent="0.25">
      <c r="A18085" s="1" t="s">
        <v>35358</v>
      </c>
      <c r="B18085" s="1">
        <v>0</v>
      </c>
      <c r="C18085" s="3">
        <v>44539.35359953704</v>
      </c>
      <c r="D18085" s="1" t="s">
        <v>35359</v>
      </c>
      <c r="E18085" s="4" t="str">
        <f ca="1">IFERROR(__xludf.DUMMYFUNCTION("GOOGLETRANSLATE(A888 , ""tr"" , ""en"")"),"@drfahrettinkoca @rterdogan Everyone who has been involved in this work ... https://t.co/ug2nyf7hyf")</f>
        <v>@drfahrettinkoca @rterdogan Everyone who has been involved in this work ... https://t.co/ug2nyf7hyf</v>
      </c>
    </row>
    <row r="18086" spans="1:5" ht="15" customHeight="1" x14ac:dyDescent="0.25">
      <c r="A18086" s="1" t="s">
        <v>35360</v>
      </c>
      <c r="B18086" s="1">
        <v>0</v>
      </c>
      <c r="C18086" s="3">
        <v>44539.344212962962</v>
      </c>
      <c r="D18086" s="1" t="s">
        <v>35361</v>
      </c>
      <c r="E18086" s="4" t="str">
        <f ca="1">IFERROR(__xludf.DUMMYFUNCTION("GOOGLETRANSLATE(A889 , ""tr"" , ""en"")"),"@drfahrettinka https://t.co/zqwfncxwof")</f>
        <v>@drfahrettinka https://t.co/zqwfncxwof</v>
      </c>
    </row>
    <row r="18087" spans="1:5" ht="15" customHeight="1" x14ac:dyDescent="0.25">
      <c r="A18087" s="1" t="s">
        <v>35362</v>
      </c>
      <c r="B18087" s="1">
        <v>0</v>
      </c>
      <c r="C18087" s="3">
        <v>44539.341643518521</v>
      </c>
      <c r="D18087" s="1" t="s">
        <v>35363</v>
      </c>
      <c r="E18087" s="4" t="str">
        <f ca="1">IFERROR(__xludf.DUMMYFUNCTION("GOOGLETRANSLATE(A890 , ""tr"" , ""en"")"),"Did we be surprised by @drfahrettinkoca? https://t.co/vdaqgz3v0z")</f>
        <v>Did we be surprised by @drfahrettinkoca? https://t.co/vdaqgz3v0z</v>
      </c>
    </row>
    <row r="18088" spans="1:5" ht="15" customHeight="1" x14ac:dyDescent="0.25">
      <c r="A18088" s="1" t="s">
        <v>35364</v>
      </c>
      <c r="B18088" s="1">
        <v>0</v>
      </c>
      <c r="C18088" s="3">
        <v>44539.330925925926</v>
      </c>
      <c r="D18088" s="1" t="s">
        <v>35365</v>
      </c>
      <c r="E18088" s="4" t="str">
        <f ca="1">IFERROR(__xludf.DUMMYFUNCTION("GOOGLETRANSLATE(A891 , ""tr"" , ""en"")"),"@drfahrettinkoca What did you do Omicron? Number of Tested Tested This Daily ... https://t.co/k5dz7nhjxd")</f>
        <v>@drfahrettinkoca What did you do Omicron? Number of Tested Tested This Daily ... https://t.co/k5dz7nhjxd</v>
      </c>
    </row>
    <row r="18089" spans="1:5" ht="15" customHeight="1" x14ac:dyDescent="0.25">
      <c r="A18089" s="1" t="s">
        <v>35366</v>
      </c>
      <c r="B18089" s="1">
        <v>0</v>
      </c>
      <c r="C18089" s="3">
        <v>44539.324120370373</v>
      </c>
      <c r="D18089" s="1" t="s">
        <v>35367</v>
      </c>
      <c r="E18089" s="4" t="str">
        <f ca="1">IFERROR(__xludf.DUMMYFUNCTION("GOOGLETRANSLATE(A892 , ""tr"" , ""en"")"),"@drfahrettinkoca Sayin Minister You do not treat this in the hospital that we are not able to sign this from the hospital Https://t.co/fccsvsjchx")</f>
        <v>@drfahrettinkoca Sayin Minister You do not treat this in the hospital that we are not able to sign this from the hospital Https://t.co/fccsvsjchx</v>
      </c>
    </row>
    <row r="18090" spans="1:5" ht="15" customHeight="1" x14ac:dyDescent="0.25">
      <c r="A18090" s="1" t="s">
        <v>35368</v>
      </c>
      <c r="B18090" s="1">
        <v>0</v>
      </c>
      <c r="C18090" s="3">
        <v>44539.304965277777</v>
      </c>
      <c r="D18090" s="1" t="s">
        <v>35369</v>
      </c>
      <c r="E18090" s="4" t="str">
        <f ca="1">IFERROR(__xludf.DUMMYFUNCTION("GOOGLETRANSLATE(A893 , ""tr"" , ""en"")"),"@drfahrettinka https://t.co/zu61gxqq1l")</f>
        <v>@drfahrettinka https://t.co/zu61gxqq1l</v>
      </c>
    </row>
    <row r="18091" spans="1:5" ht="15" customHeight="1" x14ac:dyDescent="0.25">
      <c r="A18091" s="1" t="s">
        <v>35370</v>
      </c>
      <c r="B18091" s="1">
        <v>0</v>
      </c>
      <c r="C18091" s="3">
        <v>44539.301168981481</v>
      </c>
      <c r="D18091" s="1" t="s">
        <v>35371</v>
      </c>
      <c r="E18091" s="4" t="str">
        <f ca="1">IFERROR(__xludf.DUMMYFUNCTION("GOOGLETRANSLATE(A894 , ""tr"" , ""en"")"),"@drfahrettinkoca @saglikbakanligi https://t.co/dsilcnphlq")</f>
        <v>@drfahrettinkoca @saglikbakanligi https://t.co/dsilcnphlq</v>
      </c>
    </row>
    <row r="18092" spans="1:5" ht="15" customHeight="1" x14ac:dyDescent="0.25">
      <c r="A18092" s="1" t="s">
        <v>35372</v>
      </c>
      <c r="B18092" s="1">
        <v>0</v>
      </c>
      <c r="C18092" s="3">
        <v>44539.294583333336</v>
      </c>
      <c r="D18092" s="1" t="s">
        <v>35373</v>
      </c>
      <c r="E18092" s="4" t="str">
        <f ca="1">IFERROR(__xludf.DUMMYFUNCTION("GOOGLETRANSLATE(A895 , ""tr"" , ""en"")"),"@drfahrettinkoca @saglikbakanligi do not see shares do not read #pruzulmüsonbulsuz now #testbahane https://t.co/nuytg78quk")</f>
        <v>@drfahrettinkoca @saglikbakanligi do not see shares do not read #pruzulmüsonbulsuz now #testbahane https://t.co/nuytg78quk</v>
      </c>
    </row>
    <row r="18093" spans="1:5" ht="15" customHeight="1" x14ac:dyDescent="0.25">
      <c r="A18093" s="1" t="s">
        <v>35374</v>
      </c>
      <c r="B18093" s="1">
        <v>0</v>
      </c>
      <c r="C18093" s="3">
        <v>44539.294398148151</v>
      </c>
      <c r="D18093" s="1" t="s">
        <v>35375</v>
      </c>
      <c r="E18093" s="4" t="str">
        <f ca="1">IFERROR(__xludf.DUMMYFUNCTION("GOOGLETRANSLATE(A896 , ""tr"" , ""en"")"),"@drfahrettinkoca İLAC Firms Holding drugs in warehouses Humans in February People in the hard situation Did the people die immediately")</f>
        <v>@drfahrettinkoca İLAC Firms Holding drugs in warehouses Humans in February People in the hard situation Did the people die immediately</v>
      </c>
    </row>
    <row r="18094" spans="1:5" ht="15" customHeight="1" x14ac:dyDescent="0.25">
      <c r="A18094" s="1" t="s">
        <v>35376</v>
      </c>
      <c r="B18094" s="1">
        <v>0</v>
      </c>
      <c r="C18094" s="3">
        <v>44539.290891203702</v>
      </c>
      <c r="D18094" s="1" t="s">
        <v>35377</v>
      </c>
      <c r="E18094" s="4" t="str">
        <f ca="1">IFERROR(__xludf.DUMMYFUNCTION("GOOGLETRANSLATE(A897 , ""tr"" , ""en"")"),"@drfahrettinka https://t.co/hfexbzl15u")</f>
        <v>@drfahrettinka https://t.co/hfexbzl15u</v>
      </c>
    </row>
    <row r="18095" spans="1:5" ht="15" customHeight="1" x14ac:dyDescent="0.25">
      <c r="A18095" s="1" t="s">
        <v>35378</v>
      </c>
      <c r="B18095" s="1">
        <v>0</v>
      </c>
      <c r="C18095" s="3">
        <v>44539.278935185182</v>
      </c>
      <c r="D18095" s="1" t="s">
        <v>35379</v>
      </c>
      <c r="E18095" s="4" t="str">
        <f ca="1">IFERROR(__xludf.DUMMYFUNCTION("GOOGLETRANSLATE(A898 , ""tr"" , ""en"")"),"@drfahrettinkoca Please tap people's hearts because of now in political medicine. Read this post. Dor ... https://t.co/05uhucgkzm")</f>
        <v>@drfahrettinkoca Please tap people's hearts because of now in political medicine. Read this post. Dor ... https://t.co/05uhucgkzm</v>
      </c>
    </row>
    <row r="18096" spans="1:5" ht="15" customHeight="1" x14ac:dyDescent="0.25">
      <c r="A18096" s="1" t="s">
        <v>35380</v>
      </c>
      <c r="B18096" s="1">
        <v>0</v>
      </c>
      <c r="C18096" s="3">
        <v>44539.272430555553</v>
      </c>
      <c r="D18096" s="1" t="s">
        <v>35381</v>
      </c>
      <c r="E18096" s="4" t="str">
        <f ca="1">IFERROR(__xludf.DUMMYFUNCTION("GOOGLETRANSLATE(A899 , ""tr"" , ""en"")"),"@drfahrettinkoca healthy people we can't work out of victim of the test @vedatbilgn @suleymansoylu https://t.co/kjqiwezzlq")</f>
        <v>@drfahrettinkoca healthy people we can't work out of victim of the test @vedatbilgn @suleymansoylu https://t.co/kjqiwezzlq</v>
      </c>
    </row>
    <row r="18097" spans="1:5" ht="15" customHeight="1" x14ac:dyDescent="0.25">
      <c r="A18097" s="1" t="s">
        <v>35382</v>
      </c>
      <c r="B18097" s="1">
        <v>0</v>
      </c>
      <c r="C18097" s="3">
        <v>44526.966666666667</v>
      </c>
      <c r="D18097" s="1" t="s">
        <v>35383</v>
      </c>
      <c r="E18097" s="4" t="str">
        <f ca="1">IFERROR(__xludf.DUMMYFUNCTION("GOOGLETRANSLATE(A900 , ""tr"" , ""en"")"),"@drfahrettinkoca hope it is not true ☹☹ https://t.co/lmhpzjmglv")</f>
        <v>@drfahrettinkoca hope it is not true ☹☹ https://t.co/lmhpzjmglv</v>
      </c>
    </row>
    <row r="18098" spans="1:5" ht="15" customHeight="1" x14ac:dyDescent="0.25">
      <c r="A18098" s="1" t="s">
        <v>35384</v>
      </c>
      <c r="B18098" s="1">
        <v>0</v>
      </c>
      <c r="C18098" s="3">
        <v>44526.960960648146</v>
      </c>
      <c r="D18098" s="1" t="s">
        <v>35385</v>
      </c>
      <c r="E18098" s="4" t="str">
        <f ca="1">IFERROR(__xludf.DUMMYFUNCTION("GOOGLETRANSLATE(A901 , ""tr"" , ""en"")"),"@drfahrettinka https://t.co/za5mqs7TIP")</f>
        <v>@drfahrettinka https://t.co/za5mqs7TIP</v>
      </c>
    </row>
    <row r="18099" spans="1:5" ht="15" customHeight="1" x14ac:dyDescent="0.25">
      <c r="A18099" s="1" t="s">
        <v>35386</v>
      </c>
      <c r="B18099" s="1">
        <v>0</v>
      </c>
      <c r="C18099" s="3">
        <v>44526.92869212963</v>
      </c>
      <c r="D18099" s="1" t="s">
        <v>35387</v>
      </c>
      <c r="E18099" s="4" t="str">
        <f ca="1">IFERROR(__xludf.DUMMYFUNCTION("GOOGLETRANSLATE(A902 , ""tr"" , ""en"")"),"@drfahrettinkoca @saglikbakanligi https://t.co/ymm9knjktj")</f>
        <v>@drfahrettinkoca @saglikbakanligi https://t.co/ymm9knjktj</v>
      </c>
    </row>
    <row r="18100" spans="1:5" ht="15" customHeight="1" x14ac:dyDescent="0.25">
      <c r="A18100" s="1" t="s">
        <v>35388</v>
      </c>
      <c r="B18100" s="1">
        <v>0</v>
      </c>
      <c r="C18100" s="3">
        <v>44526.911504629628</v>
      </c>
      <c r="D18100" s="1" t="s">
        <v>35389</v>
      </c>
      <c r="E18100" s="4" t="str">
        <f ca="1">IFERROR(__xludf.DUMMYFUNCTION("GOOGLETRANSLATE(A903 , ""tr"" , ""en"")"),"@drfahrettinkoca 🤷 🤔 https://t.co/r32hudzyjh")</f>
        <v>@drfahrettinkoca 🤷 🤔 https://t.co/r32hudzyjh</v>
      </c>
    </row>
    <row r="18101" spans="1:5" ht="15" customHeight="1" x14ac:dyDescent="0.25">
      <c r="A18101" s="1" t="s">
        <v>35390</v>
      </c>
      <c r="B18101" s="1">
        <v>1</v>
      </c>
      <c r="C18101" s="3">
        <v>44526.900381944448</v>
      </c>
      <c r="D18101" s="1" t="s">
        <v>35391</v>
      </c>
      <c r="E18101" s="4" t="str">
        <f ca="1">IFERROR(__xludf.DUMMYFUNCTION("GOOGLETRANSLATE(A904 , ""tr"" , ""en"")"),"@drfahrettinka https://t.co/frguyd822I")</f>
        <v>@drfahrettinka https://t.co/frguyd822I</v>
      </c>
    </row>
    <row r="18102" spans="1:5" ht="15" customHeight="1" x14ac:dyDescent="0.25">
      <c r="A18102" s="1" t="s">
        <v>35392</v>
      </c>
      <c r="B18102" s="1">
        <v>1</v>
      </c>
      <c r="C18102" s="3">
        <v>44526.897615740738</v>
      </c>
      <c r="D18102" s="1" t="s">
        <v>35393</v>
      </c>
      <c r="E18102" s="4" t="str">
        <f ca="1">IFERROR(__xludf.DUMMYFUNCTION("GOOGLETRANSLATE(A905 , ""tr"" , ""en"")"),"@drfahrettinka https://t.co/tpojdeqf9s")</f>
        <v>@drfahrettinka https://t.co/tpojdeqf9s</v>
      </c>
    </row>
    <row r="18103" spans="1:5" ht="15" customHeight="1" x14ac:dyDescent="0.25">
      <c r="A18103" s="1" t="s">
        <v>35394</v>
      </c>
      <c r="B18103" s="1">
        <v>0</v>
      </c>
      <c r="C18103" s="3">
        <v>44526.89644675926</v>
      </c>
      <c r="D18103" s="1" t="s">
        <v>35395</v>
      </c>
      <c r="E18103" s="4" t="str">
        <f ca="1">IFERROR(__xludf.DUMMYFUNCTION("GOOGLETRANSLATE(A906 , ""tr"" , ""en"")"),"@drfahrettinkoca Our patient's number arrived less than we arrived a little bit? What is the money of this generous offer B ... https://t.co/zio3z4pyji")</f>
        <v>@drfahrettinkoca Our patient's number arrived less than we arrived a little bit? What is the money of this generous offer B ... https://t.co/zio3z4pyji</v>
      </c>
    </row>
    <row r="18104" spans="1:5" ht="15" customHeight="1" x14ac:dyDescent="0.25">
      <c r="A18104" s="1" t="s">
        <v>35396</v>
      </c>
      <c r="B18104" s="1">
        <v>0</v>
      </c>
      <c r="C18104" s="3">
        <v>44526.895046296297</v>
      </c>
      <c r="D18104" s="1" t="s">
        <v>35397</v>
      </c>
      <c r="E18104" s="4" t="str">
        <f ca="1">IFERROR(__xludf.DUMMYFUNCTION("GOOGLETRANSLATE(A907 , ""tr"" , ""en"")"),"@drfahrettinka https://t.co/ggmzlsnuex")</f>
        <v>@drfahrettinka https://t.co/ggmzlsnuex</v>
      </c>
    </row>
    <row r="18105" spans="1:5" ht="15" customHeight="1" x14ac:dyDescent="0.25">
      <c r="A18105" s="1" t="s">
        <v>35398</v>
      </c>
      <c r="B18105" s="1">
        <v>6</v>
      </c>
      <c r="C18105" s="3">
        <v>44526.891215277778</v>
      </c>
      <c r="D18105" s="1" t="s">
        <v>35399</v>
      </c>
      <c r="E18105" s="4" t="str">
        <f ca="1">IFERROR(__xludf.DUMMYFUNCTION("GOOGLETRANSLATE(A908 , ""tr"" , ""en"")"),"@drfahrettinka https://t.co/mlyhgo1rvy")</f>
        <v>@drfahrettinka https://t.co/mlyhgo1rvy</v>
      </c>
    </row>
    <row r="18106" spans="1:5" ht="15" customHeight="1" x14ac:dyDescent="0.25">
      <c r="A18106" s="1" t="s">
        <v>35400</v>
      </c>
      <c r="B18106" s="1">
        <v>0</v>
      </c>
      <c r="C18106" s="3">
        <v>44526.888784722221</v>
      </c>
      <c r="D18106" s="1" t="s">
        <v>35401</v>
      </c>
      <c r="E18106" s="4" t="str">
        <f ca="1">IFERROR(__xludf.DUMMYFUNCTION("GOOGLETRANSLATE(A909 , ""tr"" , ""en"")"),"@drfahrettinkoca is growing in my doubt https://t.co/m7fnwoyvda")</f>
        <v>@drfahrettinkoca is growing in my doubt https://t.co/m7fnwoyvda</v>
      </c>
    </row>
    <row r="18107" spans="1:5" ht="15" customHeight="1" x14ac:dyDescent="0.25">
      <c r="A18107" s="1" t="s">
        <v>35402</v>
      </c>
      <c r="B18107" s="1">
        <v>3</v>
      </c>
      <c r="C18107" s="3">
        <v>44526.887592592589</v>
      </c>
      <c r="D18107" s="1" t="s">
        <v>35403</v>
      </c>
      <c r="E18107" s="4" t="str">
        <f ca="1">IFERROR(__xludf.DUMMYFUNCTION("GOOGLETRANSLATE(A910 , ""tr"" , ""en"")"),"@drfahrettinkoca #velilerdeonline")</f>
        <v>@drfahrettinkoca #velilerdeonline</v>
      </c>
    </row>
    <row r="18108" spans="1:5" ht="15" customHeight="1" x14ac:dyDescent="0.25">
      <c r="A18108" s="1" t="s">
        <v>35404</v>
      </c>
      <c r="B18108" s="1">
        <v>20</v>
      </c>
      <c r="C18108" s="3">
        <v>44526.887141203704</v>
      </c>
      <c r="D18108" s="1" t="s">
        <v>35405</v>
      </c>
      <c r="E18108" s="4" t="str">
        <f ca="1">IFERROR(__xludf.DUMMYFUNCTION("GOOGLETRANSLATE(A911 , ""tr"" , ""en"")"),"@drfahrettinka Mr. Minister Our Minister Gives the Native Vaccine Gospel in the parliament Herkessevin is a group of the blood to be broken ... https://t.co/wcosk6uyl4")</f>
        <v>@drfahrettinka Mr. Minister Our Minister Gives the Native Vaccine Gospel in the parliament Herkessevin is a group of the blood to be broken ... https://t.co/wcosk6uyl4</v>
      </c>
    </row>
    <row r="18109" spans="1:5" ht="15" customHeight="1" x14ac:dyDescent="0.25">
      <c r="A18109" s="1" t="s">
        <v>35406</v>
      </c>
      <c r="B18109" s="1">
        <v>0</v>
      </c>
      <c r="C18109" s="3">
        <v>44538.994363425925</v>
      </c>
      <c r="D18109" s="1" t="s">
        <v>35407</v>
      </c>
      <c r="E18109" s="4" t="str">
        <f ca="1">IFERROR(__xludf.DUMMYFUNCTION("GOOGLETRANSLATE(A912 , ""tr"" , ""en"")"),"@drfahrettinkoca We are afistation of hike")</f>
        <v>@drfahrettinkoca We are afistation of hike</v>
      </c>
    </row>
    <row r="18110" spans="1:5" ht="15" customHeight="1" x14ac:dyDescent="0.25">
      <c r="A18110" s="1" t="s">
        <v>35408</v>
      </c>
      <c r="B18110" s="1">
        <v>0</v>
      </c>
      <c r="C18110" s="3">
        <v>44538.989027777781</v>
      </c>
      <c r="D18110" s="1" t="s">
        <v>35409</v>
      </c>
      <c r="E18110" s="4" t="str">
        <f ca="1">IFERROR(__xludf.DUMMYFUNCTION("GOOGLETRANSLATE(A913 , ""tr"" , ""en"")"),"@drfahrettinkoca microphone Talk to you in these jobs Kids Pastelle Painting Like Kids Pastelle Boyademiyo https://t.co/xhxacozfri")</f>
        <v>@drfahrettinkoca microphone Talk to you in these jobs Kids Pastelle Painting Like Kids Pastelle Boyademiyo https://t.co/xhxacozfri</v>
      </c>
    </row>
    <row r="18111" spans="1:5" ht="15" customHeight="1" x14ac:dyDescent="0.25">
      <c r="A18111" s="1" t="s">
        <v>35410</v>
      </c>
      <c r="B18111" s="1">
        <v>0</v>
      </c>
      <c r="C18111" s="3">
        <v>44538.922800925924</v>
      </c>
      <c r="D18111" s="1" t="s">
        <v>35411</v>
      </c>
      <c r="E18111" s="4" t="str">
        <f ca="1">IFERROR(__xludf.DUMMYFUNCTION("GOOGLETRANSLATE(A914 , ""tr"" , ""en"")"),"@drfahrettinkoca @saglikbakanligi https://t.co/0txtjoemua")</f>
        <v>@drfahrettinkoca @saglikbakanligi https://t.co/0txtjoemua</v>
      </c>
    </row>
    <row r="18112" spans="1:5" ht="15" customHeight="1" x14ac:dyDescent="0.25">
      <c r="A18112" s="1" t="s">
        <v>35412</v>
      </c>
      <c r="B18112" s="1">
        <v>5</v>
      </c>
      <c r="C18112" s="3">
        <v>44538.916770833333</v>
      </c>
      <c r="D18112" s="1" t="s">
        <v>35413</v>
      </c>
      <c r="E18112" s="4" t="str">
        <f ca="1">IFERROR(__xludf.DUMMYFUNCTION("GOOGLETRANSLATE(A915 , ""tr"" , ""en"")"),"@drfahrettinkoca Mother Waiting for Answer As Hergiye We are anxious about our children we send to the vulnerable school https://t.co/smvtst01cx")</f>
        <v>@drfahrettinkoca Mother Waiting for Answer As Hergiye We are anxious about our children we send to the vulnerable school https://t.co/smvtst01cx</v>
      </c>
    </row>
    <row r="18113" spans="1:5" ht="15" customHeight="1" x14ac:dyDescent="0.25">
      <c r="A18113" s="1" t="s">
        <v>35414</v>
      </c>
      <c r="B18113" s="1">
        <v>0</v>
      </c>
      <c r="C18113" s="3">
        <v>44538.89203703704</v>
      </c>
      <c r="D18113" s="1" t="s">
        <v>35415</v>
      </c>
      <c r="E18113" s="4" t="str">
        <f ca="1">IFERROR(__xludf.DUMMYFUNCTION("GOOGLETRANSLATE(A916 , ""tr"" , ""en"")"),"@drfahrettinkoca @cholarulu_ https://t.co/2wpgfxkidw")</f>
        <v>@drfahrettinkoca @cholarulu_ https://t.co/2wpgfxkidw</v>
      </c>
    </row>
    <row r="18114" spans="1:5" ht="15" customHeight="1" x14ac:dyDescent="0.25">
      <c r="A18114" s="1" t="s">
        <v>35416</v>
      </c>
      <c r="B18114" s="1">
        <v>0</v>
      </c>
      <c r="C18114" s="3">
        <v>44538.888148148151</v>
      </c>
      <c r="D18114" s="1" t="s">
        <v>35417</v>
      </c>
      <c r="E18114" s="4" t="str">
        <f ca="1">IFERROR(__xludf.DUMMYFUNCTION("GOOGLETRANSLATE(A917 , ""tr"" , ""en"")"),"@drfahrettinkoca This is the case for all health workers in this unique and free media gossip in this apologize to the name of all health workers ... https://t.co/qmmakkupfy")</f>
        <v>@drfahrettinkoca This is the case for all health workers in this unique and free media gossip in this apologize to the name of all health workers ... https://t.co/qmmakkupfy</v>
      </c>
    </row>
    <row r="18115" spans="1:5" ht="15" customHeight="1" x14ac:dyDescent="0.25">
      <c r="A18115" s="1" t="s">
        <v>35418</v>
      </c>
      <c r="B18115" s="1">
        <v>0</v>
      </c>
      <c r="C18115" s="3">
        <v>44538.876898148148</v>
      </c>
      <c r="D18115" s="1" t="s">
        <v>35419</v>
      </c>
      <c r="E18115" s="4" t="str">
        <f ca="1">IFERROR(__xludf.DUMMYFUNCTION("GOOGLETRANSLATE(A918 , ""tr"" , ""en"")"),"@drfahrettinkoca you could never decide on time Bari please give this time. 3. Download the interval of the doses to 3 months.")</f>
        <v>@drfahrettinkoca you could never decide on time Bari please give this time. 3. Download the interval of the doses to 3 months.</v>
      </c>
    </row>
    <row r="18116" spans="1:5" ht="15" customHeight="1" x14ac:dyDescent="0.25">
      <c r="A18116" s="1" t="s">
        <v>35420</v>
      </c>
      <c r="B18116" s="1">
        <v>0</v>
      </c>
      <c r="C18116" s="3">
        <v>44538.874930555554</v>
      </c>
      <c r="D18116" s="1" t="s">
        <v>35421</v>
      </c>
      <c r="E18116" s="4" t="str">
        <f ca="1">IFERROR(__xludf.DUMMYFUNCTION("GOOGLETRANSLATE(A919 , ""tr"" , ""en"")"),"@drfahrettinkoca Do you hear ?? Please give ears no longer. 3. Doses Download 3 months into the range https://t.co/sf5ypkuIwr")</f>
        <v>@drfahrettinkoca Do you hear ?? Please give ears no longer. 3. Doses Download 3 months into the range https://t.co/sf5ypkuIwr</v>
      </c>
    </row>
    <row r="18117" spans="1:5" ht="15" customHeight="1" x14ac:dyDescent="0.25">
      <c r="A18117" s="1" t="s">
        <v>35422</v>
      </c>
      <c r="B18117" s="1">
        <v>3</v>
      </c>
      <c r="C18117" s="3">
        <v>44538.872650462959</v>
      </c>
      <c r="D18117" s="1" t="s">
        <v>35423</v>
      </c>
      <c r="E18117" s="4" t="str">
        <f ca="1">IFERROR(__xludf.DUMMYFUNCTION("GOOGLETRANSLATE(A920 , ""tr"" , ""en"")"),"@drfahrettinkoca is not like minds that you stay so insensitive. Should they be mass kamilia for you to act ... https://t.co/DJIJTOXQS7")</f>
        <v>@drfahrettinkoca is not like minds that you stay so insensitive. Should they be mass kamilia for you to act ... https://t.co/DJIJTOXQS7</v>
      </c>
    </row>
    <row r="18118" spans="1:5" ht="15" customHeight="1" x14ac:dyDescent="0.25">
      <c r="A18118" s="1" t="s">
        <v>35424</v>
      </c>
      <c r="B18118" s="1">
        <v>0</v>
      </c>
      <c r="C18118" s="3">
        <v>44538.867129629631</v>
      </c>
      <c r="D18118" s="1" t="s">
        <v>35425</v>
      </c>
      <c r="E18118" s="4" t="str">
        <f ca="1">IFERROR(__xludf.DUMMYFUNCTION("GOOGLETRANSLATE(A921 , ""tr"" , ""en"")"),"@drfahrettinkoca @saglikbakanligi https://t.co/m5rtr7mcbc")</f>
        <v>@drfahrettinkoca @saglikbakanligi https://t.co/m5rtr7mcbc</v>
      </c>
    </row>
    <row r="18119" spans="1:5" ht="15" customHeight="1" x14ac:dyDescent="0.25">
      <c r="A18119" s="1" t="s">
        <v>35426</v>
      </c>
      <c r="B18119" s="1">
        <v>0</v>
      </c>
      <c r="C18119" s="3">
        <v>44538.863703703704</v>
      </c>
      <c r="D18119" s="1" t="s">
        <v>35427</v>
      </c>
      <c r="E18119" s="4" t="str">
        <f ca="1">IFERROR(__xludf.DUMMYFUNCTION("GOOGLETRANSLATE(A922 , ""tr"" , ""en"")"),"@drfahrettinka https://t.co/03b6rkal7d")</f>
        <v>@drfahrettinka https://t.co/03b6rkal7d</v>
      </c>
    </row>
    <row r="18120" spans="1:5" ht="15" customHeight="1" x14ac:dyDescent="0.25">
      <c r="A18120" s="1" t="s">
        <v>35428</v>
      </c>
      <c r="B18120" s="1">
        <v>0</v>
      </c>
      <c r="C18120" s="3">
        <v>44538.853703703702</v>
      </c>
      <c r="D18120" s="1" t="s">
        <v>35429</v>
      </c>
      <c r="E18120" s="4" t="str">
        <f ca="1">IFERROR(__xludf.DUMMYFUNCTION("GOOGLETRANSLATE(A923 , ""tr"" , ""en"")"),"@drfahrettinkoca Precipal President, the arms of the chest of six spinal cord paralysis of the chest are also intact.")</f>
        <v>@drfahrettinkoca Precipal President, the arms of the chest of six spinal cord paralysis of the chest are also intact.</v>
      </c>
    </row>
    <row r="18121" spans="1:5" ht="15" customHeight="1" x14ac:dyDescent="0.25">
      <c r="A18121" s="1" t="s">
        <v>35430</v>
      </c>
      <c r="B18121" s="1">
        <v>0</v>
      </c>
      <c r="C18121" s="3">
        <v>44538.853495370371</v>
      </c>
      <c r="D18121" s="1" t="s">
        <v>35431</v>
      </c>
      <c r="E18121" s="4" t="str">
        <f ca="1">IFERROR(__xludf.DUMMYFUNCTION("GOOGLETRANSLATE(A924 , ""tr"" , ""en"")"),"@drfahrettinkoca Gecaire Minister, the arms of the chest of six spinal cord paralysis of six spinal cord paralyzes are not interrupted ... https://t.co/w7paqsok2p")</f>
        <v>@drfahrettinkoca Gecaire Minister, the arms of the chest of six spinal cord paralysis of six spinal cord paralyzes are not interrupted ... https://t.co/w7paqsok2p</v>
      </c>
    </row>
    <row r="18122" spans="1:5" ht="15" customHeight="1" x14ac:dyDescent="0.25">
      <c r="A18122" s="1" t="s">
        <v>35432</v>
      </c>
      <c r="B18122" s="1">
        <v>0</v>
      </c>
      <c r="C18122" s="3">
        <v>44538.842118055552</v>
      </c>
      <c r="D18122" s="1" t="s">
        <v>35433</v>
      </c>
      <c r="E18122" s="4" t="str">
        <f ca="1">IFERROR(__xludf.DUMMYFUNCTION("GOOGLETRANSLATE(A925 , ""tr"" , ""en"")"),"@drfahrettinkoca hospitals supervising displacement patience patience but in patience for patience no room at all to an appointment ... https://t.co/7bq5IA350p")</f>
        <v>@drfahrettinkoca hospitals supervising displacement patience patience but in patience for patience no room at all to an appointment ... https://t.co/7bq5IA350p</v>
      </c>
    </row>
    <row r="18123" spans="1:5" ht="15" customHeight="1" x14ac:dyDescent="0.25">
      <c r="A18123" s="1" t="s">
        <v>35434</v>
      </c>
      <c r="B18123" s="1">
        <v>0</v>
      </c>
      <c r="C18123" s="3">
        <v>44538.838796296295</v>
      </c>
      <c r="D18123" s="1" t="s">
        <v>35435</v>
      </c>
      <c r="E18123" s="4" t="str">
        <f ca="1">IFERROR(__xludf.DUMMYFUNCTION("GOOGLETRANSLATE(A926 , ""tr"" , ""en"")"),"@drfahrettinkoca Mr. Minister My Mother Today Göztepe Prof.Dr.Dr.Süleyman Yalçın City Hospital for 15 days ... https://t.co/xkiztvnk8e")</f>
        <v>@drfahrettinkoca Mr. Minister My Mother Today Göztepe Prof.Dr.Dr.Süleyman Yalçın City Hospital for 15 days ... https://t.co/xkiztvnk8e</v>
      </c>
    </row>
    <row r="18124" spans="1:5" ht="15" customHeight="1" x14ac:dyDescent="0.25">
      <c r="A18124" s="1" t="s">
        <v>35436</v>
      </c>
      <c r="B18124" s="1">
        <v>2</v>
      </c>
      <c r="C18124" s="3">
        <v>44538.836736111109</v>
      </c>
      <c r="D18124" s="1" t="s">
        <v>35437</v>
      </c>
      <c r="E18124" s="4" t="str">
        <f ca="1">IFERROR(__xludf.DUMMYFUNCTION("GOOGLETRANSLATE(A927 , ""tr"" , ""en"")"),"@drfahrettinkoca @csgbakanligi # subcontracting")</f>
        <v>@drfahrettinkoca @csgbakanligi # subcontracting</v>
      </c>
    </row>
    <row r="18125" spans="1:5" ht="15" customHeight="1" x14ac:dyDescent="0.25">
      <c r="A18125" s="1" t="s">
        <v>35438</v>
      </c>
      <c r="B18125" s="1">
        <v>0</v>
      </c>
      <c r="C18125" s="3">
        <v>44538.826921296299</v>
      </c>
      <c r="D18125" s="1" t="s">
        <v>35439</v>
      </c>
      <c r="E18125" s="4" t="str">
        <f ca="1">IFERROR(__xludf.DUMMYFUNCTION("GOOGLETRANSLATE(A928 , ""tr"" , ""en"")"),"@drfahrettinkoca @saglikbakanligi https://t.co/tkjwtwzixa")</f>
        <v>@drfahrettinkoca @saglikbakanligi https://t.co/tkjwtwzixa</v>
      </c>
    </row>
    <row r="18126" spans="1:5" ht="15" customHeight="1" x14ac:dyDescent="0.25">
      <c r="A18126" s="1" t="s">
        <v>35440</v>
      </c>
      <c r="B18126" s="1">
        <v>0</v>
      </c>
      <c r="C18126" s="3">
        <v>44538.824756944443</v>
      </c>
      <c r="D18126" s="1" t="s">
        <v>35441</v>
      </c>
      <c r="E18126" s="4" t="str">
        <f ca="1">IFERROR(__xludf.DUMMYFUNCTION("GOOGLETRANSLATE(A929 , ""tr"" , ""en"")"),"@drfahrettinkoca @saglikbakanligi https://t.co/e4ibbc21o1")</f>
        <v>@drfahrettinkoca @saglikbakanligi https://t.co/e4ibbc21o1</v>
      </c>
    </row>
    <row r="18127" spans="1:5" ht="15" customHeight="1" x14ac:dyDescent="0.25">
      <c r="A18127" s="1" t="s">
        <v>35442</v>
      </c>
      <c r="B18127" s="1">
        <v>0</v>
      </c>
      <c r="C18127" s="3">
        <v>44538.824224537035</v>
      </c>
      <c r="D18127" s="1" t="s">
        <v>35443</v>
      </c>
      <c r="E18127" s="4" t="str">
        <f ca="1">IFERROR(__xludf.DUMMYFUNCTION("GOOGLETRANSLATE(A930 , ""tr"" , ""en"")"),"@drfahrettinkoca @rterdogan https://t.co/6asp8vdzsx")</f>
        <v>@drfahrettinkoca @rterdogan https://t.co/6asp8vdzsx</v>
      </c>
    </row>
    <row r="18128" spans="1:5" ht="15" customHeight="1" x14ac:dyDescent="0.25">
      <c r="A18128" s="1" t="s">
        <v>35444</v>
      </c>
      <c r="B18128" s="1">
        <v>2</v>
      </c>
      <c r="C18128" s="3">
        <v>44538.810173611113</v>
      </c>
      <c r="D18128" s="1" t="s">
        <v>35445</v>
      </c>
      <c r="E18128" s="4" t="str">
        <f ca="1">IFERROR(__xludf.DUMMYFUNCTION("GOOGLETRANSLATE(A931 , ""tr"" , ""en"")"),"@drfahrettinkoca Don't you report that hadless rolled? #Pair of apologeticilehakanural")</f>
        <v>@drfahrettinkoca Don't you report that hadless rolled? #Pair of apologeticilehakanural</v>
      </c>
    </row>
    <row r="18129" spans="1:5" ht="15" customHeight="1" x14ac:dyDescent="0.25">
      <c r="A18129" s="1" t="s">
        <v>35446</v>
      </c>
      <c r="B18129" s="1">
        <v>0</v>
      </c>
      <c r="C18129" s="3">
        <v>44538.809571759259</v>
      </c>
      <c r="D18129" s="1" t="s">
        <v>35447</v>
      </c>
      <c r="E18129" s="4" t="str">
        <f ca="1">IFERROR(__xludf.DUMMYFUNCTION("GOOGLETRANSLATE(A932 , ""tr"" , ""en"")"),"@drfahrettinkoca you are at our ministerzzzz? Because it is a Begian who sees us like beggar, doesn't come out even if it's a ba ... https://t.co/e4nwelkult")</f>
        <v>@drfahrettinkoca you are at our ministerzzzz? Because it is a Begian who sees us like beggar, doesn't come out even if it's a ba ... https://t.co/e4nwelkult</v>
      </c>
    </row>
    <row r="18130" spans="1:5" ht="15" customHeight="1" x14ac:dyDescent="0.25">
      <c r="A18130" s="1" t="s">
        <v>35448</v>
      </c>
      <c r="B18130" s="1">
        <v>0</v>
      </c>
      <c r="C18130" s="3">
        <v>44538.809513888889</v>
      </c>
      <c r="D18130" s="1" t="s">
        <v>35449</v>
      </c>
      <c r="E18130" s="4" t="str">
        <f ca="1">IFERROR(__xludf.DUMMYFUNCTION("GOOGLETRANSLATE(A933 , ""tr"" , ""en"")"),"?")</f>
        <v>?</v>
      </c>
    </row>
    <row r="18131" spans="1:5" ht="15" customHeight="1" x14ac:dyDescent="0.25">
      <c r="A18131" s="1" t="s">
        <v>35450</v>
      </c>
      <c r="B18131" s="1">
        <v>0</v>
      </c>
      <c r="C18131" s="3">
        <v>44538.80945601852</v>
      </c>
      <c r="D18131" s="1" t="s">
        <v>35451</v>
      </c>
      <c r="E18131" s="4" t="str">
        <f ca="1">IFERROR(__xludf.DUMMYFUNCTION("GOOGLETRANSLATE(A934 , ""tr"" , ""en"")"),"@drfahrettinkca we are at our ministerzz? Because it is a bug that doesn't go to care of us like beggar ... https://t.co/orqlstazfo")</f>
        <v>@drfahrettinkca we are at our ministerzz? Because it is a bug that doesn't go to care of us like beggar ... https://t.co/orqlstazfo</v>
      </c>
    </row>
    <row r="18132" spans="1:5" ht="15" customHeight="1" x14ac:dyDescent="0.25">
      <c r="A18132" s="1" t="s">
        <v>35452</v>
      </c>
      <c r="B18132" s="1">
        <v>0</v>
      </c>
      <c r="C18132" s="3">
        <v>44538.809398148151</v>
      </c>
      <c r="D18132" s="1" t="s">
        <v>35453</v>
      </c>
      <c r="E18132" s="4" t="str">
        <f ca="1">IFERROR(__xludf.DUMMYFUNCTION("GOOGLETRANSLATE(A935 , ""tr"" , ""en"")"),"@drfahrettinkoca is our minister to our minister? Because it's a bug that doesn't come true to see us like beggar ... https://t.co/nlxqibIwgd")</f>
        <v>@drfahrettinkoca is our minister to our minister? Because it's a bug that doesn't come true to see us like beggar ... https://t.co/nlxqibIwgd</v>
      </c>
    </row>
    <row r="18133" spans="1:5" ht="15" customHeight="1" x14ac:dyDescent="0.25">
      <c r="A18133" s="1" t="s">
        <v>35454</v>
      </c>
      <c r="B18133" s="1">
        <v>0</v>
      </c>
      <c r="C18133" s="3">
        <v>44538.809317129628</v>
      </c>
      <c r="D18133" s="1" t="s">
        <v>35455</v>
      </c>
      <c r="E18133" s="4" t="str">
        <f ca="1">IFERROR(__xludf.DUMMYFUNCTION("GOOGLETRANSLATE(A936 , ""tr"" , ""en"")"),"@drfahrettinkoca is our minister at our minister? Because the beggar as the beggar is an unaware of me ... https://t.co/7brzwggjqc")</f>
        <v>@drfahrettinkoca is our minister at our minister? Because the beggar as the beggar is an unaware of me ... https://t.co/7brzwggjqc</v>
      </c>
    </row>
    <row r="18134" spans="1:5" ht="15" customHeight="1" x14ac:dyDescent="0.25">
      <c r="A18134" s="1" t="s">
        <v>35456</v>
      </c>
      <c r="B18134" s="1">
        <v>0</v>
      </c>
      <c r="C18134" s="3">
        <v>44538.809247685182</v>
      </c>
      <c r="D18134" s="1" t="s">
        <v>35457</v>
      </c>
      <c r="E18134" s="4" t="str">
        <f ca="1">IFERROR(__xludf.DUMMYFUNCTION("GOOGLETRANSLATE(A937 , ""tr"" , ""en"")"),"@drfahrettinka is our minister to our minister? Because it's a buggy that sees us like beggar doesn't come out even in a https://t.co/rplhjhiqqp")</f>
        <v>@drfahrettinka is our minister to our minister? Because it's a buggy that sees us like beggar doesn't come out even in a https://t.co/rplhjhiqqp</v>
      </c>
    </row>
    <row r="18135" spans="1:5" ht="15" customHeight="1" x14ac:dyDescent="0.25">
      <c r="A18135" s="1" t="s">
        <v>35458</v>
      </c>
      <c r="B18135" s="1">
        <v>0</v>
      </c>
      <c r="C18135" s="3">
        <v>44538.809189814812</v>
      </c>
      <c r="D18135" s="1" t="s">
        <v>35459</v>
      </c>
      <c r="E18135" s="4" t="str">
        <f ca="1">IFERROR(__xludf.DUMMYFUNCTION("GOOGLETRANSLATE(A938 , ""tr"" , ""en"")"),"@drfahrettinkoca is our minister to our minister? Because it is a bug that does not appear to see us like beggar ... https://t.co/vwbpz8jpa0")</f>
        <v>@drfahrettinkoca is our minister to our minister? Because it is a bug that does not appear to see us like beggar ... https://t.co/vwbpz8jpa0</v>
      </c>
    </row>
    <row r="18136" spans="1:5" ht="15" customHeight="1" x14ac:dyDescent="0.25">
      <c r="A18136" s="1" t="s">
        <v>35460</v>
      </c>
      <c r="B18136" s="1">
        <v>1</v>
      </c>
      <c r="C18136" s="3">
        <v>44538.809178240743</v>
      </c>
      <c r="D18136" s="1" t="s">
        <v>35461</v>
      </c>
      <c r="E18136" s="4" t="str">
        <f ca="1">IFERROR(__xludf.DUMMYFUNCTION("GOOGLETRANSLATE(A939 , ""tr"" , ""en"")"),"@drfahrettinkoca You are still a variety of vaccine and immune to escapen after a certain range of the vaccine diy ... https://t.co/p9zlkbqezp")</f>
        <v>@drfahrettinkoca You are still a variety of vaccine and immune to escapen after a certain range of the vaccine diy ... https://t.co/p9zlkbqezp</v>
      </c>
    </row>
    <row r="18137" spans="1:5" ht="15" customHeight="1" x14ac:dyDescent="0.25">
      <c r="A18137" s="1" t="s">
        <v>35462</v>
      </c>
      <c r="B18137" s="1">
        <v>0</v>
      </c>
      <c r="C18137" s="3">
        <v>44538.80914351852</v>
      </c>
      <c r="D18137" s="1" t="s">
        <v>35463</v>
      </c>
      <c r="E18137" s="4" t="str">
        <f ca="1">IFERROR(__xludf.DUMMYFUNCTION("GOOGLETRANSLATE(A940 , ""tr"" , ""en"")"),"@drfahrettinkoca is our minister at our minister? Because it is a bug that doesn't come true to see us like beggar ... https://t.co/e9nnlujhkk")</f>
        <v>@drfahrettinkoca is our minister at our minister? Because it is a bug that doesn't come true to see us like beggar ... https://t.co/e9nnlujhkk</v>
      </c>
    </row>
    <row r="18138" spans="1:5" ht="15" customHeight="1" x14ac:dyDescent="0.25">
      <c r="A18138" s="1" t="s">
        <v>35464</v>
      </c>
      <c r="B18138" s="1">
        <v>0</v>
      </c>
      <c r="C18138" s="3">
        <v>44538.809074074074</v>
      </c>
      <c r="D18138" s="1" t="s">
        <v>35465</v>
      </c>
      <c r="E18138" s="4" t="str">
        <f ca="1">IFERROR(__xludf.DUMMYFUNCTION("GOOGLETRANSLATE(A941 , ""tr"" , ""en"")"),"@drfahrettinkoca is our minister too? Because it is a Beg of us as the beggar is an unaware of me ... https://t.co/hjjgogzpxc")</f>
        <v>@drfahrettinkoca is our minister too? Because it is a Beg of us as the beggar is an unaware of me ... https://t.co/hjjgogzpxc</v>
      </c>
    </row>
    <row r="18139" spans="1:5" ht="15" customHeight="1" x14ac:dyDescent="0.25">
      <c r="A18139" s="1" t="s">
        <v>35466</v>
      </c>
      <c r="B18139" s="1">
        <v>0</v>
      </c>
      <c r="C18139" s="3">
        <v>44538.809016203704</v>
      </c>
      <c r="D18139" s="1" t="s">
        <v>35467</v>
      </c>
      <c r="E18139" s="4" t="str">
        <f ca="1">IFERROR(__xludf.DUMMYFUNCTION("GOOGLETRANSLATE(A942 , ""tr"" , ""en"")"),"@drfahrettinkoca is our minister at our minister? Because it is a bug that doesn't look like a beggar as the beggar ... HTTPS://T.CO/IEG8XRCHDX")</f>
        <v>@drfahrettinkoca is our minister at our minister? Because it is a bug that doesn't look like a beggar as the beggar ... HTTPS://T.CO/IEG8XRCHDX</v>
      </c>
    </row>
    <row r="18140" spans="1:5" ht="15" customHeight="1" x14ac:dyDescent="0.25">
      <c r="A18140" s="1" t="s">
        <v>35468</v>
      </c>
      <c r="B18140" s="1">
        <v>0</v>
      </c>
      <c r="C18140" s="3">
        <v>44538.808958333335</v>
      </c>
      <c r="D18140" s="1" t="s">
        <v>35469</v>
      </c>
      <c r="E18140" s="4" t="str">
        <f ca="1">IFERROR(__xludf.DUMMYFUNCTION("GOOGLETRANSLATE(A943 , ""tr"" , ""en"")"),"@drfahrettinkoca we are at our minister? Because it is a bug that doesn't come true to see us like beggar ... https://t.co/8Iaq1zhhyv")</f>
        <v>@drfahrettinkoca we are at our minister? Because it is a bug that doesn't come true to see us like beggar ... https://t.co/8Iaq1zhhyv</v>
      </c>
    </row>
    <row r="18141" spans="1:5" ht="15" customHeight="1" x14ac:dyDescent="0.25">
      <c r="A18141" s="1" t="s">
        <v>35470</v>
      </c>
      <c r="B18141" s="1">
        <v>0</v>
      </c>
      <c r="C18141" s="3">
        <v>44538.808900462966</v>
      </c>
      <c r="D18141" s="1" t="s">
        <v>35471</v>
      </c>
      <c r="E18141" s="4" t="str">
        <f ca="1">IFERROR(__xludf.DUMMYFUNCTION("GOOGLETRANSLATE(A944 , ""tr"" , ""en"")"),"@drfahrettinkoca is our minister too? Because it is a bug that doesn't come true to see us like beggar ... https://t.co/wils5k2rrf")</f>
        <v>@drfahrettinkoca is our minister too? Because it is a bug that doesn't come true to see us like beggar ... https://t.co/wils5k2rrf</v>
      </c>
    </row>
    <row r="18142" spans="1:5" ht="15" customHeight="1" x14ac:dyDescent="0.25">
      <c r="A18142" s="1" t="s">
        <v>35472</v>
      </c>
      <c r="B18142" s="1">
        <v>0</v>
      </c>
      <c r="C18142" s="3">
        <v>44538.808842592596</v>
      </c>
      <c r="D18142" s="1" t="s">
        <v>35473</v>
      </c>
      <c r="E18142" s="4" t="str">
        <f ca="1">IFERROR(__xludf.DUMMYFUNCTION("GOOGLETRANSLATE(A945 , ""tr"" , ""en"")"),"@drfahrettinkoca is our mining at our minister? Because it is a Begian that doesn't look like the beggar, even an unaware of me ... https://t.co/lylb7qzsmy")</f>
        <v>@drfahrettinkoca is our mining at our minister? Because it is a Begian that doesn't look like the beggar, even an unaware of me ... https://t.co/lylb7qzsmy</v>
      </c>
    </row>
    <row r="18143" spans="1:5" ht="15" customHeight="1" x14ac:dyDescent="0.25">
      <c r="A18143" s="1" t="s">
        <v>35474</v>
      </c>
      <c r="B18143" s="1">
        <v>0</v>
      </c>
      <c r="C18143" s="3">
        <v>44538.80878472222</v>
      </c>
      <c r="D18143" s="1" t="s">
        <v>35475</v>
      </c>
      <c r="E18143" s="4" t="str">
        <f ca="1">IFERROR(__xludf.DUMMYFUNCTION("GOOGLETRANSLATE(A946 , ""tr"" , ""en"")"),"?")</f>
        <v>?</v>
      </c>
    </row>
    <row r="18144" spans="1:5" ht="15" customHeight="1" x14ac:dyDescent="0.25">
      <c r="A18144" s="1" t="s">
        <v>35476</v>
      </c>
      <c r="B18144" s="1">
        <v>0</v>
      </c>
      <c r="C18144" s="3">
        <v>44538.808738425927</v>
      </c>
      <c r="D18144" s="1" t="s">
        <v>35477</v>
      </c>
      <c r="E18144" s="4" t="str">
        <f ca="1">IFERROR(__xludf.DUMMYFUNCTION("GOOGLETRANSLATE(A947 , ""tr"" , ""en"")"),"@drfahrettinkoca is our minister too? Because it's a bug that doesn't look at us like a beggar in the beggar ... https://t.co/kruwh6mlg9")</f>
        <v>@drfahrettinkoca is our minister too? Because it's a bug that doesn't look at us like a beggar in the beggar ... https://t.co/kruwh6mlg9</v>
      </c>
    </row>
    <row r="18145" spans="1:5" ht="15" customHeight="1" x14ac:dyDescent="0.25">
      <c r="A18145" s="1" t="s">
        <v>35478</v>
      </c>
      <c r="B18145" s="1">
        <v>0</v>
      </c>
      <c r="C18145" s="3">
        <v>44538.808680555558</v>
      </c>
      <c r="D18145" s="1" t="s">
        <v>35479</v>
      </c>
      <c r="E18145" s="4" t="str">
        <f ca="1">IFERROR(__xludf.DUMMYFUNCTION("GOOGLETRANSLATE(A948 , ""tr"" , ""en"")"),"@drfahrettinkoca is our minister at our minister? Because it is a bug that doesn't look like a beggar in the beggar ... HTTPS://T.CO/O4VFSAROIV")</f>
        <v>@drfahrettinkoca is our minister at our minister? Because it is a bug that doesn't look like a beggar in the beggar ... HTTPS://T.CO/O4VFSAROIV</v>
      </c>
    </row>
    <row r="18146" spans="1:5" ht="15" customHeight="1" x14ac:dyDescent="0.25">
      <c r="A18146" s="1" t="s">
        <v>35480</v>
      </c>
      <c r="B18146" s="1">
        <v>1</v>
      </c>
      <c r="C18146" s="3">
        <v>44538.808634259258</v>
      </c>
      <c r="D18146" s="1" t="s">
        <v>35481</v>
      </c>
      <c r="E18146" s="4" t="str">
        <f ca="1">IFERROR(__xludf.DUMMYFUNCTION("GOOGLETRANSLATE(A949 , ""tr"" , ""en"")"),"@drfahrettinkoca is our minister too? Because it is a bug that doesn't even look like a beggar in the beggar ... https://t.co/x7ujgqylsh")</f>
        <v>@drfahrettinkoca is our minister too? Because it is a bug that doesn't even look like a beggar in the beggar ... https://t.co/x7ujgqylsh</v>
      </c>
    </row>
    <row r="18147" spans="1:5" ht="15" customHeight="1" x14ac:dyDescent="0.25">
      <c r="A18147" s="1" t="s">
        <v>35482</v>
      </c>
      <c r="B18147" s="1">
        <v>0</v>
      </c>
      <c r="C18147" s="3">
        <v>44538.808576388888</v>
      </c>
      <c r="D18147" s="1" t="s">
        <v>35483</v>
      </c>
      <c r="E18147" s="4" t="str">
        <f ca="1">IFERROR(__xludf.DUMMYFUNCTION("GOOGLETRANSLATE(A950 , ""tr"" , ""en"")"),"@drfahrettinkoca is our minister at our minister? Because it is a bug that doesn't look like a beggar in the beggar ... https://t.co/n6guzl7a23")</f>
        <v>@drfahrettinkoca is our minister at our minister? Because it is a bug that doesn't look like a beggar in the beggar ... https://t.co/n6guzl7a23</v>
      </c>
    </row>
    <row r="18148" spans="1:5" ht="15" customHeight="1" x14ac:dyDescent="0.25">
      <c r="A18148" s="1" t="s">
        <v>35484</v>
      </c>
      <c r="B18148" s="1">
        <v>0</v>
      </c>
      <c r="C18148" s="3">
        <v>44538.808495370373</v>
      </c>
      <c r="D18148" s="1" t="s">
        <v>35485</v>
      </c>
      <c r="E18148" s="4" t="str">
        <f ca="1">IFERROR(__xludf.DUMMYFUNCTION("GOOGLETRANSLATE(A951 , ""tr"" , ""en"")"),"@drfahrettinkoca is our minister to our minister? Because it is a bug that doesn't come true to see us like beggar ... https://t.co/etpyume1o3")</f>
        <v>@drfahrettinkoca is our minister to our minister? Because it is a bug that doesn't come true to see us like beggar ... https://t.co/etpyume1o3</v>
      </c>
    </row>
    <row r="18149" spans="1:5" ht="15" customHeight="1" x14ac:dyDescent="0.25">
      <c r="A18149" s="1" t="s">
        <v>35486</v>
      </c>
      <c r="B18149" s="1">
        <v>0</v>
      </c>
      <c r="C18149" s="3">
        <v>44538.808437500003</v>
      </c>
      <c r="D18149" s="1" t="s">
        <v>35487</v>
      </c>
      <c r="E18149" s="4" t="str">
        <f ca="1">IFERROR(__xludf.DUMMYFUNCTION("GOOGLETRANSLATE(A952 , ""tr"" , ""en"")"),"@drfahrettinkoca is our minister to our minister? Because the beggar like the beggar is a bae that doesn't come true even ... https://t.co/yaerqkyxxr")</f>
        <v>@drfahrettinkoca is our minister to our minister? Because the beggar like the beggar is a bae that doesn't come true even ... https://t.co/yaerqkyxxr</v>
      </c>
    </row>
    <row r="18150" spans="1:5" ht="15" customHeight="1" x14ac:dyDescent="0.25">
      <c r="A18150" s="1" t="s">
        <v>35488</v>
      </c>
      <c r="B18150" s="1">
        <v>0</v>
      </c>
      <c r="C18150" s="3">
        <v>44538.808379629627</v>
      </c>
      <c r="D18150" s="1" t="s">
        <v>35489</v>
      </c>
      <c r="E18150" s="4" t="str">
        <f ca="1">IFERROR(__xludf.DUMMYFUNCTION("GOOGLETRANSLATE(A953 , ""tr"" , ""en"")"),"@drfahrettinkoca is our minister at our minister? Because it is a bug that doesn't go out of sight of us like beggar ... https://t.co/udneun5n05")</f>
        <v>@drfahrettinkoca is our minister at our minister? Because it is a bug that doesn't go out of sight of us like beggar ... https://t.co/udneun5n05</v>
      </c>
    </row>
    <row r="18151" spans="1:5" ht="15" customHeight="1" x14ac:dyDescent="0.25">
      <c r="A18151" s="1" t="s">
        <v>35490</v>
      </c>
      <c r="B18151" s="1">
        <v>0</v>
      </c>
      <c r="C18151" s="3">
        <v>44538.808321759258</v>
      </c>
      <c r="D18151" s="1" t="s">
        <v>35491</v>
      </c>
      <c r="E18151" s="4" t="str">
        <f ca="1">IFERROR(__xludf.DUMMYFUNCTION("GOOGLETRANSLATE(A954 , ""tr"" , ""en"")"),"@drfahrettinkoca is our minister to our minister? Because it is a bug that doesn't look like a beggar as the beggar ... https://t.co/hkyyl2xxq2")</f>
        <v>@drfahrettinkoca is our minister to our minister? Because it is a bug that doesn't look like a beggar as the beggar ... https://t.co/hkyyl2xxq2</v>
      </c>
    </row>
    <row r="18152" spans="1:5" ht="15" customHeight="1" x14ac:dyDescent="0.25">
      <c r="A18152" s="1" t="s">
        <v>35492</v>
      </c>
      <c r="B18152" s="1">
        <v>0</v>
      </c>
      <c r="C18152" s="3">
        <v>44538.808263888888</v>
      </c>
      <c r="D18152" s="1" t="s">
        <v>35493</v>
      </c>
      <c r="E18152" s="4" t="str">
        <f ca="1">IFERROR(__xludf.DUMMYFUNCTION("GOOGLETRANSLATE(A955 , ""tr"" , ""en"")"),"@drfahrettinkoca is our minister at our minister? Because it is a bug that doesn't go out of sight of us like beggar ... https://t.co/rebtk5naer")</f>
        <v>@drfahrettinkoca is our minister at our minister? Because it is a bug that doesn't go out of sight of us like beggar ... https://t.co/rebtk5naer</v>
      </c>
    </row>
    <row r="18153" spans="1:5" ht="15" customHeight="1" x14ac:dyDescent="0.25">
      <c r="A18153" s="1" t="s">
        <v>35494</v>
      </c>
      <c r="B18153" s="1">
        <v>0</v>
      </c>
      <c r="C18153" s="3">
        <v>44538.808217592596</v>
      </c>
      <c r="D18153" s="1" t="s">
        <v>35495</v>
      </c>
      <c r="E18153" s="4" t="str">
        <f ca="1">IFERROR(__xludf.DUMMYFUNCTION("GOOGLETRANSLATE(A956 , ""tr"" , ""en"")"),"@drfahrettinkoca is our minister to our minister? Because it is a bug that doesn't look like a beggar in the beggar ... https://t.co/hswvugyfcc")</f>
        <v>@drfahrettinkoca is our minister to our minister? Because it is a bug that doesn't look like a beggar in the beggar ... https://t.co/hswvugyfcc</v>
      </c>
    </row>
    <row r="18154" spans="1:5" ht="15" customHeight="1" x14ac:dyDescent="0.25">
      <c r="A18154" s="1" t="s">
        <v>35496</v>
      </c>
      <c r="B18154" s="1">
        <v>0</v>
      </c>
      <c r="C18154" s="3">
        <v>44538.808159722219</v>
      </c>
      <c r="D18154" s="1" t="s">
        <v>35497</v>
      </c>
      <c r="E18154" s="4" t="str">
        <f ca="1">IFERROR(__xludf.DUMMYFUNCTION("GOOGLETRANSLATE(A957 , ""tr"" , ""en"")"),"@drfahrettinkoca is our minister at our minister? Because it is a bug that doesn't look like a beggar in the beggar ... https://t.co/rzafyaqzlz")</f>
        <v>@drfahrettinkoca is our minister at our minister? Because it is a bug that doesn't look like a beggar in the beggar ... https://t.co/rzafyaqzlz</v>
      </c>
    </row>
    <row r="18155" spans="1:5" ht="15" customHeight="1" x14ac:dyDescent="0.25">
      <c r="A18155" s="1" t="s">
        <v>35498</v>
      </c>
      <c r="B18155" s="1">
        <v>0</v>
      </c>
      <c r="C18155" s="3">
        <v>44538.80809027778</v>
      </c>
      <c r="D18155" s="1" t="s">
        <v>35499</v>
      </c>
      <c r="E18155" s="4" t="str">
        <f ca="1">IFERROR(__xludf.DUMMYFUNCTION("GOOGLETRANSLATE(A958 , ""tr"" , ""en"")"),"@drfahrettinkoca is our minister if we are at the minister? Because it is a bug that doesn't look like a beggar, even an unpaired Ba ... https://t.co/gxqt18xayg")</f>
        <v>@drfahrettinkoca is our minister if we are at the minister? Because it is a bug that doesn't look like a beggar, even an unpaired Ba ... https://t.co/gxqt18xayg</v>
      </c>
    </row>
    <row r="18156" spans="1:5" ht="15" customHeight="1" x14ac:dyDescent="0.25">
      <c r="A18156" s="1" t="s">
        <v>35500</v>
      </c>
      <c r="B18156" s="1">
        <v>0</v>
      </c>
      <c r="C18156" s="3">
        <v>44538.806666666664</v>
      </c>
      <c r="D18156" s="1" t="s">
        <v>35501</v>
      </c>
      <c r="E18156" s="4" t="str">
        <f ca="1">IFERROR(__xludf.DUMMYFUNCTION("GOOGLETRANSLATE(A959 , ""tr"" , ""en"")"),"@drfahrettinka https://t.co/fxft7ykq2t")</f>
        <v>@drfahrettinka https://t.co/fxft7ykq2t</v>
      </c>
    </row>
    <row r="18157" spans="1:5" ht="15" customHeight="1" x14ac:dyDescent="0.25">
      <c r="A18157" s="1" t="s">
        <v>35502</v>
      </c>
      <c r="B18157" s="1">
        <v>0</v>
      </c>
      <c r="C18157" s="3">
        <v>44538.795995370368</v>
      </c>
      <c r="D18157" s="1" t="s">
        <v>35503</v>
      </c>
      <c r="E18157" s="4" t="str">
        <f ca="1">IFERROR(__xludf.DUMMYFUNCTION("GOOGLETRANSLATE(A960 , ""tr"" , ""en"")"),"@drfahrettinkoca Would you be our minister? Because he doesn't care about the trifle that sees us like beggar ... https://t.co/fhezkqo6d8")</f>
        <v>@drfahrettinkoca Would you be our minister? Because he doesn't care about the trifle that sees us like beggar ... https://t.co/fhezkqo6d8</v>
      </c>
    </row>
    <row r="18158" spans="1:5" ht="15" customHeight="1" x14ac:dyDescent="0.25">
      <c r="A18158" s="1" t="s">
        <v>35504</v>
      </c>
      <c r="B18158" s="1">
        <v>0</v>
      </c>
      <c r="C18158" s="3">
        <v>44538.795127314814</v>
      </c>
      <c r="D18158" s="1" t="s">
        <v>35505</v>
      </c>
      <c r="E18158" s="4" t="str">
        <f ca="1">IFERROR(__xludf.DUMMYFUNCTION("GOOGLETRANSLATE(A961 , ""tr"" , ""en"")"),"@drfahrettinkoca @emniyetgm @saglikbakanligi Will the criminal sanction on this person who deducted to the healthcareists ?? https://t.co/1qkxwxvooa")</f>
        <v>@drfahrettinkoca @emniyetgm @saglikbakanligi Will the criminal sanction on this person who deducted to the healthcareists ?? https://t.co/1qkxwxvooa</v>
      </c>
    </row>
    <row r="18159" spans="1:5" ht="15" customHeight="1" x14ac:dyDescent="0.25">
      <c r="A18159" s="1" t="s">
        <v>35506</v>
      </c>
      <c r="B18159" s="1">
        <v>0</v>
      </c>
      <c r="C18159" s="3">
        <v>44538.793171296296</v>
      </c>
      <c r="D18159" s="1" t="s">
        <v>35507</v>
      </c>
      <c r="E18159" s="4" t="str">
        <f ca="1">IFERROR(__xludf.DUMMYFUNCTION("GOOGLETRANSLATE(A962 , ""tr"" , ""en"")"),"@drfahrettinkoca Bosnic Hudestiffs Player Reshad Strike; President Recep Tayyip Erdogan's Promises related ... https://t.co/gphrkpfkvg")</f>
        <v>@drfahrettinkoca Bosnic Hudestiffs Player Reshad Strike; President Recep Tayyip Erdogan's Promises related ... https://t.co/gphrkpfkvg</v>
      </c>
    </row>
    <row r="18160" spans="1:5" ht="15" customHeight="1" x14ac:dyDescent="0.25">
      <c r="A18160" s="1" t="s">
        <v>35508</v>
      </c>
      <c r="B18160" s="1">
        <v>0</v>
      </c>
      <c r="C18160" s="3">
        <v>44538.787997685184</v>
      </c>
      <c r="D18160" s="1" t="s">
        <v>35509</v>
      </c>
      <c r="E18160" s="4" t="str">
        <f ca="1">IFERROR(__xludf.DUMMYFUNCTION("GOOGLETRANSLATE(A963 , ""tr"" , ""en"")"),"@drfahrettinkoca What are you up ?? #Testbahane https://t.co/bldytcyedv")</f>
        <v>@drfahrettinkoca What are you up ?? #Testbahane https://t.co/bldytcyedv</v>
      </c>
    </row>
    <row r="18161" spans="1:5" ht="15" customHeight="1" x14ac:dyDescent="0.25">
      <c r="A18161" s="1" t="s">
        <v>35510</v>
      </c>
      <c r="B18161" s="1">
        <v>0</v>
      </c>
      <c r="C18161" s="3">
        <v>44538.786458333336</v>
      </c>
      <c r="D18161" s="1" t="s">
        <v>35511</v>
      </c>
      <c r="E18161" s="4" t="str">
        <f ca="1">IFERROR(__xludf.DUMMYFUNCTION("GOOGLETRANSLATE(A964 , ""tr"" , ""en"")"),"@drfahrettinkoca @kilicdarogluk @dbdevletbahceli @suleymansoylu @Meral_Aksener @ Ülfudemirbag23 @ zulfudemirbag23 ... https://t.co/teji2sfqlb")</f>
        <v>@drfahrettinkoca @kilicdarogluk @dbdevletbahceli @suleymansoylu @Meral_Aksener @ Ülfudemirbag23 @ zulfudemirbag23 ... https://t.co/teji2sfqlb</v>
      </c>
    </row>
    <row r="18162" spans="1:5" ht="15" customHeight="1" x14ac:dyDescent="0.25">
      <c r="A18162" s="1" t="s">
        <v>35512</v>
      </c>
      <c r="B18162" s="1">
        <v>0</v>
      </c>
      <c r="C18162" s="3">
        <v>44538.786203703705</v>
      </c>
      <c r="D18162" s="1" t="s">
        <v>35513</v>
      </c>
      <c r="E18162" s="4" t="str">
        <f ca="1">IFERROR(__xludf.DUMMYFUNCTION("GOOGLETRANSLATE(A965 , ""tr"" , ""en"")"),"@drfahrettinkoca @kilicdarogluk @dbdevletbahceli @suleymansoylu @Meral_Aksener @Meral_Aksener @ İMLFULUT23 @ zulfudemirbag23 ... https://t.co/ZHISB3CYRF")</f>
        <v>@drfahrettinkoca @kilicdarogluk @dbdevletbahceli @suleymansoylu @Meral_Aksener @Meral_Aksener @ İMLFULUT23 @ zulfudemirbag23 ... https://t.co/ZHISB3CYRF</v>
      </c>
    </row>
    <row r="18163" spans="1:5" ht="15" customHeight="1" x14ac:dyDescent="0.25">
      <c r="A18163" s="1" t="s">
        <v>35514</v>
      </c>
      <c r="B18163" s="1">
        <v>0</v>
      </c>
      <c r="C18163" s="3">
        <v>44538.780763888892</v>
      </c>
      <c r="D18163" s="1" t="s">
        <v>35515</v>
      </c>
      <c r="E18163" s="4" t="str">
        <f ca="1">IFERROR(__xludf.DUMMYFUNCTION("GOOGLETRANSLATE(A966 , ""tr"" , ""en"")"),"@drfahrettinkoca Mr. Erdogan. 😥 https://t.co/nd8fjofb6n")</f>
        <v>@drfahrettinkoca Mr. Erdogan. 😥 https://t.co/nd8fjofb6n</v>
      </c>
    </row>
    <row r="18164" spans="1:5" ht="15" customHeight="1" x14ac:dyDescent="0.25">
      <c r="A18164" s="1" t="s">
        <v>35516</v>
      </c>
      <c r="B18164" s="1">
        <v>3</v>
      </c>
      <c r="C18164" s="3">
        <v>44538.778865740744</v>
      </c>
      <c r="D18164" s="1" t="s">
        <v>35517</v>
      </c>
      <c r="E18164" s="4" t="str">
        <f ca="1">IFERROR(__xludf.DUMMYFUNCTION("GOOGLETRANSLATE(A967 , ""tr"" , ""en"")"),"@drfahrettinka is your only thought to prevent these, do you have a plan? Are you not being uncomfortable at all? https://t.co/jk7pwkqfx2")</f>
        <v>@drfahrettinka is your only thought to prevent these, do you have a plan? Are you not being uncomfortable at all? https://t.co/jk7pwkqfx2</v>
      </c>
    </row>
    <row r="18165" spans="1:5" ht="15" customHeight="1" x14ac:dyDescent="0.25">
      <c r="A18165" s="1" t="s">
        <v>35518</v>
      </c>
      <c r="B18165" s="1">
        <v>0</v>
      </c>
      <c r="C18165" s="3">
        <v>44538.778599537036</v>
      </c>
      <c r="D18165" s="1" t="s">
        <v>35519</v>
      </c>
      <c r="E18165" s="4" t="str">
        <f ca="1">IFERROR(__xludf.DUMMYFUNCTION("GOOGLETRANSLATE(A968 , ""tr"" , ""en"")"),"@drfahrettinka doesn't even tweet from the lord of the lord. Don't try to avail. The challenge is left to the friends. #Pair of apologeticilehakanural")</f>
        <v>@drfahrettinka doesn't even tweet from the lord of the lord. Don't try to avail. The challenge is left to the friends. #Pair of apologeticilehakanural</v>
      </c>
    </row>
    <row r="18166" spans="1:5" ht="15" customHeight="1" x14ac:dyDescent="0.25">
      <c r="A18166" s="1" t="s">
        <v>35520</v>
      </c>
      <c r="B18166" s="1">
        <v>0</v>
      </c>
      <c r="C18166" s="3">
        <v>44538.778263888889</v>
      </c>
      <c r="D18166" s="1" t="s">
        <v>35521</v>
      </c>
      <c r="E18166" s="4" t="str">
        <f ca="1">IFERROR(__xludf.DUMMYFUNCTION("GOOGLETRANSLATE(A969 , ""tr"" , ""en"")"),"@drfahrettinkoca @rterdogan @tcbestepe https://t.co/e2wzbvdw1d")</f>
        <v>@drfahrettinkoca @rterdogan @tcbestepe https://t.co/e2wzbvdw1d</v>
      </c>
    </row>
    <row r="18167" spans="1:5" ht="15" customHeight="1" x14ac:dyDescent="0.25">
      <c r="A18167" s="1" t="s">
        <v>35522</v>
      </c>
      <c r="B18167" s="1">
        <v>0</v>
      </c>
      <c r="C18167" s="3">
        <v>44538.77716435185</v>
      </c>
      <c r="D18167" s="1" t="s">
        <v>35523</v>
      </c>
      <c r="E18167" s="4" t="str">
        <f ca="1">IFERROR(__xludf.DUMMYFUNCTION("GOOGLETRANSLATE(A970 , ""tr"" , ""en"")"),"@drfahrettinka https://t.co/ohw2qmbl85")</f>
        <v>@drfahrettinka https://t.co/ohw2qmbl85</v>
      </c>
    </row>
    <row r="18168" spans="1:5" ht="15" customHeight="1" x14ac:dyDescent="0.25">
      <c r="A18168" s="1" t="s">
        <v>35524</v>
      </c>
      <c r="B18168" s="1">
        <v>5</v>
      </c>
      <c r="C18168" s="3">
        <v>44538.773043981484</v>
      </c>
      <c r="D18168" s="1" t="s">
        <v>35525</v>
      </c>
      <c r="E18168" s="4" t="str">
        <f ca="1">IFERROR(__xludf.DUMMYFUNCTION("GOOGLETRANSLATE(A971 , ""tr"" , ""en"")"),"@drfahrettinkoca # SubconstructionsHyps: Minister State Hospitals are closing and the residential staff working on the contractor Https://t.co/tc0wu60fpv")</f>
        <v>@drfahrettinkoca # SubconstructionsHyps: Minister State Hospitals are closing and the residential staff working on the contractor Https://t.co/tc0wu60fpv</v>
      </c>
    </row>
    <row r="18169" spans="1:5" ht="15" customHeight="1" x14ac:dyDescent="0.25">
      <c r="A18169" s="1" t="s">
        <v>35526</v>
      </c>
      <c r="B18169" s="1">
        <v>0</v>
      </c>
      <c r="C18169" s="3">
        <v>44538.77138888889</v>
      </c>
      <c r="D18169" s="1" t="s">
        <v>35527</v>
      </c>
      <c r="E18169" s="4" t="str">
        <f ca="1">IFERROR(__xludf.DUMMYFUNCTION("GOOGLETRANSLATE(A972 , ""tr"" , ""en"")"),"@drfahrettinkoca Would you be our minister? Because it doesn't trifle evening us like beggar ... https://t.co/3qwkxqdxwq")</f>
        <v>@drfahrettinkoca Would you be our minister? Because it doesn't trifle evening us like beggar ... https://t.co/3qwkxqdxwq</v>
      </c>
    </row>
    <row r="18170" spans="1:5" ht="15" customHeight="1" x14ac:dyDescent="0.25">
      <c r="A18170" s="1" t="s">
        <v>35528</v>
      </c>
      <c r="B18170" s="1">
        <v>0</v>
      </c>
      <c r="C18170" s="3">
        <v>44538.771377314813</v>
      </c>
      <c r="D18170" s="1" t="s">
        <v>35529</v>
      </c>
      <c r="E18170" s="4" t="str">
        <f ca="1">IFERROR(__xludf.DUMMYFUNCTION("GOOGLETRANSLATE(A973 , ""tr"" , ""en"")"),"@drfahrettinkoca Would you be our minister? Because he doesn't tried to see us like beggar ... HTTPS://T.CO/PFIRSY11SK")</f>
        <v>@drfahrettinkoca Would you be our minister? Because he doesn't tried to see us like beggar ... HTTPS://T.CO/PFIRSY11SK</v>
      </c>
    </row>
    <row r="18171" spans="1:5" ht="15" customHeight="1" x14ac:dyDescent="0.25">
      <c r="A18171" s="1" t="s">
        <v>35530</v>
      </c>
      <c r="B18171" s="1">
        <v>0</v>
      </c>
      <c r="C18171" s="3">
        <v>44538.771377314813</v>
      </c>
      <c r="D18171" s="1" t="s">
        <v>35531</v>
      </c>
      <c r="E18171" s="4" t="str">
        <f ca="1">IFERROR(__xludf.DUMMYFUNCTION("GOOGLETRANSLATE(A974 , ""tr"" , ""en"")"),"@drfahrettinkoca Would you be our minister? Because he doesn't care about the negliger that sees us like beggars ... https://t.co/DRIIXSEB3N")</f>
        <v>@drfahrettinkoca Would you be our minister? Because he doesn't care about the negliger that sees us like beggars ... https://t.co/DRIIXSEB3N</v>
      </c>
    </row>
    <row r="18172" spans="1:5" ht="15" customHeight="1" x14ac:dyDescent="0.25">
      <c r="A18172" s="1" t="s">
        <v>35532</v>
      </c>
      <c r="B18172" s="1">
        <v>0</v>
      </c>
      <c r="C18172" s="3">
        <v>44538.771365740744</v>
      </c>
      <c r="D18172" s="1" t="s">
        <v>35533</v>
      </c>
      <c r="E18172" s="4" t="str">
        <f ca="1">IFERROR(__xludf.DUMMYFUNCTION("GOOGLETRANSLATE(A975 , ""tr"" , ""en"")"),"@drfahrettinkoca Would you be our minister? Because it doesn't treasure to see us like beggars ... https://t.co/6i2reruj8e")</f>
        <v>@drfahrettinkoca Would you be our minister? Because it doesn't treasure to see us like beggars ... https://t.co/6i2reruj8e</v>
      </c>
    </row>
    <row r="18173" spans="1:5" ht="15" customHeight="1" x14ac:dyDescent="0.25">
      <c r="A18173" s="1" t="s">
        <v>35534</v>
      </c>
      <c r="B18173" s="1">
        <v>0</v>
      </c>
      <c r="C18173" s="3">
        <v>44538.771365740744</v>
      </c>
      <c r="D18173" s="1" t="s">
        <v>35535</v>
      </c>
      <c r="E18173" s="4" t="str">
        <f ca="1">IFERROR(__xludf.DUMMYFUNCTION("GOOGLETRANSLATE(A976 , ""tr"" , ""en"")"),"@drfahrettinkoca Would you be our minister? Because it doesn't even come out of trifle that sees us like beggar ... https://t.co/2n81l1ny0p")</f>
        <v>@drfahrettinkoca Would you be our minister? Because it doesn't even come out of trifle that sees us like beggar ... https://t.co/2n81l1ny0p</v>
      </c>
    </row>
    <row r="18174" spans="1:5" ht="15" customHeight="1" x14ac:dyDescent="0.25">
      <c r="A18174" s="1" t="s">
        <v>35536</v>
      </c>
      <c r="B18174" s="1">
        <v>0</v>
      </c>
      <c r="C18174" s="3">
        <v>44538.771365740744</v>
      </c>
      <c r="D18174" s="1" t="s">
        <v>35537</v>
      </c>
      <c r="E18174" s="4" t="str">
        <f ca="1">IFERROR(__xludf.DUMMYFUNCTION("GOOGLETRANSLATE(A977 , ""tr"" , ""en"")"),"@drfahrettinkoca Would you be our minister? Because he doesn't care about the care that sees us like beggar ... https://t.co/jfld0uded3")</f>
        <v>@drfahrettinkoca Would you be our minister? Because he doesn't care about the care that sees us like beggar ... https://t.co/jfld0uded3</v>
      </c>
    </row>
    <row r="18175" spans="1:5" ht="15" customHeight="1" x14ac:dyDescent="0.25">
      <c r="A18175" s="1" t="s">
        <v>35538</v>
      </c>
      <c r="B18175" s="1">
        <v>0</v>
      </c>
      <c r="C18175" s="3">
        <v>44538.771354166667</v>
      </c>
      <c r="D18175" s="1" t="s">
        <v>35539</v>
      </c>
      <c r="E18175" s="4" t="str">
        <f ca="1">IFERROR(__xludf.DUMMYFUNCTION("GOOGLETRANSLATE(A978 , ""tr"" , ""en"")"),"@drfahrettinkoca Would you be our minister? Because it doesn't tried to see us like beggar even ... https://t.co/rcyk3tqurp")</f>
        <v>@drfahrettinkoca Would you be our minister? Because it doesn't tried to see us like beggar even ... https://t.co/rcyk3tqurp</v>
      </c>
    </row>
    <row r="18176" spans="1:5" ht="15" customHeight="1" x14ac:dyDescent="0.25">
      <c r="A18176" s="1" t="s">
        <v>35540</v>
      </c>
      <c r="B18176" s="1">
        <v>0</v>
      </c>
      <c r="C18176" s="3">
        <v>44538.77134259259</v>
      </c>
      <c r="D18176" s="1" t="s">
        <v>35541</v>
      </c>
      <c r="E18176" s="4" t="str">
        <f ca="1">IFERROR(__xludf.DUMMYFUNCTION("GOOGLETRANSLATE(A979 , ""tr"" , ""en"")"),"@drfahrettinkoca Would you be our minister? Because it doesn't trifle evening that see us like beggar ... https://t.co/12gzbxn9xu")</f>
        <v>@drfahrettinkoca Would you be our minister? Because it doesn't trifle evening that see us like beggar ... https://t.co/12gzbxn9xu</v>
      </c>
    </row>
    <row r="18177" spans="1:5" ht="15" customHeight="1" x14ac:dyDescent="0.25">
      <c r="A18177" s="1" t="s">
        <v>35542</v>
      </c>
      <c r="B18177" s="1">
        <v>2</v>
      </c>
      <c r="C18177" s="3">
        <v>44538.77065972222</v>
      </c>
      <c r="D18177" s="1" t="s">
        <v>35543</v>
      </c>
      <c r="E18177" s="4" t="str">
        <f ca="1">IFERROR(__xludf.DUMMYFUNCTION("GOOGLETRANSLATE(A980 , ""tr"" , ""en"")"),"@drfahrettinkoca is not worth the following person? #Pair of apologeticilehakanural")</f>
        <v>@drfahrettinkoca is not worth the following person? #Pair of apologeticilehakanural</v>
      </c>
    </row>
    <row r="18178" spans="1:5" ht="15" customHeight="1" x14ac:dyDescent="0.25">
      <c r="A18178" s="1" t="s">
        <v>35544</v>
      </c>
      <c r="B18178" s="1">
        <v>0</v>
      </c>
      <c r="C18178" s="3">
        <v>44538.76829861111</v>
      </c>
      <c r="D18178" s="1" t="s">
        <v>35545</v>
      </c>
      <c r="E18178" s="4" t="str">
        <f ca="1">IFERROR(__xludf.DUMMYFUNCTION("GOOGLETRANSLATE(A981 , ""tr"" , ""en"")"),"@drfahrettinkoca Honor Airways Resale continues! About 23 months #onurair management employees Pande ... https://t.co/ru9aitpclf")</f>
        <v>@drfahrettinkoca Honor Airways Resale continues! About 23 months #onurair management employees Pande ... https://t.co/ru9aitpclf</v>
      </c>
    </row>
    <row r="18179" spans="1:5" ht="15" customHeight="1" x14ac:dyDescent="0.25">
      <c r="A18179" s="1" t="s">
        <v>35546</v>
      </c>
      <c r="B18179" s="1">
        <v>0</v>
      </c>
      <c r="C18179" s="3">
        <v>44538.76494212963</v>
      </c>
      <c r="D18179" s="1" t="s">
        <v>35547</v>
      </c>
      <c r="E18179" s="4" t="str">
        <f ca="1">IFERROR(__xludf.DUMMYFUNCTION("GOOGLETRANSLATE(A982 , ""tr"" , ""en"")"),"@drfahrettinkoca O Rod ... #Testbahane")</f>
        <v>@drfahrettinkoca O Rod ... #Testbahane</v>
      </c>
    </row>
    <row r="18180" spans="1:5" ht="15" customHeight="1" x14ac:dyDescent="0.25">
      <c r="A18180" s="1" t="s">
        <v>35548</v>
      </c>
      <c r="B18180" s="1">
        <v>0</v>
      </c>
      <c r="C18180" s="3">
        <v>44538.763553240744</v>
      </c>
      <c r="D18180" s="1" t="s">
        <v>35549</v>
      </c>
      <c r="E18180" s="4" t="str">
        <f ca="1">IFERROR(__xludf.DUMMYFUNCTION("GOOGLETRANSLATE(A983 , ""tr"" , ""en"")"),"@drfahrettinkoca Mr. Minister, have severity in health, there is a terror in health! Protecting health laborers, the front of this facial ... https://t.co/jwwsem5qj6")</f>
        <v>@drfahrettinkoca Mr. Minister, have severity in health, there is a terror in health! Protecting health laborers, the front of this facial ... https://t.co/jwwsem5qj6</v>
      </c>
    </row>
    <row r="18181" spans="1:5" ht="15" customHeight="1" x14ac:dyDescent="0.25">
      <c r="A18181" s="1" t="s">
        <v>35550</v>
      </c>
      <c r="B18181" s="1">
        <v>4</v>
      </c>
      <c r="C18181" s="3">
        <v>44538.763171296298</v>
      </c>
      <c r="D18181" s="1" t="s">
        <v>35551</v>
      </c>
      <c r="E18181" s="4" t="str">
        <f ca="1">IFERROR(__xludf.DUMMYFUNCTION("GOOGLETRANSLATE(A984 , ""tr"" , ""en"")"),"@drfahrettinkoca # Subconstructionshaypir SN: The Ministry of the Ministry who is unable to get 70 percent of the hurdle, the night day and day and night ... https://t.co/yfzzhk8odd")</f>
        <v>@drfahrettinkoca # Subconstructionshaypir SN: The Ministry of the Ministry who is unable to get 70 percent of the hurdle, the night day and day and night ... https://t.co/yfzzhk8odd</v>
      </c>
    </row>
    <row r="18182" spans="1:5" ht="15" customHeight="1" x14ac:dyDescent="0.25">
      <c r="A18182" s="1" t="s">
        <v>35552</v>
      </c>
      <c r="B18182" s="1">
        <v>0</v>
      </c>
      <c r="C18182" s="3">
        <v>44538.762152777781</v>
      </c>
      <c r="D18182" s="1" t="s">
        <v>35553</v>
      </c>
      <c r="E18182" s="4" t="str">
        <f ca="1">IFERROR(__xludf.DUMMYFUNCTION("GOOGLETRANSLATE(A985 , ""tr"" , ""en"")"),"@drfahrettinkoca s: Ministry of staff who can not get 70 percent of the hurdles that are engaged in warmth and without receiving the overtime ... https://t.co/seuoeoIgIX")</f>
        <v>@drfahrettinkoca s: Ministry of staff who can not get 70 percent of the hurdles that are engaged in warmth and without receiving the overtime ... https://t.co/seuoeoIgIX</v>
      </c>
    </row>
    <row r="18183" spans="1:5" ht="15" customHeight="1" x14ac:dyDescent="0.25">
      <c r="A18183" s="1" t="s">
        <v>35554</v>
      </c>
      <c r="B18183" s="1">
        <v>0</v>
      </c>
      <c r="C18183" s="3">
        <v>44538.761319444442</v>
      </c>
      <c r="D18183" s="1" t="s">
        <v>35555</v>
      </c>
      <c r="E18183" s="4" t="str">
        <f ca="1">IFERROR(__xludf.DUMMYFUNCTION("GOOGLETRANSLATE(A986 , ""tr"" , ""en"")"),"@drfahrettinkoca Would you be our minister? Because he does not trifle evening that see us like beggars ... https://t.co/rbx51mf1b6")</f>
        <v>@drfahrettinkoca Would you be our minister? Because he does not trifle evening that see us like beggars ... https://t.co/rbx51mf1b6</v>
      </c>
    </row>
    <row r="18184" spans="1:5" ht="15" customHeight="1" x14ac:dyDescent="0.25">
      <c r="A18184" s="1" t="s">
        <v>35556</v>
      </c>
      <c r="B18184" s="1">
        <v>2</v>
      </c>
      <c r="C18184" s="3">
        <v>44538.754629629628</v>
      </c>
      <c r="D18184" s="1" t="s">
        <v>35557</v>
      </c>
      <c r="E18184" s="4" t="str">
        <f ca="1">IFERROR(__xludf.DUMMYFUNCTION("GOOGLETRANSLATE(A987 , ""tr"" , ""en"")"),"@drfahrettinkoca Would you be our minister? Because it is a non-trifle that sees us like beggars ... https://t.co/I2FLJ5IP4H")</f>
        <v>@drfahrettinkoca Would you be our minister? Because it is a non-trifle that sees us like beggars ... https://t.co/I2FLJ5IP4H</v>
      </c>
    </row>
    <row r="18185" spans="1:5" ht="15" customHeight="1" x14ac:dyDescent="0.25">
      <c r="A18185" s="1" t="s">
        <v>35558</v>
      </c>
      <c r="B18185" s="1">
        <v>0</v>
      </c>
      <c r="C18185" s="3">
        <v>44538.751354166663</v>
      </c>
      <c r="D18185" s="1" t="s">
        <v>35559</v>
      </c>
      <c r="E18185" s="4" t="str">
        <f ca="1">IFERROR(__xludf.DUMMYFUNCTION("GOOGLETRANSLATE(A988 , ""tr"" , ""en"")"),"@drfahrettinkoca guide to publish more of what are you looking forward to? Will you explain when you enter the New Year? Bi ... https://t.co/3djrcpeeh7")</f>
        <v>@drfahrettinkoca guide to publish more of what are you looking forward to? Will you explain when you enter the New Year? Bi ... https://t.co/3djrcpeeh7</v>
      </c>
    </row>
    <row r="18186" spans="1:5" ht="15" customHeight="1" x14ac:dyDescent="0.25">
      <c r="A18186" s="1" t="s">
        <v>35560</v>
      </c>
      <c r="B18186" s="1">
        <v>1</v>
      </c>
      <c r="C18186" s="3">
        <v>44538.751180555555</v>
      </c>
      <c r="D18186" s="1" t="s">
        <v>35561</v>
      </c>
      <c r="E18186" s="4" t="str">
        <f ca="1">IFERROR(__xludf.DUMMYFUNCTION("GOOGLETRANSLATE(A989 , ""tr"" , ""en"")"),"@drfahrettinkoca 5-11 years ago, if you want to describe the right to children. https://t.co/hnbvycliqe")</f>
        <v>@drfahrettinkoca 5-11 years ago, if you want to describe the right to children. https://t.co/hnbvycliqe</v>
      </c>
    </row>
    <row r="18187" spans="1:5" ht="15" customHeight="1" x14ac:dyDescent="0.25">
      <c r="A18187" s="1" t="s">
        <v>35562</v>
      </c>
      <c r="B18187" s="1">
        <v>0</v>
      </c>
      <c r="C18187" s="3">
        <v>44538.7500462963</v>
      </c>
      <c r="D18187" s="1" t="s">
        <v>35563</v>
      </c>
      <c r="E18187" s="4" t="str">
        <f ca="1">IFERROR(__xludf.DUMMYFUNCTION("GOOGLETRANSLATE(A990 , ""tr"" , ""en"")"),"@drfahrettinkoca Would you be our minister? Because he doesn't care about the care that see us like beggar ... https://t.co/aosfxvghnn")</f>
        <v>@drfahrettinkoca Would you be our minister? Because he doesn't care about the care that see us like beggar ... https://t.co/aosfxvghnn</v>
      </c>
    </row>
    <row r="18188" spans="1:5" ht="15" customHeight="1" x14ac:dyDescent="0.25">
      <c r="A18188" s="1" t="s">
        <v>35564</v>
      </c>
      <c r="B18188" s="1">
        <v>0</v>
      </c>
      <c r="C18188" s="3">
        <v>44538.749062499999</v>
      </c>
      <c r="D18188" s="1" t="s">
        <v>35565</v>
      </c>
      <c r="E18188" s="4" t="str">
        <f ca="1">IFERROR(__xludf.DUMMYFUNCTION("GOOGLETRANSLATE(A991 , ""tr"" , ""en"")"),"@drfahrettinkoca Would you be our minister? Because it doesn't treasure to see us like beggars ... https://t.co/ed3jrseax1")</f>
        <v>@drfahrettinkoca Would you be our minister? Because it doesn't treasure to see us like beggars ... https://t.co/ed3jrseax1</v>
      </c>
    </row>
    <row r="18189" spans="1:5" ht="15" customHeight="1" x14ac:dyDescent="0.25">
      <c r="A18189" s="1" t="s">
        <v>35566</v>
      </c>
      <c r="B18189" s="1">
        <v>1</v>
      </c>
      <c r="C18189" s="3">
        <v>44538.748090277775</v>
      </c>
      <c r="D18189" s="1" t="s">
        <v>35567</v>
      </c>
      <c r="E18189" s="4" t="str">
        <f ca="1">IFERROR(__xludf.DUMMYFUNCTION("GOOGLETRANSLATE(A992 , ""tr"" , ""en"")"),"@drfahrettinkoca Would you be our minister? Because it doesn't treasure to see us like beggars ... https://t.co/fvrbin4xwg")</f>
        <v>@drfahrettinkoca Would you be our minister? Because it doesn't treasure to see us like beggars ... https://t.co/fvrbin4xwg</v>
      </c>
    </row>
    <row r="18190" spans="1:5" ht="15" customHeight="1" x14ac:dyDescent="0.25">
      <c r="A18190" s="1" t="s">
        <v>35568</v>
      </c>
      <c r="B18190" s="1">
        <v>2</v>
      </c>
      <c r="C18190" s="3">
        <v>44538.746840277781</v>
      </c>
      <c r="D18190" s="1" t="s">
        <v>35569</v>
      </c>
      <c r="E18190" s="4" t="str">
        <f ca="1">IFERROR(__xludf.DUMMYFUNCTION("GOOGLETRANSLATE(A993 , ""tr"" , ""en"")"),"@drfahrettinkoca Would you be our minister? Because he doesn't care about the care that sees us like beggar ... https://t.co/jnoda5laxy")</f>
        <v>@drfahrettinkoca Would you be our minister? Because he doesn't care about the care that sees us like beggar ... https://t.co/jnoda5laxy</v>
      </c>
    </row>
    <row r="18191" spans="1:5" ht="15" customHeight="1" x14ac:dyDescent="0.25">
      <c r="A18191" s="1" t="s">
        <v>35570</v>
      </c>
      <c r="B18191" s="1">
        <v>0</v>
      </c>
      <c r="C18191" s="3">
        <v>44538.73773148148</v>
      </c>
      <c r="D18191" s="1" t="s">
        <v>35571</v>
      </c>
      <c r="E18191" s="4" t="str">
        <f ca="1">IFERROR(__xludf.DUMMYFUNCTION("GOOGLETRANSLATE(A994 , ""tr"" , ""en"")"),"@drfahrettinkoca Would you be our minister? Because we don't care about us that sees us like beggars ... https://t.co/qumkkyr4nw")</f>
        <v>@drfahrettinkoca Would you be our minister? Because we don't care about us that sees us like beggars ... https://t.co/qumkkyr4nw</v>
      </c>
    </row>
    <row r="18192" spans="1:5" ht="15" customHeight="1" x14ac:dyDescent="0.25">
      <c r="A18192" s="1" t="s">
        <v>35572</v>
      </c>
      <c r="B18192" s="1">
        <v>2</v>
      </c>
      <c r="C18192" s="3">
        <v>44538.73773148148</v>
      </c>
      <c r="D18192" s="1" t="s">
        <v>35573</v>
      </c>
      <c r="E18192" s="4" t="str">
        <f ca="1">IFERROR(__xludf.DUMMYFUNCTION("GOOGLETRANSLATE(A995 , ""tr"" , ""en"")"),"@drfahrettinkoca Would you be our minister? Because we don't care about us as beggars even ... https://t.co/urqgyoefhj")</f>
        <v>@drfahrettinkoca Would you be our minister? Because we don't care about us as beggars even ... https://t.co/urqgyoefhj</v>
      </c>
    </row>
    <row r="18193" spans="1:5" ht="15" customHeight="1" x14ac:dyDescent="0.25">
      <c r="A18193" s="1" t="s">
        <v>35574</v>
      </c>
      <c r="B18193" s="1">
        <v>0</v>
      </c>
      <c r="C18193" s="3">
        <v>44538.737696759257</v>
      </c>
      <c r="D18193" s="1" t="s">
        <v>35575</v>
      </c>
      <c r="E18193" s="4" t="str">
        <f ca="1">IFERROR(__xludf.DUMMYFUNCTION("GOOGLETRANSLATE(A996 , ""tr"" , ""en"")"),"@drfahrettinkoca Would you be our minister? Because I don't care about us that sees us like beggar ... HTTPS://T.CO/VRWIAYUBED")</f>
        <v>@drfahrettinkoca Would you be our minister? Because I don't care about us that sees us like beggar ... HTTPS://T.CO/VRWIAYUBED</v>
      </c>
    </row>
    <row r="18194" spans="1:5" ht="15" customHeight="1" x14ac:dyDescent="0.25">
      <c r="A18194" s="1" t="s">
        <v>35576</v>
      </c>
      <c r="B18194" s="1">
        <v>0</v>
      </c>
      <c r="C18194" s="3">
        <v>44538.737685185188</v>
      </c>
      <c r="D18194" s="1" t="s">
        <v>35577</v>
      </c>
      <c r="E18194" s="4" t="str">
        <f ca="1">IFERROR(__xludf.DUMMYFUNCTION("GOOGLETRANSLATE(A997 , ""tr"" , ""en"")"),"@drfahrettinkoca Would you be our minister? Because we don't care about us like beggars even ... HTTPS://T.CO/ECHIGC7CJM")</f>
        <v>@drfahrettinkoca Would you be our minister? Because we don't care about us like beggars even ... HTTPS://T.CO/ECHIGC7CJM</v>
      </c>
    </row>
    <row r="18195" spans="1:5" ht="15" customHeight="1" x14ac:dyDescent="0.25">
      <c r="A18195" s="1" t="s">
        <v>35578</v>
      </c>
      <c r="B18195" s="1">
        <v>0</v>
      </c>
      <c r="C18195" s="3">
        <v>44538.737685185188</v>
      </c>
      <c r="D18195" s="1" t="s">
        <v>35579</v>
      </c>
      <c r="E18195" s="4" t="str">
        <f ca="1">IFERROR(__xludf.DUMMYFUNCTION("GOOGLETRANSLATE(A998 , ""tr"" , ""en"")"),"@drfahrettinkoca Would you be our minister? Because we don't care about us that sees us like beggar ... https://t.co/bphmrz8udx")</f>
        <v>@drfahrettinkoca Would you be our minister? Because we don't care about us that sees us like beggar ... https://t.co/bphmrz8udx</v>
      </c>
    </row>
    <row r="18196" spans="1:5" ht="15" customHeight="1" x14ac:dyDescent="0.25">
      <c r="A18196" s="1" t="s">
        <v>35580</v>
      </c>
      <c r="B18196" s="1">
        <v>0</v>
      </c>
      <c r="C18196" s="3">
        <v>44538.737673611111</v>
      </c>
      <c r="D18196" s="1" t="s">
        <v>35581</v>
      </c>
      <c r="E18196" s="4" t="str">
        <f ca="1">IFERROR(__xludf.DUMMYFUNCTION("GOOGLETRANSLATE(A999 , ""tr"" , ""en"")"),"@drfahrettinkoca Would you be our minister? Because we don't care about us as beggars even ... https://t.co/slutseddbg")</f>
        <v>@drfahrettinkoca Would you be our minister? Because we don't care about us as beggars even ... https://t.co/slutseddbg</v>
      </c>
    </row>
    <row r="18197" spans="1:5" ht="15" customHeight="1" x14ac:dyDescent="0.25">
      <c r="A18197" s="1" t="s">
        <v>35582</v>
      </c>
      <c r="B18197" s="1">
        <v>1</v>
      </c>
      <c r="C18197" s="3">
        <v>44538.737673611111</v>
      </c>
      <c r="D18197" s="1" t="s">
        <v>35583</v>
      </c>
      <c r="E18197" s="4" t="str">
        <f ca="1">IFERROR(__xludf.DUMMYFUNCTION("GOOGLETRANSLATE(A1000 , ""tr"" , ""en"")"),"@drfahrettinkoca Would you be our minister? Because I don't care about us that sees us like beggar ... https://t.co/e0oioblwss")</f>
        <v>@drfahrettinkoca Would you be our minister? Because I don't care about us that sees us like beggar ... https://t.co/e0oioblwss</v>
      </c>
    </row>
    <row r="18198" spans="1:5" ht="15" customHeight="1" x14ac:dyDescent="0.25">
      <c r="A18198" s="1" t="s">
        <v>35584</v>
      </c>
      <c r="B18198" s="1">
        <v>0</v>
      </c>
      <c r="C18198" s="3">
        <v>44538.737662037034</v>
      </c>
      <c r="D18198" s="1" t="s">
        <v>35585</v>
      </c>
      <c r="E18198" s="4" t="str">
        <f ca="1">IFERROR(__xludf.DUMMYFUNCTION("GOOGLETRANSLATE(A1001 , ""tr"" , ""en"")"),"@drfahrettinkoca Would you be our minister? Because we don't care about us that sees us like beggar ... https://t.co/wzq03c7njl")</f>
        <v>@drfahrettinkoca Would you be our minister? Because we don't care about us that sees us like beggar ... https://t.co/wzq03c7njl</v>
      </c>
    </row>
    <row r="18199" spans="1:5" ht="15" customHeight="1" x14ac:dyDescent="0.25">
      <c r="A18199" s="1" t="s">
        <v>35586</v>
      </c>
      <c r="B18199" s="1">
        <v>0</v>
      </c>
      <c r="C18199" s="3">
        <v>44538.735763888886</v>
      </c>
      <c r="D18199" s="1" t="s">
        <v>35587</v>
      </c>
      <c r="E18199" s="4" t="str">
        <f ca="1">IFERROR(__xludf.DUMMYFUNCTION("GOOGLETRANSLATE(A1002 , ""tr"" , ""en"")"),"@drfahrettinkoca Conditions AFSART HTTPS://T.CO/AXQYIZ12GT")</f>
        <v>@drfahrettinkoca Conditions AFSART HTTPS://T.CO/AXQYIZ12GT</v>
      </c>
    </row>
    <row r="18200" spans="1:5" ht="15" customHeight="1" x14ac:dyDescent="0.25">
      <c r="A18200" s="1" t="s">
        <v>35588</v>
      </c>
      <c r="B18200" s="1">
        <v>0</v>
      </c>
      <c r="C18200" s="3">
        <v>44538.733900462961</v>
      </c>
      <c r="D18200" s="1" t="s">
        <v>35589</v>
      </c>
      <c r="E18200" s="4" t="str">
        <f ca="1">IFERROR(__xludf.DUMMYFUNCTION("GOOGLETRANSLATE(A1003 , ""tr"" , ""en"")"),"@drfahrettinkoca Would you be our minister? Because it doesn't tried to see us like beggars even ... https://t.co/qkz9ehrcer")</f>
        <v>@drfahrettinkoca Would you be our minister? Because it doesn't tried to see us like beggars even ... https://t.co/qkz9ehrcer</v>
      </c>
    </row>
    <row r="18201" spans="1:5" ht="15" customHeight="1" x14ac:dyDescent="0.25">
      <c r="A18201" s="1" t="s">
        <v>35590</v>
      </c>
      <c r="B18201" s="1">
        <v>0</v>
      </c>
      <c r="C18201" s="3">
        <v>44538.733900462961</v>
      </c>
      <c r="D18201" s="1" t="s">
        <v>35591</v>
      </c>
      <c r="E18201" s="4" t="str">
        <f ca="1">IFERROR(__xludf.DUMMYFUNCTION("GOOGLETRANSLATE(A1004 , ""tr"" , ""en"")"),"@drfahrettinkoca Would you be our minister? Because he doesn't tried to see us as beggar even ... https://t.co/ko0cqxy48x")</f>
        <v>@drfahrettinkoca Would you be our minister? Because he doesn't tried to see us as beggar even ... https://t.co/ko0cqxy48x</v>
      </c>
    </row>
    <row r="18202" spans="1:5" ht="15" customHeight="1" x14ac:dyDescent="0.25">
      <c r="A18202" s="1" t="s">
        <v>35592</v>
      </c>
      <c r="B18202" s="1">
        <v>0</v>
      </c>
      <c r="C18202" s="3">
        <v>44538.733900462961</v>
      </c>
      <c r="D18202" s="1" t="s">
        <v>35593</v>
      </c>
      <c r="E18202" s="4" t="str">
        <f ca="1">IFERROR(__xludf.DUMMYFUNCTION("GOOGLETRANSLATE(A1005 , ""tr"" , ""en"")"),"@drfahrettinkoca Would you be our minister? Because it doesn't care about the care that see us like beggar ... https://t.co/tedcnuciji")</f>
        <v>@drfahrettinkoca Would you be our minister? Because it doesn't care about the care that see us like beggar ... https://t.co/tedcnuciji</v>
      </c>
    </row>
    <row r="18203" spans="1:5" ht="15" customHeight="1" x14ac:dyDescent="0.25">
      <c r="A18203" s="1" t="s">
        <v>35594</v>
      </c>
      <c r="B18203" s="1">
        <v>0</v>
      </c>
      <c r="C18203" s="3">
        <v>44538.733888888892</v>
      </c>
      <c r="D18203" s="1" t="s">
        <v>35595</v>
      </c>
      <c r="E18203" s="4" t="str">
        <f ca="1">IFERROR(__xludf.DUMMYFUNCTION("GOOGLETRANSLATE(A1006 , ""tr"" , ""en"")"),"@drfahrettinkoca Would you be our minister? Because it doesn't trifle that sees us like beggar ... https://t.co/l3e5iuook2")</f>
        <v>@drfahrettinkoca Would you be our minister? Because it doesn't trifle that sees us like beggar ... https://t.co/l3e5iuook2</v>
      </c>
    </row>
    <row r="18204" spans="1:5" ht="15" customHeight="1" x14ac:dyDescent="0.25">
      <c r="A18204" s="1" t="s">
        <v>35596</v>
      </c>
      <c r="B18204" s="1">
        <v>0</v>
      </c>
      <c r="C18204" s="3">
        <v>44538.733888888892</v>
      </c>
      <c r="D18204" s="1" t="s">
        <v>35597</v>
      </c>
      <c r="E18204" s="4" t="str">
        <f ca="1">IFERROR(__xludf.DUMMYFUNCTION("GOOGLETRANSLATE(A1007 , ""tr"" , ""en"")"),"@drfahrettinkoca Would you be our minister? Because it doesn't treasure to see us as beggar even ... https://t.co/62lgfkvges")</f>
        <v>@drfahrettinkoca Would you be our minister? Because it doesn't treasure to see us as beggar even ... https://t.co/62lgfkvges</v>
      </c>
    </row>
    <row r="18205" spans="1:5" ht="15" customHeight="1" x14ac:dyDescent="0.25">
      <c r="A18205" s="1" t="s">
        <v>35598</v>
      </c>
      <c r="B18205" s="1">
        <v>0</v>
      </c>
      <c r="C18205" s="3">
        <v>44538.732152777775</v>
      </c>
      <c r="D18205" s="1" t="s">
        <v>35599</v>
      </c>
      <c r="E18205" s="4" t="str">
        <f ca="1">IFERROR(__xludf.DUMMYFUNCTION("GOOGLETRANSLATE(A1008 , ""tr"" , ""en"")"),"@drfahrettinkoca @saglikbakanligi @doktorlarsities https://t.co/mnjchzqlvv")</f>
        <v>@drfahrettinkoca @saglikbakanligi @doktorlarsities https://t.co/mnjchzqlvv</v>
      </c>
    </row>
    <row r="18206" spans="1:5" ht="15" customHeight="1" x14ac:dyDescent="0.25">
      <c r="A18206" s="1" t="s">
        <v>35600</v>
      </c>
      <c r="B18206" s="1">
        <v>0</v>
      </c>
      <c r="C18206" s="3">
        <v>44538.729791666665</v>
      </c>
      <c r="D18206" s="1" t="s">
        <v>35601</v>
      </c>
      <c r="E18206" s="4" t="str">
        <f ca="1">IFERROR(__xludf.DUMMYFUNCTION("GOOGLETRANSLATE(A1009 , ""tr"" , ""en"")"),"@drfahrettinkoca Would you be our minister? Because Beard that don't care about the beggars of the beggar ... https://t.co/jquirciuml")</f>
        <v>@drfahrettinkoca Would you be our minister? Because Beard that don't care about the beggars of the beggar ... https://t.co/jquirciuml</v>
      </c>
    </row>
    <row r="18207" spans="1:5" ht="15" customHeight="1" x14ac:dyDescent="0.25">
      <c r="A18207" s="1" t="s">
        <v>35602</v>
      </c>
      <c r="B18207" s="1">
        <v>0</v>
      </c>
      <c r="C18207" s="3">
        <v>44538.729699074072</v>
      </c>
      <c r="D18207" s="1" t="s">
        <v>35603</v>
      </c>
      <c r="E18207" s="4" t="str">
        <f ca="1">IFERROR(__xludf.DUMMYFUNCTION("GOOGLETRANSLATE(A1010 , ""tr"" , ""en"")"),"@drfahrettinkoca Would you be our minister? Because I'm not interested in trifle that sees us like beggar ... https://t.co/o0xcz03vgc")</f>
        <v>@drfahrettinkoca Would you be our minister? Because I'm not interested in trifle that sees us like beggar ... https://t.co/o0xcz03vgc</v>
      </c>
    </row>
    <row r="18208" spans="1:5" ht="15" customHeight="1" x14ac:dyDescent="0.25">
      <c r="A18208" s="1" t="s">
        <v>35604</v>
      </c>
      <c r="B18208" s="1">
        <v>0</v>
      </c>
      <c r="C18208" s="3">
        <v>44538.729687500003</v>
      </c>
      <c r="D18208" s="1" t="s">
        <v>35605</v>
      </c>
      <c r="E18208" s="4" t="str">
        <f ca="1">IFERROR(__xludf.DUMMYFUNCTION("GOOGLETRANSLATE(A1011 , ""tr"" , ""en"")"),"@drfahrettinkoca Would you be our minister? Because we're not interested in trifle that sees us like beggar ... https://t.co/jy7p1d57ex")</f>
        <v>@drfahrettinkoca Would you be our minister? Because we're not interested in trifle that sees us like beggar ... https://t.co/jy7p1d57ex</v>
      </c>
    </row>
    <row r="18209" spans="1:5" ht="15" customHeight="1" x14ac:dyDescent="0.25">
      <c r="A18209" s="1" t="s">
        <v>35606</v>
      </c>
      <c r="B18209" s="1">
        <v>1</v>
      </c>
      <c r="C18209" s="3">
        <v>44538.729687500003</v>
      </c>
      <c r="D18209" s="1" t="s">
        <v>35607</v>
      </c>
      <c r="E18209" s="4" t="str">
        <f ca="1">IFERROR(__xludf.DUMMYFUNCTION("GOOGLETRANSLATE(A1012 , ""tr"" , ""en"")"),"@drfahrettinkoca @saglikbakanligi Please forward to your authority ""Medical lobby"" produces ""Excuse"" for stewardry. No ... https://t.co/dvybuhck2j")</f>
        <v>@drfahrettinkoca @saglikbakanligi Please forward to your authority "Medical lobby" produces "Excuse" for stewardry. No ... https://t.co/dvybuhck2j</v>
      </c>
    </row>
    <row r="18210" spans="1:5" ht="15" customHeight="1" x14ac:dyDescent="0.25">
      <c r="A18210" s="1" t="s">
        <v>35608</v>
      </c>
      <c r="B18210" s="1">
        <v>0</v>
      </c>
      <c r="C18210" s="3">
        <v>44538.729687500003</v>
      </c>
      <c r="D18210" s="1" t="s">
        <v>35609</v>
      </c>
      <c r="E18210" s="4" t="str">
        <f ca="1">IFERROR(__xludf.DUMMYFUNCTION("GOOGLETRANSLATE(A1013 , ""tr"" , ""en"")"),"@drfahrettinkoca Would you be our minister? Because I'm not interested in trifle who sees us like beggar ... https://t.co/zmopklyj2i")</f>
        <v>@drfahrettinkoca Would you be our minister? Because I'm not interested in trifle who sees us like beggar ... https://t.co/zmopklyj2i</v>
      </c>
    </row>
    <row r="18211" spans="1:5" ht="15" customHeight="1" x14ac:dyDescent="0.25">
      <c r="A18211" s="1" t="s">
        <v>35610</v>
      </c>
      <c r="B18211" s="1">
        <v>0</v>
      </c>
      <c r="C18211" s="3">
        <v>44538.728750000002</v>
      </c>
      <c r="D18211" s="1" t="s">
        <v>35611</v>
      </c>
      <c r="E18211" s="4" t="str">
        <f ca="1">IFERROR(__xludf.DUMMYFUNCTION("GOOGLETRANSLATE(A1014 , ""tr"" , ""en"")"),"@drfahrettinkoca @osymbaskanligi https://t.co/x1gfbdrqmw")</f>
        <v>@drfahrettinkoca @osymbaskanligi https://t.co/x1gfbdrqmw</v>
      </c>
    </row>
    <row r="18212" spans="1:5" ht="15" customHeight="1" x14ac:dyDescent="0.25">
      <c r="A18212" s="1" t="s">
        <v>35612</v>
      </c>
      <c r="B18212" s="1">
        <v>0</v>
      </c>
      <c r="C18212" s="3">
        <v>44538.728194444448</v>
      </c>
      <c r="D18212" s="1" t="s">
        <v>35613</v>
      </c>
      <c r="E18212" s="4" t="str">
        <f ca="1">IFERROR(__xludf.DUMMYFUNCTION("GOOGLETRANSLATE(A1015 , ""tr"" , ""en"")"),"@drfahrettinkoca Would you be our minister? Because it doesn't tried to see us as beggar even ... https://t.co/IweIutepp3")</f>
        <v>@drfahrettinkoca Would you be our minister? Because it doesn't tried to see us as beggar even ... https://t.co/IweIutepp3</v>
      </c>
    </row>
    <row r="18213" spans="1:5" ht="15" customHeight="1" x14ac:dyDescent="0.25">
      <c r="A18213" s="1" t="s">
        <v>35614</v>
      </c>
      <c r="B18213" s="1">
        <v>0</v>
      </c>
      <c r="C18213" s="3">
        <v>44538.727488425924</v>
      </c>
      <c r="D18213" s="1" t="s">
        <v>35615</v>
      </c>
      <c r="E18213" s="4" t="str">
        <f ca="1">IFERROR(__xludf.DUMMYFUNCTION("GOOGLETRANSLATE(A1016 , ""tr"" , ""en"")"),"@drfahrettinkoca Would you be our minister? Because it doesn't tried to see us like beggar ... https://t.co/v6lghluxdt")</f>
        <v>@drfahrettinkoca Would you be our minister? Because it doesn't tried to see us like beggar ... https://t.co/v6lghluxdt</v>
      </c>
    </row>
    <row r="18214" spans="1:5" ht="15" customHeight="1" x14ac:dyDescent="0.25">
      <c r="A18214" s="1" t="s">
        <v>35616</v>
      </c>
      <c r="B18214" s="1">
        <v>12</v>
      </c>
      <c r="C18214" s="3">
        <v>44538.724189814813</v>
      </c>
      <c r="D18214" s="1" t="s">
        <v>35617</v>
      </c>
      <c r="E18214" s="4" t="str">
        <f ca="1">IFERROR(__xludf.DUMMYFUNCTION("GOOGLETRANSLATE(A1017 , ""tr"" , ""en"")"),"@drfahrettinkoca @saglikbakanligi Tweeter Trackers Even MRNA is the 3rd dose of the eligible application of the element of the elementary ... https://t.co/n8r9jpf5ex")</f>
        <v>@drfahrettinkoca @saglikbakanligi Tweeter Trackers Even MRNA is the 3rd dose of the eligible application of the element of the elementary ... https://t.co/n8r9jpf5ex</v>
      </c>
    </row>
    <row r="18215" spans="1:5" ht="15" customHeight="1" x14ac:dyDescent="0.25">
      <c r="A18215" s="1" t="s">
        <v>35618</v>
      </c>
      <c r="B18215" s="1">
        <v>0</v>
      </c>
      <c r="C18215" s="3">
        <v>44538.723715277774</v>
      </c>
      <c r="D18215" s="1" t="s">
        <v>35619</v>
      </c>
      <c r="E18215" s="4" t="str">
        <f ca="1">IFERROR(__xludf.DUMMYFUNCTION("GOOGLETRANSLATE(A1018 , ""tr"" , ""en"")"),"@drfahrettinkoca Would you be our minister? Because it doesn't trifle that sees us like beggar ... https://t.co/ct0jkkopitl")</f>
        <v>@drfahrettinkoca Would you be our minister? Because it doesn't trifle that sees us like beggar ... https://t.co/ct0jkkopitl</v>
      </c>
    </row>
    <row r="18216" spans="1:5" ht="15" customHeight="1" x14ac:dyDescent="0.25">
      <c r="A18216" s="1" t="s">
        <v>35620</v>
      </c>
      <c r="B18216" s="1">
        <v>1</v>
      </c>
      <c r="C18216" s="3">
        <v>44538.723217592589</v>
      </c>
      <c r="D18216" s="1" t="s">
        <v>35621</v>
      </c>
      <c r="E18216" s="4" t="str">
        <f ca="1">IFERROR(__xludf.DUMMYFUNCTION("GOOGLETRANSLATE(A1019 , ""tr"" , ""en"")"),"@drfahrettinkoca @halis_aygun @rterdogan # sbmerkeziatiahmaüçlavuz")</f>
        <v>@drfahrettinkoca @halis_aygun @rterdogan # sbmerkeziatiahmaüçlavuz</v>
      </c>
    </row>
    <row r="18217" spans="1:5" ht="15" customHeight="1" x14ac:dyDescent="0.25">
      <c r="A18217" s="1" t="s">
        <v>35622</v>
      </c>
      <c r="B18217" s="1">
        <v>0</v>
      </c>
      <c r="C18217" s="3">
        <v>44538.722893518519</v>
      </c>
      <c r="D18217" s="1" t="s">
        <v>35623</v>
      </c>
      <c r="E18217" s="4" t="str">
        <f ca="1">IFERROR(__xludf.DUMMYFUNCTION("GOOGLETRANSLATE(A1020 , ""tr"" , ""en"")"),"@drfahrettinkoca Would you be our minister? Because it doesn't care about the cares that sees us like beggar ... https://t.co/xqau9h2kjc")</f>
        <v>@drfahrettinkoca Would you be our minister? Because it doesn't care about the cares that sees us like beggar ... https://t.co/xqau9h2kjc</v>
      </c>
    </row>
    <row r="18218" spans="1:5" ht="15" customHeight="1" x14ac:dyDescent="0.25">
      <c r="A18218" s="1" t="s">
        <v>35624</v>
      </c>
      <c r="B18218" s="1">
        <v>0</v>
      </c>
      <c r="C18218" s="3">
        <v>44538.719652777778</v>
      </c>
      <c r="D18218" s="1" t="s">
        <v>35625</v>
      </c>
      <c r="E18218" s="4" t="str">
        <f ca="1">IFERROR(__xludf.DUMMYFUNCTION("GOOGLETRANSLATE(A1021 , ""tr"" , ""en"")"),"@drfahrettinkoca Would you be our minister? Because it doesn't trifle that see us like beggar ... HTTPS://T.CO/NI3UYZWFM7")</f>
        <v>@drfahrettinkoca Would you be our minister? Because it doesn't trifle that see us like beggar ... HTTPS://T.CO/NI3UYZWFM7</v>
      </c>
    </row>
    <row r="18219" spans="1:5" ht="15" customHeight="1" x14ac:dyDescent="0.25">
      <c r="A18219" s="1" t="s">
        <v>35626</v>
      </c>
      <c r="B18219" s="1">
        <v>0</v>
      </c>
      <c r="C18219" s="3">
        <v>44538.7187962963</v>
      </c>
      <c r="D18219" s="1" t="s">
        <v>35627</v>
      </c>
      <c r="E18219" s="4" t="str">
        <f ca="1">IFERROR(__xludf.DUMMYFUNCTION("GOOGLETRANSLATE(A1022 , ""tr"" , ""en"")"),"@drfahrettinkoca Would you be our minister? Because he doesn't trifle that sees us like beggar ... https://t.co/vlrferqfll")</f>
        <v>@drfahrettinkoca Would you be our minister? Because he doesn't trifle that sees us like beggar ... https://t.co/vlrferqfll</v>
      </c>
    </row>
    <row r="18220" spans="1:5" ht="15" customHeight="1" x14ac:dyDescent="0.25">
      <c r="A18220" s="1" t="s">
        <v>35628</v>
      </c>
      <c r="B18220" s="1">
        <v>0</v>
      </c>
      <c r="C18220" s="3">
        <v>44538.717847222222</v>
      </c>
      <c r="D18220" s="1" t="s">
        <v>35629</v>
      </c>
      <c r="E18220" s="4" t="str">
        <f ca="1">IFERROR(__xludf.DUMMYFUNCTION("GOOGLETRANSLATE(A1023 , ""tr"" , ""en"")"),"@drfahrettinkoca Would you be our minister? Because it doesn't even come out of trifle that sees us like beggar ... https://t.co/4ymstfgbrm")</f>
        <v>@drfahrettinkoca Would you be our minister? Because it doesn't even come out of trifle that sees us like beggar ... https://t.co/4ymstfgbrm</v>
      </c>
    </row>
    <row r="18221" spans="1:5" ht="15" customHeight="1" x14ac:dyDescent="0.25">
      <c r="A18221" s="1" t="s">
        <v>35630</v>
      </c>
      <c r="B18221" s="1">
        <v>0</v>
      </c>
      <c r="C18221" s="3">
        <v>44538.717685185184</v>
      </c>
      <c r="D18221" s="1" t="s">
        <v>35631</v>
      </c>
      <c r="E18221" s="4" t="str">
        <f ca="1">IFERROR(__xludf.DUMMYFUNCTION("GOOGLETRANSLATE(A1024 , ""tr"" , ""en"")"),"@drfahrettinkoca @saglikbakanliga @ syigitoglu18 @avadursun I didn't reach the Health Department of Sultangazi County. Kovid ... https://t.co/QCPIHXSSWN")</f>
        <v>@drfahrettinkoca @saglikbakanliga @ syigitoglu18 @avadursun I didn't reach the Health Department of Sultangazi County. Kovid ... https://t.co/QCPIHXSSWN</v>
      </c>
    </row>
    <row r="18222" spans="1:5" ht="15" customHeight="1" x14ac:dyDescent="0.25">
      <c r="A18222" s="1" t="s">
        <v>35632</v>
      </c>
      <c r="B18222" s="1">
        <v>0</v>
      </c>
      <c r="C18222" s="3">
        <v>44538.716273148151</v>
      </c>
      <c r="D18222" s="1" t="s">
        <v>35633</v>
      </c>
      <c r="E18222" s="4" t="str">
        <f ca="1">IFERROR(__xludf.DUMMYFUNCTION("GOOGLETRANSLATE(A1025 , ""tr"" , ""en"")"),"@drfahrettinkoca Mr. Ministry is easy to come. You again 🔂 Ricam: Biocidal mes living in Mersin. My md. Full Zama ... https://t.co/ollw4lqooo")</f>
        <v>@drfahrettinkoca Mr. Ministry is easy to come. You again 🔂 Ricam: Biocidal mes living in Mersin. My md. Full Zama ... https://t.co/ollw4lqooo</v>
      </c>
    </row>
    <row r="18223" spans="1:5" ht="15" customHeight="1" x14ac:dyDescent="0.25">
      <c r="A18223" s="1" t="s">
        <v>35634</v>
      </c>
      <c r="B18223" s="1">
        <v>0</v>
      </c>
      <c r="C18223" s="3">
        <v>44538.715462962966</v>
      </c>
      <c r="D18223" s="1" t="s">
        <v>35635</v>
      </c>
      <c r="E18223" s="4" t="str">
        <f ca="1">IFERROR(__xludf.DUMMYFUNCTION("GOOGLETRANSLATE(A1026 , ""tr"" , ""en"")"),"@drfahrettinkoca Would you be our minister? Because it doesn't tried to see us like beggar ... https://t.co/0xp8abosab")</f>
        <v>@drfahrettinkoca Would you be our minister? Because it doesn't tried to see us like beggar ... https://t.co/0xp8abosab</v>
      </c>
    </row>
    <row r="18224" spans="1:5" ht="15" customHeight="1" x14ac:dyDescent="0.25">
      <c r="A18224" s="1" t="s">
        <v>35636</v>
      </c>
      <c r="B18224" s="1">
        <v>0</v>
      </c>
      <c r="C18224" s="3">
        <v>44538.714699074073</v>
      </c>
      <c r="D18224" s="1" t="s">
        <v>35637</v>
      </c>
      <c r="E18224" s="4" t="str">
        <f ca="1">IFERROR(__xludf.DUMMYFUNCTION("GOOGLETRANSLATE(A1027 , ""tr"" , ""en"")"),"@drfahrettinkoca @rterdogan they want to test each week as I'm not in a vaccine and sick, the main test is to the grafts ... https://t.co/bj2b1mzmv9")</f>
        <v>@drfahrettinkoca @rterdogan they want to test each week as I'm not in a vaccine and sick, the main test is to the grafts ... https://t.co/bj2b1mzmv9</v>
      </c>
    </row>
    <row r="18225" spans="1:5" ht="15" customHeight="1" x14ac:dyDescent="0.25">
      <c r="A18225" s="1" t="s">
        <v>35638</v>
      </c>
      <c r="B18225" s="1">
        <v>1</v>
      </c>
      <c r="C18225" s="3">
        <v>44538.711354166669</v>
      </c>
      <c r="D18225" s="1" t="s">
        <v>35639</v>
      </c>
      <c r="E18225" s="4" t="str">
        <f ca="1">IFERROR(__xludf.DUMMYFUNCTION("GOOGLETRANSLATE(A1028 , ""tr"" , ""en"")"),"@drfahrettinkoca @saglikbakanligi https://t.co/m6dnechswv")</f>
        <v>@drfahrettinkoca @saglikbakanligi https://t.co/m6dnechswv</v>
      </c>
    </row>
    <row r="18226" spans="1:5" ht="15" customHeight="1" x14ac:dyDescent="0.25">
      <c r="A18226" s="1" t="s">
        <v>35640</v>
      </c>
      <c r="B18226" s="1">
        <v>0</v>
      </c>
      <c r="C18226" s="3">
        <v>44538.710138888891</v>
      </c>
      <c r="D18226" s="1" t="s">
        <v>35641</v>
      </c>
      <c r="E18226" s="4" t="str">
        <f ca="1">IFERROR(__xludf.DUMMYFUNCTION("GOOGLETRANSLATE(A1029 , ""tr"" , ""en"")"),"@drfahrettinkoca @saglikbakanligi https://t.co/4sm3dpqgqx")</f>
        <v>@drfahrettinkoca @saglikbakanligi https://t.co/4sm3dpqgqx</v>
      </c>
    </row>
    <row r="18227" spans="1:5" ht="15" customHeight="1" x14ac:dyDescent="0.25">
      <c r="A18227" s="1" t="s">
        <v>35642</v>
      </c>
      <c r="B18227" s="1">
        <v>0</v>
      </c>
      <c r="C18227" s="3">
        <v>44538.710138888891</v>
      </c>
      <c r="D18227" s="1" t="s">
        <v>35643</v>
      </c>
      <c r="E18227" s="4" t="str">
        <f ca="1">IFERROR(__xludf.DUMMYFUNCTION("GOOGLETRANSLATE(A1030 , ""tr"" , ""en"")"),"@drfahrettinkoca Mr. Minister Doctors to do something to end this violence climate in which they live ... https://t.co/im2awp2och")</f>
        <v>@drfahrettinkoca Mr. Minister Doctors to do something to end this violence climate in which they live ... https://t.co/im2awp2och</v>
      </c>
    </row>
    <row r="18228" spans="1:5" ht="15" customHeight="1" x14ac:dyDescent="0.25">
      <c r="A18228" s="1" t="s">
        <v>35644</v>
      </c>
      <c r="B18228" s="1">
        <v>2</v>
      </c>
      <c r="C18228" s="3">
        <v>44541.972280092596</v>
      </c>
      <c r="D18228" s="1" t="s">
        <v>35645</v>
      </c>
      <c r="E18228" s="4" t="str">
        <f ca="1">IFERROR(__xludf.DUMMYFUNCTION("GOOGLETRANSLATE(A1031 , ""tr"" , ""en"")"),"@drfahrettinkoca criminal we, we seriously received you. # Birbakan40kocayalan")</f>
        <v>@drfahrettinkoca criminal we, we seriously received you. # Birbakan40kocayalan</v>
      </c>
    </row>
    <row r="18229" spans="1:5" ht="15" customHeight="1" x14ac:dyDescent="0.25">
      <c r="A18229" s="1" t="s">
        <v>35646</v>
      </c>
      <c r="B18229" s="1">
        <v>0</v>
      </c>
      <c r="C18229" s="3">
        <v>44541.957187499997</v>
      </c>
      <c r="D18229" s="1" t="s">
        <v>35647</v>
      </c>
      <c r="E18229" s="4" t="str">
        <f ca="1">IFERROR(__xludf.DUMMYFUNCTION("GOOGLETRANSLATE(A1032 , ""tr"" , ""en"")"),"@drfahrettinkoca pornu")</f>
        <v>@drfahrettinkoca pornu</v>
      </c>
    </row>
    <row r="18230" spans="1:5" ht="15" customHeight="1" x14ac:dyDescent="0.25">
      <c r="A18230" s="1" t="s">
        <v>35648</v>
      </c>
      <c r="B18230" s="1">
        <v>0</v>
      </c>
      <c r="C18230" s="3">
        <v>44541.951736111114</v>
      </c>
      <c r="D18230" s="1" t="s">
        <v>35649</v>
      </c>
      <c r="E18230" s="4" t="str">
        <f ca="1">IFERROR(__xludf.DUMMYFUNCTION("GOOGLETRANSLATE(A1033 , ""tr"" , ""en"")"),"@drfahrettinkoca @rterdogan # BUDRIPLACEHTHOPPLACE BEFORE 40 Thousand Denilipsonra will be 30 thousand purchases Said and ... https://t.co/wa9cfxyyob")</f>
        <v>@drfahrettinkoca @rterdogan # BUDRIPLACEHTHOPPLACE BEFORE 40 Thousand Denilipsonra will be 30 thousand purchases Said and ... https://t.co/wa9cfxyyob</v>
      </c>
    </row>
    <row r="18231" spans="1:5" ht="15" customHeight="1" x14ac:dyDescent="0.25">
      <c r="A18231" s="1" t="s">
        <v>35650</v>
      </c>
      <c r="B18231" s="1">
        <v>0</v>
      </c>
      <c r="C18231" s="3">
        <v>44541.948333333334</v>
      </c>
      <c r="D18231" s="1" t="s">
        <v>35651</v>
      </c>
      <c r="E18231" s="4" t="str">
        <f ca="1">IFERROR(__xludf.DUMMYFUNCTION("GOOGLETRANSLATE(A1034 , ""tr"" , ""en"")"),"@drfahrettinkoca very well in our health system I am Covidken Covid support for 2 times back to your side ... https://t.co/czxHatiofg")</f>
        <v>@drfahrettinkoca very well in our health system I am Covidken Covid support for 2 times back to your side ... https://t.co/czxHatiofg</v>
      </c>
    </row>
    <row r="18232" spans="1:5" ht="15" customHeight="1" x14ac:dyDescent="0.25">
      <c r="A18232" s="1" t="s">
        <v>35652</v>
      </c>
      <c r="B18232" s="1">
        <v>0</v>
      </c>
      <c r="C18232" s="3">
        <v>44541.937291666669</v>
      </c>
      <c r="D18232" s="1" t="s">
        <v>35653</v>
      </c>
      <c r="E18232" s="4" t="str">
        <f ca="1">IFERROR(__xludf.DUMMYFUNCTION("GOOGLETRANSLATE(A1035 , ""tr"" , ""en"")"),"@drfahrettinkoca I'm on my stove for I believe you. I should have not be so pure. Bari Https://t.co/u9dipc7gdt")</f>
        <v>@drfahrettinkoca I'm on my stove for I believe you. I should have not be so pure. Bari Https://t.co/u9dipc7gdt</v>
      </c>
    </row>
    <row r="18233" spans="1:5" ht="15" customHeight="1" x14ac:dyDescent="0.25">
      <c r="A18233" s="1" t="s">
        <v>35654</v>
      </c>
      <c r="B18233" s="1">
        <v>0</v>
      </c>
      <c r="C18233" s="3">
        <v>44541.934351851851</v>
      </c>
      <c r="D18233" s="1" t="s">
        <v>35655</v>
      </c>
      <c r="E18233" s="4" t="str">
        <f ca="1">IFERROR(__xludf.DUMMYFUNCTION("GOOGLETRANSLATE(A1036 , ""tr"" , ""en"")"),"@drfahrettinkoca is currently waiting for Marmara University Emergency Physicians 7 patients who looked at 7 patients urgent ... https://t.co/kzu4gjmy93")</f>
        <v>@drfahrettinkoca is currently waiting for Marmara University Emergency Physicians 7 patients who looked at 7 patients urgent ... https://t.co/kzu4gjmy93</v>
      </c>
    </row>
    <row r="18234" spans="1:5" ht="15" customHeight="1" x14ac:dyDescent="0.25">
      <c r="A18234" s="1" t="s">
        <v>35656</v>
      </c>
      <c r="B18234" s="1">
        <v>1</v>
      </c>
      <c r="C18234" s="3">
        <v>44541.932395833333</v>
      </c>
      <c r="D18234" s="1" t="s">
        <v>35657</v>
      </c>
      <c r="E18234" s="4" t="str">
        <f ca="1">IFERROR(__xludf.DUMMYFUNCTION("GOOGLETRANSLATE(A1037 , ""tr"" , ""en"")"),"@drfahrettinkoca Internal Audio 'Damned Nazlıı Yariii'🎵 # Birbakan40kocayalan")</f>
        <v>@drfahrettinkoca Internal Audio 'Damned Nazlıı Yariii'🎵 # Birbakan40kocayalan</v>
      </c>
    </row>
    <row r="18235" spans="1:5" ht="15" customHeight="1" x14ac:dyDescent="0.25">
      <c r="A18235" s="1" t="s">
        <v>35658</v>
      </c>
      <c r="B18235" s="1">
        <v>5</v>
      </c>
      <c r="C18235" s="3">
        <v>44541.926666666666</v>
      </c>
      <c r="D18235" s="1" t="s">
        <v>35659</v>
      </c>
      <c r="E18235" s="4" t="str">
        <f ca="1">IFERROR(__xludf.DUMMYFUNCTION("GOOGLETRANSLATE(A1038 , ""tr"" , ""en"")"),"@drfahrettinkoca I really congratulate. You have a very bad management and eat the right of existing nurses ... https://t.co/xmqywcgmh1")</f>
        <v>@drfahrettinkoca I really congratulate. You have a very bad management and eat the right of existing nurses ... https://t.co/xmqywcgmh1</v>
      </c>
    </row>
    <row r="18236" spans="1:5" ht="15" customHeight="1" x14ac:dyDescent="0.25">
      <c r="A18236" s="1" t="s">
        <v>35660</v>
      </c>
      <c r="B18236" s="1">
        <v>8</v>
      </c>
      <c r="C18236" s="3">
        <v>44541.922303240739</v>
      </c>
      <c r="D18236" s="1" t="s">
        <v>35661</v>
      </c>
      <c r="E18236" s="4" t="str">
        <f ca="1">IFERROR(__xludf.DUMMYFUNCTION("GOOGLETRANSLATE(A1039 , ""tr"" , ""en"")"),"@drfahrettinkoca master you really disgust it anymore..yeterrrr !!! #Buddling")</f>
        <v>@drfahrettinkoca master you really disgust it anymore..yeterrrr !!! #Buddling</v>
      </c>
    </row>
    <row r="18237" spans="1:5" ht="15" customHeight="1" x14ac:dyDescent="0.25">
      <c r="A18237" s="1" t="s">
        <v>35662</v>
      </c>
      <c r="B18237" s="1">
        <v>0</v>
      </c>
      <c r="C18237" s="3">
        <v>44541.920416666668</v>
      </c>
      <c r="D18237" s="1" t="s">
        <v>35663</v>
      </c>
      <c r="E18237" s="4" t="str">
        <f ca="1">IFERROR(__xludf.DUMMYFUNCTION("GOOGLETRANSLATE(A1040 , ""tr"" , ""en"")"),"@drfahrettinkoca is not captured &amp; gt; #omicron")</f>
        <v>@drfahrettinkoca is not captured &amp; gt; #omicron</v>
      </c>
    </row>
    <row r="18238" spans="1:5" ht="15" customHeight="1" x14ac:dyDescent="0.25">
      <c r="A18238" s="1" t="s">
        <v>35664</v>
      </c>
      <c r="B18238" s="1">
        <v>0</v>
      </c>
      <c r="C18238" s="3">
        <v>44541.912418981483</v>
      </c>
      <c r="D18238" s="1" t="s">
        <v>35665</v>
      </c>
      <c r="E18238" s="4" t="str">
        <f ca="1">IFERROR(__xludf.DUMMYFUNCTION("GOOGLETRANSLATE(A1041 , ""tr"" , ""en"")"),"@drfahrettinka 2 days ago my daughter's hand cut with glass pieces mimaroba medicell e urgently entered and 10 stitch horse ... https://t.co/ny309gzfno")</f>
        <v>@drfahrettinka 2 days ago my daughter's hand cut with glass pieces mimaroba medicell e urgently entered and 10 stitch horse ... https://t.co/ny309gzfno</v>
      </c>
    </row>
    <row r="18239" spans="1:5" ht="15" customHeight="1" x14ac:dyDescent="0.25">
      <c r="A18239" s="1" t="s">
        <v>35666</v>
      </c>
      <c r="B18239" s="1">
        <v>1</v>
      </c>
      <c r="C18239" s="3">
        <v>44541.908993055556</v>
      </c>
      <c r="D18239" s="1" t="s">
        <v>35667</v>
      </c>
      <c r="E18239" s="4" t="str">
        <f ca="1">IFERROR(__xludf.DUMMYFUNCTION("GOOGLETRANSLATE(A1042 , ""tr"" , ""en"")"),"@drfahrettinkoca. Answer https://t.co/suo0mdtikc")</f>
        <v>@drfahrettinkoca. Answer https://t.co/suo0mdtikc</v>
      </c>
    </row>
    <row r="18240" spans="1:5" ht="15" customHeight="1" x14ac:dyDescent="0.25">
      <c r="A18240" s="1" t="s">
        <v>35668</v>
      </c>
      <c r="B18240" s="1">
        <v>0</v>
      </c>
      <c r="C18240" s="3">
        <v>44541.90216435185</v>
      </c>
      <c r="D18240" s="1" t="s">
        <v>35669</v>
      </c>
      <c r="E18240" s="4" t="str">
        <f ca="1">IFERROR(__xludf.DUMMYFUNCTION("GOOGLETRANSLATE(A1043 , ""tr"" , ""en"")"),"@drfahrettinkoca What lesson about it is the Minister Minister Pardon Mr. Health Minister. https://t.co/fqqw7uis4d")</f>
        <v>@drfahrettinkoca What lesson about it is the Minister Minister Pardon Mr. Health Minister. https://t.co/fqqw7uis4d</v>
      </c>
    </row>
    <row r="18241" spans="1:5" ht="15" customHeight="1" x14ac:dyDescent="0.25">
      <c r="A18241" s="1" t="s">
        <v>35670</v>
      </c>
      <c r="B18241" s="1">
        <v>7</v>
      </c>
      <c r="C18241" s="3">
        <v>44541.899988425925</v>
      </c>
      <c r="D18241" s="1" t="s">
        <v>35671</v>
      </c>
      <c r="E18241" s="4" t="str">
        <f ca="1">IFERROR(__xludf.DUMMYFUNCTION("GOOGLETRANSLATE(A1044 , ""tr"" , ""en"")"),"@drfahrettinka Mr. Husband Bi Bi 30 Thousands of Madem 40 Thousand Purchase Before 10 Thousand Workers ... https://t.co/bddtefkvbr")</f>
        <v>@drfahrettinka Mr. Husband Bi Bi 30 Thousands of Madem 40 Thousand Purchase Before 10 Thousand Workers ... https://t.co/bddtefkvbr</v>
      </c>
    </row>
    <row r="18242" spans="1:5" ht="15" customHeight="1" x14ac:dyDescent="0.25">
      <c r="A18242" s="1" t="s">
        <v>35672</v>
      </c>
      <c r="B18242" s="1">
        <v>4</v>
      </c>
      <c r="C18242" s="3">
        <v>44541.89880787037</v>
      </c>
      <c r="D18242" s="1" t="s">
        <v>35673</v>
      </c>
      <c r="E18242" s="4" t="str">
        <f ca="1">IFERROR(__xludf.DUMMYFUNCTION("GOOGLETRANSLATE(A1045 , ""tr"" , ""en"")"),"@drfahrettinkoca We resign the bari that did not have the healthpieces BI service. Pleasant you also divide it in two # birbakan40kocayalan")</f>
        <v>@drfahrettinkoca We resign the bari that did not have the healthpieces BI service. Pleasant you also divide it in two # birbakan40kocayalan</v>
      </c>
    </row>
    <row r="18243" spans="1:5" ht="15" customHeight="1" x14ac:dyDescent="0.25">
      <c r="A18243" s="1" t="s">
        <v>35674</v>
      </c>
      <c r="B18243" s="1">
        <v>0</v>
      </c>
      <c r="C18243" s="3">
        <v>44541.8981712963</v>
      </c>
      <c r="D18243" s="1" t="s">
        <v>35675</v>
      </c>
      <c r="E18243" s="4" t="str">
        <f ca="1">IFERROR(__xludf.DUMMYFUNCTION("GOOGLETRANSLATE(A1046 , ""tr"" , ""en"")"),"@drfahrettinkoca you find the virusse you find me #theristiclalalheryerdiriş")</f>
        <v>@drfahrettinkoca you find the virusse you find me #theristiclalalheryerdiriş</v>
      </c>
    </row>
    <row r="18244" spans="1:5" ht="15" customHeight="1" x14ac:dyDescent="0.25">
      <c r="A18244" s="1" t="s">
        <v>35676</v>
      </c>
      <c r="B18244" s="1">
        <v>0</v>
      </c>
      <c r="C18244" s="3">
        <v>44541.896238425928</v>
      </c>
      <c r="D18244" s="1" t="s">
        <v>35677</v>
      </c>
      <c r="E18244" s="4" t="str">
        <f ca="1">IFERROR(__xludf.DUMMYFUNCTION("GOOGLETRANSLATE(A1047 , ""tr"" , ""en"")"),"@drfahrettinkoca Remember the desperate fate prisoners and their families have your family in the pramels Talebiniduyunn🇹🇷")</f>
        <v>@drfahrettinkoca Remember the desperate fate prisoners and their families have your family in the pramels Talebiniduyunn🇹🇷</v>
      </c>
    </row>
    <row r="18245" spans="1:5" ht="15" customHeight="1" x14ac:dyDescent="0.25">
      <c r="A18245" s="1" t="s">
        <v>35678</v>
      </c>
      <c r="B18245" s="1">
        <v>0</v>
      </c>
      <c r="C18245" s="3">
        <v>44541.895300925928</v>
      </c>
      <c r="D18245" s="1" t="s">
        <v>35679</v>
      </c>
      <c r="E18245" s="4" t="str">
        <f ca="1">IFERROR(__xludf.DUMMYFUNCTION("GOOGLETRANSLATE(A1048 , ""tr"" , ""en"")"),"@drfahrettinka https://t.co/v9k5rorwbj")</f>
        <v>@drfahrettinka https://t.co/v9k5rorwbj</v>
      </c>
    </row>
    <row r="18246" spans="1:5" ht="15" customHeight="1" x14ac:dyDescent="0.25">
      <c r="A18246" s="1" t="s">
        <v>35680</v>
      </c>
      <c r="B18246" s="1">
        <v>0</v>
      </c>
      <c r="C18246" s="3">
        <v>44541.893090277779</v>
      </c>
      <c r="D18246" s="1" t="s">
        <v>35681</v>
      </c>
      <c r="E18246" s="4" t="str">
        <f ca="1">IFERROR(__xludf.DUMMYFUNCTION("GOOGLETRANSLATE(A1049 , ""tr"" , ""en"")"),"@drfahrettinkoca but the vaccine is traveling hocaa https://t.co/mn01lxfq7g")</f>
        <v>@drfahrettinkoca but the vaccine is traveling hocaa https://t.co/mn01lxfq7g</v>
      </c>
    </row>
    <row r="18247" spans="1:5" ht="15" customHeight="1" x14ac:dyDescent="0.25">
      <c r="A18247" s="1" t="s">
        <v>35682</v>
      </c>
      <c r="B18247" s="1">
        <v>1</v>
      </c>
      <c r="C18247" s="3">
        <v>44541.892337962963</v>
      </c>
      <c r="D18247" s="1" t="s">
        <v>35683</v>
      </c>
      <c r="E18247" s="4" t="str">
        <f ca="1">IFERROR(__xludf.DUMMYFUNCTION("GOOGLETRANSLATE(A1050 , ""tr"" , ""en"")"),"@drfahrettinkoca is at hand, as well as why there is no jealousy, the Omicron lives the joy. https://t.co/0a6e6y5vjn")</f>
        <v>@drfahrettinkoca is at hand, as well as why there is no jealousy, the Omicron lives the joy. https://t.co/0a6e6y5vjn</v>
      </c>
    </row>
    <row r="18248" spans="1:5" ht="15" customHeight="1" x14ac:dyDescent="0.25">
      <c r="A18248" s="1" t="s">
        <v>35684</v>
      </c>
      <c r="B18248" s="1">
        <v>0</v>
      </c>
      <c r="C18248" s="3">
        <v>44541.89135416667</v>
      </c>
      <c r="D18248" s="1" t="s">
        <v>35685</v>
      </c>
      <c r="E18248" s="4" t="str">
        <f ca="1">IFERROR(__xludf.DUMMYFUNCTION("GOOGLETRANSLATE(A1051 , ""tr"" , ""en"")"),"@drfahrettinka https://t.co/jantmacoah")</f>
        <v>@drfahrettinka https://t.co/jantmacoah</v>
      </c>
    </row>
    <row r="18249" spans="1:5" ht="15" customHeight="1" x14ac:dyDescent="0.25">
      <c r="A18249" s="1" t="s">
        <v>35686</v>
      </c>
      <c r="B18249" s="1">
        <v>0</v>
      </c>
      <c r="C18249" s="3">
        <v>44541.888321759259</v>
      </c>
      <c r="D18249" s="1" t="s">
        <v>35687</v>
      </c>
      <c r="E18249" s="4" t="str">
        <f ca="1">IFERROR(__xludf.DUMMYFUNCTION("GOOGLETRANSLATE(A1052 , ""tr"" , ""en"")"),"@drfahrettinkoca Remove @rterdogan Remove Enough You don't die anymore ... https://t.co/33vzer5dtz")</f>
        <v>@drfahrettinkoca Remove @rterdogan Remove Enough You don't die anymore ... https://t.co/33vzer5dtz</v>
      </c>
    </row>
    <row r="18250" spans="1:5" ht="15" customHeight="1" x14ac:dyDescent="0.25">
      <c r="A18250" s="1" t="s">
        <v>35688</v>
      </c>
      <c r="B18250" s="1">
        <v>0</v>
      </c>
      <c r="C18250" s="3">
        <v>44541.887638888889</v>
      </c>
      <c r="D18250" s="1" t="s">
        <v>35689</v>
      </c>
      <c r="E18250" s="4" t="str">
        <f ca="1">IFERROR(__xludf.DUMMYFUNCTION("GOOGLETRANSLATE(A1053 , ""tr"" , ""en"")"),"@drfahrettinka Minister The schools in Izmir are very risky for a while in the trap ... There is no crowded place. Work ... https://t.co/ny1jv7kiqp")</f>
        <v>@drfahrettinka Minister The schools in Izmir are very risky for a while in the trap ... There is no crowded place. Work ... https://t.co/ny1jv7kiqp</v>
      </c>
    </row>
    <row r="18251" spans="1:5" ht="15" customHeight="1" x14ac:dyDescent="0.25">
      <c r="A18251" s="1" t="s">
        <v>35690</v>
      </c>
      <c r="B18251" s="1">
        <v>1</v>
      </c>
      <c r="C18251" s="3">
        <v>44541.886319444442</v>
      </c>
      <c r="D18251" s="1" t="s">
        <v>35691</v>
      </c>
      <c r="E18251" s="4" t="str">
        <f ca="1">IFERROR(__xludf.DUMMYFUNCTION("GOOGLETRANSLATE(A1054 , ""tr"" , ""en"")"),"@drfahrettinkoca Why did you split the purchase? How many of the university hospitals did not apply to 30 thousand purchases. It ... https://t.co/DH5G5BLIWV")</f>
        <v>@drfahrettinkoca Why did you split the purchase? How many of the university hospitals did not apply to 30 thousand purchases. It ... https://t.co/DH5G5BLIWV</v>
      </c>
    </row>
    <row r="18252" spans="1:5" ht="15" customHeight="1" x14ac:dyDescent="0.25">
      <c r="A18252" s="1" t="s">
        <v>35692</v>
      </c>
      <c r="B18252" s="1">
        <v>33</v>
      </c>
      <c r="C18252" s="3">
        <v>44541.885057870371</v>
      </c>
      <c r="D18252" s="1" t="s">
        <v>35693</v>
      </c>
      <c r="E18252" s="4" t="str">
        <f ca="1">IFERROR(__xludf.DUMMYFUNCTION("GOOGLETRANSLATE(A1055 , ""tr"" , ""en"")"),"@drfahrettinka Mr. Minister People Physical Treatment For 6 Months in State Hospital 6 months 1 Year Row Awaiting Plus ... https://t.co/gbzqzsqnls")</f>
        <v>@drfahrettinka Mr. Minister People Physical Treatment For 6 Months in State Hospital 6 months 1 Year Row Awaiting Plus ... https://t.co/gbzqzsqnls</v>
      </c>
    </row>
    <row r="18253" spans="1:5" ht="15" customHeight="1" x14ac:dyDescent="0.25">
      <c r="A18253" s="1" t="s">
        <v>35694</v>
      </c>
      <c r="B18253" s="1">
        <v>10</v>
      </c>
      <c r="C18253" s="3">
        <v>44541.884733796294</v>
      </c>
      <c r="D18253" s="1" t="s">
        <v>35695</v>
      </c>
      <c r="E18253" s="4" t="str">
        <f ca="1">IFERROR(__xludf.DUMMYFUNCTION("GOOGLETRANSLATE(A1056 , ""tr"" , ""en"")"),"@drfahrettinkoca 20 + 10 thousand health staff reception Yes but not enough. 800 thousand health graduates p ... https://t.co/wfeawubixv")</f>
        <v>@drfahrettinkoca 20 + 10 thousand health staff reception Yes but not enough. 800 thousand health graduates p ... https://t.co/wfeawubixv</v>
      </c>
    </row>
    <row r="18254" spans="1:5" ht="15" customHeight="1" x14ac:dyDescent="0.25">
      <c r="A18254" s="1" t="s">
        <v>35696</v>
      </c>
      <c r="B18254" s="1">
        <v>3</v>
      </c>
      <c r="C18254" s="3">
        <v>44541.884467592594</v>
      </c>
      <c r="D18254" s="1" t="s">
        <v>35697</v>
      </c>
      <c r="E18254" s="4" t="str">
        <f ca="1">IFERROR(__xludf.DUMMYFUNCTION("GOOGLETRANSLATE(A1057 , ""tr"" , ""en"")"),"@drfahrettinka https://t.co/znq3sdjdot")</f>
        <v>@drfahrettinka https://t.co/znq3sdjdot</v>
      </c>
    </row>
    <row r="18255" spans="1:5" ht="15" customHeight="1" x14ac:dyDescent="0.25">
      <c r="A18255" s="1" t="s">
        <v>35698</v>
      </c>
      <c r="B18255" s="1">
        <v>4</v>
      </c>
      <c r="C18255" s="3">
        <v>44541.883599537039</v>
      </c>
      <c r="D18255" s="1" t="s">
        <v>35699</v>
      </c>
      <c r="E18255" s="4" t="str">
        <f ca="1">IFERROR(__xludf.DUMMYFUNCTION("GOOGLETRANSLATE(A1058 , ""tr"" , ""en"")"),"@drfahrettinkoca Ministry We took the full 13 months in a day that we have not been shared on a day in a day ... Hani poet says ""Unity ... Https://t.co/hewomn7lhq")</f>
        <v>@drfahrettinkoca Ministry We took the full 13 months in a day that we have not been shared on a day in a day ... Hani poet says "Unity ... Https://t.co/hewomn7lhq</v>
      </c>
    </row>
    <row r="18256" spans="1:5" ht="15" customHeight="1" x14ac:dyDescent="0.25">
      <c r="A18256" s="1" t="s">
        <v>35700</v>
      </c>
      <c r="B18256" s="1">
        <v>0</v>
      </c>
      <c r="C18256" s="3">
        <v>44541.879050925927</v>
      </c>
      <c r="D18256" s="1" t="s">
        <v>35701</v>
      </c>
      <c r="E18256" s="4" t="str">
        <f ca="1">IFERROR(__xludf.DUMMYFUNCTION("GOOGLETRANSLATE(A1059 , ""tr"" , ""en"")"),"@drfahrettinkoca sec. Minister, when our country needs us, we didn't hesitate, we have done what we do ... Https://t.co/dcqgkp9abi")</f>
        <v>@drfahrettinkoca sec. Minister, when our country needs us, we didn't hesitate, we have done what we do ... Https://t.co/dcqgkp9abi</v>
      </c>
    </row>
    <row r="18257" spans="1:5" ht="15" customHeight="1" x14ac:dyDescent="0.25">
      <c r="A18257" s="1" t="s">
        <v>35702</v>
      </c>
      <c r="B18257" s="1">
        <v>1</v>
      </c>
      <c r="C18257" s="3">
        <v>44541.874456018515</v>
      </c>
      <c r="D18257" s="1" t="s">
        <v>35703</v>
      </c>
      <c r="E18257" s="4" t="str">
        <f ca="1">IFERROR(__xludf.DUMMYFUNCTION("GOOGLETRANSLATE(A1060 , ""tr"" , ""en"")"),"@drfahrettinkoca please quit! You have broken a trust that the healthcare will never trust you.")</f>
        <v>@drfahrettinkoca please quit! You have broken a trust that the healthcare will never trust you.</v>
      </c>
    </row>
    <row r="18258" spans="1:5" ht="15" customHeight="1" x14ac:dyDescent="0.25">
      <c r="A18258" s="1" t="s">
        <v>35704</v>
      </c>
      <c r="B18258" s="1">
        <v>0</v>
      </c>
      <c r="C18258" s="3">
        <v>44541.873854166668</v>
      </c>
      <c r="D18258" s="1" t="s">
        <v>35705</v>
      </c>
      <c r="E18258" s="4" t="str">
        <f ca="1">IFERROR(__xludf.DUMMYFUNCTION("GOOGLETRANSLATE(A1061 , ""tr"" , ""en"")"),"@drfahrettinka vaccines please pull out premature")</f>
        <v>@drfahrettinka vaccines please pull out premature</v>
      </c>
    </row>
    <row r="18259" spans="1:5" ht="15" customHeight="1" x14ac:dyDescent="0.25">
      <c r="A18259" s="1" t="s">
        <v>35706</v>
      </c>
      <c r="B18259" s="1">
        <v>0</v>
      </c>
      <c r="C18259" s="3">
        <v>44541.870972222219</v>
      </c>
      <c r="D18259" s="1" t="s">
        <v>35707</v>
      </c>
      <c r="E18259" s="4" t="str">
        <f ca="1">IFERROR(__xludf.DUMMYFUNCTION("GOOGLETRANSLATE(A1062 , ""tr"" , ""en"")"),"@drfahrettinkoca facing hubby How are you people blacking our lives You have sucked our youth our blood ... https://t.co/osjomvvsce")</f>
        <v>@drfahrettinkoca facing hubby How are you people blacking our lives You have sucked our youth our blood ... https://t.co/osjomvvsce</v>
      </c>
    </row>
    <row r="18260" spans="1:5" ht="15" customHeight="1" x14ac:dyDescent="0.25">
      <c r="A18260" s="1" t="s">
        <v>35708</v>
      </c>
      <c r="B18260" s="1">
        <v>0</v>
      </c>
      <c r="C18260" s="3">
        <v>44541.868043981478</v>
      </c>
      <c r="D18260" s="1" t="s">
        <v>35709</v>
      </c>
      <c r="E18260" s="4" t="str">
        <f ca="1">IFERROR(__xludf.DUMMYFUNCTION("GOOGLETRANSLATE(A1063 , ""tr"" , ""en"")"),"@drfahrettinka formally fooled us who will give us the account of this exaggeration")</f>
        <v>@drfahrettinka formally fooled us who will give us the account of this exaggeration</v>
      </c>
    </row>
    <row r="18261" spans="1:5" ht="15" customHeight="1" x14ac:dyDescent="0.25">
      <c r="A18261" s="1" t="s">
        <v>35710</v>
      </c>
      <c r="B18261" s="1">
        <v>0</v>
      </c>
      <c r="C18261" s="3">
        <v>44541.866574074076</v>
      </c>
      <c r="D18261" s="1" t="s">
        <v>35711</v>
      </c>
      <c r="E18261" s="4" t="str">
        <f ca="1">IFERROR(__xludf.DUMMYFUNCTION("GOOGLETRANSLATE(A1064 , ""tr"" , ""en"")"),"@drfahrettinkoca look that is right here. But the medical faculties remove the teachers, torture the doctor of the doctor ... https://t.co/elnb5gorke")</f>
        <v>@drfahrettinkoca look that is right here. But the medical faculties remove the teachers, torture the doctor of the doctor ... https://t.co/elnb5gorke</v>
      </c>
    </row>
    <row r="18262" spans="1:5" ht="15" customHeight="1" x14ac:dyDescent="0.25">
      <c r="A18262" s="1" t="s">
        <v>35712</v>
      </c>
      <c r="B18262" s="1">
        <v>0</v>
      </c>
      <c r="C18262" s="3">
        <v>44541.865127314813</v>
      </c>
      <c r="D18262" s="1" t="s">
        <v>35713</v>
      </c>
      <c r="E18262" s="4" t="str">
        <f ca="1">IFERROR(__xludf.DUMMYFUNCTION("GOOGLETRANSLATE(A1065 , ""tr"" , ""en"")"),"@drfahrettinkoca What is this time ""Buyuk trump""? https://t.co/xjlfm9nvu4")</f>
        <v>@drfahrettinkoca What is this time "Buyuk trump"? https://t.co/xjlfm9nvu4</v>
      </c>
    </row>
    <row r="18263" spans="1:5" ht="15" customHeight="1" x14ac:dyDescent="0.25">
      <c r="A18263" s="1" t="s">
        <v>35714</v>
      </c>
      <c r="B18263" s="1">
        <v>1</v>
      </c>
      <c r="C18263" s="3">
        <v>44541.862858796296</v>
      </c>
      <c r="D18263" s="1" t="s">
        <v>35715</v>
      </c>
      <c r="E18263" s="4" t="str">
        <f ca="1">IFERROR(__xludf.DUMMYFUNCTION("GOOGLETRANSLATE(A1066 , ""tr"" , ""en"")"),"@drfahrettinka thank you because you're not misleading your figure.")</f>
        <v>@drfahrettinka thank you because you're not misleading your figure.</v>
      </c>
    </row>
    <row r="18264" spans="1:5" ht="15" customHeight="1" x14ac:dyDescent="0.25">
      <c r="A18264" s="1" t="s">
        <v>35716</v>
      </c>
      <c r="B18264" s="1">
        <v>1</v>
      </c>
      <c r="C18264" s="3">
        <v>44541.862719907411</v>
      </c>
      <c r="D18264" s="1" t="s">
        <v>35717</v>
      </c>
      <c r="E18264" s="4" t="str">
        <f ca="1">IFERROR(__xludf.DUMMYFUNCTION("GOOGLETRANSLATE(A1067 , ""tr"" , ""en"")"),"@drfahrettinkoca thousands of times # pityLarSunBakanka")</f>
        <v>@drfahrettinkoca thousands of times # pityLarSunBakanka</v>
      </c>
    </row>
    <row r="18265" spans="1:5" ht="15" customHeight="1" x14ac:dyDescent="0.25">
      <c r="A18265" s="1" t="s">
        <v>35718</v>
      </c>
      <c r="B18265" s="1">
        <v>0</v>
      </c>
      <c r="C18265" s="3">
        <v>44541.859340277777</v>
      </c>
      <c r="D18265" s="1" t="s">
        <v>35719</v>
      </c>
      <c r="E18265" s="4" t="str">
        <f ca="1">IFERROR(__xludf.DUMMYFUNCTION("GOOGLETRANSLATE(A1068 , ""tr"" , ""en"")"),"@drfahrettinkoca See the situation where you drop us when purchasing other ministries. We are looking forward to your resignation!")</f>
        <v>@drfahrettinkoca See the situation where you drop us when purchasing other ministries. We are looking forward to your resignation!</v>
      </c>
    </row>
    <row r="18266" spans="1:5" ht="15" customHeight="1" x14ac:dyDescent="0.25">
      <c r="A18266" s="1" t="s">
        <v>35720</v>
      </c>
      <c r="B18266" s="1">
        <v>0</v>
      </c>
      <c r="C18266" s="3">
        <v>44541.857777777775</v>
      </c>
      <c r="D18266" s="1" t="s">
        <v>35721</v>
      </c>
      <c r="E18266" s="4" t="str">
        <f ca="1">IFERROR(__xludf.DUMMYFUNCTION("GOOGLETRANSLATE(A1069 , ""tr"" , ""en"")"),"@drfahrettinkoca whatever I say a lot Anyway https://t.co/fqutkjlwno")</f>
        <v>@drfahrettinkoca whatever I say a lot Anyway https://t.co/fqutkjlwno</v>
      </c>
    </row>
    <row r="18267" spans="1:5" ht="15" customHeight="1" x14ac:dyDescent="0.25">
      <c r="A18267" s="1" t="s">
        <v>35722</v>
      </c>
      <c r="B18267" s="1">
        <v>1</v>
      </c>
      <c r="C18267" s="3">
        <v>44541.853113425925</v>
      </c>
      <c r="D18267" s="1" t="s">
        <v>35723</v>
      </c>
      <c r="E18267" s="4" t="str">
        <f ca="1">IFERROR(__xludf.DUMMYFUNCTION("GOOGLETRANSLATE(A1070 , ""tr"" , ""en"")"),"@drfahrettinkoca Come tomorrow I gave me the PCR 5 times when I'm not sick?")</f>
        <v>@drfahrettinkoca Come tomorrow I gave me the PCR 5 times when I'm not sick?</v>
      </c>
    </row>
    <row r="18268" spans="1:5" ht="15" customHeight="1" x14ac:dyDescent="0.25">
      <c r="A18268" s="1" t="s">
        <v>35724</v>
      </c>
      <c r="B18268" s="1">
        <v>1</v>
      </c>
      <c r="C18268" s="3">
        <v>44541.85224537037</v>
      </c>
      <c r="D18268" s="1" t="s">
        <v>35725</v>
      </c>
      <c r="E18268" s="4" t="str">
        <f ca="1">IFERROR(__xludf.DUMMYFUNCTION("GOOGLETRANSLATE(A1071 , ""tr"" , ""en"")"),"@drfahrettinkoca our heard our voice # CasalsMandus")</f>
        <v>@drfahrettinkoca our heard our voice # CasalsMandus</v>
      </c>
    </row>
    <row r="18269" spans="1:5" ht="15" customHeight="1" x14ac:dyDescent="0.25">
      <c r="A18269" s="1" t="s">
        <v>35726</v>
      </c>
      <c r="B18269" s="1">
        <v>0</v>
      </c>
      <c r="C18269" s="3">
        <v>44541.848645833335</v>
      </c>
      <c r="D18269" s="1" t="s">
        <v>35727</v>
      </c>
      <c r="E18269" s="4" t="str">
        <f ca="1">IFERROR(__xludf.DUMMYFUNCTION("GOOGLETRANSLATE(A1072 , ""tr"" , ""en"")"),"@drfahrettinkoca Respect Value The Ministry of Value We will release from you in God. What is the mindset to you what a woman ... https://t.co/vywbgr0blv")</f>
        <v>@drfahrettinkoca Respect Value The Ministry of Value We will release from you in God. What is the mindset to you what a woman ... https://t.co/vywbgr0blv</v>
      </c>
    </row>
    <row r="18270" spans="1:5" ht="15" customHeight="1" x14ac:dyDescent="0.25">
      <c r="A18270" s="1" t="s">
        <v>35728</v>
      </c>
      <c r="B18270" s="1">
        <v>0</v>
      </c>
      <c r="C18270" s="3">
        <v>44541.848645833335</v>
      </c>
      <c r="D18270" s="1" t="s">
        <v>35729</v>
      </c>
      <c r="E18270" s="4" t="str">
        <f ca="1">IFERROR(__xludf.DUMMYFUNCTION("GOOGLETRANSLATE(A1073 , ""tr"" , ""en"")"),"@drfahrettinkoca @rterdogan https://t.co/cdbwdtmknj")</f>
        <v>@drfahrettinkoca @rterdogan https://t.co/cdbwdtmknj</v>
      </c>
    </row>
    <row r="18271" spans="1:5" ht="15" customHeight="1" x14ac:dyDescent="0.25">
      <c r="A18271" s="1" t="s">
        <v>35730</v>
      </c>
      <c r="B18271" s="1">
        <v>0</v>
      </c>
      <c r="C18271" s="3">
        <v>44541.847326388888</v>
      </c>
      <c r="D18271" s="1" t="s">
        <v>35731</v>
      </c>
      <c r="E18271" s="4" t="str">
        <f ca="1">IFERROR(__xludf.DUMMYFUNCTION("GOOGLETRANSLATE(A1074 , ""tr"" , ""en"")"),"@drfahrettinkoca #Inglish quartermen is the big bi in the crate will not wonder")</f>
        <v>@drfahrettinkoca #Inglish quartermen is the big bi in the crate will not wonder</v>
      </c>
    </row>
    <row r="18272" spans="1:5" ht="15" customHeight="1" x14ac:dyDescent="0.25">
      <c r="A18272" s="1" t="s">
        <v>35732</v>
      </c>
      <c r="B18272" s="1">
        <v>1</v>
      </c>
      <c r="C18272" s="3">
        <v>44541.84715277778</v>
      </c>
      <c r="D18272" s="1" t="s">
        <v>35733</v>
      </c>
      <c r="E18272" s="4" t="str">
        <f ca="1">IFERROR(__xludf.DUMMYFUNCTION("GOOGLETRANSLATE(A1075 , ""tr"" , ""en"")"),"@drfahrettinka https://t.co/3eufık1hry")</f>
        <v>@drfahrettinka https://t.co/3eufık1hry</v>
      </c>
    </row>
    <row r="18273" spans="1:5" ht="15" customHeight="1" x14ac:dyDescent="0.25">
      <c r="A18273" s="1" t="s">
        <v>35734</v>
      </c>
      <c r="B18273" s="1">
        <v>0</v>
      </c>
      <c r="C18273" s="3">
        <v>44541.846354166664</v>
      </c>
      <c r="D18273" s="1" t="s">
        <v>35735</v>
      </c>
      <c r="E18273" s="4" t="str">
        <f ca="1">IFERROR(__xludf.DUMMYFUNCTION("GOOGLETRANSLATE(A1076 , ""tr"" , ""en"")"),"@drfahrettinka https://t.co/wapwkk1iut")</f>
        <v>@drfahrettinka https://t.co/wapwkk1iut</v>
      </c>
    </row>
    <row r="18274" spans="1:5" ht="15" customHeight="1" x14ac:dyDescent="0.25">
      <c r="A18274" s="1" t="s">
        <v>35736</v>
      </c>
      <c r="B18274" s="1">
        <v>0</v>
      </c>
      <c r="C18274" s="3">
        <v>44541.845891203702</v>
      </c>
      <c r="D18274" s="1" t="s">
        <v>35737</v>
      </c>
      <c r="E18274" s="4" t="str">
        <f ca="1">IFERROR(__xludf.DUMMYFUNCTION("GOOGLETRANSLATE(A1077 , ""tr"" , ""en"")"),"@drfahrettinkoca hocam looking for salofalk but unfortunately 7 months I can't find my wife reported but I'm cash with cash ... https://t.co/9nzbwo3lbj")</f>
        <v>@drfahrettinkoca hocam looking for salofalk but unfortunately 7 months I can't find my wife reported but I'm cash with cash ... https://t.co/9nzbwo3lbj</v>
      </c>
    </row>
    <row r="18275" spans="1:5" ht="15" customHeight="1" x14ac:dyDescent="0.25">
      <c r="A18275" s="1" t="s">
        <v>35738</v>
      </c>
      <c r="B18275" s="1">
        <v>0</v>
      </c>
      <c r="C18275" s="3">
        <v>44541.845023148147</v>
      </c>
      <c r="D18275" s="1" t="s">
        <v>35739</v>
      </c>
      <c r="E18275" s="4" t="str">
        <f ca="1">IFERROR(__xludf.DUMMYFUNCTION("GOOGLETRANSLATE(A1078 , ""tr"" , ""en"")"),"@drfahrettinkoca Mr. Minister Salofalk say the location of the salofalk how many money I want to go and get my wife this life ... https://t.co/afljagcei4")</f>
        <v>@drfahrettinkoca Mr. Minister Salofalk say the location of the salofalk how many money I want to go and get my wife this life ... https://t.co/afljagcei4</v>
      </c>
    </row>
    <row r="18276" spans="1:5" ht="15" customHeight="1" x14ac:dyDescent="0.25">
      <c r="A18276" s="1" t="s">
        <v>35740</v>
      </c>
      <c r="B18276" s="1">
        <v>0</v>
      </c>
      <c r="C18276" s="3">
        <v>44541.844259259262</v>
      </c>
      <c r="D18276" s="1" t="s">
        <v>35741</v>
      </c>
      <c r="E18276" s="4" t="str">
        <f ca="1">IFERROR(__xludf.DUMMYFUNCTION("GOOGLETRANSLATE(A1079 , ""tr"" , ""en"")"),"@drfahrettinkoca game you are playing on the rule of the ruling AFERİM WHO and Bill Gates Send the medals to you Artik @rterdogan reis ... https://t.co/dprxsazwrm")</f>
        <v>@drfahrettinkoca game you are playing on the rule of the ruling AFERİM WHO and Bill Gates Send the medals to you Artik @rterdogan reis ... https://t.co/dprxsazwrm</v>
      </c>
    </row>
    <row r="18277" spans="1:5" ht="15" customHeight="1" x14ac:dyDescent="0.25">
      <c r="A18277" s="1" t="s">
        <v>35742</v>
      </c>
      <c r="B18277" s="1">
        <v>0</v>
      </c>
      <c r="C18277" s="3">
        <v>44541.841504629629</v>
      </c>
      <c r="D18277" s="1" t="s">
        <v>35743</v>
      </c>
      <c r="E18277" s="4" t="str">
        <f ca="1">IFERROR(__xludf.DUMMYFUNCTION("GOOGLETRANSLATE(A1080 , ""tr"" , ""en"")"),"@drfahrettinkoca is very precious that this country has very precious, we have very physicians that we are grateful to them. However do ... https://t.co/prwtmytapc")</f>
        <v>@drfahrettinkoca is very precious that this country has very precious, we have very physicians that we are grateful to them. However do ... https://t.co/prwtmytapc</v>
      </c>
    </row>
    <row r="18278" spans="1:5" ht="15" customHeight="1" x14ac:dyDescent="0.25">
      <c r="A18278" s="1" t="s">
        <v>35744</v>
      </c>
      <c r="B18278" s="1">
        <v>0</v>
      </c>
      <c r="C18278" s="3">
        <v>44541.839502314811</v>
      </c>
      <c r="D18278" s="1" t="s">
        <v>35745</v>
      </c>
      <c r="E18278" s="4" t="str">
        <f ca="1">IFERROR(__xludf.DUMMYFUNCTION("GOOGLETRANSLATE(A1081 , ""tr"" , ""en"")"),"@drfahrettinka announces 20 thousand reception")</f>
        <v>@drfahrettinka announces 20 thousand reception</v>
      </c>
    </row>
    <row r="18279" spans="1:5" ht="15" customHeight="1" x14ac:dyDescent="0.25">
      <c r="A18279" s="1" t="s">
        <v>35746</v>
      </c>
      <c r="B18279" s="1">
        <v>2</v>
      </c>
      <c r="C18279" s="3">
        <v>44541.838472222225</v>
      </c>
      <c r="D18279" s="1" t="s">
        <v>35747</v>
      </c>
      <c r="E18279" s="4" t="str">
        <f ca="1">IFERROR(__xludf.DUMMYFUNCTION("GOOGLETRANSLATE(A1082 , ""tr"" , ""en"")"),"@drfahrettinkoca # Buatcedeavacities You have a lot of networks in the election ... No one will forget what you have been living !!! https://T.CO/OZ65EGTPAI")</f>
        <v>@drfahrettinkoca # Buatcedeavacities You have a lot of networks in the election ... No one will forget what you have been living !!! https://T.CO/OZ65EGTPAI</v>
      </c>
    </row>
    <row r="18280" spans="1:5" ht="15" customHeight="1" x14ac:dyDescent="0.25">
      <c r="A18280" s="1" t="s">
        <v>35748</v>
      </c>
      <c r="B18280" s="1">
        <v>1</v>
      </c>
      <c r="C18280" s="3">
        <v>44541.837673611109</v>
      </c>
      <c r="D18280" s="1" t="s">
        <v>35749</v>
      </c>
      <c r="E18280" s="4" t="str">
        <f ca="1">IFERROR(__xludf.DUMMYFUNCTION("GOOGLETRANSLATE(A1083 , ""tr"" , ""en"")"),"@drfahrettinkoca why are you having trouble talking")</f>
        <v>@drfahrettinkoca why are you having trouble talking</v>
      </c>
    </row>
    <row r="18281" spans="1:5" ht="15" customHeight="1" x14ac:dyDescent="0.25">
      <c r="A18281" s="1" t="s">
        <v>35750</v>
      </c>
      <c r="B18281" s="1">
        <v>0</v>
      </c>
      <c r="C18281" s="3">
        <v>44541.836284722223</v>
      </c>
      <c r="D18281" s="1" t="s">
        <v>35751</v>
      </c>
      <c r="E18281" s="4" t="str">
        <f ca="1">IFERROR(__xludf.DUMMYFUNCTION("GOOGLETRANSLATE(A1084 , ""tr"" , ""en"")"),"@drfahrettinkoca March says he would be in June at best")</f>
        <v>@drfahrettinkoca March says he would be in June at best</v>
      </c>
    </row>
    <row r="18282" spans="1:5" ht="15" customHeight="1" x14ac:dyDescent="0.25">
      <c r="A18282" s="1" t="s">
        <v>35752</v>
      </c>
      <c r="B18282" s="1">
        <v>0</v>
      </c>
      <c r="C18282" s="3">
        <v>44541.835706018515</v>
      </c>
      <c r="D18282" s="1" t="s">
        <v>35753</v>
      </c>
      <c r="E18282" s="4" t="str">
        <f ca="1">IFERROR(__xludf.DUMMYFUNCTION("GOOGLETRANSLATE(A1085 , ""tr"" , ""en"")"),"@drfahrettinkoca When you wait for time and divided into two either")</f>
        <v>@drfahrettinkoca When you wait for time and divided into two either</v>
      </c>
    </row>
    <row r="18283" spans="1:5" ht="15" customHeight="1" x14ac:dyDescent="0.25">
      <c r="A18283" s="1" t="s">
        <v>35754</v>
      </c>
      <c r="B18283" s="1">
        <v>0</v>
      </c>
      <c r="C18283" s="3">
        <v>44541.833865740744</v>
      </c>
      <c r="D18283" s="1" t="s">
        <v>35755</v>
      </c>
      <c r="E18283" s="4" t="str">
        <f ca="1">IFERROR(__xludf.DUMMYFUNCTION("GOOGLETRANSLATE(A1086 , ""tr"" , ""en"")"),"@drfahrettinkoca @saglikbakanligi @meral_aksener @kilicdarogucuk https://t.co/cdhpzxppp4v")</f>
        <v>@drfahrettinkoca @saglikbakanligi @meral_aksener @kilicdarogucuk https://t.co/cdhpzxppp4v</v>
      </c>
    </row>
    <row r="18284" spans="1:5" ht="15" customHeight="1" x14ac:dyDescent="0.25">
      <c r="A18284" s="1" t="s">
        <v>35756</v>
      </c>
      <c r="B18284" s="1">
        <v>0</v>
      </c>
      <c r="C18284" s="3">
        <v>44541.826979166668</v>
      </c>
      <c r="D18284" s="1" t="s">
        <v>35757</v>
      </c>
      <c r="E18284" s="4" t="str">
        <f ca="1">IFERROR(__xludf.DUMMYFUNCTION("GOOGLETRANSLATE(A1087 , ""tr"" , ""en"")"),"@drfahrettinkoca @rterdogan @saglikbakanligi # Casalararmeletmelimaktan")</f>
        <v>@drfahrettinkoca @rterdogan @saglikbakanligi # Casalararmeletmelimaktan</v>
      </c>
    </row>
    <row r="18285" spans="1:5" ht="15" customHeight="1" x14ac:dyDescent="0.25">
      <c r="A18285" s="1" t="s">
        <v>35758</v>
      </c>
      <c r="B18285" s="1">
        <v>2</v>
      </c>
      <c r="C18285" s="3">
        <v>44541.821956018517</v>
      </c>
      <c r="D18285" s="1" t="s">
        <v>35759</v>
      </c>
      <c r="E18285" s="4" t="str">
        <f ca="1">IFERROR(__xludf.DUMMYFUNCTION("GOOGLETRANSLATE(A1088 , ""tr"" , ""en"")"),"@drfahrettinkoca @eczburhan #buddling")</f>
        <v>@drfahrettinkoca @eczburhan #buddling</v>
      </c>
    </row>
    <row r="18286" spans="1:5" ht="15" customHeight="1" x14ac:dyDescent="0.25">
      <c r="A18286" s="1" t="s">
        <v>35760</v>
      </c>
      <c r="B18286" s="1">
        <v>0</v>
      </c>
      <c r="C18286" s="3">
        <v>44524.943090277775</v>
      </c>
      <c r="D18286" s="1" t="s">
        <v>35761</v>
      </c>
      <c r="E18286" s="4" t="str">
        <f ca="1">IFERROR(__xludf.DUMMYFUNCTION("GOOGLETRANSLATE(A1089 , ""tr"" , ""en"")"),"@drfahrettinkoca @sgksosyalmedya @saglikbakanligi @novartisturkiye https://t.co/glk9q5cgau")</f>
        <v>@drfahrettinkoca @sgksosyalmedya @saglikbakanligi @novartisturkiye https://t.co/glk9q5cgau</v>
      </c>
    </row>
    <row r="18287" spans="1:5" ht="15" customHeight="1" x14ac:dyDescent="0.25">
      <c r="A18287" s="1" t="s">
        <v>35762</v>
      </c>
      <c r="B18287" s="1">
        <v>0</v>
      </c>
      <c r="C18287" s="3">
        <v>44524.940740740742</v>
      </c>
      <c r="D18287" s="1" t="s">
        <v>35763</v>
      </c>
      <c r="E18287" s="4" t="str">
        <f ca="1">IFERROR(__xludf.DUMMYFUNCTION("GOOGLETRANSLATE(A1090 , ""tr"" , ""en"")"),"@drfahrettinkoca @suleymansoylu @rterdogan https://t.co/s1tffnjwku")</f>
        <v>@drfahrettinkoca @suleymansoylu @rterdogan https://t.co/s1tffnjwku</v>
      </c>
    </row>
    <row r="18288" spans="1:5" ht="15" customHeight="1" x14ac:dyDescent="0.25">
      <c r="A18288" s="1" t="s">
        <v>35764</v>
      </c>
      <c r="B18288" s="1">
        <v>0</v>
      </c>
      <c r="C18288" s="3">
        <v>44524.936030092591</v>
      </c>
      <c r="D18288" s="1" t="s">
        <v>35765</v>
      </c>
      <c r="E18288" s="4" t="str">
        <f ca="1">IFERROR(__xludf.DUMMYFUNCTION("GOOGLETRANSLATE(A1091 , ""tr"" , ""en"")"),"@drfahrettinka schools are still imprudent and guys are going to school full time. Are you still waiting for?")</f>
        <v>@drfahrettinka schools are still imprudent and guys are going to school full time. Are you still waiting for?</v>
      </c>
    </row>
    <row r="18289" spans="1:5" ht="15" customHeight="1" x14ac:dyDescent="0.25">
      <c r="A18289" s="1" t="s">
        <v>35766</v>
      </c>
      <c r="B18289" s="1">
        <v>1</v>
      </c>
      <c r="C18289" s="3">
        <v>44524.914652777778</v>
      </c>
      <c r="D18289" s="1" t="s">
        <v>35767</v>
      </c>
      <c r="E18289" s="4" t="str">
        <f ca="1">IFERROR(__xludf.DUMMYFUNCTION("GOOGLETRANSLATE(A1092 , ""tr"" , ""en"")"),"@drfahrettinkoca bay minicaci body with SMA with SMA is not only ingredient in battle with SMA but not only in spiritual support ... https://t.co/5hbl1h4hgz")</f>
        <v>@drfahrettinkoca bay minicaci body with SMA with SMA is not only ingredient in battle with SMA but not only in spiritual support ... https://t.co/5hbl1h4hgz</v>
      </c>
    </row>
    <row r="18290" spans="1:5" ht="15" customHeight="1" x14ac:dyDescent="0.25">
      <c r="A18290" s="1" t="s">
        <v>35768</v>
      </c>
      <c r="B18290" s="1">
        <v>0</v>
      </c>
      <c r="C18290" s="3">
        <v>44524.90834490741</v>
      </c>
      <c r="D18290" s="1" t="s">
        <v>35769</v>
      </c>
      <c r="E18290" s="4" t="str">
        <f ca="1">IFERROR(__xludf.DUMMYFUNCTION("GOOGLETRANSLATE(A1093 , ""tr"" , ""en"")"),"@drfahrettinka Mr. Hocam I'm old health worker Yusuf Yusuf Yusuf Ankara Etimesgut Martyr Sait Etturk State ... https ://t.co/wvlsbteuxb")</f>
        <v>@drfahrettinka Mr. Hocam I'm old health worker Yusuf Yusuf Yusuf Ankara Etimesgut Martyr Sait Etturk State ... https ://t.co/wvlsbteuxb</v>
      </c>
    </row>
    <row r="18291" spans="1:5" ht="15" customHeight="1" x14ac:dyDescent="0.25">
      <c r="A18291" s="1" t="s">
        <v>35770</v>
      </c>
      <c r="B18291" s="1">
        <v>0</v>
      </c>
      <c r="C18291" s="3">
        <v>44524.904236111113</v>
      </c>
      <c r="D18291" s="1" t="s">
        <v>35771</v>
      </c>
      <c r="E18291" s="4" t="str">
        <f ca="1">IFERROR(__xludf.DUMMYFUNCTION("GOOGLETRANSLATE(A1094 , ""tr"" , ""en"")"),"@drfahrettinkoca @suleymansoylu @rterdogan @dbdevletbahceli @emnetgm @fahrettinaltun Ah My beautiful country is complete ... https://t.co/6rbmvy4csr")</f>
        <v>@drfahrettinkoca @suleymansoylu @rterdogan @dbdevletbahceli @emnetgm @fahrettinaltun Ah My beautiful country is complete ... https://t.co/6rbmvy4csr</v>
      </c>
    </row>
    <row r="18292" spans="1:5" ht="15" customHeight="1" x14ac:dyDescent="0.25">
      <c r="A18292" s="1" t="s">
        <v>35772</v>
      </c>
      <c r="B18292" s="1">
        <v>2</v>
      </c>
      <c r="C18292" s="3">
        <v>44524.894918981481</v>
      </c>
      <c r="D18292" s="1" t="s">
        <v>35773</v>
      </c>
      <c r="E18292" s="4" t="str">
        <f ca="1">IFERROR(__xludf.DUMMYFUNCTION("GOOGLETRANSLATE(A1095 , ""tr"" , ""en"")"),"@drfahrettinkoca @adalet_bakanlik You get the sample perhaps! https://t.co/povyggp0I2")</f>
        <v>@drfahrettinkoca @adalet_bakanlik You get the sample perhaps! https://t.co/povyggp0I2</v>
      </c>
    </row>
    <row r="18293" spans="1:5" ht="15" customHeight="1" x14ac:dyDescent="0.25">
      <c r="A18293" s="1" t="s">
        <v>35774</v>
      </c>
      <c r="B18293" s="1">
        <v>0</v>
      </c>
      <c r="C18293" s="3">
        <v>44524.891458333332</v>
      </c>
      <c r="D18293" s="1" t="s">
        <v>35775</v>
      </c>
      <c r="E18293" s="4" t="str">
        <f ca="1">IFERROR(__xludf.DUMMYFUNCTION("GOOGLETRANSLATE(A1096 , ""tr"" , ""en"")"),"@drfahrettinkoca How do you run out of outbreak I wondered by Mr.")</f>
        <v>@drfahrettinkoca How do you run out of outbreak I wondered by Mr.</v>
      </c>
    </row>
    <row r="18294" spans="1:5" ht="15" customHeight="1" x14ac:dyDescent="0.25">
      <c r="A18294" s="1" t="s">
        <v>35776</v>
      </c>
      <c r="B18294" s="1">
        <v>0</v>
      </c>
      <c r="C18294" s="3">
        <v>44524.881909722222</v>
      </c>
      <c r="D18294" s="1" t="s">
        <v>35777</v>
      </c>
      <c r="E18294" s="4" t="str">
        <f ca="1">IFERROR(__xludf.DUMMYFUNCTION("GOOGLETRANSLATE(A1097 , ""tr"" , ""en"")"),"@drfahrettinka you have made the idea and oppression with the idea of ​​the mortality that you mean to the nation is not healthy Hoca # EVDEkalbengibasher")</f>
        <v>@drfahrettinka you have made the idea and oppression with the idea of ​​the mortality that you mean to the nation is not healthy Hoca # EVDEkalbengibasher</v>
      </c>
    </row>
    <row r="18295" spans="1:5" ht="15" customHeight="1" x14ac:dyDescent="0.25">
      <c r="A18295" s="1" t="s">
        <v>35778</v>
      </c>
      <c r="B18295" s="1">
        <v>0</v>
      </c>
      <c r="C18295" s="3">
        <v>44524.880624999998</v>
      </c>
      <c r="D18295" s="1" t="s">
        <v>35779</v>
      </c>
      <c r="E18295" s="4" t="str">
        <f ca="1">IFERROR(__xludf.DUMMYFUNCTION("GOOGLETRANSLATE(A1098 , ""tr"" , ""en"")"),"@drfahrettinkoca @saglikbakanligi @ Mehmetceyhan23 @AhMetceyhan23 @Anparti You are the Allah you are allah your trouble all ... https://t.co/ty4wfybfue")</f>
        <v>@drfahrettinkoca @saglikbakanligi @ Mehmetceyhan23 @AhMetceyhan23 @Anparti You are the Allah you are allah your trouble all ... https://t.co/ty4wfybfue</v>
      </c>
    </row>
    <row r="18296" spans="1:5" ht="15" customHeight="1" x14ac:dyDescent="0.25">
      <c r="A18296" s="1" t="s">
        <v>35780</v>
      </c>
      <c r="B18296" s="1">
        <v>0</v>
      </c>
      <c r="C18296" s="3">
        <v>44524.872395833336</v>
      </c>
      <c r="D18296" s="1" t="s">
        <v>35781</v>
      </c>
      <c r="E18296" s="4" t="str">
        <f ca="1">IFERROR(__xludf.DUMMYFUNCTION("GOOGLETRANSLATE(A1099 , ""tr"" , ""en"")"),"@drfahrettinkoca To whom did you ask you this offer? 5dk for patient examination to your health personnel? R ... https://t.co/Iyzsufo344")</f>
        <v>@drfahrettinkoca To whom did you ask you this offer? 5dk for patient examination to your health personnel? R ... https://t.co/Iyzsufo344</v>
      </c>
    </row>
    <row r="18297" spans="1:5" ht="15" customHeight="1" x14ac:dyDescent="0.25">
      <c r="A18297" s="1" t="s">
        <v>35782</v>
      </c>
      <c r="B18297" s="1">
        <v>0</v>
      </c>
      <c r="C18297" s="3">
        <v>44524.862800925926</v>
      </c>
      <c r="D18297" s="1" t="s">
        <v>35783</v>
      </c>
      <c r="E18297" s="4" t="str">
        <f ca="1">IFERROR(__xludf.DUMMYFUNCTION("GOOGLETRANSLATE(A1100 , ""tr"" , ""en"")"),"@drfahrettinkoca Your scientist membership is very homeland. I wanted to know. https://t.co/xv6jgwvtuc")</f>
        <v>@drfahrettinkoca Your scientist membership is very homeland. I wanted to know. https://t.co/xv6jgwvtuc</v>
      </c>
    </row>
    <row r="18298" spans="1:5" ht="15" customHeight="1" x14ac:dyDescent="0.25">
      <c r="A18298" s="1" t="s">
        <v>35784</v>
      </c>
      <c r="B18298" s="1">
        <v>0</v>
      </c>
      <c r="C18298" s="3">
        <v>44524.860671296294</v>
      </c>
      <c r="D18298" s="1" t="s">
        <v>35785</v>
      </c>
      <c r="E18298" s="4" t="str">
        <f ca="1">IFERROR(__xludf.DUMMYFUNCTION("GOOGLETRANSLATE(A1101 , ""tr"" , ""en"")"),"@drfahrettinkoca @rterdogan https://t.co/havtotI9g0")</f>
        <v>@drfahrettinkoca @rterdogan https://t.co/havtotI9g0</v>
      </c>
    </row>
    <row r="18299" spans="1:5" ht="15" customHeight="1" x14ac:dyDescent="0.25">
      <c r="A18299" s="1" t="s">
        <v>35786</v>
      </c>
      <c r="B18299" s="1">
        <v>1</v>
      </c>
      <c r="C18299" s="3">
        <v>44524.859236111108</v>
      </c>
      <c r="D18299" s="1" t="s">
        <v>35787</v>
      </c>
      <c r="E18299" s="4" t="str">
        <f ca="1">IFERROR(__xludf.DUMMYFUNCTION("GOOGLETRANSLATE(A1102 , ""tr"" , ""en"")"),"@drfahrettinkoca @rterdogan @suleymansoylu https://t.co/a7dyqbncbh")</f>
        <v>@drfahrettinkoca @rterdogan @suleymansoylu https://t.co/a7dyqbncbh</v>
      </c>
    </row>
    <row r="18300" spans="1:5" ht="15" customHeight="1" x14ac:dyDescent="0.25">
      <c r="A18300" s="1" t="s">
        <v>35788</v>
      </c>
      <c r="B18300" s="1">
        <v>3</v>
      </c>
      <c r="C18300" s="3">
        <v>44524.858611111114</v>
      </c>
      <c r="D18300" s="1" t="s">
        <v>35789</v>
      </c>
      <c r="E18300" s="4" t="str">
        <f ca="1">IFERROR(__xludf.DUMMYFUNCTION("GOOGLETRANSLATE(A1103 , ""tr"" , ""en"")"),"@drfahrettinkoca you don't give you what we don't give weirmayacaz #elelilerdeonline")</f>
        <v>@drfahrettinkoca you don't give you what we don't give weirmayacaz #elelilerdeonline</v>
      </c>
    </row>
    <row r="18301" spans="1:5" ht="15" customHeight="1" x14ac:dyDescent="0.25">
      <c r="A18301" s="1" t="s">
        <v>35790</v>
      </c>
      <c r="B18301" s="1">
        <v>1</v>
      </c>
      <c r="C18301" s="3">
        <v>44527.977222222224</v>
      </c>
      <c r="D18301" s="1" t="s">
        <v>35791</v>
      </c>
      <c r="E18301" s="4" t="str">
        <f ca="1">IFERROR(__xludf.DUMMYFUNCTION("GOOGLETRANSLATE(A1104 , ""tr"" , ""en"")"),"@drfahrettinka https://t.co/hcwshbmow4")</f>
        <v>@drfahrettinka https://t.co/hcwshbmow4</v>
      </c>
    </row>
    <row r="18302" spans="1:5" ht="15" customHeight="1" x14ac:dyDescent="0.25">
      <c r="A18302" s="1" t="s">
        <v>35792</v>
      </c>
      <c r="B18302" s="1">
        <v>1</v>
      </c>
      <c r="C18302" s="3">
        <v>44527.972129629627</v>
      </c>
      <c r="D18302" s="1" t="s">
        <v>35793</v>
      </c>
      <c r="E18302" s="4" t="str">
        <f ca="1">IFERROR(__xludf.DUMMYFUNCTION("GOOGLETRANSLATE(A1105 , ""tr"" , ""en"")"),"@drfahrettinkoca Abi New Bi Variant Deried Do you have any news that you have to close birds")</f>
        <v>@drfahrettinkoca Abi New Bi Variant Deried Do you have any news that you have to close birds</v>
      </c>
    </row>
    <row r="18303" spans="1:5" ht="15" customHeight="1" x14ac:dyDescent="0.25">
      <c r="A18303" s="1" t="s">
        <v>35794</v>
      </c>
      <c r="B18303" s="1">
        <v>0</v>
      </c>
      <c r="C18303" s="3">
        <v>44527.960659722223</v>
      </c>
      <c r="D18303" s="1" t="s">
        <v>35795</v>
      </c>
      <c r="E18303" s="4" t="str">
        <f ca="1">IFERROR(__xludf.DUMMYFUNCTION("GOOGLETRANSLATE(A1106 , ""tr"" , ""en"")"),"@drfahrettinkoca epidine Minister is an open and clear question to the global demonic layout ...")</f>
        <v>@drfahrettinkoca epidine Minister is an open and clear question to the global demonic layout ...</v>
      </c>
    </row>
    <row r="18304" spans="1:5" ht="15" customHeight="1" x14ac:dyDescent="0.25">
      <c r="A18304" s="1" t="s">
        <v>35796</v>
      </c>
      <c r="B18304" s="1">
        <v>0</v>
      </c>
      <c r="C18304" s="3">
        <v>44527.940474537034</v>
      </c>
      <c r="D18304" s="1" t="s">
        <v>35797</v>
      </c>
      <c r="E18304" s="4" t="str">
        <f ca="1">IFERROR(__xludf.DUMMYFUNCTION("GOOGLETRANSLATE(A1107 , ""tr"" , ""en"")"),"@drfahrettinkoca COK When occupations are increasing, what your own citizen will do in hospitals. Send abroad ... https://t.co/3JIDJLVLX6")</f>
        <v>@drfahrettinkoca COK When occupations are increasing, what your own citizen will do in hospitals. Send abroad ... https://t.co/3JIDJLVLX6</v>
      </c>
    </row>
    <row r="18305" spans="1:5" ht="15" customHeight="1" x14ac:dyDescent="0.25">
      <c r="A18305" s="1" t="s">
        <v>35798</v>
      </c>
      <c r="B18305" s="1">
        <v>0</v>
      </c>
      <c r="C18305" s="3">
        <v>44527.939305555556</v>
      </c>
      <c r="D18305" s="1" t="s">
        <v>35799</v>
      </c>
      <c r="E18305" s="4" t="str">
        <f ca="1">IFERROR(__xludf.DUMMYFUNCTION("GOOGLETRANSLATE(A1108 , ""tr"" , ""en"")"),"@drfahrettinka https://t.co/nngcl8ch3g")</f>
        <v>@drfahrettinka https://t.co/nngcl8ch3g</v>
      </c>
    </row>
    <row r="18306" spans="1:5" ht="15" customHeight="1" x14ac:dyDescent="0.25">
      <c r="A18306" s="1" t="s">
        <v>35800</v>
      </c>
      <c r="B18306" s="1">
        <v>0</v>
      </c>
      <c r="C18306" s="3">
        <v>44527.936944444446</v>
      </c>
      <c r="D18306" s="1" t="s">
        <v>35801</v>
      </c>
      <c r="E18306" s="4" t="str">
        <f ca="1">IFERROR(__xludf.DUMMYFUNCTION("GOOGLETRANSLATE(A1109 , ""tr"" , ""en"")"),"@drfahrettinkoca Ministry of Meral What answered what he wrote but halal but they do not understand the minister")</f>
        <v>@drfahrettinkoca Ministry of Meral What answered what he wrote but halal but they do not understand the minister</v>
      </c>
    </row>
    <row r="18307" spans="1:5" ht="15" customHeight="1" x14ac:dyDescent="0.25">
      <c r="A18307" s="1" t="s">
        <v>35802</v>
      </c>
      <c r="B18307" s="1">
        <v>0</v>
      </c>
      <c r="C18307" s="3">
        <v>44527.925891203704</v>
      </c>
      <c r="D18307" s="1" t="s">
        <v>35803</v>
      </c>
      <c r="E18307" s="4" t="str">
        <f ca="1">IFERROR(__xludf.DUMMYFUNCTION("GOOGLETRANSLATE(A1110 , ""tr"" , ""en"")"),"@drfahrettinkoca Does it come full closure?")</f>
        <v>@drfahrettinkoca Does it come full closure?</v>
      </c>
    </row>
    <row r="18308" spans="1:5" ht="15" customHeight="1" x14ac:dyDescent="0.25">
      <c r="A18308" s="1" t="s">
        <v>35804</v>
      </c>
      <c r="B18308" s="1">
        <v>1</v>
      </c>
      <c r="C18308" s="3">
        <v>44527.925717592596</v>
      </c>
      <c r="D18308" s="1" t="s">
        <v>35805</v>
      </c>
      <c r="E18308" s="4" t="str">
        <f ca="1">IFERROR(__xludf.DUMMYFUNCTION("GOOGLETRANSLATE(A1111 , ""tr"" , ""en"")"),"@drfahrettinkoca last year when there are prohibitions, patients and death numbers were low this year")</f>
        <v>@drfahrettinkoca last year when there are prohibitions, patients and death numbers were low this year</v>
      </c>
    </row>
    <row r="18309" spans="1:5" ht="15" customHeight="1" x14ac:dyDescent="0.25">
      <c r="A18309" s="1" t="s">
        <v>35806</v>
      </c>
      <c r="B18309" s="1">
        <v>0</v>
      </c>
      <c r="C18309" s="3">
        <v>44527.925474537034</v>
      </c>
      <c r="D18309" s="1" t="s">
        <v>35807</v>
      </c>
      <c r="E18309" s="4" t="str">
        <f ca="1">IFERROR(__xludf.DUMMYFUNCTION("GOOGLETRANSLATE(A1112 , ""tr"" , ""en"")"),"@drfahrettinkoca @bengibaser @serapssimsekyvz @ mehmetceyhan23 @drzekibay @secondvirus @H_ciloglu @ Adilipak ... https://t.co/fjreehbal2")</f>
        <v>@drfahrettinkoca @bengibaser @serapssimsekyvz @ mehmetceyhan23 @drzekibay @secondvirus @H_ciloglu @ Adilipak ... https://t.co/fjreehbal2</v>
      </c>
    </row>
    <row r="18310" spans="1:5" ht="15" customHeight="1" x14ac:dyDescent="0.25">
      <c r="A18310" s="1" t="s">
        <v>35808</v>
      </c>
      <c r="B18310" s="1">
        <v>0</v>
      </c>
      <c r="C18310" s="3">
        <v>44527.915810185186</v>
      </c>
      <c r="D18310" s="1" t="s">
        <v>35809</v>
      </c>
      <c r="E18310" s="4" t="str">
        <f ca="1">IFERROR(__xludf.DUMMYFUNCTION("GOOGLETRANSLATE(A1113 , ""tr"" , ""en"")"),"@drfahrettinkoca Mr. Ministry of Auspicious Nights..May Fehmi Fehmi 2 days ago Istanbul-arnavutköy-state hospital ... https://t.co/vhuntb6p52")</f>
        <v>@drfahrettinkoca Mr. Ministry of Auspicious Nights..May Fehmi Fehmi 2 days ago Istanbul-arnavutköy-state hospital ... https://t.co/vhuntb6p52</v>
      </c>
    </row>
    <row r="18311" spans="1:5" ht="15" customHeight="1" x14ac:dyDescent="0.25">
      <c r="A18311" s="1" t="s">
        <v>35810</v>
      </c>
      <c r="B18311" s="1">
        <v>0</v>
      </c>
      <c r="C18311" s="3">
        <v>44523.989930555559</v>
      </c>
      <c r="D18311" s="1" t="s">
        <v>35811</v>
      </c>
      <c r="E18311" s="4" t="str">
        <f ca="1">IFERROR(__xludf.DUMMYFUNCTION("GOOGLETRANSLATE(A1114 , ""tr"" , ""en"")"),"@drfahrettinka Mr. Ministry of Covit permissions 6ay they say. We thought of our health us k ... https://t.co/nk9u8sznyr")</f>
        <v>@drfahrettinka Mr. Ministry of Covit permissions 6ay they say. We thought of our health us k ... https://t.co/nk9u8sznyr</v>
      </c>
    </row>
    <row r="18312" spans="1:5" ht="15" customHeight="1" x14ac:dyDescent="0.25">
      <c r="A18312" s="1" t="s">
        <v>35812</v>
      </c>
      <c r="B18312" s="1">
        <v>0</v>
      </c>
      <c r="C18312" s="3">
        <v>44523.926134259258</v>
      </c>
      <c r="D18312" s="1" t="s">
        <v>35813</v>
      </c>
      <c r="E18312" s="4" t="str">
        <f ca="1">IFERROR(__xludf.DUMMYFUNCTION("GOOGLETRANSLATE(A1115 , ""tr"" , ""en"")"),"@drfahrettinkoca nursing their nursing homesaying thousands of mandatory citizens still didn't do the 2nd biontech rean! These people ... https://t.co/6nau12kpnw")</f>
        <v>@drfahrettinkoca nursing their nursing homesaying thousands of mandatory citizens still didn't do the 2nd biontech rean! These people ... https://t.co/6nau12kpnw</v>
      </c>
    </row>
    <row r="18313" spans="1:5" ht="15" customHeight="1" x14ac:dyDescent="0.25">
      <c r="A18313" s="1" t="s">
        <v>35814</v>
      </c>
      <c r="B18313" s="1">
        <v>0</v>
      </c>
      <c r="C18313" s="3">
        <v>44523.922523148147</v>
      </c>
      <c r="D18313" s="1" t="s">
        <v>35815</v>
      </c>
      <c r="E18313" s="4" t="str">
        <f ca="1">IFERROR(__xludf.DUMMYFUNCTION("GOOGLETRANSLATE(A1116 , ""tr"" , ""en"")"),"@drfahrettinka Mr. Ministry Yesterday Yesterday 70 Year Mum Bagcilar State Hospital Appointed Cardiology Doctor in Additional Building ... https://t.co/mcxl2zvnzl")</f>
        <v>@drfahrettinka Mr. Ministry Yesterday Yesterday 70 Year Mum Bagcilar State Hospital Appointed Cardiology Doctor in Additional Building ... https://t.co/mcxl2zvnzl</v>
      </c>
    </row>
    <row r="18314" spans="1:5" ht="15" customHeight="1" x14ac:dyDescent="0.25">
      <c r="A18314" s="1" t="s">
        <v>35816</v>
      </c>
      <c r="B18314" s="1">
        <v>0</v>
      </c>
      <c r="C18314" s="3">
        <v>44523.911759259259</v>
      </c>
      <c r="D18314" s="1" t="s">
        <v>35817</v>
      </c>
      <c r="E18314" s="4" t="str">
        <f ca="1">IFERROR(__xludf.DUMMYFUNCTION("GOOGLETRANSLATE(A1117 , ""tr"" , ""en"")"),"@drfahrettinkoca @rterdogan https://t.co/teykbhumky")</f>
        <v>@drfahrettinkoca @rterdogan https://t.co/teykbhumky</v>
      </c>
    </row>
    <row r="18315" spans="1:5" ht="15" customHeight="1" x14ac:dyDescent="0.25">
      <c r="A18315" s="1" t="s">
        <v>35818</v>
      </c>
      <c r="B18315" s="1">
        <v>0</v>
      </c>
      <c r="C18315" s="3">
        <v>44523.904386574075</v>
      </c>
      <c r="D18315" s="1" t="s">
        <v>35819</v>
      </c>
      <c r="E18315" s="4" t="str">
        <f ca="1">IFERROR(__xludf.DUMMYFUNCTION("GOOGLETRANSLATE(A1118 , ""tr"" , ""en"")"),"@drfahrettinkoca @rterdogan https://t.co/jv0o6hd47y")</f>
        <v>@drfahrettinkoca @rterdogan https://t.co/jv0o6hd47y</v>
      </c>
    </row>
    <row r="18316" spans="1:5" ht="15" customHeight="1" x14ac:dyDescent="0.25">
      <c r="A18316" s="1" t="s">
        <v>35820</v>
      </c>
      <c r="B18316" s="1">
        <v>0</v>
      </c>
      <c r="C18316" s="3">
        <v>44523.895833333336</v>
      </c>
      <c r="D18316" s="1" t="s">
        <v>35821</v>
      </c>
      <c r="E18316" s="4" t="str">
        <f ca="1">IFERROR(__xludf.DUMMYFUNCTION("GOOGLETRANSLATE(A1119 , ""tr"" , ""en"")"),"@drfahrettinkoca sn.koca; Army province and approximately 750/800 thousand people live around 750/800 thousand people all these people kidney ill ... https://t.co/2vsxtgıoxz")</f>
        <v>@drfahrettinkoca sn.koca; Army province and approximately 750/800 thousand people live around 750/800 thousand people all these people kidney ill ... https://t.co/2vsxtgıoxz</v>
      </c>
    </row>
    <row r="18317" spans="1:5" ht="15" customHeight="1" x14ac:dyDescent="0.25">
      <c r="A18317" s="1" t="s">
        <v>35822</v>
      </c>
      <c r="B18317" s="1">
        <v>1</v>
      </c>
      <c r="C18317" s="3">
        <v>44523.879374999997</v>
      </c>
      <c r="D18317" s="1" t="s">
        <v>35823</v>
      </c>
      <c r="E18317" s="4" t="str">
        <f ca="1">IFERROR(__xludf.DUMMYFUNCTION("GOOGLETRANSLATE(A1120 , ""tr"" , ""en"")"),"@drfahrettinkoca @rterdogan # VelilerendiMelionlonlineleli")</f>
        <v>@drfahrettinkoca @rterdogan # VelilerendiMelionlonlineleli</v>
      </c>
    </row>
    <row r="18318" spans="1:5" ht="15" customHeight="1" x14ac:dyDescent="0.25">
      <c r="A18318" s="1" t="s">
        <v>35824</v>
      </c>
      <c r="B18318" s="1">
        <v>0</v>
      </c>
      <c r="C18318" s="3">
        <v>44523.877488425926</v>
      </c>
      <c r="D18318" s="1" t="s">
        <v>35825</v>
      </c>
      <c r="E18318" s="4" t="str">
        <f ca="1">IFERROR(__xludf.DUMMYFUNCTION("GOOGLETRANSLATE(A1121 , ""tr"" , ""en"")"),"@drfahrettinka https://t.co/YI1J038E7T")</f>
        <v>@drfahrettinka https://t.co/YI1J038E7T</v>
      </c>
    </row>
    <row r="18319" spans="1:5" ht="15" customHeight="1" x14ac:dyDescent="0.25">
      <c r="A18319" s="1" t="s">
        <v>35826</v>
      </c>
      <c r="B18319" s="1">
        <v>0</v>
      </c>
      <c r="C18319" s="3">
        <v>44534.995023148149</v>
      </c>
      <c r="D18319" s="1" t="s">
        <v>35827</v>
      </c>
      <c r="E18319" s="4" t="str">
        <f ca="1">IFERROR(__xludf.DUMMYFUNCTION("GOOGLETRANSLATE(A1122 , ""tr"" , ""en"")"),"@drfahrettinkoca #pfizerhesapver Alenen is a conclusion in the middle what is this insistence ?? @ saglikbakanligi @trombudsman")</f>
        <v>@drfahrettinkoca #pfizerhesapver Alenen is a conclusion in the middle what is this insistence ?? @ saglikbakanligi @trombudsman</v>
      </c>
    </row>
    <row r="18320" spans="1:5" ht="15" customHeight="1" x14ac:dyDescent="0.25">
      <c r="A18320" s="1" t="s">
        <v>35828</v>
      </c>
      <c r="B18320" s="1">
        <v>0</v>
      </c>
      <c r="C18320" s="3">
        <v>44534.993923611109</v>
      </c>
      <c r="D18320" s="1" t="s">
        <v>35829</v>
      </c>
      <c r="E18320" s="4" t="str">
        <f ca="1">IFERROR(__xludf.DUMMYFUNCTION("GOOGLETRANSLATE(A1123 , ""tr"" , ""en"")"),"@drfahrettinkoca ??? https://t.co/kkxtoztqxj")</f>
        <v>@drfahrettinkoca ??? https://t.co/kkxtoztqxj</v>
      </c>
    </row>
    <row r="18321" spans="1:5" ht="15" customHeight="1" x14ac:dyDescent="0.25">
      <c r="A18321" s="1" t="s">
        <v>35830</v>
      </c>
      <c r="B18321" s="1">
        <v>0</v>
      </c>
      <c r="C18321" s="3">
        <v>44534.988530092596</v>
      </c>
      <c r="D18321" s="1" t="s">
        <v>35831</v>
      </c>
      <c r="E18321" s="4" t="str">
        <f ca="1">IFERROR(__xludf.DUMMYFUNCTION("GOOGLETRANSLATE(A1124 , ""tr"" , ""en"")"),"@drfahrettinka #istics")</f>
        <v>@drfahrettinka #istics</v>
      </c>
    </row>
    <row r="18322" spans="1:5" ht="15" customHeight="1" x14ac:dyDescent="0.25">
      <c r="A18322" s="1" t="s">
        <v>35832</v>
      </c>
      <c r="B18322" s="1">
        <v>0</v>
      </c>
      <c r="C18322" s="3">
        <v>44534.947233796294</v>
      </c>
      <c r="D18322" s="1" t="s">
        <v>35833</v>
      </c>
      <c r="E18322" s="4" t="str">
        <f ca="1">IFERROR(__xludf.DUMMYFUNCTION("GOOGLETRANSLATE(A1125 , ""tr"" , ""en"")"),"@drfahrettinkoca @drahmetrasim @mkulunk @sevdaturkusev @sevdaturkusev @sevdaturkusev @zazarmuratakan @ferhatarslandr @erkantrukten @drkaanyl https://t.co/okx5vribqy")</f>
        <v>@drfahrettinkoca @drahmetrasim @mkulunk @sevdaturkusev @sevdaturkusev @sevdaturkusev @zazarmuratakan @ferhatarslandr @erkantrukten @drkaanyl https://t.co/okx5vribqy</v>
      </c>
    </row>
    <row r="18323" spans="1:5" ht="15" customHeight="1" x14ac:dyDescent="0.25">
      <c r="A18323" s="1" t="s">
        <v>35834</v>
      </c>
      <c r="B18323" s="1">
        <v>0</v>
      </c>
      <c r="C18323" s="3">
        <v>44534.946493055555</v>
      </c>
      <c r="D18323" s="1" t="s">
        <v>35835</v>
      </c>
      <c r="E18323" s="4" t="str">
        <f ca="1">IFERROR(__xludf.DUMMYFUNCTION("GOOGLETRANSLATE(A1126 , ""tr"" , ""en"")"),"@drfahrettinka https://t.co/x9x6l7b4ko")</f>
        <v>@drfahrettinka https://t.co/x9x6l7b4ko</v>
      </c>
    </row>
    <row r="18324" spans="1:5" ht="15" customHeight="1" x14ac:dyDescent="0.25">
      <c r="A18324" s="1" t="s">
        <v>35836</v>
      </c>
      <c r="B18324" s="1">
        <v>0</v>
      </c>
      <c r="C18324" s="3">
        <v>44534.946157407408</v>
      </c>
      <c r="D18324" s="1" t="s">
        <v>35837</v>
      </c>
      <c r="E18324" s="4" t="str">
        <f ca="1">IFERROR(__xludf.DUMMYFUNCTION("GOOGLETRANSLATE(A1127 , ""tr"" , ""en"")"),"@drfahrettinka https://t.co/lgynv1urtj")</f>
        <v>@drfahrettinka https://t.co/lgynv1urtj</v>
      </c>
    </row>
    <row r="18325" spans="1:5" ht="15" customHeight="1" x14ac:dyDescent="0.25">
      <c r="A18325" s="1" t="s">
        <v>35838</v>
      </c>
      <c r="B18325" s="1">
        <v>3</v>
      </c>
      <c r="C18325" s="3">
        <v>44534.946122685185</v>
      </c>
      <c r="D18325" s="1" t="s">
        <v>35839</v>
      </c>
      <c r="E18325" s="4" t="str">
        <f ca="1">IFERROR(__xludf.DUMMYFUNCTION("GOOGLETRANSLATE(A1128 , ""tr"" , ""en"")"),"@drfahrettinkoca @tcbestepe that elephant is a little bit out of the female tower and side of the people's trouble a little! https://t.co/xryulajzob")</f>
        <v>@drfahrettinkoca @tcbestepe that elephant is a little bit out of the female tower and side of the people's trouble a little! https://t.co/xryulajzob</v>
      </c>
    </row>
    <row r="18326" spans="1:5" ht="15" customHeight="1" x14ac:dyDescent="0.25">
      <c r="A18326" s="1" t="s">
        <v>35840</v>
      </c>
      <c r="B18326" s="1">
        <v>3</v>
      </c>
      <c r="C18326" s="3">
        <v>44534.922951388886</v>
      </c>
      <c r="D18326" s="1" t="s">
        <v>35841</v>
      </c>
      <c r="E18326" s="4" t="str">
        <f ca="1">IFERROR(__xludf.DUMMYFUNCTION("GOOGLETRANSLATE(A1129 , ""tr"" , ""en"")"),"@drfahrettinkoca @saglikbakanligi @hekimsensndk #SheekimlariStifaizing # Physicians HTTPS://T.CO/PVRB1M130F")</f>
        <v>@drfahrettinkoca @saglikbakanligi @hekimsensndk #SheekimlariStifaizing # Physicians HTTPS://T.CO/PVRB1M130F</v>
      </c>
    </row>
    <row r="18327" spans="1:5" ht="15" customHeight="1" x14ac:dyDescent="0.25">
      <c r="A18327" s="1" t="s">
        <v>35842</v>
      </c>
      <c r="B18327" s="1">
        <v>0</v>
      </c>
      <c r="C18327" s="3">
        <v>44534.922430555554</v>
      </c>
      <c r="D18327" s="1" t="s">
        <v>35843</v>
      </c>
      <c r="E18327" s="4" t="str">
        <f ca="1">IFERROR(__xludf.DUMMYFUNCTION("GOOGLETRANSLATE(A1130 , ""tr"" , ""en"")"),"@drfahrettinka Mr. Minister This place is Okmeydanı Prof. Cemil Taşcıoğlu Hospital and our old aunt in here ... https://t.co/jfyofoaj1")</f>
        <v>@drfahrettinka Mr. Minister This place is Okmeydanı Prof. Cemil Taşcıoğlu Hospital and our old aunt in here ... https://t.co/jfyofoaj1</v>
      </c>
    </row>
    <row r="18328" spans="1:5" ht="15" customHeight="1" x14ac:dyDescent="0.25">
      <c r="A18328" s="1" t="s">
        <v>35844</v>
      </c>
      <c r="B18328" s="1">
        <v>0</v>
      </c>
      <c r="C18328" s="3">
        <v>44534.918877314813</v>
      </c>
      <c r="D18328" s="1" t="s">
        <v>35845</v>
      </c>
      <c r="E18328" s="4" t="str">
        <f ca="1">IFERROR(__xludf.DUMMYFUNCTION("GOOGLETRANSLATE(A1131 , ""tr"" , ""en"")"),"@drfahrettinkoca @saglikbakanligi https://t.co/nd4mbljl8c")</f>
        <v>@drfahrettinkoca @saglikbakanligi https://t.co/nd4mbljl8c</v>
      </c>
    </row>
    <row r="18329" spans="1:5" ht="15" customHeight="1" x14ac:dyDescent="0.25">
      <c r="A18329" s="1" t="s">
        <v>35846</v>
      </c>
      <c r="B18329" s="1">
        <v>0</v>
      </c>
      <c r="C18329" s="3">
        <v>44534.912951388891</v>
      </c>
      <c r="D18329" s="1" t="s">
        <v>35847</v>
      </c>
      <c r="E18329" s="4" t="str">
        <f ca="1">IFERROR(__xludf.DUMMYFUNCTION("GOOGLETRANSLATE(A1132 , ""tr"" , ""en"")"),"@drfahrettinkoca Minister Remember me? (Attention to my care) 🥰 https://t.co/myvhagdgni")</f>
        <v>@drfahrettinkoca Minister Remember me? (Attention to my care) 🥰 https://t.co/myvhagdgni</v>
      </c>
    </row>
    <row r="18330" spans="1:5" ht="15" customHeight="1" x14ac:dyDescent="0.25">
      <c r="A18330" s="1" t="s">
        <v>35848</v>
      </c>
      <c r="B18330" s="1">
        <v>1</v>
      </c>
      <c r="C18330" s="3">
        <v>44534.905752314815</v>
      </c>
      <c r="D18330" s="1" t="s">
        <v>35849</v>
      </c>
      <c r="E18330" s="4" t="str">
        <f ca="1">IFERROR(__xludf.DUMMYFUNCTION("GOOGLETRANSLATE(A1133 , ""tr"" , ""en"")"),"@drfahrettinkoca @saglikbakanligi @ttborgtr #Strokimshows and only watching")</f>
        <v>@drfahrettinkoca @saglikbakanligi @ttborgtr #Strokimshows and only watching</v>
      </c>
    </row>
    <row r="18331" spans="1:5" ht="15" customHeight="1" x14ac:dyDescent="0.25">
      <c r="A18331" s="1" t="s">
        <v>35850</v>
      </c>
      <c r="B18331" s="1">
        <v>0</v>
      </c>
      <c r="C18331" s="3">
        <v>44534.905312499999</v>
      </c>
      <c r="D18331" s="1" t="s">
        <v>35851</v>
      </c>
      <c r="E18331" s="4" t="str">
        <f ca="1">IFERROR(__xludf.DUMMYFUNCTION("GOOGLETRANSLATE(A1134 , ""tr"" , ""en"")"),"@drfahrettinkoca what are we living we have got to understand #wheeler")</f>
        <v>@drfahrettinkoca what are we living we have got to understand #wheeler</v>
      </c>
    </row>
    <row r="18332" spans="1:5" ht="15" customHeight="1" x14ac:dyDescent="0.25">
      <c r="A18332" s="1" t="s">
        <v>35852</v>
      </c>
      <c r="B18332" s="1">
        <v>1</v>
      </c>
      <c r="C18332" s="3">
        <v>44534.897337962961</v>
      </c>
      <c r="D18332" s="1" t="s">
        <v>35853</v>
      </c>
      <c r="E18332" s="4" t="str">
        <f ca="1">IFERROR(__xludf.DUMMYFUNCTION("GOOGLETRANSLATE(A1135 , ""tr"" , ""en"")"),"@drfahrettinkoca #Sagliklikbakanli @saglikbakanligi https://t.co/hqokkm09bn")</f>
        <v>@drfahrettinkoca #Sagliklikbakanli @saglikbakanligi https://t.co/hqokkm09bn</v>
      </c>
    </row>
    <row r="18333" spans="1:5" ht="15" customHeight="1" x14ac:dyDescent="0.25">
      <c r="A18333" s="1" t="s">
        <v>35854</v>
      </c>
      <c r="B18333" s="1">
        <v>0</v>
      </c>
      <c r="C18333" s="3">
        <v>44534.886354166665</v>
      </c>
      <c r="D18333" s="1" t="s">
        <v>35855</v>
      </c>
      <c r="E18333" s="4" t="str">
        <f ca="1">IFERROR(__xludf.DUMMYFUNCTION("GOOGLETRANSLATE(A1136 , ""tr"" , ""en"")"),"@drfahrettinkoca @saglikbakanligi #istics")</f>
        <v>@drfahrettinkoca @saglikbakanligi #istics</v>
      </c>
    </row>
    <row r="18334" spans="1:5" ht="15" customHeight="1" x14ac:dyDescent="0.25">
      <c r="A18334" s="1" t="s">
        <v>35856</v>
      </c>
      <c r="B18334" s="1">
        <v>2</v>
      </c>
      <c r="C18334" s="3">
        <v>44534.886284722219</v>
      </c>
      <c r="D18334" s="1" t="s">
        <v>35857</v>
      </c>
      <c r="E18334" s="4" t="str">
        <f ca="1">IFERROR(__xludf.DUMMYFUNCTION("GOOGLETRANSLATE(A1137 , ""tr"" , ""en"")"),"@drfahrettinkoca has started indirect attacks with Hashtag on the place. Your Political Propaganda is Batin!")</f>
        <v>@drfahrettinkoca has started indirect attacks with Hashtag on the place. Your Political Propaganda is Batin!</v>
      </c>
    </row>
    <row r="18335" spans="1:5" ht="15" customHeight="1" x14ac:dyDescent="0.25">
      <c r="A18335" s="1" t="s">
        <v>35858</v>
      </c>
      <c r="B18335" s="1">
        <v>0</v>
      </c>
      <c r="C18335" s="3">
        <v>44534.884293981479</v>
      </c>
      <c r="D18335" s="1" t="s">
        <v>35859</v>
      </c>
      <c r="E18335" s="4" t="str">
        <f ca="1">IFERROR(__xludf.DUMMYFUNCTION("GOOGLETRANSLATE(A1138 , ""tr"" , ""en"")"),"@drfahrettinkoca is to lose doctors who are the most intelligent people of this country or your child to lose every patient.")</f>
        <v>@drfahrettinkoca is to lose doctors who are the most intelligent people of this country or your child to lose every patient.</v>
      </c>
    </row>
    <row r="18336" spans="1:5" ht="15" customHeight="1" x14ac:dyDescent="0.25">
      <c r="A18336" s="1" t="s">
        <v>35860</v>
      </c>
      <c r="B18336" s="1">
        <v>0</v>
      </c>
      <c r="C18336" s="3">
        <v>44534.871898148151</v>
      </c>
      <c r="D18336" s="1" t="s">
        <v>35861</v>
      </c>
      <c r="E18336" s="4" t="str">
        <f ca="1">IFERROR(__xludf.DUMMYFUNCTION("GOOGLETRANSLATE(A1139 , ""tr"" , ""en"")"),"@drfahrettinkoca @rterdogan ⚠ alın alın️ alın alın alın get urgent onemen https://t.co/6ph4cwdqkq")</f>
        <v>@drfahrettinkoca @rterdogan ⚠ alın alın️ alın alın alın get urgent onemen https://t.co/6ph4cwdqkq</v>
      </c>
    </row>
    <row r="18337" spans="1:5" ht="15" customHeight="1" x14ac:dyDescent="0.25">
      <c r="A18337" s="1" t="s">
        <v>35862</v>
      </c>
      <c r="B18337" s="1">
        <v>0</v>
      </c>
      <c r="C18337" s="3">
        <v>44534.870208333334</v>
      </c>
      <c r="D18337" s="1" t="s">
        <v>35863</v>
      </c>
      <c r="E18337" s="4" t="str">
        <f ca="1">IFERROR(__xludf.DUMMYFUNCTION("GOOGLETRANSLATE(A1140 , ""tr"" , ""en"")"),"@drfahrettinkoca @rterdogan @saglikbakanligi https://t.co/zdkvg0xmbo")</f>
        <v>@drfahrettinkoca @rterdogan @saglikbakanligi https://t.co/zdkvg0xmbo</v>
      </c>
    </row>
    <row r="18338" spans="1:5" ht="15" customHeight="1" x14ac:dyDescent="0.25">
      <c r="A18338" s="1" t="s">
        <v>35864</v>
      </c>
      <c r="B18338" s="1">
        <v>1</v>
      </c>
      <c r="C18338" s="3">
        <v>44534.867604166669</v>
      </c>
      <c r="D18338" s="1" t="s">
        <v>35865</v>
      </c>
      <c r="E18338" s="4" t="str">
        <f ca="1">IFERROR(__xludf.DUMMYFUNCTION("GOOGLETRANSLATE(A1141 , ""tr"" , ""en"")"),"@drfahrettinkoca #Glikliktabiliku https://t.co/2y6m7pt7bl")</f>
        <v>@drfahrettinkoca #Glikliktabiliku https://t.co/2y6m7pt7bl</v>
      </c>
    </row>
    <row r="18339" spans="1:5" ht="15" customHeight="1" x14ac:dyDescent="0.25">
      <c r="A18339" s="1" t="s">
        <v>35866</v>
      </c>
      <c r="B18339" s="1">
        <v>0</v>
      </c>
      <c r="C18339" s="3">
        <v>44534.866909722223</v>
      </c>
      <c r="D18339" s="1" t="s">
        <v>35867</v>
      </c>
      <c r="E18339" s="4" t="str">
        <f ca="1">IFERROR(__xludf.DUMMYFUNCTION("GOOGLETRANSLATE(A1142 , ""tr"" , ""en"")"),"@drfahrettinkoca @adalet_bakanlik is in the US Courts. Please Stop this vaccine PCR and Hes Code Nonsense https://t.co/mbobeswyf1")</f>
        <v>@drfahrettinkoca @adalet_bakanlik is in the US Courts. Please Stop this vaccine PCR and Hes Code Nonsense https://t.co/mbobeswyf1</v>
      </c>
    </row>
    <row r="18340" spans="1:5" ht="15" customHeight="1" x14ac:dyDescent="0.25">
      <c r="A18340" s="1" t="s">
        <v>35868</v>
      </c>
      <c r="B18340" s="1">
        <v>5</v>
      </c>
      <c r="C18340" s="3">
        <v>44534.862870370373</v>
      </c>
      <c r="D18340" s="1" t="s">
        <v>35869</v>
      </c>
      <c r="E18340" s="4" t="str">
        <f ca="1">IFERROR(__xludf.DUMMYFUNCTION("GOOGLETRANSLATE(A1143 , ""tr"" , ""en"")"),"@drfahrettinkoca follower is that you had white code events. Even one of them was the prosecutor from an appointment. ... https://t.co/u11kqtwaks")</f>
        <v>@drfahrettinkoca follower is that you had white code events. Even one of them was the prosecutor from an appointment. ... https://t.co/u11kqtwaks</v>
      </c>
    </row>
    <row r="18341" spans="1:5" ht="15" customHeight="1" x14ac:dyDescent="0.25">
      <c r="A18341" s="1" t="s">
        <v>35870</v>
      </c>
      <c r="B18341" s="1">
        <v>2</v>
      </c>
      <c r="C18341" s="3">
        <v>44534.860949074071</v>
      </c>
      <c r="D18341" s="1" t="s">
        <v>35871</v>
      </c>
      <c r="E18341" s="4" t="str">
        <f ca="1">IFERROR(__xludf.DUMMYFUNCTION("GOOGLETRANSLATE(A1144 , ""tr"" , ""en"")"),"@drfahrettinkoca @saglikbakanligi #thexlikesizing https://t.co/xad9slmuwd")</f>
        <v>@drfahrettinkoca @saglikbakanligi #thexlikesizing https://t.co/xad9slmuwd</v>
      </c>
    </row>
    <row r="18342" spans="1:5" ht="15" customHeight="1" x14ac:dyDescent="0.25">
      <c r="A18342" s="1" t="s">
        <v>35872</v>
      </c>
      <c r="B18342" s="1">
        <v>3</v>
      </c>
      <c r="C18342" s="3">
        <v>44534.860717592594</v>
      </c>
      <c r="D18342" s="1" t="s">
        <v>35873</v>
      </c>
      <c r="E18342" s="4" t="str">
        <f ca="1">IFERROR(__xludf.DUMMYFUNCTION("GOOGLETRANSLATE(A1145 , ""tr"" , ""en"")"),"@drfahrettinkoca #isturizing is https://t.co/jb0luekyux")</f>
        <v>@drfahrettinkoca #isturizing is https://t.co/jb0luekyux</v>
      </c>
    </row>
    <row r="18343" spans="1:5" ht="15" customHeight="1" x14ac:dyDescent="0.25">
      <c r="A18343" s="1" t="s">
        <v>35874</v>
      </c>
      <c r="B18343" s="1">
        <v>1</v>
      </c>
      <c r="C18343" s="3">
        <v>44534.856319444443</v>
      </c>
      <c r="D18343" s="1" t="s">
        <v>35875</v>
      </c>
      <c r="E18343" s="4" t="str">
        <f ca="1">IFERROR(__xludf.DUMMYFUNCTION("GOOGLETRANSLATE(A1146 , ""tr"" , ""en"")"),"@drfahrettinkoca Question 1 = 3 Artist masks in the same setting and in the photograph of 5 people in the back 2 kttps://t.co/qmxgjıp8h6")</f>
        <v>@drfahrettinkoca Question 1 = 3 Artist masks in the same setting and in the photograph of 5 people in the back 2 kttps://t.co/qmxgjıp8h6</v>
      </c>
    </row>
    <row r="18344" spans="1:5" ht="15" customHeight="1" x14ac:dyDescent="0.25">
      <c r="A18344" s="1" t="s">
        <v>35876</v>
      </c>
      <c r="B18344" s="1">
        <v>0</v>
      </c>
      <c r="C18344" s="3">
        <v>44534.853761574072</v>
      </c>
      <c r="D18344" s="1" t="s">
        <v>35877</v>
      </c>
      <c r="E18344" s="4" t="str">
        <f ca="1">IFERROR(__xludf.DUMMYFUNCTION("GOOGLETRANSLATE(A1147 , ""tr"" , ""en"")"),"@drfahrettinkoca zanneders that they brought forced forced ones to your doctors who have no one's priority because in this world ... https://t.co/h7favykqmg")</f>
        <v>@drfahrettinkoca zanneders that they brought forced forced ones to your doctors who have no one's priority because in this world ... https://t.co/h7favykqmg</v>
      </c>
    </row>
    <row r="18345" spans="1:5" ht="15" customHeight="1" x14ac:dyDescent="0.25">
      <c r="A18345" s="1" t="s">
        <v>35878</v>
      </c>
      <c r="B18345" s="1">
        <v>0</v>
      </c>
      <c r="C18345" s="3">
        <v>44534.847800925927</v>
      </c>
      <c r="D18345" s="1" t="s">
        <v>35879</v>
      </c>
      <c r="E18345" s="4" t="str">
        <f ca="1">IFERROR(__xludf.DUMMYFUNCTION("GOOGLETRANSLATE(A1148 , ""tr"" , ""en"")"),"@drfahrettinkoca Today evening Eskişehir City Hospital took my wife to the emergency room with Diabetes Fever 36.2 ... https://t.co/zjlawlgp2t")</f>
        <v>@drfahrettinkoca Today evening Eskişehir City Hospital took my wife to the emergency room with Diabetes Fever 36.2 ... https://t.co/zjlawlgp2t</v>
      </c>
    </row>
    <row r="18346" spans="1:5" ht="15" customHeight="1" x14ac:dyDescent="0.25">
      <c r="A18346" s="1" t="s">
        <v>35880</v>
      </c>
      <c r="B18346" s="1">
        <v>2</v>
      </c>
      <c r="C18346" s="3">
        <v>44534.846701388888</v>
      </c>
      <c r="D18346" s="1" t="s">
        <v>35881</v>
      </c>
      <c r="E18346" s="4" t="str">
        <f ca="1">IFERROR(__xludf.DUMMYFUNCTION("GOOGLETRANSLATE(A1149 , ""tr"" , ""en"")"),"@drfahrettinkoca @rterdogan Now take the concrete steps please don't have the doctor in the state. Our request in ... https://t.co/jasmvha5x9")</f>
        <v>@drfahrettinkoca @rterdogan Now take the concrete steps please don't have the doctor in the state. Our request in ... https://t.co/jasmvha5x9</v>
      </c>
    </row>
    <row r="18347" spans="1:5" ht="15" customHeight="1" x14ac:dyDescent="0.25">
      <c r="A18347" s="1" t="s">
        <v>35882</v>
      </c>
      <c r="B18347" s="1">
        <v>0</v>
      </c>
      <c r="C18347" s="3">
        <v>44534.845289351855</v>
      </c>
      <c r="D18347" s="1" t="s">
        <v>35883</v>
      </c>
      <c r="E18347" s="4" t="str">
        <f ca="1">IFERROR(__xludf.DUMMYFUNCTION("GOOGLETRANSLATE(A1150 , ""tr"" , ""en"")"),"@drfahrettinkoca you still remember that you are doctor hopefully ... #the doctors")</f>
        <v>@drfahrettinkoca you still remember that you are doctor hopefully ... #the doctors</v>
      </c>
    </row>
    <row r="18348" spans="1:5" ht="15" customHeight="1" x14ac:dyDescent="0.25">
      <c r="A18348" s="1" t="s">
        <v>35884</v>
      </c>
      <c r="B18348" s="1">
        <v>1</v>
      </c>
      <c r="C18348" s="3">
        <v>44534.841319444444</v>
      </c>
      <c r="D18348" s="1" t="s">
        <v>35885</v>
      </c>
      <c r="E18348" s="4" t="str">
        <f ca="1">IFERROR(__xludf.DUMMYFUNCTION("GOOGLETRANSLATE(A1151 , ""tr"" , ""en"")"),"@drfahrettinka Ministry of Ministry Let's get a support to the friend says the doctor's supervision but already more than experts ... https://t.co/pamip0pkcc")</f>
        <v>@drfahrettinka Ministry of Ministry Let's get a support to the friend says the doctor's supervision but already more than experts ... https://t.co/pamip0pkcc</v>
      </c>
    </row>
    <row r="18349" spans="1:5" ht="15" customHeight="1" x14ac:dyDescent="0.25">
      <c r="A18349" s="1" t="s">
        <v>35830</v>
      </c>
      <c r="B18349" s="1">
        <v>1</v>
      </c>
      <c r="C18349" s="3">
        <v>44534.833067129628</v>
      </c>
      <c r="D18349" s="1" t="s">
        <v>35886</v>
      </c>
      <c r="E18349" s="4" t="str">
        <f ca="1">IFERROR(__xludf.DUMMYFUNCTION("GOOGLETRANSLATE(A1152 , ""tr"" , ""en"")"),"@drfahrettinka #istics")</f>
        <v>@drfahrettinka #istics</v>
      </c>
    </row>
    <row r="18350" spans="1:5" ht="15" customHeight="1" x14ac:dyDescent="0.25">
      <c r="A18350" s="1" t="s">
        <v>35887</v>
      </c>
      <c r="B18350" s="1">
        <v>4</v>
      </c>
      <c r="C18350" s="3">
        <v>44534.832627314812</v>
      </c>
      <c r="D18350" s="1" t="s">
        <v>35888</v>
      </c>
      <c r="E18350" s="4" t="str">
        <f ca="1">IFERROR(__xludf.DUMMYFUNCTION("GOOGLETRANSLATE(A1153 , ""tr"" , ""en"")"),"@drfahrettinkoca # Health Player Hubby Clasizing Where you forgot you the Ministry of Health will explain another ministry ...")</f>
        <v>@drfahrettinkoca # Health Player Hubby Clasizing Where you forgot you the Ministry of Health will explain another ministry ...</v>
      </c>
    </row>
    <row r="18351" spans="1:5" ht="15" customHeight="1" x14ac:dyDescent="0.25">
      <c r="A18351" s="1" t="s">
        <v>35889</v>
      </c>
      <c r="B18351" s="1">
        <v>3</v>
      </c>
      <c r="C18351" s="3">
        <v>44534.83252314815</v>
      </c>
      <c r="D18351" s="1" t="s">
        <v>35890</v>
      </c>
      <c r="E18351" s="4" t="str">
        <f ca="1">IFERROR(__xludf.DUMMYFUNCTION("GOOGLETRANSLATE(A1154 , ""tr"" , ""en"")"),"@drfahrettinkoca @saglikbakanligi #istics")</f>
        <v>@drfahrettinkoca @saglikbakanligi #istics</v>
      </c>
    </row>
    <row r="18352" spans="1:5" ht="15" customHeight="1" x14ac:dyDescent="0.25">
      <c r="A18352" s="1" t="s">
        <v>35830</v>
      </c>
      <c r="B18352" s="1">
        <v>0</v>
      </c>
      <c r="C18352" s="3">
        <v>44534.831400462965</v>
      </c>
      <c r="D18352" s="1" t="s">
        <v>35891</v>
      </c>
      <c r="E18352" s="4" t="str">
        <f ca="1">IFERROR(__xludf.DUMMYFUNCTION("GOOGLETRANSLATE(A1155 , ""tr"" , ""en"")"),"@drfahrettinka #istics")</f>
        <v>@drfahrettinka #istics</v>
      </c>
    </row>
    <row r="18353" spans="1:5" ht="15" customHeight="1" x14ac:dyDescent="0.25">
      <c r="A18353" s="1" t="s">
        <v>35892</v>
      </c>
      <c r="B18353" s="1">
        <v>0</v>
      </c>
      <c r="C18353" s="3">
        <v>44534.830312500002</v>
      </c>
      <c r="D18353" s="1" t="s">
        <v>35893</v>
      </c>
      <c r="E18353" s="4" t="str">
        <f ca="1">IFERROR(__xludf.DUMMYFUNCTION("GOOGLETRANSLATE(A1156 , ""tr"" , ""en"")"),"@drfahrettinkoca Payment The expenses of the disease, which has this exact solution, no 1 second to lose ❗❗❗️❗ h https://t.co/xxee0nw4av")</f>
        <v>@drfahrettinkoca Payment The expenses of the disease, which has this exact solution, no 1 second to lose ❗❗❗️❗ h https://t.co/xxee0nw4av</v>
      </c>
    </row>
    <row r="18354" spans="1:5" ht="15" customHeight="1" x14ac:dyDescent="0.25">
      <c r="A18354" s="1" t="s">
        <v>35830</v>
      </c>
      <c r="B18354" s="1">
        <v>5</v>
      </c>
      <c r="C18354" s="3">
        <v>44534.828564814816</v>
      </c>
      <c r="D18354" s="1" t="s">
        <v>35894</v>
      </c>
      <c r="E18354" s="4" t="str">
        <f ca="1">IFERROR(__xludf.DUMMYFUNCTION("GOOGLETRANSLATE(A1157 , ""tr"" , ""en"")"),"@drfahrettinka #istics")</f>
        <v>@drfahrettinka #istics</v>
      </c>
    </row>
    <row r="18355" spans="1:5" ht="15" customHeight="1" x14ac:dyDescent="0.25">
      <c r="A18355" s="1" t="s">
        <v>35895</v>
      </c>
      <c r="B18355" s="1">
        <v>0</v>
      </c>
      <c r="C18355" s="3">
        <v>44534.827777777777</v>
      </c>
      <c r="D18355" s="1" t="s">
        <v>35896</v>
      </c>
      <c r="E18355" s="4" t="str">
        <f ca="1">IFERROR(__xludf.DUMMYFUNCTION("GOOGLETRANSLATE(A1158 , ""tr"" , ""en"")"),"@drfahrettinkoca @tcmeb bi whether you are inacial")</f>
        <v>@drfahrettinkoca @tcmeb bi whether you are inacial</v>
      </c>
    </row>
    <row r="18356" spans="1:5" ht="15" customHeight="1" x14ac:dyDescent="0.25">
      <c r="A18356" s="1" t="s">
        <v>35897</v>
      </c>
      <c r="B18356" s="1">
        <v>0</v>
      </c>
      <c r="C18356" s="3">
        <v>44534.82607638889</v>
      </c>
      <c r="D18356" s="1" t="s">
        <v>35898</v>
      </c>
      <c r="E18356" s="4" t="str">
        <f ca="1">IFERROR(__xludf.DUMMYFUNCTION("GOOGLETRANSLATE(A1159 , ""tr"" , ""en"")"),"@drfahrettinkoca I'm looking at 100 patients a day I'm not going to tell you anatomy the words are dishonorable and distressing ... https://t.co/tuvcmbtl63")</f>
        <v>@drfahrettinkoca I'm looking at 100 patients a day I'm not going to tell you anatomy the words are dishonorable and distressing ... https://t.co/tuvcmbtl63</v>
      </c>
    </row>
    <row r="18357" spans="1:5" ht="15" customHeight="1" x14ac:dyDescent="0.25">
      <c r="A18357" s="1" t="s">
        <v>35899</v>
      </c>
      <c r="B18357" s="1">
        <v>0</v>
      </c>
      <c r="C18357" s="3">
        <v>44534.825856481482</v>
      </c>
      <c r="D18357" s="1" t="s">
        <v>35900</v>
      </c>
      <c r="E18357" s="4" t="str">
        <f ca="1">IFERROR(__xludf.DUMMYFUNCTION("GOOGLETRANSLATE(A1160 , ""tr"" , ""en"")"),"@drfahrettinkoca #istheekimleristifaizing # Physicians")</f>
        <v>@drfahrettinkoca #istheekimleristifaizing # Physicians</v>
      </c>
    </row>
    <row r="18358" spans="1:5" ht="15" customHeight="1" x14ac:dyDescent="0.25">
      <c r="A18358" s="1" t="s">
        <v>35901</v>
      </c>
      <c r="B18358" s="1">
        <v>0</v>
      </c>
      <c r="C18358" s="3">
        <v>44534.82435185185</v>
      </c>
      <c r="D18358" s="1" t="s">
        <v>35902</v>
      </c>
      <c r="E18358" s="4" t="str">
        <f ca="1">IFERROR(__xludf.DUMMYFUNCTION("GOOGLETRANSLATE(A1161 , ""tr"" , ""en"")"),"@drfahrettinka Mr. Ministry of Bursa City Hospital Attempted Brain and Nervous Diseases Doctor Fatih Aydemir ... HTTPS://T.CO/N5TOHNBIJU")</f>
        <v>@drfahrettinka Mr. Ministry of Bursa City Hospital Attempted Brain and Nervous Diseases Doctor Fatih Aydemir ... HTTPS://T.CO/N5TOHNBIJU</v>
      </c>
    </row>
    <row r="18359" spans="1:5" ht="15" customHeight="1" x14ac:dyDescent="0.25">
      <c r="A18359" s="1" t="s">
        <v>35903</v>
      </c>
      <c r="B18359" s="1">
        <v>2</v>
      </c>
      <c r="C18359" s="3">
        <v>44534.823472222219</v>
      </c>
      <c r="D18359" s="1" t="s">
        <v>35904</v>
      </c>
      <c r="E18359" s="4" t="str">
        <f ca="1">IFERROR(__xludf.DUMMYFUNCTION("GOOGLETRANSLATE(A1162 , ""tr"" , ""en"")"),"@drfahrettinkoca sat I'm working in German is now. 8000DR in 8 months has resigned. Medical Students Not Tus Germany ... https://t.co/w0tmcif0oq")</f>
        <v>@drfahrettinkoca sat I'm working in German is now. 8000DR in 8 months has resigned. Medical Students Not Tus Germany ... https://t.co/w0tmcif0oq</v>
      </c>
    </row>
    <row r="18360" spans="1:5" ht="15" customHeight="1" x14ac:dyDescent="0.25">
      <c r="A18360" s="1" t="s">
        <v>35905</v>
      </c>
      <c r="B18360" s="1">
        <v>1</v>
      </c>
      <c r="C18360" s="3">
        <v>44534.821400462963</v>
      </c>
      <c r="D18360" s="1" t="s">
        <v>35906</v>
      </c>
      <c r="E18360" s="4" t="str">
        <f ca="1">IFERROR(__xludf.DUMMYFUNCTION("GOOGLETRANSLATE(A1163 , ""tr"" , ""en"")"),"@drfahrettinka Mr. Minister You are a physician, more than a heavy branch like Pediatrics. Conditions ... https://t.co/nlwyy9upfs")</f>
        <v>@drfahrettinka Mr. Minister You are a physician, more than a heavy branch like Pediatrics. Conditions ... https://t.co/nlwyy9upfs</v>
      </c>
    </row>
    <row r="18361" spans="1:5" ht="15" customHeight="1" x14ac:dyDescent="0.25">
      <c r="A18361" s="1" t="s">
        <v>35907</v>
      </c>
      <c r="B18361" s="1">
        <v>2</v>
      </c>
      <c r="C18361" s="3">
        <v>44534.817650462966</v>
      </c>
      <c r="D18361" s="1" t="s">
        <v>35908</v>
      </c>
      <c r="E18361" s="4" t="str">
        <f ca="1">IFERROR(__xludf.DUMMYFUNCTION("GOOGLETRANSLATE(A1164 , ""tr"" , ""en"")"),"@drfahrettinkoca #isturizingShopping HTTPS://T.CO/KDSSJRF9SP")</f>
        <v>@drfahrettinkoca #isturizingShopping HTTPS://T.CO/KDSSJRF9SP</v>
      </c>
    </row>
    <row r="18362" spans="1:5" ht="15" customHeight="1" x14ac:dyDescent="0.25">
      <c r="A18362" s="1" t="s">
        <v>35909</v>
      </c>
      <c r="B18362" s="1">
        <v>0</v>
      </c>
      <c r="C18362" s="3">
        <v>44534.817604166667</v>
      </c>
      <c r="D18362" s="1" t="s">
        <v>35910</v>
      </c>
      <c r="E18362" s="4" t="str">
        <f ca="1">IFERROR(__xludf.DUMMYFUNCTION("GOOGLETRANSLATE(A1165 , ""tr"" , ""en"")"),"@drfahrettinkoca @saglikbakanligi sir I don't know if they are coming to you in this way but almost pharmacies ... https://t.co/pyeczbbh6b")</f>
        <v>@drfahrettinkoca @saglikbakanligi sir I don't know if they are coming to you in this way but almost pharmacies ... https://t.co/pyeczbbh6b</v>
      </c>
    </row>
    <row r="18363" spans="1:5" ht="15" customHeight="1" x14ac:dyDescent="0.25">
      <c r="A18363" s="1" t="s">
        <v>35911</v>
      </c>
      <c r="B18363" s="1">
        <v>1</v>
      </c>
      <c r="C18363" s="3">
        <v>44534.817175925928</v>
      </c>
      <c r="D18363" s="1" t="s">
        <v>35912</v>
      </c>
      <c r="E18363" s="4" t="str">
        <f ca="1">IFERROR(__xludf.DUMMYFUNCTION("GOOGLETRANSLATE(A1166 , ""tr"" , ""en"")"),"@drfahrettinkoca #isturizing is https://t.co/ru6qdudc7b")</f>
        <v>@drfahrettinkoca #isturizing is https://t.co/ru6qdudc7b</v>
      </c>
    </row>
    <row r="18364" spans="1:5" ht="15" customHeight="1" x14ac:dyDescent="0.25">
      <c r="A18364" s="1" t="s">
        <v>35913</v>
      </c>
      <c r="B18364" s="1">
        <v>0</v>
      </c>
      <c r="C18364" s="3">
        <v>44534.812048611115</v>
      </c>
      <c r="D18364" s="1" t="s">
        <v>35914</v>
      </c>
      <c r="E18364" s="4" t="str">
        <f ca="1">IFERROR(__xludf.DUMMYFUNCTION("GOOGLETRANSLATE(A1167 , ""tr"" , ""en"")"),"@drfahrettinkoca @rterdogan https://t.co/sqetgyotee")</f>
        <v>@drfahrettinkoca @rterdogan https://t.co/sqetgyotee</v>
      </c>
    </row>
    <row r="18365" spans="1:5" ht="15" customHeight="1" x14ac:dyDescent="0.25">
      <c r="A18365" s="1" t="s">
        <v>35915</v>
      </c>
      <c r="B18365" s="1">
        <v>0</v>
      </c>
      <c r="C18365" s="3">
        <v>44534.811689814815</v>
      </c>
      <c r="D18365" s="1" t="s">
        <v>35916</v>
      </c>
      <c r="E18365" s="4" t="str">
        <f ca="1">IFERROR(__xludf.DUMMYFUNCTION("GOOGLETRANSLATE(A1168 , ""tr"" , ""en"")"),"@drfahrettinkoca Remove @rterdogan Remove Enough No more people die ... https://t.co/szgnxfsmk0")</f>
        <v>@drfahrettinkoca Remove @rterdogan Remove Enough No more people die ... https://t.co/szgnxfsmk0</v>
      </c>
    </row>
    <row r="18366" spans="1:5" ht="15" customHeight="1" x14ac:dyDescent="0.25">
      <c r="A18366" s="1" t="s">
        <v>35917</v>
      </c>
      <c r="B18366" s="1">
        <v>1</v>
      </c>
      <c r="C18366" s="3">
        <v>44534.806400462963</v>
      </c>
      <c r="D18366" s="1" t="s">
        <v>35918</v>
      </c>
      <c r="E18366" s="4" t="str">
        <f ca="1">IFERROR(__xludf.DUMMYFUNCTION("GOOGLETRANSLATE(A1169 , ""tr"" , ""en"")"),"@drfahrettinkoca Mr. Minister #theists You are just watching. ZAM to physician salaries before it is too late ... https://t.co/Ikayqzmwva")</f>
        <v>@drfahrettinkoca Mr. Minister #theists You are just watching. ZAM to physician salaries before it is too late ... https://t.co/Ikayqzmwva</v>
      </c>
    </row>
    <row r="18367" spans="1:5" ht="15" customHeight="1" x14ac:dyDescent="0.25">
      <c r="A18367" s="1" t="s">
        <v>35919</v>
      </c>
      <c r="B18367" s="1">
        <v>1</v>
      </c>
      <c r="C18367" s="3">
        <v>44534.803611111114</v>
      </c>
      <c r="D18367" s="1" t="s">
        <v>35920</v>
      </c>
      <c r="E18367" s="4" t="str">
        <f ca="1">IFERROR(__xludf.DUMMYFUNCTION("GOOGLETRANSLATE(A1170 , ""tr"" , ""en"")"),"@drfahrettinkoca #isturizenistifaords aaaa https://t.co/pqsdzidlc3")</f>
        <v>@drfahrettinkoca #isturizenistifaords aaaa https://t.co/pqsdzidlc3</v>
      </c>
    </row>
    <row r="18368" spans="1:5" ht="15" customHeight="1" x14ac:dyDescent="0.25">
      <c r="A18368" s="1" t="s">
        <v>35921</v>
      </c>
      <c r="B18368" s="1">
        <v>2</v>
      </c>
      <c r="C18368" s="3">
        <v>44534.801064814812</v>
      </c>
      <c r="D18368" s="1" t="s">
        <v>35922</v>
      </c>
      <c r="E18368" s="4" t="str">
        <f ca="1">IFERROR(__xludf.DUMMYFUNCTION("GOOGLETRANSLATE(A1171 , ""tr"" , ""en"")"),"@drfahrettinkoca go and speak with practitioners with doctors with all the top with the internet with the internet, get the idea of ​​all. This is ... https://t.co/HGQLQMQIT2")</f>
        <v>@drfahrettinkoca go and speak with practitioners with doctors with all the top with the internet with the internet, get the idea of ​​all. This is ... https://t.co/HGQLQMQIT2</v>
      </c>
    </row>
    <row r="18369" spans="1:5" ht="15" customHeight="1" x14ac:dyDescent="0.25">
      <c r="A18369" s="1" t="s">
        <v>35923</v>
      </c>
      <c r="B18369" s="1">
        <v>0</v>
      </c>
      <c r="C18369" s="3">
        <v>44534.799814814818</v>
      </c>
      <c r="D18369" s="1" t="s">
        <v>35924</v>
      </c>
      <c r="E18369" s="4" t="str">
        <f ca="1">IFERROR(__xludf.DUMMYFUNCTION("GOOGLETRANSLATE(A1172 , ""tr"" , ""en"")"),"@drfahrettinkoca @suleymansoylu @rterdogan The epidemic will it be overcome by the following status? # Pfizerhesapver ... https://t.co/nhlcqvbwqe")</f>
        <v>@drfahrettinkoca @suleymansoylu @rterdogan The epidemic will it be overcome by the following status? # Pfizerhesapver ... https://t.co/nhlcqvbwqe</v>
      </c>
    </row>
    <row r="18370" spans="1:5" ht="15" customHeight="1" x14ac:dyDescent="0.25">
      <c r="A18370" s="1" t="s">
        <v>35925</v>
      </c>
      <c r="B18370" s="1">
        <v>1</v>
      </c>
      <c r="C18370" s="3">
        <v>44534.799560185187</v>
      </c>
      <c r="D18370" s="1" t="s">
        <v>35926</v>
      </c>
      <c r="E18370" s="4" t="str">
        <f ca="1">IFERROR(__xludf.DUMMYFUNCTION("GOOGLETRANSLATE(A1173 , ""tr"" , ""en"")"),"@drfahrettinkoca We went to wait for waiting for waiting for the patience for 1 year we now want to remove your guide! # Healthier")</f>
        <v>@drfahrettinkoca We went to wait for waiting for waiting for the patience for 1 year we now want to remove your guide! # Healthier</v>
      </c>
    </row>
    <row r="18371" spans="1:5" ht="15" customHeight="1" x14ac:dyDescent="0.25">
      <c r="A18371" s="1" t="s">
        <v>35927</v>
      </c>
      <c r="B18371" s="1">
        <v>0</v>
      </c>
      <c r="C18371" s="3">
        <v>44534.798807870371</v>
      </c>
      <c r="D18371" s="1" t="s">
        <v>35928</v>
      </c>
      <c r="E18371" s="4" t="str">
        <f ca="1">IFERROR(__xludf.DUMMYFUNCTION("GOOGLETRANSLATE(A1174 , ""tr"" , ""en"")"),"@drfahrettinkoca #Sheekimleristifaords FF https://t.co/gp0m36ucsc")</f>
        <v>@drfahrettinkoca #Sheekimleristifaords FF https://t.co/gp0m36ucsc</v>
      </c>
    </row>
    <row r="18372" spans="1:5" ht="15" customHeight="1" x14ac:dyDescent="0.25">
      <c r="A18372" s="1" t="s">
        <v>35929</v>
      </c>
      <c r="B18372" s="1">
        <v>0</v>
      </c>
      <c r="C18372" s="3">
        <v>44534.797662037039</v>
      </c>
      <c r="D18372" s="1" t="s">
        <v>35930</v>
      </c>
      <c r="E18372" s="4" t="str">
        <f ca="1">IFERROR(__xludf.DUMMYFUNCTION("GOOGLETRANSLATE(A1175 , ""tr"" , ""en"")"),"@drfahrettinkoca Yazik Gunah Don't Gunah?")</f>
        <v>@drfahrettinkoca Yazik Gunah Don't Gunah?</v>
      </c>
    </row>
    <row r="18373" spans="1:5" ht="15" customHeight="1" x14ac:dyDescent="0.25">
      <c r="A18373" s="1" t="s">
        <v>35931</v>
      </c>
      <c r="B18373" s="1">
        <v>4</v>
      </c>
      <c r="C18373" s="3">
        <v>44534.796307870369</v>
      </c>
      <c r="D18373" s="1" t="s">
        <v>35932</v>
      </c>
      <c r="E18373" s="4" t="str">
        <f ca="1">IFERROR(__xludf.DUMMYFUNCTION("GOOGLETRANSLATE(A1176 , ""tr"" , ""en"")"),"@drfahrettinkoca #isturizenistifaeans ASD https://t.co/mx2payunhx")</f>
        <v>@drfahrettinkoca #isturizenistifaeans ASD https://t.co/mx2payunhx</v>
      </c>
    </row>
    <row r="18374" spans="1:5" ht="15" customHeight="1" x14ac:dyDescent="0.25">
      <c r="A18374" s="1" t="s">
        <v>35933</v>
      </c>
      <c r="B18374" s="1">
        <v>3</v>
      </c>
      <c r="C18374" s="3">
        <v>44534.796226851853</v>
      </c>
      <c r="D18374" s="1" t="s">
        <v>35934</v>
      </c>
      <c r="E18374" s="4" t="str">
        <f ca="1">IFERROR(__xludf.DUMMYFUNCTION("GOOGLETRANSLATE(A1177 , ""tr"" , ""en"")"),"@drfahrettinkoca @saglikbakanligi @rterdogan #Shekims: Hekimicinhekimsen ... https://t.co/myyevuvxur")</f>
        <v>@drfahrettinkoca @saglikbakanligi @rterdogan #Shekims: Hekimicinhekimsen ... https://t.co/myyevuvxur</v>
      </c>
    </row>
    <row r="18375" spans="1:5" ht="15" customHeight="1" x14ac:dyDescent="0.25">
      <c r="A18375" s="1" t="s">
        <v>35935</v>
      </c>
      <c r="B18375" s="1">
        <v>2</v>
      </c>
      <c r="C18375" s="3">
        <v>44534.794583333336</v>
      </c>
      <c r="D18375" s="1" t="s">
        <v>35936</v>
      </c>
      <c r="E18375" s="4" t="str">
        <f ca="1">IFERROR(__xludf.DUMMYFUNCTION("GOOGLETRANSLATE(A1178 , ""tr"" , ""en"")"),"@drfahrettinkoca #isturizenistifaizing QQ https://t.co/dtmxu3a42r")</f>
        <v>@drfahrettinkoca #isturizenistifaizing QQ https://t.co/dtmxu3a42r</v>
      </c>
    </row>
    <row r="18376" spans="1:5" ht="15" customHeight="1" x14ac:dyDescent="0.25">
      <c r="A18376" s="1" t="s">
        <v>35937</v>
      </c>
      <c r="B18376" s="1">
        <v>2</v>
      </c>
      <c r="C18376" s="3">
        <v>44534.794270833336</v>
      </c>
      <c r="D18376" s="1" t="s">
        <v>35938</v>
      </c>
      <c r="E18376" s="4" t="str">
        <f ca="1">IFERROR(__xludf.DUMMYFUNCTION("GOOGLETRANSLATE(A1179 , ""tr"" , ""en"")"),"@drfahrettinkoca #isturizing are the ww https://t.co/p8mfygxpxz")</f>
        <v>@drfahrettinkoca #isturizing are the ww https://t.co/p8mfygxpxz</v>
      </c>
    </row>
    <row r="18377" spans="1:5" ht="15" customHeight="1" x14ac:dyDescent="0.25">
      <c r="A18377" s="1" t="s">
        <v>35939</v>
      </c>
      <c r="B18377" s="1">
        <v>1</v>
      </c>
      <c r="C18377" s="3">
        <v>44534.789340277777</v>
      </c>
      <c r="D18377" s="1" t="s">
        <v>35940</v>
      </c>
      <c r="E18377" s="4" t="str">
        <f ca="1">IFERROR(__xludf.DUMMYFUNCTION("GOOGLETRANSLATE(A1180 , ""tr"" , ""en"")"),"@drfahrettinkoca or we repeat our question. Ediyo to tell you about Covid without talking about the mechanisms of evolution ... https://t.co/zm1epxnq4h")</f>
        <v>@drfahrettinkoca or we repeat our question. Ediyo to tell you about Covid without talking about the mechanisms of evolution ... https://t.co/zm1epxnq4h</v>
      </c>
    </row>
    <row r="18378" spans="1:5" ht="15" customHeight="1" x14ac:dyDescent="0.25">
      <c r="A18378" s="1" t="s">
        <v>35941</v>
      </c>
      <c r="B18378" s="1">
        <v>0</v>
      </c>
      <c r="C18378" s="3">
        <v>44534.78601851852</v>
      </c>
      <c r="D18378" s="1" t="s">
        <v>35942</v>
      </c>
      <c r="E18378" s="4" t="str">
        <f ca="1">IFERROR(__xludf.DUMMYFUNCTION("GOOGLETRANSLATE(A1181 , ""tr"" , ""en"")"),"@drfahrettinkoca #theximizersistifaords !!")</f>
        <v>@drfahrettinkoca #theximizersistifaords !!</v>
      </c>
    </row>
    <row r="18379" spans="1:5" ht="15" customHeight="1" x14ac:dyDescent="0.25">
      <c r="A18379" s="1" t="s">
        <v>35943</v>
      </c>
      <c r="B18379" s="1">
        <v>1</v>
      </c>
      <c r="C18379" s="3">
        <v>44534.785011574073</v>
      </c>
      <c r="D18379" s="1" t="s">
        <v>35944</v>
      </c>
      <c r="E18379" s="4" t="str">
        <f ca="1">IFERROR(__xludf.DUMMYFUNCTION("GOOGLETRANSLATE(A1182 , ""tr"" , ""en"")"),"@ drfahrettinkoca ... #heximizes")</f>
        <v>@ drfahrettinkoca ... #heximizes</v>
      </c>
    </row>
    <row r="18380" spans="1:5" ht="15" customHeight="1" x14ac:dyDescent="0.25">
      <c r="A18380" s="1" t="s">
        <v>35830</v>
      </c>
      <c r="B18380" s="1">
        <v>0</v>
      </c>
      <c r="C18380" s="3">
        <v>44534.784814814811</v>
      </c>
      <c r="D18380" s="1" t="s">
        <v>35945</v>
      </c>
      <c r="E18380" s="4" t="str">
        <f ca="1">IFERROR(__xludf.DUMMYFUNCTION("GOOGLETRANSLATE(A1183 , ""tr"" , ""en"")"),"@drfahrettinka #istics")</f>
        <v>@drfahrettinka #istics</v>
      </c>
    </row>
    <row r="18381" spans="1:5" ht="15" customHeight="1" x14ac:dyDescent="0.25">
      <c r="A18381" s="1" t="s">
        <v>35946</v>
      </c>
      <c r="B18381" s="1">
        <v>4</v>
      </c>
      <c r="C18381" s="3">
        <v>44534.780636574076</v>
      </c>
      <c r="D18381" s="1" t="s">
        <v>35947</v>
      </c>
      <c r="E18381" s="4" t="str">
        <f ca="1">IFERROR(__xludf.DUMMYFUNCTION("GOOGLETRANSLATE(A1184 , ""tr"" , ""en"")"),"@drfahrettinkoca Are you going to explain against these #Shekimlijacket #istics")</f>
        <v>@drfahrettinkoca Are you going to explain against these #Shekimlijacket #istics</v>
      </c>
    </row>
    <row r="18382" spans="1:5" ht="15" customHeight="1" x14ac:dyDescent="0.25">
      <c r="A18382" s="1" t="s">
        <v>35948</v>
      </c>
      <c r="B18382" s="1">
        <v>0</v>
      </c>
      <c r="C18382" s="3">
        <v>44534.778310185182</v>
      </c>
      <c r="D18382" s="1" t="s">
        <v>35949</v>
      </c>
      <c r="E18382" s="4" t="str">
        <f ca="1">IFERROR(__xludf.DUMMYFUNCTION("GOOGLETRANSLATE(A1185 , ""tr"" , ""en"")"),"@drfahrettinkoca In the white code case we gave with my wife we ​​received the money penalty. I attack us and the terrorist ... https://t.co/1dbbfqxzz5")</f>
        <v>@drfahrettinkoca In the white code case we gave with my wife we ​​received the money penalty. I attack us and the terrorist ... https://t.co/1dbbfqxzz5</v>
      </c>
    </row>
    <row r="18383" spans="1:5" ht="15" customHeight="1" x14ac:dyDescent="0.25">
      <c r="A18383" s="1" t="s">
        <v>35950</v>
      </c>
      <c r="B18383" s="1">
        <v>0</v>
      </c>
      <c r="C18383" s="3">
        <v>44534.776817129627</v>
      </c>
      <c r="D18383" s="1" t="s">
        <v>35951</v>
      </c>
      <c r="E18383" s="4" t="str">
        <f ca="1">IFERROR(__xludf.DUMMYFUNCTION("GOOGLETRANSLATE(A1186 , ""tr"" , ""en"")"),"@drfahrettinkoca Minister Are you comfortable sleeping at night? When there are thousands of young people who break hope. https://t.co/cczy6y9uty")</f>
        <v>@drfahrettinkoca Minister Are you comfortable sleeping at night? When there are thousands of young people who break hope. https://t.co/cczy6y9uty</v>
      </c>
    </row>
    <row r="18384" spans="1:5" ht="15" customHeight="1" x14ac:dyDescent="0.25">
      <c r="A18384" s="1" t="s">
        <v>35952</v>
      </c>
      <c r="B18384" s="1">
        <v>2</v>
      </c>
      <c r="C18384" s="3">
        <v>44534.775393518517</v>
      </c>
      <c r="D18384" s="1" t="s">
        <v>35953</v>
      </c>
      <c r="E18384" s="4" t="str">
        <f ca="1">IFERROR(__xludf.DUMMYFUNCTION("GOOGLETRANSLATE(A1187 , ""tr"" , ""en"")"),"@drfahrettinkoca Though overlooking the staring stone though this much twete responds so much option to the positive negative is the human # Healther")</f>
        <v>@drfahrettinkoca Though overlooking the staring stone though this much twete responds so much option to the positive negative is the human # Healther</v>
      </c>
    </row>
    <row r="18385" spans="1:5" ht="15" customHeight="1" x14ac:dyDescent="0.25">
      <c r="A18385" s="1" t="s">
        <v>35954</v>
      </c>
      <c r="B18385" s="1">
        <v>1</v>
      </c>
      <c r="C18385" s="3">
        <v>44534.775358796294</v>
      </c>
      <c r="D18385" s="1" t="s">
        <v>35955</v>
      </c>
      <c r="E18385" s="4" t="str">
        <f ca="1">IFERROR(__xludf.DUMMYFUNCTION("GOOGLETRANSLATE(A1188 , ""tr"" , ""en"")"),"@drfahrettinkoca @fahrettinaltun @rterdogan @suleymansoylu Stop these Gorun and Asilari Stop Artic Law Cikarip Vaccine ... https://t.co/xraeuc4oui")</f>
        <v>@drfahrettinkoca @fahrettinaltun @rterdogan @suleymansoylu Stop these Gorun and Asilari Stop Artic Law Cikarip Vaccine ... https://t.co/xraeuc4oui</v>
      </c>
    </row>
    <row r="18386" spans="1:5" ht="15" customHeight="1" x14ac:dyDescent="0.25">
      <c r="A18386" s="1" t="s">
        <v>35830</v>
      </c>
      <c r="B18386" s="1">
        <v>1</v>
      </c>
      <c r="C18386" s="3">
        <v>44534.774027777778</v>
      </c>
      <c r="D18386" s="1" t="s">
        <v>35956</v>
      </c>
      <c r="E18386" s="4" t="str">
        <f ca="1">IFERROR(__xludf.DUMMYFUNCTION("GOOGLETRANSLATE(A1189 , ""tr"" , ""en"")"),"@drfahrettinka #istics")</f>
        <v>@drfahrettinka #istics</v>
      </c>
    </row>
    <row r="18387" spans="1:5" ht="15" customHeight="1" x14ac:dyDescent="0.25">
      <c r="A18387" s="1" t="s">
        <v>35830</v>
      </c>
      <c r="B18387" s="1">
        <v>0</v>
      </c>
      <c r="C18387" s="3">
        <v>44534.770775462966</v>
      </c>
      <c r="D18387" s="1" t="s">
        <v>35957</v>
      </c>
      <c r="E18387" s="4" t="str">
        <f ca="1">IFERROR(__xludf.DUMMYFUNCTION("GOOGLETRANSLATE(A1190 , ""tr"" , ""en"")"),"@drfahrettinka #istics")</f>
        <v>@drfahrettinka #istics</v>
      </c>
    </row>
    <row r="18388" spans="1:5" ht="15" customHeight="1" x14ac:dyDescent="0.25">
      <c r="A18388" s="1" t="s">
        <v>35958</v>
      </c>
      <c r="B18388" s="1">
        <v>0</v>
      </c>
      <c r="C18388" s="3">
        <v>44534.770729166667</v>
      </c>
      <c r="D18388" s="1" t="s">
        <v>35959</v>
      </c>
      <c r="E18388" s="4" t="str">
        <f ca="1">IFERROR(__xludf.DUMMYFUNCTION("GOOGLETRANSLATE(A1191 , ""tr"" , ""en"")"),"@drfahrettinkoca # Healthcare")</f>
        <v>@drfahrettinkoca # Healthcare</v>
      </c>
    </row>
    <row r="18389" spans="1:5" ht="15" customHeight="1" x14ac:dyDescent="0.25">
      <c r="A18389" s="1" t="s">
        <v>35960</v>
      </c>
      <c r="B18389" s="1">
        <v>3</v>
      </c>
      <c r="C18389" s="3">
        <v>44534.767962962964</v>
      </c>
      <c r="D18389" s="1" t="s">
        <v>35961</v>
      </c>
      <c r="E18389" s="4" t="str">
        <f ca="1">IFERROR(__xludf.DUMMYFUNCTION("GOOGLETRANSLATE(A1192 , ""tr"" , ""en"")"),"@drfahrettinkoca #thexlocks #istics")</f>
        <v>@drfahrettinkoca #thexlocks #istics</v>
      </c>
    </row>
    <row r="18390" spans="1:5" ht="15" customHeight="1" x14ac:dyDescent="0.25">
      <c r="A18390" s="1" t="s">
        <v>35962</v>
      </c>
      <c r="B18390" s="1">
        <v>3</v>
      </c>
      <c r="C18390" s="3">
        <v>44534.767928240741</v>
      </c>
      <c r="D18390" s="1" t="s">
        <v>35963</v>
      </c>
      <c r="E18390" s="4" t="str">
        <f ca="1">IFERROR(__xludf.DUMMYFUNCTION("GOOGLETRANSLATE(A1193 , ""tr"" , ""en"")"),"@drfahrettinkoca # Physicians Https://t.co/2rtr2hzdds")</f>
        <v>@drfahrettinkoca # Physicians Https://t.co/2rtr2hzdds</v>
      </c>
    </row>
    <row r="18391" spans="1:5" ht="15" customHeight="1" x14ac:dyDescent="0.25">
      <c r="A18391" s="1" t="s">
        <v>35964</v>
      </c>
      <c r="B18391" s="1">
        <v>0</v>
      </c>
      <c r="C18391" s="3">
        <v>44534.766076388885</v>
      </c>
      <c r="D18391" s="1" t="s">
        <v>35965</v>
      </c>
      <c r="E18391" s="4" t="str">
        <f ca="1">IFERROR(__xludf.DUMMYFUNCTION("GOOGLETRANSLATE(A1194 , ""tr"" , ""en"")"),"@drfahrettinkoca @rterdogan https://t.co/okxd41ujcw")</f>
        <v>@drfahrettinkoca @rterdogan https://t.co/okxd41ujcw</v>
      </c>
    </row>
    <row r="18392" spans="1:5" ht="15" customHeight="1" x14ac:dyDescent="0.25">
      <c r="A18392" s="1" t="s">
        <v>35830</v>
      </c>
      <c r="B18392" s="1">
        <v>1</v>
      </c>
      <c r="C18392" s="3">
        <v>44534.765474537038</v>
      </c>
      <c r="D18392" s="1" t="s">
        <v>35966</v>
      </c>
      <c r="E18392" s="4" t="str">
        <f ca="1">IFERROR(__xludf.DUMMYFUNCTION("GOOGLETRANSLATE(A1195 , ""tr"" , ""en"")"),"@drfahrettinka #istics")</f>
        <v>@drfahrettinka #istics</v>
      </c>
    </row>
    <row r="18393" spans="1:5" ht="15" customHeight="1" x14ac:dyDescent="0.25">
      <c r="A18393" s="1" t="s">
        <v>35967</v>
      </c>
      <c r="B18393" s="1">
        <v>0</v>
      </c>
      <c r="C18393" s="3">
        <v>44534.764502314814</v>
      </c>
      <c r="D18393" s="1" t="s">
        <v>35968</v>
      </c>
      <c r="E18393" s="4" t="str">
        <f ca="1">IFERROR(__xludf.DUMMYFUNCTION("GOOGLETRANSLATE(A1196 , ""tr"" , ""en"")"),"@drfahrettinkoca @saglikbakanligi #istişimlerişorizing Https://t.co/i7q9bygtvn")</f>
        <v>@drfahrettinkoca @saglikbakanligi #istişimlerişorizing Https://t.co/i7q9bygtvn</v>
      </c>
    </row>
    <row r="18394" spans="1:5" ht="15" customHeight="1" x14ac:dyDescent="0.25">
      <c r="A18394" s="1" t="s">
        <v>35969</v>
      </c>
      <c r="B18394" s="1">
        <v>0</v>
      </c>
      <c r="C18394" s="3">
        <v>44534.763043981482</v>
      </c>
      <c r="D18394" s="1" t="s">
        <v>35970</v>
      </c>
      <c r="E18394" s="4" t="str">
        <f ca="1">IFERROR(__xludf.DUMMYFUNCTION("GOOGLETRANSLATE(A1197 , ""tr"" , ""en"")"),"@drfahrettinka #istics")</f>
        <v>@drfahrettinka #istics</v>
      </c>
    </row>
    <row r="18395" spans="1:5" ht="15" customHeight="1" x14ac:dyDescent="0.25">
      <c r="A18395" s="1" t="s">
        <v>35971</v>
      </c>
      <c r="B18395" s="1">
        <v>0</v>
      </c>
      <c r="C18395" s="3">
        <v>44534.762199074074</v>
      </c>
      <c r="D18395" s="1" t="s">
        <v>35972</v>
      </c>
      <c r="E18395" s="4" t="str">
        <f ca="1">IFERROR(__xludf.DUMMYFUNCTION("GOOGLETRANSLATE(A1198 , ""tr"" , ""en"")"),"@drfahrettinkoca @rterdogan https://t.co/oDK7WAYKT0")</f>
        <v>@drfahrettinkoca @rterdogan https://t.co/oDK7WAYKT0</v>
      </c>
    </row>
    <row r="18396" spans="1:5" ht="15" customHeight="1" x14ac:dyDescent="0.25">
      <c r="A18396" s="1" t="s">
        <v>35973</v>
      </c>
      <c r="B18396" s="1">
        <v>1</v>
      </c>
      <c r="C18396" s="3">
        <v>44534.762037037035</v>
      </c>
      <c r="D18396" s="1" t="s">
        <v>35974</v>
      </c>
      <c r="E18396" s="4" t="str">
        <f ca="1">IFERROR(__xludf.DUMMYFUNCTION("GOOGLETRANSLATE(A1199 , ""tr"" , ""en"")"),"@drfahrettinkoca @saglikbakanligoci #SaglikbakanliSliStifaStifaordifaşışanşışanşış")</f>
        <v>@drfahrettinkoca @saglikbakanligoci #SaglikbakanliSliStifaStifaordifaşışanşışanşış</v>
      </c>
    </row>
    <row r="18397" spans="1:5" ht="15" customHeight="1" x14ac:dyDescent="0.25">
      <c r="A18397" s="1" t="s">
        <v>35975</v>
      </c>
      <c r="B18397" s="1">
        <v>0</v>
      </c>
      <c r="C18397" s="3">
        <v>44534.76116898148</v>
      </c>
      <c r="D18397" s="1" t="s">
        <v>35976</v>
      </c>
      <c r="E18397" s="4" t="str">
        <f ca="1">IFERROR(__xludf.DUMMYFUNCTION("GOOGLETRANSLATE(A1200 , ""tr"" , ""en"")"),"@drfahrettinkoca Please corona test be tested in children in all state hospitals. Today test structure ... https://t.co/mf3pxrzord")</f>
        <v>@drfahrettinkoca Please corona test be tested in children in all state hospitals. Today test structure ... https://t.co/mf3pxrzord</v>
      </c>
    </row>
    <row r="18398" spans="1:5" ht="15" customHeight="1" x14ac:dyDescent="0.25">
      <c r="A18398" s="1" t="s">
        <v>35977</v>
      </c>
      <c r="B18398" s="1">
        <v>0</v>
      </c>
      <c r="C18398" s="3">
        <v>44534.75818287037</v>
      </c>
      <c r="D18398" s="1" t="s">
        <v>35978</v>
      </c>
      <c r="E18398" s="4" t="str">
        <f ca="1">IFERROR(__xludf.DUMMYFUNCTION("GOOGLETRANSLATE(A1201 , ""tr"" , ""en"")"),"@drfahrettinkoca National Education Minister # TeachereaCilzam")</f>
        <v>@drfahrettinkoca National Education Minister # TeachereaCilzam</v>
      </c>
    </row>
    <row r="18399" spans="1:5" ht="15" customHeight="1" x14ac:dyDescent="0.25">
      <c r="A18399" s="1" t="s">
        <v>35979</v>
      </c>
      <c r="B18399" s="1">
        <v>3</v>
      </c>
      <c r="C18399" s="3">
        <v>44534.758125</v>
      </c>
      <c r="D18399" s="1" t="s">
        <v>35980</v>
      </c>
      <c r="E18399" s="4" t="str">
        <f ca="1">IFERROR(__xludf.DUMMYFUNCTION("GOOGLETRANSLATE(A1202 , ""tr"" , ""en"")"),"@drfahrettinkoca is unable to get an appointment because #Shexes")</f>
        <v>@drfahrettinkoca is unable to get an appointment because #Shexes</v>
      </c>
    </row>
    <row r="18400" spans="1:5" ht="15" customHeight="1" x14ac:dyDescent="0.25">
      <c r="A18400" s="1" t="s">
        <v>35830</v>
      </c>
      <c r="B18400" s="1">
        <v>0</v>
      </c>
      <c r="C18400" s="3">
        <v>44534.75712962963</v>
      </c>
      <c r="D18400" s="1" t="s">
        <v>35981</v>
      </c>
      <c r="E18400" s="4" t="str">
        <f ca="1">IFERROR(__xludf.DUMMYFUNCTION("GOOGLETRANSLATE(A1203 , ""tr"" , ""en"")"),"@drfahrettinka #istics")</f>
        <v>@drfahrettinka #istics</v>
      </c>
    </row>
    <row r="18401" spans="1:5" ht="15" customHeight="1" x14ac:dyDescent="0.25">
      <c r="A18401" s="1" t="s">
        <v>35982</v>
      </c>
      <c r="B18401" s="1">
        <v>0</v>
      </c>
      <c r="C18401" s="3">
        <v>44534.747858796298</v>
      </c>
      <c r="D18401" s="1" t="s">
        <v>35983</v>
      </c>
      <c r="E18401" s="4" t="str">
        <f ca="1">IFERROR(__xludf.DUMMYFUNCTION("GOOGLETRANSLATE(A1204 , ""tr"" , ""en"")"),"@drfahrettinkoca Saying trust in this power 😂😂 Harbiden that power is what is https://t.co/bwwvu7ta3i")</f>
        <v>@drfahrettinkoca Saying trust in this power 😂😂 Harbiden that power is what is https://t.co/bwwvu7ta3i</v>
      </c>
    </row>
    <row r="18402" spans="1:5" ht="15" customHeight="1" x14ac:dyDescent="0.25">
      <c r="A18402" s="1" t="s">
        <v>35984</v>
      </c>
      <c r="B18402" s="1">
        <v>2</v>
      </c>
      <c r="C18402" s="3">
        <v>44534.743680555555</v>
      </c>
      <c r="D18402" s="1" t="s">
        <v>35985</v>
      </c>
      <c r="E18402" s="4" t="str">
        <f ca="1">IFERROR(__xludf.DUMMYFUNCTION("GOOGLETRANSLATE(A1205 , ""tr"" , ""en"")"),"@drfahrettinkoca We're not worried enough bi. You will not be the hike bass bass Tread Now SUS P ... https://t.co/bbkqwpytlw")</f>
        <v>@drfahrettinkoca We're not worried enough bi. You will not be the hike bass bass Tread Now SUS P ... https://t.co/bbkqwpytlw</v>
      </c>
    </row>
    <row r="18403" spans="1:5" ht="15" customHeight="1" x14ac:dyDescent="0.25">
      <c r="A18403" s="1" t="s">
        <v>35986</v>
      </c>
      <c r="B18403" s="1">
        <v>0</v>
      </c>
      <c r="C18403" s="3">
        <v>44534.743287037039</v>
      </c>
      <c r="D18403" s="1" t="s">
        <v>35987</v>
      </c>
      <c r="E18403" s="4" t="str">
        <f ca="1">IFERROR(__xludf.DUMMYFUNCTION("GOOGLETRANSLATE(A1206 , ""tr"" , ""en"")"),"@drfahrettinka https://t.co/MXAAZRHI7R")</f>
        <v>@drfahrettinka https://t.co/MXAAZRHI7R</v>
      </c>
    </row>
    <row r="18404" spans="1:5" ht="15" customHeight="1" x14ac:dyDescent="0.25">
      <c r="A18404" s="1" t="s">
        <v>35988</v>
      </c>
      <c r="B18404" s="1">
        <v>0</v>
      </c>
      <c r="C18404" s="3">
        <v>44534.737430555557</v>
      </c>
      <c r="D18404" s="1" t="s">
        <v>35989</v>
      </c>
      <c r="E18404" s="4" t="str">
        <f ca="1">IFERROR(__xludf.DUMMYFUNCTION("GOOGLETRANSLATE(A1207 , ""tr"" , ""en"")"),"@drfahrettinkoca #isturizenistifaizing HTTPS://T.CO/YMTB27753A")</f>
        <v>@drfahrettinkoca #isturizenistifaizing HTTPS://T.CO/YMTB27753A</v>
      </c>
    </row>
    <row r="18405" spans="1:5" ht="15" customHeight="1" x14ac:dyDescent="0.25">
      <c r="A18405" s="1" t="s">
        <v>35990</v>
      </c>
      <c r="B18405" s="1">
        <v>0</v>
      </c>
      <c r="C18405" s="3">
        <v>44534.733969907407</v>
      </c>
      <c r="D18405" s="1" t="s">
        <v>35991</v>
      </c>
      <c r="E18405" s="4" t="str">
        <f ca="1">IFERROR(__xludf.DUMMYFUNCTION("GOOGLETRANSLATE(A1208 , ""tr"" , ""en"")"),"@drfahrettinkoca you will escape or not to go to the jurisde will be in front of the judiciary make sure that the account will be asked you. https://t.co/wxfmwcy45d")</f>
        <v>@drfahrettinkoca you will escape or not to go to the jurisde will be in front of the judiciary make sure that the account will be asked you. https://t.co/wxfmwcy45d</v>
      </c>
    </row>
    <row r="18406" spans="1:5" ht="15" customHeight="1" x14ac:dyDescent="0.25">
      <c r="A18406" s="1" t="s">
        <v>35992</v>
      </c>
      <c r="B18406" s="1">
        <v>0</v>
      </c>
      <c r="C18406" s="3">
        <v>44534.729131944441</v>
      </c>
      <c r="D18406" s="1" t="s">
        <v>35993</v>
      </c>
      <c r="E18406" s="4" t="str">
        <f ca="1">IFERROR(__xludf.DUMMYFUNCTION("GOOGLETRANSLATE(A1209 , ""tr"" , ""en"")"),"@drfahrettinkoca What are you waiting for? https://t.co/nddqxbdixp")</f>
        <v>@drfahrettinkoca What are you waiting for? https://t.co/nddqxbdixp</v>
      </c>
    </row>
    <row r="18407" spans="1:5" ht="15" customHeight="1" x14ac:dyDescent="0.25">
      <c r="A18407" s="1" t="s">
        <v>35994</v>
      </c>
      <c r="B18407" s="1">
        <v>0</v>
      </c>
      <c r="C18407" s="3">
        <v>44534.721168981479</v>
      </c>
      <c r="D18407" s="1" t="s">
        <v>35995</v>
      </c>
      <c r="E18407" s="4" t="str">
        <f ca="1">IFERROR(__xludf.DUMMYFUNCTION("GOOGLETRANSLATE(A1210 , ""tr"" , ""en"")"),"@drfahrettinkoca is not Ecel? There are Allah I have the account day allah see everything and don't know? https://t.co/hthajskxesz")</f>
        <v>@drfahrettinkoca is not Ecel? There are Allah I have the account day allah see everything and don't know? https://t.co/hthajskxesz</v>
      </c>
    </row>
    <row r="18408" spans="1:5" ht="15" customHeight="1" x14ac:dyDescent="0.25">
      <c r="A18408" s="1" t="s">
        <v>35996</v>
      </c>
      <c r="B18408" s="1">
        <v>0</v>
      </c>
      <c r="C18408" s="3">
        <v>44534.709699074076</v>
      </c>
      <c r="D18408" s="1" t="s">
        <v>35997</v>
      </c>
      <c r="E18408" s="4" t="str">
        <f ca="1">IFERROR(__xludf.DUMMYFUNCTION("GOOGLETRANSLATE(A1211 , ""tr"" , ""en"")"),"@drfahrettinkoca has blocked tagging from instagram. Why ? 🤔 Do you need German? What a pity. .... ... https://t.co/xrnvfzt2ce")</f>
        <v>@drfahrettinkoca has blocked tagging from instagram. Why ? 🤔 Do you need German? What a pity. .... ... https://t.co/xrnvfzt2ce</v>
      </c>
    </row>
    <row r="18409" spans="1:5" ht="15" customHeight="1" x14ac:dyDescent="0.25">
      <c r="A18409" s="1" t="s">
        <v>35998</v>
      </c>
      <c r="B18409" s="1">
        <v>0</v>
      </c>
      <c r="C18409" s="3">
        <v>44534.708703703705</v>
      </c>
      <c r="D18409" s="1" t="s">
        <v>35999</v>
      </c>
      <c r="E18409" s="4" t="str">
        <f ca="1">IFERROR(__xludf.DUMMYFUNCTION("GOOGLETRANSLATE(A1212 , ""tr"" , ""en"")"),"@drfahrettinkoca Fahrettin Uncle I'm suffering so much that we don't want to die we don't want to live in Neolursun ... https://t.co/mievilfze6")</f>
        <v>@drfahrettinkoca Fahrettin Uncle I'm suffering so much that we don't want to die we don't want to live in Neolursun ... https://t.co/mievilfze6</v>
      </c>
    </row>
    <row r="18410" spans="1:5" ht="15" customHeight="1" x14ac:dyDescent="0.25">
      <c r="A18410" s="1" t="s">
        <v>36000</v>
      </c>
      <c r="B18410" s="1">
        <v>6</v>
      </c>
      <c r="C18410" s="3">
        <v>44534.701018518521</v>
      </c>
      <c r="D18410" s="1" t="s">
        <v>36001</v>
      </c>
      <c r="E18410" s="4" t="str">
        <f ca="1">IFERROR(__xludf.DUMMYFUNCTION("GOOGLETRANSLATE(A1213 , ""tr"" , ""en"")"),"@drfahrettinkoca @saglikbakanligi # Health Player")</f>
        <v>@drfahrettinkoca @saglikbakanligi # Health Player</v>
      </c>
    </row>
    <row r="18411" spans="1:5" ht="15" customHeight="1" x14ac:dyDescent="0.25">
      <c r="A18411" s="1" t="s">
        <v>36002</v>
      </c>
      <c r="B18411" s="1">
        <v>0</v>
      </c>
      <c r="C18411" s="3">
        <v>44534.692777777775</v>
      </c>
      <c r="D18411" s="1" t="s">
        <v>36003</v>
      </c>
      <c r="E18411" s="4" t="str">
        <f ca="1">IFERROR(__xludf.DUMMYFUNCTION("GOOGLETRANSLATE(A1214 , ""tr"" , ""en"")"),"@drfahrettinkoca eee what will happen now folks know us the hike of the world ....")</f>
        <v>@drfahrettinkoca eee what will happen now folks know us the hike of the world ....</v>
      </c>
    </row>
    <row r="18412" spans="1:5" ht="15" customHeight="1" x14ac:dyDescent="0.25">
      <c r="A18412" s="1" t="s">
        <v>36004</v>
      </c>
      <c r="B18412" s="1">
        <v>2</v>
      </c>
      <c r="C18412" s="3">
        <v>44534.692314814813</v>
      </c>
      <c r="D18412" s="1" t="s">
        <v>36005</v>
      </c>
      <c r="E18412" s="4" t="str">
        <f ca="1">IFERROR(__xludf.DUMMYFUNCTION("GOOGLETRANSLATE(A1215 , ""tr"" , ""en"")"),"@drfahrettinka https://t.co/hgy6eimosy")</f>
        <v>@drfahrettinka https://t.co/hgy6eimosy</v>
      </c>
    </row>
    <row r="18413" spans="1:5" ht="15" customHeight="1" x14ac:dyDescent="0.25">
      <c r="A18413" s="1" t="s">
        <v>36006</v>
      </c>
      <c r="B18413" s="1">
        <v>0</v>
      </c>
      <c r="C18413" s="3">
        <v>44534.691967592589</v>
      </c>
      <c r="D18413" s="1" t="s">
        <v>36007</v>
      </c>
      <c r="E18413" s="4" t="str">
        <f ca="1">IFERROR(__xludf.DUMMYFUNCTION("GOOGLETRANSLATE(A1216 , ""tr"" , ""en"")"),"@drfahrettinkoca number facing hic notice you don't watch water babies are gormuise your conscience of your conscience s ... https://t.co/8b6o2tgx4v")</f>
        <v>@drfahrettinkoca number facing hic notice you don't watch water babies are gormuise your conscience of your conscience s ... https://t.co/8b6o2tgx4v</v>
      </c>
    </row>
    <row r="18414" spans="1:5" ht="15" customHeight="1" x14ac:dyDescent="0.25">
      <c r="A18414" s="1" t="s">
        <v>36008</v>
      </c>
      <c r="B18414" s="1">
        <v>2</v>
      </c>
      <c r="C18414" s="3">
        <v>44534.69121527778</v>
      </c>
      <c r="D18414" s="1" t="s">
        <v>36009</v>
      </c>
      <c r="E18414" s="4" t="str">
        <f ca="1">IFERROR(__xludf.DUMMYFUNCTION("GOOGLETRANSLATE(A1217 , ""tr"" , ""en"")"),"@drfahrettinkoca Tayyip Bey's: ""Don't you let you know without permission"" You said. Don't be permitted to the Madem guide ... https://t.co/fnwao9yagr")</f>
        <v>@drfahrettinkoca Tayyip Bey's: "Don't you let you know without permission" You said. Don't be permitted to the Madem guide ... https://t.co/fnwao9yagr</v>
      </c>
    </row>
    <row r="18415" spans="1:5" ht="15" customHeight="1" x14ac:dyDescent="0.25">
      <c r="A18415" s="1" t="s">
        <v>36010</v>
      </c>
      <c r="B18415" s="1">
        <v>0</v>
      </c>
      <c r="C18415" s="3">
        <v>44542.995358796295</v>
      </c>
      <c r="D18415" s="1" t="s">
        <v>36011</v>
      </c>
      <c r="E18415" s="4" t="str">
        <f ca="1">IFERROR(__xludf.DUMMYFUNCTION("GOOGLETRANSLATE(A1218 , ""tr"" , ""en"")"),"RT @ YLDZ77_: @drfahrettinkoca What fault is what you do is the first place!")</f>
        <v>RT @ YLDZ77_: @drfahrettinkoca What fault is what you do is the first place!</v>
      </c>
    </row>
    <row r="18416" spans="1:5" ht="15" customHeight="1" x14ac:dyDescent="0.25">
      <c r="A18416" s="1" t="s">
        <v>36012</v>
      </c>
      <c r="B18416" s="1">
        <v>0</v>
      </c>
      <c r="C18416" s="3">
        <v>44542.986261574071</v>
      </c>
      <c r="D18416" s="1" t="s">
        <v>36013</v>
      </c>
      <c r="E18416" s="4" t="str">
        <f ca="1">IFERROR(__xludf.DUMMYFUNCTION("GOOGLETRANSLATE(A1219 , ""tr"" , ""en"")"),"RT @ Alikadim6969: @drfahrettinkoca A $ I in which it is not as containing. And if the PCR test is only requested from the non-point, here the subject is human ...")</f>
        <v>RT @ Alikadim6969: @drfahrettinkoca A $ I in which it is not as containing. And if the PCR test is only requested from the non-point, here the subject is human ...</v>
      </c>
    </row>
    <row r="18417" spans="1:5" ht="15" customHeight="1" x14ac:dyDescent="0.25">
      <c r="A18417" s="1" t="s">
        <v>36014</v>
      </c>
      <c r="B18417" s="1">
        <v>0</v>
      </c>
      <c r="C18417" s="3">
        <v>44542.984872685185</v>
      </c>
      <c r="D18417" s="1" t="s">
        <v>36015</v>
      </c>
      <c r="E18417" s="4" t="str">
        <f ca="1">IFERROR(__xludf.DUMMYFUNCTION("GOOGLETRANSLATE(A1220 , ""tr"" , ""en"")"),"RT @ DERYA26745389: @drfahrettinka We say this to Mr. Fahrettin Bey Means are close to the road while you are close to the children of more children ...")</f>
        <v>RT @ DERYA26745389: @drfahrettinka We say this to Mr. Fahrettin Bey Means are close to the road while you are close to the children of more children ...</v>
      </c>
    </row>
    <row r="18418" spans="1:5" ht="15" customHeight="1" x14ac:dyDescent="0.25">
      <c r="A18418" s="1" t="s">
        <v>36016</v>
      </c>
      <c r="B18418" s="1">
        <v>0</v>
      </c>
      <c r="C18418" s="3">
        <v>44542.984270833331</v>
      </c>
      <c r="D18418" s="1" t="s">
        <v>36017</v>
      </c>
      <c r="E18418" s="4" t="str">
        <f ca="1">IFERROR(__xludf.DUMMYFUNCTION("GOOGLETRANSLATE(A1221 , ""tr"" , ""en"")"),"RT @ Portaka38983375: @drfahrettinkoca you made every Seyi intentional Children's Guinea pig in schools")</f>
        <v>RT @ Portaka38983375: @drfahrettinkoca you made every Seyi intentional Children's Guinea pig in schools</v>
      </c>
    </row>
    <row r="18419" spans="1:5" ht="15" customHeight="1" x14ac:dyDescent="0.25">
      <c r="A18419" s="1" t="s">
        <v>36018</v>
      </c>
      <c r="B18419" s="1">
        <v>0</v>
      </c>
      <c r="C18419" s="3">
        <v>44542.983055555553</v>
      </c>
      <c r="D18419" s="1" t="s">
        <v>36019</v>
      </c>
      <c r="E18419" s="4" t="str">
        <f ca="1">IFERROR(__xludf.DUMMYFUNCTION("GOOGLETRANSLATE(A1222 , ""tr"" , ""en"")"),"@drfahrettinkoca we know what is very well https://t.co/9dgfyttqxf")</f>
        <v>@drfahrettinkoca we know what is very well https://t.co/9dgfyttqxf</v>
      </c>
    </row>
    <row r="18420" spans="1:5" ht="15" customHeight="1" x14ac:dyDescent="0.25">
      <c r="A18420" s="1" t="s">
        <v>36020</v>
      </c>
      <c r="B18420" s="1">
        <v>0</v>
      </c>
      <c r="C18420" s="3">
        <v>44542.98300925926</v>
      </c>
      <c r="D18420" s="1" t="s">
        <v>36021</v>
      </c>
      <c r="E18420" s="4" t="str">
        <f ca="1">IFERROR(__xludf.DUMMYFUNCTION("GOOGLETRANSLATE(A1223 , ""tr"" , ""en"")"),"RT @Yucelered: @drfahrettinkoca We are very wondering What is your method of detecting Delta vs variants with Omicron Variant? PCR test ...")</f>
        <v>RT @Yucelered: @drfahrettinkoca We are very wondering What is your method of detecting Delta vs variants with Omicron Variant? PCR test ...</v>
      </c>
    </row>
    <row r="18421" spans="1:5" ht="15" customHeight="1" x14ac:dyDescent="0.25">
      <c r="A18421" s="1" t="s">
        <v>36022</v>
      </c>
      <c r="B18421" s="1">
        <v>0</v>
      </c>
      <c r="C18421" s="3">
        <v>44542.978773148148</v>
      </c>
      <c r="D18421" s="1" t="s">
        <v>36023</v>
      </c>
      <c r="E18421" s="4" t="str">
        <f ca="1">IFERROR(__xludf.DUMMYFUNCTION("GOOGLETRANSLATE(A1224 , ""tr"" , ""en"")"),"RT @ MrWoland8: @drfahrettinkoca I wish it wasn't, it wasn't. You don't say to hold pure in the mosque. You now disrupt the structure. Well hee ...")</f>
        <v>RT @ MrWoland8: @drfahrettinkoca I wish it wasn't, it wasn't. You don't say to hold pure in the mosque. You now disrupt the structure. Well hee ...</v>
      </c>
    </row>
    <row r="18422" spans="1:5" ht="15" customHeight="1" x14ac:dyDescent="0.25">
      <c r="A18422" s="1" t="s">
        <v>36024</v>
      </c>
      <c r="B18422" s="1">
        <v>0</v>
      </c>
      <c r="C18422" s="3">
        <v>44542.97861111111</v>
      </c>
      <c r="D18422" s="1" t="s">
        <v>36025</v>
      </c>
      <c r="E18422" s="4" t="str">
        <f ca="1">IFERROR(__xludf.DUMMYFUNCTION("GOOGLETRANSLATE(A1225 , ""tr"" , ""en"")"),"@drfahrettinkoca @Afusateskara @drtevfikozlu @Alpayazap @fusuneyuboglu @dralpersener @erolozvar @ serapsimsekyvz ... https://t.co/7vupapkjh4")</f>
        <v>@drfahrettinkoca @Afusateskara @drtevfikozlu @Alpayazap @fusuneyuboglu @dralpersener @erolozvar @ serapsimsekyvz ... https://t.co/7vupapkjh4</v>
      </c>
    </row>
    <row r="18423" spans="1:5" ht="15" customHeight="1" x14ac:dyDescent="0.25">
      <c r="A18423" s="1" t="s">
        <v>36026</v>
      </c>
      <c r="B18423" s="1">
        <v>0</v>
      </c>
      <c r="C18423" s="3">
        <v>44542.972997685189</v>
      </c>
      <c r="D18423" s="1" t="s">
        <v>36027</v>
      </c>
      <c r="E18423" s="4" t="str">
        <f ca="1">IFERROR(__xludf.DUMMYFUNCTION("GOOGLETRANSLATE(A1226 , ""tr"" , ""en"")"),"@drfahrettinkoca @bengibaser @serapsimsekyvz @ mehmetceyhan23 @drzekibay @secondvirus @h_ciloglu @ Adilipak ... https://t.co/hxy7d5xqg2")</f>
        <v>@drfahrettinkoca @bengibaser @serapsimsekyvz @ mehmetceyhan23 @drzekibay @secondvirus @h_ciloglu @ Adilipak ... https://t.co/hxy7d5xqg2</v>
      </c>
    </row>
    <row r="18424" spans="1:5" ht="15" customHeight="1" x14ac:dyDescent="0.25">
      <c r="A18424" s="1" t="s">
        <v>36028</v>
      </c>
      <c r="B18424" s="1">
        <v>0</v>
      </c>
      <c r="C18424" s="3">
        <v>44542.972048611111</v>
      </c>
      <c r="D18424" s="1" t="s">
        <v>36029</v>
      </c>
      <c r="E18424" s="4" t="str">
        <f ca="1">IFERROR(__xludf.DUMMYFUNCTION("GOOGLETRANSLATE(A1227 , ""tr"" , ""en"")"),"@drfahrettinkoca @rterdogan @tcmeb @saglikbakanligi @sagliklicozum @ProfSaltik @CrofSaltik @tiklarış @ttborgtr https://t.co/9z1c1umhth")</f>
        <v>@drfahrettinkoca @rterdogan @tcmeb @saglikbakanligi @sagliklicozum @ProfSaltik @CrofSaltik @tiklarış @ttborgtr https://t.co/9z1c1umhth</v>
      </c>
    </row>
    <row r="18425" spans="1:5" ht="15" customHeight="1" x14ac:dyDescent="0.25">
      <c r="A18425" s="1" t="s">
        <v>36030</v>
      </c>
      <c r="B18425" s="1">
        <v>1</v>
      </c>
      <c r="C18425" s="3">
        <v>44542.971782407411</v>
      </c>
      <c r="D18425" s="1" t="s">
        <v>36031</v>
      </c>
      <c r="E18425" s="4" t="str">
        <f ca="1">IFERROR(__xludf.DUMMYFUNCTION("GOOGLETRANSLATE(A1228 , ""tr"" , ""en"")"),"@drfahrettinkoca @rterdogan @ mehmetceyhan23 @drzekibay @bengibaser @serapsimsekyvz @tcmeb @ saglikbakanligi ... https://t.co/cpb0f1ejsv")</f>
        <v>@drfahrettinkoca @rterdogan @ mehmetceyhan23 @drzekibay @bengibaser @serapsimsekyvz @tcmeb @ saglikbakanligi ... https://t.co/cpb0f1ejsv</v>
      </c>
    </row>
    <row r="18426" spans="1:5" ht="15" customHeight="1" x14ac:dyDescent="0.25">
      <c r="A18426" s="1" t="s">
        <v>36032</v>
      </c>
      <c r="B18426" s="1">
        <v>0</v>
      </c>
      <c r="C18426" s="3">
        <v>44542.9687962963</v>
      </c>
      <c r="D18426" s="1" t="s">
        <v>36033</v>
      </c>
      <c r="E18426" s="4" t="str">
        <f ca="1">IFERROR(__xludf.DUMMYFUNCTION("GOOGLETRANSLATE(A1229 , ""tr"" , ""en"")"),"Rt @ nilgun18760153: @drfahrettinkoca you can't still make mistakes at the moment. If you could have less than a lesson, take a look at schools ...")</f>
        <v>Rt @ nilgun18760153: @drfahrettinkoca you can't still make mistakes at the moment. If you could have less than a lesson, take a look at schools ...</v>
      </c>
    </row>
    <row r="18427" spans="1:5" ht="15" customHeight="1" x14ac:dyDescent="0.25">
      <c r="A18427" s="1" t="s">
        <v>36034</v>
      </c>
      <c r="B18427" s="1">
        <v>0</v>
      </c>
      <c r="C18427" s="3">
        <v>44542.96670138889</v>
      </c>
      <c r="D18427" s="1" t="s">
        <v>36035</v>
      </c>
      <c r="E18427" s="4" t="str">
        <f ca="1">IFERROR(__xludf.DUMMYFUNCTION("GOOGLETRANSLATE(A1230 , ""tr"" , ""en"")"),"RT @yahyadeveli: @drfahrettinkoca Ministry of Minister # Cell LIKING Public Transport You don't want to ride our family Let's risk our family")</f>
        <v>RT @yahyadeveli: @drfahrettinkoca Ministry of Minister # Cell LIKING Public Transport You don't want to ride our family Let's risk our family</v>
      </c>
    </row>
    <row r="18428" spans="1:5" ht="15" customHeight="1" x14ac:dyDescent="0.25">
      <c r="A18428" s="1" t="s">
        <v>33943</v>
      </c>
      <c r="B18428" s="1">
        <v>0</v>
      </c>
      <c r="C18428" s="3">
        <v>44542.966134259259</v>
      </c>
      <c r="D18428" s="1" t="s">
        <v>36036</v>
      </c>
      <c r="E18428" s="4" t="str">
        <f ca="1">IFERROR(__xludf.DUMMYFUNCTION("GOOGLETRANSLATE(A1231 , ""tr"" , ""en"")"),"RT @beytader: @drfahrettinkoca masallah 🧿🧿🧿🧿 Elhamdulillah 🤲🤲🤲🤲🤲🤲 either Safi")</f>
        <v>RT @beytader: @drfahrettinkoca masallah 🧿🧿🧿🧿 Elhamdulillah 🤲🤲🤲🤲🤲🤲 either Safi</v>
      </c>
    </row>
    <row r="18429" spans="1:5" ht="15" customHeight="1" x14ac:dyDescent="0.25">
      <c r="A18429" s="1" t="s">
        <v>36037</v>
      </c>
      <c r="B18429" s="1">
        <v>0</v>
      </c>
      <c r="C18429" s="3">
        <v>44542.965729166666</v>
      </c>
      <c r="D18429" s="1" t="s">
        <v>36038</v>
      </c>
      <c r="E18429" s="4" t="str">
        <f ca="1">IFERROR(__xludf.DUMMYFUNCTION("GOOGLETRANSLATE(A1232 , ""tr"" , ""en"")"),"RT @_dgnayse: @drfahrettinkoca @saglikbakanligi How much will these children suffer more? We are unable to hear our voice Please Ensar ...")</f>
        <v>RT @_dgnayse: @drfahrettinkoca @saglikbakanligi How much will these children suffer more? We are unable to hear our voice Please Ensar ...</v>
      </c>
    </row>
    <row r="18430" spans="1:5" ht="15" customHeight="1" x14ac:dyDescent="0.25">
      <c r="A18430" s="1" t="s">
        <v>36039</v>
      </c>
      <c r="B18430" s="1">
        <v>0</v>
      </c>
      <c r="C18430" s="3">
        <v>44542.965370370373</v>
      </c>
      <c r="D18430" s="1" t="s">
        <v>36040</v>
      </c>
      <c r="E18430" s="4" t="str">
        <f ca="1">IFERROR(__xludf.DUMMYFUNCTION("GOOGLETRANSLATE(A1233 , ""tr"" , ""en"")"),"RT @ Cemilcan5834: @drfahrettinka vaccines How to protect against Omicron A, you think pure up to this faith people @ drfahrettinkoca ...")</f>
        <v>RT @ Cemilcan5834: @drfahrettinka vaccines How to protect against Omicron A, you think pure up to this faith people @ drfahrettinkoca ...</v>
      </c>
    </row>
    <row r="18431" spans="1:5" ht="15" customHeight="1" x14ac:dyDescent="0.25">
      <c r="A18431" s="1" t="s">
        <v>36041</v>
      </c>
      <c r="B18431" s="1">
        <v>0</v>
      </c>
      <c r="C18431" s="3">
        <v>44542.96533564815</v>
      </c>
      <c r="D18431" s="1" t="s">
        <v>36042</v>
      </c>
      <c r="E18431" s="4" t="str">
        <f ca="1">IFERROR(__xludf.DUMMYFUNCTION("GOOGLETRANSLATE(A1234 , ""tr"" , ""en"")"),"RT @ AYCE_08_53: @drfahrettinkoca said that he was just talking to my daughter ""Ahh"" and said the heart of https://t.co/Iz92uh6xkv ...")</f>
        <v>RT @ AYCE_08_53: @drfahrettinkoca said that he was just talking to my daughter "Ahh" and said the heart of https://t.co/Iz92uh6xkv ...</v>
      </c>
    </row>
    <row r="18432" spans="1:5" ht="15" customHeight="1" x14ac:dyDescent="0.25">
      <c r="A18432" s="1" t="s">
        <v>36043</v>
      </c>
      <c r="B18432" s="1">
        <v>0</v>
      </c>
      <c r="C18432" s="3">
        <v>44542.96497685185</v>
      </c>
      <c r="D18432" s="1" t="s">
        <v>36044</v>
      </c>
      <c r="E18432" s="4" t="str">
        <f ca="1">IFERROR(__xludf.DUMMYFUNCTION("GOOGLETRANSLATE(A1235 , ""tr"" , ""en"")"),"RT @busbusenn: @drfahrettinkoca omicron Dunyayi Kasip Kavuru Why don't I have no problem why I don't have no problem Going to turn off all the Dunya Mahm ...")</f>
        <v>RT @busbusenn: @drfahrettinkoca omicron Dunyayi Kasip Kavuru Why don't I have no problem why I don't have no problem Going to turn off all the Dunya Mahm ...</v>
      </c>
    </row>
    <row r="18433" spans="1:5" ht="15" customHeight="1" x14ac:dyDescent="0.25">
      <c r="A18433" s="1" t="s">
        <v>34460</v>
      </c>
      <c r="B18433" s="1">
        <v>0</v>
      </c>
      <c r="C18433" s="3">
        <v>44542.964907407404</v>
      </c>
      <c r="D18433" s="1" t="s">
        <v>36045</v>
      </c>
      <c r="E18433" s="4" t="str">
        <f ca="1">IFERROR(__xludf.DUMMYFUNCTION("GOOGLETRANSLATE(A1236 , ""tr"" , ""en"")"),"RT @ Yasinyn8722: @drfahrettinka deliberately for compulsory vaccination and mask necessity without sufficient scientific study, so called sci ...")</f>
        <v>RT @ Yasinyn8722: @drfahrettinka deliberately for compulsory vaccination and mask necessity without sufficient scientific study, so called sci ...</v>
      </c>
    </row>
    <row r="18434" spans="1:5" ht="15" customHeight="1" x14ac:dyDescent="0.25">
      <c r="A18434" s="1" t="s">
        <v>36046</v>
      </c>
      <c r="B18434" s="1">
        <v>0</v>
      </c>
      <c r="C18434" s="3">
        <v>44542.964814814812</v>
      </c>
      <c r="D18434" s="1" t="s">
        <v>36047</v>
      </c>
      <c r="E18434" s="4" t="str">
        <f ca="1">IFERROR(__xludf.DUMMYFUNCTION("GOOGLETRANSLATE(A1237 , ""tr"" , ""en"")"),"RT @beko_bekous: @drfahrettinkoca Are the patients with this omicron are grafted? Though you have destroyed the world now, though you had no interest. They are in noose ...")</f>
        <v>RT @beko_bekous: @drfahrettinkoca Are the patients with this omicron are grafted? Though you have destroyed the world now, though you had no interest. They are in noose ...</v>
      </c>
    </row>
    <row r="18435" spans="1:5" ht="15" customHeight="1" x14ac:dyDescent="0.25">
      <c r="A18435" s="1" t="s">
        <v>36012</v>
      </c>
      <c r="B18435" s="1">
        <v>0</v>
      </c>
      <c r="C18435" s="3">
        <v>44542.964074074072</v>
      </c>
      <c r="D18435" s="1" t="s">
        <v>36048</v>
      </c>
      <c r="E18435" s="4" t="str">
        <f ca="1">IFERROR(__xludf.DUMMYFUNCTION("GOOGLETRANSLATE(A1238 , ""tr"" , ""en"")"),"RT @ Alikadim6969: @drfahrettinkoca A $ I in which it is not as containing. And if the PCR test is only requested from the non-point, here the subject is human ...")</f>
        <v>RT @ Alikadim6969: @drfahrettinkoca A $ I in which it is not as containing. And if the PCR test is only requested from the non-point, here the subject is human ...</v>
      </c>
    </row>
    <row r="18436" spans="1:5" ht="15" customHeight="1" x14ac:dyDescent="0.25">
      <c r="A18436" s="1" t="s">
        <v>34256</v>
      </c>
      <c r="B18436" s="1">
        <v>0</v>
      </c>
      <c r="C18436" s="3">
        <v>44542.963703703703</v>
      </c>
      <c r="D18436" s="1" t="s">
        <v>36049</v>
      </c>
      <c r="E18436" s="4" t="str">
        <f ca="1">IFERROR(__xludf.DUMMYFUNCTION("GOOGLETRANSLATE(A1239 , ""tr"" , ""en"")"),"Rt @beko_bekous: @drfahrettinkoca Mr. Minister, this terrorist folk enemy, physician regulator for lows and children's explosion for drying, pf ...")</f>
        <v>Rt @beko_bekous: @drfahrettinkoca Mr. Minister, this terrorist folk enemy, physician regulator for lows and children's explosion for drying, pf ...</v>
      </c>
    </row>
    <row r="18437" spans="1:5" ht="15" customHeight="1" x14ac:dyDescent="0.25">
      <c r="A18437" s="1" t="s">
        <v>36050</v>
      </c>
      <c r="B18437" s="1">
        <v>0</v>
      </c>
      <c r="C18437" s="3">
        <v>44542.963009259256</v>
      </c>
      <c r="D18437" s="1" t="s">
        <v>36051</v>
      </c>
      <c r="E18437" s="4" t="str">
        <f ca="1">IFERROR(__xludf.DUMMYFUNCTION("GOOGLETRANSLATE(A1240 , ""tr"" , ""en"")"),"Rt @hilti_guclu: @drfahrettinkoca medicine: that developed and progressed; Scientists are not isolated on the virus but, the vaccine of the non-virus ...")</f>
        <v>Rt @hilti_guclu: @drfahrettinkoca medicine: that developed and progressed; Scientists are not isolated on the virus but, the vaccine of the non-virus ...</v>
      </c>
    </row>
    <row r="18438" spans="1:5" ht="15" customHeight="1" x14ac:dyDescent="0.25">
      <c r="A18438" s="1" t="s">
        <v>33943</v>
      </c>
      <c r="B18438" s="1">
        <v>0</v>
      </c>
      <c r="C18438" s="3">
        <v>44542.961388888885</v>
      </c>
      <c r="D18438" s="1" t="s">
        <v>36052</v>
      </c>
      <c r="E18438" s="4" t="str">
        <f ca="1">IFERROR(__xludf.DUMMYFUNCTION("GOOGLETRANSLATE(A1241 , ""tr"" , ""en"")"),"RT @beytader: @drfahrettinkoca masallah 🧿🧿🧿🧿 Elhamdulillah 🤲🤲🤲🤲🤲🤲 either Safi")</f>
        <v>RT @beytader: @drfahrettinkoca masallah 🧿🧿🧿🧿 Elhamdulillah 🤲🤲🤲🤲🤲🤲 either Safi</v>
      </c>
    </row>
    <row r="18439" spans="1:5" ht="15" customHeight="1" x14ac:dyDescent="0.25">
      <c r="A18439" s="1" t="s">
        <v>36053</v>
      </c>
      <c r="B18439" s="1">
        <v>0</v>
      </c>
      <c r="C18439" s="3">
        <v>44542.95890046296</v>
      </c>
      <c r="D18439" s="1" t="s">
        <v>36054</v>
      </c>
      <c r="E18439" s="4" t="str">
        <f ca="1">IFERROR(__xludf.DUMMYFUNCTION("GOOGLETRANSLATE(A1242 , ""tr"" , ""en"")"),"RT @Ahiiirzamaan: @drfahrettinkoca you have never done wrong. You have applied if your command center is called. System TI ...")</f>
        <v>RT @Ahiiirzamaan: @drfahrettinkoca you have never done wrong. You have applied if your command center is called. System TI ...</v>
      </c>
    </row>
    <row r="18440" spans="1:5" ht="15" customHeight="1" x14ac:dyDescent="0.25">
      <c r="A18440" s="1" t="s">
        <v>36055</v>
      </c>
      <c r="B18440" s="1">
        <v>0</v>
      </c>
      <c r="C18440" s="3">
        <v>44542.953298611108</v>
      </c>
      <c r="D18440" s="1" t="s">
        <v>36056</v>
      </c>
      <c r="E18440" s="4" t="str">
        <f ca="1">IFERROR(__xludf.DUMMYFUNCTION("GOOGLETRANSLATE(A1243 , ""tr"" , ""en"")"),"Rt @muzafarmuratov: @drfahrettinkoca E Hani You saw the end of the 20th of May 2020De, the coins came sweet ... This is the variant ...")</f>
        <v>Rt @muzafarmuratov: @drfahrettinkoca E Hani You saw the end of the 20th of May 2020De, the coins came sweet ... This is the variant ...</v>
      </c>
    </row>
    <row r="18441" spans="1:5" ht="15" customHeight="1" x14ac:dyDescent="0.25">
      <c r="A18441" s="1" t="s">
        <v>36057</v>
      </c>
      <c r="B18441" s="1">
        <v>0</v>
      </c>
      <c r="C18441" s="3">
        <v>44542.939502314817</v>
      </c>
      <c r="D18441" s="1" t="s">
        <v>36058</v>
      </c>
      <c r="E18441" s="4" t="str">
        <f ca="1">IFERROR(__xludf.DUMMYFUNCTION("GOOGLETRANSLATE(A1244 , ""tr"" , ""en"")"),"@drfahrettinkoca Throwing Function toss, similar to the boss. https://t.co/EJWQ5ISAIZ")</f>
        <v>@drfahrettinkoca Throwing Function toss, similar to the boss. https://t.co/EJWQ5ISAIZ</v>
      </c>
    </row>
    <row r="18442" spans="1:5" ht="15" customHeight="1" x14ac:dyDescent="0.25">
      <c r="A18442" s="1" t="s">
        <v>36059</v>
      </c>
      <c r="B18442" s="1">
        <v>0</v>
      </c>
      <c r="C18442" s="3">
        <v>44542.931701388887</v>
      </c>
      <c r="D18442" s="1" t="s">
        <v>36060</v>
      </c>
      <c r="E18442" s="4" t="str">
        <f ca="1">IFERROR(__xludf.DUMMYFUNCTION("GOOGLETRANSLATE(A1245 , ""tr"" , ""en"")"),"@drfahrettinkoca @mkulunk @erbakanfatih @izzetcapa https://t.co/1tkjixlcll")</f>
        <v>@drfahrettinkoca @mkulunk @erbakanfatih @izzetcapa https://t.co/1tkjixlcll</v>
      </c>
    </row>
    <row r="18443" spans="1:5" ht="15" customHeight="1" x14ac:dyDescent="0.25">
      <c r="A18443" s="1" t="s">
        <v>36061</v>
      </c>
      <c r="B18443" s="1">
        <v>1</v>
      </c>
      <c r="C18443" s="3">
        <v>44542.90761574074</v>
      </c>
      <c r="D18443" s="1" t="s">
        <v>36062</v>
      </c>
      <c r="E18443" s="4" t="str">
        <f ca="1">IFERROR(__xludf.DUMMYFUNCTION("GOOGLETRANSLATE(A1246 , ""tr"" , ""en"")"),"@drfahrettinkoca @tc_icisleri # ttbcapatillate that has become a wait issue https://t.co/e1qnya24az")</f>
        <v>@drfahrettinkoca @tc_icisleri # ttbcapatillate that has become a wait issue https://t.co/e1qnya24az</v>
      </c>
    </row>
    <row r="18444" spans="1:5" ht="15" customHeight="1" x14ac:dyDescent="0.25">
      <c r="A18444" s="1" t="s">
        <v>36063</v>
      </c>
      <c r="B18444" s="1">
        <v>2</v>
      </c>
      <c r="C18444" s="3">
        <v>44542.906574074077</v>
      </c>
      <c r="D18444" s="1" t="s">
        <v>36064</v>
      </c>
      <c r="E18444" s="4" t="str">
        <f ca="1">IFERROR(__xludf.DUMMYFUNCTION("GOOGLETRANSLATE(A1247 , ""tr"" , ""en"")"),"@drfahrettinkoca @tcmeb # Mahmutörörokullaronline https://t.co/ndraqmmzppp")</f>
        <v>@drfahrettinkoca @tcmeb # Mahmutörörokullaronline https://t.co/ndraqmmzppp</v>
      </c>
    </row>
    <row r="18445" spans="1:5" ht="15" customHeight="1" x14ac:dyDescent="0.25">
      <c r="A18445" s="1" t="s">
        <v>36065</v>
      </c>
      <c r="B18445" s="1">
        <v>0</v>
      </c>
      <c r="C18445" s="3">
        <v>44542.90284722222</v>
      </c>
      <c r="D18445" s="1" t="s">
        <v>36066</v>
      </c>
      <c r="E18445" s="4" t="str">
        <f ca="1">IFERROR(__xludf.DUMMYFUNCTION("GOOGLETRANSLATE(A1248 , ""tr"" , ""en"")"),"@drfahrettinka cut off last 50 years # birbakan40kocayalan https://t.co/j6swchhteq")</f>
        <v>@drfahrettinka cut off last 50 years # birbakan40kocayalan https://t.co/j6swchhteq</v>
      </c>
    </row>
    <row r="18446" spans="1:5" ht="15" customHeight="1" x14ac:dyDescent="0.25">
      <c r="A18446" s="1" t="s">
        <v>36067</v>
      </c>
      <c r="B18446" s="1">
        <v>1</v>
      </c>
      <c r="C18446" s="3">
        <v>44542.898078703707</v>
      </c>
      <c r="D18446" s="1" t="s">
        <v>36068</v>
      </c>
      <c r="E18446" s="4" t="str">
        <f ca="1">IFERROR(__xludf.DUMMYFUNCTION("GOOGLETRANSLATE(A1249 , ""tr"" , ""en"")"),"@drfahrettinkoca @Olarıcakkurulu_ https://t.co/hlm4ubf0nk")</f>
        <v>@drfahrettinkoca @Olarıcakkurulu_ https://t.co/hlm4ubf0nk</v>
      </c>
    </row>
    <row r="18447" spans="1:5" ht="15" customHeight="1" x14ac:dyDescent="0.25">
      <c r="A18447" s="1" t="s">
        <v>36069</v>
      </c>
      <c r="B18447" s="1">
        <v>2</v>
      </c>
      <c r="C18447" s="3">
        <v>44542.892523148148</v>
      </c>
      <c r="D18447" s="1" t="s">
        <v>36070</v>
      </c>
      <c r="E18447" s="4" t="str">
        <f ca="1">IFERROR(__xludf.DUMMYFUNCTION("GOOGLETRANSLATE(A1250 , ""tr"" , ""en"")"),"@drfahrettinkoca @erolozvar @rterdogan @TCMEB @ YÖK Dear Authorities hear our voice really young people ... https://t.co/xmdsx2aeyy")</f>
        <v>@drfahrettinkoca @erolozvar @rterdogan @TCMEB @ YÖK Dear Authorities hear our voice really young people ... https://t.co/xmdsx2aeyy</v>
      </c>
    </row>
    <row r="18448" spans="1:5" ht="15" customHeight="1" x14ac:dyDescent="0.25">
      <c r="A18448" s="1" t="s">
        <v>36071</v>
      </c>
      <c r="B18448" s="1">
        <v>1</v>
      </c>
      <c r="C18448" s="3">
        <v>44542.889560185184</v>
      </c>
      <c r="D18448" s="1" t="s">
        <v>36072</v>
      </c>
      <c r="E18448" s="4" t="str">
        <f ca="1">IFERROR(__xludf.DUMMYFUNCTION("GOOGLETRANSLATE(A1251 , ""tr"" , ""en"")"),"@drfahrettinkoca Buddha Your Doctor's Doctor Pay Salary With My Doctors Haram Poison Zikkım Https://T.CO/AGL3IRLID3")</f>
        <v>@drfahrettinkoca Buddha Your Doctor's Doctor Pay Salary With My Doctors Haram Poison Zikkım Https://T.CO/AGL3IRLID3</v>
      </c>
    </row>
    <row r="18449" spans="1:5" ht="15" customHeight="1" x14ac:dyDescent="0.25">
      <c r="A18449" s="1" t="s">
        <v>36073</v>
      </c>
      <c r="B18449" s="1">
        <v>0</v>
      </c>
      <c r="C18449" s="3">
        <v>44542.888449074075</v>
      </c>
      <c r="D18449" s="1" t="s">
        <v>36074</v>
      </c>
      <c r="E18449" s="4" t="str">
        <f ca="1">IFERROR(__xludf.DUMMYFUNCTION("GOOGLETRANSLATE(A1252 , ""tr"" , ""en"")"),"@drfahrettinkoca @saglikbakanligi You said there is no problem with drugs in pharmacies, I said 2.5 years old at ... https://t.co/5FIOWKMedm")</f>
        <v>@drfahrettinkoca @saglikbakanligi You said there is no problem with drugs in pharmacies, I said 2.5 years old at ... https://t.co/5FIOWKMedm</v>
      </c>
    </row>
    <row r="18450" spans="1:5" ht="15" customHeight="1" x14ac:dyDescent="0.25">
      <c r="A18450" s="1" t="s">
        <v>36075</v>
      </c>
      <c r="B18450" s="1">
        <v>0</v>
      </c>
      <c r="C18450" s="3">
        <v>44542.888356481482</v>
      </c>
      <c r="D18450" s="1" t="s">
        <v>36076</v>
      </c>
      <c r="E18450" s="4" t="str">
        <f ca="1">IFERROR(__xludf.DUMMYFUNCTION("GOOGLETRANSLATE(A1253 , ""tr"" , ""en"")"),"@drfahrettinkoca is not a single dr. Everything ends one day. @esenol @ esingl30852807 @ Mehmetceyhan23 ... https://t.co/fx0xs8hiat")</f>
        <v>@drfahrettinkoca is not a single dr. Everything ends one day. @esenol @ esingl30852807 @ Mehmetceyhan23 ... https://t.co/fx0xs8hiat</v>
      </c>
    </row>
    <row r="18451" spans="1:5" ht="15" customHeight="1" x14ac:dyDescent="0.25">
      <c r="A18451" s="1" t="s">
        <v>36077</v>
      </c>
      <c r="B18451" s="1">
        <v>0</v>
      </c>
      <c r="C18451" s="3">
        <v>44542.882048611114</v>
      </c>
      <c r="D18451" s="1" t="s">
        <v>36078</v>
      </c>
      <c r="E18451" s="4" t="str">
        <f ca="1">IFERROR(__xludf.DUMMYFUNCTION("GOOGLETRANSLATE(A1254 , ""tr"" , ""en"")"),"@drfahrettinkoca @saglikbakanligi How more are you going to be irresponsible? https://t.co/rb7xnhhht2")</f>
        <v>@drfahrettinkoca @saglikbakanligi How more are you going to be irresponsible? https://t.co/rb7xnhhht2</v>
      </c>
    </row>
    <row r="18452" spans="1:5" ht="15" customHeight="1" x14ac:dyDescent="0.25">
      <c r="A18452" s="1" t="s">
        <v>36079</v>
      </c>
      <c r="B18452" s="1">
        <v>0</v>
      </c>
      <c r="C18452" s="3">
        <v>44542.877696759257</v>
      </c>
      <c r="D18452" s="1" t="s">
        <v>36080</v>
      </c>
      <c r="E18452" s="4" t="str">
        <f ca="1">IFERROR(__xludf.DUMMYFUNCTION("GOOGLETRANSLATE(A1255 , ""tr"" , ""en"")"),"@drfahrettinkoca @esenol @ mehmetceyhan23 https://t.co/mgpumv0mse")</f>
        <v>@drfahrettinkoca @esenol @ mehmetceyhan23 https://t.co/mgpumv0mse</v>
      </c>
    </row>
    <row r="18453" spans="1:5" ht="15" customHeight="1" x14ac:dyDescent="0.25">
      <c r="A18453" s="1" t="s">
        <v>36081</v>
      </c>
      <c r="B18453" s="1">
        <v>0</v>
      </c>
      <c r="C18453" s="3">
        <v>44542.873425925929</v>
      </c>
      <c r="D18453" s="1" t="s">
        <v>36082</v>
      </c>
      <c r="E18453" s="4" t="str">
        <f ca="1">IFERROR(__xludf.DUMMYFUNCTION("GOOGLETRANSLATE(A1256 , ""tr"" , ""en"")"),"Even @drfahrettinka you even made it according to the eye! Again you will solve. I hope to solve a moment ... https://t.co/zjIauexrkr")</f>
        <v>Even @drfahrettinka you even made it according to the eye! Again you will solve. I hope to solve a moment ... https://t.co/zjIauexrkr</v>
      </c>
    </row>
    <row r="18454" spans="1:5" ht="15" customHeight="1" x14ac:dyDescent="0.25">
      <c r="A18454" s="1" t="s">
        <v>36083</v>
      </c>
      <c r="B18454" s="1">
        <v>0</v>
      </c>
      <c r="C18454" s="3">
        <v>44542.872083333335</v>
      </c>
      <c r="D18454" s="1" t="s">
        <v>36084</v>
      </c>
      <c r="E18454" s="4" t="str">
        <f ca="1">IFERROR(__xludf.DUMMYFUNCTION("GOOGLETRANSLATE(A1257 , ""tr"" , ""en"")"),"@drfahrettinkoca How can this be the minister? Are these people lying? Even the painkiller to pregnant women ... https://t.co/wt3jhv86kz")</f>
        <v>@drfahrettinkoca How can this be the minister? Are these people lying? Even the painkiller to pregnant women ... https://t.co/wt3jhv86kz</v>
      </c>
    </row>
    <row r="18455" spans="1:5" ht="15" customHeight="1" x14ac:dyDescent="0.25">
      <c r="A18455" s="1" t="s">
        <v>36085</v>
      </c>
      <c r="B18455" s="1">
        <v>0</v>
      </c>
      <c r="C18455" s="3">
        <v>44542.860185185185</v>
      </c>
      <c r="D18455" s="1" t="s">
        <v>36086</v>
      </c>
      <c r="E18455" s="4" t="str">
        <f ca="1">IFERROR(__xludf.DUMMYFUNCTION("GOOGLETRANSLATE(A1258 , ""tr"" , ""en"")"),"@drfahrettinkoca @saglikbakanligi Mr. Minister My test positive 14 days quarantine OK, lady teacher school mecbu ... https://t.co/ddrjrs1tnp")</f>
        <v>@drfahrettinkoca @saglikbakanligi Mr. Minister My test positive 14 days quarantine OK, lady teacher school mecbu ... https://t.co/ddrjrs1tnp</v>
      </c>
    </row>
    <row r="18456" spans="1:5" ht="15" customHeight="1" x14ac:dyDescent="0.25">
      <c r="A18456" s="1" t="s">
        <v>36087</v>
      </c>
      <c r="B18456" s="1">
        <v>0</v>
      </c>
      <c r="C18456" s="3">
        <v>44542.841562499998</v>
      </c>
      <c r="D18456" s="1" t="s">
        <v>36088</v>
      </c>
      <c r="E18456" s="4" t="str">
        <f ca="1">IFERROR(__xludf.DUMMYFUNCTION("GOOGLETRANSLATE(A1259 , ""tr"" , ""en"")"),"@drfahrettinkoca hi easy come to my daughter I'm writing for my daughter will be Ricam of our health care Sevin ... https://t.co/XNAMIIILSGU")</f>
        <v>@drfahrettinkoca hi easy come to my daughter I'm writing for my daughter will be Ricam of our health care Sevin ... https://t.co/XNAMIIILSGU</v>
      </c>
    </row>
    <row r="18457" spans="1:5" ht="15" customHeight="1" x14ac:dyDescent="0.25">
      <c r="A18457" s="1" t="s">
        <v>36089</v>
      </c>
      <c r="B18457" s="1">
        <v>4</v>
      </c>
      <c r="C18457" s="3">
        <v>44542.840451388889</v>
      </c>
      <c r="D18457" s="1" t="s">
        <v>36090</v>
      </c>
      <c r="E18457" s="4" t="str">
        <f ca="1">IFERROR(__xludf.DUMMYFUNCTION("GOOGLETRANSLATE(A1260 , ""tr"" , ""en"")"),"@drfahrettinkoca #the physicians.")</f>
        <v>@drfahrettinkoca #the physicians.</v>
      </c>
    </row>
    <row r="18458" spans="1:5" ht="15" customHeight="1" x14ac:dyDescent="0.25">
      <c r="A18458" s="1" t="s">
        <v>36091</v>
      </c>
      <c r="B18458" s="1">
        <v>0</v>
      </c>
      <c r="C18458" s="3">
        <v>44542.824641203704</v>
      </c>
      <c r="D18458" s="1" t="s">
        <v>36092</v>
      </c>
      <c r="E18458" s="4" t="str">
        <f ca="1">IFERROR(__xludf.DUMMYFUNCTION("GOOGLETRANSLATE(A1261 , ""tr"" , ""en"")"),"@drfahrettinka https://t.co/igghxbnc0w")</f>
        <v>@drfahrettinka https://t.co/igghxbnc0w</v>
      </c>
    </row>
    <row r="18459" spans="1:5" ht="15" customHeight="1" x14ac:dyDescent="0.25">
      <c r="A18459" s="1" t="s">
        <v>36093</v>
      </c>
      <c r="B18459" s="1">
        <v>0</v>
      </c>
      <c r="C18459" s="3">
        <v>44542.818101851852</v>
      </c>
      <c r="D18459" s="1" t="s">
        <v>36094</v>
      </c>
      <c r="E18459" s="4" t="str">
        <f ca="1">IFERROR(__xludf.DUMMYFUNCTION("GOOGLETRANSLATE(A1262 , ""tr"" , ""en"")"),"@drfahrettinka Mr. Ministry of Doctor Saves Life We Know the Doctors Even the Doctors Doctors Even the Doctors Even ... https://t.co/qdmlvoplsb")</f>
        <v>@drfahrettinka Mr. Ministry of Doctor Saves Life We Know the Doctors Even the Doctors Doctors Even the Doctors Even ... https://t.co/qdmlvoplsb</v>
      </c>
    </row>
    <row r="18460" spans="1:5" ht="15" customHeight="1" x14ac:dyDescent="0.25">
      <c r="A18460" s="1" t="s">
        <v>36095</v>
      </c>
      <c r="B18460" s="1">
        <v>0</v>
      </c>
      <c r="C18460" s="3">
        <v>44542.814918981479</v>
      </c>
      <c r="D18460" s="1" t="s">
        <v>36096</v>
      </c>
      <c r="E18460" s="4" t="str">
        <f ca="1">IFERROR(__xludf.DUMMYFUNCTION("GOOGLETRANSLATE(A1263 , ""tr"" , ""en"")"),"@drfahrettinka https://t.co/rdseizreem")</f>
        <v>@drfahrettinka https://t.co/rdseizreem</v>
      </c>
    </row>
    <row r="18461" spans="1:5" ht="15" customHeight="1" x14ac:dyDescent="0.25">
      <c r="A18461" s="1" t="s">
        <v>36097</v>
      </c>
      <c r="B18461" s="1">
        <v>1</v>
      </c>
      <c r="C18461" s="3">
        <v>44542.814722222225</v>
      </c>
      <c r="D18461" s="1" t="s">
        <v>36098</v>
      </c>
      <c r="E18461" s="4" t="str">
        <f ca="1">IFERROR(__xludf.DUMMYFUNCTION("GOOGLETRANSLATE(A1264 , ""tr"" , ""en"")"),"@drfahrettinkoca @saglikbakanligi https://t.co/tobhn2dhci")</f>
        <v>@drfahrettinkoca @saglikbakanligi https://t.co/tobhn2dhci</v>
      </c>
    </row>
    <row r="18462" spans="1:5" ht="15" customHeight="1" x14ac:dyDescent="0.25">
      <c r="A18462" s="1" t="s">
        <v>36099</v>
      </c>
      <c r="B18462" s="1">
        <v>0</v>
      </c>
      <c r="C18462" s="3">
        <v>44542.814467592594</v>
      </c>
      <c r="D18462" s="1" t="s">
        <v>36100</v>
      </c>
      <c r="E18462" s="4" t="str">
        <f ca="1">IFERROR(__xludf.DUMMYFUNCTION("GOOGLETRANSLATE(A1265 , ""tr"" , ""en"")"),"@drfahrettinkoca We are trying to make an appointment with family physician for a month. The system is constantly being an appropriate appointment ... https://t.co/txlzsb8svv")</f>
        <v>@drfahrettinkoca We are trying to make an appointment with family physician for a month. The system is constantly being an appropriate appointment ... https://t.co/txlzsb8svv</v>
      </c>
    </row>
    <row r="18463" spans="1:5" ht="15" customHeight="1" x14ac:dyDescent="0.25">
      <c r="A18463" s="1" t="s">
        <v>36101</v>
      </c>
      <c r="B18463" s="1">
        <v>0</v>
      </c>
      <c r="C18463" s="3">
        <v>44542.812094907407</v>
      </c>
      <c r="D18463" s="1" t="s">
        <v>36102</v>
      </c>
      <c r="E18463" s="4" t="str">
        <f ca="1">IFERROR(__xludf.DUMMYFUNCTION("GOOGLETRANSLATE(A1266 , ""tr"" , ""en"")"),"@drfahrettinka https://t.co/vzv3zsgsyb")</f>
        <v>@drfahrettinka https://t.co/vzv3zsgsyb</v>
      </c>
    </row>
    <row r="18464" spans="1:5" ht="15" customHeight="1" x14ac:dyDescent="0.25">
      <c r="A18464" s="1" t="s">
        <v>36103</v>
      </c>
      <c r="B18464" s="1">
        <v>0</v>
      </c>
      <c r="C18464" s="3">
        <v>44542.811689814815</v>
      </c>
      <c r="D18464" s="1" t="s">
        <v>36104</v>
      </c>
      <c r="E18464" s="4" t="str">
        <f ca="1">IFERROR(__xludf.DUMMYFUNCTION("GOOGLETRANSLATE(A1267 , ""tr"" , ""en"")"),"@drfahrettinkoca https://t.co/besuuxrbha")</f>
        <v>@drfahrettinkoca https://t.co/besuuxrbha</v>
      </c>
    </row>
    <row r="18465" spans="1:5" ht="15" customHeight="1" x14ac:dyDescent="0.25">
      <c r="A18465" s="1" t="s">
        <v>36105</v>
      </c>
      <c r="B18465" s="1">
        <v>0</v>
      </c>
      <c r="C18465" s="3">
        <v>44542.810578703706</v>
      </c>
      <c r="D18465" s="1" t="s">
        <v>36106</v>
      </c>
      <c r="E18465" s="4" t="str">
        <f ca="1">IFERROR(__xludf.DUMMYFUNCTION("GOOGLETRANSLATE(A1268 , ""tr"" , ""en"")"),"@drfahrettinka https://t.co/kzje7bnzxl")</f>
        <v>@drfahrettinka https://t.co/kzje7bnzxl</v>
      </c>
    </row>
    <row r="18466" spans="1:5" ht="15" customHeight="1" x14ac:dyDescent="0.25">
      <c r="A18466" s="1" t="s">
        <v>36107</v>
      </c>
      <c r="B18466" s="1">
        <v>0</v>
      </c>
      <c r="C18466" s="3">
        <v>44542.810474537036</v>
      </c>
      <c r="D18466" s="1" t="s">
        <v>36108</v>
      </c>
      <c r="E18466" s="4" t="str">
        <f ca="1">IFERROR(__xludf.DUMMYFUNCTION("GOOGLETRANSLATE(A1269 , ""tr"" , ""en"")"),"@drfahrettinka https://t.co/i7mqxolezv")</f>
        <v>@drfahrettinka https://t.co/i7mqxolezv</v>
      </c>
    </row>
    <row r="18467" spans="1:5" ht="15" customHeight="1" x14ac:dyDescent="0.25">
      <c r="A18467" s="1" t="s">
        <v>36109</v>
      </c>
      <c r="B18467" s="1">
        <v>0</v>
      </c>
      <c r="C18467" s="3">
        <v>44542.809305555558</v>
      </c>
      <c r="D18467" s="1" t="s">
        <v>36110</v>
      </c>
      <c r="E18467" s="4" t="str">
        <f ca="1">IFERROR(__xludf.DUMMYFUNCTION("GOOGLETRANSLATE(A1270 , ""tr"" , ""en"")"),"@drfahrettinka https://t.co/eprl9lvrxe")</f>
        <v>@drfahrettinka https://t.co/eprl9lvrxe</v>
      </c>
    </row>
    <row r="18468" spans="1:5" ht="15" customHeight="1" x14ac:dyDescent="0.25">
      <c r="A18468" s="1" t="s">
        <v>36111</v>
      </c>
      <c r="B18468" s="1">
        <v>0</v>
      </c>
      <c r="C18468" s="3">
        <v>44542.803553240738</v>
      </c>
      <c r="D18468" s="1" t="s">
        <v>36112</v>
      </c>
      <c r="E18468" s="4" t="str">
        <f ca="1">IFERROR(__xludf.DUMMYFUNCTION("GOOGLETRANSLATE(A1271 , ""tr"" , ""en"")"),"@drfahrettinkoca YSP's word back from your word. This is the right to us the right to Mr. Minister? ... https://t.co/k8mar405I5")</f>
        <v>@drfahrettinkoca YSP's word back from your word. This is the right to us the right to Mr. Minister? ... https://t.co/k8mar405I5</v>
      </c>
    </row>
    <row r="18469" spans="1:5" ht="15" customHeight="1" x14ac:dyDescent="0.25">
      <c r="A18469" s="1" t="s">
        <v>36113</v>
      </c>
      <c r="B18469" s="1">
        <v>0</v>
      </c>
      <c r="C18469" s="3">
        <v>44542.802106481482</v>
      </c>
      <c r="D18469" s="1" t="s">
        <v>36114</v>
      </c>
      <c r="E18469" s="4" t="str">
        <f ca="1">IFERROR(__xludf.DUMMYFUNCTION("GOOGLETRANSLATE(A1272 , ""tr"" , ""en"")"),"@drfahrettinka physicians want their rights. Should you remain physician in your hand with 2 minimum wages ...... https://t.co/t8gs5vsip6")</f>
        <v>@drfahrettinka physicians want their rights. Should you remain physician in your hand with 2 minimum wages ...... https://t.co/t8gs5vsip6</v>
      </c>
    </row>
    <row r="18470" spans="1:5" ht="15" customHeight="1" x14ac:dyDescent="0.25">
      <c r="A18470" s="1" t="s">
        <v>36115</v>
      </c>
      <c r="B18470" s="1">
        <v>1</v>
      </c>
      <c r="C18470" s="3">
        <v>44542.790555555555</v>
      </c>
      <c r="D18470" s="1" t="s">
        <v>36116</v>
      </c>
      <c r="E18470" s="4" t="str">
        <f ca="1">IFERROR(__xludf.DUMMYFUNCTION("GOOGLETRANSLATE(A1273 , ""tr"" , ""en"")"),"@drfahrettinka please more families #mahmutörörocullaronline https://t.co/ywsnils without danger")</f>
        <v>@drfahrettinka please more families #mahmutörörocullaronline https://t.co/ywsnils without danger</v>
      </c>
    </row>
    <row r="18471" spans="1:5" ht="15" customHeight="1" x14ac:dyDescent="0.25">
      <c r="A18471" s="1" t="s">
        <v>36117</v>
      </c>
      <c r="B18471" s="1">
        <v>0</v>
      </c>
      <c r="C18471" s="3">
        <v>44542.781817129631</v>
      </c>
      <c r="D18471" s="1" t="s">
        <v>36118</v>
      </c>
      <c r="E18471" s="4" t="str">
        <f ca="1">IFERROR(__xludf.DUMMYFUNCTION("GOOGLETRANSLATE(A1274 , ""tr"" , ""en"")"),"@drfahrettinkoca Mr. Minister..Special hospitals are able to charge for Covid19 treatment? They asked us ... HTTPS://t.co/rjpqp44yvn")</f>
        <v>@drfahrettinkoca Mr. Minister..Special hospitals are able to charge for Covid19 treatment? They asked us ... HTTPS://t.co/rjpqp44yvn</v>
      </c>
    </row>
    <row r="18472" spans="1:5" ht="15" customHeight="1" x14ac:dyDescent="0.25">
      <c r="A18472" s="1" t="s">
        <v>36119</v>
      </c>
      <c r="B18472" s="1">
        <v>3</v>
      </c>
      <c r="C18472" s="3">
        <v>44542.781388888892</v>
      </c>
      <c r="D18472" s="1" t="s">
        <v>36120</v>
      </c>
      <c r="E18472" s="4" t="str">
        <f ca="1">IFERROR(__xludf.DUMMYFUNCTION("GOOGLETRANSLATE(A1275 , ""tr"" , ""en"")"),"@drfahrettinkoca @vedatbilgn @_aliyalcin_ @onderkahveci @neciotaskin @ssbsemihdurmus https://t.co/txqyyuqbhd")</f>
        <v>@drfahrettinkoca @vedatbilgn @_aliyalcin_ @onderkahveci @neciotaskin @ssbsemihdurmus https://t.co/txqyyuqbhd</v>
      </c>
    </row>
    <row r="18473" spans="1:5" ht="15" customHeight="1" x14ac:dyDescent="0.25">
      <c r="A18473" s="1" t="s">
        <v>36121</v>
      </c>
      <c r="B18473" s="1">
        <v>0</v>
      </c>
      <c r="C18473" s="3">
        <v>44542.777083333334</v>
      </c>
      <c r="D18473" s="1" t="s">
        <v>36122</v>
      </c>
      <c r="E18473" s="4" t="str">
        <f ca="1">IFERROR(__xludf.DUMMYFUNCTION("GOOGLETRANSLATE(A1276 , ""tr"" , ""en"")"),"@drfahrettinkoca @rterdogan @adalet_bakanlik https://t.co/kgo0psjsxu")</f>
        <v>@drfahrettinkoca @rterdogan @adalet_bakanlik https://t.co/kgo0psjsxu</v>
      </c>
    </row>
    <row r="18474" spans="1:5" ht="15" customHeight="1" x14ac:dyDescent="0.25">
      <c r="A18474" s="1" t="s">
        <v>36123</v>
      </c>
      <c r="B18474" s="1">
        <v>1</v>
      </c>
      <c r="C18474" s="3">
        <v>44542.776666666665</v>
      </c>
      <c r="D18474" s="1" t="s">
        <v>36124</v>
      </c>
      <c r="E18474" s="4" t="str">
        <f ca="1">IFERROR(__xludf.DUMMYFUNCTION("GOOGLETRANSLATE(A1277 , ""tr"" , ""en"")"),"@drfahrettinka @tcmeb # Mahmutörörokullaronline https://t.co/l6q5hvqkdo")</f>
        <v>@drfahrettinka @tcmeb # Mahmutörörokullaronline https://t.co/l6q5hvqkdo</v>
      </c>
    </row>
    <row r="18475" spans="1:5" ht="15" customHeight="1" x14ac:dyDescent="0.25">
      <c r="A18475" s="1" t="s">
        <v>36125</v>
      </c>
      <c r="B18475" s="1">
        <v>0</v>
      </c>
      <c r="C18475" s="3">
        <v>44542.772719907407</v>
      </c>
      <c r="D18475" s="1" t="s">
        <v>36126</v>
      </c>
      <c r="E18475" s="4" t="str">
        <f ca="1">IFERROR(__xludf.DUMMYFUNCTION("GOOGLETRANSLATE(A1278 , ""tr"" , ""en"")"),"@drfahrettinkoca hubby shame! 😡 https://t.co/zomaza2hua")</f>
        <v>@drfahrettinkoca hubby shame! 😡 https://t.co/zomaza2hua</v>
      </c>
    </row>
    <row r="18476" spans="1:5" ht="15" customHeight="1" x14ac:dyDescent="0.25">
      <c r="A18476" s="1" t="s">
        <v>36127</v>
      </c>
      <c r="B18476" s="1">
        <v>0</v>
      </c>
      <c r="C18476" s="3">
        <v>44542.771469907406</v>
      </c>
      <c r="D18476" s="1" t="s">
        <v>36128</v>
      </c>
      <c r="E18476" s="4" t="str">
        <f ca="1">IFERROR(__xludf.DUMMYFUNCTION("GOOGLETRANSLATE(A1279 , ""tr"" , ""en"")"),"@drfahrettinkoca @fatihaltayli @Ravzakavakci @saglikbakanligi https://t.co/jbp91ocvoe")</f>
        <v>@drfahrettinkoca @fatihaltayli @Ravzakavakci @saglikbakanligi https://t.co/jbp91ocvoe</v>
      </c>
    </row>
    <row r="18477" spans="1:5" ht="15" customHeight="1" x14ac:dyDescent="0.25">
      <c r="A18477" s="1" t="s">
        <v>36129</v>
      </c>
      <c r="B18477" s="1">
        <v>1</v>
      </c>
      <c r="C18477" s="3">
        <v>44542.766759259262</v>
      </c>
      <c r="D18477" s="1" t="s">
        <v>36130</v>
      </c>
      <c r="E18477" s="4" t="str">
        <f ca="1">IFERROR(__xludf.DUMMYFUNCTION("GOOGLETRANSLATE(A1280 , ""tr"" , ""en"")"),"@drfahrettinkoca Symptoms Don't say light or something. These schools cannot be excuse to remain open. The result of the disease ... https://t.co/ibzootfidm")</f>
        <v>@drfahrettinkoca Symptoms Don't say light or something. These schools cannot be excuse to remain open. The result of the disease ... https://t.co/ibzootfidm</v>
      </c>
    </row>
    <row r="18478" spans="1:5" ht="15" customHeight="1" x14ac:dyDescent="0.25">
      <c r="A18478" s="1" t="s">
        <v>36131</v>
      </c>
      <c r="B18478" s="1">
        <v>0</v>
      </c>
      <c r="C18478" s="3">
        <v>44542.764560185184</v>
      </c>
      <c r="D18478" s="1" t="s">
        <v>36132</v>
      </c>
      <c r="E18478" s="4" t="str">
        <f ca="1">IFERROR(__xludf.DUMMYFUNCTION("GOOGLETRANSLATE(A1281 , ""tr"" , ""en"")"),"@drfahrettinkoca Complaints at the Web site in Com Dr Feriha Self Pandemia Hospital has complaints ... https://t.co/nezkezm87a")</f>
        <v>@drfahrettinkoca Complaints at the Web site in Com Dr Feriha Self Pandemia Hospital has complaints ... https://t.co/nezkezm87a</v>
      </c>
    </row>
    <row r="18479" spans="1:5" ht="15" customHeight="1" x14ac:dyDescent="0.25">
      <c r="A18479" s="1" t="s">
        <v>36133</v>
      </c>
      <c r="B18479" s="1">
        <v>0</v>
      </c>
      <c r="C18479" s="3">
        <v>44542.759745370371</v>
      </c>
      <c r="D18479" s="1" t="s">
        <v>36134</v>
      </c>
      <c r="E18479" s="4" t="str">
        <f ca="1">IFERROR(__xludf.DUMMYFUNCTION("GOOGLETRANSLATE(A1282 , ""tr"" , ""en"")"),"@drfahrettinka I wanted to know my monthly salary of the month of the month :)")</f>
        <v>@drfahrettinka I wanted to know my monthly salary of the month of the month :)</v>
      </c>
    </row>
    <row r="18480" spans="1:5" ht="15" customHeight="1" x14ac:dyDescent="0.25">
      <c r="A18480" s="1" t="s">
        <v>36135</v>
      </c>
      <c r="B18480" s="1">
        <v>1</v>
      </c>
      <c r="C18480" s="3">
        <v>44542.759016203701</v>
      </c>
      <c r="D18480" s="1" t="s">
        <v>36136</v>
      </c>
      <c r="E18480" s="4" t="str">
        <f ca="1">IFERROR(__xludf.DUMMYFUNCTION("GOOGLETRANSLATE(A1283 , ""tr"" , ""en"")"),"@drfahrettinka continue to greet with numbers https://t.co/zy04xa7fvd")</f>
        <v>@drfahrettinka continue to greet with numbers https://t.co/zy04xa7fvd</v>
      </c>
    </row>
    <row r="18481" spans="1:5" ht="15" customHeight="1" x14ac:dyDescent="0.25">
      <c r="A18481" s="1" t="s">
        <v>36137</v>
      </c>
      <c r="B18481" s="1">
        <v>0</v>
      </c>
      <c r="C18481" s="3">
        <v>44542.753703703704</v>
      </c>
      <c r="D18481" s="1" t="s">
        <v>36138</v>
      </c>
      <c r="E18481" s="4" t="str">
        <f ca="1">IFERROR(__xludf.DUMMYFUNCTION("GOOGLETRANSLATE(A1284 , ""tr"" , ""en"")"),"@drfahrettinkoca New Varion The number of cases of the number of cases of the Case of 6 dose 6 days 6 people at 6 days ... https://t.co/m221zswrr3")</f>
        <v>@drfahrettinkoca New Varion The number of cases of the number of cases of the Case of 6 dose 6 days 6 people at 6 days ... https://t.co/m221zswrr3</v>
      </c>
    </row>
    <row r="18482" spans="1:5" ht="15" customHeight="1" x14ac:dyDescent="0.25">
      <c r="A18482" s="1" t="s">
        <v>36139</v>
      </c>
      <c r="B18482" s="1">
        <v>0</v>
      </c>
      <c r="C18482" s="3">
        <v>44542.750821759262</v>
      </c>
      <c r="D18482" s="1" t="s">
        <v>36140</v>
      </c>
      <c r="E18482" s="4" t="str">
        <f ca="1">IFERROR(__xludf.DUMMYFUNCTION("GOOGLETRANSLATE(A1285 , ""tr"" , ""en"")"),"@drfahrettinkoca destroyed a statement what is this? Soring this Cerrahpaşa Medical Faculty Graduated Professor Doctor Bülent Keep ... https://t.co/wx4I7cep7s")</f>
        <v>@drfahrettinkoca destroyed a statement what is this? Soring this Cerrahpaşa Medical Faculty Graduated Professor Doctor Bülent Keep ... https://t.co/wx4I7cep7s</v>
      </c>
    </row>
    <row r="18483" spans="1:5" ht="15" customHeight="1" x14ac:dyDescent="0.25">
      <c r="A18483" s="1" t="s">
        <v>36141</v>
      </c>
      <c r="B18483" s="1">
        <v>0</v>
      </c>
      <c r="C18483" s="3">
        <v>44542.745509259257</v>
      </c>
      <c r="D18483" s="1" t="s">
        <v>36142</v>
      </c>
      <c r="E18483" s="4" t="str">
        <f ca="1">IFERROR(__xludf.DUMMYFUNCTION("GOOGLETRANSLATE(A1286 , ""tr"" , ""en"")"),"From @drfahrettinkoca to start o well knows the messages😀 https://t.co/lwtjc2f2r6")</f>
        <v>From @drfahrettinkoca to start o well knows the messages😀 https://t.co/lwtjc2f2r6</v>
      </c>
    </row>
    <row r="18484" spans="1:5" ht="15" customHeight="1" x14ac:dyDescent="0.25">
      <c r="A18484" s="1" t="s">
        <v>36143</v>
      </c>
      <c r="B18484" s="1">
        <v>0</v>
      </c>
      <c r="C18484" s="3">
        <v>44542.743321759262</v>
      </c>
      <c r="D18484" s="1" t="s">
        <v>36144</v>
      </c>
      <c r="E18484" s="4" t="str">
        <f ca="1">IFERROR(__xludf.DUMMYFUNCTION("GOOGLETRANSLATE(A1287 , ""tr"" , ""en"")"),"@drfahrettinkoca pratician synchronize doctor's salary with judge and we want physician compensation to pay state")</f>
        <v>@drfahrettinkoca pratician synchronize doctor's salary with judge and we want physician compensation to pay state</v>
      </c>
    </row>
    <row r="18485" spans="1:5" ht="15" customHeight="1" x14ac:dyDescent="0.25">
      <c r="A18485" s="1" t="s">
        <v>36145</v>
      </c>
      <c r="B18485" s="1">
        <v>0</v>
      </c>
      <c r="C18485" s="3">
        <v>44542.742222222223</v>
      </c>
      <c r="D18485" s="1" t="s">
        <v>36146</v>
      </c>
      <c r="E18485" s="4" t="str">
        <f ca="1">IFERROR(__xludf.DUMMYFUNCTION("GOOGLETRANSLATE(A1288 , ""tr"" , ""en"")"),"@drfahrettinkoca @Arparti @rterdogan @mkulTi @rterdogan @mkulunk now your enjoyment comes in your place in your place The day comes in the day ... https://t.co/GIFISLTL7I")</f>
        <v>@drfahrettinkoca @Arparti @rterdogan @mkulTi @rterdogan @mkulunk now your enjoyment comes in your place in your place The day comes in the day ... https://t.co/GIFISLTL7I</v>
      </c>
    </row>
    <row r="18486" spans="1:5" ht="15" customHeight="1" x14ac:dyDescent="0.25">
      <c r="A18486" s="1" t="s">
        <v>36147</v>
      </c>
      <c r="B18486" s="1">
        <v>0</v>
      </c>
      <c r="C18486" s="3">
        <v>44542.740601851852</v>
      </c>
      <c r="D18486" s="1" t="s">
        <v>36148</v>
      </c>
      <c r="E18486" s="4" t="str">
        <f ca="1">IFERROR(__xludf.DUMMYFUNCTION("GOOGLETRANSLATE(A1289 , ""tr"" , ""en"")"),"@drfahrettinka https://t.co/8mpyetulm4")</f>
        <v>@drfahrettinka https://t.co/8mpyetulm4</v>
      </c>
    </row>
    <row r="18487" spans="1:5" ht="15" customHeight="1" x14ac:dyDescent="0.25">
      <c r="A18487" s="1" t="s">
        <v>36149</v>
      </c>
      <c r="B18487" s="1">
        <v>0</v>
      </c>
      <c r="C18487" s="3">
        <v>44542.737638888888</v>
      </c>
      <c r="D18487" s="1" t="s">
        <v>36150</v>
      </c>
      <c r="E18487" s="4" t="str">
        <f ca="1">IFERROR(__xludf.DUMMYFUNCTION("GOOGLETRANSLATE(A1290 , ""tr"" , ""en"")"),"@drfahrettinkoca Doctor What is this? https://t.co/AINH6EXNI4")</f>
        <v>@drfahrettinkoca Doctor What is this? https://t.co/AINH6EXNI4</v>
      </c>
    </row>
    <row r="18488" spans="1:5" ht="15" customHeight="1" x14ac:dyDescent="0.25">
      <c r="A18488" s="1" t="s">
        <v>36151</v>
      </c>
      <c r="B18488" s="1">
        <v>0</v>
      </c>
      <c r="C18488" s="3">
        <v>44542.735891203702</v>
      </c>
      <c r="D18488" s="1" t="s">
        <v>36152</v>
      </c>
      <c r="E18488" s="4" t="str">
        <f ca="1">IFERROR(__xludf.DUMMYFUNCTION("GOOGLETRANSLATE(A1291 , ""tr"" , ""en"")"),"@drfahrettinka https://t.co/jzhny2e0vw")</f>
        <v>@drfahrettinka https://t.co/jzhny2e0vw</v>
      </c>
    </row>
    <row r="18489" spans="1:5" ht="15" customHeight="1" x14ac:dyDescent="0.25">
      <c r="A18489" s="1" t="s">
        <v>36153</v>
      </c>
      <c r="B18489" s="1">
        <v>0</v>
      </c>
      <c r="C18489" s="3">
        <v>44542.728194444448</v>
      </c>
      <c r="D18489" s="1" t="s">
        <v>36154</v>
      </c>
      <c r="E18489" s="4" t="str">
        <f ca="1">IFERROR(__xludf.DUMMYFUNCTION("GOOGLETRANSLATE(A1292 , ""tr"" , ""en"")"),"@drfahrettinkoca @nureddinnebati # medical haze @saghrettinmueli @tt_uder @saglikbakanligi @sagliklicozum @trbkamil https://t.co/wnm1buxoxq")</f>
        <v>@drfahrettinkoca @nureddinnebati # medical haze @saghrettinmueli @tt_uder @saglikbakanligi @sagliklicozum @trbkamil https://t.co/wnm1buxoxq</v>
      </c>
    </row>
    <row r="18490" spans="1:5" ht="15" customHeight="1" x14ac:dyDescent="0.25">
      <c r="A18490" s="1" t="s">
        <v>36155</v>
      </c>
      <c r="B18490" s="1">
        <v>11</v>
      </c>
      <c r="C18490" s="3">
        <v>44542.72388888889</v>
      </c>
      <c r="D18490" s="1" t="s">
        <v>36156</v>
      </c>
      <c r="E18490" s="4" t="str">
        <f ca="1">IFERROR(__xludf.DUMMYFUNCTION("GOOGLETRANSLATE(A1293 , ""tr"" , ""en"")"),"@drfahrettinkoca you have announced to the entire country to hike to our salaries. Please say that this hike is not done ...")</f>
        <v>@drfahrettinkoca you have announced to the entire country to hike to our salaries. Please say that this hike is not done ...</v>
      </c>
    </row>
    <row r="18491" spans="1:5" ht="15" customHeight="1" x14ac:dyDescent="0.25">
      <c r="A18491" s="1" t="s">
        <v>36157</v>
      </c>
      <c r="B18491" s="1">
        <v>0</v>
      </c>
      <c r="C18491" s="3">
        <v>44542.720578703702</v>
      </c>
      <c r="D18491" s="1" t="s">
        <v>36158</v>
      </c>
      <c r="E18491" s="4" t="str">
        <f ca="1">IFERROR(__xludf.DUMMYFUNCTION("GOOGLETRANSLATE(A1294 , ""tr"" , ""en"")"),"@drfahrettinkoca you do not have any supply shortage. But more than six hundred drug varieties are not in our country. Eczanel ... https://t.co/cw4fujwpi9")</f>
        <v>@drfahrettinkoca you do not have any supply shortage. But more than six hundred drug varieties are not in our country. Eczanel ... https://t.co/cw4fujwpi9</v>
      </c>
    </row>
    <row r="18492" spans="1:5" ht="15" customHeight="1" x14ac:dyDescent="0.25">
      <c r="A18492" s="1" t="s">
        <v>36159</v>
      </c>
      <c r="B18492" s="1">
        <v>2</v>
      </c>
      <c r="C18492" s="3">
        <v>44533.98778935185</v>
      </c>
      <c r="D18492" s="1" t="s">
        <v>36160</v>
      </c>
      <c r="E18492" s="4" t="str">
        <f ca="1">IFERROR(__xludf.DUMMYFUNCTION("GOOGLETRANSLATE(A1295 , ""tr"" , ""en"")"),"@drfahrettinkoca #the phraseAmazam Mr. Minister Self Doctor Sanan Hospital Staff Radiology Around Radiology ... https://t.co/y9lrv5mcup")</f>
        <v>@drfahrettinkoca #the phraseAmazam Mr. Minister Self Doctor Sanan Hospital Staff Radiology Around Radiology ... https://t.co/y9lrv5mcup</v>
      </c>
    </row>
    <row r="18493" spans="1:5" ht="15" customHeight="1" x14ac:dyDescent="0.25">
      <c r="A18493" s="1" t="s">
        <v>36161</v>
      </c>
      <c r="B18493" s="1">
        <v>0</v>
      </c>
      <c r="C18493" s="3">
        <v>44533.966770833336</v>
      </c>
      <c r="D18493" s="1" t="s">
        <v>36162</v>
      </c>
      <c r="E18493" s="4" t="str">
        <f ca="1">IFERROR(__xludf.DUMMYFUNCTION("GOOGLETRANSLATE(A1296 , ""tr"" , ""en"")"),"@drfahrettinkoca Tarsus State Hospital BT Results 72 Years Heart Hast ... https://t.co/je3mglxhfz")</f>
        <v>@drfahrettinkoca Tarsus State Hospital BT Results 72 Years Heart Hast ... https://t.co/je3mglxhfz</v>
      </c>
    </row>
    <row r="18494" spans="1:5" ht="15" customHeight="1" x14ac:dyDescent="0.25">
      <c r="A18494" s="1" t="s">
        <v>36163</v>
      </c>
      <c r="B18494" s="1">
        <v>0</v>
      </c>
      <c r="C18494" s="3">
        <v>44533.959664351853</v>
      </c>
      <c r="D18494" s="1" t="s">
        <v>36164</v>
      </c>
      <c r="E18494" s="4" t="str">
        <f ca="1">IFERROR(__xludf.DUMMYFUNCTION("GOOGLETRANSLATE(A1297 , ""tr"" , ""en"")"),"@drfahrettinkoca We want to get information about the subject ... https://t.co/izeza1p7ugf")</f>
        <v>@drfahrettinkoca We want to get information about the subject ... https://t.co/izeza1p7ugf</v>
      </c>
    </row>
    <row r="18495" spans="1:5" ht="15" customHeight="1" x14ac:dyDescent="0.25">
      <c r="A18495" s="1" t="s">
        <v>36165</v>
      </c>
      <c r="B18495" s="1">
        <v>1</v>
      </c>
      <c r="C18495" s="3">
        <v>44533.959409722222</v>
      </c>
      <c r="D18495" s="1" t="s">
        <v>36166</v>
      </c>
      <c r="E18495" s="4" t="str">
        <f ca="1">IFERROR(__xludf.DUMMYFUNCTION("GOOGLETRANSLATE(A1298 , ""tr"" , ""en"")"),"@drfahrettinkoca @ mehmetceyhan23 you are your generation https://t.co/pjzfn8kbwe")</f>
        <v>@drfahrettinkoca @ mehmetceyhan23 you are your generation https://t.co/pjzfn8kbwe</v>
      </c>
    </row>
    <row r="18496" spans="1:5" ht="15" customHeight="1" x14ac:dyDescent="0.25">
      <c r="A18496" s="1" t="s">
        <v>36167</v>
      </c>
      <c r="B18496" s="1">
        <v>1</v>
      </c>
      <c r="C18496" s="3">
        <v>44533.943009259259</v>
      </c>
      <c r="D18496" s="1" t="s">
        <v>36168</v>
      </c>
      <c r="E18496" s="4" t="str">
        <f ca="1">IFERROR(__xludf.DUMMYFUNCTION("GOOGLETRANSLATE(A1299 , ""tr"" , ""en"")"),"@drfahrettinkoca We want this citizen also the necessary punishment, everyone is equal to the doctor and the judge. https://t.co/cu0o3owcw1")</f>
        <v>@drfahrettinkoca We want this citizen also the necessary punishment, everyone is equal to the doctor and the judge. https://t.co/cu0o3owcw1</v>
      </c>
    </row>
    <row r="18497" spans="1:5" ht="15" customHeight="1" x14ac:dyDescent="0.25">
      <c r="A18497" s="1" t="s">
        <v>36169</v>
      </c>
      <c r="B18497" s="1">
        <v>2</v>
      </c>
      <c r="C18497" s="3">
        <v>44533.941747685189</v>
      </c>
      <c r="D18497" s="1" t="s">
        <v>36170</v>
      </c>
      <c r="E18497" s="4" t="str">
        <f ca="1">IFERROR(__xludf.DUMMYFUNCTION("GOOGLETRANSLATE(A1300 , ""tr"" , ""en"")"),"@drfahrettinkoca @emineerdogan @haluklevent @saglikbakanligi @rterdogan @ muhammedefelev1 @acunilicalali Our voice is ... https://t.co/jep0ocmmx5")</f>
        <v>@drfahrettinkoca @emineerdogan @haluklevent @saglikbakanligi @rterdogan @ muhammedefelev1 @acunilicalali Our voice is ... https://t.co/jep0ocmmx5</v>
      </c>
    </row>
    <row r="18498" spans="1:5" ht="15" customHeight="1" x14ac:dyDescent="0.25">
      <c r="A18498" s="1" t="s">
        <v>36171</v>
      </c>
      <c r="B18498" s="1">
        <v>0</v>
      </c>
      <c r="C18498" s="3">
        <v>44533.940960648149</v>
      </c>
      <c r="D18498" s="1" t="s">
        <v>36172</v>
      </c>
      <c r="E18498" s="4" t="str">
        <f ca="1">IFERROR(__xludf.DUMMYFUNCTION("GOOGLETRANSLATE(A1301 , ""tr"" , ""en"")"),"@drfahrettinkoca @saglikbakanligi #istanbulilsaglik # 112 # Healthchool HTTPS://T.CO/KGPBCSokat")</f>
        <v>@drfahrettinkoca @saglikbakanligi #istanbulilsaglik # 112 # Healthchool HTTPS://T.CO/KGPBCSokat</v>
      </c>
    </row>
    <row r="18499" spans="1:5" ht="15" customHeight="1" x14ac:dyDescent="0.25">
      <c r="A18499" s="1" t="s">
        <v>36173</v>
      </c>
      <c r="B18499" s="1">
        <v>0</v>
      </c>
      <c r="C18499" s="3">
        <v>44533.93822916667</v>
      </c>
      <c r="D18499" s="1" t="s">
        <v>36174</v>
      </c>
      <c r="E18499" s="4" t="str">
        <f ca="1">IFERROR(__xludf.DUMMYFUNCTION("GOOGLETRANSLATE(A1302 , ""tr"" , ""en"")"),"@drfahrettinka will be hard to give this account https://t.co/bgks7pmqqd")</f>
        <v>@drfahrettinka will be hard to give this account https://t.co/bgks7pmqqd</v>
      </c>
    </row>
    <row r="18500" spans="1:5" ht="15" customHeight="1" x14ac:dyDescent="0.25">
      <c r="A18500" s="1" t="s">
        <v>36175</v>
      </c>
      <c r="B18500" s="1">
        <v>0</v>
      </c>
      <c r="C18500" s="3">
        <v>44533.931493055556</v>
      </c>
      <c r="D18500" s="1" t="s">
        <v>36176</v>
      </c>
      <c r="E18500" s="4" t="str">
        <f ca="1">IFERROR(__xludf.DUMMYFUNCTION("GOOGLETRANSLATE(A1303 , ""tr"" , ""en"")"),"@drfahrettinkoca Honest Minister, says the truth .. lets not condemn! https://t.co/uj1ujnbahb")</f>
        <v>@drfahrettinkoca Honest Minister, says the truth .. lets not condemn! https://t.co/uj1ujnbahb</v>
      </c>
    </row>
    <row r="18501" spans="1:5" ht="15" customHeight="1" x14ac:dyDescent="0.25">
      <c r="A18501" s="1" t="s">
        <v>36177</v>
      </c>
      <c r="B18501" s="1">
        <v>0</v>
      </c>
      <c r="C18501" s="3">
        <v>44533.928090277775</v>
      </c>
      <c r="D18501" s="1" t="s">
        <v>36178</v>
      </c>
      <c r="E18501" s="4" t="str">
        <f ca="1">IFERROR(__xludf.DUMMYFUNCTION("GOOGLETRANSLATE(A1304 , ""tr"" , ""en"")"),"@drfahrettinkoca We are consuming our future to our future, but my guard fee from the Secretary of Kapida is the lower human ... https://t.co/copmzlvh8v")</f>
        <v>@drfahrettinkoca We are consuming our future to our future, but my guard fee from the Secretary of Kapida is the lower human ... https://t.co/copmzlvh8v</v>
      </c>
    </row>
    <row r="18502" spans="1:5" ht="15" customHeight="1" x14ac:dyDescent="0.25">
      <c r="A18502" s="1" t="s">
        <v>36179</v>
      </c>
      <c r="B18502" s="1">
        <v>1</v>
      </c>
      <c r="C18502" s="3">
        <v>44533.926087962966</v>
      </c>
      <c r="D18502" s="1" t="s">
        <v>36180</v>
      </c>
      <c r="E18502" s="4" t="str">
        <f ca="1">IFERROR(__xludf.DUMMYFUNCTION("GOOGLETRANSLATE(A1305 , ""tr"" , ""en"")"),"@drfahrettinkoca I hope you have fear of Allah. Hakk with a huge zam repugnant who has not been enemies to people ... httpszbewhw")</f>
        <v>@drfahrettinkoca I hope you have fear of Allah. Hakk with a huge zam repugnant who has not been enemies to people ... httpszbewhw</v>
      </c>
    </row>
    <row r="18503" spans="1:5" ht="15" customHeight="1" x14ac:dyDescent="0.25">
      <c r="A18503" s="1" t="s">
        <v>36181</v>
      </c>
      <c r="B18503" s="1">
        <v>2</v>
      </c>
      <c r="C18503" s="3">
        <v>44533.919641203705</v>
      </c>
      <c r="D18503" s="1" t="s">
        <v>36182</v>
      </c>
      <c r="E18503" s="4" t="str">
        <f ca="1">IFERROR(__xludf.DUMMYFUNCTION("GOOGLETRANSLATE(A1306 , ""tr"" , ""en"")"),"@drfahrettinkca you have made my foreign language learning request with this last move thanks #bendoktorum #ThiszaZazam")</f>
        <v>@drfahrettinkca you have made my foreign language learning request with this last move thanks #bendoktorum #ThiszaZazam</v>
      </c>
    </row>
    <row r="18504" spans="1:5" ht="15" customHeight="1" x14ac:dyDescent="0.25">
      <c r="A18504" s="1" t="s">
        <v>36183</v>
      </c>
      <c r="B18504" s="1">
        <v>0</v>
      </c>
      <c r="C18504" s="3">
        <v>44533.916956018518</v>
      </c>
      <c r="D18504" s="1" t="s">
        <v>36184</v>
      </c>
      <c r="E18504" s="4" t="str">
        <f ca="1">IFERROR(__xludf.DUMMYFUNCTION("GOOGLETRANSLATE(A1307 , ""tr"" , ""en"")"),"@drfahrettinkoca @hanifhuman @opdrbilgehan @pediat_surgeon @drserkanozkul @kagankan @opdrokanozdemir @opdrokanozdemir https://t.co/idcueiedzg")</f>
        <v>@drfahrettinkoca @hanifhuman @opdrbilgehan @pediat_surgeon @drserkanozkul @kagankan @opdrokanozdemir @opdrokanozdemir https://t.co/idcueiedzg</v>
      </c>
    </row>
    <row r="18505" spans="1:5" ht="15" customHeight="1" x14ac:dyDescent="0.25">
      <c r="A18505" s="1" t="s">
        <v>36185</v>
      </c>
      <c r="B18505" s="1">
        <v>0</v>
      </c>
      <c r="C18505" s="3">
        <v>44533.907337962963</v>
      </c>
      <c r="D18505" s="1" t="s">
        <v>36186</v>
      </c>
      <c r="E18505" s="4" t="str">
        <f ca="1">IFERROR(__xludf.DUMMYFUNCTION("GOOGLETRANSLATE(A1308 , ""tr"" , ""en"")"),"@drfahrettinkoca What did the doctors have never received at your leadership What was your goal of the salary hiking.")</f>
        <v>@drfahrettinkoca What did the doctors have never received at your leadership What was your goal of the salary hiking.</v>
      </c>
    </row>
    <row r="18506" spans="1:5" ht="15" customHeight="1" x14ac:dyDescent="0.25">
      <c r="A18506" s="1" t="s">
        <v>36187</v>
      </c>
      <c r="B18506" s="1">
        <v>0</v>
      </c>
      <c r="C18506" s="3">
        <v>44533.907164351855</v>
      </c>
      <c r="D18506" s="1" t="s">
        <v>36188</v>
      </c>
      <c r="E18506" s="4" t="str">
        <f ca="1">IFERROR(__xludf.DUMMYFUNCTION("GOOGLETRANSLATE(A1309 , ""tr"" , ""en"")"),"@drfahrettinkoca @saibaynect @ t_saglikis_1961 @hakiskonf @turkiskonf @ hakantoy06 @ StatsSert ... https://t.co/ez3w4lmyzy")</f>
        <v>@drfahrettinkoca @saibaynect @ t_saglikis_1961 @hakiskonf @turkiskonf @ hakantoy06 @ StatsSert ... https://t.co/ez3w4lmyzy</v>
      </c>
    </row>
    <row r="18507" spans="1:5" ht="15" customHeight="1" x14ac:dyDescent="0.25">
      <c r="A18507" s="1" t="s">
        <v>36189</v>
      </c>
      <c r="B18507" s="1">
        <v>0</v>
      </c>
      <c r="C18507" s="3">
        <v>44533.904039351852</v>
      </c>
      <c r="D18507" s="1" t="s">
        <v>36190</v>
      </c>
      <c r="E18507" s="4" t="str">
        <f ca="1">IFERROR(__xludf.DUMMYFUNCTION("GOOGLETRANSLATE(A1310 , ""tr"" , ""en"")"),"@drfahrettinka has a fate in the world, there is a fate in the country. Every person falls on your own realm who understands me. This is ... https://t.co/p59m5de3im")</f>
        <v>@drfahrettinka has a fate in the world, there is a fate in the country. Every person falls on your own realm who understands me. This is ... https://t.co/p59m5de3im</v>
      </c>
    </row>
    <row r="18508" spans="1:5" ht="15" customHeight="1" x14ac:dyDescent="0.25">
      <c r="A18508" s="1" t="s">
        <v>36191</v>
      </c>
      <c r="B18508" s="1">
        <v>4</v>
      </c>
      <c r="C18508" s="3">
        <v>44533.895937499998</v>
      </c>
      <c r="D18508" s="1" t="s">
        <v>36192</v>
      </c>
      <c r="E18508" s="4" t="str">
        <f ca="1">IFERROR(__xludf.DUMMYFUNCTION("GOOGLETRANSLATE(A1311 , ""tr"" , ""en"")"),"@drfahrettinkoca Doctors to the doctors in the public and especially in the front of the so-called teammates. Orthald ... https://t.co/hq7d2q82us")</f>
        <v>@drfahrettinkoca Doctors to the doctors in the public and especially in the front of the so-called teammates. Orthald ... https://t.co/hq7d2q82us</v>
      </c>
    </row>
    <row r="18509" spans="1:5" ht="15" customHeight="1" x14ac:dyDescent="0.25">
      <c r="A18509" s="1" t="s">
        <v>36193</v>
      </c>
      <c r="B18509" s="1">
        <v>0</v>
      </c>
      <c r="C18509" s="3">
        <v>44533.892870370371</v>
      </c>
      <c r="D18509" s="1" t="s">
        <v>36194</v>
      </c>
      <c r="E18509" s="4" t="str">
        <f ca="1">IFERROR(__xludf.DUMMYFUNCTION("GOOGLETRANSLATE(A1312 , ""tr"" , ""en"")"),"@drfahrettinkoca Come on answer. Why are we waiting for? https://t.co/w6dgzw2dwh")</f>
        <v>@drfahrettinkoca Come on answer. Why are we waiting for? https://t.co/w6dgzw2dwh</v>
      </c>
    </row>
    <row r="18510" spans="1:5" ht="15" customHeight="1" x14ac:dyDescent="0.25">
      <c r="A18510" s="1" t="s">
        <v>36195</v>
      </c>
      <c r="B18510" s="1">
        <v>0</v>
      </c>
      <c r="C18510" s="3">
        <v>44533.884560185186</v>
      </c>
      <c r="D18510" s="1" t="s">
        <v>36196</v>
      </c>
      <c r="E18510" s="4" t="str">
        <f ca="1">IFERROR(__xludf.DUMMYFUNCTION("GOOGLETRANSLATE(A1313 , ""tr"" , ""en"")"),"Where are @drfahrettinkoca scan tests? Will we go to the ill patient and improve the hospital burden? World Scan Tes ... https://t.co/czukho0p6d")</f>
        <v>Where are @drfahrettinkoca scan tests? Will we go to the ill patient and improve the hospital burden? World Scan Tes ... https://t.co/czukho0p6d</v>
      </c>
    </row>
    <row r="18511" spans="1:5" ht="15" customHeight="1" x14ac:dyDescent="0.25">
      <c r="A18511" s="1" t="s">
        <v>36197</v>
      </c>
      <c r="B18511" s="1">
        <v>0</v>
      </c>
      <c r="C18511" s="3">
        <v>44533.875844907408</v>
      </c>
      <c r="D18511" s="1" t="s">
        <v>36198</v>
      </c>
      <c r="E18511" s="4" t="str">
        <f ca="1">IFERROR(__xludf.DUMMYFUNCTION("GOOGLETRANSLATE(A1314 , ""tr"" , ""en"")"),"@drfahrettinkoca Dear Minister Do not touch TUS, please")</f>
        <v>@drfahrettinkoca Dear Minister Do not touch TUS, please</v>
      </c>
    </row>
    <row r="18512" spans="1:5" ht="15" customHeight="1" x14ac:dyDescent="0.25">
      <c r="A18512" s="1" t="s">
        <v>36199</v>
      </c>
      <c r="B18512" s="1">
        <v>0</v>
      </c>
      <c r="C18512" s="3">
        <v>44533.872731481482</v>
      </c>
      <c r="D18512" s="1" t="s">
        <v>36200</v>
      </c>
      <c r="E18512" s="4" t="str">
        <f ca="1">IFERROR(__xludf.DUMMYFUNCTION("GOOGLETRANSLATE(A1315 , ""tr"" , ""en"")"),"@drfahrettinkoca mixed again")</f>
        <v>@drfahrettinkoca mixed again</v>
      </c>
    </row>
    <row r="18513" spans="1:5" ht="15" customHeight="1" x14ac:dyDescent="0.25">
      <c r="A18513" s="1" t="s">
        <v>36201</v>
      </c>
      <c r="B18513" s="1">
        <v>0</v>
      </c>
      <c r="C18513" s="3">
        <v>44533.864560185182</v>
      </c>
      <c r="D18513" s="1" t="s">
        <v>36202</v>
      </c>
      <c r="E18513" s="4" t="str">
        <f ca="1">IFERROR(__xludf.DUMMYFUNCTION("GOOGLETRANSLATE(A1316 , ""tr"" , ""en"")"),"@drfahrettinka https://t.co/9bfkxsnyrq")</f>
        <v>@drfahrettinka https://t.co/9bfkxsnyrq</v>
      </c>
    </row>
    <row r="18514" spans="1:5" ht="15" customHeight="1" x14ac:dyDescent="0.25">
      <c r="A18514" s="1" t="s">
        <v>36203</v>
      </c>
      <c r="B18514" s="1">
        <v>0</v>
      </c>
      <c r="C18514" s="3">
        <v>44533.859085648146</v>
      </c>
      <c r="D18514" s="1" t="s">
        <v>36204</v>
      </c>
      <c r="E18514" s="4" t="str">
        <f ca="1">IFERROR(__xludf.DUMMYFUNCTION("GOOGLETRANSLATE(A1317 , ""tr"" , ""en"")"),"@drfahrettinkoca Health staff in hospitals have hike to health staff no hike to other health personnel a full fiy ... https://t.co/wn7guoigxi")</f>
        <v>@drfahrettinkoca Health staff in hospitals have hike to health staff no hike to other health personnel a full fiy ... https://t.co/wn7guoigxi</v>
      </c>
    </row>
    <row r="18515" spans="1:5" ht="15" customHeight="1" x14ac:dyDescent="0.25">
      <c r="A18515" s="1" t="s">
        <v>36205</v>
      </c>
      <c r="B18515" s="1">
        <v>0</v>
      </c>
      <c r="C18515" s="3">
        <v>44533.855752314812</v>
      </c>
      <c r="D18515" s="1" t="s">
        <v>36206</v>
      </c>
      <c r="E18515" s="4" t="str">
        <f ca="1">IFERROR(__xludf.DUMMYFUNCTION("GOOGLETRANSLATE(A1318 , ""tr"" , ""en"")"),"@drfahrettinkoca Only looking for every event only .. What do you expect to say to stop. A new rumes is better ... https://t.co/hwgu1yidbf")</f>
        <v>@drfahrettinkoca Only looking for every event only .. What do you expect to say to stop. A new rumes is better ... https://t.co/hwgu1yidbf</v>
      </c>
    </row>
    <row r="18516" spans="1:5" ht="15" customHeight="1" x14ac:dyDescent="0.25">
      <c r="A18516" s="1" t="s">
        <v>36207</v>
      </c>
      <c r="B18516" s="1">
        <v>1</v>
      </c>
      <c r="C18516" s="3">
        <v>44533.819814814815</v>
      </c>
      <c r="D18516" s="1" t="s">
        <v>36208</v>
      </c>
      <c r="E18516" s="4" t="str">
        <f ca="1">IFERROR(__xludf.DUMMYFUNCTION("GOOGLETRANSLATE(A1319 , ""tr"" , ""en"")"),"@drfahrettinka Mr. Ministry 15 days ago 15 days ago December 4 of the Babaeski State Hospital Kırklareli State Patient ... https://t.co/hhfl1zl4ta")</f>
        <v>@drfahrettinka Mr. Ministry 15 days ago 15 days ago December 4 of the Babaeski State Hospital Kırklareli State Patient ... https://t.co/hhfl1zl4ta</v>
      </c>
    </row>
    <row r="18517" spans="1:5" ht="15" customHeight="1" x14ac:dyDescent="0.25">
      <c r="A18517" s="1" t="s">
        <v>36209</v>
      </c>
      <c r="B18517" s="1">
        <v>0</v>
      </c>
      <c r="C18517" s="3">
        <v>44533.818912037037</v>
      </c>
      <c r="D18517" s="1" t="s">
        <v>36210</v>
      </c>
      <c r="E18517" s="4" t="str">
        <f ca="1">IFERROR(__xludf.DUMMYFUNCTION("GOOGLETRANSLATE(A1320 , ""tr"" , ""en"")"),"@drfahrettinkoca @opdrbilgehan @ProfSfindic https://t.co/getmt2vvii")</f>
        <v>@drfahrettinkoca @opdrbilgehan @ProfSfindic https://t.co/getmt2vvii</v>
      </c>
    </row>
    <row r="18518" spans="1:5" ht="15" customHeight="1" x14ac:dyDescent="0.25">
      <c r="A18518" s="1" t="s">
        <v>36211</v>
      </c>
      <c r="B18518" s="1">
        <v>0</v>
      </c>
      <c r="C18518" s="3">
        <v>44533.801400462966</v>
      </c>
      <c r="D18518" s="1" t="s">
        <v>36212</v>
      </c>
      <c r="E18518" s="4" t="str">
        <f ca="1">IFERROR(__xludf.DUMMYFUNCTION("GOOGLETRANSLATE(A1321 , ""tr"" , ""en"")"),"@drfahrettinkoca @gergerliogluof @Yilmaztunc Justice we want")</f>
        <v>@drfahrettinkoca @gergerliogluof @Yilmaztunc Justice we want</v>
      </c>
    </row>
    <row r="18519" spans="1:5" ht="15" customHeight="1" x14ac:dyDescent="0.25">
      <c r="A18519" s="1" t="s">
        <v>36213</v>
      </c>
      <c r="B18519" s="1">
        <v>3</v>
      </c>
      <c r="C18519" s="3">
        <v>44533.800335648149</v>
      </c>
      <c r="D18519" s="1" t="s">
        <v>36214</v>
      </c>
      <c r="E18519" s="4" t="str">
        <f ca="1">IFERROR(__xludf.DUMMYFUNCTION("GOOGLETRANSLATE(A1322 , ""tr"" , ""en"")"),"@drfahrettinkoca Bari Present DR LARI Do not miss new generation smarter. https://t.co/z5jwcecofy")</f>
        <v>@drfahrettinkoca Bari Present DR LARI Do not miss new generation smarter. https://t.co/z5jwcecofy</v>
      </c>
    </row>
    <row r="18520" spans="1:5" ht="15" customHeight="1" x14ac:dyDescent="0.25">
      <c r="A18520" s="1" t="s">
        <v>36215</v>
      </c>
      <c r="B18520" s="1">
        <v>0</v>
      </c>
      <c r="C18520" s="3">
        <v>44533.79996527778</v>
      </c>
      <c r="D18520" s="1" t="s">
        <v>36216</v>
      </c>
      <c r="E18520" s="4" t="str">
        <f ca="1">IFERROR(__xludf.DUMMYFUNCTION("GOOGLETRANSLATE(A1323 , ""tr"" , ""en"")"),"@drfahrettinkoca hi Mun Mun Aleykum My Coworker's lady's lady's lady caught horn Gebze Farabi State Hospital ... https://t.co/r6v0ijfnas")</f>
        <v>@drfahrettinkoca hi Mun Mun Aleykum My Coworker's lady's lady's lady caught horn Gebze Farabi State Hospital ... https://t.co/r6v0ijfnas</v>
      </c>
    </row>
    <row r="18521" spans="1:5" ht="15" customHeight="1" x14ac:dyDescent="0.25">
      <c r="A18521" s="1" t="s">
        <v>36217</v>
      </c>
      <c r="B18521" s="1">
        <v>1</v>
      </c>
      <c r="C18521" s="3">
        <v>44533.797719907408</v>
      </c>
      <c r="D18521" s="1" t="s">
        <v>36218</v>
      </c>
      <c r="E18521" s="4" t="str">
        <f ca="1">IFERROR(__xludf.DUMMYFUNCTION("GOOGLETRANSLATE(A1324 , ""tr"" , ""en"")"),"Where to @drfahrettinkoca where? https://t.co/jye54bc1In")</f>
        <v>Where to @drfahrettinkoca where? https://t.co/jye54bc1In</v>
      </c>
    </row>
    <row r="18522" spans="1:5" ht="15" customHeight="1" x14ac:dyDescent="0.25">
      <c r="A18522" s="1" t="s">
        <v>36219</v>
      </c>
      <c r="B18522" s="1">
        <v>0</v>
      </c>
      <c r="C18522" s="3">
        <v>44533.797152777777</v>
      </c>
      <c r="D18522" s="1" t="s">
        <v>36220</v>
      </c>
      <c r="E18522" s="4" t="str">
        <f ca="1">IFERROR(__xludf.DUMMYFUNCTION("GOOGLETRANSLATE(A1325 , ""tr"" , ""en"")"),"@drfahrettinka https://t.co/zbq2dhflcr")</f>
        <v>@drfahrettinka https://t.co/zbq2dhflcr</v>
      </c>
    </row>
    <row r="18523" spans="1:5" ht="15" customHeight="1" x14ac:dyDescent="0.25">
      <c r="A18523" s="1" t="s">
        <v>36221</v>
      </c>
      <c r="B18523" s="1">
        <v>0</v>
      </c>
      <c r="C18523" s="3">
        <v>44533.791493055556</v>
      </c>
      <c r="D18523" s="1" t="s">
        <v>36222</v>
      </c>
      <c r="E18523" s="4" t="str">
        <f ca="1">IFERROR(__xludf.DUMMYFUNCTION("GOOGLETRANSLATE(A1326 , ""tr"" , ""en"")"),"@drfahrettinka https://t.co/bn1gzwfjjx")</f>
        <v>@drfahrettinka https://t.co/bn1gzwfjjx</v>
      </c>
    </row>
    <row r="18524" spans="1:5" ht="15" customHeight="1" x14ac:dyDescent="0.25">
      <c r="A18524" s="1" t="s">
        <v>36223</v>
      </c>
      <c r="B18524" s="1">
        <v>0</v>
      </c>
      <c r="C18524" s="3">
        <v>44533.775300925925</v>
      </c>
      <c r="D18524" s="1" t="s">
        <v>36224</v>
      </c>
      <c r="E18524" s="4" t="str">
        <f ca="1">IFERROR(__xludf.DUMMYFUNCTION("GOOGLETRANSLATE(A1327 , ""tr"" , ""en"")"),"@drfahrettinka https://t.co/7xujjec4xv")</f>
        <v>@drfahrettinka https://t.co/7xujjec4xv</v>
      </c>
    </row>
    <row r="18525" spans="1:5" ht="15" customHeight="1" x14ac:dyDescent="0.25">
      <c r="A18525" s="1" t="s">
        <v>36225</v>
      </c>
      <c r="B18525" s="1">
        <v>0</v>
      </c>
      <c r="C18525" s="3">
        <v>44533.772766203707</v>
      </c>
      <c r="D18525" s="1" t="s">
        <v>36226</v>
      </c>
      <c r="E18525" s="4" t="str">
        <f ca="1">IFERROR(__xludf.DUMMYFUNCTION("GOOGLETRANSLATE(A1328 , ""tr"" , ""en"")"),"@drfahrettinkoca where the healthpieces on the field are so tired we want to be fresh blood to the pitch but with your block ... https://t.co/I0jk4xxbuw")</f>
        <v>@drfahrettinkoca where the healthpieces on the field are so tired we want to be fresh blood to the pitch but with your block ... https://t.co/I0jk4xxbuw</v>
      </c>
    </row>
    <row r="18526" spans="1:5" ht="15" customHeight="1" x14ac:dyDescent="0.25">
      <c r="A18526" s="1" t="s">
        <v>36227</v>
      </c>
      <c r="B18526" s="1">
        <v>0</v>
      </c>
      <c r="C18526" s="3">
        <v>44533.772766203707</v>
      </c>
      <c r="D18526" s="1" t="s">
        <v>36228</v>
      </c>
      <c r="E18526" s="4" t="str">
        <f ca="1">IFERROR(__xludf.DUMMYFUNCTION("GOOGLETRANSLATE(A1329 , ""tr"" , ""en"")"),"@drfahrettinkoca where the park on the field is so tired we want to be fresh blood to the pitch but your block ... https://t.co/3wshk1kdbz")</f>
        <v>@drfahrettinkoca where the park on the field is so tired we want to be fresh blood to the pitch but your block ... https://t.co/3wshk1kdbz</v>
      </c>
    </row>
    <row r="18527" spans="1:5" ht="15" customHeight="1" x14ac:dyDescent="0.25">
      <c r="A18527" s="1" t="s">
        <v>36229</v>
      </c>
      <c r="B18527" s="1">
        <v>0</v>
      </c>
      <c r="C18527" s="3">
        <v>44533.77275462963</v>
      </c>
      <c r="D18527" s="1" t="s">
        <v>36230</v>
      </c>
      <c r="E18527" s="4" t="str">
        <f ca="1">IFERROR(__xludf.DUMMYFUNCTION("GOOGLETRANSLATE(A1330 , ""tr"" , ""en"")"),"@drfahrettinkoca When the healthcarehouses on the field is so tired we want to be fresh blood to the pitch but with your block ... https://t.co/MPIJ2Kbzov")</f>
        <v>@drfahrettinkoca When the healthcarehouses on the field is so tired we want to be fresh blood to the pitch but with your block ... https://t.co/MPIJ2Kbzov</v>
      </c>
    </row>
    <row r="18528" spans="1:5" ht="15" customHeight="1" x14ac:dyDescent="0.25">
      <c r="A18528" s="1" t="s">
        <v>36231</v>
      </c>
      <c r="B18528" s="1">
        <v>0</v>
      </c>
      <c r="C18528" s="3">
        <v>44533.77275462963</v>
      </c>
      <c r="D18528" s="1" t="s">
        <v>36232</v>
      </c>
      <c r="E18528" s="4" t="str">
        <f ca="1">IFERROR(__xludf.DUMMYFUNCTION("GOOGLETRANSLATE(A1331 , ""tr"" , ""en"")"),"@drfahrettinkoca where the healthpieces on the field are so tired we want to be fresh blood to the pitch but inhibit your https://t.co/ldwmmwhbfr")</f>
        <v>@drfahrettinkoca where the healthpieces on the field are so tired we want to be fresh blood to the pitch but inhibit your https://t.co/ldwmmwhbfr</v>
      </c>
    </row>
    <row r="18529" spans="1:5" ht="15" customHeight="1" x14ac:dyDescent="0.25">
      <c r="A18529" s="1" t="s">
        <v>36233</v>
      </c>
      <c r="B18529" s="1">
        <v>0</v>
      </c>
      <c r="C18529" s="3">
        <v>44533.77275462963</v>
      </c>
      <c r="D18529" s="1" t="s">
        <v>36234</v>
      </c>
      <c r="E18529" s="4" t="str">
        <f ca="1">IFERROR(__xludf.DUMMYFUNCTION("GOOGLETRANSLATE(A1332 , ""tr"" , ""en"")"),"@drfahrettinkoca where the healthpieces in the field are so tired we want to be fresh blood to the pitch but inhibit your https://t.co/hxwenofkcc")</f>
        <v>@drfahrettinkoca where the healthpieces in the field are so tired we want to be fresh blood to the pitch but inhibit your https://t.co/hxwenofkcc</v>
      </c>
    </row>
    <row r="18530" spans="1:5" ht="15" customHeight="1" x14ac:dyDescent="0.25">
      <c r="A18530" s="1" t="s">
        <v>36235</v>
      </c>
      <c r="B18530" s="1">
        <v>0</v>
      </c>
      <c r="C18530" s="3">
        <v>44533.772743055553</v>
      </c>
      <c r="D18530" s="1" t="s">
        <v>36236</v>
      </c>
      <c r="E18530" s="4" t="str">
        <f ca="1">IFERROR(__xludf.DUMMYFUNCTION("GOOGLETRANSLATE(A1333 , ""tr"" , ""en"")"),"@drfahrettinkoca where healthcarehops in the field are so tired we want to be fresh blood to the pitch but your block ... https://t.co/75x9ackgh9")</f>
        <v>@drfahrettinkoca where healthcarehops in the field are so tired we want to be fresh blood to the pitch but your block ... https://t.co/75x9ackgh9</v>
      </c>
    </row>
    <row r="18531" spans="1:5" ht="15" customHeight="1" x14ac:dyDescent="0.25">
      <c r="A18531" s="1" t="s">
        <v>36237</v>
      </c>
      <c r="B18531" s="1">
        <v>0</v>
      </c>
      <c r="C18531" s="3">
        <v>44533.772743055553</v>
      </c>
      <c r="D18531" s="1" t="s">
        <v>36238</v>
      </c>
      <c r="E18531" s="4" t="str">
        <f ca="1">IFERROR(__xludf.DUMMYFUNCTION("GOOGLETRANSLATE(A1334 , ""tr"" , ""en"")"),"@drfahrettinkoca where the healthpieces on the field are so tired we want to be fresh blood to the pitch but with your block ... https://t.co/oow4g4legt")</f>
        <v>@drfahrettinkoca where the healthpieces on the field are so tired we want to be fresh blood to the pitch but with your block ... https://t.co/oow4g4legt</v>
      </c>
    </row>
    <row r="18532" spans="1:5" ht="15" customHeight="1" x14ac:dyDescent="0.25">
      <c r="A18532" s="1" t="s">
        <v>36239</v>
      </c>
      <c r="B18532" s="1">
        <v>0</v>
      </c>
      <c r="C18532" s="3">
        <v>44533.772743055553</v>
      </c>
      <c r="D18532" s="1" t="s">
        <v>36240</v>
      </c>
      <c r="E18532" s="4" t="str">
        <f ca="1">IFERROR(__xludf.DUMMYFUNCTION("GOOGLETRANSLATE(A1335 , ""tr"" , ""en"")"),"@drfahrettinkoca where the healthpieces on the field are so tired we want to be fresh blood to the pitch but with your block ... https://t.co/cozi3trv0j")</f>
        <v>@drfahrettinkoca where the healthpieces on the field are so tired we want to be fresh blood to the pitch but with your block ... https://t.co/cozi3trv0j</v>
      </c>
    </row>
    <row r="18533" spans="1:5" ht="15" customHeight="1" x14ac:dyDescent="0.25">
      <c r="A18533" s="1" t="s">
        <v>36241</v>
      </c>
      <c r="B18533" s="1">
        <v>0</v>
      </c>
      <c r="C18533" s="3">
        <v>44533.772731481484</v>
      </c>
      <c r="D18533" s="1" t="s">
        <v>36242</v>
      </c>
      <c r="E18533" s="4" t="str">
        <f ca="1">IFERROR(__xludf.DUMMYFUNCTION("GOOGLETRANSLATE(A1336 , ""tr"" , ""en"")"),"@drfahrettinkoca When the healthcarehouses on the field is so tired we want to be fresh blood to the pitch but inhibit you ... https://t.co/zzpg3Tmbaz")</f>
        <v>@drfahrettinkoca When the healthcarehouses on the field is so tired we want to be fresh blood to the pitch but inhibit you ... https://t.co/zzpg3Tmbaz</v>
      </c>
    </row>
    <row r="18534" spans="1:5" ht="15" customHeight="1" x14ac:dyDescent="0.25">
      <c r="A18534" s="1" t="s">
        <v>36243</v>
      </c>
      <c r="B18534" s="1">
        <v>0</v>
      </c>
      <c r="C18534" s="3">
        <v>44533.772731481484</v>
      </c>
      <c r="D18534" s="1" t="s">
        <v>36244</v>
      </c>
      <c r="E18534" s="4" t="str">
        <f ca="1">IFERROR(__xludf.DUMMYFUNCTION("GOOGLETRANSLATE(A1337 , ""tr"" , ""en"")"),"@drfahrettinkoca where the healthpieces on the field are so tired we want to be fresh blood to the pitch but your block ... https://t.co/0xe8mhwoex")</f>
        <v>@drfahrettinkoca where the healthpieces on the field are so tired we want to be fresh blood to the pitch but your block ... https://t.co/0xe8mhwoex</v>
      </c>
    </row>
    <row r="18535" spans="1:5" ht="15" customHeight="1" x14ac:dyDescent="0.25">
      <c r="A18535" s="1" t="s">
        <v>36245</v>
      </c>
      <c r="B18535" s="1">
        <v>0</v>
      </c>
      <c r="C18535" s="3">
        <v>44533.772731481484</v>
      </c>
      <c r="D18535" s="1" t="s">
        <v>36246</v>
      </c>
      <c r="E18535" s="4" t="str">
        <f ca="1">IFERROR(__xludf.DUMMYFUNCTION("GOOGLETRANSLATE(A1338 , ""tr"" , ""en"")"),"@drfahrettinkoca Field Healthiers are so tired when we want to be fresh blood to the pitch but your block ... https://t.co/2p56rr1opp")</f>
        <v>@drfahrettinkoca Field Healthiers are so tired when we want to be fresh blood to the pitch but your block ... https://t.co/2p56rr1opp</v>
      </c>
    </row>
    <row r="18536" spans="1:5" ht="15" customHeight="1" x14ac:dyDescent="0.25">
      <c r="A18536" s="1" t="s">
        <v>36247</v>
      </c>
      <c r="B18536" s="1">
        <v>0</v>
      </c>
      <c r="C18536" s="3">
        <v>44533.770740740743</v>
      </c>
      <c r="D18536" s="1" t="s">
        <v>36248</v>
      </c>
      <c r="E18536" s="4" t="str">
        <f ca="1">IFERROR(__xludf.DUMMYFUNCTION("GOOGLETRANSLATE(A1339 , ""tr"" , ""en"")"),"@drfahrettinkoca Fahrettin BI is the last bi hours you haven't gave information about our salaries Nevertheless Bi Ali ... https://t.co/wkbfy565vx")</f>
        <v>@drfahrettinkoca Fahrettin BI is the last bi hours you haven't gave information about our salaries Nevertheless Bi Ali ... https://t.co/wkbfy565vx</v>
      </c>
    </row>
    <row r="18537" spans="1:5" ht="15" customHeight="1" x14ac:dyDescent="0.25">
      <c r="A18537" s="1" t="s">
        <v>36249</v>
      </c>
      <c r="B18537" s="1">
        <v>0</v>
      </c>
      <c r="C18537" s="3">
        <v>44533.767326388886</v>
      </c>
      <c r="D18537" s="1" t="s">
        <v>36250</v>
      </c>
      <c r="E18537" s="4" t="str">
        <f ca="1">IFERROR(__xludf.DUMMYFUNCTION("GOOGLETRANSLATE(A1340 , ""tr"" , ""en"")"),"@drfahrettinkoca @rterdogan @erolozvar Istanbul Üni PhD student Stayed 4-5 weeks until the period is finished online ... https://t.co/1Ivgkdaeub")</f>
        <v>@drfahrettinkoca @rterdogan @erolozvar Istanbul Üni PhD student Stayed 4-5 weeks until the period is finished online ... https://t.co/1Ivgkdaeub</v>
      </c>
    </row>
    <row r="18538" spans="1:5" ht="15" customHeight="1" x14ac:dyDescent="0.25">
      <c r="A18538" s="1" t="s">
        <v>36251</v>
      </c>
      <c r="B18538" s="1">
        <v>0</v>
      </c>
      <c r="C18538" s="3">
        <v>44533.76489583333</v>
      </c>
      <c r="D18538" s="1" t="s">
        <v>36252</v>
      </c>
      <c r="E18538" s="4" t="str">
        <f ca="1">IFERROR(__xludf.DUMMYFUNCTION("GOOGLETRANSLATE(A1341 , ""tr"" , ""en"")"),"@drfahrettinkoca @gozdekirisciogl @halis_aygun @rterdogan # rtesghillaviller in https://t.co/t6pll5i2nr")</f>
        <v>@drfahrettinkoca @gozdekirisciogl @halis_aygun @rterdogan # rtesghillaviller in https://t.co/t6pll5i2nr</v>
      </c>
    </row>
    <row r="18539" spans="1:5" ht="15" customHeight="1" x14ac:dyDescent="0.25">
      <c r="A18539" s="1" t="s">
        <v>36253</v>
      </c>
      <c r="B18539" s="1">
        <v>0</v>
      </c>
      <c r="C18539" s="3">
        <v>44533.760358796295</v>
      </c>
      <c r="D18539" s="1" t="s">
        <v>36254</v>
      </c>
      <c r="E18539" s="4" t="str">
        <f ca="1">IFERROR(__xludf.DUMMYFUNCTION("GOOGLETRANSLATE(A1342 , ""tr"" , ""en"")"),"@drfahrettinkoca is a hike to the judge's paycheck when he was raised in order to hike, he is made to the physician salary ... https://t.co/4gkifyshwv")</f>
        <v>@drfahrettinkoca is a hike to the judge's paycheck when he was raised in order to hike, he is made to the physician salary ... https://t.co/4gkifyshwv</v>
      </c>
    </row>
    <row r="18540" spans="1:5" ht="15" customHeight="1" x14ac:dyDescent="0.25">
      <c r="A18540" s="1" t="s">
        <v>36255</v>
      </c>
      <c r="B18540" s="1">
        <v>0</v>
      </c>
      <c r="C18540" s="3">
        <v>44533.760231481479</v>
      </c>
      <c r="D18540" s="1" t="s">
        <v>36256</v>
      </c>
      <c r="E18540" s="4" t="str">
        <f ca="1">IFERROR(__xludf.DUMMYFUNCTION("GOOGLETRANSLATE(A1343 , ""tr"" , ""en"")"),"@drfahrettinka Mr. Ministry of Covit Permission Inmate Um.izler 2ay Uzdame.Ya then on 31 January.Covitten Güldal Akşit and ... https://t.co/wxmjo2zeue")</f>
        <v>@drfahrettinka Mr. Ministry of Covit Permission Inmate Um.izler 2ay Uzdame.Ya then on 31 January.Covitten Güldal Akşit and ... https://t.co/wxmjo2zeue</v>
      </c>
    </row>
    <row r="18541" spans="1:5" ht="15" customHeight="1" x14ac:dyDescent="0.25">
      <c r="A18541" s="1" t="s">
        <v>36257</v>
      </c>
      <c r="B18541" s="1">
        <v>4</v>
      </c>
      <c r="C18541" s="3">
        <v>44533.760034722225</v>
      </c>
      <c r="D18541" s="1" t="s">
        <v>36258</v>
      </c>
      <c r="E18541" s="4" t="str">
        <f ca="1">IFERROR(__xludf.DUMMYFUNCTION("GOOGLETRANSLATE(A1344 , ""tr"" , ""en"")"),"@drfahrettinkoca eeeee # fcking")</f>
        <v>@drfahrettinkoca eeeee # fcking</v>
      </c>
    </row>
    <row r="18542" spans="1:5" ht="15" customHeight="1" x14ac:dyDescent="0.25">
      <c r="A18542" s="1" t="s">
        <v>36259</v>
      </c>
      <c r="B18542" s="1">
        <v>0</v>
      </c>
      <c r="C18542" s="3">
        <v>44533.758819444447</v>
      </c>
      <c r="D18542" s="1" t="s">
        <v>36260</v>
      </c>
      <c r="E18542" s="4" t="str">
        <f ca="1">IFERROR(__xludf.DUMMYFUNCTION("GOOGLETRANSLATE(A1345 , ""tr"" , ""en"")"),"@drfahrettinkoca @rterdogan @saglikbakanligi https://t.co/cg9sks4igt")</f>
        <v>@drfahrettinkoca @rterdogan @saglikbakanligi https://t.co/cg9sks4igt</v>
      </c>
    </row>
    <row r="18543" spans="1:5" ht="15" customHeight="1" x14ac:dyDescent="0.25">
      <c r="A18543" s="1" t="s">
        <v>36261</v>
      </c>
      <c r="B18543" s="1">
        <v>1</v>
      </c>
      <c r="C18543" s="3">
        <v>44533.752685185187</v>
      </c>
      <c r="D18543" s="1" t="s">
        <v>36262</v>
      </c>
      <c r="E18543" s="4" t="str">
        <f ca="1">IFERROR(__xludf.DUMMYFUNCTION("GOOGLETRANSLATE(A1346 , ""tr"" , ""en"")"),"@drfahrettinka https://t.co/bawpcırath")</f>
        <v>@drfahrettinka https://t.co/bawpcırath</v>
      </c>
    </row>
    <row r="18544" spans="1:5" ht="15" customHeight="1" x14ac:dyDescent="0.25">
      <c r="A18544" s="1" t="s">
        <v>36263</v>
      </c>
      <c r="B18544" s="1">
        <v>0</v>
      </c>
      <c r="C18544" s="3">
        <v>44533.751550925925</v>
      </c>
      <c r="D18544" s="1" t="s">
        <v>36264</v>
      </c>
      <c r="E18544" s="4" t="str">
        <f ca="1">IFERROR(__xludf.DUMMYFUNCTION("GOOGLETRANSLATE(A1347 , ""tr"" , ""en"")"),"@drfahrettinka Call the Ministry of Voice and I say that you are interested in real diseases. #Hemofilisesiol")</f>
        <v>@drfahrettinka Call the Ministry of Voice and I say that you are interested in real diseases. #Hemofilisesiol</v>
      </c>
    </row>
    <row r="18545" spans="1:5" ht="15" customHeight="1" x14ac:dyDescent="0.25">
      <c r="A18545" s="1" t="s">
        <v>36265</v>
      </c>
      <c r="B18545" s="1">
        <v>0</v>
      </c>
      <c r="C18545" s="3">
        <v>44533.750810185185</v>
      </c>
      <c r="D18545" s="1" t="s">
        <v>36266</v>
      </c>
      <c r="E18545" s="4" t="str">
        <f ca="1">IFERROR(__xludf.DUMMYFUNCTION("GOOGLETRANSLATE(A1348 , ""tr"" , ""en"")"),"Will @drfahrettinkoca Ministry of Disabled Health Staff Assignment to be held?")</f>
        <v>Will @drfahrettinkoca Ministry of Disabled Health Staff Assignment to be held?</v>
      </c>
    </row>
    <row r="18546" spans="1:5" ht="15" customHeight="1" x14ac:dyDescent="0.25">
      <c r="A18546" s="1" t="s">
        <v>36267</v>
      </c>
      <c r="B18546" s="1">
        <v>3</v>
      </c>
      <c r="C18546" s="3">
        <v>44533.748333333337</v>
      </c>
      <c r="D18546" s="1" t="s">
        <v>36268</v>
      </c>
      <c r="E18546" s="4" t="str">
        <f ca="1">IFERROR(__xludf.DUMMYFUNCTION("GOOGLETRANSLATE(A1349 , ""tr"" , ""en"")"),"@drfahrettinkoca # fcking")</f>
        <v>@drfahrettinkoca # fcking</v>
      </c>
    </row>
    <row r="18547" spans="1:5" ht="15" customHeight="1" x14ac:dyDescent="0.25">
      <c r="A18547" s="1" t="s">
        <v>36269</v>
      </c>
      <c r="B18547" s="1">
        <v>0</v>
      </c>
      <c r="C18547" s="3">
        <v>44533.746678240743</v>
      </c>
      <c r="D18547" s="1" t="s">
        <v>36270</v>
      </c>
      <c r="E18547" s="4" t="str">
        <f ca="1">IFERROR(__xludf.DUMMYFUNCTION("GOOGLETRANSLATE(A1350 , ""tr"" , ""en"")"),"@drfahrettinkoca @rterdogan @rterdogan @saglikbakanligi https://t.co/fsrzeemvnu")</f>
        <v>@drfahrettinkoca @rterdogan @rterdogan @saglikbakanligi https://t.co/fsrzeemvnu</v>
      </c>
    </row>
    <row r="18548" spans="1:5" ht="15" customHeight="1" x14ac:dyDescent="0.25">
      <c r="A18548" s="1" t="s">
        <v>36271</v>
      </c>
      <c r="B18548" s="1">
        <v>1</v>
      </c>
      <c r="C18548" s="3">
        <v>44533.746608796297</v>
      </c>
      <c r="D18548" s="1" t="s">
        <v>36272</v>
      </c>
      <c r="E18548" s="4" t="str">
        <f ca="1">IFERROR(__xludf.DUMMYFUNCTION("GOOGLETRANSLATE(A1351 , ""tr"" , ""en"")"),"@drfahrettinkoca We are now tired ... # Fkoguze")</f>
        <v>@drfahrettinkoca We are now tired ... # Fkoguze</v>
      </c>
    </row>
    <row r="18549" spans="1:5" ht="15" customHeight="1" x14ac:dyDescent="0.25">
      <c r="A18549" s="1" t="s">
        <v>36273</v>
      </c>
      <c r="B18549" s="1">
        <v>0</v>
      </c>
      <c r="C18549" s="3">
        <v>44533.744629629633</v>
      </c>
      <c r="D18549" s="1" t="s">
        <v>36274</v>
      </c>
      <c r="E18549" s="4" t="str">
        <f ca="1">IFERROR(__xludf.DUMMYFUNCTION("GOOGLETRANSLATE(A1352 , ""tr"" , ""en"")"),"@drfahrettinkoca hike job Noldu Hani 2.500 5,000tl Zam Aliyoduk. https://t.co/l4utafgnss")</f>
        <v>@drfahrettinkoca hike job Noldu Hani 2.500 5,000tl Zam Aliyoduk. https://t.co/l4utafgnss</v>
      </c>
    </row>
    <row r="18550" spans="1:5" ht="15" customHeight="1" x14ac:dyDescent="0.25">
      <c r="A18550" s="1" t="s">
        <v>36275</v>
      </c>
      <c r="B18550" s="1">
        <v>0</v>
      </c>
      <c r="C18550" s="3">
        <v>44533.744201388887</v>
      </c>
      <c r="D18550" s="1" t="s">
        <v>36276</v>
      </c>
      <c r="E18550" s="4" t="str">
        <f ca="1">IFERROR(__xludf.DUMMYFUNCTION("GOOGLETRANSLATE(A1353 , ""tr"" , ""en"")"),"@drfahrettinkoca Mr. Overlooking you watched in front of CB, watching the #birazonurbirazgurur")</f>
        <v>@drfahrettinkoca Mr. Overlooking you watched in front of CB, watching the #birazonurbirazgurur</v>
      </c>
    </row>
    <row r="18551" spans="1:5" ht="15" customHeight="1" x14ac:dyDescent="0.25">
      <c r="A18551" s="1" t="s">
        <v>36277</v>
      </c>
      <c r="B18551" s="1">
        <v>0</v>
      </c>
      <c r="C18551" s="3">
        <v>44533.743576388886</v>
      </c>
      <c r="D18551" s="1" t="s">
        <v>36278</v>
      </c>
      <c r="E18551" s="4" t="str">
        <f ca="1">IFERROR(__xludf.DUMMYFUNCTION("GOOGLETRANSLATE(A1354 , ""tr"" , ""en"")"),"@drfahrettinkoca @rterdogan @saglikbakanligi https://t.co/pcvwrv5fy5")</f>
        <v>@drfahrettinkoca @rterdogan @saglikbakanligi https://t.co/pcvwrv5fy5</v>
      </c>
    </row>
    <row r="18552" spans="1:5" ht="15" customHeight="1" x14ac:dyDescent="0.25">
      <c r="A18552" s="1" t="s">
        <v>36279</v>
      </c>
      <c r="B18552" s="1">
        <v>2</v>
      </c>
      <c r="C18552" s="3">
        <v>44533.741319444445</v>
      </c>
      <c r="D18552" s="1" t="s">
        <v>36280</v>
      </c>
      <c r="E18552" s="4" t="str">
        <f ca="1">IFERROR(__xludf.DUMMYFUNCTION("GOOGLETRANSLATE(A1355 , ""tr"" , ""en"")"),"@drfahrettinkoca # we're not a torbadafiyasko")</f>
        <v>@drfahrettinkoca # we're not a torbadafiyasko</v>
      </c>
    </row>
    <row r="18553" spans="1:5" ht="15" customHeight="1" x14ac:dyDescent="0.25">
      <c r="A18553" s="1" t="s">
        <v>36281</v>
      </c>
      <c r="B18553" s="1">
        <v>0</v>
      </c>
      <c r="C18553" s="3">
        <v>44533.740601851852</v>
      </c>
      <c r="D18553" s="1" t="s">
        <v>36282</v>
      </c>
      <c r="E18553" s="4" t="str">
        <f ca="1">IFERROR(__xludf.DUMMYFUNCTION("GOOGLETRANSLATE(A1356 , ""tr"" , ""en"")"),"@drfahrettinkoca @rterdogan @saglikbakanligi https://t.co/mct1o4so8d")</f>
        <v>@drfahrettinkoca @rterdogan @saglikbakanligi https://t.co/mct1o4so8d</v>
      </c>
    </row>
    <row r="18554" spans="1:5" ht="15" customHeight="1" x14ac:dyDescent="0.25">
      <c r="A18554" s="1" t="s">
        <v>36283</v>
      </c>
      <c r="B18554" s="1">
        <v>4</v>
      </c>
      <c r="C18554" s="3">
        <v>44533.735486111109</v>
      </c>
      <c r="D18554" s="1" t="s">
        <v>36284</v>
      </c>
      <c r="E18554" s="4" t="str">
        <f ca="1">IFERROR(__xludf.DUMMYFUNCTION("GOOGLETRANSLATE(A1357 , ""tr"" , ""en"")"),"@drfahrettinkoca @halis_aygun We have also entered the guide where? Bari Specify a Day To Waiting For A Diddled ... https://t.co/ehmqyekpui")</f>
        <v>@drfahrettinkoca @halis_aygun We have also entered the guide where? Bari Specify a Day To Waiting For A Diddled ... https://t.co/ehmqyekpui</v>
      </c>
    </row>
    <row r="18555" spans="1:5" ht="15" customHeight="1" x14ac:dyDescent="0.25">
      <c r="A18555" s="1" t="s">
        <v>36285</v>
      </c>
      <c r="B18555" s="1">
        <v>0</v>
      </c>
      <c r="C18555" s="3">
        <v>44533.735462962963</v>
      </c>
      <c r="D18555" s="1" t="s">
        <v>36286</v>
      </c>
      <c r="E18555" s="4" t="str">
        <f ca="1">IFERROR(__xludf.DUMMYFUNCTION("GOOGLETRANSLATE(A1358 , ""tr"" , ""en"")"),"@drfahrettinkoca How will you give this much Vebalin account! You and your so-called treatments a month ago my father ... https://t.co/avyut7hg0r")</f>
        <v>@drfahrettinkoca How will you give this much Vebalin account! You and your so-called treatments a month ago my father ... https://t.co/avyut7hg0r</v>
      </c>
    </row>
    <row r="18556" spans="1:5" ht="15" customHeight="1" x14ac:dyDescent="0.25">
      <c r="A18556" s="1" t="s">
        <v>36287</v>
      </c>
      <c r="B18556" s="1">
        <v>0</v>
      </c>
      <c r="C18556" s="3">
        <v>44533.72755787037</v>
      </c>
      <c r="D18556" s="1" t="s">
        <v>36288</v>
      </c>
      <c r="E18556" s="4" t="str">
        <f ca="1">IFERROR(__xludf.DUMMYFUNCTION("GOOGLETRANSLATE(A1359 , ""tr"" , ""en"")"),"@drfahrettinkoca @saglikbakanligi @tcbestepe SN Minister Bi my friend's mother Bed in Ankara City Hospital VS Yo ... https://t.co/oIpk80fzor")</f>
        <v>@drfahrettinkoca @saglikbakanligi @tcbestepe SN Minister Bi my friend's mother Bed in Ankara City Hospital VS Yo ... https://t.co/oIpk80fzor</v>
      </c>
    </row>
    <row r="18557" spans="1:5" ht="15" customHeight="1" x14ac:dyDescent="0.25">
      <c r="A18557" s="1" t="s">
        <v>36289</v>
      </c>
      <c r="B18557" s="1">
        <v>0</v>
      </c>
      <c r="C18557" s="3">
        <v>44533.723541666666</v>
      </c>
      <c r="D18557" s="1" t="s">
        <v>36290</v>
      </c>
      <c r="E18557" s="4" t="str">
        <f ca="1">IFERROR(__xludf.DUMMYFUNCTION("GOOGLETRANSLATE(A1360 , ""tr"" , ""en"")"),"@drfahrettinkoca bi # CumhurBASKANIERDOĞAN A need to ask you too ..! https://t.co/xrspuv3yah")</f>
        <v>@drfahrettinkoca bi # CumhurBASKANIERDOĞAN A need to ask you too ..! https://t.co/xrspuv3yah</v>
      </c>
    </row>
    <row r="18558" spans="1:5" ht="15" customHeight="1" x14ac:dyDescent="0.25">
      <c r="A18558" s="1" t="s">
        <v>36291</v>
      </c>
      <c r="B18558" s="1">
        <v>0</v>
      </c>
      <c r="C18558" s="3">
        <v>44533.713472222225</v>
      </c>
      <c r="D18558" s="1" t="s">
        <v>36292</v>
      </c>
      <c r="E18558" s="4" t="str">
        <f ca="1">IFERROR(__xludf.DUMMYFUNCTION("GOOGLETRANSLATE(A1361 , ""tr"" , ""en"")"),"@drfahrettinkoca @rterdogan @ mehmetceyhan23 @drzekibay @bengibaser @serapsimsekyvz @tcmeb @ saglikbakanligi ... https://t.co/etifygf5qr")</f>
        <v>@drfahrettinkoca @rterdogan @ mehmetceyhan23 @drzekibay @bengibaser @serapsimsekyvz @tcmeb @ saglikbakanligi ... https://t.co/etifygf5qr</v>
      </c>
    </row>
    <row r="18559" spans="1:5" ht="15" customHeight="1" x14ac:dyDescent="0.25">
      <c r="A18559" s="1" t="s">
        <v>36293</v>
      </c>
      <c r="B18559" s="1">
        <v>0</v>
      </c>
      <c r="C18559" s="3">
        <v>44533.711851851855</v>
      </c>
      <c r="D18559" s="1" t="s">
        <v>36294</v>
      </c>
      <c r="E18559" s="4" t="str">
        <f ca="1">IFERROR(__xludf.DUMMYFUNCTION("GOOGLETRANSLATE(A1362 , ""tr"" , ""en"")"),"@drfahrettinka @drfahrettinka #drfahrettinkoca #Trfahrışıçıyık # Torbadafiyaska We are: HealthcoreAnyook https://t.co/fxmsrmwphw")</f>
        <v>@drfahrettinka @drfahrettinka #drfahrettinkoca #Trfahrışıçıyık # Torbadafiyaska We are: HealthcoreAnyook https://t.co/fxmsrmwphw</v>
      </c>
    </row>
    <row r="18560" spans="1:5" ht="15" customHeight="1" x14ac:dyDescent="0.25">
      <c r="A18560" s="1" t="s">
        <v>36295</v>
      </c>
      <c r="B18560" s="1">
        <v>0</v>
      </c>
      <c r="C18560" s="3">
        <v>44533.710960648146</v>
      </c>
      <c r="D18560" s="1" t="s">
        <v>36296</v>
      </c>
      <c r="E18560" s="4" t="str">
        <f ca="1">IFERROR(__xludf.DUMMYFUNCTION("GOOGLETRANSLATE(A1363 , ""tr"" , ""en"")"),"@drfahrettinkoca @rterdogan # torbadafiyaskio We are unable to be Healthcare # healthcare")</f>
        <v>@drfahrettinkoca @rterdogan # torbadafiyaskio We are unable to be Healthcare # healthcare</v>
      </c>
    </row>
    <row r="18561" spans="1:5" ht="15" customHeight="1" x14ac:dyDescent="0.25">
      <c r="A18561" s="1" t="s">
        <v>36297</v>
      </c>
      <c r="B18561" s="1">
        <v>3</v>
      </c>
      <c r="C18561" s="3">
        <v>44533.710451388892</v>
      </c>
      <c r="D18561" s="1" t="s">
        <v>36298</v>
      </c>
      <c r="E18561" s="4" t="str">
        <f ca="1">IFERROR(__xludf.DUMMYFUNCTION("GOOGLETRANSLATE(A1364 , ""tr"" , ""en"")"),"@drfahrettinkoca is waiting for confirmation for the guide. What does he hesitate to say? All this nationality ... https://t.co/jkeiqvqddf")</f>
        <v>@drfahrettinkoca is waiting for confirmation for the guide. What does he hesitate to say? All this nationality ... https://t.co/jkeiqvqddf</v>
      </c>
    </row>
    <row r="18562" spans="1:5" ht="15" customHeight="1" x14ac:dyDescent="0.25">
      <c r="A18562" s="1" t="s">
        <v>36299</v>
      </c>
      <c r="B18562" s="1">
        <v>0</v>
      </c>
      <c r="C18562" s="3">
        <v>44533.708668981482</v>
      </c>
      <c r="D18562" s="1" t="s">
        <v>36300</v>
      </c>
      <c r="E18562" s="4" t="str">
        <f ca="1">IFERROR(__xludf.DUMMYFUNCTION("GOOGLETRANSLATE(A1365 , ""tr"" , ""en"")"),"@drfahrettinkoca @saglikbakanligi facing hubby data shared and warned ... https://t.co/carfhbua8l")</f>
        <v>@drfahrettinkoca @saglikbakanligi facing hubby data shared and warned ... https://t.co/carfhbua8l</v>
      </c>
    </row>
    <row r="18563" spans="1:5" ht="15" customHeight="1" x14ac:dyDescent="0.25">
      <c r="A18563" s="1" t="s">
        <v>36301</v>
      </c>
      <c r="B18563" s="1">
        <v>1</v>
      </c>
      <c r="C18563" s="3">
        <v>44533.705416666664</v>
      </c>
      <c r="D18563" s="1" t="s">
        <v>36302</v>
      </c>
      <c r="E18563" s="4" t="str">
        <f ca="1">IFERROR(__xludf.DUMMYFUNCTION("GOOGLETRANSLATE(A1366 , ""tr"" , ""en"")"),"@drfahrettinkoca # fcking indoorshuhuhuhh ahh https://t.co/iwvcapvwiw")</f>
        <v>@drfahrettinkoca # fcking indoorshuhuhuhh ahh https://t.co/iwvcapvwiw</v>
      </c>
    </row>
    <row r="18564" spans="1:5" ht="15" customHeight="1" x14ac:dyDescent="0.25">
      <c r="A18564" s="1" t="s">
        <v>36303</v>
      </c>
      <c r="B18564" s="1">
        <v>0</v>
      </c>
      <c r="C18564" s="3">
        <v>44533.703784722224</v>
      </c>
      <c r="D18564" s="1" t="s">
        <v>36304</v>
      </c>
      <c r="E18564" s="4" t="str">
        <f ca="1">IFERROR(__xludf.DUMMYFUNCTION("GOOGLETRANSLATE(A1367 , ""tr"" , ""en"")"),"@drfahrettinka https://t.co/DJB1IGCUAZ")</f>
        <v>@drfahrettinka https://t.co/DJB1IGCUAZ</v>
      </c>
    </row>
    <row r="18565" spans="1:5" ht="15" customHeight="1" x14ac:dyDescent="0.25">
      <c r="A18565" s="1" t="s">
        <v>36305</v>
      </c>
      <c r="B18565" s="1">
        <v>0</v>
      </c>
      <c r="C18565" s="3">
        <v>44532.979699074072</v>
      </c>
      <c r="D18565" s="1" t="s">
        <v>36306</v>
      </c>
      <c r="E18565" s="4" t="str">
        <f ca="1">IFERROR(__xludf.DUMMYFUNCTION("GOOGLETRANSLATE(A1368 , ""tr"" , ""en"")"),"@drfahrettinka https://t.co/lpebqc1g1k")</f>
        <v>@drfahrettinka https://t.co/lpebqc1g1k</v>
      </c>
    </row>
    <row r="18566" spans="1:5" ht="15" customHeight="1" x14ac:dyDescent="0.25">
      <c r="A18566" s="1" t="s">
        <v>36307</v>
      </c>
      <c r="B18566" s="1">
        <v>0</v>
      </c>
      <c r="C18566" s="3">
        <v>44532.961770833332</v>
      </c>
      <c r="D18566" s="1" t="s">
        <v>36308</v>
      </c>
      <c r="E18566" s="4" t="str">
        <f ca="1">IFERROR(__xludf.DUMMYFUNCTION("GOOGLETRANSLATE(A1369 , ""tr"" , ""en"")"),"@drfahrettinkoca #healthsauyok # HealthconshipsIng Https://t.co/msrs6otz6t")</f>
        <v>@drfahrettinkoca #healthsauyok # HealthconshipsIng Https://t.co/msrs6otz6t</v>
      </c>
    </row>
    <row r="18567" spans="1:5" ht="15" customHeight="1" x14ac:dyDescent="0.25">
      <c r="A18567" s="1" t="s">
        <v>36309</v>
      </c>
      <c r="B18567" s="1">
        <v>0</v>
      </c>
      <c r="C18567" s="3">
        <v>44532.95826388889</v>
      </c>
      <c r="D18567" s="1" t="s">
        <v>36310</v>
      </c>
      <c r="E18567" s="4" t="str">
        <f ca="1">IFERROR(__xludf.DUMMYFUNCTION("GOOGLETRANSLATE(A1370 , ""tr"" , ""en"")"),"@drfahrettinkoca If necessary, if you need to be written in our Bi when we are painful when we are ready to hospital, we are running to the hospital this woman's eyes ... https://t.co/u8ggcdaa4a")</f>
        <v>@drfahrettinkoca If necessary, if you need to be written in our Bi when we are painful when we are ready to hospital, we are running to the hospital this woman's eyes ... https://t.co/u8ggcdaa4a</v>
      </c>
    </row>
    <row r="18568" spans="1:5" ht="15" customHeight="1" x14ac:dyDescent="0.25">
      <c r="A18568" s="1" t="s">
        <v>36311</v>
      </c>
      <c r="B18568" s="1">
        <v>2</v>
      </c>
      <c r="C18568" s="3">
        <v>44532.948159722226</v>
      </c>
      <c r="D18568" s="1" t="s">
        <v>36312</v>
      </c>
      <c r="E18568" s="4" t="str">
        <f ca="1">IFERROR(__xludf.DUMMYFUNCTION("GOOGLETRANSLATE(A1371 , ""tr"" , ""en"")"),"@drfahrettinkoca wants to ask if we will also buy the drug in Turkey's weakest dolls @Inensaryasis")</f>
        <v>@drfahrettinkoca wants to ask if we will also buy the drug in Turkey's weakest dolls @Inensaryasis</v>
      </c>
    </row>
    <row r="18569" spans="1:5" ht="15" customHeight="1" x14ac:dyDescent="0.25">
      <c r="A18569" s="1" t="s">
        <v>36313</v>
      </c>
      <c r="B18569" s="1">
        <v>0</v>
      </c>
      <c r="C18569" s="3">
        <v>44532.938726851855</v>
      </c>
      <c r="D18569" s="1" t="s">
        <v>36314</v>
      </c>
      <c r="E18569" s="4" t="str">
        <f ca="1">IFERROR(__xludf.DUMMYFUNCTION("GOOGLETRANSLATE(A1372 , ""tr"" , ""en"")"),"@drfahrettinka https://t.co/rk4gj5hi1h")</f>
        <v>@drfahrettinka https://t.co/rk4gj5hi1h</v>
      </c>
    </row>
    <row r="18570" spans="1:5" ht="15" customHeight="1" x14ac:dyDescent="0.25">
      <c r="A18570" s="1" t="s">
        <v>36315</v>
      </c>
      <c r="B18570" s="1">
        <v>0</v>
      </c>
      <c r="C18570" s="3">
        <v>44532.935787037037</v>
      </c>
      <c r="D18570" s="1" t="s">
        <v>36316</v>
      </c>
      <c r="E18570" s="4" t="str">
        <f ca="1">IFERROR(__xludf.DUMMYFUNCTION("GOOGLETRANSLATE(A1373 , ""tr"" , ""en"")"),"@drfahrettinkoca DSO YE 2021 Year of 2021 Huizome Year Suggest to do SHOW GOOD Nice also to make the need ... https://t.co/cv96bfbmru")</f>
        <v>@drfahrettinkoca DSO YE 2021 Year of 2021 Huizome Year Suggest to do SHOW GOOD Nice also to make the need ... https://t.co/cv96bfbmru</v>
      </c>
    </row>
    <row r="18571" spans="1:5" ht="15" customHeight="1" x14ac:dyDescent="0.25">
      <c r="A18571" s="1" t="s">
        <v>36317</v>
      </c>
      <c r="B18571" s="1">
        <v>1</v>
      </c>
      <c r="C18571" s="3">
        <v>44532.925312500003</v>
      </c>
      <c r="D18571" s="1" t="s">
        <v>36318</v>
      </c>
      <c r="E18571" s="4" t="str">
        <f ca="1">IFERROR(__xludf.DUMMYFUNCTION("GOOGLETRANSLATE(A1374 , ""tr"" , ""en"")"),"@drfahrettinkoca will leave the ministry and return to the doctor if you don't have the doctors only hike to the doctors")</f>
        <v>@drfahrettinkoca will leave the ministry and return to the doctor if you don't have the doctors only hike to the doctors</v>
      </c>
    </row>
    <row r="18572" spans="1:5" ht="15" customHeight="1" x14ac:dyDescent="0.25">
      <c r="A18572" s="1" t="s">
        <v>36319</v>
      </c>
      <c r="B18572" s="1">
        <v>2</v>
      </c>
      <c r="C18572" s="3">
        <v>44532.923136574071</v>
      </c>
      <c r="D18572" s="1" t="s">
        <v>36320</v>
      </c>
      <c r="E18572" s="4" t="str">
        <f ca="1">IFERROR(__xludf.DUMMYFUNCTION("GOOGLETRANSLATE(A1375 , ""tr"" , ""en"")"),"@drfahrettinkoca on your salary we determine the # Healthconships")</f>
        <v>@drfahrettinkoca on your salary we determine the # Healthconships</v>
      </c>
    </row>
    <row r="18573" spans="1:5" ht="15" customHeight="1" x14ac:dyDescent="0.25">
      <c r="A18573" s="1" t="s">
        <v>36321</v>
      </c>
      <c r="B18573" s="1">
        <v>1</v>
      </c>
      <c r="C18573" s="3">
        <v>44532.921875</v>
      </c>
      <c r="D18573" s="1" t="s">
        <v>36322</v>
      </c>
      <c r="E18573" s="4" t="str">
        <f ca="1">IFERROR(__xludf.DUMMYFUNCTION("GOOGLETRANSLATE(A1376 , ""tr"" , ""en"")"),"@drfahrettinkoca #wealthy")</f>
        <v>@drfahrettinkoca #wealthy</v>
      </c>
    </row>
    <row r="18574" spans="1:5" ht="15" customHeight="1" x14ac:dyDescent="0.25">
      <c r="A18574" s="1" t="s">
        <v>36323</v>
      </c>
      <c r="B18574" s="1">
        <v>0</v>
      </c>
      <c r="C18574" s="3">
        <v>44532.907604166663</v>
      </c>
      <c r="D18574" s="1" t="s">
        <v>36324</v>
      </c>
      <c r="E18574" s="4" t="str">
        <f ca="1">IFERROR(__xludf.DUMMYFUNCTION("GOOGLETRANSLATE(A1377 , ""tr"" , ""en"")"),"@drfahrettinkoca is a little dignity in human beings. How old do you have been afraid of why you're afraid of tower ... https://t.co/DVZMP8IB3F")</f>
        <v>@drfahrettinkoca is a little dignity in human beings. How old do you have been afraid of why you're afraid of tower ... https://t.co/DVZMP8IB3F</v>
      </c>
    </row>
    <row r="18575" spans="1:5" ht="15" customHeight="1" x14ac:dyDescent="0.25">
      <c r="A18575" s="1" t="s">
        <v>36325</v>
      </c>
      <c r="B18575" s="1">
        <v>0</v>
      </c>
      <c r="C18575" s="3">
        <v>44532.900590277779</v>
      </c>
      <c r="D18575" s="1" t="s">
        <v>36326</v>
      </c>
      <c r="E18575" s="4" t="str">
        <f ca="1">IFERROR(__xludf.DUMMYFUNCTION("GOOGLETRANSLATE(A1378 , ""tr"" , ""en"")"),"@drfahrettinkoca is forgotten in the assignment ..")</f>
        <v>@drfahrettinkoca is forgotten in the assignment ..</v>
      </c>
    </row>
    <row r="18576" spans="1:5" ht="15" customHeight="1" x14ac:dyDescent="0.25">
      <c r="A18576" s="1" t="s">
        <v>36327</v>
      </c>
      <c r="B18576" s="1">
        <v>0</v>
      </c>
      <c r="C18576" s="3">
        <v>44532.900439814817</v>
      </c>
      <c r="D18576" s="1" t="s">
        <v>36328</v>
      </c>
      <c r="E18576" s="4" t="str">
        <f ca="1">IFERROR(__xludf.DUMMYFUNCTION("GOOGLETRANSLATE(A1379 , ""tr"" , ""en"")"),"@drfahrettinkoca quit if you are a little embarrassed. We have passed the right of the right of the people to manipulate the public ... https://t.co/kbkkydj13r")</f>
        <v>@drfahrettinkoca quit if you are a little embarrassed. We have passed the right of the right of the people to manipulate the public ... https://t.co/kbkkydj13r</v>
      </c>
    </row>
    <row r="18577" spans="1:5" ht="15" customHeight="1" x14ac:dyDescent="0.25">
      <c r="A18577" s="1" t="s">
        <v>36329</v>
      </c>
      <c r="B18577" s="1">
        <v>0</v>
      </c>
      <c r="C18577" s="3">
        <v>44532.899606481478</v>
      </c>
      <c r="D18577" s="1" t="s">
        <v>36330</v>
      </c>
      <c r="E18577" s="4" t="str">
        <f ca="1">IFERROR(__xludf.DUMMYFUNCTION("GOOGLETRANSLATE(A1380 , ""tr"" , ""en"")"),"@Drfahrettinkoca @saglikbakanligi @Alpayazap @kurtazap @bengibaser @ProfSalt @Bengibaser @ProfSaltik @kayihanpala @Profsaltik @ktiharpalo @Senol @ iFtiharkoxal ... https://t.co/rq29s2y6u3")</f>
        <v>@Drfahrettinkoca @saglikbakanligi @Alpayazap @kurtazap @bengibaser @ProfSalt @Bengibaser @ProfSaltik @kayihanpala @Profsaltik @ktiharpalo @Senol @ iFtiharkoxal ... https://t.co/rq29s2y6u3</v>
      </c>
    </row>
    <row r="18578" spans="1:5" ht="15" customHeight="1" x14ac:dyDescent="0.25">
      <c r="A18578" s="1" t="s">
        <v>36331</v>
      </c>
      <c r="B18578" s="1">
        <v>0</v>
      </c>
      <c r="C18578" s="3">
        <v>44532.898125</v>
      </c>
      <c r="D18578" s="1" t="s">
        <v>36332</v>
      </c>
      <c r="E18578" s="4" t="str">
        <f ca="1">IFERROR(__xludf.DUMMYFUNCTION("GOOGLETRANSLATE(A1381 , ""tr"" , ""en"")"),"@drfahrettinka Mr. Minister We are in the doctors when we are telling you every employee in the health community ... https://t.co/9bwnp4vr6s")</f>
        <v>@drfahrettinka Mr. Minister We are in the doctors when we are telling you every employee in the health community ... https://t.co/9bwnp4vr6s</v>
      </c>
    </row>
    <row r="18579" spans="1:5" ht="15" customHeight="1" x14ac:dyDescent="0.25">
      <c r="A18579" s="1" t="s">
        <v>36333</v>
      </c>
      <c r="B18579" s="1">
        <v>1</v>
      </c>
      <c r="C18579" s="3">
        <v>44532.896053240744</v>
      </c>
      <c r="D18579" s="1" t="s">
        <v>36334</v>
      </c>
      <c r="E18579" s="4" t="str">
        <f ca="1">IFERROR(__xludf.DUMMYFUNCTION("GOOGLETRANSLATE(A1382 , ""tr"" , ""en"")"),"@drfahrettinkoca # Healthconships")</f>
        <v>@drfahrettinkoca # Healthconships</v>
      </c>
    </row>
    <row r="18580" spans="1:5" ht="15" customHeight="1" x14ac:dyDescent="0.25">
      <c r="A18580" s="1" t="s">
        <v>36335</v>
      </c>
      <c r="B18580" s="1">
        <v>0</v>
      </c>
      <c r="C18580" s="3">
        <v>44532.895844907405</v>
      </c>
      <c r="D18580" s="1" t="s">
        <v>36336</v>
      </c>
      <c r="E18580" s="4" t="str">
        <f ca="1">IFERROR(__xludf.DUMMYFUNCTION("GOOGLETRANSLATE(A1383 , ""tr"" , ""en"")"),"@drfahrettinkoca INAN I'm very upset with your Https://t.co/tqt4cftpbc")</f>
        <v>@drfahrettinkoca INAN I'm very upset with your Https://t.co/tqt4cftpbc</v>
      </c>
    </row>
    <row r="18581" spans="1:5" ht="15" customHeight="1" x14ac:dyDescent="0.25">
      <c r="A18581" s="1" t="s">
        <v>25363</v>
      </c>
      <c r="B18581" s="1">
        <v>1</v>
      </c>
      <c r="C18581" s="3">
        <v>44532.89503472222</v>
      </c>
      <c r="D18581" s="1" t="s">
        <v>36337</v>
      </c>
      <c r="E18581" s="4" t="str">
        <f ca="1">IFERROR(__xludf.DUMMYFUNCTION("GOOGLETRANSLATE(A1384 , ""tr"" , ""en"")"),"@drfahrettinkoca # Healthconships")</f>
        <v>@drfahrettinkoca # Healthconships</v>
      </c>
    </row>
    <row r="18582" spans="1:5" ht="15" customHeight="1" x14ac:dyDescent="0.25">
      <c r="A18582" s="1" t="s">
        <v>36338</v>
      </c>
      <c r="B18582" s="1">
        <v>0</v>
      </c>
      <c r="C18582" s="3">
        <v>44532.887303240743</v>
      </c>
      <c r="D18582" s="1" t="s">
        <v>36339</v>
      </c>
      <c r="E18582" s="4" t="str">
        <f ca="1">IFERROR(__xludf.DUMMYFUNCTION("GOOGLETRANSLATE(A1385 , ""tr"" , ""en"")"),"@drfahrettinkoca pine sakura for bi supervision! The patient from emergency is waiting for 1.5 hours row!")</f>
        <v>@drfahrettinkoca pine sakura for bi supervision! The patient from emergency is waiting for 1.5 hours row!</v>
      </c>
    </row>
    <row r="18583" spans="1:5" ht="15" customHeight="1" x14ac:dyDescent="0.25">
      <c r="A18583" s="1" t="s">
        <v>36340</v>
      </c>
      <c r="B18583" s="1">
        <v>0</v>
      </c>
      <c r="C18583" s="3">
        <v>44532.881666666668</v>
      </c>
      <c r="D18583" s="1" t="s">
        <v>36341</v>
      </c>
      <c r="E18583" s="4" t="str">
        <f ca="1">IFERROR(__xludf.DUMMYFUNCTION("GOOGLETRANSLATE(A1386 , ""tr"" , ""en"")"),"@drfahrettinkoca causing an explanation, while '' Physicians are mainly '' '' '' '' '' '' '' '' '' '' ''")</f>
        <v>@drfahrettinkoca causing an explanation, while '' Physicians are mainly '' '' '' '' '' '' '' '' '' '' ''</v>
      </c>
    </row>
    <row r="18584" spans="1:5" ht="15" customHeight="1" x14ac:dyDescent="0.25">
      <c r="A18584" s="1" t="s">
        <v>36342</v>
      </c>
      <c r="B18584" s="1">
        <v>0</v>
      </c>
      <c r="C18584" s="3">
        <v>44532.880983796298</v>
      </c>
      <c r="D18584" s="1" t="s">
        <v>36343</v>
      </c>
      <c r="E18584" s="4" t="str">
        <f ca="1">IFERROR(__xludf.DUMMYFUNCTION("GOOGLETRANSLATE(A1387 , ""tr"" , ""en"")"),"@drfahrettinkoca We have not received our diplomas in intensive care services in the operating rooms in the operating rooms ... https://t.co/bp6f0cjxqu")</f>
        <v>@drfahrettinkoca We have not received our diplomas in intensive care services in the operating rooms in the operating rooms ... https://t.co/bp6f0cjxqu</v>
      </c>
    </row>
    <row r="18585" spans="1:5" ht="15" customHeight="1" x14ac:dyDescent="0.25">
      <c r="A18585" s="1" t="s">
        <v>36344</v>
      </c>
      <c r="B18585" s="1">
        <v>0</v>
      </c>
      <c r="C18585" s="3">
        <v>44532.880277777775</v>
      </c>
      <c r="D18585" s="1" t="s">
        <v>36345</v>
      </c>
      <c r="E18585" s="4" t="str">
        <f ca="1">IFERROR(__xludf.DUMMYFUNCTION("GOOGLETRANSLATE(A1388 , ""tr"" , ""en"")"),"@drfahrettinkoca @saglikbakanligi #wealthy")</f>
        <v>@drfahrettinkoca @saglikbakanligi #wealthy</v>
      </c>
    </row>
    <row r="18586" spans="1:5" ht="15" customHeight="1" x14ac:dyDescent="0.25">
      <c r="A18586" s="1" t="s">
        <v>36346</v>
      </c>
      <c r="B18586" s="1">
        <v>0</v>
      </c>
      <c r="C18586" s="3">
        <v>44532.875150462962</v>
      </c>
      <c r="D18586" s="1" t="s">
        <v>36347</v>
      </c>
      <c r="E18586" s="4" t="str">
        <f ca="1">IFERROR(__xludf.DUMMYFUNCTION("GOOGLETRANSLATE(A1389 , ""tr"" , ""en"")"),"@drfahrettinkoca is very accurate https://t.co/3wvzxgx6gt")</f>
        <v>@drfahrettinkoca is very accurate https://t.co/3wvzxgx6gt</v>
      </c>
    </row>
    <row r="18587" spans="1:5" ht="15" customHeight="1" x14ac:dyDescent="0.25">
      <c r="A18587" s="1" t="s">
        <v>36348</v>
      </c>
      <c r="B18587" s="1">
        <v>0</v>
      </c>
      <c r="C18587" s="3">
        <v>44532.87159722222</v>
      </c>
      <c r="D18587" s="1" t="s">
        <v>36349</v>
      </c>
      <c r="E18587" s="4" t="str">
        <f ca="1">IFERROR(__xludf.DUMMYFUNCTION("GOOGLETRANSLATE(A1390 , ""tr"" , ""en"")"),"@drfahrettinkoca @saglikbakanligi @rterdogan We were vaccinated by relying on you and we will lose my mother's arm. One with us ... https://t.co/xrcwwzxzo0")</f>
        <v>@drfahrettinkoca @saglikbakanligi @rterdogan We were vaccinated by relying on you and we will lose my mother's arm. One with us ... https://t.co/xrcwwzxzo0</v>
      </c>
    </row>
    <row r="18588" spans="1:5" ht="15" customHeight="1" x14ac:dyDescent="0.25">
      <c r="A18588" s="1" t="s">
        <v>36350</v>
      </c>
      <c r="B18588" s="1">
        <v>0</v>
      </c>
      <c r="C18588" s="3">
        <v>44532.871006944442</v>
      </c>
      <c r="D18588" s="1" t="s">
        <v>36351</v>
      </c>
      <c r="E18588" s="4" t="str">
        <f ca="1">IFERROR(__xludf.DUMMYFUNCTION("GOOGLETRANSLATE(A1391 , ""tr"" , ""en"")"),"@drfahrettinkoca @saglikbakanligi You can now be made to me. We are waiting for a subsidiary without being late. I don't want to lose my mother's arm")</f>
        <v>@drfahrettinkoca @saglikbakanligi You can now be made to me. We are waiting for a subsidiary without being late. I don't want to lose my mother's arm</v>
      </c>
    </row>
    <row r="18589" spans="1:5" ht="15" customHeight="1" x14ac:dyDescent="0.25">
      <c r="A18589" s="1" t="s">
        <v>36352</v>
      </c>
      <c r="B18589" s="1">
        <v>3</v>
      </c>
      <c r="C18589" s="3">
        <v>44532.868043981478</v>
      </c>
      <c r="D18589" s="1" t="s">
        <v>36353</v>
      </c>
      <c r="E18589" s="4" t="str">
        <f ca="1">IFERROR(__xludf.DUMMYFUNCTION("GOOGLETRANSLATE(A1392 , ""tr"" , ""en"")"),"@drfahrettinkoca # Healthconship Https://T.CO/YHYHILF1TC")</f>
        <v>@drfahrettinkoca # Healthconship Https://T.CO/YHYHILF1TC</v>
      </c>
    </row>
    <row r="18590" spans="1:5" ht="15" customHeight="1" x14ac:dyDescent="0.25">
      <c r="A18590" s="1" t="s">
        <v>36354</v>
      </c>
      <c r="B18590" s="1">
        <v>4</v>
      </c>
      <c r="C18590" s="3">
        <v>44532.86550925926</v>
      </c>
      <c r="D18590" s="1" t="s">
        <v>36355</v>
      </c>
      <c r="E18590" s="4" t="str">
        <f ca="1">IFERROR(__xludf.DUMMYFUNCTION("GOOGLETRANSLATE(A1393 , ""tr"" , ""en"")"),"@drfahrettinkoca #wealthy gettin 'https://t.co/eyrw7kt9b5")</f>
        <v>@drfahrettinkoca #wealthy gettin 'https://t.co/eyrw7kt9b5</v>
      </c>
    </row>
    <row r="18591" spans="1:5" ht="15" customHeight="1" x14ac:dyDescent="0.25">
      <c r="A18591" s="1" t="s">
        <v>25893</v>
      </c>
      <c r="B18591" s="1">
        <v>1</v>
      </c>
      <c r="C18591" s="3">
        <v>44532.859155092592</v>
      </c>
      <c r="D18591" s="1" t="s">
        <v>36356</v>
      </c>
      <c r="E18591" s="4" t="str">
        <f ca="1">IFERROR(__xludf.DUMMYFUNCTION("GOOGLETRANSLATE(A1394 , ""tr"" , ""en"")"),"@drfahrettinkoca #wealthy")</f>
        <v>@drfahrettinkoca #wealthy</v>
      </c>
    </row>
    <row r="18592" spans="1:5" ht="15" customHeight="1" x14ac:dyDescent="0.25">
      <c r="A18592" s="1" t="s">
        <v>36357</v>
      </c>
      <c r="B18592" s="1">
        <v>0</v>
      </c>
      <c r="C18592" s="3">
        <v>44532.855902777781</v>
      </c>
      <c r="D18592" s="1" t="s">
        <v>36358</v>
      </c>
      <c r="E18592" s="4" t="str">
        <f ca="1">IFERROR(__xludf.DUMMYFUNCTION("GOOGLETRANSLATE(A1395 , ""tr"" , ""en"")"),"@drfahrettinkoca to those who are sick !!!! ??? https://t.co/wtturtsdumn")</f>
        <v>@drfahrettinkoca to those who are sick !!!! ??? https://t.co/wtturtsdumn</v>
      </c>
    </row>
    <row r="18593" spans="1:5" ht="15" customHeight="1" x14ac:dyDescent="0.25">
      <c r="A18593" s="1" t="s">
        <v>36359</v>
      </c>
      <c r="B18593" s="1">
        <v>2</v>
      </c>
      <c r="C18593" s="3">
        <v>44532.850462962961</v>
      </c>
      <c r="D18593" s="1" t="s">
        <v>36360</v>
      </c>
      <c r="E18593" s="4" t="str">
        <f ca="1">IFERROR(__xludf.DUMMYFUNCTION("GOOGLETRANSLATE(A1396 , ""tr"" , ""en"")"),"@drfahrettinkoca @serapssimsekyvz @dralpersener @Alpayazap @drtevfikozlu @drtevfikozlu @Afusateskara @fusuneyuboglu @ esenol ... https://t.co/jeee50COOI")</f>
        <v>@drfahrettinkoca @serapssimsekyvz @dralpersener @Alpayazap @drtevfikozlu @drtevfikozlu @Afusateskara @fusuneyuboglu @ esenol ... https://t.co/jeee50COOI</v>
      </c>
    </row>
    <row r="18594" spans="1:5" ht="15" customHeight="1" x14ac:dyDescent="0.25">
      <c r="A18594" s="1" t="s">
        <v>36361</v>
      </c>
      <c r="B18594" s="1">
        <v>2</v>
      </c>
      <c r="C18594" s="3">
        <v>44532.846377314818</v>
      </c>
      <c r="D18594" s="1" t="s">
        <v>36362</v>
      </c>
      <c r="E18594" s="4" t="str">
        <f ca="1">IFERROR(__xludf.DUMMYFUNCTION("GOOGLETRANSLATE(A1397 , ""tr"" , ""en"")"),"@drfahrettinkoca # Healthconship is very vindictive site. https://t.co/rpgmrbzoak")</f>
        <v>@drfahrettinkoca # Healthconship is very vindictive site. https://t.co/rpgmrbzoak</v>
      </c>
    </row>
    <row r="18595" spans="1:5" ht="15" customHeight="1" x14ac:dyDescent="0.25">
      <c r="A18595" s="1" t="s">
        <v>36363</v>
      </c>
      <c r="B18595" s="1">
        <v>4</v>
      </c>
      <c r="C18595" s="3">
        <v>44532.843252314815</v>
      </c>
      <c r="D18595" s="1" t="s">
        <v>36364</v>
      </c>
      <c r="E18595" s="4" t="str">
        <f ca="1">IFERROR(__xludf.DUMMYFUNCTION("GOOGLETRANSLATE(A1398 , ""tr"" , ""en"")"),"@drfahrettinkoca has not kept a bird with our mouth, we didn't have yet to be used. We could not be healthy # Healthconship")</f>
        <v>@drfahrettinkoca has not kept a bird with our mouth, we didn't have yet to be used. We could not be healthy # Healthconship</v>
      </c>
    </row>
    <row r="18596" spans="1:5" ht="15" customHeight="1" x14ac:dyDescent="0.25">
      <c r="A18596" s="1" t="s">
        <v>36365</v>
      </c>
      <c r="B18596" s="1">
        <v>0</v>
      </c>
      <c r="C18596" s="3">
        <v>44532.841967592591</v>
      </c>
      <c r="D18596" s="1" t="s">
        <v>36366</v>
      </c>
      <c r="E18596" s="4" t="str">
        <f ca="1">IFERROR(__xludf.DUMMYFUNCTION("GOOGLETRANSLATE(A1399 , ""tr"" , ""en"")"),"@drfahrettinkoca we always supported you and his government despite the wrong policies you have done in every condition and every environment ... https://t.co/v3ks6tzqat")</f>
        <v>@drfahrettinkoca we always supported you and his government despite the wrong policies you have done in every condition and every environment ... https://t.co/v3ks6tzqat</v>
      </c>
    </row>
    <row r="18597" spans="1:5" ht="15" customHeight="1" x14ac:dyDescent="0.25">
      <c r="A18597" s="1" t="s">
        <v>36367</v>
      </c>
      <c r="B18597" s="1">
        <v>1</v>
      </c>
      <c r="C18597" s="3">
        <v>44532.84170138889</v>
      </c>
      <c r="D18597" s="1" t="s">
        <v>36368</v>
      </c>
      <c r="E18597" s="4" t="str">
        <f ca="1">IFERROR(__xludf.DUMMYFUNCTION("GOOGLETRANSLATE(A1400 , ""tr"" , ""en"")"),"@drfahrettinkoca is the hand of each health worker's hand at the top of you, this load is not too much to you seriously? # HEALTHYINGSHIP")</f>
        <v>@drfahrettinkoca is the hand of each health worker's hand at the top of you, this load is not too much to you seriously? # HEALTHYINGSHIP</v>
      </c>
    </row>
    <row r="18598" spans="1:5" ht="15" customHeight="1" x14ac:dyDescent="0.25">
      <c r="A18598" s="1" t="s">
        <v>36369</v>
      </c>
      <c r="B18598" s="1">
        <v>0</v>
      </c>
      <c r="C18598" s="3">
        <v>44532.841192129628</v>
      </c>
      <c r="D18598" s="1" t="s">
        <v>36370</v>
      </c>
      <c r="E18598" s="4" t="str">
        <f ca="1">IFERROR(__xludf.DUMMYFUNCTION("GOOGLETRANSLATE(A1401 , ""tr"" , ""en"")"),"@drfahrettinkoca We have not taken the Diplomas Occupation Originous of the Physicians of Diplomas. Https://t.co/clav2tjr9c")</f>
        <v>@drfahrettinkoca We have not taken the Diplomas Occupation Originous of the Physicians of Diplomas. Https://t.co/clav2tjr9c</v>
      </c>
    </row>
    <row r="18599" spans="1:5" ht="15" customHeight="1" x14ac:dyDescent="0.25">
      <c r="A18599" s="1" t="s">
        <v>36371</v>
      </c>
      <c r="B18599" s="1">
        <v>4</v>
      </c>
      <c r="C18599" s="3">
        <v>44532.839317129627</v>
      </c>
      <c r="D18599" s="1" t="s">
        <v>36372</v>
      </c>
      <c r="E18599" s="4" t="str">
        <f ca="1">IFERROR(__xludf.DUMMYFUNCTION("GOOGLETRANSLATE(A1402 , ""tr"" , ""en"")"),"@drfahrettinkoca We didn't know that the Ministry of Health is the Ministry of Doctor. You have taught! # HEALTHYINGSHIP")</f>
        <v>@drfahrettinkoca We didn't know that the Ministry of Health is the Ministry of Doctor. You have taught! # HEALTHYINGSHIP</v>
      </c>
    </row>
    <row r="18600" spans="1:5" ht="15" customHeight="1" x14ac:dyDescent="0.25">
      <c r="A18600" s="1" t="s">
        <v>36373</v>
      </c>
      <c r="B18600" s="1">
        <v>2</v>
      </c>
      <c r="C18600" s="3">
        <v>44532.834201388891</v>
      </c>
      <c r="D18600" s="1" t="s">
        <v>36374</v>
      </c>
      <c r="E18600" s="4" t="str">
        <f ca="1">IFERROR(__xludf.DUMMYFUNCTION("GOOGLETRANSLATE(A1403 , ""tr"" , ""en"")"),"@drfahrettinkoca As did not see the Health Management section @foxhaber de Health Management section in today's publication Li ... https://t.co/l03uceb5oz")</f>
        <v>@drfahrettinkoca As did not see the Health Management section @foxhaber de Health Management section in today's publication Li ... https://t.co/l03uceb5oz</v>
      </c>
    </row>
    <row r="18601" spans="1:5" ht="15" customHeight="1" x14ac:dyDescent="0.25">
      <c r="A18601" s="1" t="s">
        <v>36375</v>
      </c>
      <c r="B18601" s="1">
        <v>0</v>
      </c>
      <c r="C18601" s="3">
        <v>44532.832233796296</v>
      </c>
      <c r="D18601" s="1" t="s">
        <v>36376</v>
      </c>
      <c r="E18601" s="4" t="str">
        <f ca="1">IFERROR(__xludf.DUMMYFUNCTION("GOOGLETRANSLATE(A1404 , ""tr"" , ""en"")"),"@drfahrettinka https://t.co/34edu4awdj")</f>
        <v>@drfahrettinka https://t.co/34edu4awdj</v>
      </c>
    </row>
    <row r="18602" spans="1:5" ht="15" customHeight="1" x14ac:dyDescent="0.25">
      <c r="A18602" s="1" t="s">
        <v>36377</v>
      </c>
      <c r="B18602" s="1">
        <v>1</v>
      </c>
      <c r="C18602" s="3">
        <v>44532.831412037034</v>
      </c>
      <c r="D18602" s="1" t="s">
        <v>36378</v>
      </c>
      <c r="E18602" s="4" t="str">
        <f ca="1">IFERROR(__xludf.DUMMYFUNCTION("GOOGLETRANSLATE(A1405 , ""tr"" , ""en"")"),"@drfahrettinkoca what are we going to do now? Will keep our offspring to live; Mum - Heats the heart of fathers, Eye ... https://t.co/bbigczvhmw")</f>
        <v>@drfahrettinkoca what are we going to do now? Will keep our offspring to live; Mum - Heats the heart of fathers, Eye ... https://t.co/bbigczvhmw</v>
      </c>
    </row>
    <row r="18603" spans="1:5" ht="15" customHeight="1" x14ac:dyDescent="0.25">
      <c r="A18603" s="1" t="s">
        <v>36379</v>
      </c>
      <c r="B18603" s="1">
        <v>0</v>
      </c>
      <c r="C18603" s="3">
        <v>44532.831319444442</v>
      </c>
      <c r="D18603" s="1" t="s">
        <v>36380</v>
      </c>
      <c r="E18603" s="4" t="str">
        <f ca="1">IFERROR(__xludf.DUMMYFUNCTION("GOOGLETRANSLATE(A1406 , ""tr"" , ""en"")"),"@drfahrettinkoca What is the medicine that I have received my nurse nursing education 👍 My occupation has a name ... ... https://t.co/hlvapefva2")</f>
        <v>@drfahrettinkoca What is the medicine that I have received my nurse nursing education 👍 My occupation has a name ... ... https://t.co/hlvapefva2</v>
      </c>
    </row>
    <row r="18604" spans="1:5" ht="15" customHeight="1" x14ac:dyDescent="0.25">
      <c r="A18604" s="1" t="s">
        <v>36381</v>
      </c>
      <c r="B18604" s="1">
        <v>0</v>
      </c>
      <c r="C18604" s="3">
        <v>44532.830277777779</v>
      </c>
      <c r="D18604" s="1" t="s">
        <v>36382</v>
      </c>
      <c r="E18604" s="4" t="str">
        <f ca="1">IFERROR(__xludf.DUMMYFUNCTION("GOOGLETRANSLATE(A1407 , ""tr"" , ""en"")"),"@drfahrettinka https://t.co/bqtlyzel8y")</f>
        <v>@drfahrettinka https://t.co/bqtlyzel8y</v>
      </c>
    </row>
    <row r="18605" spans="1:5" ht="15" customHeight="1" x14ac:dyDescent="0.25">
      <c r="A18605" s="1" t="s">
        <v>36383</v>
      </c>
      <c r="B18605" s="1">
        <v>1</v>
      </c>
      <c r="C18605" s="3">
        <v>44532.827997685185</v>
      </c>
      <c r="D18605" s="1" t="s">
        <v>36384</v>
      </c>
      <c r="E18605" s="4" t="str">
        <f ca="1">IFERROR(__xludf.DUMMYFUNCTION("GOOGLETRANSLATE(A1408 , ""tr"" , ""en"")"),"@drfahrettinkoca @saglikbakanligi https://t.co/fuynwqkgre")</f>
        <v>@drfahrettinkoca @saglikbakanligi https://t.co/fuynwqkgre</v>
      </c>
    </row>
    <row r="18606" spans="1:5" ht="15" customHeight="1" x14ac:dyDescent="0.25">
      <c r="A18606" s="1" t="s">
        <v>36385</v>
      </c>
      <c r="B18606" s="1">
        <v>3</v>
      </c>
      <c r="C18606" s="3">
        <v>44532.826678240737</v>
      </c>
      <c r="D18606" s="1" t="s">
        <v>36386</v>
      </c>
      <c r="E18606" s="4" t="str">
        <f ca="1">IFERROR(__xludf.DUMMYFUNCTION("GOOGLETRANSLATE(A1409 , ""tr"" , ""en"")"),"@drfahrettinka Europe is jealous of us! Yes it is jealous! Even if he receives 3 cent salary, his man, with the sweat, Hi ... https://t.co/dznzk832mj")</f>
        <v>@drfahrettinka Europe is jealous of us! Yes it is jealous! Even if he receives 3 cent salary, his man, with the sweat, Hi ... https://t.co/dznzk832mj</v>
      </c>
    </row>
    <row r="18607" spans="1:5" ht="15" customHeight="1" x14ac:dyDescent="0.25">
      <c r="A18607" s="1" t="s">
        <v>36387</v>
      </c>
      <c r="B18607" s="1">
        <v>0</v>
      </c>
      <c r="C18607" s="3">
        <v>44532.826666666668</v>
      </c>
      <c r="D18607" s="1" t="s">
        <v>36388</v>
      </c>
      <c r="E18607" s="4" t="str">
        <f ca="1">IFERROR(__xludf.DUMMYFUNCTION("GOOGLETRANSLATE(A1410 , ""tr"" , ""en"")"),"@drfahrettinkoca @saglikbakanligi @rterdogan https://t.co/9zpqvlj1z7")</f>
        <v>@drfahrettinkoca @saglikbakanligi @rterdogan https://t.co/9zpqvlj1z7</v>
      </c>
    </row>
    <row r="18608" spans="1:5" ht="15" customHeight="1" x14ac:dyDescent="0.25">
      <c r="A18608" s="1" t="s">
        <v>36389</v>
      </c>
      <c r="B18608" s="1">
        <v>1</v>
      </c>
      <c r="C18608" s="3">
        <v>44532.826608796298</v>
      </c>
      <c r="D18608" s="1" t="s">
        <v>36390</v>
      </c>
      <c r="E18608" s="4" t="str">
        <f ca="1">IFERROR(__xludf.DUMMYFUNCTION("GOOGLETRANSLATE(A1411 , ""tr"" , ""en"")"),"@drfahrettinkoca # Healthconship Https://t.co/jnnxses8kc")</f>
        <v>@drfahrettinkoca # Healthconship Https://t.co/jnnxses8kc</v>
      </c>
    </row>
    <row r="18609" spans="1:5" ht="15" customHeight="1" x14ac:dyDescent="0.25">
      <c r="A18609" s="1" t="s">
        <v>36391</v>
      </c>
      <c r="B18609" s="1">
        <v>0</v>
      </c>
      <c r="C18609" s="3">
        <v>44532.826273148145</v>
      </c>
      <c r="D18609" s="1" t="s">
        <v>36392</v>
      </c>
      <c r="E18609" s="4" t="str">
        <f ca="1">IFERROR(__xludf.DUMMYFUNCTION("GOOGLETRANSLATE(A1412 , ""tr"" , ""en"")"),"@drfahrettinkoca @saglikbakanligi https://t.co/lxmetvqhpp")</f>
        <v>@drfahrettinkoca @saglikbakanligi https://t.co/lxmetvqhpp</v>
      </c>
    </row>
    <row r="18610" spans="1:5" ht="15" customHeight="1" x14ac:dyDescent="0.25">
      <c r="A18610" s="1" t="s">
        <v>36393</v>
      </c>
      <c r="B18610" s="1">
        <v>0</v>
      </c>
      <c r="C18610" s="3">
        <v>44532.825879629629</v>
      </c>
      <c r="D18610" s="1" t="s">
        <v>36394</v>
      </c>
      <c r="E18610" s="4" t="str">
        <f ca="1">IFERROR(__xludf.DUMMYFUNCTION("GOOGLETRANSLATE(A1413 , ""tr"" , ""en"")"),"@drfahrettinkoca @saglikbakanligi https://t.co/kfpj44q1qo")</f>
        <v>@drfahrettinkoca @saglikbakanligi https://t.co/kfpj44q1qo</v>
      </c>
    </row>
    <row r="18611" spans="1:5" ht="15" customHeight="1" x14ac:dyDescent="0.25">
      <c r="A18611" s="1" t="s">
        <v>36395</v>
      </c>
      <c r="B18611" s="1">
        <v>0</v>
      </c>
      <c r="C18611" s="3">
        <v>44532.825509259259</v>
      </c>
      <c r="D18611" s="1" t="s">
        <v>36396</v>
      </c>
      <c r="E18611" s="4" t="str">
        <f ca="1">IFERROR(__xludf.DUMMYFUNCTION("GOOGLETRANSLATE(A1414 , ""tr"" , ""en"")"),"@drfahrettinkoca @saglikbakanligi https://t.co/gcpn5vz1yk")</f>
        <v>@drfahrettinkoca @saglikbakanligi https://t.co/gcpn5vz1yk</v>
      </c>
    </row>
    <row r="18612" spans="1:5" ht="15" customHeight="1" x14ac:dyDescent="0.25">
      <c r="A18612" s="1" t="s">
        <v>36397</v>
      </c>
      <c r="B18612" s="1">
        <v>1</v>
      </c>
      <c r="C18612" s="3">
        <v>44532.825335648151</v>
      </c>
      <c r="D18612" s="1" t="s">
        <v>36398</v>
      </c>
      <c r="E18612" s="4" t="str">
        <f ca="1">IFERROR(__xludf.DUMMYFUNCTION("GOOGLETRANSLATE(A1415 , ""tr"" , ""en"")"),"@drfahrettinkoca We are aware of the pandemide you are not aware of the metaphor not how many colleagues did not benefit our land again ... https://t.co/tghsgqbayh")</f>
        <v>@drfahrettinkoca We are aware of the pandemide you are not aware of the metaphor not how many colleagues did not benefit our land again ... https://t.co/tghsgqbayh</v>
      </c>
    </row>
    <row r="18613" spans="1:5" ht="15" customHeight="1" x14ac:dyDescent="0.25">
      <c r="A18613" s="1" t="s">
        <v>36399</v>
      </c>
      <c r="B18613" s="1">
        <v>0</v>
      </c>
      <c r="C18613" s="3">
        <v>44532.825127314813</v>
      </c>
      <c r="D18613" s="1" t="s">
        <v>36400</v>
      </c>
      <c r="E18613" s="4" t="str">
        <f ca="1">IFERROR(__xludf.DUMMYFUNCTION("GOOGLETRANSLATE(A1416 , ""tr"" , ""en"")"),"@drfahrettinkoca or @drfahrettinkoca Do you do the explace to Allah, but scientific but filimal? ... https://t.co/sxp1kqpoja")</f>
        <v>@drfahrettinkoca or @drfahrettinkoca Do you do the explace to Allah, but scientific but filimal? ... https://t.co/sxp1kqpoja</v>
      </c>
    </row>
    <row r="18614" spans="1:5" ht="15" customHeight="1" x14ac:dyDescent="0.25">
      <c r="A18614" s="1" t="s">
        <v>36401</v>
      </c>
      <c r="B18614" s="1">
        <v>1</v>
      </c>
      <c r="C18614" s="3">
        <v>44532.824907407405</v>
      </c>
      <c r="D18614" s="1" t="s">
        <v>36402</v>
      </c>
      <c r="E18614" s="4" t="str">
        <f ca="1">IFERROR(__xludf.DUMMYFUNCTION("GOOGLETRANSLATE(A1417 , ""tr"" , ""en"")"),"@drfahrettinkoca is the undertaking. 5000 TL ZAM for hike arrived very well. 😠 Your fervorization. Sink us to yukce ... https://t.co/x38tw2w4iy")</f>
        <v>@drfahrettinkoca is the undertaking. 5000 TL ZAM for hike arrived very well. 😠 Your fervorization. Sink us to yukce ... https://t.co/x38tw2w4iy</v>
      </c>
    </row>
    <row r="18615" spans="1:5" ht="15" customHeight="1" x14ac:dyDescent="0.25">
      <c r="A18615" s="1" t="s">
        <v>36403</v>
      </c>
      <c r="B18615" s="1">
        <v>0</v>
      </c>
      <c r="C18615" s="3">
        <v>44532.82476851852</v>
      </c>
      <c r="D18615" s="1" t="s">
        <v>36404</v>
      </c>
      <c r="E18615" s="4" t="str">
        <f ca="1">IFERROR(__xludf.DUMMYFUNCTION("GOOGLETRANSLATE(A1418 , ""tr"" , ""en"")"),"@drfahrettinkoca @saglikbakanligi @ssbsemihdurmus https://t.co/sokbhsaljs")</f>
        <v>@drfahrettinkoca @saglikbakanligi @ssbsemihdurmus https://t.co/sokbhsaljs</v>
      </c>
    </row>
    <row r="18616" spans="1:5" ht="15" customHeight="1" x14ac:dyDescent="0.25">
      <c r="A18616" s="1" t="s">
        <v>36405</v>
      </c>
      <c r="B18616" s="1">
        <v>0</v>
      </c>
      <c r="C18616" s="3">
        <v>44532.824305555558</v>
      </c>
      <c r="D18616" s="1" t="s">
        <v>36406</v>
      </c>
      <c r="E18616" s="4" t="str">
        <f ca="1">IFERROR(__xludf.DUMMYFUNCTION("GOOGLETRANSLATE(A1419 , ""tr"" , ""en"")"),"@drfahrettinkoca @saglikbakanligi @ssbsemihdurmus https://t.co/fmt5hjvgap")</f>
        <v>@drfahrettinkoca @saglikbakanligi @ssbsemihdurmus https://t.co/fmt5hjvgap</v>
      </c>
    </row>
    <row r="18617" spans="1:5" ht="15" customHeight="1" x14ac:dyDescent="0.25">
      <c r="A18617" s="1" t="s">
        <v>36407</v>
      </c>
      <c r="B18617" s="1">
        <v>0</v>
      </c>
      <c r="C18617" s="3">
        <v>44532.823009259257</v>
      </c>
      <c r="D18617" s="1" t="s">
        <v>36408</v>
      </c>
      <c r="E18617" s="4" t="str">
        <f ca="1">IFERROR(__xludf.DUMMYFUNCTION("GOOGLETRANSLATE(A1420 , ""tr"" , ""en"")"),"@drfahrettinkoca @saglikbakanligi @ssbsemihdurmus https://t.co/nh8yIwlcbk")</f>
        <v>@drfahrettinkoca @saglikbakanligi @ssbsemihdurmus https://t.co/nh8yIwlcbk</v>
      </c>
    </row>
    <row r="18618" spans="1:5" ht="15" customHeight="1" x14ac:dyDescent="0.25">
      <c r="A18618" s="1" t="s">
        <v>36409</v>
      </c>
      <c r="B18618" s="1">
        <v>0</v>
      </c>
      <c r="C18618" s="3">
        <v>44532.822453703702</v>
      </c>
      <c r="D18618" s="1" t="s">
        <v>36410</v>
      </c>
      <c r="E18618" s="4" t="str">
        <f ca="1">IFERROR(__xludf.DUMMYFUNCTION("GOOGLETRANSLATE(A1421 , ""tr"" , ""en"")"),"@drfahrettinkoca @saglikbakanligi https://t.co/opbtqf4nyt")</f>
        <v>@drfahrettinkoca @saglikbakanligi https://t.co/opbtqf4nyt</v>
      </c>
    </row>
    <row r="18619" spans="1:5" ht="15" customHeight="1" x14ac:dyDescent="0.25">
      <c r="A18619" s="1" t="s">
        <v>36411</v>
      </c>
      <c r="B18619" s="1">
        <v>0</v>
      </c>
      <c r="C18619" s="3">
        <v>44532.820659722223</v>
      </c>
      <c r="D18619" s="1" t="s">
        <v>36412</v>
      </c>
      <c r="E18619" s="4" t="str">
        <f ca="1">IFERROR(__xludf.DUMMYFUNCTION("GOOGLETRANSLATE(A1422 , ""tr"" , ""en"")"),"@drfahrettinka https://t.co/qduljgiypw")</f>
        <v>@drfahrettinka https://t.co/qduljgiypw</v>
      </c>
    </row>
    <row r="18620" spans="1:5" ht="15" customHeight="1" x14ac:dyDescent="0.25">
      <c r="A18620" s="1" t="s">
        <v>36413</v>
      </c>
      <c r="B18620" s="1">
        <v>1</v>
      </c>
      <c r="C18620" s="3">
        <v>44532.8203125</v>
      </c>
      <c r="D18620" s="1" t="s">
        <v>36414</v>
      </c>
      <c r="E18620" s="4" t="str">
        <f ca="1">IFERROR(__xludf.DUMMYFUNCTION("GOOGLETRANSLATE(A1423 , ""tr"" , ""en"")"),"@drfahrettinkoca @saglikbakanligi https://t.co/me4mgg9ekr")</f>
        <v>@drfahrettinkoca @saglikbakanligi https://t.co/me4mgg9ekr</v>
      </c>
    </row>
    <row r="18621" spans="1:5" ht="15" customHeight="1" x14ac:dyDescent="0.25">
      <c r="A18621" s="1" t="s">
        <v>36415</v>
      </c>
      <c r="B18621" s="1">
        <v>0</v>
      </c>
      <c r="C18621" s="3">
        <v>44532.820104166669</v>
      </c>
      <c r="D18621" s="1" t="s">
        <v>36416</v>
      </c>
      <c r="E18621" s="4" t="str">
        <f ca="1">IFERROR(__xludf.DUMMYFUNCTION("GOOGLETRANSLATE(A1424 , ""tr"" , ""en"")"),"@drfahrettinkoca @saglikbakanligi https://t.co/jwvbhbzbwz")</f>
        <v>@drfahrettinkoca @saglikbakanligi https://t.co/jwvbhbzbwz</v>
      </c>
    </row>
    <row r="18622" spans="1:5" ht="15" customHeight="1" x14ac:dyDescent="0.25">
      <c r="A18622" s="1" t="s">
        <v>36417</v>
      </c>
      <c r="B18622" s="1">
        <v>0</v>
      </c>
      <c r="C18622" s="3">
        <v>44532.819988425923</v>
      </c>
      <c r="D18622" s="1" t="s">
        <v>36418</v>
      </c>
      <c r="E18622" s="4" t="str">
        <f ca="1">IFERROR(__xludf.DUMMYFUNCTION("GOOGLETRANSLATE(A1425 , ""tr"" , ""en"")"),"@drfahrettinka https://t.co/wgbtcy4beq")</f>
        <v>@drfahrettinka https://t.co/wgbtcy4beq</v>
      </c>
    </row>
    <row r="18623" spans="1:5" ht="15" customHeight="1" x14ac:dyDescent="0.25">
      <c r="A18623" s="1" t="s">
        <v>36419</v>
      </c>
      <c r="B18623" s="1">
        <v>3</v>
      </c>
      <c r="C18623" s="3">
        <v>44532.817442129628</v>
      </c>
      <c r="D18623" s="1" t="s">
        <v>36420</v>
      </c>
      <c r="E18623" s="4" t="str">
        <f ca="1">IFERROR(__xludf.DUMMYFUNCTION("GOOGLETRANSLATE(A1426 , ""tr"" , ""en"")"),"@drfahrettinkoca @serapssimsekyvz @dralpersener @Alpayazap @drtevfikozlu @Afusateskara @fusuneyuboglu @ esenol ... https://t.co/Io2w9nedzs")</f>
        <v>@drfahrettinkoca @serapssimsekyvz @dralpersener @Alpayazap @drtevfikozlu @Afusateskara @fusuneyuboglu @ esenol ... https://t.co/Io2w9nedzs</v>
      </c>
    </row>
    <row r="18624" spans="1:5" ht="15" customHeight="1" x14ac:dyDescent="0.25">
      <c r="A18624" s="1" t="s">
        <v>36421</v>
      </c>
      <c r="B18624" s="1">
        <v>1</v>
      </c>
      <c r="C18624" s="3">
        <v>44532.813136574077</v>
      </c>
      <c r="D18624" s="1" t="s">
        <v>36422</v>
      </c>
      <c r="E18624" s="4" t="str">
        <f ca="1">IFERROR(__xludf.DUMMYFUNCTION("GOOGLETRANSLATE(A1427 , ""tr"" , ""en"")"),"@drfahrettinka https://t.co/5oczz5sbxh")</f>
        <v>@drfahrettinka https://t.co/5oczz5sbxh</v>
      </c>
    </row>
    <row r="18625" spans="1:5" ht="15" customHeight="1" x14ac:dyDescent="0.25">
      <c r="A18625" s="1" t="s">
        <v>36423</v>
      </c>
      <c r="B18625" s="1">
        <v>2</v>
      </c>
      <c r="C18625" s="3">
        <v>44532.808541666665</v>
      </c>
      <c r="D18625" s="1" t="s">
        <v>36424</v>
      </c>
      <c r="E18625" s="4" t="str">
        <f ca="1">IFERROR(__xludf.DUMMYFUNCTION("GOOGLETRANSLATE(A1428 , ""tr"" , ""en"")"),"@drfahrettinkoca # Healthconship Gun Income Don't Find Saglikci in Your Hospital ... Insallah ... You are ... https://t.co/ITzzjlkuhl")</f>
        <v>@drfahrettinkoca # Healthconship Gun Income Don't Find Saglikci in Your Hospital ... Insallah ... You are ... https://t.co/ITzzjlkuhl</v>
      </c>
    </row>
    <row r="18626" spans="1:5" ht="15" customHeight="1" x14ac:dyDescent="0.25">
      <c r="A18626" s="1" t="s">
        <v>36425</v>
      </c>
      <c r="B18626" s="1">
        <v>0</v>
      </c>
      <c r="C18626" s="3">
        <v>44532.805636574078</v>
      </c>
      <c r="D18626" s="1" t="s">
        <v>36426</v>
      </c>
      <c r="E18626" s="4" t="str">
        <f ca="1">IFERROR(__xludf.DUMMYFUNCTION("GOOGLETRANSLATE(A1429 , ""tr"" , ""en"")"),"@drfahrettinkoca @drfahrettinkoca # Healthconship HTTPS://T.CO/ZVCJWUOINT")</f>
        <v>@drfahrettinkoca @drfahrettinkoca # Healthconship HTTPS://T.CO/ZVCJWUOINT</v>
      </c>
    </row>
    <row r="18627" spans="1:5" ht="15" customHeight="1" x14ac:dyDescent="0.25">
      <c r="A18627" s="1" t="s">
        <v>36427</v>
      </c>
      <c r="B18627" s="1">
        <v>0</v>
      </c>
      <c r="C18627" s="3">
        <v>44532.805138888885</v>
      </c>
      <c r="D18627" s="1" t="s">
        <v>36428</v>
      </c>
      <c r="E18627" s="4" t="str">
        <f ca="1">IFERROR(__xludf.DUMMYFUNCTION("GOOGLETRANSLATE(A1430 , ""tr"" , ""en"")"),"@drfahrettinkoca @ssbsemihdurmus @sgliksen @retisim @rterdogan @_aliyalcin_ @Tcbestepe # Hemsire ... https://t.co/80b2sfd9qg")</f>
        <v>@drfahrettinkoca @ssbsemihdurmus @sgliksen @retisim @rterdogan @_aliyalcin_ @Tcbestepe # Hemsire ... https://t.co/80b2sfd9qg</v>
      </c>
    </row>
    <row r="18628" spans="1:5" ht="15" customHeight="1" x14ac:dyDescent="0.25">
      <c r="A18628" s="1" t="s">
        <v>36429</v>
      </c>
      <c r="B18628" s="1">
        <v>1</v>
      </c>
      <c r="C18628" s="3">
        <v>44532.804270833331</v>
      </c>
      <c r="D18628" s="1" t="s">
        <v>36430</v>
      </c>
      <c r="E18628" s="4" t="str">
        <f ca="1">IFERROR(__xludf.DUMMYFUNCTION("GOOGLETRANSLATE(A1431 , ""tr"" , ""en"")"),"@drfahrettinkoca # Healthconship Https://t.co/4dfgvwspgj")</f>
        <v>@drfahrettinkoca # Healthconship Https://t.co/4dfgvwspgj</v>
      </c>
    </row>
    <row r="18629" spans="1:5" ht="15" customHeight="1" x14ac:dyDescent="0.25">
      <c r="A18629" s="1" t="s">
        <v>36431</v>
      </c>
      <c r="B18629" s="1">
        <v>0</v>
      </c>
      <c r="C18629" s="3">
        <v>44532.803900462961</v>
      </c>
      <c r="D18629" s="1" t="s">
        <v>36432</v>
      </c>
      <c r="E18629" s="4" t="str">
        <f ca="1">IFERROR(__xludf.DUMMYFUNCTION("GOOGLETRANSLATE(A1432 , ""tr"" , ""en"")"),"@drfahrettinka https://t.co/q4ozropcw6")</f>
        <v>@drfahrettinka https://t.co/q4ozropcw6</v>
      </c>
    </row>
    <row r="18630" spans="1:5" ht="15" customHeight="1" x14ac:dyDescent="0.25">
      <c r="A18630" s="1" t="s">
        <v>36433</v>
      </c>
      <c r="B18630" s="1">
        <v>0</v>
      </c>
      <c r="C18630" s="3">
        <v>44532.802175925928</v>
      </c>
      <c r="D18630" s="1" t="s">
        <v>36434</v>
      </c>
      <c r="E18630" s="4" t="str">
        <f ca="1">IFERROR(__xludf.DUMMYFUNCTION("GOOGLETRANSLATE(A1433 , ""tr"" , ""en"")"),"@drfahrettinkoca currently what happens to SMA, what will be what happens to say?! .. https://t.co/bnoktvunme")</f>
        <v>@drfahrettinkoca currently what happens to SMA, what will be what happens to say?! .. https://t.co/bnoktvunme</v>
      </c>
    </row>
    <row r="18631" spans="1:5" ht="15" customHeight="1" x14ac:dyDescent="0.25">
      <c r="A18631" s="1" t="s">
        <v>25893</v>
      </c>
      <c r="B18631" s="1">
        <v>0</v>
      </c>
      <c r="C18631" s="3">
        <v>44532.801111111112</v>
      </c>
      <c r="D18631" s="1" t="s">
        <v>36435</v>
      </c>
      <c r="E18631" s="4" t="str">
        <f ca="1">IFERROR(__xludf.DUMMYFUNCTION("GOOGLETRANSLATE(A1434 , ""tr"" , ""en"")"),"@drfahrettinkoca #wealthy")</f>
        <v>@drfahrettinkoca #wealthy</v>
      </c>
    </row>
    <row r="18632" spans="1:5" ht="15" customHeight="1" x14ac:dyDescent="0.25">
      <c r="A18632" s="1" t="s">
        <v>36436</v>
      </c>
      <c r="B18632" s="1">
        <v>0</v>
      </c>
      <c r="C18632" s="3">
        <v>44532.800150462965</v>
      </c>
      <c r="D18632" s="1" t="s">
        <v>36437</v>
      </c>
      <c r="E18632" s="4" t="str">
        <f ca="1">IFERROR(__xludf.DUMMYFUNCTION("GOOGLETRANSLATE(A1435 , ""tr"" , ""en"")"),"@drfahrettinkoca @saglikbakanligi @fahrettinaltun @rterdogan #the onlineEducationCallators Https://t.co/UFP63NBZJQ")</f>
        <v>@drfahrettinkoca @saglikbakanligi @fahrettinaltun @rterdogan #the onlineEducationCallators Https://t.co/UFP63NBZJQ</v>
      </c>
    </row>
    <row r="18633" spans="1:5" ht="15" customHeight="1" x14ac:dyDescent="0.25">
      <c r="A18633" s="1" t="s">
        <v>36438</v>
      </c>
      <c r="B18633" s="1">
        <v>0</v>
      </c>
      <c r="C18633" s="3">
        <v>44532.79996527778</v>
      </c>
      <c r="D18633" s="1" t="s">
        <v>36439</v>
      </c>
      <c r="E18633" s="4" t="str">
        <f ca="1">IFERROR(__xludf.DUMMYFUNCTION("GOOGLETRANSLATE(A1436 , ""tr"" , ""en"")"),"@drfahrettinkoca @rterdogan # Healthconship Https://t.co/y0s5r1bwv9")</f>
        <v>@drfahrettinkoca @rterdogan # Healthconship Https://t.co/y0s5r1bwv9</v>
      </c>
    </row>
    <row r="18634" spans="1:5" ht="15" customHeight="1" x14ac:dyDescent="0.25">
      <c r="A18634" s="1" t="s">
        <v>36440</v>
      </c>
      <c r="B18634" s="1">
        <v>2</v>
      </c>
      <c r="C18634" s="3">
        <v>44532.798946759256</v>
      </c>
      <c r="D18634" s="1" t="s">
        <v>36441</v>
      </c>
      <c r="E18634" s="4" t="str">
        <f ca="1">IFERROR(__xludf.DUMMYFUNCTION("GOOGLETRANSLATE(A1437 , ""tr"" , ""en"")"),"@drfahrettinkoca @rterdogan @saglikcibirligi @sagltum @hemsireyizbiz # Healthconsence is enough so fingers ... https://t.co/sosm9jllmh")</f>
        <v>@drfahrettinkoca @rterdogan @saglikcibirligi @sagltum @hemsireyizbiz # Healthconsence is enough so fingers ... https://t.co/sosm9jllmh</v>
      </c>
    </row>
    <row r="18635" spans="1:5" ht="15" customHeight="1" x14ac:dyDescent="0.25">
      <c r="A18635" s="1" t="s">
        <v>36442</v>
      </c>
      <c r="B18635" s="1">
        <v>0</v>
      </c>
      <c r="C18635" s="3">
        <v>44532.798055555555</v>
      </c>
      <c r="D18635" s="1" t="s">
        <v>36443</v>
      </c>
      <c r="E18635" s="4" t="str">
        <f ca="1">IFERROR(__xludf.DUMMYFUNCTION("GOOGLETRANSLATE(A1438 , ""tr"" , ""en"")"),"@drfahrettinkoca ask see if reise variant has come https://t.co/scmzq2Iwzq")</f>
        <v>@drfahrettinkoca ask see if reise variant has come https://t.co/scmzq2Iwzq</v>
      </c>
    </row>
    <row r="18636" spans="1:5" ht="15" customHeight="1" x14ac:dyDescent="0.25">
      <c r="A18636" s="1" t="s">
        <v>36444</v>
      </c>
      <c r="B18636" s="1">
        <v>0</v>
      </c>
      <c r="C18636" s="3">
        <v>44532.797314814816</v>
      </c>
      <c r="D18636" s="1" t="s">
        <v>36445</v>
      </c>
      <c r="E18636" s="4" t="str">
        <f ca="1">IFERROR(__xludf.DUMMYFUNCTION("GOOGLETRANSLATE(A1439 , ""tr"" , ""en"")"),"@drfahrettinkoca Liquid Minister, While your gorder you are connected does not trust, folks? will trust. 😏 Stayed, Turkey Cumh ... https://t.co/SJQ6IIWDZG")</f>
        <v>@drfahrettinkoca Liquid Minister, While your gorder you are connected does not trust, folks? will trust. 😏 Stayed, Turkey Cumh ... https://t.co/SJQ6IIWDZG</v>
      </c>
    </row>
    <row r="18637" spans="1:5" ht="15" customHeight="1" x14ac:dyDescent="0.25">
      <c r="A18637" s="1" t="s">
        <v>36446</v>
      </c>
      <c r="B18637" s="1">
        <v>2</v>
      </c>
      <c r="C18637" s="3">
        <v>44532.797094907408</v>
      </c>
      <c r="D18637" s="1" t="s">
        <v>36447</v>
      </c>
      <c r="E18637" s="4" t="str">
        <f ca="1">IFERROR(__xludf.DUMMYFUNCTION("GOOGLETRANSLATE(A1440 , ""tr"" , ""en"")"),"@drfahrettinkoca @rterdogan @saglikcibirligi @sagltum @hemsireyizbiz # Healthconscence Teachers Know this job ... HTTPS://T.CO/GNEIWFG4VP")</f>
        <v>@drfahrettinkoca @rterdogan @saglikcibirligi @sagltum @hemsireyizbiz # Healthconscence Teachers Know this job ... HTTPS://T.CO/GNEIWFG4VP</v>
      </c>
    </row>
    <row r="18638" spans="1:5" ht="15" customHeight="1" x14ac:dyDescent="0.25">
      <c r="A18638" s="1" t="s">
        <v>36448</v>
      </c>
      <c r="B18638" s="1">
        <v>3</v>
      </c>
      <c r="C18638" s="3">
        <v>44532.796319444446</v>
      </c>
      <c r="D18638" s="1" t="s">
        <v>36449</v>
      </c>
      <c r="E18638" s="4" t="str">
        <f ca="1">IFERROR(__xludf.DUMMYFUNCTION("GOOGLETRANSLATE(A1441 , ""tr"" , ""en"")"),"@drfahrettinkoca @rterdogan @saglikcibirligi @sagltum @hemsireyizbiz # Healthconship will be able to find support perhaps, ... https://t.co/3lccu9wovq")</f>
        <v>@drfahrettinkoca @rterdogan @saglikcibirligi @sagltum @hemsireyizbiz # Healthconship will be able to find support perhaps, ... https://t.co/3lccu9wovq</v>
      </c>
    </row>
    <row r="18639" spans="1:5" ht="15" customHeight="1" x14ac:dyDescent="0.25">
      <c r="A18639" s="1" t="s">
        <v>36450</v>
      </c>
      <c r="B18639" s="1">
        <v>3</v>
      </c>
      <c r="C18639" s="3">
        <v>44532.795706018522</v>
      </c>
      <c r="D18639" s="1" t="s">
        <v>36451</v>
      </c>
      <c r="E18639" s="4" t="str">
        <f ca="1">IFERROR(__xludf.DUMMYFUNCTION("GOOGLETRANSLATE(A1442 , ""tr"" , ""en"")"),"@drfahrettinkoca @rterdogan @saglikcibirligi @sagltum @hemsireyizbiz # Healthconship does not ask you, Sorsa B ... https://t.co/6qxfqiytyu")</f>
        <v>@drfahrettinkoca @rterdogan @saglikcibirligi @sagltum @hemsireyizbiz # Healthconship does not ask you, Sorsa B ... https://t.co/6qxfqiytyu</v>
      </c>
    </row>
    <row r="18640" spans="1:5" ht="15" customHeight="1" x14ac:dyDescent="0.25">
      <c r="A18640" s="1" t="s">
        <v>36452</v>
      </c>
      <c r="B18640" s="1">
        <v>4</v>
      </c>
      <c r="C18640" s="3">
        <v>44532.79488425926</v>
      </c>
      <c r="D18640" s="1" t="s">
        <v>36453</v>
      </c>
      <c r="E18640" s="4" t="str">
        <f ca="1">IFERROR(__xludf.DUMMYFUNCTION("GOOGLETRANSLATE(A1443 , ""tr"" , ""en"")"),"@drfahrettinkoca @rterdogan @saglikcibirligi @sagltum @hemsireyizbiz @sagltum @hemsireyizbiz # HealthconshipsHealthy Tag Do Not Comment Comment Full ... https://t.co/qwvdzztamw")</f>
        <v>@drfahrettinkoca @rterdogan @saglikcibirligi @sagltum @hemsireyizbiz @sagltum @hemsireyizbiz # HealthconshipsHealthy Tag Do Not Comment Comment Full ... https://t.co/qwvdzztamw</v>
      </c>
    </row>
    <row r="18641" spans="1:5" ht="15" customHeight="1" x14ac:dyDescent="0.25">
      <c r="A18641" s="1" t="s">
        <v>36454</v>
      </c>
      <c r="B18641" s="1">
        <v>0</v>
      </c>
      <c r="C18641" s="3">
        <v>44532.793275462966</v>
      </c>
      <c r="D18641" s="1" t="s">
        <v>36455</v>
      </c>
      <c r="E18641" s="4" t="str">
        <f ca="1">IFERROR(__xludf.DUMMYFUNCTION("GOOGLETRANSLATE(A1444 , ""tr"" , ""en"")"),"@drfahrettinkoca Fixed Additional Pay to Pump In A Pay item as if it has made a salary increase in the media n ... https://t.co/n7y350rıtk")</f>
        <v>@drfahrettinkoca Fixed Additional Pay to Pump In A Pay item as if it has made a salary increase in the media n ... https://t.co/n7y350rıtk</v>
      </c>
    </row>
    <row r="18642" spans="1:5" ht="15" customHeight="1" x14ac:dyDescent="0.25">
      <c r="A18642" s="1" t="s">
        <v>36456</v>
      </c>
      <c r="B18642" s="1">
        <v>0</v>
      </c>
      <c r="C18642" s="3">
        <v>44532.793078703704</v>
      </c>
      <c r="D18642" s="1" t="s">
        <v>36457</v>
      </c>
      <c r="E18642" s="4" t="str">
        <f ca="1">IFERROR(__xludf.DUMMYFUNCTION("GOOGLETRANSLATE(A1445 , ""tr"" , ""en"")"),"@drfahrettinka has carried the European job to this point. When are we? How many mutations should we wait? https://t.co/cgk6wqdnfu")</f>
        <v>@drfahrettinka has carried the European job to this point. When are we? How many mutations should we wait? https://t.co/cgk6wqdnfu</v>
      </c>
    </row>
    <row r="18643" spans="1:5" ht="15" customHeight="1" x14ac:dyDescent="0.25">
      <c r="A18643" s="1" t="s">
        <v>25893</v>
      </c>
      <c r="B18643" s="1">
        <v>3</v>
      </c>
      <c r="C18643" s="3">
        <v>44532.792395833334</v>
      </c>
      <c r="D18643" s="1" t="s">
        <v>36458</v>
      </c>
      <c r="E18643" s="4" t="str">
        <f ca="1">IFERROR(__xludf.DUMMYFUNCTION("GOOGLETRANSLATE(A1446 , ""tr"" , ""en"")"),"@drfahrettinkoca #wealthy")</f>
        <v>@drfahrettinkoca #wealthy</v>
      </c>
    </row>
    <row r="18644" spans="1:5" ht="15" customHeight="1" x14ac:dyDescent="0.25">
      <c r="A18644" s="1" t="s">
        <v>36459</v>
      </c>
      <c r="B18644" s="1">
        <v>4</v>
      </c>
      <c r="C18644" s="3">
        <v>44532.791932870372</v>
      </c>
      <c r="D18644" s="1" t="s">
        <v>36460</v>
      </c>
      <c r="E18644" s="4" t="str">
        <f ca="1">IFERROR(__xludf.DUMMYFUNCTION("GOOGLETRANSLATE(A1447 , ""tr"" , ""en"")"),"@drfahrettinkoca @rterdogan @saglikcibirligi @sagltum @hemsireyizbiz # Healthcyclicism is the martyr of these people ... https://t.co/E9AUZIEMER")</f>
        <v>@drfahrettinkoca @rterdogan @saglikcibirligi @sagltum @hemsireyizbiz # Healthcyclicism is the martyr of these people ... https://t.co/E9AUZIEMER</v>
      </c>
    </row>
    <row r="18645" spans="1:5" ht="15" customHeight="1" x14ac:dyDescent="0.25">
      <c r="A18645" s="1" t="s">
        <v>36461</v>
      </c>
      <c r="B18645" s="1">
        <v>1</v>
      </c>
      <c r="C18645" s="3">
        <v>44532.791898148149</v>
      </c>
      <c r="D18645" s="1" t="s">
        <v>36462</v>
      </c>
      <c r="E18645" s="4" t="str">
        <f ca="1">IFERROR(__xludf.DUMMYFUNCTION("GOOGLETRANSLATE(A1448 , ""tr"" , ""en"")"),"@drfahrettinkoca does not hear us guide you want guide @rterdogan # rtesağilavuznere")</f>
        <v>@drfahrettinkoca does not hear us guide you want guide @rterdogan # rtesağilavuznere</v>
      </c>
    </row>
    <row r="18646" spans="1:5" ht="15" customHeight="1" x14ac:dyDescent="0.25">
      <c r="A18646" s="1" t="s">
        <v>36463</v>
      </c>
      <c r="B18646" s="1">
        <v>1</v>
      </c>
      <c r="C18646" s="3">
        <v>44532.790289351855</v>
      </c>
      <c r="D18646" s="1" t="s">
        <v>36464</v>
      </c>
      <c r="E18646" s="4" t="str">
        <f ca="1">IFERROR(__xludf.DUMMYFUNCTION("GOOGLETRANSLATE(A1449 , ""tr"" , ""en"")"),"@drfahrettinkoca @rterdogan @saglikcibirligi @sagltum @hemsireyizbiz # Healthconship Https://t.co/axjvrsgivd")</f>
        <v>@drfahrettinkoca @rterdogan @saglikcibirligi @sagltum @hemsireyizbiz # Healthconship Https://t.co/axjvrsgivd</v>
      </c>
    </row>
    <row r="18647" spans="1:5" ht="15" customHeight="1" x14ac:dyDescent="0.25">
      <c r="A18647" s="1" t="s">
        <v>36465</v>
      </c>
      <c r="B18647" s="1">
        <v>1</v>
      </c>
      <c r="C18647" s="3">
        <v>44532.790173611109</v>
      </c>
      <c r="D18647" s="1" t="s">
        <v>36466</v>
      </c>
      <c r="E18647" s="4" t="str">
        <f ca="1">IFERROR(__xludf.DUMMYFUNCTION("GOOGLETRANSLATE(A1450 , ""tr"" , ""en"")"),"@drfahrettinkoca @rterdogan @saglikcibirligi @sagltum @hemsireyizbiz # Healthconship Https://t.co/wdkmbb2rne")</f>
        <v>@drfahrettinkoca @rterdogan @saglikcibirligi @sagltum @hemsireyizbiz # Healthconship Https://t.co/wdkmbb2rne</v>
      </c>
    </row>
    <row r="18648" spans="1:5" ht="15" customHeight="1" x14ac:dyDescent="0.25">
      <c r="A18648" s="1" t="s">
        <v>36467</v>
      </c>
      <c r="B18648" s="1">
        <v>2</v>
      </c>
      <c r="C18648" s="3">
        <v>44532.79</v>
      </c>
      <c r="D18648" s="1" t="s">
        <v>36468</v>
      </c>
      <c r="E18648" s="4" t="str">
        <f ca="1">IFERROR(__xludf.DUMMYFUNCTION("GOOGLETRANSLATE(A1451 , ""tr"" , ""en"")"),"@drfahrettinkoca @rterdogan @saglikcibirligi @sagltum @hemsireyizbiz # Healthconship Https://t.co/lappk8fi3d")</f>
        <v>@drfahrettinkoca @rterdogan @saglikcibirligi @sagltum @hemsireyizbiz # Healthconship Https://t.co/lappk8fi3d</v>
      </c>
    </row>
    <row r="18649" spans="1:5" ht="15" customHeight="1" x14ac:dyDescent="0.25">
      <c r="A18649" s="1" t="s">
        <v>36469</v>
      </c>
      <c r="B18649" s="1">
        <v>0</v>
      </c>
      <c r="C18649" s="3">
        <v>44532.789513888885</v>
      </c>
      <c r="D18649" s="1" t="s">
        <v>36470</v>
      </c>
      <c r="E18649" s="4" t="str">
        <f ca="1">IFERROR(__xludf.DUMMYFUNCTION("GOOGLETRANSLATE(A1452 , ""tr"" , ""en"")"),"@drfahrettinkoca @rterdogan @saglikcibirligi @sagltum @hemsireyizbiz # Healthconship Https://t.co/f1zcgerllx")</f>
        <v>@drfahrettinkoca @rterdogan @saglikcibirligi @sagltum @hemsireyizbiz # Healthconship Https://t.co/f1zcgerllx</v>
      </c>
    </row>
    <row r="18650" spans="1:5" ht="15" customHeight="1" x14ac:dyDescent="0.25">
      <c r="A18650" s="1" t="s">
        <v>36471</v>
      </c>
      <c r="B18650" s="1">
        <v>6</v>
      </c>
      <c r="C18650" s="3">
        <v>44532.788425925923</v>
      </c>
      <c r="D18650" s="1" t="s">
        <v>36472</v>
      </c>
      <c r="E18650" s="4" t="str">
        <f ca="1">IFERROR(__xludf.DUMMYFUNCTION("GOOGLETRANSLATE(A1453 , ""tr"" , ""en"")"),"@drfahrettinkoca @rterdogan @saglikcibirligi @sagltum @hemsireyizbiz # Healthconship Https://t.co/ur9yuftbzf")</f>
        <v>@drfahrettinkoca @rterdogan @saglikcibirligi @sagltum @hemsireyizbiz # Healthconship Https://t.co/ur9yuftbzf</v>
      </c>
    </row>
    <row r="18651" spans="1:5" ht="15" customHeight="1" x14ac:dyDescent="0.25">
      <c r="A18651" s="1" t="s">
        <v>36473</v>
      </c>
      <c r="B18651" s="1">
        <v>0</v>
      </c>
      <c r="C18651" s="3">
        <v>44532.788240740738</v>
      </c>
      <c r="D18651" s="1" t="s">
        <v>36474</v>
      </c>
      <c r="E18651" s="4" t="str">
        <f ca="1">IFERROR(__xludf.DUMMYFUNCTION("GOOGLETRANSLATE(A1454 , ""tr"" , ""en"")"),"@drfahrettinkoca @rterdogan @saglikcibirligi @sagltum @hemsireyizbiz # Healthconship Https://t.co/cogno04b4o")</f>
        <v>@drfahrettinkoca @rterdogan @saglikcibirligi @sagltum @hemsireyizbiz # Healthconship Https://t.co/cogno04b4o</v>
      </c>
    </row>
    <row r="18652" spans="1:5" ht="15" customHeight="1" x14ac:dyDescent="0.25">
      <c r="A18652" s="1" t="s">
        <v>36475</v>
      </c>
      <c r="B18652" s="1">
        <v>0</v>
      </c>
      <c r="C18652" s="3">
        <v>44532.787129629629</v>
      </c>
      <c r="D18652" s="1" t="s">
        <v>36476</v>
      </c>
      <c r="E18652" s="4" t="str">
        <f ca="1">IFERROR(__xludf.DUMMYFUNCTION("GOOGLETRANSLATE(A1455 , ""tr"" , ""en"")"),"@drfahrettinkoca @rterdogan @saglikcibirligi @sagltum @hemsireyizbiz # Healthconship Https://t.co/19k9eznkho")</f>
        <v>@drfahrettinkoca @rterdogan @saglikcibirligi @sagltum @hemsireyizbiz # Healthconship Https://t.co/19k9eznkho</v>
      </c>
    </row>
    <row r="18653" spans="1:5" ht="15" customHeight="1" x14ac:dyDescent="0.25">
      <c r="A18653" s="1" t="s">
        <v>36477</v>
      </c>
      <c r="B18653" s="1">
        <v>0</v>
      </c>
      <c r="C18653" s="3">
        <v>44532.786793981482</v>
      </c>
      <c r="D18653" s="1" t="s">
        <v>36478</v>
      </c>
      <c r="E18653" s="4" t="str">
        <f ca="1">IFERROR(__xludf.DUMMYFUNCTION("GOOGLETRANSLATE(A1456 , ""tr"" , ""en"")"),"@drfahrettinkoca @rterdogan @saglikcibirligi @sagltum @hemsireyizbiz # Healthconship HTTPS://T.CO/HBPNXNIUO0")</f>
        <v>@drfahrettinkoca @rterdogan @saglikcibirligi @sagltum @hemsireyizbiz # Healthconship HTTPS://T.CO/HBPNXNIUO0</v>
      </c>
    </row>
    <row r="18654" spans="1:5" ht="15" customHeight="1" x14ac:dyDescent="0.25">
      <c r="A18654" s="1" t="s">
        <v>36479</v>
      </c>
      <c r="B18654" s="1">
        <v>0</v>
      </c>
      <c r="C18654" s="3">
        <v>44532.786620370367</v>
      </c>
      <c r="D18654" s="1" t="s">
        <v>36480</v>
      </c>
      <c r="E18654" s="4" t="str">
        <f ca="1">IFERROR(__xludf.DUMMYFUNCTION("GOOGLETRANSLATE(A1457 , ""tr"" , ""en"")"),"@drfahrettinkoca @rterdogan @saglikcibirligi @sagltum @hemsireyizbiz # Healthconship Https://t.co/jwxy6wvjlx")</f>
        <v>@drfahrettinkoca @rterdogan @saglikcibirligi @sagltum @hemsireyizbiz # Healthconship Https://t.co/jwxy6wvjlx</v>
      </c>
    </row>
    <row r="18655" spans="1:5" ht="15" customHeight="1" x14ac:dyDescent="0.25">
      <c r="A18655" s="1" t="s">
        <v>36481</v>
      </c>
      <c r="B18655" s="1">
        <v>0</v>
      </c>
      <c r="C18655" s="3">
        <v>44532.78638888889</v>
      </c>
      <c r="D18655" s="1" t="s">
        <v>36482</v>
      </c>
      <c r="E18655" s="4" t="str">
        <f ca="1">IFERROR(__xludf.DUMMYFUNCTION("GOOGLETRANSLATE(A1458 , ""tr"" , ""en"")"),"@drfahrettinkoca @rterdogan @saglikcibirligi @sagltum @hemsireyizbiz # Healthconship Https://t.co/qdydmkxvxx")</f>
        <v>@drfahrettinkoca @rterdogan @saglikcibirligi @sagltum @hemsireyizbiz # Healthconship Https://t.co/qdydmkxvxx</v>
      </c>
    </row>
    <row r="18656" spans="1:5" ht="15" customHeight="1" x14ac:dyDescent="0.25">
      <c r="A18656" s="1" t="s">
        <v>36483</v>
      </c>
      <c r="B18656" s="1">
        <v>0</v>
      </c>
      <c r="C18656" s="3">
        <v>44532.786249999997</v>
      </c>
      <c r="D18656" s="1" t="s">
        <v>36484</v>
      </c>
      <c r="E18656" s="4" t="str">
        <f ca="1">IFERROR(__xludf.DUMMYFUNCTION("GOOGLETRANSLATE(A1459 , ""tr"" , ""en"")"),"@drfahrettinkoca @rterdogan @saglikcibirligi @sagltum @hemsireyizbiz # Healthconship Https://t.co/ljlbrd8gk5")</f>
        <v>@drfahrettinkoca @rterdogan @saglikcibirligi @sagltum @hemsireyizbiz # Healthconship Https://t.co/ljlbrd8gk5</v>
      </c>
    </row>
    <row r="18657" spans="1:5" ht="15" customHeight="1" x14ac:dyDescent="0.25">
      <c r="A18657" s="1" t="s">
        <v>36485</v>
      </c>
      <c r="B18657" s="1">
        <v>2</v>
      </c>
      <c r="C18657" s="3">
        <v>44532.785902777781</v>
      </c>
      <c r="D18657" s="1" t="s">
        <v>36486</v>
      </c>
      <c r="E18657" s="4" t="str">
        <f ca="1">IFERROR(__xludf.DUMMYFUNCTION("GOOGLETRANSLATE(A1460 , ""tr"" , ""en"")"),"@drfahrettinkoca @rterdogan @saglikcibirligi @sagltum @hemsireyizbiz # Healthconship HTTPS://T.CO/ETPEJIHK4W")</f>
        <v>@drfahrettinkoca @rterdogan @saglikcibirligi @sagltum @hemsireyizbiz # Healthconship HTTPS://T.CO/ETPEJIHK4W</v>
      </c>
    </row>
    <row r="18658" spans="1:5" ht="15" customHeight="1" x14ac:dyDescent="0.25">
      <c r="A18658" s="1" t="s">
        <v>36487</v>
      </c>
      <c r="B18658" s="1">
        <v>2</v>
      </c>
      <c r="C18658" s="3">
        <v>44532.785821759258</v>
      </c>
      <c r="D18658" s="1" t="s">
        <v>36488</v>
      </c>
      <c r="E18658" s="4" t="str">
        <f ca="1">IFERROR(__xludf.DUMMYFUNCTION("GOOGLETRANSLATE(A1461 , ""tr"" , ""en"")"),"@drfahrettinkoca @rterdogan @saglikcibirligi @sagltum @hemsireyizbiz # Healthconship Https://t.co/sumbhjlruj")</f>
        <v>@drfahrettinkoca @rterdogan @saglikcibirligi @sagltum @hemsireyizbiz # Healthconship Https://t.co/sumbhjlruj</v>
      </c>
    </row>
    <row r="18659" spans="1:5" ht="15" customHeight="1" x14ac:dyDescent="0.25">
      <c r="A18659" s="1" t="s">
        <v>36489</v>
      </c>
      <c r="B18659" s="1">
        <v>4</v>
      </c>
      <c r="C18659" s="3">
        <v>44532.785601851851</v>
      </c>
      <c r="D18659" s="1" t="s">
        <v>36490</v>
      </c>
      <c r="E18659" s="4" t="str">
        <f ca="1">IFERROR(__xludf.DUMMYFUNCTION("GOOGLETRANSLATE(A1462 , ""tr"" , ""en"")"),"@drfahrettinkoca @rterdogan @saglikcibirligi @sagltum @hemsireyizbiz # Healthconship Https://t.co/qzydsbnqgf")</f>
        <v>@drfahrettinkoca @rterdogan @saglikcibirligi @sagltum @hemsireyizbiz # Healthconship Https://t.co/qzydsbnqgf</v>
      </c>
    </row>
    <row r="18660" spans="1:5" ht="15" customHeight="1" x14ac:dyDescent="0.25">
      <c r="A18660" s="1" t="s">
        <v>36491</v>
      </c>
      <c r="B18660" s="1">
        <v>5</v>
      </c>
      <c r="C18660" s="3">
        <v>44532.785393518519</v>
      </c>
      <c r="D18660" s="1" t="s">
        <v>36492</v>
      </c>
      <c r="E18660" s="4" t="str">
        <f ca="1">IFERROR(__xludf.DUMMYFUNCTION("GOOGLETRANSLATE(A1463 , ""tr"" , ""en"")"),"@drfahrettinkoca @rterdogan @saglikcibirligi @sagltum @hemsireyizbiz # Healthconship Https://t.co/hcikeuunzn")</f>
        <v>@drfahrettinkoca @rterdogan @saglikcibirligi @sagltum @hemsireyizbiz # Healthconship Https://t.co/hcikeuunzn</v>
      </c>
    </row>
    <row r="18661" spans="1:5" ht="15" customHeight="1" x14ac:dyDescent="0.25">
      <c r="A18661" s="1" t="s">
        <v>36493</v>
      </c>
      <c r="B18661" s="1">
        <v>5</v>
      </c>
      <c r="C18661" s="3">
        <v>44532.785266203704</v>
      </c>
      <c r="D18661" s="1" t="s">
        <v>36494</v>
      </c>
      <c r="E18661" s="4" t="str">
        <f ca="1">IFERROR(__xludf.DUMMYFUNCTION("GOOGLETRANSLATE(A1464 , ""tr"" , ""en"")"),"@drfahrettinkoca @rterdogan @saglikcibirligi @sagltum @hemsireyizbiz # Healthconship HTTPS://T.CO/DSISJFMA8H")</f>
        <v>@drfahrettinkoca @rterdogan @saglikcibirligi @sagltum @hemsireyizbiz # Healthconship HTTPS://T.CO/DSISJFMA8H</v>
      </c>
    </row>
    <row r="18662" spans="1:5" ht="15" customHeight="1" x14ac:dyDescent="0.25">
      <c r="A18662" s="1" t="s">
        <v>36495</v>
      </c>
      <c r="B18662" s="1">
        <v>0</v>
      </c>
      <c r="C18662" s="3">
        <v>44532.783692129633</v>
      </c>
      <c r="D18662" s="1" t="s">
        <v>36496</v>
      </c>
      <c r="E18662" s="4" t="str">
        <f ca="1">IFERROR(__xludf.DUMMYFUNCTION("GOOGLETRANSLATE(A1465 , ""tr"" , ""en"")"),"@drfahrettinkoca # Rtesağağilavuznere")</f>
        <v>@drfahrettinkoca # Rtesağağilavuznere</v>
      </c>
    </row>
    <row r="18663" spans="1:5" ht="15" customHeight="1" x14ac:dyDescent="0.25">
      <c r="A18663" s="1" t="s">
        <v>36497</v>
      </c>
      <c r="B18663" s="1">
        <v>0</v>
      </c>
      <c r="C18663" s="3">
        <v>44532.78297453704</v>
      </c>
      <c r="D18663" s="1" t="s">
        <v>36498</v>
      </c>
      <c r="E18663" s="4" t="str">
        <f ca="1">IFERROR(__xludf.DUMMYFUNCTION("GOOGLETRANSLATE(A1466 , ""tr"" , ""en"")"),"@drfahrettinkoca #bearing")</f>
        <v>@drfahrettinkoca #bearing</v>
      </c>
    </row>
    <row r="18664" spans="1:5" ht="15" customHeight="1" x14ac:dyDescent="0.25">
      <c r="A18664" s="1" t="s">
        <v>36499</v>
      </c>
      <c r="B18664" s="1">
        <v>0</v>
      </c>
      <c r="C18664" s="3">
        <v>44532.778854166667</v>
      </c>
      <c r="D18664" s="1" t="s">
        <v>36500</v>
      </c>
      <c r="E18664" s="4" t="str">
        <f ca="1">IFERROR(__xludf.DUMMYFUNCTION("GOOGLETRANSLATE(A1467 , ""tr"" , ""en"")"),"@drfahrettinkoca Health workers are just taking into account my doctors that nurses are hurting, ist ... https://t.co/var3q9clme")</f>
        <v>@drfahrettinkoca Health workers are just taking into account my doctors that nurses are hurting, ist ... https://t.co/var3q9clme</v>
      </c>
    </row>
    <row r="18665" spans="1:5" ht="15" customHeight="1" x14ac:dyDescent="0.25">
      <c r="A18665" s="1" t="s">
        <v>36501</v>
      </c>
      <c r="B18665" s="1">
        <v>2</v>
      </c>
      <c r="C18665" s="3">
        <v>44532.778275462966</v>
      </c>
      <c r="D18665" s="1" t="s">
        <v>36502</v>
      </c>
      <c r="E18665" s="4" t="str">
        <f ca="1">IFERROR(__xludf.DUMMYFUNCTION("GOOGLETRANSLATE(A1468 , ""tr"" , ""en"")"),"@drfahrettinkoca @saglikbakanligi #wealthy Https://t.co/vlbn6uvbcj")</f>
        <v>@drfahrettinkoca @saglikbakanligi #wealthy Https://t.co/vlbn6uvbcj</v>
      </c>
    </row>
    <row r="18666" spans="1:5" ht="15" customHeight="1" x14ac:dyDescent="0.25">
      <c r="A18666" s="1" t="s">
        <v>36503</v>
      </c>
      <c r="B18666" s="1">
        <v>0</v>
      </c>
      <c r="C18666" s="3">
        <v>44532.777997685182</v>
      </c>
      <c r="D18666" s="1" t="s">
        <v>36504</v>
      </c>
      <c r="E18666" s="4" t="str">
        <f ca="1">IFERROR(__xludf.DUMMYFUNCTION("GOOGLETRANSLATE(A1469 , ""tr"" , ""en"")"),"@drfahrettinka https://t.co/mfdzzodybb")</f>
        <v>@drfahrettinka https://t.co/mfdzzodybb</v>
      </c>
    </row>
    <row r="18667" spans="1:5" ht="15" customHeight="1" x14ac:dyDescent="0.25">
      <c r="A18667" s="1" t="s">
        <v>36505</v>
      </c>
      <c r="B18667" s="1">
        <v>1</v>
      </c>
      <c r="C18667" s="3">
        <v>44532.777175925927</v>
      </c>
      <c r="D18667" s="1" t="s">
        <v>36506</v>
      </c>
      <c r="E18667" s="4" t="str">
        <f ca="1">IFERROR(__xludf.DUMMYFUNCTION("GOOGLETRANSLATE(A1470 , ""tr"" , ""en"")"),"@drfahrettinkoca @rterdogan @saglikcibirligi @sagltum @hemsireyizbiz #health @hemsireyizbiz # HealthconshipsAll Your Business Your Power Empty Wtps://T.CO/KBKIMJJOZF")</f>
        <v>@drfahrettinkoca @rterdogan @saglikcibirligi @sagltum @hemsireyizbiz #health @hemsireyizbiz # HealthconshipsAll Your Business Your Power Empty Wtps://T.CO/KBKIMJJOZF</v>
      </c>
    </row>
    <row r="18668" spans="1:5" ht="15" customHeight="1" x14ac:dyDescent="0.25">
      <c r="A18668" s="1" t="s">
        <v>36507</v>
      </c>
      <c r="B18668" s="1">
        <v>1</v>
      </c>
      <c r="C18668" s="3">
        <v>44532.776053240741</v>
      </c>
      <c r="D18668" s="1" t="s">
        <v>36508</v>
      </c>
      <c r="E18668" s="4" t="str">
        <f ca="1">IFERROR(__xludf.DUMMYFUNCTION("GOOGLETRANSLATE(A1471 , ""tr"" , ""en"")"),"@drfahrettinkoca @rterdogan @saglikcibirligi @sagltum @hemsireyizbiz # HealthconshipsAll 😅😅 https://t.co/li7b6qyv3l")</f>
        <v>@drfahrettinkoca @rterdogan @saglikcibirligi @sagltum @hemsireyizbiz # HealthconshipsAll 😅😅 https://t.co/li7b6qyv3l</v>
      </c>
    </row>
    <row r="18669" spans="1:5" ht="15" customHeight="1" x14ac:dyDescent="0.25">
      <c r="A18669" s="1" t="s">
        <v>36509</v>
      </c>
      <c r="B18669" s="1">
        <v>0</v>
      </c>
      <c r="C18669" s="3">
        <v>44532.775625000002</v>
      </c>
      <c r="D18669" s="1" t="s">
        <v>36510</v>
      </c>
      <c r="E18669" s="4" t="str">
        <f ca="1">IFERROR(__xludf.DUMMYFUNCTION("GOOGLETRANSLATE(A1472 , ""tr"" , ""en"")"),"@drfahrettinkoca Ministry of doctors OK are deserving of sure, but the nurse and health care is held in the proportion greens ... https://t.co/94pamhhzap")</f>
        <v>@drfahrettinkoca Ministry of doctors OK are deserving of sure, but the nurse and health care is held in the proportion greens ... https://t.co/94pamhhzap</v>
      </c>
    </row>
    <row r="18670" spans="1:5" ht="15" customHeight="1" x14ac:dyDescent="0.25">
      <c r="A18670" s="1" t="s">
        <v>36511</v>
      </c>
      <c r="B18670" s="1">
        <v>0</v>
      </c>
      <c r="C18670" s="3">
        <v>44532.775381944448</v>
      </c>
      <c r="D18670" s="1" t="s">
        <v>36512</v>
      </c>
      <c r="E18670" s="4" t="str">
        <f ca="1">IFERROR(__xludf.DUMMYFUNCTION("GOOGLETRANSLATE(A1473 , ""tr"" , ""en"")"),"@drfahrettinkca not more than we look for us #wealthy https://t.co/qfyoh6tdqc")</f>
        <v>@drfahrettinkca not more than we look for us #wealthy https://t.co/qfyoh6tdqc</v>
      </c>
    </row>
    <row r="18671" spans="1:5" ht="15" customHeight="1" x14ac:dyDescent="0.25">
      <c r="A18671" s="1" t="s">
        <v>36513</v>
      </c>
      <c r="B18671" s="1">
        <v>1</v>
      </c>
      <c r="C18671" s="3">
        <v>44532.773831018516</v>
      </c>
      <c r="D18671" s="1" t="s">
        <v>36514</v>
      </c>
      <c r="E18671" s="4" t="str">
        <f ca="1">IFERROR(__xludf.DUMMYFUNCTION("GOOGLETRANSLATE(A1474 , ""tr"" , ""en"")"),"@drfahrettinkoca @rterdogan https://t.co/bxx5z7wu0o")</f>
        <v>@drfahrettinkoca @rterdogan https://t.co/bxx5z7wu0o</v>
      </c>
    </row>
    <row r="18672" spans="1:5" ht="15" customHeight="1" x14ac:dyDescent="0.25">
      <c r="A18672" s="1" t="s">
        <v>36515</v>
      </c>
      <c r="B18672" s="1">
        <v>3</v>
      </c>
      <c r="C18672" s="3">
        <v>44532.773229166669</v>
      </c>
      <c r="D18672" s="1" t="s">
        <v>36516</v>
      </c>
      <c r="E18672" s="4" t="str">
        <f ca="1">IFERROR(__xludf.DUMMYFUNCTION("GOOGLETRANSLATE(A1475 , ""tr"" , ""en"")"),"@drfahrettinkoca @rterdogan @saglikcibirligi @sagltum @hemsireyizbiz # HealthconshipsAll have never believed in HTTPS://T.CO/IQMJUSWF8W")</f>
        <v>@drfahrettinkoca @rterdogan @saglikcibirligi @sagltum @hemsireyizbiz # HealthconshipsAll have never believed in HTTPS://T.CO/IQMJUSWF8W</v>
      </c>
    </row>
    <row r="18673" spans="1:5" ht="15" customHeight="1" x14ac:dyDescent="0.25">
      <c r="A18673" s="1" t="s">
        <v>36517</v>
      </c>
      <c r="B18673" s="1">
        <v>3</v>
      </c>
      <c r="C18673" s="3">
        <v>44532.77202546296</v>
      </c>
      <c r="D18673" s="1" t="s">
        <v>36518</v>
      </c>
      <c r="E18673" s="4" t="str">
        <f ca="1">IFERROR(__xludf.DUMMYFUNCTION("GOOGLETRANSLATE(A1476 , ""tr"" , ""en"")"),"@drfahrettinkoca @rterdogan @saglikcibirligi @sagltum @hemsireyizbiz # Healthcyclicism 👏👏👏👏👏 https://t.co/7mxpz6xhy9")</f>
        <v>@drfahrettinkoca @rterdogan @saglikcibirligi @sagltum @hemsireyizbiz # Healthcyclicism 👏👏👏👏👏 https://t.co/7mxpz6xhy9</v>
      </c>
    </row>
    <row r="18674" spans="1:5" ht="15" customHeight="1" x14ac:dyDescent="0.25">
      <c r="A18674" s="1" t="s">
        <v>36519</v>
      </c>
      <c r="B18674" s="1">
        <v>1</v>
      </c>
      <c r="C18674" s="3">
        <v>44532.768993055557</v>
      </c>
      <c r="D18674" s="1" t="s">
        <v>36520</v>
      </c>
      <c r="E18674" s="4" t="str">
        <f ca="1">IFERROR(__xludf.DUMMYFUNCTION("GOOGLETRANSLATE(A1477 , ""tr"" , ""en"")"),"@drfahrettinkoca @rterdogan @saglikcibirligi @sagltum @hemsireyizbiz # HealthconshipsAulting America https://t.co/qg4mrurkqx")</f>
        <v>@drfahrettinkoca @rterdogan @saglikcibirligi @sagltum @hemsireyizbiz # HealthconshipsAulting America https://t.co/qg4mrurkqx</v>
      </c>
    </row>
    <row r="18675" spans="1:5" ht="15" customHeight="1" x14ac:dyDescent="0.25">
      <c r="A18675" s="1" t="s">
        <v>36521</v>
      </c>
      <c r="B18675" s="1">
        <v>0</v>
      </c>
      <c r="C18675" s="3">
        <v>44532.767812500002</v>
      </c>
      <c r="D18675" s="1" t="s">
        <v>36522</v>
      </c>
      <c r="E18675" s="4" t="str">
        <f ca="1">IFERROR(__xludf.DUMMYFUNCTION("GOOGLETRANSLATE(A1478 , ""tr"" , ""en"")"),"@drfahrettinkoca @rterdogan @saglikcibirligi @sagltum @hemsireyizbiz # Healthconship is a good look at the photo. https://t.co/cdhothg5be")</f>
        <v>@drfahrettinkoca @rterdogan @saglikcibirligi @sagltum @hemsireyizbiz # Healthconship is a good look at the photo. https://t.co/cdhothg5be</v>
      </c>
    </row>
    <row r="18676" spans="1:5" ht="15" customHeight="1" x14ac:dyDescent="0.25">
      <c r="A18676" s="1" t="s">
        <v>36523</v>
      </c>
      <c r="B18676" s="1">
        <v>1</v>
      </c>
      <c r="C18676" s="3">
        <v>44532.766909722224</v>
      </c>
      <c r="D18676" s="1" t="s">
        <v>36524</v>
      </c>
      <c r="E18676" s="4" t="str">
        <f ca="1">IFERROR(__xludf.DUMMYFUNCTION("GOOGLETRANSLATE(A1479 , ""tr"" , ""en"")"),"@drfahrettinkoca @rterdogan @saglikcibirligi @sagltum @hemsireyizbiz # Healthconships are made yes applications, ... https://t.co/jyyvsuuv77")</f>
        <v>@drfahrettinkoca @rterdogan @saglikcibirligi @sagltum @hemsireyizbiz # Healthconships are made yes applications, ... https://t.co/jyyvsuuv77</v>
      </c>
    </row>
    <row r="18677" spans="1:5" ht="15" customHeight="1" x14ac:dyDescent="0.25">
      <c r="A18677" s="1" t="s">
        <v>36525</v>
      </c>
      <c r="B18677" s="1">
        <v>1</v>
      </c>
      <c r="C18677" s="3">
        <v>44532.766793981478</v>
      </c>
      <c r="D18677" s="1" t="s">
        <v>36526</v>
      </c>
      <c r="E18677" s="4" t="str">
        <f ca="1">IFERROR(__xludf.DUMMYFUNCTION("GOOGLETRANSLATE(A1480 , ""tr"" , ""en"")"),"@drfahrettinkoca I entered the bottom of the place as a citizen in your place, this avoidable Level Ar ... https://t.co/5zowovmrod")</f>
        <v>@drfahrettinkoca I entered the bottom of the place as a citizen in your place, this avoidable Level Ar ... https://t.co/5zowovmrod</v>
      </c>
    </row>
    <row r="18678" spans="1:5" ht="15" customHeight="1" x14ac:dyDescent="0.25">
      <c r="A18678" s="1" t="s">
        <v>36527</v>
      </c>
      <c r="B18678" s="1">
        <v>0</v>
      </c>
      <c r="C18678" s="3">
        <v>44532.766724537039</v>
      </c>
      <c r="D18678" s="1" t="s">
        <v>36528</v>
      </c>
      <c r="E18678" s="4" t="str">
        <f ca="1">IFERROR(__xludf.DUMMYFUNCTION("GOOGLETRANSLATE(A1481 , ""tr"" , ""en"")"),"@drfahrettinka please give you ears please. https://t.co/bljkddyn0w")</f>
        <v>@drfahrettinka please give you ears please. https://t.co/bljkddyn0w</v>
      </c>
    </row>
    <row r="18679" spans="1:5" ht="15" customHeight="1" x14ac:dyDescent="0.25">
      <c r="A18679" s="1" t="s">
        <v>36529</v>
      </c>
      <c r="B18679" s="1">
        <v>0</v>
      </c>
      <c r="C18679" s="3">
        <v>44532.76666666667</v>
      </c>
      <c r="D18679" s="1" t="s">
        <v>36530</v>
      </c>
      <c r="E18679" s="4" t="str">
        <f ca="1">IFERROR(__xludf.DUMMYFUNCTION("GOOGLETRANSLATE(A1482 , ""tr"" , ""en"")"),"@drfahrettinkoca @rterdogan @meral_aksener https://t.co/9nmmBZI5BV")</f>
        <v>@drfahrettinkoca @rterdogan @meral_aksener https://t.co/9nmmBZI5BV</v>
      </c>
    </row>
    <row r="18680" spans="1:5" ht="15" customHeight="1" x14ac:dyDescent="0.25">
      <c r="A18680" s="1" t="s">
        <v>36531</v>
      </c>
      <c r="B18680" s="1">
        <v>5</v>
      </c>
      <c r="C18680" s="3">
        <v>44532.766319444447</v>
      </c>
      <c r="D18680" s="1" t="s">
        <v>36532</v>
      </c>
      <c r="E18680" s="4" t="str">
        <f ca="1">IFERROR(__xludf.DUMMYFUNCTION("GOOGLETRANSLATE(A1483 , ""tr"" , ""en"")"),"@drfahrettinkoca Recalls our Minister of Health once a year. Physiotherapists Day, Nurses Day, Ebel ... https://t.co/xe9zn18dkt")</f>
        <v>@drfahrettinkoca Recalls our Minister of Health once a year. Physiotherapists Day, Nurses Day, Ebel ... https://t.co/xe9zn18dkt</v>
      </c>
    </row>
    <row r="18681" spans="1:5" ht="15" customHeight="1" x14ac:dyDescent="0.25">
      <c r="A18681" s="1" t="s">
        <v>36533</v>
      </c>
      <c r="B18681" s="1">
        <v>8</v>
      </c>
      <c r="C18681" s="3">
        <v>44532.765682870369</v>
      </c>
      <c r="D18681" s="1" t="s">
        <v>36534</v>
      </c>
      <c r="E18681" s="4" t="str">
        <f ca="1">IFERROR(__xludf.DUMMYFUNCTION("GOOGLETRANSLATE(A1484 , ""tr"" , ""en"")"),"@drfahrettinkoca @rterdogan @saglikcibirligi @sagltum @hemsireyizbiz # HealthconsceAppy everyone Pand in hot house ... https://t.co/zk109kjplm")</f>
        <v>@drfahrettinkoca @rterdogan @saglikcibirligi @sagltum @hemsireyizbiz # HealthconsceAppy everyone Pand in hot house ... https://t.co/zk109kjplm</v>
      </c>
    </row>
    <row r="18682" spans="1:5" ht="15" customHeight="1" x14ac:dyDescent="0.25">
      <c r="A18682" s="1" t="s">
        <v>36535</v>
      </c>
      <c r="B18682" s="1">
        <v>0</v>
      </c>
      <c r="C18682" s="3">
        <v>44532.763483796298</v>
      </c>
      <c r="D18682" s="1" t="s">
        <v>36536</v>
      </c>
      <c r="E18682" s="4" t="str">
        <f ca="1">IFERROR(__xludf.DUMMYFUNCTION("GOOGLETRANSLATE(A1485 , ""tr"" , ""en"")"),"@drfahrettinkoca @tcbestepe @rtedijital @dbdevletbahceli https://t.co/j73zy64o16")</f>
        <v>@drfahrettinkoca @tcbestepe @rtedijital @dbdevletbahceli https://t.co/j73zy64o16</v>
      </c>
    </row>
    <row r="18683" spans="1:5" ht="15" customHeight="1" x14ac:dyDescent="0.25">
      <c r="A18683" s="1" t="s">
        <v>36537</v>
      </c>
      <c r="B18683" s="1">
        <v>1</v>
      </c>
      <c r="C18683" s="3">
        <v>44532.762372685182</v>
      </c>
      <c r="D18683" s="1" t="s">
        <v>36538</v>
      </c>
      <c r="E18683" s="4" t="str">
        <f ca="1">IFERROR(__xludf.DUMMYFUNCTION("GOOGLETRANSLATE(A1486 , ""tr"" , ""en"")"),"@drfahrettinkoca or @ehmetceyhan23 Do the explace to Allah, but scientific but filthy. # December ... https://t.co/qyz8odcququh")</f>
        <v>@drfahrettinkoca or @ehmetceyhan23 Do the explace to Allah, but scientific but filthy. # December ... https://t.co/qyz8odcququh</v>
      </c>
    </row>
    <row r="18684" spans="1:5" ht="15" customHeight="1" x14ac:dyDescent="0.25">
      <c r="A18684" s="1" t="s">
        <v>36539</v>
      </c>
      <c r="B18684" s="1">
        <v>2</v>
      </c>
      <c r="C18684" s="3">
        <v>44532.761678240742</v>
      </c>
      <c r="D18684" s="1" t="s">
        <v>36540</v>
      </c>
      <c r="E18684" s="4" t="str">
        <f ca="1">IFERROR(__xludf.DUMMYFUNCTION("GOOGLETRANSLATE(A1487 , ""tr"" , ""en"")"),"@drfahrettinkoca @rterdogan @saglikcibirligi @sagltum @hemsireyizbiz # HealthconshipsHealthy Health Worker Horse Https://t.co/ypqoocuos8")</f>
        <v>@drfahrettinkoca @rterdogan @saglikcibirligi @sagltum @hemsireyizbiz # HealthconshipsHealthy Health Worker Horse Https://t.co/ypqoocuos8</v>
      </c>
    </row>
    <row r="18685" spans="1:5" ht="15" customHeight="1" x14ac:dyDescent="0.25">
      <c r="A18685" s="1" t="s">
        <v>36541</v>
      </c>
      <c r="B18685" s="1">
        <v>1</v>
      </c>
      <c r="C18685" s="3">
        <v>44532.761631944442</v>
      </c>
      <c r="D18685" s="1" t="s">
        <v>36542</v>
      </c>
      <c r="E18685" s="4" t="str">
        <f ca="1">IFERROR(__xludf.DUMMYFUNCTION("GOOGLETRANSLATE(A1488 , ""tr"" , ""en"")"),"@drfahrettinkoca @rterdogan https://t.co/046kafIi1u")</f>
        <v>@drfahrettinkoca @rterdogan https://t.co/046kafIi1u</v>
      </c>
    </row>
    <row r="18686" spans="1:5" ht="15" customHeight="1" x14ac:dyDescent="0.25">
      <c r="A18686" s="1" t="s">
        <v>36543</v>
      </c>
      <c r="B18686" s="1">
        <v>10</v>
      </c>
      <c r="C18686" s="3">
        <v>44532.761111111111</v>
      </c>
      <c r="D18686" s="1" t="s">
        <v>36544</v>
      </c>
      <c r="E18686" s="4" t="str">
        <f ca="1">IFERROR(__xludf.DUMMYFUNCTION("GOOGLETRANSLATE(A1489 , ""tr"" , ""en"")"),"@drfahrettinkoca This is going to leave this work either you #wealthy")</f>
        <v>@drfahrettinkoca This is going to leave this work either you #wealthy</v>
      </c>
    </row>
    <row r="18687" spans="1:5" ht="15" customHeight="1" x14ac:dyDescent="0.25">
      <c r="A18687" s="1" t="s">
        <v>36545</v>
      </c>
      <c r="B18687" s="1">
        <v>1</v>
      </c>
      <c r="C18687" s="3">
        <v>44532.758043981485</v>
      </c>
      <c r="D18687" s="1" t="s">
        <v>36546</v>
      </c>
      <c r="E18687" s="4" t="str">
        <f ca="1">IFERROR(__xludf.DUMMYFUNCTION("GOOGLETRANSLATE(A1490 , ""tr"" , ""en"")"),"@drfahrettinkoca # Healthconship Https://t.co/mhar60UITI")</f>
        <v>@drfahrettinkoca # Healthconship Https://t.co/mhar60UITI</v>
      </c>
    </row>
    <row r="18688" spans="1:5" ht="15" customHeight="1" x14ac:dyDescent="0.25">
      <c r="A18688" s="1" t="s">
        <v>36547</v>
      </c>
      <c r="B18688" s="1">
        <v>2</v>
      </c>
      <c r="C18688" s="3">
        <v>44532.753946759258</v>
      </c>
      <c r="D18688" s="1" t="s">
        <v>36548</v>
      </c>
      <c r="E18688" s="4" t="str">
        <f ca="1">IFERROR(__xludf.DUMMYFUNCTION("GOOGLETRANSLATE(A1491 , ""tr"" , ""en"")"),"@drfahrettinkoca you gore healthcare notepad you can do without us in hospitals #wealthy")</f>
        <v>@drfahrettinkoca you gore healthcare notepad you can do without us in hospitals #wealthy</v>
      </c>
    </row>
    <row r="18689" spans="1:5" ht="15" customHeight="1" x14ac:dyDescent="0.25">
      <c r="A18689" s="1" t="s">
        <v>36549</v>
      </c>
      <c r="B18689" s="1">
        <v>1</v>
      </c>
      <c r="C18689" s="3">
        <v>44532.752303240741</v>
      </c>
      <c r="D18689" s="1" t="s">
        <v>36550</v>
      </c>
      <c r="E18689" s="4" t="str">
        <f ca="1">IFERROR(__xludf.DUMMYFUNCTION("GOOGLETRANSLATE(A1492 , ""tr"" , ""en"")"),"@drfahrettinkoca @rterdogan @saglikcibirligi @sagltum @hemsireyizbiz # Healthconscasing Doctors and others D ... https://t.co/yu93t0okjy")</f>
        <v>@drfahrettinkoca @rterdogan @saglikcibirligi @sagltum @hemsireyizbiz # Healthconscasing Doctors and others D ... https://t.co/yu93t0okjy</v>
      </c>
    </row>
    <row r="18690" spans="1:5" ht="15" customHeight="1" x14ac:dyDescent="0.25">
      <c r="A18690" s="1" t="s">
        <v>36551</v>
      </c>
      <c r="B18690" s="1">
        <v>0</v>
      </c>
      <c r="C18690" s="3">
        <v>44532.75199074074</v>
      </c>
      <c r="D18690" s="1" t="s">
        <v>36552</v>
      </c>
      <c r="E18690" s="4" t="str">
        <f ca="1">IFERROR(__xludf.DUMMYFUNCTION("GOOGLETRANSLATE(A1493 , ""tr"" , ""en"")"),"@drfahrettinka https://t.co/xmyc392qyh")</f>
        <v>@drfahrettinka https://t.co/xmyc392qyh</v>
      </c>
    </row>
    <row r="18691" spans="1:5" ht="15" customHeight="1" x14ac:dyDescent="0.25">
      <c r="A18691" s="1" t="s">
        <v>36553</v>
      </c>
      <c r="B18691" s="1">
        <v>0</v>
      </c>
      <c r="C18691" s="3">
        <v>44532.751458333332</v>
      </c>
      <c r="D18691" s="1" t="s">
        <v>36554</v>
      </c>
      <c r="E18691" s="4" t="str">
        <f ca="1">IFERROR(__xludf.DUMMYFUNCTION("GOOGLETRANSLATE(A1494 , ""tr"" , ""en"")"),"@drfahrettinkoca @rterdogan @saglikcibirligi @sagltum @hemsireyizbiz # Healthconship Don't hang on to the number Good g ... https://t.co/uq1spax5j5")</f>
        <v>@drfahrettinkoca @rterdogan @saglikcibirligi @sagltum @hemsireyizbiz # Healthconship Don't hang on to the number Good g ... https://t.co/uq1spax5j5</v>
      </c>
    </row>
    <row r="18692" spans="1:5" ht="15" customHeight="1" x14ac:dyDescent="0.25">
      <c r="A18692" s="1" t="s">
        <v>36555</v>
      </c>
      <c r="B18692" s="1">
        <v>0</v>
      </c>
      <c r="C18692" s="3">
        <v>44532.750381944446</v>
      </c>
      <c r="D18692" s="1" t="s">
        <v>36556</v>
      </c>
      <c r="E18692" s="4" t="str">
        <f ca="1">IFERROR(__xludf.DUMMYFUNCTION("GOOGLETRANSLATE(A1495 , ""tr"" , ""en"")"),"@drfahrettinkoca @rterdogan Your entitlement is not paid LAFI anymore.")</f>
        <v>@drfahrettinkoca @rterdogan Your entitlement is not paid LAFI anymore.</v>
      </c>
    </row>
    <row r="18693" spans="1:5" ht="15" customHeight="1" x14ac:dyDescent="0.25">
      <c r="A18693" s="1" t="s">
        <v>36557</v>
      </c>
      <c r="B18693" s="1">
        <v>4</v>
      </c>
      <c r="C18693" s="3">
        <v>44532.748414351852</v>
      </c>
      <c r="D18693" s="1" t="s">
        <v>36558</v>
      </c>
      <c r="E18693" s="4" t="str">
        <f ca="1">IFERROR(__xludf.DUMMYFUNCTION("GOOGLETRANSLATE(A1496 , ""tr"" , ""en"")"),"@drfahrettinkoca @rterdogan @saglikcibirligi @sagltum @hemsireyizbiz # HealthconshipsApply Konya https://t.co/fpfu97ev5b")</f>
        <v>@drfahrettinkoca @rterdogan @saglikcibirligi @sagltum @hemsireyizbiz # HealthconshipsApply Konya https://t.co/fpfu97ev5b</v>
      </c>
    </row>
    <row r="18694" spans="1:5" ht="15" customHeight="1" x14ac:dyDescent="0.25">
      <c r="A18694" s="1" t="s">
        <v>36559</v>
      </c>
      <c r="B18694" s="1">
        <v>1</v>
      </c>
      <c r="C18694" s="3">
        <v>44532.747430555559</v>
      </c>
      <c r="D18694" s="1" t="s">
        <v>36560</v>
      </c>
      <c r="E18694" s="4" t="str">
        <f ca="1">IFERROR(__xludf.DUMMYFUNCTION("GOOGLETRANSLATE(A1497 , ""tr"" , ""en"")"),"@drfahrettinkoca # HEALTHICIACIABILITY HTTPS://T.CO/ART5JXQKLA")</f>
        <v>@drfahrettinkoca # HEALTHICIACIABILITY HTTPS://T.CO/ART5JXQKLA</v>
      </c>
    </row>
    <row r="18695" spans="1:5" ht="15" customHeight="1" x14ac:dyDescent="0.25">
      <c r="A18695" s="1" t="s">
        <v>36561</v>
      </c>
      <c r="B18695" s="1">
        <v>1</v>
      </c>
      <c r="C18695" s="3">
        <v>44532.74726851852</v>
      </c>
      <c r="D18695" s="1" t="s">
        <v>36562</v>
      </c>
      <c r="E18695" s="4" t="str">
        <f ca="1">IFERROR(__xludf.DUMMYFUNCTION("GOOGLETRANSLATE(A1498 , ""tr"" , ""en"")"),"@drfahrettinkoca @turksagliksengm #wealthy")</f>
        <v>@drfahrettinkoca @turksagliksengm #wealthy</v>
      </c>
    </row>
    <row r="18696" spans="1:5" ht="15" customHeight="1" x14ac:dyDescent="0.25">
      <c r="A18696" s="1" t="s">
        <v>36563</v>
      </c>
      <c r="B18696" s="1">
        <v>2</v>
      </c>
      <c r="C18696" s="3">
        <v>44532.746817129628</v>
      </c>
      <c r="D18696" s="1" t="s">
        <v>36564</v>
      </c>
      <c r="E18696" s="4" t="str">
        <f ca="1">IFERROR(__xludf.DUMMYFUNCTION("GOOGLETRANSLATE(A1499 , ""tr"" , ""en"")"),"@drfahrettinkoca @rterdogan @saglikcibirligi @sagltum @hemsireyizbiz # Healthconscence Why Go Number Too Slow ... https://t.co/azaxfrlz28")</f>
        <v>@drfahrettinkoca @rterdogan @saglikcibirligi @sagltum @hemsireyizbiz # Healthconscence Why Go Number Too Slow ... https://t.co/azaxfrlz28</v>
      </c>
    </row>
    <row r="18697" spans="1:5" ht="15" customHeight="1" x14ac:dyDescent="0.25">
      <c r="A18697" s="1" t="s">
        <v>36565</v>
      </c>
      <c r="B18697" s="1">
        <v>0</v>
      </c>
      <c r="C18697" s="3">
        <v>44532.746793981481</v>
      </c>
      <c r="D18697" s="1" t="s">
        <v>36566</v>
      </c>
      <c r="E18697" s="4" t="str">
        <f ca="1">IFERROR(__xludf.DUMMYFUNCTION("GOOGLETRANSLATE(A1500 , ""tr"" , ""en"")"),"@drfahrettinkoca @saglikbakanligi momentarily we 😅 https://t.co/thxmxhr033")</f>
        <v>@drfahrettinkoca @saglikbakanligi momentarily we 😅 https://t.co/thxmxhr033</v>
      </c>
    </row>
    <row r="18698" spans="1:5" ht="15" customHeight="1" x14ac:dyDescent="0.25">
      <c r="A18698" s="1" t="s">
        <v>36567</v>
      </c>
      <c r="B18698" s="1">
        <v>0</v>
      </c>
      <c r="C18698" s="3">
        <v>44532.746666666666</v>
      </c>
      <c r="D18698" s="1" t="s">
        <v>36568</v>
      </c>
      <c r="E18698" s="4" t="str">
        <f ca="1">IFERROR(__xludf.DUMMYFUNCTION("GOOGLETRANSLATE(A1501 , ""tr"" , ""en"")"),"@drfahrettinkoca # SuleymanyalçinHastenesi # Farukolgunöz https://t.co/cgkvxxsk8w")</f>
        <v>@drfahrettinkoca # SuleymanyalçinHastenesi # Farukolgunöz https://t.co/cgkvxxsk8w</v>
      </c>
    </row>
    <row r="18699" spans="1:5" ht="15" customHeight="1" x14ac:dyDescent="0.25">
      <c r="A18699" s="1" t="s">
        <v>36569</v>
      </c>
      <c r="B18699" s="1">
        <v>2</v>
      </c>
      <c r="C18699" s="3">
        <v>44532.746122685188</v>
      </c>
      <c r="D18699" s="1" t="s">
        <v>36570</v>
      </c>
      <c r="E18699" s="4" t="str">
        <f ca="1">IFERROR(__xludf.DUMMYFUNCTION("GOOGLETRANSLATE(A1502 , ""tr"" , ""en"")"),"@drfahrettinkoca @rterdogan @saglikcibirligi @sagltum @hemsireyizbiz # HealthconshipsAll have a beholder if you don't seek here")</f>
        <v>@drfahrettinkoca @rterdogan @saglikcibirligi @sagltum @hemsireyizbiz # HealthconshipsAll have a beholder if you don't seek here</v>
      </c>
    </row>
    <row r="18700" spans="1:5" ht="15" customHeight="1" x14ac:dyDescent="0.25">
      <c r="A18700" s="1" t="s">
        <v>36571</v>
      </c>
      <c r="B18700" s="1">
        <v>4</v>
      </c>
      <c r="C18700" s="3">
        <v>44532.745752314811</v>
      </c>
      <c r="D18700" s="1" t="s">
        <v>36572</v>
      </c>
      <c r="E18700" s="4" t="str">
        <f ca="1">IFERROR(__xludf.DUMMYFUNCTION("GOOGLETRANSLATE(A1503 , ""tr"" , ""en"")"),"@drfahrettinkoca @rterdogan @saglikcibirligi @sagltum @hemsireyizbiz # Healthconship Covit while doing the profession ... https://t.co/j9torl1vrz")</f>
        <v>@drfahrettinkoca @rterdogan @saglikcibirligi @sagltum @hemsireyizbiz # Healthconship Covit while doing the profession ... https://t.co/j9torl1vrz</v>
      </c>
    </row>
    <row r="18701" spans="1:5" ht="15" customHeight="1" x14ac:dyDescent="0.25">
      <c r="A18701" s="1" t="s">
        <v>36573</v>
      </c>
      <c r="B18701" s="1">
        <v>0</v>
      </c>
      <c r="C18701" s="3">
        <v>44532.745219907411</v>
      </c>
      <c r="D18701" s="1" t="s">
        <v>36574</v>
      </c>
      <c r="E18701" s="4" t="str">
        <f ca="1">IFERROR(__xludf.DUMMYFUNCTION("GOOGLETRANSLATE(A1504 , ""tr"" , ""en"")"),"@drfahrettinkoca @rterdogan @saglikcibirligi @sagltum @hemsireyizbiz # Healthconship Health Worker Single Heart")</f>
        <v>@drfahrettinkoca @rterdogan @saglikcibirligi @sagltum @hemsireyizbiz # Healthconship Health Worker Single Heart</v>
      </c>
    </row>
    <row r="18702" spans="1:5" ht="15" customHeight="1" x14ac:dyDescent="0.25">
      <c r="A18702" s="1" t="s">
        <v>36575</v>
      </c>
      <c r="B18702" s="1">
        <v>1</v>
      </c>
      <c r="C18702" s="3">
        <v>44532.74486111111</v>
      </c>
      <c r="D18702" s="1" t="s">
        <v>36576</v>
      </c>
      <c r="E18702" s="4" t="str">
        <f ca="1">IFERROR(__xludf.DUMMYFUNCTION("GOOGLETRANSLATE(A1505 , ""tr"" , ""en"")"),"@drfahrettinkoca @rterdogan @saglikcibirligi @sagltum @hemsireyizbiz # HealthconscyclicksHealthtime does not end us, this ha ... https://t.co/xirfqtwgue")</f>
        <v>@drfahrettinkoca @rterdogan @saglikcibirligi @sagltum @hemsireyizbiz # HealthconscyclicksHealthtime does not end us, this ha ... https://t.co/xirfqtwgue</v>
      </c>
    </row>
    <row r="18703" spans="1:5" ht="15" customHeight="1" x14ac:dyDescent="0.25">
      <c r="A18703" s="1" t="s">
        <v>36577</v>
      </c>
      <c r="B18703" s="1">
        <v>0</v>
      </c>
      <c r="C18703" s="3">
        <v>44532.743657407409</v>
      </c>
      <c r="D18703" s="1" t="s">
        <v>36578</v>
      </c>
      <c r="E18703" s="4" t="str">
        <f ca="1">IFERROR(__xludf.DUMMYFUNCTION("GOOGLETRANSLATE(A1506 , ""tr"" , ""en"")"),"@drfahrettinkoca Health Workers are not only doctors ..! Please let all health workers be equal to ... un ... https://t.co/pc4n1nfuz")</f>
        <v>@drfahrettinkoca Health Workers are not only doctors ..! Please let all health workers be equal to ... un ... https://t.co/pc4n1nfuz</v>
      </c>
    </row>
    <row r="18704" spans="1:5" ht="15" customHeight="1" x14ac:dyDescent="0.25">
      <c r="A18704" s="1" t="s">
        <v>36579</v>
      </c>
      <c r="B18704" s="1">
        <v>1</v>
      </c>
      <c r="C18704" s="3">
        <v>44532.743564814817</v>
      </c>
      <c r="D18704" s="1" t="s">
        <v>36580</v>
      </c>
      <c r="E18704" s="4" t="str">
        <f ca="1">IFERROR(__xludf.DUMMYFUNCTION("GOOGLETRANSLATE(A1507 , ""tr"" , ""en"")"),"@drfahrettinkoca @rterdogan #wealthy gettin 'https://t.co/vsbo3qvgrl")</f>
        <v>@drfahrettinkoca @rterdogan #wealthy gettin 'https://t.co/vsbo3qvgrl</v>
      </c>
    </row>
    <row r="18705" spans="1:5" ht="15" customHeight="1" x14ac:dyDescent="0.25">
      <c r="A18705" s="1" t="s">
        <v>36581</v>
      </c>
      <c r="B18705" s="1">
        <v>1</v>
      </c>
      <c r="C18705" s="3">
        <v>44532.743391203701</v>
      </c>
      <c r="D18705" s="1" t="s">
        <v>36582</v>
      </c>
      <c r="E18705" s="4" t="str">
        <f ca="1">IFERROR(__xludf.DUMMYFUNCTION("GOOGLETRANSLATE(A1508 , ""tr"" , ""en"")"),"@drfahrettinkoca @saglikbakanligi # healthcare #health # Healthconship #theyurdicity https://t.co/mfgfvonyl3")</f>
        <v>@drfahrettinkoca @saglikbakanligi # healthcare #health # Healthconship #theyurdicity https://t.co/mfgfvonyl3</v>
      </c>
    </row>
    <row r="18706" spans="1:5" ht="15" customHeight="1" x14ac:dyDescent="0.25">
      <c r="A18706" s="1" t="s">
        <v>36583</v>
      </c>
      <c r="B18706" s="1">
        <v>0</v>
      </c>
      <c r="C18706" s="3">
        <v>44532.742743055554</v>
      </c>
      <c r="D18706" s="1" t="s">
        <v>36584</v>
      </c>
      <c r="E18706" s="4" t="str">
        <f ca="1">IFERROR(__xludf.DUMMYFUNCTION("GOOGLETRANSLATE(A1509 , ""tr"" , ""en"")"),"@drfahrettinka https://t.co/kvr2dpuppp")</f>
        <v>@drfahrettinka https://t.co/kvr2dpuppp</v>
      </c>
    </row>
    <row r="18707" spans="1:5" ht="15" customHeight="1" x14ac:dyDescent="0.25">
      <c r="A18707" s="1" t="s">
        <v>36585</v>
      </c>
      <c r="B18707" s="1">
        <v>3</v>
      </c>
      <c r="C18707" s="3">
        <v>44532.742129629631</v>
      </c>
      <c r="D18707" s="1" t="s">
        <v>36586</v>
      </c>
      <c r="E18707" s="4" t="str">
        <f ca="1">IFERROR(__xludf.DUMMYFUNCTION("GOOGLETRANSLATE(A1510 , ""tr"" , ""en"")"),"@drfahrettinkoca @rterdogan @saglikcibirligi @sagltum @hemsireyizbiz # Healthconship HTTPS://T.CO/3UUURELTIMV")</f>
        <v>@drfahrettinkoca @rterdogan @saglikcibirligi @sagltum @hemsireyizbiz # Healthconship HTTPS://T.CO/3UUURELTIMV</v>
      </c>
    </row>
    <row r="18708" spans="1:5" ht="15" customHeight="1" x14ac:dyDescent="0.25">
      <c r="A18708" s="1" t="s">
        <v>36587</v>
      </c>
      <c r="B18708" s="1">
        <v>2</v>
      </c>
      <c r="C18708" s="3">
        <v>44532.742025462961</v>
      </c>
      <c r="D18708" s="1" t="s">
        <v>36588</v>
      </c>
      <c r="E18708" s="4" t="str">
        <f ca="1">IFERROR(__xludf.DUMMYFUNCTION("GOOGLETRANSLATE(A1511 , ""tr"" , ""en"")"),"@drfahrettinkoca @rterdogan @saglikcibirligi @sagltum @hemsireyizbiz # Healthconship Https://t.co/rloi0nl98q")</f>
        <v>@drfahrettinkoca @rterdogan @saglikcibirligi @sagltum @hemsireyizbiz # Healthconship Https://t.co/rloi0nl98q</v>
      </c>
    </row>
    <row r="18709" spans="1:5" ht="15" customHeight="1" x14ac:dyDescent="0.25">
      <c r="A18709" s="1" t="s">
        <v>36589</v>
      </c>
      <c r="B18709" s="1">
        <v>4</v>
      </c>
      <c r="C18709" s="3">
        <v>44532.741898148146</v>
      </c>
      <c r="D18709" s="1" t="s">
        <v>36590</v>
      </c>
      <c r="E18709" s="4" t="str">
        <f ca="1">IFERROR(__xludf.DUMMYFUNCTION("GOOGLETRANSLATE(A1512 , ""tr"" , ""en"")"),"@drfahrettinkoca @rterdogan @saglikcibirligi @sagltum @hemsireyizbiz # Healthconship Https://t.co/fuyo9a2sjz")</f>
        <v>@drfahrettinkoca @rterdogan @saglikcibirligi @sagltum @hemsireyizbiz # Healthconship Https://t.co/fuyo9a2sjz</v>
      </c>
    </row>
    <row r="18710" spans="1:5" ht="15" customHeight="1" x14ac:dyDescent="0.25">
      <c r="A18710" s="1" t="s">
        <v>36591</v>
      </c>
      <c r="B18710" s="1">
        <v>1</v>
      </c>
      <c r="C18710" s="3">
        <v>44532.741099537037</v>
      </c>
      <c r="D18710" s="1" t="s">
        <v>36592</v>
      </c>
      <c r="E18710" s="4" t="str">
        <f ca="1">IFERROR(__xludf.DUMMYFUNCTION("GOOGLETRANSLATE(A1513 , ""tr"" , ""en"")"),"@drfahrettinkoca @rterdogan @saglikcibirligi @sagltum @hemsireyizbiz # Healthconship Https://t.co/ga5ygukdls")</f>
        <v>@drfahrettinkoca @rterdogan @saglikcibirligi @sagltum @hemsireyizbiz # Healthconship Https://t.co/ga5ygukdls</v>
      </c>
    </row>
    <row r="18711" spans="1:5" ht="15" customHeight="1" x14ac:dyDescent="0.25">
      <c r="A18711" s="1" t="s">
        <v>36593</v>
      </c>
      <c r="B18711" s="1">
        <v>1</v>
      </c>
      <c r="C18711" s="3">
        <v>44532.741018518522</v>
      </c>
      <c r="D18711" s="1" t="s">
        <v>36594</v>
      </c>
      <c r="E18711" s="4" t="str">
        <f ca="1">IFERROR(__xludf.DUMMYFUNCTION("GOOGLETRANSLATE(A1514 , ""tr"" , ""en"")"),"@drfahrettinkoca @rterdogan @saglikcibirligi @sagltum @hemsireyizbiz # Healthconship Https://t.co/kpps0ckoj4")</f>
        <v>@drfahrettinkoca @rterdogan @saglikcibirligi @sagltum @hemsireyizbiz # Healthconship Https://t.co/kpps0ckoj4</v>
      </c>
    </row>
    <row r="18712" spans="1:5" ht="15" customHeight="1" x14ac:dyDescent="0.25">
      <c r="A18712" s="1" t="s">
        <v>36595</v>
      </c>
      <c r="B18712" s="1">
        <v>1</v>
      </c>
      <c r="C18712" s="3">
        <v>44532.740937499999</v>
      </c>
      <c r="D18712" s="1" t="s">
        <v>36596</v>
      </c>
      <c r="E18712" s="4" t="str">
        <f ca="1">IFERROR(__xludf.DUMMYFUNCTION("GOOGLETRANSLATE(A1515 , ""tr"" , ""en"")"),"@drfahrettinkoca @rterdogan @saglikcibirligi @sagltum @hemsireyizbiz # Healthconship HTTPS://T.CO/WYTMTDC8QI")</f>
        <v>@drfahrettinkoca @rterdogan @saglikcibirligi @sagltum @hemsireyizbiz # Healthconship HTTPS://T.CO/WYTMTDC8QI</v>
      </c>
    </row>
    <row r="18713" spans="1:5" ht="15" customHeight="1" x14ac:dyDescent="0.25">
      <c r="A18713" s="1" t="s">
        <v>36597</v>
      </c>
      <c r="B18713" s="1">
        <v>2</v>
      </c>
      <c r="C18713" s="3">
        <v>44532.740856481483</v>
      </c>
      <c r="D18713" s="1" t="s">
        <v>36598</v>
      </c>
      <c r="E18713" s="4" t="str">
        <f ca="1">IFERROR(__xludf.DUMMYFUNCTION("GOOGLETRANSLATE(A1516 , ""tr"" , ""en"")"),"@drfahrettinkoca @rterdogan @saglikcibirligi @sagltum @hemsireyizbiz # Healthconship Https://t.co/mdf6dqkkd2u")</f>
        <v>@drfahrettinkoca @rterdogan @saglikcibirligi @sagltum @hemsireyizbiz # Healthconship Https://t.co/mdf6dqkkd2u</v>
      </c>
    </row>
    <row r="18714" spans="1:5" ht="15" customHeight="1" x14ac:dyDescent="0.25">
      <c r="A18714" s="1" t="s">
        <v>36599</v>
      </c>
      <c r="B18714" s="1">
        <v>2</v>
      </c>
      <c r="C18714" s="3">
        <v>44532.74077546296</v>
      </c>
      <c r="D18714" s="1" t="s">
        <v>36600</v>
      </c>
      <c r="E18714" s="4" t="str">
        <f ca="1">IFERROR(__xludf.DUMMYFUNCTION("GOOGLETRANSLATE(A1517 , ""tr"" , ""en"")"),"@drfahrettinkoca @rterdogan @saglikcibirligi @sagltum @hemsireyizbiz # Healthconship Https://t.co/yqexxqx51n")</f>
        <v>@drfahrettinkoca @rterdogan @saglikcibirligi @sagltum @hemsireyizbiz # Healthconship Https://t.co/yqexxqx51n</v>
      </c>
    </row>
    <row r="18715" spans="1:5" ht="15" customHeight="1" x14ac:dyDescent="0.25">
      <c r="A18715" s="1" t="s">
        <v>36601</v>
      </c>
      <c r="B18715" s="1">
        <v>5</v>
      </c>
      <c r="C18715" s="3">
        <v>44532.740648148145</v>
      </c>
      <c r="D18715" s="1" t="s">
        <v>36602</v>
      </c>
      <c r="E18715" s="4" t="str">
        <f ca="1">IFERROR(__xludf.DUMMYFUNCTION("GOOGLETRANSLATE(A1518 , ""tr"" , ""en"")"),"@drfahrettinkoca @rterdogan @saglikcibirligi @sagltum @hemsireyizbiz # Healthconship Https://t.co/aonouexkfa")</f>
        <v>@drfahrettinkoca @rterdogan @saglikcibirligi @sagltum @hemsireyizbiz # Healthconship Https://t.co/aonouexkfa</v>
      </c>
    </row>
    <row r="18716" spans="1:5" ht="15" customHeight="1" x14ac:dyDescent="0.25">
      <c r="A18716" s="1" t="s">
        <v>36603</v>
      </c>
      <c r="B18716" s="1">
        <v>0</v>
      </c>
      <c r="C18716" s="3">
        <v>44532.740532407406</v>
      </c>
      <c r="D18716" s="1" t="s">
        <v>36604</v>
      </c>
      <c r="E18716" s="4" t="str">
        <f ca="1">IFERROR(__xludf.DUMMYFUNCTION("GOOGLETRANSLATE(A1519 , ""tr"" , ""en"")"),"@drfahrettinkoca # NilayıdoktorePIN HTTPS://T.CO/ATWXC32YZC")</f>
        <v>@drfahrettinkoca # NilayıdoktorePIN HTTPS://T.CO/ATWXC32YZC</v>
      </c>
    </row>
    <row r="18717" spans="1:5" ht="15" customHeight="1" x14ac:dyDescent="0.25">
      <c r="A18717" s="1" t="s">
        <v>36605</v>
      </c>
      <c r="B18717" s="1">
        <v>0</v>
      </c>
      <c r="C18717" s="3">
        <v>44532.740520833337</v>
      </c>
      <c r="D18717" s="1" t="s">
        <v>36606</v>
      </c>
      <c r="E18717" s="4" t="str">
        <f ca="1">IFERROR(__xludf.DUMMYFUNCTION("GOOGLETRANSLATE(A1520 , ""tr"" , ""en"")"),"@drfahrettinkoca @rterdogan @saglikcibirligi @sagltum @hemsireyizbiz # Healthconship Https://t.co/ogrz5dzhrt")</f>
        <v>@drfahrettinkoca @rterdogan @saglikcibirligi @sagltum @hemsireyizbiz # Healthconship Https://t.co/ogrz5dzhrt</v>
      </c>
    </row>
    <row r="18718" spans="1:5" ht="15" customHeight="1" x14ac:dyDescent="0.25">
      <c r="A18718" s="1" t="s">
        <v>36607</v>
      </c>
      <c r="B18718" s="1">
        <v>3</v>
      </c>
      <c r="C18718" s="3">
        <v>44532.740393518521</v>
      </c>
      <c r="D18718" s="1" t="s">
        <v>36608</v>
      </c>
      <c r="E18718" s="4" t="str">
        <f ca="1">IFERROR(__xludf.DUMMYFUNCTION("GOOGLETRANSLATE(A1521 , ""tr"" , ""en"")"),"@drfahrettinkoca @rterdogan @saglikcibirligi @sagltum @hemsireyizbiz # Healthconship Https://T.CO/4IFDNNG8DH")</f>
        <v>@drfahrettinkoca @rterdogan @saglikcibirligi @sagltum @hemsireyizbiz # Healthconship Https://T.CO/4IFDNNG8DH</v>
      </c>
    </row>
    <row r="18719" spans="1:5" ht="15" customHeight="1" x14ac:dyDescent="0.25">
      <c r="A18719" s="1" t="s">
        <v>36609</v>
      </c>
      <c r="B18719" s="1">
        <v>1</v>
      </c>
      <c r="C18719" s="3">
        <v>44532.740266203706</v>
      </c>
      <c r="D18719" s="1" t="s">
        <v>36610</v>
      </c>
      <c r="E18719" s="4" t="str">
        <f ca="1">IFERROR(__xludf.DUMMYFUNCTION("GOOGLETRANSLATE(A1522 , ""tr"" , ""en"")"),"@drfahrettinkoca @rterdogan @saglikcibirligi @sagltum @hemsireyizbiz # Healthconship Https://t.co/hfiwpwtybc")</f>
        <v>@drfahrettinkoca @rterdogan @saglikcibirligi @sagltum @hemsireyizbiz # Healthconship Https://t.co/hfiwpwtybc</v>
      </c>
    </row>
    <row r="18720" spans="1:5" ht="15" customHeight="1" x14ac:dyDescent="0.25">
      <c r="A18720" s="1" t="s">
        <v>36611</v>
      </c>
      <c r="B18720" s="1">
        <v>0</v>
      </c>
      <c r="C18720" s="3">
        <v>44532.739768518521</v>
      </c>
      <c r="D18720" s="1" t="s">
        <v>36612</v>
      </c>
      <c r="E18720" s="4" t="str">
        <f ca="1">IFERROR(__xludf.DUMMYFUNCTION("GOOGLETRANSLATE(A1523 , ""tr"" , ""en"")"),"@drfahrettinkoca @rterdogan @saglikcibirligi @sagltum @hemsireyizbiz # Healthconship Https://t.co/v7eln6vryi")</f>
        <v>@drfahrettinkoca @rterdogan @saglikcibirligi @sagltum @hemsireyizbiz # Healthconship Https://t.co/v7eln6vryi</v>
      </c>
    </row>
    <row r="18721" spans="1:5" ht="15" customHeight="1" x14ac:dyDescent="0.25">
      <c r="A18721" s="1" t="s">
        <v>36613</v>
      </c>
      <c r="B18721" s="1">
        <v>1</v>
      </c>
      <c r="C18721" s="3">
        <v>44532.739687499998</v>
      </c>
      <c r="D18721" s="1" t="s">
        <v>36614</v>
      </c>
      <c r="E18721" s="4" t="str">
        <f ca="1">IFERROR(__xludf.DUMMYFUNCTION("GOOGLETRANSLATE(A1524 , ""tr"" , ""en"")"),"@drfahrettinkoca @rterdogan @saglikcibirligi @sagltum @hemsireyizbiz # Healthconship Https://t.co/wxx9tqsfiy")</f>
        <v>@drfahrettinkoca @rterdogan @saglikcibirligi @sagltum @hemsireyizbiz # Healthconship Https://t.co/wxx9tqsfiy</v>
      </c>
    </row>
    <row r="18722" spans="1:5" ht="15" customHeight="1" x14ac:dyDescent="0.25">
      <c r="A18722" s="1" t="s">
        <v>25893</v>
      </c>
      <c r="B18722" s="1">
        <v>0</v>
      </c>
      <c r="C18722" s="3">
        <v>44532.738842592589</v>
      </c>
      <c r="D18722" s="1" t="s">
        <v>36615</v>
      </c>
      <c r="E18722" s="4" t="str">
        <f ca="1">IFERROR(__xludf.DUMMYFUNCTION("GOOGLETRANSLATE(A1525 , ""tr"" , ""en"")"),"@drfahrettinkoca #wealthy")</f>
        <v>@drfahrettinkoca #wealthy</v>
      </c>
    </row>
    <row r="18723" spans="1:5" ht="15" customHeight="1" x14ac:dyDescent="0.25">
      <c r="A18723" s="1" t="s">
        <v>36616</v>
      </c>
      <c r="B18723" s="1">
        <v>0</v>
      </c>
      <c r="C18723" s="3">
        <v>44540.978773148148</v>
      </c>
      <c r="D18723" s="1" t="s">
        <v>36617</v>
      </c>
      <c r="E18723" s="4" t="str">
        <f ca="1">IFERROR(__xludf.DUMMYFUNCTION("GOOGLETRANSLATE(A1526 , ""tr"" , ""en"")"),"@drfahrettinka Mr. Ministry of Ministry of Prison, the configuration of the Convicted Safety Manager to the Safety Principal ... https://t.co/7b2o2zvjn8")</f>
        <v>@drfahrettinka Mr. Ministry of Ministry of Prison, the configuration of the Convicted Safety Manager to the Safety Principal ... https://t.co/7b2o2zvjn8</v>
      </c>
    </row>
    <row r="18724" spans="1:5" ht="15" customHeight="1" x14ac:dyDescent="0.25">
      <c r="A18724" s="1" t="s">
        <v>36618</v>
      </c>
      <c r="B18724" s="1">
        <v>0</v>
      </c>
      <c r="C18724" s="3">
        <v>44540.943333333336</v>
      </c>
      <c r="D18724" s="1" t="s">
        <v>36619</v>
      </c>
      <c r="E18724" s="4" t="str">
        <f ca="1">IFERROR(__xludf.DUMMYFUNCTION("GOOGLETRANSLATE(A1527 , ""tr"" , ""en"")"),"@drfahrettinka https://t.co/bjs894deqo")</f>
        <v>@drfahrettinka https://t.co/bjs894deqo</v>
      </c>
    </row>
    <row r="18725" spans="1:5" ht="15" customHeight="1" x14ac:dyDescent="0.25">
      <c r="A18725" s="1" t="s">
        <v>36620</v>
      </c>
      <c r="B18725" s="1">
        <v>10</v>
      </c>
      <c r="C18725" s="3">
        <v>44540.936539351853</v>
      </c>
      <c r="D18725" s="1" t="s">
        <v>36621</v>
      </c>
      <c r="E18725" s="4" t="str">
        <f ca="1">IFERROR(__xludf.DUMMYFUNCTION("GOOGLETRANSLATE(A1528 , ""tr"" , ""en"")"),"@drfahrettinkoca What is your goal? Don't stay in the workbroker, you don't have anyone, do you know? # Healthcase10Bintl")</f>
        <v>@drfahrettinkoca What is your goal? Don't stay in the workbroker, you don't have anyone, do you know? # Healthcase10Bintl</v>
      </c>
    </row>
    <row r="18726" spans="1:5" ht="15" customHeight="1" x14ac:dyDescent="0.25">
      <c r="A18726" s="1" t="s">
        <v>36622</v>
      </c>
      <c r="B18726" s="1">
        <v>1</v>
      </c>
      <c r="C18726" s="3">
        <v>44540.909178240741</v>
      </c>
      <c r="D18726" s="1" t="s">
        <v>36623</v>
      </c>
      <c r="E18726" s="4" t="str">
        <f ca="1">IFERROR(__xludf.DUMMYFUNCTION("GOOGLETRANSLATE(A1529 , ""tr"" , ""en"")"),"@drfahrettinkoca @rterdogan Private sector employees imposed on PCR testing Equestrians ... Https://t.co/oh6r6gfe9v")</f>
        <v>@drfahrettinkoca @rterdogan Private sector employees imposed on PCR testing Equestrians ... Https://t.co/oh6r6gfe9v</v>
      </c>
    </row>
    <row r="18727" spans="1:5" ht="15" customHeight="1" x14ac:dyDescent="0.25">
      <c r="A18727" s="1" t="s">
        <v>36624</v>
      </c>
      <c r="B18727" s="1">
        <v>0</v>
      </c>
      <c r="C18727" s="3">
        <v>44540.873460648145</v>
      </c>
      <c r="D18727" s="1" t="s">
        <v>36625</v>
      </c>
      <c r="E18727" s="4" t="str">
        <f ca="1">IFERROR(__xludf.DUMMYFUNCTION("GOOGLETRANSLATE(A1530 , ""tr"" , ""en"")"),"@drfahrettinkoca @nureddinnebati https://t.co/hq3jthbgg0")</f>
        <v>@drfahrettinkoca @nureddinnebati https://t.co/hq3jthbgg0</v>
      </c>
    </row>
    <row r="18728" spans="1:5" ht="15" customHeight="1" x14ac:dyDescent="0.25">
      <c r="A18728" s="1" t="s">
        <v>36626</v>
      </c>
      <c r="B18728" s="1">
        <v>1</v>
      </c>
      <c r="C18728" s="3">
        <v>44540.868634259263</v>
      </c>
      <c r="D18728" s="1" t="s">
        <v>36627</v>
      </c>
      <c r="E18728" s="4" t="str">
        <f ca="1">IFERROR(__xludf.DUMMYFUNCTION("GOOGLETRANSLATE(A1531 , ""tr"" , ""en"")"),"@drfahrettinkoca Saglik Employees Pandemide is very tired of salaries have been beaten to inflation 1500 TL to the salaries ... https://t.co/wtqw8s7sbk")</f>
        <v>@drfahrettinkoca Saglik Employees Pandemide is very tired of salaries have been beaten to inflation 1500 TL to the salaries ... https://t.co/wtqw8s7sbk</v>
      </c>
    </row>
    <row r="18729" spans="1:5" ht="15" customHeight="1" x14ac:dyDescent="0.25">
      <c r="A18729" s="1" t="s">
        <v>36628</v>
      </c>
      <c r="B18729" s="1">
        <v>0</v>
      </c>
      <c r="C18729" s="3">
        <v>44540.864733796298</v>
      </c>
      <c r="D18729" s="1" t="s">
        <v>36629</v>
      </c>
      <c r="E18729" s="4" t="str">
        <f ca="1">IFERROR(__xludf.DUMMYFUNCTION("GOOGLETRANSLATE(A1532 , ""tr"" , ""en"")"),"@drfahrettinkoca is the biggest reason for this economic crisis You didn't leave money in the checkout Yaooo ...")</f>
        <v>@drfahrettinkoca is the biggest reason for this economic crisis You didn't leave money in the checkout Yaooo ...</v>
      </c>
    </row>
    <row r="18730" spans="1:5" ht="15" customHeight="1" x14ac:dyDescent="0.25">
      <c r="A18730" s="1" t="s">
        <v>36630</v>
      </c>
      <c r="B18730" s="1">
        <v>0</v>
      </c>
      <c r="C18730" s="3">
        <v>44540.860925925925</v>
      </c>
      <c r="D18730" s="1" t="s">
        <v>36631</v>
      </c>
      <c r="E18730" s="4" t="str">
        <f ca="1">IFERROR(__xludf.DUMMYFUNCTION("GOOGLETRANSLATE(A1533 , ""tr"" , ""en"")"),"@drfahrettinkoca you says to you !!! https://t.co/yk54xaa0x4")</f>
        <v>@drfahrettinkoca you says to you !!! https://t.co/yk54xaa0x4</v>
      </c>
    </row>
    <row r="18731" spans="1:5" ht="15" customHeight="1" x14ac:dyDescent="0.25">
      <c r="A18731" s="1" t="s">
        <v>36632</v>
      </c>
      <c r="B18731" s="1">
        <v>0</v>
      </c>
      <c r="C18731" s="3">
        <v>44540.856365740743</v>
      </c>
      <c r="D18731" s="1" t="s">
        <v>36633</v>
      </c>
      <c r="E18731" s="4" t="str">
        <f ca="1">IFERROR(__xludf.DUMMYFUNCTION("GOOGLETRANSLATE(A1534 , ""tr"" , ""en"")"),"@drfahrettinka https://t.co/czI7swklage")</f>
        <v>@drfahrettinka https://t.co/czI7swklage</v>
      </c>
    </row>
    <row r="18732" spans="1:5" ht="15" customHeight="1" x14ac:dyDescent="0.25">
      <c r="A18732" s="1" t="s">
        <v>36634</v>
      </c>
      <c r="B18732" s="1">
        <v>2</v>
      </c>
      <c r="C18732" s="3">
        <v>44540.852708333332</v>
      </c>
      <c r="D18732" s="1" t="s">
        <v>36635</v>
      </c>
      <c r="E18732" s="4" t="str">
        <f ca="1">IFERROR(__xludf.DUMMYFUNCTION("GOOGLETRANSLATE(A1535 , ""tr"" , ""en"")"),"@drfahrettinkoca @saglikbakanligi @acilafetgovtr @kilicdarogluk @GozdeRisciogl @rterdogan @ halileldemir ... https://t.co/p1qgnwl4wu")</f>
        <v>@drfahrettinkoca @saglikbakanligi @acilafetgovtr @kilicdarogluk @GozdeRisciogl @rterdogan @ halileldemir ... https://t.co/p1qgnwl4wu</v>
      </c>
    </row>
    <row r="18733" spans="1:5" ht="15" customHeight="1" x14ac:dyDescent="0.25">
      <c r="A18733" s="1" t="s">
        <v>36636</v>
      </c>
      <c r="B18733" s="1">
        <v>0</v>
      </c>
      <c r="C18733" s="3">
        <v>44540.852708333332</v>
      </c>
      <c r="D18733" s="1" t="s">
        <v>36637</v>
      </c>
      <c r="E18733" s="4" t="str">
        <f ca="1">IFERROR(__xludf.DUMMYFUNCTION("GOOGLETRANSLATE(A1536 , ""tr"" , ""en"")"),"@drfahrettinkoca @saglikbakanligi @acilafetgovtr @kilicdarogluk @GozdeDiSciogl @rterdogan @ halileldemir ... https://t.co/BWIETBKZKA")</f>
        <v>@drfahrettinkoca @saglikbakanligi @acilafetgovtr @kilicdarogluk @GozdeDiSciogl @rterdogan @ halileldemir ... https://t.co/BWIETBKZKA</v>
      </c>
    </row>
    <row r="18734" spans="1:5" ht="15" customHeight="1" x14ac:dyDescent="0.25">
      <c r="A18734" s="1" t="s">
        <v>36638</v>
      </c>
      <c r="B18734" s="1">
        <v>0</v>
      </c>
      <c r="C18734" s="3">
        <v>44540.852708333332</v>
      </c>
      <c r="D18734" s="1" t="s">
        <v>36639</v>
      </c>
      <c r="E18734" s="4" t="str">
        <f ca="1">IFERROR(__xludf.DUMMYFUNCTION("GOOGLETRANSLATE(A1537 , ""tr"" , ""en"")"),"@drfahrettinkoca @saglikbakanligi @acilafetgovtr @kilicdarogluk @GozdeDiSciogl @rterdogan @ halileldemir ... https://t.co/rk27mmnfa2")</f>
        <v>@drfahrettinkoca @saglikbakanligi @acilafetgovtr @kilicdarogluk @GozdeDiSciogl @rterdogan @ halileldemir ... https://t.co/rk27mmnfa2</v>
      </c>
    </row>
    <row r="18735" spans="1:5" ht="15" customHeight="1" x14ac:dyDescent="0.25">
      <c r="A18735" s="1" t="s">
        <v>36640</v>
      </c>
      <c r="B18735" s="1">
        <v>0</v>
      </c>
      <c r="C18735" s="3">
        <v>44540.852685185186</v>
      </c>
      <c r="D18735" s="1" t="s">
        <v>36641</v>
      </c>
      <c r="E18735" s="4" t="str">
        <f ca="1">IFERROR(__xludf.DUMMYFUNCTION("GOOGLETRANSLATE(A1538 , ""tr"" , ""en"")"),"@drfahrettinkoca @saglikbakanligi @acilafetgovtr @kilicdarogluk @GozdeDiSciogl @rterdogan @ halileldemir ... https://t.co/rwe6sdx90f")</f>
        <v>@drfahrettinkoca @saglikbakanligi @acilafetgovtr @kilicdarogluk @GozdeDiSciogl @rterdogan @ halileldemir ... https://t.co/rwe6sdx90f</v>
      </c>
    </row>
    <row r="18736" spans="1:5" ht="15" customHeight="1" x14ac:dyDescent="0.25">
      <c r="A18736" s="1" t="s">
        <v>36642</v>
      </c>
      <c r="B18736" s="1">
        <v>0</v>
      </c>
      <c r="C18736" s="3">
        <v>44540.852673611109</v>
      </c>
      <c r="D18736" s="1" t="s">
        <v>36643</v>
      </c>
      <c r="E18736" s="4" t="str">
        <f ca="1">IFERROR(__xludf.DUMMYFUNCTION("GOOGLETRANSLATE(A1539 , ""tr"" , ""en"")"),"@drfahrettinkoca @saglikbakanligi @acilafetgovtr @kilicdarogluk @Gozdekirisciogl @rterdogan @ halileldemir ... https://t.co/6jhhddphpr")</f>
        <v>@drfahrettinkoca @saglikbakanligi @acilafetgovtr @kilicdarogluk @Gozdekirisciogl @rterdogan @ halileldemir ... https://t.co/6jhhddphpr</v>
      </c>
    </row>
    <row r="18737" spans="1:5" ht="15" customHeight="1" x14ac:dyDescent="0.25">
      <c r="A18737" s="1" t="s">
        <v>36644</v>
      </c>
      <c r="B18737" s="1">
        <v>0</v>
      </c>
      <c r="C18737" s="3">
        <v>44540.848495370374</v>
      </c>
      <c r="D18737" s="1" t="s">
        <v>36645</v>
      </c>
      <c r="E18737" s="4" t="str">
        <f ca="1">IFERROR(__xludf.DUMMYFUNCTION("GOOGLETRANSLATE(A1540 , ""tr"" , ""en"")"),"@drfahrettinkoca @saglikbakanligi @acilafetgovtr @kilicdarogluk @GozdeDiSciogl @rterdogan @ halileldemir ... https://t.co/hnh4z9buwh")</f>
        <v>@drfahrettinkoca @saglikbakanligi @acilafetgovtr @kilicdarogluk @GozdeDiSciogl @rterdogan @ halileldemir ... https://t.co/hnh4z9buwh</v>
      </c>
    </row>
    <row r="18738" spans="1:5" ht="15" customHeight="1" x14ac:dyDescent="0.25">
      <c r="A18738" s="1" t="s">
        <v>36646</v>
      </c>
      <c r="B18738" s="1">
        <v>0</v>
      </c>
      <c r="C18738" s="3">
        <v>44540.848495370374</v>
      </c>
      <c r="D18738" s="1" t="s">
        <v>36647</v>
      </c>
      <c r="E18738" s="4" t="str">
        <f ca="1">IFERROR(__xludf.DUMMYFUNCTION("GOOGLETRANSLATE(A1541 , ""tr"" , ""en"")"),"@drfahrettinkoca @saglikbakanligi @acilafetgovtr @kilicdarogluk @GozdeDiSciogl @rterdogan @ halileldemir ... https://t.co/izh3trtdtf")</f>
        <v>@drfahrettinkoca @saglikbakanligi @acilafetgovtr @kilicdarogluk @GozdeDiSciogl @rterdogan @ halileldemir ... https://t.co/izh3trtdtf</v>
      </c>
    </row>
    <row r="18739" spans="1:5" ht="15" customHeight="1" x14ac:dyDescent="0.25">
      <c r="A18739" s="1" t="s">
        <v>36648</v>
      </c>
      <c r="B18739" s="1">
        <v>0</v>
      </c>
      <c r="C18739" s="3">
        <v>44540.848495370374</v>
      </c>
      <c r="D18739" s="1" t="s">
        <v>36649</v>
      </c>
      <c r="E18739" s="4" t="str">
        <f ca="1">IFERROR(__xludf.DUMMYFUNCTION("GOOGLETRANSLATE(A1542 , ""tr"" , ""en"")"),"@drfahrettinkoca @saglikbakanligi @acilafetgovtr @kilicdarogluk @GozdeSciogl @rterdogan @ halileldemir ... https://t.co/1a3zbwcay")</f>
        <v>@drfahrettinkoca @saglikbakanligi @acilafetgovtr @kilicdarogluk @GozdeSciogl @rterdogan @ halileldemir ... https://t.co/1a3zbwcay</v>
      </c>
    </row>
    <row r="18740" spans="1:5" ht="15" customHeight="1" x14ac:dyDescent="0.25">
      <c r="A18740" s="1" t="s">
        <v>36650</v>
      </c>
      <c r="B18740" s="1">
        <v>0</v>
      </c>
      <c r="C18740" s="3">
        <v>44540.848483796297</v>
      </c>
      <c r="D18740" s="1" t="s">
        <v>36651</v>
      </c>
      <c r="E18740" s="4" t="str">
        <f ca="1">IFERROR(__xludf.DUMMYFUNCTION("GOOGLETRANSLATE(A1543 , ""tr"" , ""en"")"),"@drfahrettinkoca @saglikbakanligi @acilafetgovtr @kilicdarogluk @gozdeçirisciogl @rterdogan @ halileldemir ... https://t.co/1q5wh6nral")</f>
        <v>@drfahrettinkoca @saglikbakanligi @acilafetgovtr @kilicdarogluk @gozdeçirisciogl @rterdogan @ halileldemir ... https://t.co/1q5wh6nral</v>
      </c>
    </row>
    <row r="18741" spans="1:5" ht="15" customHeight="1" x14ac:dyDescent="0.25">
      <c r="A18741" s="1" t="s">
        <v>36652</v>
      </c>
      <c r="B18741" s="1">
        <v>0</v>
      </c>
      <c r="C18741" s="3">
        <v>44540.84847222222</v>
      </c>
      <c r="D18741" s="1" t="s">
        <v>36653</v>
      </c>
      <c r="E18741" s="4" t="str">
        <f ca="1">IFERROR(__xludf.DUMMYFUNCTION("GOOGLETRANSLATE(A1544 , ""tr"" , ""en"")"),"@drfahrettinkoca @saglikbakanligi @acilafetgovtr @kilicdarogluk @GozdeRisciogl @rterdogan @ halileldemir ... https://t.co/4fmhlvxjzn")</f>
        <v>@drfahrettinkoca @saglikbakanligi @acilafetgovtr @kilicdarogluk @GozdeRisciogl @rterdogan @ halileldemir ... https://t.co/4fmhlvxjzn</v>
      </c>
    </row>
    <row r="18742" spans="1:5" ht="15" customHeight="1" x14ac:dyDescent="0.25">
      <c r="A18742" s="1" t="s">
        <v>36654</v>
      </c>
      <c r="B18742" s="1">
        <v>0</v>
      </c>
      <c r="C18742" s="3">
        <v>44540.848043981481</v>
      </c>
      <c r="D18742" s="1" t="s">
        <v>36655</v>
      </c>
      <c r="E18742" s="4" t="str">
        <f ca="1">IFERROR(__xludf.DUMMYFUNCTION("GOOGLETRANSLATE(A1545 , ""tr"" , ""en"")"),"@drfahrettinkoca @rterdogan @saglikbakanligi @acilafetgovtr @GozdeRisciogl @kilicdarogluk # fkocahaftaayyıyındaolduyeter")</f>
        <v>@drfahrettinkoca @rterdogan @saglikbakanligi @acilafetgovtr @GozdeRisciogl @kilicdarogluk # fkocahaftaayyıyındaolduyeter</v>
      </c>
    </row>
    <row r="18743" spans="1:5" ht="15" customHeight="1" x14ac:dyDescent="0.25">
      <c r="A18743" s="1" t="s">
        <v>36654</v>
      </c>
      <c r="B18743" s="1">
        <v>0</v>
      </c>
      <c r="C18743" s="3">
        <v>44540.848043981481</v>
      </c>
      <c r="D18743" s="1" t="s">
        <v>36656</v>
      </c>
      <c r="E18743" s="4" t="str">
        <f ca="1">IFERROR(__xludf.DUMMYFUNCTION("GOOGLETRANSLATE(A1546 , ""tr"" , ""en"")"),"@drfahrettinkoca @rterdogan @saglikbakanligi @acilafetgovtr @GozdeRisciogl @kilicdarogluk # fkocahaftaayyıyındaolduyeter")</f>
        <v>@drfahrettinkoca @rterdogan @saglikbakanligi @acilafetgovtr @GozdeRisciogl @kilicdarogluk # fkocahaftaayyıyındaolduyeter</v>
      </c>
    </row>
    <row r="18744" spans="1:5" ht="15" customHeight="1" x14ac:dyDescent="0.25">
      <c r="A18744" s="1" t="s">
        <v>36654</v>
      </c>
      <c r="B18744" s="1">
        <v>0</v>
      </c>
      <c r="C18744" s="3">
        <v>44540.848043981481</v>
      </c>
      <c r="D18744" s="1" t="s">
        <v>36657</v>
      </c>
      <c r="E18744" s="4" t="str">
        <f ca="1">IFERROR(__xludf.DUMMYFUNCTION("GOOGLETRANSLATE(A1547 , ""tr"" , ""en"")"),"@drfahrettinkoca @rterdogan @saglikbakanligi @acilafetgovtr @GozdeRisciogl @kilicdarogluk # fkocahaftaayyıyındaolduyeter")</f>
        <v>@drfahrettinkoca @rterdogan @saglikbakanligi @acilafetgovtr @GozdeRisciogl @kilicdarogluk # fkocahaftaayyıyındaolduyeter</v>
      </c>
    </row>
    <row r="18745" spans="1:5" ht="15" customHeight="1" x14ac:dyDescent="0.25">
      <c r="A18745" s="1" t="s">
        <v>36654</v>
      </c>
      <c r="B18745" s="1">
        <v>0</v>
      </c>
      <c r="C18745" s="3">
        <v>44540.848032407404</v>
      </c>
      <c r="D18745" s="1" t="s">
        <v>36658</v>
      </c>
      <c r="E18745" s="4" t="str">
        <f ca="1">IFERROR(__xludf.DUMMYFUNCTION("GOOGLETRANSLATE(A1548 , ""tr"" , ""en"")"),"@drfahrettinkoca @rterdogan @saglikbakanligi @acilafetgovtr @GozdeRisciogl @kilicdarogluk # fkocahaftaayyıyındaolduyeter")</f>
        <v>@drfahrettinkoca @rterdogan @saglikbakanligi @acilafetgovtr @GozdeRisciogl @kilicdarogluk # fkocahaftaayyıyındaolduyeter</v>
      </c>
    </row>
    <row r="18746" spans="1:5" ht="15" customHeight="1" x14ac:dyDescent="0.25">
      <c r="A18746" s="1" t="s">
        <v>36654</v>
      </c>
      <c r="B18746" s="1">
        <v>0</v>
      </c>
      <c r="C18746" s="3">
        <v>44540.848032407404</v>
      </c>
      <c r="D18746" s="1" t="s">
        <v>36659</v>
      </c>
      <c r="E18746" s="4" t="str">
        <f ca="1">IFERROR(__xludf.DUMMYFUNCTION("GOOGLETRANSLATE(A1549 , ""tr"" , ""en"")"),"@drfahrettinkoca @rterdogan @saglikbakanligi @acilafetgovtr @GozdeRisciogl @kilicdarogluk # fkocahaftaayyıyındaolduyeter")</f>
        <v>@drfahrettinkoca @rterdogan @saglikbakanligi @acilafetgovtr @GozdeRisciogl @kilicdarogluk # fkocahaftaayyıyındaolduyeter</v>
      </c>
    </row>
    <row r="18747" spans="1:5" ht="15" customHeight="1" x14ac:dyDescent="0.25">
      <c r="A18747" s="1" t="s">
        <v>36660</v>
      </c>
      <c r="B18747" s="1">
        <v>0</v>
      </c>
      <c r="C18747" s="3">
        <v>44540.844247685185</v>
      </c>
      <c r="D18747" s="1" t="s">
        <v>36661</v>
      </c>
      <c r="E18747" s="4" t="str">
        <f ca="1">IFERROR(__xludf.DUMMYFUNCTION("GOOGLETRANSLATE(A1550 , ""tr"" , ""en"")"),"@drfahrettinkoca @haleldemir @rterdogan @saglikbakanligi @acilafetgovtr @GozdeDiSciogl # fkocahaftaayındaolduyether https://t.co/q3n2b2LI3m")</f>
        <v>@drfahrettinkoca @haleldemir @rterdogan @saglikbakanligi @acilafetgovtr @GozdeDiSciogl # fkocahaftaayındaolduyether https://t.co/q3n2b2LI3m</v>
      </c>
    </row>
    <row r="18748" spans="1:5" ht="15" customHeight="1" x14ac:dyDescent="0.25">
      <c r="A18748" s="1" t="s">
        <v>36662</v>
      </c>
      <c r="B18748" s="1">
        <v>0</v>
      </c>
      <c r="C18748" s="3">
        <v>44540.844236111108</v>
      </c>
      <c r="D18748" s="1" t="s">
        <v>36663</v>
      </c>
      <c r="E18748" s="4" t="str">
        <f ca="1">IFERROR(__xludf.DUMMYFUNCTION("GOOGLETRANSLATE(A1551 , ""tr"" , ""en"")"),"@drfahrettinkoca @haleldemir @rterdogan @saglikbakanligi @acilafetgovtr @gozdeşirisciogl # fkocahaftaayıyırolduyether https://t.co/kledtqrhqy")</f>
        <v>@drfahrettinkoca @haleldemir @rterdogan @saglikbakanligi @acilafetgovtr @gozdeşirisciogl # fkocahaftaayıyırolduyether https://t.co/kledtqrhqy</v>
      </c>
    </row>
    <row r="18749" spans="1:5" ht="15" customHeight="1" x14ac:dyDescent="0.25">
      <c r="A18749" s="1" t="s">
        <v>36664</v>
      </c>
      <c r="B18749" s="1">
        <v>0</v>
      </c>
      <c r="C18749" s="3">
        <v>44540.844236111108</v>
      </c>
      <c r="D18749" s="1" t="s">
        <v>36665</v>
      </c>
      <c r="E18749" s="4" t="str">
        <f ca="1">IFERROR(__xludf.DUMMYFUNCTION("GOOGLETRANSLATE(A1552 , ""tr"" , ""en"")"),"@drfahrettinkoca @haleldemir @rterdogan @saglikbakanligi @acilafetgovtr @GozdeDiSciogl # fkocahaftaayıyındaolduyether https://t.co/99jplory4x")</f>
        <v>@drfahrettinkoca @haleldemir @rterdogan @saglikbakanligi @acilafetgovtr @GozdeDiSciogl # fkocahaftaayıyındaolduyether https://t.co/99jplory4x</v>
      </c>
    </row>
    <row r="18750" spans="1:5" ht="15" customHeight="1" x14ac:dyDescent="0.25">
      <c r="A18750" s="1" t="s">
        <v>36666</v>
      </c>
      <c r="B18750" s="1">
        <v>0</v>
      </c>
      <c r="C18750" s="3">
        <v>44540.844224537039</v>
      </c>
      <c r="D18750" s="1" t="s">
        <v>36667</v>
      </c>
      <c r="E18750" s="4" t="str">
        <f ca="1">IFERROR(__xludf.DUMMYFUNCTION("GOOGLETRANSLATE(A1553 , ""tr"" , ""en"")"),"@drfahrettinkoca @haleldemir @rterdogan @saglikbakanligi @acilafetgovtr @gozdeşirisciogl # fkocahaftaayıyırolduyether https://t.co/8pdezxh8y1")</f>
        <v>@drfahrettinkoca @haleldemir @rterdogan @saglikbakanligi @acilafetgovtr @gozdeşirisciogl # fkocahaftaayıyırolduyether https://t.co/8pdezxh8y1</v>
      </c>
    </row>
    <row r="18751" spans="1:5" ht="15" customHeight="1" x14ac:dyDescent="0.25">
      <c r="A18751" s="1" t="s">
        <v>36668</v>
      </c>
      <c r="B18751" s="1">
        <v>0</v>
      </c>
      <c r="C18751" s="3">
        <v>44540.844224537039</v>
      </c>
      <c r="D18751" s="1" t="s">
        <v>36669</v>
      </c>
      <c r="E18751" s="4" t="str">
        <f ca="1">IFERROR(__xludf.DUMMYFUNCTION("GOOGLETRANSLATE(A1554 , ""tr"" , ""en"")"),"@drfahrettinkoca @haleldemir @rterdogan @saglikbakanligi @AcilafetGovtr @GozdeDiSciogl # fkocahaftaayıyındaolduyether https://t.co/mm9u5mmyxv")</f>
        <v>@drfahrettinkoca @haleldemir @rterdogan @saglikbakanligi @AcilafetGovtr @GozdeDiSciogl # fkocahaftaayıyındaolduyether https://t.co/mm9u5mmyxv</v>
      </c>
    </row>
    <row r="18752" spans="1:5" ht="15" customHeight="1" x14ac:dyDescent="0.25">
      <c r="A18752" s="1" t="s">
        <v>36670</v>
      </c>
      <c r="B18752" s="1">
        <v>0</v>
      </c>
      <c r="C18752" s="3">
        <v>44540.841331018521</v>
      </c>
      <c r="D18752" s="1" t="s">
        <v>36671</v>
      </c>
      <c r="E18752" s="4" t="str">
        <f ca="1">IFERROR(__xludf.DUMMYFUNCTION("GOOGLETRANSLATE(A1555 , ""tr"" , ""en"")"),"@drfahrettinkoca @saglikbakanligi @Acilafetgovtr @kilicdarogluk @GozdeDiSciogl @rterdogan @ halileldemir ... https://t.co/XBVZ5BDSIU")</f>
        <v>@drfahrettinkoca @saglikbakanligi @Acilafetgovtr @kilicdarogluk @GozdeDiSciogl @rterdogan @ halileldemir ... https://t.co/XBVZ5BDSIU</v>
      </c>
    </row>
    <row r="18753" spans="1:5" ht="15" customHeight="1" x14ac:dyDescent="0.25">
      <c r="A18753" s="1" t="s">
        <v>36672</v>
      </c>
      <c r="B18753" s="1">
        <v>0</v>
      </c>
      <c r="C18753" s="3">
        <v>44540.841331018521</v>
      </c>
      <c r="D18753" s="1" t="s">
        <v>36673</v>
      </c>
      <c r="E18753" s="4" t="str">
        <f ca="1">IFERROR(__xludf.DUMMYFUNCTION("GOOGLETRANSLATE(A1556 , ""tr"" , ""en"")"),"@drfahrettinkoca @saglikbakanligi @acilafetgovtr @kilicdarogluk @gozdekirisciogl @rterdogan @ halileldemir ... https://t.co/a4p30yp6j8")</f>
        <v>@drfahrettinkoca @saglikbakanligi @acilafetgovtr @kilicdarogluk @gozdekirisciogl @rterdogan @ halileldemir ... https://t.co/a4p30yp6j8</v>
      </c>
    </row>
    <row r="18754" spans="1:5" ht="15" customHeight="1" x14ac:dyDescent="0.25">
      <c r="A18754" s="1" t="s">
        <v>36674</v>
      </c>
      <c r="B18754" s="1">
        <v>0</v>
      </c>
      <c r="C18754" s="3">
        <v>44540.841319444444</v>
      </c>
      <c r="D18754" s="1" t="s">
        <v>36675</v>
      </c>
      <c r="E18754" s="4" t="str">
        <f ca="1">IFERROR(__xludf.DUMMYFUNCTION("GOOGLETRANSLATE(A1557 , ""tr"" , ""en"")"),"@drfahrettinkoca @saglikbakanligi @acilafetgovtr @kilicdarogluk @gozdehirisciogl @rterdogan @ halileldemir ... https://t.co/k3kk9k2emv")</f>
        <v>@drfahrettinkoca @saglikbakanligi @acilafetgovtr @kilicdarogluk @gozdehirisciogl @rterdogan @ halileldemir ... https://t.co/k3kk9k2emv</v>
      </c>
    </row>
    <row r="18755" spans="1:5" ht="15" customHeight="1" x14ac:dyDescent="0.25">
      <c r="A18755" s="1" t="s">
        <v>36676</v>
      </c>
      <c r="B18755" s="1">
        <v>0</v>
      </c>
      <c r="C18755" s="3">
        <v>44540.841319444444</v>
      </c>
      <c r="D18755" s="1" t="s">
        <v>36677</v>
      </c>
      <c r="E18755" s="4" t="str">
        <f ca="1">IFERROR(__xludf.DUMMYFUNCTION("GOOGLETRANSLATE(A1558 , ""tr"" , ""en"")"),"@drfahrettinkoca @saglikbakanligi @acilafetgovtr @kilicdarogluk @gozdekirisciogl @rterdogan @ halileldemir ... https://t.co/yvvh6k0x8s")</f>
        <v>@drfahrettinkoca @saglikbakanligi @acilafetgovtr @kilicdarogluk @gozdekirisciogl @rterdogan @ halileldemir ... https://t.co/yvvh6k0x8s</v>
      </c>
    </row>
    <row r="18756" spans="1:5" ht="15" customHeight="1" x14ac:dyDescent="0.25">
      <c r="A18756" s="1" t="s">
        <v>36678</v>
      </c>
      <c r="B18756" s="1">
        <v>0</v>
      </c>
      <c r="C18756" s="3">
        <v>44540.841307870367</v>
      </c>
      <c r="D18756" s="1" t="s">
        <v>36679</v>
      </c>
      <c r="E18756" s="4" t="str">
        <f ca="1">IFERROR(__xludf.DUMMYFUNCTION("GOOGLETRANSLATE(A1559 , ""tr"" , ""en"")"),"@drfahrettinkoca @saglikbakanligi @acilafetgovtr @kilicdarogluk @gozdehirisciogl @rterdogan @ halileldemir ... https://t.co/hw8d9a6tk7")</f>
        <v>@drfahrettinkoca @saglikbakanligi @acilafetgovtr @kilicdarogluk @gozdehirisciogl @rterdogan @ halileldemir ... https://t.co/hw8d9a6tk7</v>
      </c>
    </row>
    <row r="18757" spans="1:5" ht="15" customHeight="1" x14ac:dyDescent="0.25">
      <c r="A18757" s="1" t="s">
        <v>36680</v>
      </c>
      <c r="B18757" s="1">
        <v>2</v>
      </c>
      <c r="C18757" s="3">
        <v>44540.830127314817</v>
      </c>
      <c r="D18757" s="1" t="s">
        <v>36681</v>
      </c>
      <c r="E18757" s="4" t="str">
        <f ca="1">IFERROR(__xludf.DUMMYFUNCTION("GOOGLETRANSLATE(A1560 , ""tr"" , ""en"")"),"@drfahrettinkoca minimum wage should be more than 4000 in these conditions but this country's physicians 4500 net ma ... https://t.co/k8wxncsplg")</f>
        <v>@drfahrettinkoca minimum wage should be more than 4000 in these conditions but this country's physicians 4500 net ma ... https://t.co/k8wxncsplg</v>
      </c>
    </row>
    <row r="18758" spans="1:5" ht="15" customHeight="1" x14ac:dyDescent="0.25">
      <c r="A18758" s="1" t="s">
        <v>36682</v>
      </c>
      <c r="B18758" s="1">
        <v>0</v>
      </c>
      <c r="C18758" s="3">
        <v>44540.828622685185</v>
      </c>
      <c r="D18758" s="1" t="s">
        <v>36683</v>
      </c>
      <c r="E18758" s="4" t="str">
        <f ca="1">IFERROR(__xludf.DUMMYFUNCTION("GOOGLETRANSLATE(A1561 , ""tr"" , ""en"")"),"@drfahrettinkoca @saglikbakanligi As you have ignored us, do not ignore such an accident in https://t.co/xbp4rky9xv")</f>
        <v>@drfahrettinkoca @saglikbakanligi As you have ignored us, do not ignore such an accident in https://t.co/xbp4rky9xv</v>
      </c>
    </row>
    <row r="18759" spans="1:5" ht="15" customHeight="1" x14ac:dyDescent="0.25">
      <c r="A18759" s="1" t="s">
        <v>36684</v>
      </c>
      <c r="B18759" s="1">
        <v>0</v>
      </c>
      <c r="C18759" s="3">
        <v>44540.824444444443</v>
      </c>
      <c r="D18759" s="1" t="s">
        <v>36685</v>
      </c>
      <c r="E18759" s="4" t="str">
        <f ca="1">IFERROR(__xludf.DUMMYFUNCTION("GOOGLETRANSLATE(A1562 , ""tr"" , ""en"")"),"@drfahrettinkoca @tc_icisler @icesur @suleymansoylu @ibrahimkaragul @elonue @ zafersahin06 @ İngheremine ... https://t.co/mpdiveweuI")</f>
        <v>@drfahrettinkoca @tc_icisler @icesur @suleymansoylu @ibrahimkaragul @elonue @ zafersahin06 @ İngheremine ... https://t.co/mpdiveweuI</v>
      </c>
    </row>
    <row r="18760" spans="1:5" ht="15" customHeight="1" x14ac:dyDescent="0.25">
      <c r="A18760" s="1" t="s">
        <v>36686</v>
      </c>
      <c r="B18760" s="1">
        <v>0</v>
      </c>
      <c r="C18760" s="3">
        <v>44540.816863425927</v>
      </c>
      <c r="D18760" s="1" t="s">
        <v>36687</v>
      </c>
      <c r="E18760" s="4" t="str">
        <f ca="1">IFERROR(__xludf.DUMMYFUNCTION("GOOGLETRANSLATE(A1563 , ""tr"" , ""en"")"),"@drfahrettinkoca @rterdogan @ mehmetceyhan23 @drzekibay @bengibaser @serapsimsekyvz @tcmeb @ saglikbakanligi ... https://t.co/zmwnwfpejb")</f>
        <v>@drfahrettinkoca @rterdogan @ mehmetceyhan23 @drzekibay @bengibaser @serapsimsekyvz @tcmeb @ saglikbakanligi ... https://t.co/zmwnwfpejb</v>
      </c>
    </row>
    <row r="18761" spans="1:5" ht="15" customHeight="1" x14ac:dyDescent="0.25">
      <c r="A18761" s="1" t="s">
        <v>36688</v>
      </c>
      <c r="B18761" s="1">
        <v>1</v>
      </c>
      <c r="C18761" s="3">
        <v>44540.814259259256</v>
      </c>
      <c r="D18761" s="1" t="s">
        <v>36689</v>
      </c>
      <c r="E18761" s="4" t="str">
        <f ca="1">IFERROR(__xludf.DUMMYFUNCTION("GOOGLETRANSLATE(A1564 , ""tr"" , ""en"")"),"@drfahrettinkoca @profdrersansen #the physicians will be https://t.co/plghbnrxqv")</f>
        <v>@drfahrettinkoca @profdrersansen #the physicians will be https://t.co/plghbnrxqv</v>
      </c>
    </row>
    <row r="18762" spans="1:5" ht="15" customHeight="1" x14ac:dyDescent="0.25">
      <c r="A18762" s="1" t="s">
        <v>36690</v>
      </c>
      <c r="B18762" s="1">
        <v>0</v>
      </c>
      <c r="C18762" s="3">
        <v>44540.813923611109</v>
      </c>
      <c r="D18762" s="1" t="s">
        <v>36691</v>
      </c>
      <c r="E18762" s="4" t="str">
        <f ca="1">IFERROR(__xludf.DUMMYFUNCTION("GOOGLETRANSLATE(A1565 , ""tr"" , ""en"")"),"@drfahrettinkoca Ministry of parallel decisions as if https://t.co/dzxhg26nec")</f>
        <v>@drfahrettinkoca Ministry of parallel decisions as if https://t.co/dzxhg26nec</v>
      </c>
    </row>
    <row r="18763" spans="1:5" ht="15" customHeight="1" x14ac:dyDescent="0.25">
      <c r="A18763" s="1" t="s">
        <v>36692</v>
      </c>
      <c r="B18763" s="1">
        <v>15</v>
      </c>
      <c r="C18763" s="3">
        <v>44540.8122337963</v>
      </c>
      <c r="D18763" s="1" t="s">
        <v>36693</v>
      </c>
      <c r="E18763" s="4" t="str">
        <f ca="1">IFERROR(__xludf.DUMMYFUNCTION("GOOGLETRANSLATE(A1566 , ""tr"" , ""en"")"),"See @drfahrettinkoca Facts Now, we are taking a positive student news from our classrooms every day # CabineUZAKTanEducationArt")</f>
        <v>See @drfahrettinkoca Facts Now, we are taking a positive student news from our classrooms every day # CabineUZAKTanEducationArt</v>
      </c>
    </row>
    <row r="18764" spans="1:5" ht="15" customHeight="1" x14ac:dyDescent="0.25">
      <c r="A18764" s="1" t="s">
        <v>36694</v>
      </c>
      <c r="B18764" s="1">
        <v>1</v>
      </c>
      <c r="C18764" s="3">
        <v>44540.808819444443</v>
      </c>
      <c r="D18764" s="1" t="s">
        <v>36695</v>
      </c>
      <c r="E18764" s="4" t="str">
        <f ca="1">IFERROR(__xludf.DUMMYFUNCTION("GOOGLETRANSLATE(A1567 , ""tr"" , ""en"")"),"@drfahrettinkoca @foxhaber https://t.co/pyxppurkak")</f>
        <v>@drfahrettinkoca @foxhaber https://t.co/pyxppurkak</v>
      </c>
    </row>
    <row r="18765" spans="1:5" ht="15" customHeight="1" x14ac:dyDescent="0.25">
      <c r="A18765" s="1" t="s">
        <v>36696</v>
      </c>
      <c r="B18765" s="1">
        <v>0</v>
      </c>
      <c r="C18765" s="3">
        <v>44540.800254629627</v>
      </c>
      <c r="D18765" s="1" t="s">
        <v>36697</v>
      </c>
      <c r="E18765" s="4" t="str">
        <f ca="1">IFERROR(__xludf.DUMMYFUNCTION("GOOGLETRANSLATE(A1568 , ""tr"" , ""en"")"),"@drfahrettinkoca @kilicdarogluk @Meral_Aksener @ativittta #the physicians will be https://t.co/zvroxoazbd")</f>
        <v>@drfahrettinkoca @kilicdarogluk @Meral_Aksener @ativittta #the physicians will be https://t.co/zvroxoazbd</v>
      </c>
    </row>
    <row r="18766" spans="1:5" ht="15" customHeight="1" x14ac:dyDescent="0.25">
      <c r="A18766" s="1" t="s">
        <v>36698</v>
      </c>
      <c r="B18766" s="1">
        <v>0</v>
      </c>
      <c r="C18766" s="3">
        <v>44540.797407407408</v>
      </c>
      <c r="D18766" s="1" t="s">
        <v>36699</v>
      </c>
      <c r="E18766" s="4" t="str">
        <f ca="1">IFERROR(__xludf.DUMMYFUNCTION("GOOGLETRANSLATE(A1569 , ""tr"" , ""en"")"),"@drfahrettinkoca @rterdogan @sagliksen https://t.co/ztlrmzopxh")</f>
        <v>@drfahrettinkoca @rterdogan @sagliksen https://t.co/ztlrmzopxh</v>
      </c>
    </row>
    <row r="18767" spans="1:5" ht="15" customHeight="1" x14ac:dyDescent="0.25">
      <c r="A18767" s="1" t="s">
        <v>36700</v>
      </c>
      <c r="B18767" s="1">
        <v>0</v>
      </c>
      <c r="C18767" s="3">
        <v>44540.793483796297</v>
      </c>
      <c r="D18767" s="1" t="s">
        <v>36701</v>
      </c>
      <c r="E18767" s="4" t="str">
        <f ca="1">IFERROR(__xludf.DUMMYFUNCTION("GOOGLETRANSLATE(A1570 , ""tr"" , ""en"")"),"@drfahrettinka https://t.co/xady8qwxlr")</f>
        <v>@drfahrettinka https://t.co/xady8qwxlr</v>
      </c>
    </row>
    <row r="18768" spans="1:5" ht="15" customHeight="1" x14ac:dyDescent="0.25">
      <c r="A18768" s="1" t="s">
        <v>36702</v>
      </c>
      <c r="B18768" s="1">
        <v>1</v>
      </c>
      <c r="C18768" s="3">
        <v>44540.792199074072</v>
      </c>
      <c r="D18768" s="1" t="s">
        <v>36703</v>
      </c>
      <c r="E18768" s="4" t="str">
        <f ca="1">IFERROR(__xludf.DUMMYFUNCTION("GOOGLETRANSLATE(A1571 , ""tr"" , ""en"")"),"@drfahrettinkoca I live in Kemalpaşa. The previous day the eye examination appointment that my neighbor has received twice has been canceled. Me ... https://t.co/27govotnub")</f>
        <v>@drfahrettinkoca I live in Kemalpaşa. The previous day the eye examination appointment that my neighbor has received twice has been canceled. Me ... https://t.co/27govotnub</v>
      </c>
    </row>
    <row r="18769" spans="1:5" ht="15" customHeight="1" x14ac:dyDescent="0.25">
      <c r="A18769" s="1" t="s">
        <v>36704</v>
      </c>
      <c r="B18769" s="1">
        <v>0</v>
      </c>
      <c r="C18769" s="3">
        <v>44540.790381944447</v>
      </c>
      <c r="D18769" s="1" t="s">
        <v>36705</v>
      </c>
      <c r="E18769" s="4" t="str">
        <f ca="1">IFERROR(__xludf.DUMMYFUNCTION("GOOGLETRANSLATE(A1572 , ""tr"" , ""en"")"),"@drfahrettinkoca Hocam Hpn Hospital Green Field Dr lari are officially slow motion.")</f>
        <v>@drfahrettinkoca Hocam Hpn Hospital Green Field Dr lari are officially slow motion.</v>
      </c>
    </row>
    <row r="18770" spans="1:5" ht="15" customHeight="1" x14ac:dyDescent="0.25">
      <c r="A18770" s="1" t="s">
        <v>36706</v>
      </c>
      <c r="B18770" s="1">
        <v>1</v>
      </c>
      <c r="C18770" s="3">
        <v>44540.788518518515</v>
      </c>
      <c r="D18770" s="1" t="s">
        <v>36707</v>
      </c>
      <c r="E18770" s="4" t="str">
        <f ca="1">IFERROR(__xludf.DUMMYFUNCTION("GOOGLETRANSLATE(A1573 , ""tr"" , ""en"")"),"@drfahrettinka physicians lost poor, tired and dignity. #peakers will be able to")</f>
        <v>@drfahrettinka physicians lost poor, tired and dignity. #peakers will be able to</v>
      </c>
    </row>
    <row r="18771" spans="1:5" ht="15" customHeight="1" x14ac:dyDescent="0.25">
      <c r="A18771" s="1" t="s">
        <v>36708</v>
      </c>
      <c r="B18771" s="1">
        <v>1</v>
      </c>
      <c r="C18771" s="3">
        <v>44540.786909722221</v>
      </c>
      <c r="D18771" s="1" t="s">
        <v>36709</v>
      </c>
      <c r="E18771" s="4" t="str">
        <f ca="1">IFERROR(__xludf.DUMMYFUNCTION("GOOGLETRANSLATE(A1574 , ""tr"" , ""en"")"),"@drfahrettinkoca What are the justifications? Over the pandem? 5/11 years old? Even if it is exceeded, it is gettin? What is logic? https://t.co/ocjzbmıdkr")</f>
        <v>@drfahrettinkoca What are the justifications? Over the pandem? 5/11 years old? Even if it is exceeded, it is gettin? What is logic? https://t.co/ocjzbmıdkr</v>
      </c>
    </row>
    <row r="18772" spans="1:5" ht="15" customHeight="1" x14ac:dyDescent="0.25">
      <c r="A18772" s="1" t="s">
        <v>35229</v>
      </c>
      <c r="B18772" s="1">
        <v>1</v>
      </c>
      <c r="C18772" s="3">
        <v>44540.785000000003</v>
      </c>
      <c r="D18772" s="1" t="s">
        <v>36710</v>
      </c>
      <c r="E18772" s="4" t="str">
        <f ca="1">IFERROR(__xludf.DUMMYFUNCTION("GOOGLETRANSLATE(A1575 , ""tr"" , ""en"")"),"@drfahrettinkoca # fkocayakilavuzyaistifa")</f>
        <v>@drfahrettinkoca # fkocayakilavuzyaistifa</v>
      </c>
    </row>
    <row r="18773" spans="1:5" ht="15" customHeight="1" x14ac:dyDescent="0.25">
      <c r="A18773" s="1" t="s">
        <v>36711</v>
      </c>
      <c r="B18773" s="1">
        <v>2</v>
      </c>
      <c r="C18773" s="3">
        <v>44540.771412037036</v>
      </c>
      <c r="D18773" s="1" t="s">
        <v>36712</v>
      </c>
      <c r="E18773" s="4" t="str">
        <f ca="1">IFERROR(__xludf.DUMMYFUNCTION("GOOGLETRANSLATE(A1576 , ""tr"" , ""en"")"),"@drfahrettinkoca @saglikbakanligi @mudriyebicakci @ nurper1 @cgdayanisma @sacogehak # 40Binal in my 3250coc")</f>
        <v>@drfahrettinkoca @saglikbakanligi @mudriyebicakci @ nurper1 @cgdayanisma @sacogehak # 40Binal in my 3250coc</v>
      </c>
    </row>
    <row r="18774" spans="1:5" ht="15" customHeight="1" x14ac:dyDescent="0.25">
      <c r="A18774" s="1" t="s">
        <v>36713</v>
      </c>
      <c r="B18774" s="1">
        <v>0</v>
      </c>
      <c r="C18774" s="3">
        <v>44540.769918981481</v>
      </c>
      <c r="D18774" s="1" t="s">
        <v>36714</v>
      </c>
      <c r="E18774" s="4" t="str">
        <f ca="1">IFERROR(__xludf.DUMMYFUNCTION("GOOGLETRANSLATE(A1577 , ""tr"" , ""en"")"),"@drfahrettinka https://t.co/5wpezss7cd")</f>
        <v>@drfahrettinka https://t.co/5wpezss7cd</v>
      </c>
    </row>
    <row r="18775" spans="1:5" ht="15" customHeight="1" x14ac:dyDescent="0.25">
      <c r="A18775" s="1" t="s">
        <v>36715</v>
      </c>
      <c r="B18775" s="1">
        <v>0</v>
      </c>
      <c r="C18775" s="3">
        <v>44540.758819444447</v>
      </c>
      <c r="D18775" s="1" t="s">
        <v>36716</v>
      </c>
      <c r="E18775" s="4" t="str">
        <f ca="1">IFERROR(__xludf.DUMMYFUNCTION("GOOGLETRANSLATE(A1578 , ""tr"" , ""en"")"),"@drfahrettinkoca @choniologyKurulu_ https://t.co/chxkq4za2m")</f>
        <v>@drfahrettinkoca @choniologyKurulu_ https://t.co/chxkq4za2m</v>
      </c>
    </row>
    <row r="18776" spans="1:5" ht="15" customHeight="1" x14ac:dyDescent="0.25">
      <c r="A18776" s="1" t="s">
        <v>36717</v>
      </c>
      <c r="B18776" s="1">
        <v>0</v>
      </c>
      <c r="C18776" s="3">
        <v>44540.758310185185</v>
      </c>
      <c r="D18776" s="1" t="s">
        <v>36718</v>
      </c>
      <c r="E18776" s="4" t="str">
        <f ca="1">IFERROR(__xludf.DUMMYFUNCTION("GOOGLETRANSLATE(A1579 , ""tr"" , ""en"")"),"@drfahrettinkoca @rterdogan @suleymansoylu @adalet_bakanlik https://t.co/B6Iaig9ouuh")</f>
        <v>@drfahrettinkoca @rterdogan @suleymansoylu @adalet_bakanlik https://t.co/B6Iaig9ouuh</v>
      </c>
    </row>
    <row r="18777" spans="1:5" ht="15" customHeight="1" x14ac:dyDescent="0.25">
      <c r="A18777" s="1" t="s">
        <v>36719</v>
      </c>
      <c r="B18777" s="1">
        <v>0</v>
      </c>
      <c r="C18777" s="3">
        <v>44540.754444444443</v>
      </c>
      <c r="D18777" s="1" t="s">
        <v>36720</v>
      </c>
      <c r="E18777" s="4" t="str">
        <f ca="1">IFERROR(__xludf.DUMMYFUNCTION("GOOGLETRANSLATE(A1580 , ""tr"" , ""en"")"),"@drfahrettinkoca @saglikbakanligi you are asking for the vaccine, 33 km road gitgel 66km to be our vaccine g ... https://t.co/qqqcupzohl")</f>
        <v>@drfahrettinkoca @saglikbakanligi you are asking for the vaccine, 33 km road gitgel 66km to be our vaccine g ... https://t.co/qqqcupzohl</v>
      </c>
    </row>
    <row r="18778" spans="1:5" ht="15" customHeight="1" x14ac:dyDescent="0.25">
      <c r="A18778" s="1" t="s">
        <v>36721</v>
      </c>
      <c r="B18778" s="1">
        <v>2</v>
      </c>
      <c r="C18778" s="3">
        <v>44540.746817129628</v>
      </c>
      <c r="D18778" s="1" t="s">
        <v>36722</v>
      </c>
      <c r="E18778" s="4" t="str">
        <f ca="1">IFERROR(__xludf.DUMMYFUNCTION("GOOGLETRANSLATE(A1581 , ""tr"" , ""en"")"),"@drfahrettinkoca I want to be from those torpillies that are not seated at the desk @ hekimsensndk ... https://t.co/4sndkwdiup")</f>
        <v>@drfahrettinkoca I want to be from those torpillies that are not seated at the desk @ hekimsensndk ... https://t.co/4sndkwdiup</v>
      </c>
    </row>
    <row r="18779" spans="1:5" ht="15" customHeight="1" x14ac:dyDescent="0.25">
      <c r="A18779" s="1" t="s">
        <v>36723</v>
      </c>
      <c r="B18779" s="1">
        <v>2</v>
      </c>
      <c r="C18779" s="3">
        <v>44540.744351851848</v>
      </c>
      <c r="D18779" s="1" t="s">
        <v>36724</v>
      </c>
      <c r="E18779" s="4" t="str">
        <f ca="1">IFERROR(__xludf.DUMMYFUNCTION("GOOGLETRANSLATE(A1582 , ""tr"" , ""en"")"),"@drfahrettinkoca Mr. Minister, more than health violence news! You guys do not revise the law of violence, protect us ... https://t.co/gpgqmhmmmk")</f>
        <v>@drfahrettinkoca Mr. Minister, more than health violence news! You guys do not revise the law of violence, protect us ... https://t.co/gpgqmhmmmk</v>
      </c>
    </row>
    <row r="18780" spans="1:5" ht="15" customHeight="1" x14ac:dyDescent="0.25">
      <c r="A18780" s="1" t="s">
        <v>36725</v>
      </c>
      <c r="B18780" s="1">
        <v>2</v>
      </c>
      <c r="C18780" s="3">
        <v>44540.744027777779</v>
      </c>
      <c r="D18780" s="1" t="s">
        <v>36726</v>
      </c>
      <c r="E18780" s="4" t="str">
        <f ca="1">IFERROR(__xludf.DUMMYFUNCTION("GOOGLETRANSLATE(A1583 , ""tr"" , ""en"")"),"@drfahrettinkoca what to pay money by the industry. The plate, the screw must be able to sleep the patient before the nail is lighter .. ... https://t.co/ygmqnqs1hx")</f>
        <v>@drfahrettinkoca what to pay money by the industry. The plate, the screw must be able to sleep the patient before the nail is lighter .. ... https://t.co/ygmqnqs1hx</v>
      </c>
    </row>
    <row r="18781" spans="1:5" ht="15" customHeight="1" x14ac:dyDescent="0.25">
      <c r="A18781" s="1" t="s">
        <v>36727</v>
      </c>
      <c r="B18781" s="1">
        <v>0</v>
      </c>
      <c r="C18781" s="3">
        <v>44540.740312499998</v>
      </c>
      <c r="D18781" s="1" t="s">
        <v>36728</v>
      </c>
      <c r="E18781" s="4" t="str">
        <f ca="1">IFERROR(__xludf.DUMMYFUNCTION("GOOGLETRANSLATE(A1584 , ""tr"" , ""en"")"),"@drfahrettinkoca @rterdogan @ mehmetceyhan23 @drzekibay @bengibaser @serapsimsekyvz @tcmeb @ saglikbakanligi ... https://t.co/0va24T4ZSI")</f>
        <v>@drfahrettinkoca @rterdogan @ mehmetceyhan23 @drzekibay @bengibaser @serapsimsekyvz @tcmeb @ saglikbakanligi ... https://t.co/0va24T4ZSI</v>
      </c>
    </row>
    <row r="18782" spans="1:5" ht="15" customHeight="1" x14ac:dyDescent="0.25">
      <c r="A18782" s="1" t="s">
        <v>36729</v>
      </c>
      <c r="B18782" s="1">
        <v>0</v>
      </c>
      <c r="C18782" s="3">
        <v>44540.737939814811</v>
      </c>
      <c r="D18782" s="1" t="s">
        <v>36730</v>
      </c>
      <c r="E18782" s="4" t="str">
        <f ca="1">IFERROR(__xludf.DUMMYFUNCTION("GOOGLETRANSLATE(A1585 , ""tr"" , ""en"")"),"@drfahrettinkoca #peakers will be able to")</f>
        <v>@drfahrettinkoca #peakers will be able to</v>
      </c>
    </row>
    <row r="18783" spans="1:5" ht="15" customHeight="1" x14ac:dyDescent="0.25">
      <c r="A18783" s="1" t="s">
        <v>36731</v>
      </c>
      <c r="B18783" s="1">
        <v>0</v>
      </c>
      <c r="C18783" s="3">
        <v>44540.736597222225</v>
      </c>
      <c r="D18783" s="1" t="s">
        <v>36732</v>
      </c>
      <c r="E18783" s="4" t="str">
        <f ca="1">IFERROR(__xludf.DUMMYFUNCTION("GOOGLETRANSLATE(A1586 , ""tr"" , ""en"")"),"@drfahrettinka Mr. Ministry of 2sinovak we had a biontek vaccine last vaccine was the 5 months in the 5 months 2.Biontek vaccine ... https://t.co/3dyhkgudxs")</f>
        <v>@drfahrettinka Mr. Ministry of 2sinovak we had a biontek vaccine last vaccine was the 5 months in the 5 months 2.Biontek vaccine ... https://t.co/3dyhkgudxs</v>
      </c>
    </row>
    <row r="18784" spans="1:5" ht="15" customHeight="1" x14ac:dyDescent="0.25">
      <c r="A18784" s="1" t="s">
        <v>36733</v>
      </c>
      <c r="B18784" s="1">
        <v>0</v>
      </c>
      <c r="C18784" s="3">
        <v>44540.732905092591</v>
      </c>
      <c r="D18784" s="1" t="s">
        <v>36734</v>
      </c>
      <c r="E18784" s="4" t="str">
        <f ca="1">IFERROR(__xludf.DUMMYFUNCTION("GOOGLETRANSLATE(A1587 , ""tr"" , ""en"")"),"@drfahrettinka https://t.co/jfkmxwh9kf")</f>
        <v>@drfahrettinka https://t.co/jfkmxwh9kf</v>
      </c>
    </row>
    <row r="18785" spans="1:5" ht="15" customHeight="1" x14ac:dyDescent="0.25">
      <c r="A18785" s="1" t="s">
        <v>36735</v>
      </c>
      <c r="B18785" s="1">
        <v>1</v>
      </c>
      <c r="C18785" s="3">
        <v>44540.731631944444</v>
      </c>
      <c r="D18785" s="1" t="s">
        <v>36736</v>
      </c>
      <c r="E18785" s="4" t="str">
        <f ca="1">IFERROR(__xludf.DUMMYFUNCTION("GOOGLETRANSLATE(A1588 , ""tr"" , ""en"")"),"@drfahrettinkoca # fkocahaftaayıyılduolduyeter")</f>
        <v>@drfahrettinkoca # fkocahaftaayıyılduolduyeter</v>
      </c>
    </row>
    <row r="18786" spans="1:5" ht="15" customHeight="1" x14ac:dyDescent="0.25">
      <c r="A18786" s="1" t="s">
        <v>36737</v>
      </c>
      <c r="B18786" s="1">
        <v>0</v>
      </c>
      <c r="C18786" s="3">
        <v>44540.731574074074</v>
      </c>
      <c r="D18786" s="1" t="s">
        <v>36738</v>
      </c>
      <c r="E18786" s="4" t="str">
        <f ca="1">IFERROR(__xludf.DUMMYFUNCTION("GOOGLETRANSLATE(A1589 , ""tr"" , ""en"")"),"@drfahrettinkoca Why to keep so hold of that")</f>
        <v>@drfahrettinkoca Why to keep so hold of that</v>
      </c>
    </row>
    <row r="18787" spans="1:5" ht="15" customHeight="1" x14ac:dyDescent="0.25">
      <c r="A18787" s="1" t="s">
        <v>36739</v>
      </c>
      <c r="B18787" s="1">
        <v>1</v>
      </c>
      <c r="C18787" s="3">
        <v>44540.730787037035</v>
      </c>
      <c r="D18787" s="1" t="s">
        <v>36740</v>
      </c>
      <c r="E18787" s="4" t="str">
        <f ca="1">IFERROR(__xludf.DUMMYFUNCTION("GOOGLETRANSLATE(A1590 , ""tr"" , ""en"")"),"@drfahrettinkoca @saglikbakanligi @foxhaber @haberturk @fatihaltayli @fatihportakal #the physicians will https://t.co/nad0re9csi")</f>
        <v>@drfahrettinkoca @saglikbakanligi @foxhaber @haberturk @fatihaltayli @fatihportakal #the physicians will https://t.co/nad0re9csi</v>
      </c>
    </row>
    <row r="18788" spans="1:5" ht="15" customHeight="1" x14ac:dyDescent="0.25">
      <c r="A18788" s="1" t="s">
        <v>36741</v>
      </c>
      <c r="B18788" s="1">
        <v>1</v>
      </c>
      <c r="C18788" s="3">
        <v>44540.729814814818</v>
      </c>
      <c r="D18788" s="1" t="s">
        <v>36742</v>
      </c>
      <c r="E18788" s="4" t="str">
        <f ca="1">IFERROR(__xludf.DUMMYFUNCTION("GOOGLETRANSLATE(A1591 , ""tr"" , ""en"")"),"@drfahrettinkoca #the physicians will be able to https://t.co/qznie9o6lm")</f>
        <v>@drfahrettinkoca #the physicians will be able to https://t.co/qznie9o6lm</v>
      </c>
    </row>
    <row r="18789" spans="1:5" ht="15" customHeight="1" x14ac:dyDescent="0.25">
      <c r="A18789" s="1" t="s">
        <v>36743</v>
      </c>
      <c r="B18789" s="1">
        <v>1</v>
      </c>
      <c r="C18789" s="3">
        <v>44540.7266087963</v>
      </c>
      <c r="D18789" s="1" t="s">
        <v>36744</v>
      </c>
      <c r="E18789" s="4" t="str">
        <f ca="1">IFERROR(__xludf.DUMMYFUNCTION("GOOGLETRANSLATE(A1592 , ""tr"" , ""en"")"),"@drfahrettinkoca cüneyt Bey how many years ago said all the story will be connected to here the purpose of the secretory of the secretory of the secretary ... https://t.co/xn3tqcfhrk")</f>
        <v>@drfahrettinkoca cüneyt Bey how many years ago said all the story will be connected to here the purpose of the secretory of the secretory of the secretary ... https://t.co/xn3tqcfhrk</v>
      </c>
    </row>
    <row r="18790" spans="1:5" ht="15" customHeight="1" x14ac:dyDescent="0.25">
      <c r="A18790" s="1" t="s">
        <v>36745</v>
      </c>
      <c r="B18790" s="1">
        <v>0</v>
      </c>
      <c r="C18790" s="3">
        <v>44540.725983796299</v>
      </c>
      <c r="D18790" s="1" t="s">
        <v>36746</v>
      </c>
      <c r="E18790" s="4" t="str">
        <f ca="1">IFERROR(__xludf.DUMMYFUNCTION("GOOGLETRANSLATE(A1593 , ""tr"" , ""en"")"),"@drfahrettinkoca What is our scientist says? @Thobelişkurulu_ https://t.co/wdg6spcnng")</f>
        <v>@drfahrettinkoca What is our scientist says? @Thobelişkurulu_ https://t.co/wdg6spcnng</v>
      </c>
    </row>
    <row r="18791" spans="1:5" ht="15" customHeight="1" x14ac:dyDescent="0.25">
      <c r="A18791" s="1" t="s">
        <v>36747</v>
      </c>
      <c r="B18791" s="1">
        <v>4</v>
      </c>
      <c r="C18791" s="3">
        <v>44540.723761574074</v>
      </c>
      <c r="D18791" s="1" t="s">
        <v>36748</v>
      </c>
      <c r="E18791" s="4" t="str">
        <f ca="1">IFERROR(__xludf.DUMMYFUNCTION("GOOGLETRANSLATE(A1594 , ""tr"" , ""en"")"),"@drfahrettinkoca Mr. Minister Hear our voice anymore, we are the laboring of the laboring child development in this section ... https://t.co/a66kscjdb8")</f>
        <v>@drfahrettinkoca Mr. Minister Hear our voice anymore, we are the laboring of the laboring child development in this section ... https://t.co/a66kscjdb8</v>
      </c>
    </row>
    <row r="18792" spans="1:5" ht="15" customHeight="1" x14ac:dyDescent="0.25">
      <c r="A18792" s="1" t="s">
        <v>36749</v>
      </c>
      <c r="B18792" s="1">
        <v>8</v>
      </c>
      <c r="C18792" s="3">
        <v>44540.715474537035</v>
      </c>
      <c r="D18792" s="1" t="s">
        <v>36750</v>
      </c>
      <c r="E18792" s="4" t="str">
        <f ca="1">IFERROR(__xludf.DUMMYFUNCTION("GOOGLETRANSLATE(A1595 , ""tr"" , ""en"")"),"@drfahrettinkoca you know what we have deserved, we will not take the right to #pectish")</f>
        <v>@drfahrettinkoca you know what we have deserved, we will not take the right to #pectish</v>
      </c>
    </row>
    <row r="18793" spans="1:5" ht="15" customHeight="1" x14ac:dyDescent="0.25">
      <c r="A18793" s="1" t="s">
        <v>36751</v>
      </c>
      <c r="B18793" s="1">
        <v>5</v>
      </c>
      <c r="C18793" s="3">
        <v>44540.712870370371</v>
      </c>
      <c r="D18793" s="1" t="s">
        <v>36752</v>
      </c>
      <c r="E18793" s="4" t="str">
        <f ca="1">IFERROR(__xludf.DUMMYFUNCTION("GOOGLETRANSLATE(A1596 , ""tr"" , ""en"")"),"@drfahrettinkoca is payable, pay !! #peakers will be able to")</f>
        <v>@drfahrettinkoca is payable, pay !! #peakers will be able to</v>
      </c>
    </row>
    <row r="18794" spans="1:5" ht="15" customHeight="1" x14ac:dyDescent="0.25">
      <c r="A18794" s="1" t="s">
        <v>36753</v>
      </c>
      <c r="B18794" s="1">
        <v>1</v>
      </c>
      <c r="C18794" s="3">
        <v>44540.702893518515</v>
      </c>
      <c r="D18794" s="1" t="s">
        <v>36754</v>
      </c>
      <c r="E18794" s="4" t="str">
        <f ca="1">IFERROR(__xludf.DUMMYFUNCTION("GOOGLETRANSLATE(A1597 , ""tr"" , ""en"")"),"@drfahrettinkoca @rterdogan #Crzulmüsonbulsun #testbahane https://t.co/nzkkgprdbd")</f>
        <v>@drfahrettinkoca @rterdogan #Crzulmüsonbulsun #testbahane https://t.co/nzkkgprdbd</v>
      </c>
    </row>
    <row r="18795" spans="1:5" ht="15" customHeight="1" x14ac:dyDescent="0.25">
      <c r="A18795" s="1" t="s">
        <v>36755</v>
      </c>
      <c r="B18795" s="1">
        <v>1</v>
      </c>
      <c r="C18795" s="3">
        <v>44540.701469907406</v>
      </c>
      <c r="D18795" s="1" t="s">
        <v>36756</v>
      </c>
      <c r="E18795" s="4" t="str">
        <f ca="1">IFERROR(__xludf.DUMMYFUNCTION("GOOGLETRANSLATE(A1598 , ""tr"" , ""en"")"),"Will @drfahrettinka solve the problems of physicians? I wonder if he knows it doesn't make a sound. #the physicians will be able to https://t.co/srkhqs8xsx")</f>
        <v>Will @drfahrettinka solve the problems of physicians? I wonder if he knows it doesn't make a sound. #the physicians will be able to https://t.co/srkhqs8xsx</v>
      </c>
    </row>
    <row r="18796" spans="1:5" ht="15" customHeight="1" x14ac:dyDescent="0.25">
      <c r="A18796" s="1" t="s">
        <v>36757</v>
      </c>
      <c r="B18796" s="1">
        <v>14</v>
      </c>
      <c r="C18796" s="3">
        <v>44540.697372685187</v>
      </c>
      <c r="D18796" s="1" t="s">
        <v>36758</v>
      </c>
      <c r="E18796" s="4" t="str">
        <f ca="1">IFERROR(__xludf.DUMMYFUNCTION("GOOGLETRANSLATE(A1599 , ""tr"" , ""en"")"),"@drfahrettinkoca, we know you are aware of. But you have to take action. #peakers will be able to")</f>
        <v>@drfahrettinkoca, we know you are aware of. But you have to take action. #peakers will be able to</v>
      </c>
    </row>
    <row r="18797" spans="1:5" ht="15" customHeight="1" x14ac:dyDescent="0.25">
      <c r="A18797" s="1" t="s">
        <v>36759</v>
      </c>
      <c r="B18797" s="1">
        <v>3</v>
      </c>
      <c r="C18797" s="3">
        <v>44540.689166666663</v>
      </c>
      <c r="D18797" s="1" t="s">
        <v>36760</v>
      </c>
      <c r="E18797" s="4" t="str">
        <f ca="1">IFERROR(__xludf.DUMMYFUNCTION("GOOGLETRANSLATE(A1600 , ""tr"" , ""en"")"),"@drfahrettinkoca #kabineomicrongelmedinonline https://t.co/eb7pch2rjc")</f>
        <v>@drfahrettinkoca #kabineomicrongelmedinonline https://t.co/eb7pch2rjc</v>
      </c>
    </row>
    <row r="18798" spans="1:5" ht="15" customHeight="1" x14ac:dyDescent="0.25">
      <c r="A18798" s="1" t="s">
        <v>36761</v>
      </c>
      <c r="B18798" s="1">
        <v>1</v>
      </c>
      <c r="C18798" s="3">
        <v>44540.689027777778</v>
      </c>
      <c r="D18798" s="1" t="s">
        <v>36762</v>
      </c>
      <c r="E18798" s="4" t="str">
        <f ca="1">IFERROR(__xludf.DUMMYFUNCTION("GOOGLETRANSLATE(A1601 , ""tr"" , ""en"")"),"@drfahrettinkoca days are very painful and grave bi case you don't have one word. Us to this you are forcing #pectanism")</f>
        <v>@drfahrettinkoca days are very painful and grave bi case you don't have one word. Us to this you are forcing #pectanism</v>
      </c>
    </row>
    <row r="18799" spans="1:5" ht="15" customHeight="1" x14ac:dyDescent="0.25">
      <c r="A18799" s="1" t="s">
        <v>36763</v>
      </c>
      <c r="B18799" s="1">
        <v>14</v>
      </c>
      <c r="C18799" s="3">
        <v>44540.676898148151</v>
      </c>
      <c r="D18799" s="1" t="s">
        <v>36764</v>
      </c>
      <c r="E18799" s="4" t="str">
        <f ca="1">IFERROR(__xludf.DUMMYFUNCTION("GOOGLETRANSLATE(A1602 , ""tr"" , ""en"")"),"@drfahrettinkoca #the physicians will be exhausted now! We don't know how we tell!")</f>
        <v>@drfahrettinkoca #the physicians will be exhausted now! We don't know how we tell!</v>
      </c>
    </row>
    <row r="18800" spans="1:5" ht="15" customHeight="1" x14ac:dyDescent="0.25">
      <c r="A18800" s="1" t="s">
        <v>36765</v>
      </c>
      <c r="B18800" s="1">
        <v>6</v>
      </c>
      <c r="C18800" s="3">
        <v>44540.674166666664</v>
      </c>
      <c r="D18800" s="1" t="s">
        <v>36766</v>
      </c>
      <c r="E18800" s="4" t="str">
        <f ca="1">IFERROR(__xludf.DUMMYFUNCTION("GOOGLETRANSLATE(A1603 , ""tr"" , ""en"")"),"@drfahrettinkoca @saglikbakanligi @rterdogan Correction of the Terms of Terms, Edit the physicians on December 22nd ... https://t.co/dgtomnwa6z")</f>
        <v>@drfahrettinkoca @saglikbakanligi @rterdogan Correction of the Terms of Terms, Edit the physicians on December 22nd ... https://t.co/dgtomnwa6z</v>
      </c>
    </row>
    <row r="18801" spans="1:5" ht="15" customHeight="1" x14ac:dyDescent="0.25">
      <c r="A18801" s="1" t="s">
        <v>36767</v>
      </c>
      <c r="B18801" s="1">
        <v>8</v>
      </c>
      <c r="C18801" s="3">
        <v>44540.672199074077</v>
      </c>
      <c r="D18801" s="1" t="s">
        <v>36768</v>
      </c>
      <c r="E18801" s="4" t="str">
        <f ca="1">IFERROR(__xludf.DUMMYFUNCTION("GOOGLETRANSLATE(A1604 , ""tr"" , ""en"")"),"@drfahrettinkoca quit #peakers will")</f>
        <v>@drfahrettinkoca quit #peakers will</v>
      </c>
    </row>
    <row r="18802" spans="1:5" ht="15" customHeight="1" x14ac:dyDescent="0.25">
      <c r="A18802" s="1" t="s">
        <v>36769</v>
      </c>
      <c r="B18802" s="1">
        <v>8</v>
      </c>
      <c r="C18802" s="3">
        <v>44540.670324074075</v>
      </c>
      <c r="D18802" s="1" t="s">
        <v>36770</v>
      </c>
      <c r="E18802" s="4" t="str">
        <f ca="1">IFERROR(__xludf.DUMMYFUNCTION("GOOGLETRANSLATE(A1605 , ""tr"" , ""en"")"),"@drfahrettinka @drrecepakdag #peakers will be able to")</f>
        <v>@drfahrettinka @drrecepakdag #peakers will be able to</v>
      </c>
    </row>
    <row r="18803" spans="1:5" ht="15" customHeight="1" x14ac:dyDescent="0.25">
      <c r="A18803" s="1" t="s">
        <v>36771</v>
      </c>
      <c r="B18803" s="1">
        <v>0</v>
      </c>
      <c r="C18803" s="3">
        <v>44540.66814814815</v>
      </c>
      <c r="D18803" s="1" t="s">
        <v>36772</v>
      </c>
      <c r="E18803" s="4" t="str">
        <f ca="1">IFERROR(__xludf.DUMMYFUNCTION("GOOGLETRANSLATE(A1606 , ""tr"" , ""en"")"),"@drfahrettinkoca @rterdogan PCR test for private sector employees also find the end https://t.co/u1Iworywzy")</f>
        <v>@drfahrettinkoca @rterdogan PCR test for private sector employees also find the end https://t.co/u1Iworywzy</v>
      </c>
    </row>
    <row r="18804" spans="1:5" ht="15" customHeight="1" x14ac:dyDescent="0.25">
      <c r="A18804" s="1" t="s">
        <v>36773</v>
      </c>
      <c r="B18804" s="1">
        <v>0</v>
      </c>
      <c r="C18804" s="3">
        <v>44540.656689814816</v>
      </c>
      <c r="D18804" s="1" t="s">
        <v>36774</v>
      </c>
      <c r="E18804" s="4" t="str">
        <f ca="1">IFERROR(__xludf.DUMMYFUNCTION("GOOGLETRANSLATE(A1607 , ""tr"" , ""en"")"),"@drfahrettinkoca @saglikbakanligi @adalet_bakanlik @abdulhamitgul https://t.co/jl6relylccc")</f>
        <v>@drfahrettinkoca @saglikbakanligi @adalet_bakanlik @abdulhamitgul https://t.co/jl6relylccc</v>
      </c>
    </row>
    <row r="18805" spans="1:5" ht="15" customHeight="1" x14ac:dyDescent="0.25">
      <c r="A18805" s="1" t="s">
        <v>36775</v>
      </c>
      <c r="B18805" s="1">
        <v>2</v>
      </c>
      <c r="C18805" s="3">
        <v>44540.651585648149</v>
      </c>
      <c r="D18805" s="1" t="s">
        <v>36776</v>
      </c>
      <c r="E18805" s="4" t="str">
        <f ca="1">IFERROR(__xludf.DUMMYFUNCTION("GOOGLETRANSLATE(A1608 , ""tr"" , ""en"")"),"@drfahrettinkoca @esenol Surely take this warning to seriously Mr. Minister! https://t.co/acuymya04c")</f>
        <v>@drfahrettinkoca @esenol Surely take this warning to seriously Mr. Minister! https://t.co/acuymya04c</v>
      </c>
    </row>
    <row r="18806" spans="1:5" ht="15" customHeight="1" x14ac:dyDescent="0.25">
      <c r="A18806" s="1" t="s">
        <v>36777</v>
      </c>
      <c r="B18806" s="1">
        <v>0</v>
      </c>
      <c r="C18806" s="3">
        <v>44540.649895833332</v>
      </c>
      <c r="D18806" s="1" t="s">
        <v>36778</v>
      </c>
      <c r="E18806" s="4" t="str">
        <f ca="1">IFERROR(__xludf.DUMMYFUNCTION("GOOGLETRANSLATE(A1609 , ""tr"" , ""en"")"),"@drfahrettinkoca @vedatbilgn @memursenkonf @_aliyalcin_ https://t.co/1pjuybwktf")</f>
        <v>@drfahrettinkoca @vedatbilgn @memursenkonf @_aliyalcin_ https://t.co/1pjuybwktf</v>
      </c>
    </row>
    <row r="18807" spans="1:5" ht="15" customHeight="1" x14ac:dyDescent="0.25">
      <c r="A18807" s="1" t="s">
        <v>36779</v>
      </c>
      <c r="B18807" s="1">
        <v>1</v>
      </c>
      <c r="C18807" s="3">
        <v>44540.629421296297</v>
      </c>
      <c r="D18807" s="1" t="s">
        <v>36780</v>
      </c>
      <c r="E18807" s="4" t="str">
        <f ca="1">IFERROR(__xludf.DUMMYFUNCTION("GOOGLETRANSLATE(A1610 , ""tr"" , ""en"")"),"@drfahrettinka https://t.co/0vmlolbhkr")</f>
        <v>@drfahrettinka https://t.co/0vmlolbhkr</v>
      </c>
    </row>
    <row r="18808" spans="1:5" ht="15" customHeight="1" x14ac:dyDescent="0.25">
      <c r="A18808" s="1" t="s">
        <v>36781</v>
      </c>
      <c r="B18808" s="1">
        <v>1</v>
      </c>
      <c r="C18808" s="3">
        <v>44540.600648148145</v>
      </c>
      <c r="D18808" s="1" t="s">
        <v>36782</v>
      </c>
      <c r="E18808" s="4" t="str">
        <f ca="1">IFERROR(__xludf.DUMMYFUNCTION("GOOGLETRANSLATE(A1611 , ""tr"" , ""en"")"),"@drfahrettinkoca Hilal has a message to all Turkey ❤️ https://t.co/oedn9p5kas")</f>
        <v>@drfahrettinkoca Hilal has a message to all Turkey ❤️ https://t.co/oedn9p5kas</v>
      </c>
    </row>
    <row r="18809" spans="1:5" ht="15" customHeight="1" x14ac:dyDescent="0.25">
      <c r="A18809" s="1" t="s">
        <v>36735</v>
      </c>
      <c r="B18809" s="1">
        <v>0</v>
      </c>
      <c r="C18809" s="3">
        <v>44540.589305555557</v>
      </c>
      <c r="D18809" s="1" t="s">
        <v>36783</v>
      </c>
      <c r="E18809" s="4" t="str">
        <f ca="1">IFERROR(__xludf.DUMMYFUNCTION("GOOGLETRANSLATE(A1612 , ""tr"" , ""en"")"),"@drfahrettinkoca # fkocahaftaayıyılduolduyeter")</f>
        <v>@drfahrettinkoca # fkocahaftaayıyılduolduyeter</v>
      </c>
    </row>
    <row r="18810" spans="1:5" ht="15" customHeight="1" x14ac:dyDescent="0.25">
      <c r="A18810" s="1" t="s">
        <v>36784</v>
      </c>
      <c r="B18810" s="1">
        <v>0</v>
      </c>
      <c r="C18810" s="3">
        <v>44540.581712962965</v>
      </c>
      <c r="D18810" s="1" t="s">
        <v>36785</v>
      </c>
      <c r="E18810" s="4" t="str">
        <f ca="1">IFERROR(__xludf.DUMMYFUNCTION("GOOGLETRANSLATE(A1613 , ""tr"" , ""en"")"),"@drfahrettinkoca wonder what do you expect to make this assignment ?????? We're also human being in Bi we have the leaf in ... https://t.co/xc6smixmnc")</f>
        <v>@drfahrettinkoca wonder what do you expect to make this assignment ?????? We're also human being in Bi we have the leaf in ... https://t.co/xc6smixmnc</v>
      </c>
    </row>
    <row r="18811" spans="1:5" ht="15" customHeight="1" x14ac:dyDescent="0.25">
      <c r="A18811" s="1" t="s">
        <v>36786</v>
      </c>
      <c r="B18811" s="1">
        <v>0</v>
      </c>
      <c r="C18811" s="3">
        <v>44540.577615740738</v>
      </c>
      <c r="D18811" s="1" t="s">
        <v>36787</v>
      </c>
      <c r="E18811" s="4" t="str">
        <f ca="1">IFERROR(__xludf.DUMMYFUNCTION("GOOGLETRANSLATE(A1614 , ""tr"" , ""en"")"),"@drfahrettinka https://t.co/ICSOSJFXSN")</f>
        <v>@drfahrettinka https://t.co/ICSOSJFXSN</v>
      </c>
    </row>
    <row r="18812" spans="1:5" ht="15" customHeight="1" x14ac:dyDescent="0.25">
      <c r="A18812" s="1" t="s">
        <v>36788</v>
      </c>
      <c r="B18812" s="1">
        <v>1</v>
      </c>
      <c r="C18812" s="3">
        <v>44540.56931712963</v>
      </c>
      <c r="D18812" s="1" t="s">
        <v>36789</v>
      </c>
      <c r="E18812" s="4" t="str">
        <f ca="1">IFERROR(__xludf.DUMMYFUNCTION("GOOGLETRANSLATE(A1615 , ""tr"" , ""en"")"),"@drfahrettinkoca stands in the Muslim word. I wanted to know. # Fkocahaftaayıyılduolduyeter")</f>
        <v>@drfahrettinkoca stands in the Muslim word. I wanted to know. # Fkocahaftaayıyılduolduyeter</v>
      </c>
    </row>
    <row r="18813" spans="1:5" ht="15" customHeight="1" x14ac:dyDescent="0.25">
      <c r="A18813" s="1" t="s">
        <v>36790</v>
      </c>
      <c r="B18813" s="1">
        <v>1</v>
      </c>
      <c r="C18813" s="3">
        <v>44540.555775462963</v>
      </c>
      <c r="D18813" s="1" t="s">
        <v>36791</v>
      </c>
      <c r="E18813" s="4" t="str">
        <f ca="1">IFERROR(__xludf.DUMMYFUNCTION("GOOGLETRANSLATE(A1616 , ""tr"" , ""en"")"),"@drfahrettinkoca Mr. Minister Numbers of the Numbers of Feet also find the place in incredibly high enclosed areas ... https://t.co/cshflmrwuo")</f>
        <v>@drfahrettinkoca Mr. Minister Numbers of the Numbers of Feet also find the place in incredibly high enclosed areas ... https://t.co/cshflmrwuo</v>
      </c>
    </row>
    <row r="18814" spans="1:5" ht="15" customHeight="1" x14ac:dyDescent="0.25">
      <c r="A18814" s="1" t="s">
        <v>36792</v>
      </c>
      <c r="B18814" s="1">
        <v>0</v>
      </c>
      <c r="C18814" s="3">
        <v>44540.536087962966</v>
      </c>
      <c r="D18814" s="1" t="s">
        <v>36793</v>
      </c>
      <c r="E18814" s="4" t="str">
        <f ca="1">IFERROR(__xludf.DUMMYFUNCTION("GOOGLETRANSLATE(A1617 , ""tr"" , ""en"")"),"@drfahrettinkoca Mr. Minister, the prevention of smoking in the coffee shops in Erzurum for Allah consent ... Https://t.co/6rvofic5ob")</f>
        <v>@drfahrettinkoca Mr. Minister, the prevention of smoking in the coffee shops in Erzurum for Allah consent ... Https://t.co/6rvofic5ob</v>
      </c>
    </row>
    <row r="18815" spans="1:5" ht="15" customHeight="1" x14ac:dyDescent="0.25">
      <c r="A18815" s="1" t="s">
        <v>36794</v>
      </c>
      <c r="B18815" s="1">
        <v>1</v>
      </c>
      <c r="C18815" s="3">
        <v>44540.520983796298</v>
      </c>
      <c r="D18815" s="1" t="s">
        <v>36795</v>
      </c>
      <c r="E18815" s="4" t="str">
        <f ca="1">IFERROR(__xludf.DUMMYFUNCTION("GOOGLETRANSLATE(A1618 , ""tr"" , ""en"")"),"@drfahrettinka https://t.co/7vqhdgpdl6")</f>
        <v>@drfahrettinka https://t.co/7vqhdgpdl6</v>
      </c>
    </row>
    <row r="18816" spans="1:5" ht="15" customHeight="1" x14ac:dyDescent="0.25">
      <c r="A18816" s="1" t="s">
        <v>36796</v>
      </c>
      <c r="B18816" s="1">
        <v>0</v>
      </c>
      <c r="C18816" s="3">
        <v>44540.518842592595</v>
      </c>
      <c r="D18816" s="1" t="s">
        <v>36797</v>
      </c>
      <c r="E18816" s="4" t="str">
        <f ca="1">IFERROR(__xludf.DUMMYFUNCTION("GOOGLETRANSLATE(A1619 , ""tr"" , ""en"")"),"@drfahrettinkoca and the movie board ... It is the only first trimming the first three months of the fluids you've imposed ... HTTPS://T.CO/VHORHSIM0")</f>
        <v>@drfahrettinkoca and the movie board ... It is the only first trimming the first three months of the fluids you've imposed ... HTTPS://T.CO/VHORHSIM0</v>
      </c>
    </row>
    <row r="18817" spans="1:5" ht="15" customHeight="1" x14ac:dyDescent="0.25">
      <c r="A18817" s="1" t="s">
        <v>36798</v>
      </c>
      <c r="B18817" s="1">
        <v>0</v>
      </c>
      <c r="C18817" s="3">
        <v>44540.5078125</v>
      </c>
      <c r="D18817" s="1" t="s">
        <v>36799</v>
      </c>
      <c r="E18817" s="4" t="str">
        <f ca="1">IFERROR(__xludf.DUMMYFUNCTION("GOOGLETRANSLATE(A1620 , ""tr"" , ""en"")"),"@drfahrettinkoca @_aliyalcin_ If our job stays in these two people, get our help https://t.co/9agwlt5ysm")</f>
        <v>@drfahrettinkoca @_aliyalcin_ If our job stays in these two people, get our help https://t.co/9agwlt5ysm</v>
      </c>
    </row>
    <row r="18818" spans="1:5" ht="15" customHeight="1" x14ac:dyDescent="0.25">
      <c r="A18818" s="1" t="s">
        <v>36800</v>
      </c>
      <c r="B18818" s="1">
        <v>0</v>
      </c>
      <c r="C18818" s="3">
        <v>44540.504675925928</v>
      </c>
      <c r="D18818" s="1" t="s">
        <v>36801</v>
      </c>
      <c r="E18818" s="4" t="str">
        <f ca="1">IFERROR(__xludf.DUMMYFUNCTION("GOOGLETRANSLATE(A1621 , ""tr"" , ""en"")"),"@drfahrettinkoca Display is a decision. # We do not want #istifa https://t.co/pvd2q6wo1a")</f>
        <v>@drfahrettinkoca Display is a decision. # We do not want #istifa https://t.co/pvd2q6wo1a</v>
      </c>
    </row>
    <row r="18819" spans="1:5" ht="15" customHeight="1" x14ac:dyDescent="0.25">
      <c r="A18819" s="1" t="s">
        <v>34787</v>
      </c>
      <c r="B18819" s="1">
        <v>0</v>
      </c>
      <c r="C18819" s="3">
        <v>44540.501863425925</v>
      </c>
      <c r="D18819" s="1" t="s">
        <v>36802</v>
      </c>
      <c r="E18819" s="4" t="str">
        <f ca="1">IFERROR(__xludf.DUMMYFUNCTION("GOOGLETRANSLATE(A1622 , ""tr"" , ""en"")"),"@drfahrettinkoca")</f>
        <v>@drfahrettinkoca</v>
      </c>
    </row>
    <row r="18820" spans="1:5" ht="15" customHeight="1" x14ac:dyDescent="0.25">
      <c r="A18820" s="1" t="s">
        <v>36803</v>
      </c>
      <c r="B18820" s="1">
        <v>1</v>
      </c>
      <c r="C18820" s="3">
        <v>44540.480914351851</v>
      </c>
      <c r="D18820" s="1" t="s">
        <v>36804</v>
      </c>
      <c r="E18820" s="4" t="str">
        <f ca="1">IFERROR(__xludf.DUMMYFUNCTION("GOOGLETRANSLATE(A1623 , ""tr"" , ""en"")"),"@drfahrettinkoca # fkocayakılavuzyaistifa Ahhh Ahhh Fahrettin Bey What do Soltun us !! https://t.co/ezjhdh9x0r")</f>
        <v>@drfahrettinkoca # fkocayakılavuzyaistifa Ahhh Ahhh Fahrettin Bey What do Soltun us !! https://t.co/ezjhdh9x0r</v>
      </c>
    </row>
    <row r="18821" spans="1:5" ht="15" customHeight="1" x14ac:dyDescent="0.25">
      <c r="A18821" s="1" t="s">
        <v>36805</v>
      </c>
      <c r="B18821" s="1">
        <v>0</v>
      </c>
      <c r="C18821" s="3">
        <v>44540.480613425927</v>
      </c>
      <c r="D18821" s="1" t="s">
        <v>36806</v>
      </c>
      <c r="E18821" s="4" t="str">
        <f ca="1">IFERROR(__xludf.DUMMYFUNCTION("GOOGLETRANSLATE(A1624 , ""tr"" , ""en"")"),"@drfahrettinkoca biontech 3. Reduce vaccine to 3 months please. Explained that the effect against Omicron variantina in 6 months.")</f>
        <v>@drfahrettinkoca biontech 3. Reduce vaccine to 3 months please. Explained that the effect against Omicron variantina in 6 months.</v>
      </c>
    </row>
    <row r="18822" spans="1:5" ht="15" customHeight="1" x14ac:dyDescent="0.25">
      <c r="A18822" s="1" t="s">
        <v>36807</v>
      </c>
      <c r="B18822" s="1">
        <v>0</v>
      </c>
      <c r="C18822" s="3">
        <v>44540.461840277778</v>
      </c>
      <c r="D18822" s="1" t="s">
        <v>36808</v>
      </c>
      <c r="E18822" s="4" t="str">
        <f ca="1">IFERROR(__xludf.DUMMYFUNCTION("GOOGLETRANSLATE(A1625 , ""tr"" , ""en"")"),"@drfahrettinkoca @bengibaser @serapssimsekyvz @ mehmetceyhan23 @drzekibay @secondvirus @h_ciloglu @ adilipak ... https://t.co/mj4jgl3k15")</f>
        <v>@drfahrettinkoca @bengibaser @serapssimsekyvz @ mehmetceyhan23 @drzekibay @secondvirus @h_ciloglu @ adilipak ... https://t.co/mj4jgl3k15</v>
      </c>
    </row>
    <row r="18823" spans="1:5" ht="15" customHeight="1" x14ac:dyDescent="0.25">
      <c r="A18823" s="1" t="s">
        <v>36809</v>
      </c>
      <c r="B18823" s="1">
        <v>0</v>
      </c>
      <c r="C18823" s="3">
        <v>44540.419930555552</v>
      </c>
      <c r="D18823" s="1" t="s">
        <v>36810</v>
      </c>
      <c r="E18823" s="4" t="str">
        <f ca="1">IFERROR(__xludf.DUMMYFUNCTION("GOOGLETRANSLATE(A1626 , ""tr"" , ""en"")"),"@drfahrettinkoca assignment we asked if we didn't answer it tomorrow is your @barisatay @sahmetsahmet @ECZozgurozel @kilicdarogluk @herkesicinchp")</f>
        <v>@drfahrettinkoca assignment we asked if we didn't answer it tomorrow is your @barisatay @sahmetsahmet @ECZozgurozel @kilicdarogluk @herkesicinchp</v>
      </c>
    </row>
    <row r="18824" spans="1:5" ht="15" customHeight="1" x14ac:dyDescent="0.25">
      <c r="A18824" s="1" t="s">
        <v>36811</v>
      </c>
      <c r="B18824" s="1">
        <v>0</v>
      </c>
      <c r="C18824" s="3">
        <v>44540.413159722222</v>
      </c>
      <c r="D18824" s="1" t="s">
        <v>36812</v>
      </c>
      <c r="E18824" s="4" t="str">
        <f ca="1">IFERROR(__xludf.DUMMYFUNCTION("GOOGLETRANSLATE(A1627 , ""tr"" , ""en"")"),"@drfahrettinka Mr. Ministry Ministries Consideration of the purchases of the ministries and are interviewed, the possibility of burning cadres ... https://t.co/aalevosz0v")</f>
        <v>@drfahrettinka Mr. Ministry Ministries Consideration of the purchases of the ministries and are interviewed, the possibility of burning cadres ... https://t.co/aalevosz0v</v>
      </c>
    </row>
    <row r="18825" spans="1:5" ht="15" customHeight="1" x14ac:dyDescent="0.25">
      <c r="A18825" s="1" t="s">
        <v>36813</v>
      </c>
      <c r="B18825" s="1">
        <v>0</v>
      </c>
      <c r="C18825" s="3">
        <v>44540.403020833335</v>
      </c>
      <c r="D18825" s="1" t="s">
        <v>36814</v>
      </c>
      <c r="E18825" s="4" t="str">
        <f ca="1">IFERROR(__xludf.DUMMYFUNCTION("GOOGLETRANSLATE(A1628 , ""tr"" , ""en"")"),"@drfahrettinka https://t.co/vsdzxudb8m")</f>
        <v>@drfahrettinka https://t.co/vsdzxudb8m</v>
      </c>
    </row>
    <row r="18826" spans="1:5" ht="15" customHeight="1" x14ac:dyDescent="0.25">
      <c r="A18826" s="1" t="s">
        <v>36815</v>
      </c>
      <c r="B18826" s="1">
        <v>0</v>
      </c>
      <c r="C18826" s="3">
        <v>44540.402557870373</v>
      </c>
      <c r="D18826" s="1" t="s">
        <v>36816</v>
      </c>
      <c r="E18826" s="4" t="str">
        <f ca="1">IFERROR(__xludf.DUMMYFUNCTION("GOOGLETRANSLATE(A1629 , ""tr"" , ""en"")"),"@drfahrettinkoca Why are the shortage of medical supplies in hospitals? https://t.co/oad6xydlpp")</f>
        <v>@drfahrettinkoca Why are the shortage of medical supplies in hospitals? https://t.co/oad6xydlpp</v>
      </c>
    </row>
    <row r="18827" spans="1:5" ht="15" customHeight="1" x14ac:dyDescent="0.25">
      <c r="A18827" s="1" t="s">
        <v>36817</v>
      </c>
      <c r="B18827" s="1">
        <v>0</v>
      </c>
      <c r="C18827" s="3">
        <v>44540.401203703703</v>
      </c>
      <c r="D18827" s="1" t="s">
        <v>36818</v>
      </c>
      <c r="E18827" s="4" t="str">
        <f ca="1">IFERROR(__xludf.DUMMYFUNCTION("GOOGLETRANSLATE(A1630 , ""tr"" , ""en"")"),"@drfahrettinkoca @ fajarst121 https://t.co/8yz3rzfqrj")</f>
        <v>@drfahrettinkoca @ fajarst121 https://t.co/8yz3rzfqrj</v>
      </c>
    </row>
    <row r="18828" spans="1:5" ht="15" customHeight="1" x14ac:dyDescent="0.25">
      <c r="A18828" s="1" t="s">
        <v>36819</v>
      </c>
      <c r="B18828" s="1">
        <v>0</v>
      </c>
      <c r="C18828" s="3">
        <v>44540.384189814817</v>
      </c>
      <c r="D18828" s="1" t="s">
        <v>36820</v>
      </c>
      <c r="E18828" s="4" t="str">
        <f ca="1">IFERROR(__xludf.DUMMYFUNCTION("GOOGLETRANSLATE(A1631 , ""tr"" , ""en"")"),"@drfahrettinkoca @saglikbakanligi # Health Culture Https://t.co/7mufjkhv2Z")</f>
        <v>@drfahrettinkoca @saglikbakanligi # Health Culture Https://t.co/7mufjkhv2Z</v>
      </c>
    </row>
    <row r="18829" spans="1:5" ht="15" customHeight="1" x14ac:dyDescent="0.25">
      <c r="A18829" s="1" t="s">
        <v>35229</v>
      </c>
      <c r="B18829" s="1">
        <v>1</v>
      </c>
      <c r="C18829" s="3">
        <v>44540.379918981482</v>
      </c>
      <c r="D18829" s="1" t="s">
        <v>36821</v>
      </c>
      <c r="E18829" s="4" t="str">
        <f ca="1">IFERROR(__xludf.DUMMYFUNCTION("GOOGLETRANSLATE(A1632 , ""tr"" , ""en"")"),"@drfahrettinkoca # fkocayakilavuzyaistifa")</f>
        <v>@drfahrettinkoca # fkocayakilavuzyaistifa</v>
      </c>
    </row>
    <row r="18830" spans="1:5" ht="15" customHeight="1" x14ac:dyDescent="0.25">
      <c r="A18830" s="1" t="s">
        <v>36822</v>
      </c>
      <c r="B18830" s="1">
        <v>0</v>
      </c>
      <c r="C18830" s="3">
        <v>44540.366481481484</v>
      </c>
      <c r="D18830" s="1" t="s">
        <v>36823</v>
      </c>
      <c r="E18830" s="4" t="str">
        <f ca="1">IFERROR(__xludf.DUMMYFUNCTION("GOOGLETRANSLATE(A1633 , ""tr"" , ""en"")"),"@drfahrettinka https://t.co/zahIpdul7d")</f>
        <v>@drfahrettinka https://t.co/zahIpdul7d</v>
      </c>
    </row>
    <row r="18831" spans="1:5" ht="15" customHeight="1" x14ac:dyDescent="0.25">
      <c r="A18831" s="1" t="s">
        <v>36824</v>
      </c>
      <c r="B18831" s="1">
        <v>0</v>
      </c>
      <c r="C18831" s="3">
        <v>44540.365173611113</v>
      </c>
      <c r="D18831" s="1" t="s">
        <v>36825</v>
      </c>
      <c r="E18831" s="4" t="str">
        <f ca="1">IFERROR(__xludf.DUMMYFUNCTION("GOOGLETRANSLATE(A1634 , ""tr"" , ""en"")"),"@drfahrettinkoca seek your country's health ministry. The Minister My Grammoon isn't Sleepy I'm So Good in this video ... https://t.co/lbzoepebjg")</f>
        <v>@drfahrettinkoca seek your country's health ministry. The Minister My Grammoon isn't Sleepy I'm So Good in this video ... https://t.co/lbzoepebjg</v>
      </c>
    </row>
    <row r="18832" spans="1:5" ht="15" customHeight="1" x14ac:dyDescent="0.25">
      <c r="A18832" s="1" t="s">
        <v>36826</v>
      </c>
      <c r="B18832" s="1">
        <v>0</v>
      </c>
      <c r="C18832" s="3">
        <v>44540.362233796295</v>
      </c>
      <c r="D18832" s="1" t="s">
        <v>36827</v>
      </c>
      <c r="E18832" s="4" t="str">
        <f ca="1">IFERROR(__xludf.DUMMYFUNCTION("GOOGLETRANSLATE(A1635 , ""tr"" , ""en"")"),"@drfahrettinka vaccines. Fatiherbakan. their descriptions. exia. to the growth. discussed")</f>
        <v>@drfahrettinka vaccines. Fatiherbakan. their descriptions. exia. to the growth. discussed</v>
      </c>
    </row>
    <row r="18833" spans="1:5" ht="15" customHeight="1" x14ac:dyDescent="0.25">
      <c r="A18833" s="1" t="s">
        <v>36828</v>
      </c>
      <c r="B18833" s="1">
        <v>0</v>
      </c>
      <c r="C18833" s="3">
        <v>44540.351967592593</v>
      </c>
      <c r="D18833" s="1" t="s">
        <v>36829</v>
      </c>
      <c r="E18833" s="4" t="str">
        <f ca="1">IFERROR(__xludf.DUMMYFUNCTION("GOOGLETRANSLATE(A1636 , ""tr"" , ""en"")"),"@drfahrettinkoca @saglikbakanligi https://t.co/l9uzu4j5nr")</f>
        <v>@drfahrettinkoca @saglikbakanligi https://t.co/l9uzu4j5nr</v>
      </c>
    </row>
    <row r="18834" spans="1:5" ht="15" customHeight="1" x14ac:dyDescent="0.25">
      <c r="A18834" s="1" t="s">
        <v>36830</v>
      </c>
      <c r="B18834" s="1">
        <v>0</v>
      </c>
      <c r="C18834" s="3">
        <v>44540.341203703705</v>
      </c>
      <c r="D18834" s="1" t="s">
        <v>36831</v>
      </c>
      <c r="E18834" s="4" t="str">
        <f ca="1">IFERROR(__xludf.DUMMYFUNCTION("GOOGLETRANSLATE(A1637 , ""tr"" , ""en"")"),"@drfahrettinkoca ruined the future of this nation ... allah ta you and those who push these SUVIs forced everyone https://t.co/fhnadfhcro")</f>
        <v>@drfahrettinkoca ruined the future of this nation ... allah ta you and those who push these SUVIs forced everyone https://t.co/fhnadfhcro</v>
      </c>
    </row>
    <row r="18835" spans="1:5" ht="15" customHeight="1" x14ac:dyDescent="0.25">
      <c r="A18835" s="1" t="s">
        <v>36832</v>
      </c>
      <c r="B18835" s="1">
        <v>0</v>
      </c>
      <c r="C18835" s="3">
        <v>44540.341064814813</v>
      </c>
      <c r="D18835" s="1" t="s">
        <v>36833</v>
      </c>
      <c r="E18835" s="4" t="str">
        <f ca="1">IFERROR(__xludf.DUMMYFUNCTION("GOOGLETRANSLATE(A1638 , ""tr"" , ""en"")"),"@drfahrettinkoca ballgate is one of the ministers prior to you in the public Hospitals General Secretariat of Https://T.CO/1SIANSTSAM")</f>
        <v>@drfahrettinkoca ballgate is one of the ministers prior to you in the public Hospitals General Secretariat of Https://T.CO/1SIANSTSAM</v>
      </c>
    </row>
    <row r="18836" spans="1:5" ht="15" customHeight="1" x14ac:dyDescent="0.25">
      <c r="A18836" s="1" t="s">
        <v>36834</v>
      </c>
      <c r="B18836" s="1">
        <v>1</v>
      </c>
      <c r="C18836" s="3">
        <v>44540.337893518517</v>
      </c>
      <c r="D18836" s="1" t="s">
        <v>36835</v>
      </c>
      <c r="E18836" s="4" t="str">
        <f ca="1">IFERROR(__xludf.DUMMYFUNCTION("GOOGLETRANSLATE(A1639 , ""tr"" , ""en"")"),"@drfahrettinka https://t.co/nwytvt0x4z")</f>
        <v>@drfahrettinka https://t.co/nwytvt0x4z</v>
      </c>
    </row>
    <row r="18837" spans="1:5" ht="15" customHeight="1" x14ac:dyDescent="0.25">
      <c r="A18837" s="1" t="s">
        <v>36836</v>
      </c>
      <c r="B18837" s="1">
        <v>0</v>
      </c>
      <c r="C18837" s="3">
        <v>44540.312037037038</v>
      </c>
      <c r="D18837" s="1" t="s">
        <v>36837</v>
      </c>
      <c r="E18837" s="4" t="str">
        <f ca="1">IFERROR(__xludf.DUMMYFUNCTION("GOOGLETRANSLATE(A1640 , ""tr"" , ""en"")"),"@drfahrettinkoca Ministry of Today, I have entered the overrun vaccine. Cannot be notified by this message? Have a nice day.")</f>
        <v>@drfahrettinkoca Ministry of Today, I have entered the overrun vaccine. Cannot be notified by this message? Have a nice day.</v>
      </c>
    </row>
    <row r="18838" spans="1:5" ht="15" customHeight="1" x14ac:dyDescent="0.25">
      <c r="A18838" s="1" t="s">
        <v>36838</v>
      </c>
      <c r="B18838" s="1">
        <v>0</v>
      </c>
      <c r="C18838" s="3">
        <v>44540.277430555558</v>
      </c>
      <c r="D18838" s="1" t="s">
        <v>36839</v>
      </c>
      <c r="E18838" s="4" t="str">
        <f ca="1">IFERROR(__xludf.DUMMYFUNCTION("GOOGLETRANSLATE(A1641 , ""tr"" , ""en"")"),"@drfahrettinka is enough I have been trying to make an appointment for months now. All Hi in hospitals, all Hi ... https://t.co/Avpj7ycjx5")</f>
        <v>@drfahrettinka is enough I have been trying to make an appointment for months now. All Hi in hospitals, all Hi ... https://t.co/Avpj7ycjx5</v>
      </c>
    </row>
    <row r="18839" spans="1:5" ht="15" customHeight="1" x14ac:dyDescent="0.25">
      <c r="A18839" s="1" t="s">
        <v>36840</v>
      </c>
      <c r="B18839" s="1">
        <v>0</v>
      </c>
      <c r="C18839" s="3">
        <v>44540.270358796297</v>
      </c>
      <c r="D18839" s="1" t="s">
        <v>36841</v>
      </c>
      <c r="E18839" s="4" t="str">
        <f ca="1">IFERROR(__xludf.DUMMYFUNCTION("GOOGLETRANSLATE(A1642 , ""tr"" , ""en"")"),"@drfahrettinka https://t.co/huge512pqa")</f>
        <v>@drfahrettinka https://t.co/huge512pqa</v>
      </c>
    </row>
    <row r="18840" spans="1:5" ht="15" customHeight="1" x14ac:dyDescent="0.25">
      <c r="A18840" s="1" t="s">
        <v>36842</v>
      </c>
      <c r="B18840" s="1">
        <v>1</v>
      </c>
      <c r="C18840" s="3">
        <v>44540.268634259257</v>
      </c>
      <c r="D18840" s="1" t="s">
        <v>36843</v>
      </c>
      <c r="E18840" s="4" t="str">
        <f ca="1">IFERROR(__xludf.DUMMYFUNCTION("GOOGLETRANSLATE(A1643 , ""tr"" , ""en"")"),"@drfahrettinkoca @engilsizbestepa https://t.co/j0rq9jsklm")</f>
        <v>@drfahrettinkoca @engilsizbestepa https://t.co/j0rq9jsklm</v>
      </c>
    </row>
    <row r="18841" spans="1:5" ht="15" customHeight="1" x14ac:dyDescent="0.25">
      <c r="A18841" s="1" t="s">
        <v>36844</v>
      </c>
      <c r="B18841" s="1">
        <v>0</v>
      </c>
      <c r="C18841" s="3">
        <v>44530.952326388891</v>
      </c>
      <c r="D18841" s="1" t="s">
        <v>36845</v>
      </c>
      <c r="E18841" s="4" t="str">
        <f ca="1">IFERROR(__xludf.DUMMYFUNCTION("GOOGLETRANSLATE(A1644 , ""tr"" , ""en"")"),"@drfahrettinkoca what is the status of the child what is an explanation https://t.co/na9nbkifig")</f>
        <v>@drfahrettinkoca what is the status of the child what is an explanation https://t.co/na9nbkifig</v>
      </c>
    </row>
    <row r="18842" spans="1:5" ht="15" customHeight="1" x14ac:dyDescent="0.25">
      <c r="A18842" s="1" t="s">
        <v>36846</v>
      </c>
      <c r="B18842" s="1">
        <v>2</v>
      </c>
      <c r="C18842" s="3">
        <v>44530.947013888886</v>
      </c>
      <c r="D18842" s="1" t="s">
        <v>36847</v>
      </c>
      <c r="E18842" s="4" t="str">
        <f ca="1">IFERROR(__xludf.DUMMYFUNCTION("GOOGLETRANSLATE(A1645 , ""tr"" , ""en"")"),"@drfahrettinkoca life fits home? #Yaonline")</f>
        <v>@drfahrettinkoca life fits home? #Yaonline</v>
      </c>
    </row>
    <row r="18843" spans="1:5" ht="15" customHeight="1" x14ac:dyDescent="0.25">
      <c r="A18843" s="1" t="s">
        <v>36848</v>
      </c>
      <c r="B18843" s="1">
        <v>1</v>
      </c>
      <c r="C18843" s="3">
        <v>44530.942858796298</v>
      </c>
      <c r="D18843" s="1" t="s">
        <v>36849</v>
      </c>
      <c r="E18843" s="4" t="str">
        <f ca="1">IFERROR(__xludf.DUMMYFUNCTION("GOOGLETRANSLATE(A1646 , ""tr"" , ""en"")"),"@drfahrettinkoca why we can't use them. The pardon is hard to be difficult as the foreign exchange. Stop 1 Euro on them we ... https://t.co/0npkpzt3bo")</f>
        <v>@drfahrettinkoca why we can't use them. The pardon is hard to be difficult as the foreign exchange. Stop 1 Euro on them we ... https://t.co/0npkpzt3bo</v>
      </c>
    </row>
    <row r="18844" spans="1:5" ht="15" customHeight="1" x14ac:dyDescent="0.25">
      <c r="A18844" s="1" t="s">
        <v>36850</v>
      </c>
      <c r="B18844" s="1">
        <v>1</v>
      </c>
      <c r="C18844" s="3">
        <v>44530.938217592593</v>
      </c>
      <c r="D18844" s="1" t="s">
        <v>36851</v>
      </c>
      <c r="E18844" s="4" t="str">
        <f ca="1">IFERROR(__xludf.DUMMYFUNCTION("GOOGLETRANSLATE(A1647 , ""tr"" , ""en"")"),"@drfahrettinka https://t.co/hjeldm52qo")</f>
        <v>@drfahrettinka https://t.co/hjeldm52qo</v>
      </c>
    </row>
    <row r="18845" spans="1:5" ht="15" customHeight="1" x14ac:dyDescent="0.25">
      <c r="A18845" s="1" t="s">
        <v>17395</v>
      </c>
      <c r="B18845" s="1">
        <v>6</v>
      </c>
      <c r="C18845" s="3">
        <v>44530.937013888892</v>
      </c>
      <c r="D18845" s="1" t="s">
        <v>36852</v>
      </c>
      <c r="E18845" s="4" t="str">
        <f ca="1">IFERROR(__xludf.DUMMYFUNCTION("GOOGLETRANSLATE(A1648 , ""tr"" , ""en"")"),"@drfahrettinkoca #yaonline")</f>
        <v>@drfahrettinkoca #yaonline</v>
      </c>
    </row>
    <row r="18846" spans="1:5" ht="15" customHeight="1" x14ac:dyDescent="0.25">
      <c r="A18846" s="1" t="s">
        <v>36853</v>
      </c>
      <c r="B18846" s="1">
        <v>1</v>
      </c>
      <c r="C18846" s="3">
        <v>44530.915324074071</v>
      </c>
      <c r="D18846" s="1" t="s">
        <v>36854</v>
      </c>
      <c r="E18846" s="4" t="str">
        <f ca="1">IFERROR(__xludf.DUMMYFUNCTION("GOOGLETRANSLATE(A1649 , ""tr"" , ""en"")"),"@drfahrettinkoca https://t.co/lhhu66runa")</f>
        <v>@drfahrettinkoca https://t.co/lhhu66runa</v>
      </c>
    </row>
    <row r="18847" spans="1:5" ht="15" customHeight="1" x14ac:dyDescent="0.25">
      <c r="A18847" s="1" t="s">
        <v>36855</v>
      </c>
      <c r="B18847" s="1">
        <v>0</v>
      </c>
      <c r="C18847" s="3">
        <v>44530.905185185184</v>
      </c>
      <c r="D18847" s="1" t="s">
        <v>36856</v>
      </c>
      <c r="E18847" s="4" t="str">
        <f ca="1">IFERROR(__xludf.DUMMYFUNCTION("GOOGLETRANSLATE(A1650 , ""tr"" , ""en"")"),"@drfahrettinkoca Mr. Ministry of Afyonkarahisar State Hospital Lying in Chest Diseases Department ... https://t.co/d5juufq6ly")</f>
        <v>@drfahrettinkoca Mr. Ministry of Afyonkarahisar State Hospital Lying in Chest Diseases Department ... https://t.co/d5juufq6ly</v>
      </c>
    </row>
    <row r="18848" spans="1:5" ht="15" customHeight="1" x14ac:dyDescent="0.25">
      <c r="A18848" s="1" t="s">
        <v>36857</v>
      </c>
      <c r="B18848" s="1">
        <v>0</v>
      </c>
      <c r="C18848" s="3">
        <v>44530.888668981483</v>
      </c>
      <c r="D18848" s="1" t="s">
        <v>36858</v>
      </c>
      <c r="E18848" s="4" t="str">
        <f ca="1">IFERROR(__xludf.DUMMYFUNCTION("GOOGLETRANSLATE(A1651 , ""tr"" , ""en"")"),"@drfahrettinkoca Enough now come to healthy wife situation Boy in a child somewhere mother father")</f>
        <v>@drfahrettinkoca Enough now come to healthy wife situation Boy in a child somewhere mother father</v>
      </c>
    </row>
    <row r="18849" spans="1:5" ht="15" customHeight="1" x14ac:dyDescent="0.25">
      <c r="A18849" s="1" t="s">
        <v>36859</v>
      </c>
      <c r="B18849" s="1">
        <v>0</v>
      </c>
      <c r="C18849" s="3">
        <v>44536.969456018516</v>
      </c>
      <c r="D18849" s="1" t="s">
        <v>36860</v>
      </c>
      <c r="E18849" s="4" t="str">
        <f ca="1">IFERROR(__xludf.DUMMYFUNCTION("GOOGLETRANSLATE(A1652 , ""tr"" , ""en"")"),"@drfahrettinka is already in turkiye if you have Dunyada Nekadar negative legislation !!! #Omikron 'ds no already ..... your baka ... https://t.co/4ujopmj8f5")</f>
        <v>@drfahrettinka is already in turkiye if you have Dunyada Nekadar negative legislation !!! #Omikron 'ds no already ..... your baka ... https://t.co/4ujopmj8f5</v>
      </c>
    </row>
    <row r="18850" spans="1:5" ht="15" customHeight="1" x14ac:dyDescent="0.25">
      <c r="A18850" s="1" t="s">
        <v>36861</v>
      </c>
      <c r="B18850" s="1">
        <v>0</v>
      </c>
      <c r="C18850" s="3">
        <v>44536.936111111114</v>
      </c>
      <c r="D18850" s="1" t="s">
        <v>36862</v>
      </c>
      <c r="E18850" s="4" t="str">
        <f ca="1">IFERROR(__xludf.DUMMYFUNCTION("GOOGLETRANSLATE(A1653 , ""tr"" , ""en"")"),"@drfahrettinkoca @bengibaser @esenol @Ehmetceyhan23 @drkaanyl @DrkaAnyl @DrkaAnyl @Conducturulu_ https://t.co/j4tsukiucb")</f>
        <v>@drfahrettinkoca @bengibaser @esenol @Ehmetceyhan23 @drkaanyl @DrkaAnyl @DrkaAnyl @Conducturulu_ https://t.co/j4tsukiucb</v>
      </c>
    </row>
    <row r="18851" spans="1:5" ht="15" customHeight="1" x14ac:dyDescent="0.25">
      <c r="A18851" s="1" t="s">
        <v>36863</v>
      </c>
      <c r="B18851" s="1">
        <v>0</v>
      </c>
      <c r="C18851" s="3">
        <v>44536.924791666665</v>
      </c>
      <c r="D18851" s="1" t="s">
        <v>36864</v>
      </c>
      <c r="E18851" s="4" t="str">
        <f ca="1">IFERROR(__xludf.DUMMYFUNCTION("GOOGLETRANSLATE(A1654 , ""tr"" , ""en"")"),"@drfahrettinkoca @rterdogan @ mehmetceyhan23 @drzekibay @bengibaser @serapsimsekyvz @tcmeb @ saglikbakanligi ... https://t.co/jezdwyfbhr")</f>
        <v>@drfahrettinkoca @rterdogan @ mehmetceyhan23 @drzekibay @bengibaser @serapsimsekyvz @tcmeb @ saglikbakanligi ... https://t.co/jezdwyfbhr</v>
      </c>
    </row>
    <row r="18852" spans="1:5" ht="15" customHeight="1" x14ac:dyDescent="0.25">
      <c r="A18852" s="1" t="s">
        <v>36865</v>
      </c>
      <c r="B18852" s="1">
        <v>1</v>
      </c>
      <c r="C18852" s="3">
        <v>44536.913043981483</v>
      </c>
      <c r="D18852" s="1" t="s">
        <v>36866</v>
      </c>
      <c r="E18852" s="4" t="str">
        <f ca="1">IFERROR(__xludf.DUMMYFUNCTION("GOOGLETRANSLATE(A1655 , ""tr"" , ""en"")"),"@drfahrettinkoca After the following images you would be saved in the honor of quitting. No longer remained in that possession. https://t.co/eukqrmcq3d")</f>
        <v>@drfahrettinkoca After the following images you would be saved in the honor of quitting. No longer remained in that possession. https://t.co/eukqrmcq3d</v>
      </c>
    </row>
    <row r="18853" spans="1:5" ht="15" customHeight="1" x14ac:dyDescent="0.25">
      <c r="A18853" s="1" t="s">
        <v>36867</v>
      </c>
      <c r="B18853" s="1">
        <v>0</v>
      </c>
      <c r="C18853" s="3">
        <v>44536.911828703705</v>
      </c>
      <c r="D18853" s="1" t="s">
        <v>36868</v>
      </c>
      <c r="E18853" s="4" t="str">
        <f ca="1">IFERROR(__xludf.DUMMYFUNCTION("GOOGLETRANSLATE(A1656 , ""tr"" , ""en"")"),"@drfahrettinkoca Manisa City Hospital has passed 1 hour 1 hour and Dr. Room. The door is 1 hour, then shut up ... https://t.co/gfolovrssn")</f>
        <v>@drfahrettinkoca Manisa City Hospital has passed 1 hour 1 hour and Dr. Room. The door is 1 hour, then shut up ... https://t.co/gfolovrssn</v>
      </c>
    </row>
    <row r="18854" spans="1:5" ht="15" customHeight="1" x14ac:dyDescent="0.25">
      <c r="A18854" s="1" t="s">
        <v>36869</v>
      </c>
      <c r="B18854" s="1">
        <v>1</v>
      </c>
      <c r="C18854" s="3">
        <v>44536.889641203707</v>
      </c>
      <c r="D18854" s="1" t="s">
        <v>36870</v>
      </c>
      <c r="E18854" s="4" t="str">
        <f ca="1">IFERROR(__xludf.DUMMYFUNCTION("GOOGLETRANSLATE(A1657 , ""tr"" , ""en"")"),"@drfahrettinkoca Hani Omicron did not have # kabineuzaktanevitimsart https://t.co/vymkcgrzqv")</f>
        <v>@drfahrettinkoca Hani Omicron did not have # kabineuzaktanevitimsart https://t.co/vymkcgrzqv</v>
      </c>
    </row>
    <row r="18855" spans="1:5" ht="15" customHeight="1" x14ac:dyDescent="0.25">
      <c r="A18855" s="1" t="s">
        <v>36871</v>
      </c>
      <c r="B18855" s="1">
        <v>0</v>
      </c>
      <c r="C18855" s="3">
        <v>44536.885972222219</v>
      </c>
      <c r="D18855" s="1" t="s">
        <v>36872</v>
      </c>
      <c r="E18855" s="4" t="str">
        <f ca="1">IFERROR(__xludf.DUMMYFUNCTION("GOOGLETRANSLATE(A1658 , ""tr"" , ""en"")"),"@drfahrettinka Mr. Ministry Reblogged you in front of 80million You must quit immediately from a rooted family")</f>
        <v>@drfahrettinka Mr. Ministry Reblogged you in front of 80million You must quit immediately from a rooted family</v>
      </c>
    </row>
    <row r="18856" spans="1:5" ht="15" customHeight="1" x14ac:dyDescent="0.25">
      <c r="A18856" s="1" t="s">
        <v>36873</v>
      </c>
      <c r="B18856" s="1">
        <v>0</v>
      </c>
      <c r="C18856" s="3">
        <v>44536.884421296294</v>
      </c>
      <c r="D18856" s="1" t="s">
        <v>36874</v>
      </c>
      <c r="E18856" s="4" t="str">
        <f ca="1">IFERROR(__xludf.DUMMYFUNCTION("GOOGLETRANSLATE(A1659 , ""tr"" , ""en"")"),"@drfahrettinkoca @tcmeb @foxanahaber @cnnturk @haberturk @ TV100 @halktvcomtr https://t.co/w8hkjhjl9o")</f>
        <v>@drfahrettinkoca @tcmeb @foxanahaber @cnnturk @haberturk @ TV100 @halktvcomtr https://t.co/w8hkjhjl9o</v>
      </c>
    </row>
    <row r="18857" spans="1:5" ht="15" customHeight="1" x14ac:dyDescent="0.25">
      <c r="A18857" s="1" t="s">
        <v>36875</v>
      </c>
      <c r="B18857" s="1">
        <v>2</v>
      </c>
      <c r="C18857" s="3">
        <v>44536.872511574074</v>
      </c>
      <c r="D18857" s="1" t="s">
        <v>36876</v>
      </c>
      <c r="E18857" s="4" t="str">
        <f ca="1">IFERROR(__xludf.DUMMYFUNCTION("GOOGLETRANSLATE(A1660 , ""tr"" , ""en"")"),"@drfahrettinkoca dedem was corona although there was 3 dose vaccines and are currently vomiting in intensive care, but your vaccines b ... https://t.co/lbaasiwgj2")</f>
        <v>@drfahrettinkoca dedem was corona although there was 3 dose vaccines and are currently vomiting in intensive care, but your vaccines b ... https://t.co/lbaasiwgj2</v>
      </c>
    </row>
    <row r="18858" spans="1:5" ht="15" customHeight="1" x14ac:dyDescent="0.25">
      <c r="A18858" s="1" t="s">
        <v>36877</v>
      </c>
      <c r="B18858" s="1">
        <v>0</v>
      </c>
      <c r="C18858" s="3">
        <v>44536.868796296294</v>
      </c>
      <c r="D18858" s="1" t="s">
        <v>36878</v>
      </c>
      <c r="E18858" s="4" t="str">
        <f ca="1">IFERROR(__xludf.DUMMYFUNCTION("GOOGLETRANSLATE(A1661 , ""tr"" , ""en"")"),"@drfahrettinkoca @seferaycan https://t.co/yqhalybw6d")</f>
        <v>@drfahrettinkoca @seferaycan https://t.co/yqhalybw6d</v>
      </c>
    </row>
    <row r="18859" spans="1:5" ht="15" customHeight="1" x14ac:dyDescent="0.25">
      <c r="A18859" s="1" t="s">
        <v>36879</v>
      </c>
      <c r="B18859" s="1">
        <v>0</v>
      </c>
      <c r="C18859" s="3">
        <v>44536.864155092589</v>
      </c>
      <c r="D18859" s="1" t="s">
        <v>36880</v>
      </c>
      <c r="E18859" s="4" t="str">
        <f ca="1">IFERROR(__xludf.DUMMYFUNCTION("GOOGLETRANSLATE(A1662 , ""tr"" , ""en"")"),"@drfahrettinkoca you come to you Mr. Minister https://t.co/o50jmnf7f6")</f>
        <v>@drfahrettinkoca you come to you Mr. Minister https://t.co/o50jmnf7f6</v>
      </c>
    </row>
    <row r="18860" spans="1:5" ht="15" customHeight="1" x14ac:dyDescent="0.25">
      <c r="A18860" s="1" t="s">
        <v>36881</v>
      </c>
      <c r="B18860" s="1">
        <v>0</v>
      </c>
      <c r="C18860" s="3">
        <v>44536.835034722222</v>
      </c>
      <c r="D18860" s="1" t="s">
        <v>36882</v>
      </c>
      <c r="E18860" s="4" t="str">
        <f ca="1">IFERROR(__xludf.DUMMYFUNCTION("GOOGLETRANSLATE(A1663 , ""tr"" , ""en"")"),"@drfahrettinka https://t.co/0kjnbbhvx3")</f>
        <v>@drfahrettinka https://t.co/0kjnbbhvx3</v>
      </c>
    </row>
    <row r="18861" spans="1:5" ht="15" customHeight="1" x14ac:dyDescent="0.25">
      <c r="A18861" s="1" t="s">
        <v>36883</v>
      </c>
      <c r="B18861" s="1">
        <v>0</v>
      </c>
      <c r="C18861" s="3">
        <v>44536.834768518522</v>
      </c>
      <c r="D18861" s="1" t="s">
        <v>36884</v>
      </c>
      <c r="E18861" s="4" t="str">
        <f ca="1">IFERROR(__xludf.DUMMYFUNCTION("GOOGLETRANSLATE(A1664 , ""tr"" , ""en"")"),"@drfahrettinkoca sec Jocam today in Memorial Hospital 2. Biontech in Memorial Hospital but when I examine the bottle ... https://t.co/kreas2zvh1")</f>
        <v>@drfahrettinkoca sec Jocam today in Memorial Hospital 2. Biontech in Memorial Hospital but when I examine the bottle ... https://t.co/kreas2zvh1</v>
      </c>
    </row>
    <row r="18862" spans="1:5" ht="15" customHeight="1" x14ac:dyDescent="0.25">
      <c r="A18862" s="1" t="s">
        <v>36885</v>
      </c>
      <c r="B18862" s="1">
        <v>0</v>
      </c>
      <c r="C18862" s="3">
        <v>44536.831516203703</v>
      </c>
      <c r="D18862" s="1" t="s">
        <v>36886</v>
      </c>
      <c r="E18862" s="4" t="str">
        <f ca="1">IFERROR(__xludf.DUMMYFUNCTION("GOOGLETRANSLATE(A1665 , ""tr"" , ""en"")"),"@drfahrettinkoca @rterdogan @ProfDemirtas @meral_aksener @Acistanists #doktoristifaizing")</f>
        <v>@drfahrettinkoca @rterdogan @ProfDemirtas @meral_aksener @Acistanists #doktoristifaizing</v>
      </c>
    </row>
    <row r="18863" spans="1:5" ht="15" customHeight="1" x14ac:dyDescent="0.25">
      <c r="A18863" s="1" t="s">
        <v>36887</v>
      </c>
      <c r="B18863" s="1">
        <v>0</v>
      </c>
      <c r="C18863" s="3">
        <v>44536.827800925923</v>
      </c>
      <c r="D18863" s="1" t="s">
        <v>36888</v>
      </c>
      <c r="E18863" s="4" t="str">
        <f ca="1">IFERROR(__xludf.DUMMYFUNCTION("GOOGLETRANSLATE(A1666 , ""tr"" , ""en"")"),"@drfahrettinkoca Health Cockia is now filled with bruised Kids who make your kids subjects Your voice is like a dog ... https://t.co/tghbufddlh")</f>
        <v>@drfahrettinkoca Health Cockia is now filled with bruised Kids who make your kids subjects Your voice is like a dog ... https://t.co/tghbufddlh</v>
      </c>
    </row>
    <row r="18864" spans="1:5" ht="15" customHeight="1" x14ac:dyDescent="0.25">
      <c r="A18864" s="1" t="s">
        <v>17866</v>
      </c>
      <c r="B18864" s="1">
        <v>4</v>
      </c>
      <c r="C18864" s="3">
        <v>44536.827638888892</v>
      </c>
      <c r="D18864" s="1" t="s">
        <v>36889</v>
      </c>
      <c r="E18864" s="4" t="str">
        <f ca="1">IFERROR(__xludf.DUMMYFUNCTION("GOOGLETRANSLATE(A1667 , ""tr"" , ""en"")"),"@drfahrettinkoca # CabineUZAKTanEducationArt")</f>
        <v>@drfahrettinkoca # CabineUZAKTanEducationArt</v>
      </c>
    </row>
    <row r="18865" spans="1:5" ht="15" customHeight="1" x14ac:dyDescent="0.25">
      <c r="A18865" s="1" t="s">
        <v>36890</v>
      </c>
      <c r="B18865" s="1">
        <v>1</v>
      </c>
      <c r="C18865" s="3">
        <v>44536.825173611112</v>
      </c>
      <c r="D18865" s="1" t="s">
        <v>36891</v>
      </c>
      <c r="E18865" s="4" t="str">
        <f ca="1">IFERROR(__xludf.DUMMYFUNCTION("GOOGLETRANSLATE(A1668 , ""tr"" , ""en"")"),"@drfahrettinkoca @rterdogan @saglikbakanligi @gozdekirisciogl # 40binatamayiyapkilicdaroglu https://t.co/vlhtrawqu6")</f>
        <v>@drfahrettinkoca @rterdogan @saglikbakanligi @gozdekirisciogl # 40binatamayiyapkilicdaroglu https://t.co/vlhtrawqu6</v>
      </c>
    </row>
    <row r="18866" spans="1:5" ht="15" customHeight="1" x14ac:dyDescent="0.25">
      <c r="A18866" s="1" t="s">
        <v>36892</v>
      </c>
      <c r="B18866" s="1">
        <v>8</v>
      </c>
      <c r="C18866" s="3">
        <v>44536.82476851852</v>
      </c>
      <c r="D18866" s="1" t="s">
        <v>36893</v>
      </c>
      <c r="E18866" s="4" t="str">
        <f ca="1">IFERROR(__xludf.DUMMYFUNCTION("GOOGLETRANSLATE(A1669 , ""tr"" , ""en"")"),"@drfahrettinkoca @rterdogan #meb @tcmeb #theykkuruluoehrencileronlinelindanistinistinistişleri # CabineUZAKNANDITUITMART HTTPS://T.CO/0DXXSXMLxk")</f>
        <v>@drfahrettinkoca @rterdogan #meb @tcmeb #theykkuruluoehrencileronlinelindanistinistinistişleri # CabineUZAKNANDITUITMART HTTPS://T.CO/0DXXSXMLxk</v>
      </c>
    </row>
    <row r="18867" spans="1:5" ht="15" customHeight="1" x14ac:dyDescent="0.25">
      <c r="A18867" s="1" t="s">
        <v>36894</v>
      </c>
      <c r="B18867" s="1">
        <v>5</v>
      </c>
      <c r="C18867" s="3">
        <v>44536.824166666665</v>
      </c>
      <c r="D18867" s="1" t="s">
        <v>36895</v>
      </c>
      <c r="E18867" s="4" t="str">
        <f ca="1">IFERROR(__xludf.DUMMYFUNCTION("GOOGLETRANSLATE(A1670 , ""tr"" , ""en"")"),"@drfahrettinkoca: Look at what I see in this hand when I want to beat when I'm throwing up on your assign you too ... https://t.co/fbnl38s6wo")</f>
        <v>@drfahrettinkoca: Look at what I see in this hand when I want to beat when I'm throwing up on your assign you too ... https://t.co/fbnl38s6wo</v>
      </c>
    </row>
    <row r="18868" spans="1:5" ht="15" customHeight="1" x14ac:dyDescent="0.25">
      <c r="A18868" s="1" t="s">
        <v>36896</v>
      </c>
      <c r="B18868" s="1">
        <v>0</v>
      </c>
      <c r="C18868" s="3">
        <v>44536.823900462965</v>
      </c>
      <c r="D18868" s="1" t="s">
        <v>36897</v>
      </c>
      <c r="E18868" s="4" t="str">
        <f ca="1">IFERROR(__xludf.DUMMYFUNCTION("GOOGLETRANSLATE(A1671 , ""tr"" , ""en"")"),"@drfahrettinkoca @rterdogan @gozdekirisciogl Klavuzzzz, so our language is over https://t.co/awt396s6rm")</f>
        <v>@drfahrettinkoca @rterdogan @gozdekirisciogl Klavuzzzz, so our language is over https://t.co/awt396s6rm</v>
      </c>
    </row>
    <row r="18869" spans="1:5" ht="15" customHeight="1" x14ac:dyDescent="0.25">
      <c r="A18869" s="1" t="s">
        <v>36898</v>
      </c>
      <c r="B18869" s="1">
        <v>1</v>
      </c>
      <c r="C18869" s="3">
        <v>44536.821712962963</v>
      </c>
      <c r="D18869" s="1" t="s">
        <v>36899</v>
      </c>
      <c r="E18869" s="4" t="str">
        <f ca="1">IFERROR(__xludf.DUMMYFUNCTION("GOOGLETRANSLATE(A1672 , ""tr"" , ""en"")"),"@drfahrettinkoca where are you the words you give? # 40binatamayiyapkilicdaroglu")</f>
        <v>@drfahrettinkoca where are you the words you give? # 40binatamayiyapkilicdaroglu</v>
      </c>
    </row>
    <row r="18870" spans="1:5" ht="15" customHeight="1" x14ac:dyDescent="0.25">
      <c r="A18870" s="1" t="s">
        <v>36900</v>
      </c>
      <c r="B18870" s="1">
        <v>0</v>
      </c>
      <c r="C18870" s="3">
        <v>44536.819409722222</v>
      </c>
      <c r="D18870" s="1" t="s">
        <v>36901</v>
      </c>
      <c r="E18870" s="4" t="str">
        <f ca="1">IFERROR(__xludf.DUMMYFUNCTION("GOOGLETRANSLATE(A1673 , ""tr"" , ""en"")"),"@drfahrettinka https://t.co/rfsovz8aan")</f>
        <v>@drfahrettinka https://t.co/rfsovz8aan</v>
      </c>
    </row>
    <row r="18871" spans="1:5" ht="15" customHeight="1" x14ac:dyDescent="0.25">
      <c r="A18871" s="1" t="s">
        <v>36902</v>
      </c>
      <c r="B18871" s="1">
        <v>0</v>
      </c>
      <c r="C18871" s="3">
        <v>44536.813576388886</v>
      </c>
      <c r="D18871" s="1" t="s">
        <v>36903</v>
      </c>
      <c r="E18871" s="4" t="str">
        <f ca="1">IFERROR(__xludf.DUMMYFUNCTION("GOOGLETRANSLATE(A1674 , ""tr"" , ""en"")"),"@drfahrettinka Minister Please do not extend the assignment anymore :( My psychology is no longer done. A happy both ... https://t.co/Iffdzgron5")</f>
        <v>@drfahrettinka Minister Please do not extend the assignment anymore :( My psychology is no longer done. A happy both ... https://t.co/Iffdzgron5</v>
      </c>
    </row>
    <row r="18872" spans="1:5" ht="15" customHeight="1" x14ac:dyDescent="0.25">
      <c r="A18872" s="1" t="s">
        <v>36904</v>
      </c>
      <c r="B18872" s="1">
        <v>0</v>
      </c>
      <c r="C18872" s="3">
        <v>44536.806226851855</v>
      </c>
      <c r="D18872" s="1" t="s">
        <v>36905</v>
      </c>
      <c r="E18872" s="4" t="str">
        <f ca="1">IFERROR(__xludf.DUMMYFUNCTION("GOOGLETRANSLATE(A1675 , ""tr"" , ""en"")"),"@drfahrettinkoca @meb https://t.co/y16VUUHIHY")</f>
        <v>@drfahrettinkoca @meb https://t.co/y16VUUHIHY</v>
      </c>
    </row>
    <row r="18873" spans="1:5" ht="15" customHeight="1" x14ac:dyDescent="0.25">
      <c r="A18873" s="1" t="s">
        <v>36906</v>
      </c>
      <c r="B18873" s="1">
        <v>0</v>
      </c>
      <c r="C18873" s="3">
        <v>44536.804247685184</v>
      </c>
      <c r="D18873" s="1" t="s">
        <v>36907</v>
      </c>
      <c r="E18873" s="4" t="str">
        <f ca="1">IFERROR(__xludf.DUMMYFUNCTION("GOOGLETRANSLATE(A1676 , ""tr"" , ""en"")"),"@drfahrettinkoca Keep picking up the assignment Dear Minister My Minister these young people will give you the answer is not too far")</f>
        <v>@drfahrettinkoca Keep picking up the assignment Dear Minister My Minister these young people will give you the answer is not too far</v>
      </c>
    </row>
    <row r="18874" spans="1:5" ht="15" customHeight="1" x14ac:dyDescent="0.25">
      <c r="A18874" s="1" t="s">
        <v>36908</v>
      </c>
      <c r="B18874" s="1">
        <v>2</v>
      </c>
      <c r="C18874" s="3">
        <v>44536.801087962966</v>
      </c>
      <c r="D18874" s="1" t="s">
        <v>36909</v>
      </c>
      <c r="E18874" s="4" t="str">
        <f ca="1">IFERROR(__xludf.DUMMYFUNCTION("GOOGLETRANSLATE(A1677 , ""tr"" , ""en"")"),"@drfahrettinkoca #wealthygreek")</f>
        <v>@drfahrettinkoca #wealthygreek</v>
      </c>
    </row>
    <row r="18875" spans="1:5" ht="15" customHeight="1" x14ac:dyDescent="0.25">
      <c r="A18875" s="1" t="s">
        <v>36910</v>
      </c>
      <c r="B18875" s="1">
        <v>2</v>
      </c>
      <c r="C18875" s="3">
        <v>44536.798935185187</v>
      </c>
      <c r="D18875" s="1" t="s">
        <v>36911</v>
      </c>
      <c r="E18875" s="4" t="str">
        <f ca="1">IFERROR(__xludf.DUMMYFUNCTION("GOOGLETRANSLATE(A1678 , ""tr"" , ""en"")"),"@drfahrettinkoca @rterdogan @tcmeb # kabineuzaktanılitimşartart")</f>
        <v>@drfahrettinkoca @rterdogan @tcmeb # kabineuzaktanılitimşartart</v>
      </c>
    </row>
    <row r="18876" spans="1:5" ht="15" customHeight="1" x14ac:dyDescent="0.25">
      <c r="A18876" s="1" t="s">
        <v>36912</v>
      </c>
      <c r="B18876" s="1">
        <v>3</v>
      </c>
      <c r="C18876" s="3">
        <v>44536.79892361111</v>
      </c>
      <c r="D18876" s="1" t="s">
        <v>36913</v>
      </c>
      <c r="E18876" s="4" t="str">
        <f ca="1">IFERROR(__xludf.DUMMYFUNCTION("GOOGLETRANSLATE(A1679 , ""tr"" , ""en"")"),"@drfahrettinkoca #wealthygreek")</f>
        <v>@drfahrettinkoca #wealthygreek</v>
      </c>
    </row>
    <row r="18877" spans="1:5" ht="15" customHeight="1" x14ac:dyDescent="0.25">
      <c r="A18877" s="1" t="s">
        <v>36914</v>
      </c>
      <c r="B18877" s="1">
        <v>1</v>
      </c>
      <c r="C18877" s="3">
        <v>44536.797303240739</v>
      </c>
      <c r="D18877" s="1" t="s">
        <v>36915</v>
      </c>
      <c r="E18877" s="4" t="str">
        <f ca="1">IFERROR(__xludf.DUMMYFUNCTION("GOOGLETRANSLATE(A1680 , ""tr"" , ""en"")"),"@drfahrettinkoca 28 # 40binatamayiyapkilicdaroglu")</f>
        <v>@drfahrettinkoca 28 # 40binatamayiyapkilicdaroglu</v>
      </c>
    </row>
    <row r="18878" spans="1:5" ht="15" customHeight="1" x14ac:dyDescent="0.25">
      <c r="A18878" s="1" t="s">
        <v>36916</v>
      </c>
      <c r="B18878" s="1">
        <v>0</v>
      </c>
      <c r="C18878" s="3">
        <v>44536.795231481483</v>
      </c>
      <c r="D18878" s="1" t="s">
        <v>36917</v>
      </c>
      <c r="E18878" s="4" t="str">
        <f ca="1">IFERROR(__xludf.DUMMYFUNCTION("GOOGLETRANSLATE(A1681 , ""tr"" , ""en"")"),"@drfahrettinkoca 9 # 40binatamayiyapkilicdaroglu")</f>
        <v>@drfahrettinkoca 9 # 40binatamayiyapkilicdaroglu</v>
      </c>
    </row>
    <row r="18879" spans="1:5" ht="15" customHeight="1" x14ac:dyDescent="0.25">
      <c r="A18879" s="1" t="s">
        <v>19636</v>
      </c>
      <c r="B18879" s="1">
        <v>0</v>
      </c>
      <c r="C18879" s="3">
        <v>44536.794976851852</v>
      </c>
      <c r="D18879" s="1" t="s">
        <v>36918</v>
      </c>
      <c r="E18879" s="4" t="str">
        <f ca="1">IFERROR(__xludf.DUMMYFUNCTION("GOOGLETRANSLATE(A1682 , ""tr"" , ""en"")"),"@drfahrettinkoca # 40binatamayiyapkilicdaroglu")</f>
        <v>@drfahrettinkoca # 40binatamayiyapkilicdaroglu</v>
      </c>
    </row>
    <row r="18880" spans="1:5" ht="15" customHeight="1" x14ac:dyDescent="0.25">
      <c r="A18880" s="1" t="s">
        <v>36919</v>
      </c>
      <c r="B18880" s="1">
        <v>0</v>
      </c>
      <c r="C18880" s="3">
        <v>44536.793993055559</v>
      </c>
      <c r="D18880" s="1" t="s">
        <v>36920</v>
      </c>
      <c r="E18880" s="4" t="str">
        <f ca="1">IFERROR(__xludf.DUMMYFUNCTION("GOOGLETRANSLATE(A1683 , ""tr"" , ""en"")"),"@drfahrettinkoca farz effect I'm a lie")</f>
        <v>@drfahrettinkoca farz effect I'm a lie</v>
      </c>
    </row>
    <row r="18881" spans="1:5" ht="15" customHeight="1" x14ac:dyDescent="0.25">
      <c r="A18881" s="1" t="s">
        <v>36921</v>
      </c>
      <c r="B18881" s="1">
        <v>0</v>
      </c>
      <c r="C18881" s="3">
        <v>44536.792430555557</v>
      </c>
      <c r="D18881" s="1" t="s">
        <v>36922</v>
      </c>
      <c r="E18881" s="4" t="str">
        <f ca="1">IFERROR(__xludf.DUMMYFUNCTION("GOOGLETRANSLATE(A1684 , ""tr"" , ""en"")"),"@drfahrettinkoca is the same hospital 20000 rotary 10000 doctor with the economic crisis is affected by the economic crisis ... https://t.co/cmx2xlayc3")</f>
        <v>@drfahrettinkoca is the same hospital 20000 rotary 10000 doctor with the economic crisis is affected by the economic crisis ... https://t.co/cmx2xlayc3</v>
      </c>
    </row>
    <row r="18882" spans="1:5" ht="15" customHeight="1" x14ac:dyDescent="0.25">
      <c r="A18882" s="1" t="s">
        <v>36923</v>
      </c>
      <c r="B18882" s="1">
        <v>0</v>
      </c>
      <c r="C18882" s="3">
        <v>44536.789594907408</v>
      </c>
      <c r="D18882" s="1" t="s">
        <v>36924</v>
      </c>
      <c r="E18882" s="4" t="str">
        <f ca="1">IFERROR(__xludf.DUMMYFUNCTION("GOOGLETRANSLATE(A1685 , ""tr"" , ""en"")"),"@drfahrettinkoca @rterdogan @kilicdarogluk # 40binatamayiyapkilicdaroglu")</f>
        <v>@drfahrettinkoca @rterdogan @kilicdarogluk # 40binatamayiyapkilicdaroglu</v>
      </c>
    </row>
    <row r="18883" spans="1:5" ht="15" customHeight="1" x14ac:dyDescent="0.25">
      <c r="A18883" s="1" t="s">
        <v>36925</v>
      </c>
      <c r="B18883" s="1">
        <v>1</v>
      </c>
      <c r="C18883" s="3">
        <v>44536.780081018522</v>
      </c>
      <c r="D18883" s="1" t="s">
        <v>36926</v>
      </c>
      <c r="E18883" s="4" t="str">
        <f ca="1">IFERROR(__xludf.DUMMYFUNCTION("GOOGLETRANSLATE(A1686 , ""tr"" , ""en"")"),"@drfahrettinkoca please help in the name of my sister have forty hibernated walking in the hands of walking in the disabled foot ... https://t.co/xieefdcepb")</f>
        <v>@drfahrettinkoca please help in the name of my sister have forty hibernated walking in the hands of walking in the disabled foot ... https://t.co/xieefdcepb</v>
      </c>
    </row>
    <row r="18884" spans="1:5" ht="15" customHeight="1" x14ac:dyDescent="0.25">
      <c r="A18884" s="1" t="s">
        <v>36927</v>
      </c>
      <c r="B18884" s="1">
        <v>2</v>
      </c>
      <c r="C18884" s="3">
        <v>44536.776122685187</v>
      </c>
      <c r="D18884" s="1" t="s">
        <v>36928</v>
      </c>
      <c r="E18884" s="4" t="str">
        <f ca="1">IFERROR(__xludf.DUMMYFUNCTION("GOOGLETRANSLATE(A1687 , ""tr"" , ""en"")"),"@drfahrettinkoca If these events are in our league, I wonder what you're doing so much .. https://t.co/usywihczu7")</f>
        <v>@drfahrettinkoca If these events are in our league, I wonder what you're doing so much .. https://t.co/usywihczu7</v>
      </c>
    </row>
    <row r="18885" spans="1:5" ht="15" customHeight="1" x14ac:dyDescent="0.25">
      <c r="A18885" s="1" t="s">
        <v>36929</v>
      </c>
      <c r="B18885" s="1">
        <v>0</v>
      </c>
      <c r="C18885" s="3">
        <v>44536.773657407408</v>
      </c>
      <c r="D18885" s="1" t="s">
        <v>36930</v>
      </c>
      <c r="E18885" s="4" t="str">
        <f ca="1">IFERROR(__xludf.DUMMYFUNCTION("GOOGLETRANSLATE(A1688 , ""tr"" , ""en"")"),"@drfahrettinkoca @rterdogan @csgbakanligi AYIP YA HU https://t.co/8t4zwzfcdg")</f>
        <v>@drfahrettinkoca @rterdogan @csgbakanligi AYIP YA HU https://t.co/8t4zwzfcdg</v>
      </c>
    </row>
    <row r="18886" spans="1:5" ht="15" customHeight="1" x14ac:dyDescent="0.25">
      <c r="A18886" s="1" t="s">
        <v>36931</v>
      </c>
      <c r="B18886" s="1">
        <v>1</v>
      </c>
      <c r="C18886" s="3">
        <v>44536.771851851852</v>
      </c>
      <c r="D18886" s="1" t="s">
        <v>36932</v>
      </c>
      <c r="E18886" s="4" t="str">
        <f ca="1">IFERROR(__xludf.DUMMYFUNCTION("GOOGLETRANSLATE(A1689 , ""tr"" , ""en"")"),"@drfahrettinka https://t.co/tn7fw60cy9")</f>
        <v>@drfahrettinka https://t.co/tn7fw60cy9</v>
      </c>
    </row>
    <row r="18887" spans="1:5" ht="15" customHeight="1" x14ac:dyDescent="0.25">
      <c r="A18887" s="1" t="s">
        <v>36933</v>
      </c>
      <c r="B18887" s="1">
        <v>7</v>
      </c>
      <c r="C18887" s="3">
        <v>44536.771493055552</v>
      </c>
      <c r="D18887" s="1" t="s">
        <v>36934</v>
      </c>
      <c r="E18887" s="4" t="str">
        <f ca="1">IFERROR(__xludf.DUMMYFUNCTION("GOOGLETRANSLATE(A1690 , ""tr"" , ""en"")"),"@drfahrettinkoca you open a clear question chained custom patients who have fell hard on paying at all of your patients ... https://t.co/nw2mcq88os")</f>
        <v>@drfahrettinkoca you open a clear question chained custom patients who have fell hard on paying at all of your patients ... https://t.co/nw2mcq88os</v>
      </c>
    </row>
    <row r="18888" spans="1:5" ht="15" customHeight="1" x14ac:dyDescent="0.25">
      <c r="A18888" s="1" t="s">
        <v>36935</v>
      </c>
      <c r="B18888" s="1">
        <v>1</v>
      </c>
      <c r="C18888" s="3">
        <v>44536.770057870373</v>
      </c>
      <c r="D18888" s="1" t="s">
        <v>36936</v>
      </c>
      <c r="E18888" s="4" t="str">
        <f ca="1">IFERROR(__xludf.DUMMYFUNCTION("GOOGLETRANSLATE(A1691 , ""tr"" , ""en"")"),"@drfahrettinkoca Mr. Minister will be reflected in the pay hike, or as mentioned, as mentioned, as mentioned ... https://t.co/g2znndhpd5")</f>
        <v>@drfahrettinkoca Mr. Minister will be reflected in the pay hike, or as mentioned, as mentioned, as mentioned ... https://t.co/g2znndhpd5</v>
      </c>
    </row>
    <row r="18889" spans="1:5" ht="15" customHeight="1" x14ac:dyDescent="0.25">
      <c r="A18889" s="1" t="s">
        <v>36937</v>
      </c>
      <c r="B18889" s="1">
        <v>0</v>
      </c>
      <c r="C18889" s="3">
        <v>44536.762939814813</v>
      </c>
      <c r="D18889" s="1" t="s">
        <v>36938</v>
      </c>
      <c r="E18889" s="4" t="str">
        <f ca="1">IFERROR(__xludf.DUMMYFUNCTION("GOOGLETRANSLATE(A1692 , ""tr"" , ""en"")"),"@drfahrettinkoca @rterdogan @ mehmetceyhan23 @drzekibay @bengibaser @serapsimsekyvz @tcmeb @ saglikbakanligi ... https://t.co/nsvrpoengg")</f>
        <v>@drfahrettinkoca @rterdogan @ mehmetceyhan23 @drzekibay @bengibaser @serapsimsekyvz @tcmeb @ saglikbakanligi ... https://t.co/nsvrpoengg</v>
      </c>
    </row>
    <row r="18890" spans="1:5" ht="15" customHeight="1" x14ac:dyDescent="0.25">
      <c r="A18890" s="1" t="s">
        <v>36939</v>
      </c>
      <c r="B18890" s="1">
        <v>0</v>
      </c>
      <c r="C18890" s="3">
        <v>44536.762442129628</v>
      </c>
      <c r="D18890" s="1" t="s">
        <v>36940</v>
      </c>
      <c r="E18890" s="4" t="str">
        <f ca="1">IFERROR(__xludf.DUMMYFUNCTION("GOOGLETRANSLATE(A1693 , ""tr"" , ""en"")"),"@drfahrettinkoca @rterdogan @ mehmetceyhan23 @drzekibay @bengibaser @serapsimsekyvz @tcmeb @ saglikbakanligi ... https://t.co/51awncve06")</f>
        <v>@drfahrettinkoca @rterdogan @ mehmetceyhan23 @drzekibay @bengibaser @serapsimsekyvz @tcmeb @ saglikbakanligi ... https://t.co/51awncve06</v>
      </c>
    </row>
    <row r="18891" spans="1:5" ht="15" customHeight="1" x14ac:dyDescent="0.25">
      <c r="A18891" s="1" t="s">
        <v>36941</v>
      </c>
      <c r="B18891" s="1">
        <v>3</v>
      </c>
      <c r="C18891" s="3">
        <v>44536.760266203702</v>
      </c>
      <c r="D18891" s="1" t="s">
        <v>36942</v>
      </c>
      <c r="E18891" s="4" t="str">
        <f ca="1">IFERROR(__xludf.DUMMYFUNCTION("GOOGLETRANSLATE(A1694 , ""tr"" , ""en"")"),"@drfahrettinkoca @nureddinnebati @saglikbakanligi # Medical House #ThisParden HTTPS://T.CO/MWYSZWXETZ")</f>
        <v>@drfahrettinkoca @nureddinnebati @saglikbakanligi # Medical House #ThisParden HTTPS://T.CO/MWYSZWXETZ</v>
      </c>
    </row>
    <row r="18892" spans="1:5" ht="15" customHeight="1" x14ac:dyDescent="0.25">
      <c r="A18892" s="1" t="s">
        <v>36943</v>
      </c>
      <c r="B18892" s="1">
        <v>0</v>
      </c>
      <c r="C18892" s="3">
        <v>44536.757962962962</v>
      </c>
      <c r="D18892" s="1" t="s">
        <v>36944</v>
      </c>
      <c r="E18892" s="4" t="str">
        <f ca="1">IFERROR(__xludf.DUMMYFUNCTION("GOOGLETRANSLATE(A1695 , ""tr"" , ""en"")"),"@drfahrettinkoca @saglikbakanligi #the physicians #ponsumes")</f>
        <v>@drfahrettinkoca @saglikbakanligi #the physicians #ponsumes</v>
      </c>
    </row>
    <row r="18893" spans="1:5" ht="15" customHeight="1" x14ac:dyDescent="0.25">
      <c r="A18893" s="1" t="s">
        <v>36945</v>
      </c>
      <c r="B18893" s="1">
        <v>0</v>
      </c>
      <c r="C18893" s="3">
        <v>44536.755416666667</v>
      </c>
      <c r="D18893" s="1" t="s">
        <v>36946</v>
      </c>
      <c r="E18893" s="4" t="str">
        <f ca="1">IFERROR(__xludf.DUMMYFUNCTION("GOOGLETRANSLATE(A1696 , ""tr"" , ""en"")"),"@drfahrettinkoda Given the Gospel Given the Great Gospel")</f>
        <v>@drfahrettinkoda Given the Gospel Given the Great Gospel</v>
      </c>
    </row>
    <row r="18894" spans="1:5" ht="15" customHeight="1" x14ac:dyDescent="0.25">
      <c r="A18894" s="1" t="s">
        <v>36947</v>
      </c>
      <c r="B18894" s="1">
        <v>0</v>
      </c>
      <c r="C18894" s="3">
        <v>44536.753877314812</v>
      </c>
      <c r="D18894" s="1" t="s">
        <v>36948</v>
      </c>
      <c r="E18894" s="4" t="str">
        <f ca="1">IFERROR(__xludf.DUMMYFUNCTION("GOOGLETRANSLATE(A1697 , ""tr"" , ""en"")"),"@drfahrettinkoca @rterdogan @rterdogan @saglikbakanligi https://t.co/fqbhc0nljf")</f>
        <v>@drfahrettinkoca @rterdogan @rterdogan @saglikbakanligi https://t.co/fqbhc0nljf</v>
      </c>
    </row>
    <row r="18895" spans="1:5" ht="15" customHeight="1" x14ac:dyDescent="0.25">
      <c r="A18895" s="1" t="s">
        <v>36949</v>
      </c>
      <c r="B18895" s="1">
        <v>1</v>
      </c>
      <c r="C18895" s="3">
        <v>44536.749606481484</v>
      </c>
      <c r="D18895" s="1" t="s">
        <v>36950</v>
      </c>
      <c r="E18895" s="4" t="str">
        <f ca="1">IFERROR(__xludf.DUMMYFUNCTION("GOOGLETRANSLATE(A1698 , ""tr"" , ""en"")"),"@drfahrettinkoca? # CabinetAnaktanephtheart https://t.co/d4kvmdvfim")</f>
        <v>@drfahrettinkoca? # CabinetAnaktanephtheart https://t.co/d4kvmdvfim</v>
      </c>
    </row>
    <row r="18896" spans="1:5" ht="15" customHeight="1" x14ac:dyDescent="0.25">
      <c r="A18896" s="1" t="s">
        <v>36951</v>
      </c>
      <c r="B18896" s="1">
        <v>0</v>
      </c>
      <c r="C18896" s="3">
        <v>44536.742071759261</v>
      </c>
      <c r="D18896" s="1" t="s">
        <v>36952</v>
      </c>
      <c r="E18896" s="4" t="str">
        <f ca="1">IFERROR(__xludf.DUMMYFUNCTION("GOOGLETRANSLATE(A1699 , ""tr"" , ""en"")"),"@drfahrettinkoca Sayin Health Covidden Covidden Covidden I asked for a friend in the hospital hospital. ... https://t.co/zqbcheghvj")</f>
        <v>@drfahrettinkoca Sayin Health Covidden Covidden Covidden I asked for a friend in the hospital hospital. ... https://t.co/zqbcheghvj</v>
      </c>
    </row>
    <row r="18897" spans="1:5" ht="15" customHeight="1" x14ac:dyDescent="0.25">
      <c r="A18897" s="1" t="s">
        <v>36953</v>
      </c>
      <c r="B18897" s="1">
        <v>0</v>
      </c>
      <c r="C18897" s="3">
        <v>44536.740590277775</v>
      </c>
      <c r="D18897" s="1" t="s">
        <v>36954</v>
      </c>
      <c r="E18897" s="4" t="str">
        <f ca="1">IFERROR(__xludf.DUMMYFUNCTION("GOOGLETRANSLATE(A1700 , ""tr"" , ""en"")"),"@drfahrettinkoca private hospital caused my mother's death https://t.co/nynzc5xnyf")</f>
        <v>@drfahrettinkoca private hospital caused my mother's death https://t.co/nynzc5xnyf</v>
      </c>
    </row>
    <row r="18898" spans="1:5" ht="15" customHeight="1" x14ac:dyDescent="0.25">
      <c r="A18898" s="1" t="s">
        <v>36955</v>
      </c>
      <c r="B18898" s="1">
        <v>0</v>
      </c>
      <c r="C18898" s="3">
        <v>44522.993055555555</v>
      </c>
      <c r="D18898" s="1" t="s">
        <v>36956</v>
      </c>
      <c r="E18898" s="4" t="str">
        <f ca="1">IFERROR(__xludf.DUMMYFUNCTION("GOOGLETRANSLATE(A1701 , ""tr"" , ""en"")"),"@drfahrettinkoca @saglikbakanligi Senay Sumeyra 🎵🎵🎵🎵 Take a look at the videos! #Telectock https://t.co/h3rnymre2c")</f>
        <v>@drfahrettinkoca @saglikbakanligi Senay Sumeyra 🎵🎵🎵🎵 Take a look at the videos! #Telectock https://t.co/h3rnymre2c</v>
      </c>
    </row>
    <row r="18899" spans="1:5" ht="15" customHeight="1" x14ac:dyDescent="0.25">
      <c r="A18899" s="1" t="s">
        <v>36957</v>
      </c>
      <c r="B18899" s="1">
        <v>0</v>
      </c>
      <c r="C18899" s="3">
        <v>44522.972337962965</v>
      </c>
      <c r="D18899" s="1" t="s">
        <v>36958</v>
      </c>
      <c r="E18899" s="4" t="str">
        <f ca="1">IFERROR(__xludf.DUMMYFUNCTION("GOOGLETRANSLATE(A1702 , ""tr"" , ""en"")"),"@drfahrettinkoca @rterdogan @tcbestepe @saglikbakanligi Listen to real scientists Media Monkey Funds ... https://t.co/0ay9yxot4k")</f>
        <v>@drfahrettinkoca @rterdogan @tcbestepe @saglikbakanligi Listen to real scientists Media Monkey Funds ... https://t.co/0ay9yxot4k</v>
      </c>
    </row>
    <row r="18900" spans="1:5" ht="15" customHeight="1" x14ac:dyDescent="0.25">
      <c r="A18900" s="1" t="s">
        <v>36959</v>
      </c>
      <c r="B18900" s="1">
        <v>0</v>
      </c>
      <c r="C18900" s="3">
        <v>44522.955347222225</v>
      </c>
      <c r="D18900" s="1" t="s">
        <v>36960</v>
      </c>
      <c r="E18900" s="4" t="str">
        <f ca="1">IFERROR(__xludf.DUMMYFUNCTION("GOOGLETRANSLATE(A1703 , ""tr"" , ""en"")"),"@drfahrettinkoca esin lady says what let me know. The law of this country with undisputed decisions in theology board ... https://t.co/auop3ib99z")</f>
        <v>@drfahrettinkoca esin lady says what let me know. The law of this country with undisputed decisions in theology board ... https://t.co/auop3ib99z</v>
      </c>
    </row>
    <row r="18901" spans="1:5" ht="15" customHeight="1" x14ac:dyDescent="0.25">
      <c r="A18901" s="1" t="s">
        <v>36961</v>
      </c>
      <c r="B18901" s="1">
        <v>1</v>
      </c>
      <c r="C18901" s="3">
        <v>44522.9059375</v>
      </c>
      <c r="D18901" s="1" t="s">
        <v>36962</v>
      </c>
      <c r="E18901" s="4" t="str">
        <f ca="1">IFERROR(__xludf.DUMMYFUNCTION("GOOGLETRANSLATE(A1704 , ""tr"" , ""en"")"),"@drfahrettinkoca Covidle Our challenge is in the morning from 9:30 am to night on the night? In hospitals that are not tested after 12")</f>
        <v>@drfahrettinkoca Covidle Our challenge is in the morning from 9:30 am to night on the night? In hospitals that are not tested after 12</v>
      </c>
    </row>
    <row r="18902" spans="1:5" ht="15" customHeight="1" x14ac:dyDescent="0.25">
      <c r="A18902" s="1" t="s">
        <v>36963</v>
      </c>
      <c r="B18902" s="1">
        <v>0</v>
      </c>
      <c r="C18902" s="3">
        <v>44522.890648148146</v>
      </c>
      <c r="D18902" s="1" t="s">
        <v>36964</v>
      </c>
      <c r="E18902" s="4" t="str">
        <f ca="1">IFERROR(__xludf.DUMMYFUNCTION("GOOGLETRANSLATE(A1705 , ""tr"" , ""en"")"),"@drfahrettinkoca Dear Minister Why avoid explaining the number of passages and disclaimers that it is out of love ... https://t.co/8sddy0yBIO")</f>
        <v>@drfahrettinkoca Dear Minister Why avoid explaining the number of passages and disclaimers that it is out of love ... https://t.co/8sddy0yBIO</v>
      </c>
    </row>
    <row r="18903" spans="1:5" ht="15" customHeight="1" x14ac:dyDescent="0.25">
      <c r="A18903" s="1" t="s">
        <v>36965</v>
      </c>
      <c r="B18903" s="1">
        <v>0</v>
      </c>
      <c r="C18903" s="3">
        <v>44522.886365740742</v>
      </c>
      <c r="D18903" s="1" t="s">
        <v>36966</v>
      </c>
      <c r="E18903" s="4" t="str">
        <f ca="1">IFERROR(__xludf.DUMMYFUNCTION("GOOGLETRANSLATE(A1706 , ""tr"" , ""en"")"),"@drfahrettinka Mr. Ministry, SMA Type 1 Deadly Muscle Patient 100lerce We'll leave my baby death, to hold on to life ... https://t.co/1kxy4frspf")</f>
        <v>@drfahrettinka Mr. Ministry, SMA Type 1 Deadly Muscle Patient 100lerce We'll leave my baby death, to hold on to life ... https://t.co/1kxy4frspf</v>
      </c>
    </row>
    <row r="18904" spans="1:5" ht="15" customHeight="1" x14ac:dyDescent="0.25">
      <c r="A18904" s="1" t="s">
        <v>36967</v>
      </c>
      <c r="B18904" s="1">
        <v>0</v>
      </c>
      <c r="C18904" s="3">
        <v>44522.875902777778</v>
      </c>
      <c r="D18904" s="1" t="s">
        <v>36968</v>
      </c>
      <c r="E18904" s="4" t="str">
        <f ca="1">IFERROR(__xludf.DUMMYFUNCTION("GOOGLETRANSLATE(A1707 , ""tr"" , ""en"")"),"@drfahrettinkoca @rterdogan @ mehmetceyhan23 @drzekibay @bengibaser @drzekibay @serapsimsekyvz @ tcmeb ... https://t.co/qg9fapepkb")</f>
        <v>@drfahrettinkoca @rterdogan @ mehmetceyhan23 @drzekibay @bengibaser @drzekibay @serapsimsekyvz @ tcmeb ... https://t.co/qg9fapepkb</v>
      </c>
    </row>
    <row r="18905" spans="1:5" ht="15" customHeight="1" x14ac:dyDescent="0.25">
      <c r="A18905" s="1" t="s">
        <v>36969</v>
      </c>
      <c r="B18905" s="1">
        <v>0</v>
      </c>
      <c r="C18905" s="3">
        <v>44522.874212962961</v>
      </c>
      <c r="D18905" s="1" t="s">
        <v>36970</v>
      </c>
      <c r="E18905" s="4" t="str">
        <f ca="1">IFERROR(__xludf.DUMMYFUNCTION("GOOGLETRANSLATE(A1708 , ""tr"" , ""en"")"),"@drfahrettinkoca this is connecting you https://t.co/pgzzvj65lr")</f>
        <v>@drfahrettinkoca this is connecting you https://t.co/pgzzvj65lr</v>
      </c>
    </row>
    <row r="18906" spans="1:5" ht="15" customHeight="1" x14ac:dyDescent="0.25">
      <c r="A18906" s="1" t="s">
        <v>36971</v>
      </c>
      <c r="B18906" s="1">
        <v>0</v>
      </c>
      <c r="C18906" s="3">
        <v>44522.873773148145</v>
      </c>
      <c r="D18906" s="1" t="s">
        <v>36972</v>
      </c>
      <c r="E18906" s="4" t="str">
        <f ca="1">IFERROR(__xludf.DUMMYFUNCTION("GOOGLETRANSLATE(A1709 , ""tr"" , ""en"")"),"@drfahrettinkoca @rterdogan @tcbestepe @saglikbakanligi @sagliklicozum @tcttarim @tc_icisleri https://t.co/seqnsyiqel")</f>
        <v>@drfahrettinkoca @rterdogan @tcbestepe @saglikbakanligi @sagliklicozum @tcttarim @tc_icisleri https://t.co/seqnsyiqel</v>
      </c>
    </row>
    <row r="18907" spans="1:5" ht="15" customHeight="1" x14ac:dyDescent="0.25">
      <c r="A18907" s="1" t="s">
        <v>36973</v>
      </c>
      <c r="B18907" s="1">
        <v>35</v>
      </c>
      <c r="C18907" s="3">
        <v>44522.869155092594</v>
      </c>
      <c r="D18907" s="1" t="s">
        <v>36974</v>
      </c>
      <c r="E18907" s="4" t="str">
        <f ca="1">IFERROR(__xludf.DUMMYFUNCTION("GOOGLETRANSLATE(A1710 , ""tr"" , ""en"")"),"@drfahrettinkoca Ministry of three universities, two doctors since Özal All Prime Ministers excluding this recent term ... https://t.co/cx97nddsvh")</f>
        <v>@drfahrettinkoca Ministry of three universities, two doctors since Özal All Prime Ministers excluding this recent term ... https://t.co/cx97nddsvh</v>
      </c>
    </row>
    <row r="18908" spans="1:5" ht="15" customHeight="1" x14ac:dyDescent="0.25">
      <c r="A18908" s="1" t="s">
        <v>36975</v>
      </c>
      <c r="B18908" s="1">
        <v>0</v>
      </c>
      <c r="C18908" s="3">
        <v>44522.86855324074</v>
      </c>
      <c r="D18908" s="1" t="s">
        <v>36976</v>
      </c>
      <c r="E18908" s="4" t="str">
        <f ca="1">IFERROR(__xludf.DUMMYFUNCTION("GOOGLETRANSLATE(A1711 , ""tr"" , ""en"")"),"@drfahrettinkoca @rterdogan @ mehmetceyhan23 @drzekibay @bengibaser @serapsimsekyvz @tcmeb @ saglikbakanligi ... https://t.co/rki9yg06qc")</f>
        <v>@drfahrettinkoca @rterdogan @ mehmetceyhan23 @drzekibay @bengibaser @serapsimsekyvz @tcmeb @ saglikbakanligi ... https://t.co/rki9yg06qc</v>
      </c>
    </row>
    <row r="18909" spans="1:5" ht="15" customHeight="1" x14ac:dyDescent="0.25">
      <c r="A18909" s="1" t="s">
        <v>36977</v>
      </c>
      <c r="B18909" s="1">
        <v>0</v>
      </c>
      <c r="C18909" s="3">
        <v>44522.861145833333</v>
      </c>
      <c r="D18909" s="1" t="s">
        <v>36978</v>
      </c>
      <c r="E18909" s="4" t="str">
        <f ca="1">IFERROR(__xludf.DUMMYFUNCTION("GOOGLETRANSLATE(A1712 , ""tr"" , ""en"")"),"@drfahrettinkoca @saglikbakanligi https://t.co/sedagoehv5")</f>
        <v>@drfahrettinkoca @saglikbakanligi https://t.co/sedagoehv5</v>
      </c>
    </row>
    <row r="18910" spans="1:5" ht="15" customHeight="1" x14ac:dyDescent="0.25">
      <c r="A18910" s="1" t="s">
        <v>36979</v>
      </c>
      <c r="B18910" s="1">
        <v>0</v>
      </c>
      <c r="C18910" s="3">
        <v>44522.858148148145</v>
      </c>
      <c r="D18910" s="1" t="s">
        <v>36980</v>
      </c>
      <c r="E18910" s="4" t="str">
        <f ca="1">IFERROR(__xludf.DUMMYFUNCTION("GOOGLETRANSLATE(A1713 , ""tr"" , ""en"")"),"@drfahrettinkoca @ mehmetceyhan23 @drzekibay @bengibaser @serapsimsekyvz @tcmeb @saglikbakanligi @ Sagliklicozum ... https://t.co/2jgpu3me3t")</f>
        <v>@drfahrettinkoca @ mehmetceyhan23 @drzekibay @bengibaser @serapsimsekyvz @tcmeb @saglikbakanligi @ Sagliklicozum ... https://t.co/2jgpu3me3t</v>
      </c>
    </row>
    <row r="18911" spans="1:5" ht="15" customHeight="1" x14ac:dyDescent="0.25">
      <c r="A18911" s="1" t="s">
        <v>36981</v>
      </c>
      <c r="B18911" s="1">
        <v>1</v>
      </c>
      <c r="C18911" s="3">
        <v>44522.851064814815</v>
      </c>
      <c r="D18911" s="1" t="s">
        <v>36982</v>
      </c>
      <c r="E18911" s="4" t="str">
        <f ca="1">IFERROR(__xludf.DUMMYFUNCTION("GOOGLETRANSLATE(A1714 , ""tr"" , ""en"")"),"@drfahrettinkoca @rterdogan @tcmeb @saglikbakanligi @sagliklicozum @ProfSaltik @Tholan @TTBorgtr https://t.co/nyarpmqv5q")</f>
        <v>@drfahrettinkoca @rterdogan @tcmeb @saglikbakanligi @sagliklicozum @ProfSaltik @Tholan @TTBorgtr https://t.co/nyarpmqv5q</v>
      </c>
    </row>
    <row r="18912" spans="1:5" ht="15" customHeight="1" x14ac:dyDescent="0.25">
      <c r="A18912" s="1" t="s">
        <v>36983</v>
      </c>
      <c r="B18912" s="1">
        <v>0</v>
      </c>
      <c r="C18912" s="3">
        <v>44522.848483796297</v>
      </c>
      <c r="D18912" s="1" t="s">
        <v>36984</v>
      </c>
      <c r="E18912" s="4" t="str">
        <f ca="1">IFERROR(__xludf.DUMMYFUNCTION("GOOGLETRANSLATE(A1715 , ""tr"" , ""en"")"),"@drfahrettinkoca @bengibaser @serapssimsekyvz @tcmeb @saglikbakanligi @sagliklicozum @Profsaltik @ProfSaltik @ SciCluku ... https://t.co/crglsvu2ot")</f>
        <v>@drfahrettinkoca @bengibaser @serapssimsekyvz @tcmeb @saglikbakanligi @sagliklicozum @Profsaltik @ProfSaltik @ SciCluku ... https://t.co/crglsvu2ot</v>
      </c>
    </row>
    <row r="18913" spans="1:5" ht="15" customHeight="1" x14ac:dyDescent="0.25">
      <c r="A18913" s="1" t="s">
        <v>36985</v>
      </c>
      <c r="B18913" s="1">
        <v>0</v>
      </c>
      <c r="C18913" s="3">
        <v>44522.846539351849</v>
      </c>
      <c r="D18913" s="1" t="s">
        <v>36986</v>
      </c>
      <c r="E18913" s="4" t="str">
        <f ca="1">IFERROR(__xludf.DUMMYFUNCTION("GOOGLETRANSLATE(A1716 , ""tr"" , ""en"")"),"@drfahrettinka Don't see these things or don't you get to your work ?? The salary you receive is Haram I swear to you ... https://t.co/12w4rbovcw")</f>
        <v>@drfahrettinka Don't see these things or don't you get to your work ?? The salary you receive is Haram I swear to you ... https://t.co/12w4rbovcw</v>
      </c>
    </row>
    <row r="18914" spans="1:5" ht="15" customHeight="1" x14ac:dyDescent="0.25">
      <c r="A18914" s="1" t="s">
        <v>36987</v>
      </c>
      <c r="B18914" s="1">
        <v>0</v>
      </c>
      <c r="C18914" s="3">
        <v>44522.845914351848</v>
      </c>
      <c r="D18914" s="1" t="s">
        <v>36988</v>
      </c>
      <c r="E18914" s="4" t="str">
        <f ca="1">IFERROR(__xludf.DUMMYFUNCTION("GOOGLETRANSLATE(A1717 , ""tr"" , ""en"")"),"@drfahrettinkoca @rterdogan Looking forward to your heart while November is https://t.co/khpfe6qkyl")</f>
        <v>@drfahrettinkoca @rterdogan Looking forward to your heart while November is https://t.co/khpfe6qkyl</v>
      </c>
    </row>
    <row r="18915" spans="1:5" ht="15" customHeight="1" x14ac:dyDescent="0.25">
      <c r="A18915" s="1" t="s">
        <v>36989</v>
      </c>
      <c r="B18915" s="1">
        <v>0</v>
      </c>
      <c r="C18915" s="3">
        <v>44522.845682870371</v>
      </c>
      <c r="D18915" s="1" t="s">
        <v>36990</v>
      </c>
      <c r="E18915" s="4" t="str">
        <f ca="1">IFERROR(__xludf.DUMMYFUNCTION("GOOGLETRANSLATE(A1718 , ""tr"" , ""en"")"),"@drfahrettinka Don't see these things or don't you get to your work ?? The salary you get is Haram I swear to you ... https://t.co/h7qs2eIfnv")</f>
        <v>@drfahrettinka Don't see these things or don't you get to your work ?? The salary you get is Haram I swear to you ... https://t.co/h7qs2eIfnv</v>
      </c>
    </row>
    <row r="18916" spans="1:5" ht="15" customHeight="1" x14ac:dyDescent="0.25">
      <c r="A18916" s="1" t="s">
        <v>36991</v>
      </c>
      <c r="B18916" s="1">
        <v>0</v>
      </c>
      <c r="C18916" s="3">
        <v>44522.844155092593</v>
      </c>
      <c r="D18916" s="1" t="s">
        <v>36992</v>
      </c>
      <c r="E18916" s="4" t="str">
        <f ca="1">IFERROR(__xludf.DUMMYFUNCTION("GOOGLETRANSLATE(A1719 , ""tr"" , ""en"")"),"@drfahrettinkoca @bengibaser @serapsimsekyvz @ mehmetceyhan23 @drzekibay @secondvirus @ 5gvirusnewss @ science wrote ... https://t.co/4kxstfetna")</f>
        <v>@drfahrettinkoca @bengibaser @serapsimsekyvz @ mehmetceyhan23 @drzekibay @secondvirus @ 5gvirusnewss @ science wrote ... https://t.co/4kxstfetna</v>
      </c>
    </row>
    <row r="18917" spans="1:5" ht="15" customHeight="1" x14ac:dyDescent="0.25">
      <c r="A18917" s="1" t="s">
        <v>36993</v>
      </c>
      <c r="B18917" s="1">
        <v>11</v>
      </c>
      <c r="C18917" s="3">
        <v>44522.843240740738</v>
      </c>
      <c r="D18917" s="1" t="s">
        <v>36994</v>
      </c>
      <c r="E18917" s="4" t="str">
        <f ca="1">IFERROR(__xludf.DUMMYFUNCTION("GOOGLETRANSLATE(A1720 , ""tr"" , ""en"")"),"@rfahrettinkoca @rterdogan @by @dbdevletbahceli @fethigurer @sabantck @ turkasil1 https://t.co/radg7ngsoq")</f>
        <v>@rfahrettinkoca @rterdogan @by @dbdevletbahceli @fethigurer @sabantck @ turkasil1 https://t.co/radg7ngsoq</v>
      </c>
    </row>
    <row r="18918" spans="1:5" ht="15" customHeight="1" x14ac:dyDescent="0.25">
      <c r="A18918" s="1" t="s">
        <v>36995</v>
      </c>
      <c r="B18918" s="1">
        <v>0</v>
      </c>
      <c r="C18918" s="3">
        <v>44522.841898148145</v>
      </c>
      <c r="D18918" s="1" t="s">
        <v>36996</v>
      </c>
      <c r="E18918" s="4" t="str">
        <f ca="1">IFERROR(__xludf.DUMMYFUNCTION("GOOGLETRANSLATE(A1721 , ""tr"" , ""en"")"),"@drfahrettinkoca @ mehmetceyhan23 @drzekibay @bengibaser @serapsimsekyvz @tcmeb @saglikbakanligi @ Sagliklicozum ... https://t.co/lfpy4zku")</f>
        <v>@drfahrettinkoca @ mehmetceyhan23 @drzekibay @bengibaser @serapsimsekyvz @tcmeb @saglikbakanligi @ Sagliklicozum ... https://t.co/lfpy4zku</v>
      </c>
    </row>
    <row r="18919" spans="1:5" ht="15" customHeight="1" x14ac:dyDescent="0.25">
      <c r="A18919" s="1" t="s">
        <v>36997</v>
      </c>
      <c r="B18919" s="1">
        <v>0</v>
      </c>
      <c r="C18919" s="3">
        <v>44522.841689814813</v>
      </c>
      <c r="D18919" s="1" t="s">
        <v>36998</v>
      </c>
      <c r="E18919" s="4" t="str">
        <f ca="1">IFERROR(__xludf.DUMMYFUNCTION("GOOGLETRANSLATE(A1722 , ""tr"" , ""en"")"),"@drfahrettinkoca @bengibaser @serapsimsekyvz @ mehmetceyhan23 @drzekibay @bengibaser @drzekibay @ secondvirus ... https://t.co/dcyq2a2clt")</f>
        <v>@drfahrettinkoca @bengibaser @serapsimsekyvz @ mehmetceyhan23 @drzekibay @bengibaser @drzekibay @ secondvirus ... https://t.co/dcyq2a2clt</v>
      </c>
    </row>
    <row r="18920" spans="1:5" ht="15" customHeight="1" x14ac:dyDescent="0.25">
      <c r="A18920" s="1" t="s">
        <v>36999</v>
      </c>
      <c r="B18920" s="1">
        <v>0</v>
      </c>
      <c r="C18920" s="3">
        <v>44522.839456018519</v>
      </c>
      <c r="D18920" s="1" t="s">
        <v>37000</v>
      </c>
      <c r="E18920" s="4" t="str">
        <f ca="1">IFERROR(__xludf.DUMMYFUNCTION("GOOGLETRANSLATE(A1723 , ""tr"" , ""en"")"),"@drfahrettinkoca # health #health # Covid_19 Ministry of Health, Turkey has announced the last 24 hour vaccine table https://t.co/udbux0n1cb")</f>
        <v>@drfahrettinkoca # health #health # Covid_19 Ministry of Health, Turkey has announced the last 24 hour vaccine table https://t.co/udbux0n1cb</v>
      </c>
    </row>
    <row r="18921" spans="1:5" ht="15" customHeight="1" x14ac:dyDescent="0.25">
      <c r="A18921" s="1" t="s">
        <v>37001</v>
      </c>
      <c r="B18921" s="1">
        <v>0</v>
      </c>
      <c r="C18921" s="3">
        <v>44522.836817129632</v>
      </c>
      <c r="D18921" s="1" t="s">
        <v>37002</v>
      </c>
      <c r="E18921" s="4" t="str">
        <f ca="1">IFERROR(__xludf.DUMMYFUNCTION("GOOGLETRANSLATE(A1724 , ""tr"" , ""en"")"),"@drfahrettinkoca https://t.co/rt41errsrg")</f>
        <v>@drfahrettinkoca https://t.co/rt41errsrg</v>
      </c>
    </row>
    <row r="18922" spans="1:5" ht="15" customHeight="1" x14ac:dyDescent="0.25">
      <c r="A18922" s="1" t="s">
        <v>37003</v>
      </c>
      <c r="B18922" s="1">
        <v>0</v>
      </c>
      <c r="C18922" s="3">
        <v>44521.996018518519</v>
      </c>
      <c r="D18922" s="1" t="s">
        <v>37004</v>
      </c>
      <c r="E18922" s="4" t="str">
        <f ca="1">IFERROR(__xludf.DUMMYFUNCTION("GOOGLETRANSLATE(A1725 , ""tr"" , ""en"")"),"@drfahrettinkoca is the 3-month-to-month process I can't get an appointment Mr. Minister from Beykoz State Hospital.")</f>
        <v>@drfahrettinkoca is the 3-month-to-month process I can't get an appointment Mr. Minister from Beykoz State Hospital.</v>
      </c>
    </row>
    <row r="18923" spans="1:5" ht="15" customHeight="1" x14ac:dyDescent="0.25">
      <c r="A18923" s="1" t="s">
        <v>37005</v>
      </c>
      <c r="B18923" s="1">
        <v>0</v>
      </c>
      <c r="C18923" s="3">
        <v>44521.970879629633</v>
      </c>
      <c r="D18923" s="1" t="s">
        <v>37006</v>
      </c>
      <c r="E18923" s="4" t="str">
        <f ca="1">IFERROR(__xludf.DUMMYFUNCTION("GOOGLETRANSLATE(A1726 , ""tr"" , ""en"")"),"@drfahrettinkoca and sedge crew's film board finished game")</f>
        <v>@drfahrettinkoca and sedge crew's film board finished game</v>
      </c>
    </row>
    <row r="18924" spans="1:5" ht="15" customHeight="1" x14ac:dyDescent="0.25">
      <c r="A18924" s="1" t="s">
        <v>37007</v>
      </c>
      <c r="B18924" s="1">
        <v>0</v>
      </c>
      <c r="C18924" s="3">
        <v>44521.964780092596</v>
      </c>
      <c r="D18924" s="1" t="s">
        <v>37008</v>
      </c>
      <c r="E18924" s="4" t="str">
        <f ca="1">IFERROR(__xludf.DUMMYFUNCTION("GOOGLETRANSLATE(A1727 , ""tr"" , ""en"")"),"@drfahrettinkoca @deryayanikashb https://t.co/4b8udhzqz6")</f>
        <v>@drfahrettinkoca @deryayanikashb https://t.co/4b8udhzqz6</v>
      </c>
    </row>
    <row r="18925" spans="1:5" ht="15" customHeight="1" x14ac:dyDescent="0.25">
      <c r="A18925" s="1" t="s">
        <v>37009</v>
      </c>
      <c r="B18925" s="1">
        <v>0</v>
      </c>
      <c r="C18925" s="3">
        <v>44521.954282407409</v>
      </c>
      <c r="D18925" s="1" t="s">
        <v>37010</v>
      </c>
      <c r="E18925" s="4" t="str">
        <f ca="1">IFERROR(__xludf.DUMMYFUNCTION("GOOGLETRANSLATE(A1728 , ""tr"" , ""en"")"),"@drfahrettinkoca 👍")</f>
        <v>@drfahrettinkoca 👍</v>
      </c>
    </row>
    <row r="18926" spans="1:5" ht="15" customHeight="1" x14ac:dyDescent="0.25">
      <c r="A18926" s="1" t="s">
        <v>37011</v>
      </c>
      <c r="B18926" s="1">
        <v>0</v>
      </c>
      <c r="C18926" s="3">
        <v>44521.935277777775</v>
      </c>
      <c r="D18926" s="1" t="s">
        <v>37012</v>
      </c>
      <c r="E18926" s="4" t="str">
        <f ca="1">IFERROR(__xludf.DUMMYFUNCTION("GOOGLETRANSLATE(A1729 , ""tr"" , ""en"")"),"@drfahrettinkoca @erolozvar # VelilerendiMelionLine")</f>
        <v>@drfahrettinkoca @erolozvar # VelilerendiMelionLine</v>
      </c>
    </row>
    <row r="18927" spans="1:5" ht="15" customHeight="1" x14ac:dyDescent="0.25">
      <c r="A18927" s="1" t="s">
        <v>37013</v>
      </c>
      <c r="B18927" s="1">
        <v>0</v>
      </c>
      <c r="C18927" s="3">
        <v>44521.924837962964</v>
      </c>
      <c r="D18927" s="1" t="s">
        <v>37014</v>
      </c>
      <c r="E18927" s="4" t="str">
        <f ca="1">IFERROR(__xludf.DUMMYFUNCTION("GOOGLETRANSLATE(A1730 , ""tr"" , ""en"")"),"@drfahrettinka https://t.co/aocl3slupo")</f>
        <v>@drfahrettinka https://t.co/aocl3slupo</v>
      </c>
    </row>
    <row r="18928" spans="1:5" ht="15" customHeight="1" x14ac:dyDescent="0.25">
      <c r="A18928" s="1" t="s">
        <v>37015</v>
      </c>
      <c r="B18928" s="1">
        <v>0</v>
      </c>
      <c r="C18928" s="3">
        <v>44521.922812500001</v>
      </c>
      <c r="D18928" s="1" t="s">
        <v>37016</v>
      </c>
      <c r="E18928" s="4" t="str">
        <f ca="1">IFERROR(__xludf.DUMMYFUNCTION("GOOGLETRANSLATE(A1731 , ""tr"" , ""en"")"),"@drfahrettinka https://t.co/Ix7MRXDFGI")</f>
        <v>@drfahrettinka https://t.co/Ix7MRXDFGI</v>
      </c>
    </row>
    <row r="18929" spans="1:5" ht="15" customHeight="1" x14ac:dyDescent="0.25">
      <c r="A18929" s="1" t="s">
        <v>37017</v>
      </c>
      <c r="B18929" s="1">
        <v>3</v>
      </c>
      <c r="C18929" s="3">
        <v>44521.916145833333</v>
      </c>
      <c r="D18929" s="1" t="s">
        <v>37018</v>
      </c>
      <c r="E18929" s="4" t="str">
        <f ca="1">IFERROR(__xludf.DUMMYFUNCTION("GOOGLETRANSLATE(A1732 , ""tr"" , ""en"")"),"@drfahrettinka is close to our relatives # guardiansendelionline")</f>
        <v>@drfahrettinka is close to our relatives # guardiansendelionline</v>
      </c>
    </row>
    <row r="18930" spans="1:5" ht="15" customHeight="1" x14ac:dyDescent="0.25">
      <c r="A18930" s="1" t="s">
        <v>37019</v>
      </c>
      <c r="B18930" s="1">
        <v>2</v>
      </c>
      <c r="C18930" s="3">
        <v>44521.915844907409</v>
      </c>
      <c r="D18930" s="1" t="s">
        <v>37020</v>
      </c>
      <c r="E18930" s="4" t="str">
        <f ca="1">IFERROR(__xludf.DUMMYFUNCTION("GOOGLETRANSLATE(A1733 , ""tr"" , ""en"")"),"@drfahrettinkca we want to live # guardiansendiMelionLine")</f>
        <v>@drfahrettinkca we want to live # guardiansendiMelionLine</v>
      </c>
    </row>
    <row r="18931" spans="1:5" ht="15" customHeight="1" x14ac:dyDescent="0.25">
      <c r="A18931" s="1" t="s">
        <v>37021</v>
      </c>
      <c r="B18931" s="1">
        <v>0</v>
      </c>
      <c r="C18931" s="3">
        <v>44521.907719907409</v>
      </c>
      <c r="D18931" s="1" t="s">
        <v>37022</v>
      </c>
      <c r="E18931" s="4" t="str">
        <f ca="1">IFERROR(__xludf.DUMMYFUNCTION("GOOGLETRANSLATE(A1734 , ""tr"" , ""en"")"),"@drfahrettinkoca HoCam hear https://t.co/dpc7dxa6mx")</f>
        <v>@drfahrettinkoca HoCam hear https://t.co/dpc7dxa6mx</v>
      </c>
    </row>
    <row r="18932" spans="1:5" ht="15" customHeight="1" x14ac:dyDescent="0.25">
      <c r="A18932" s="1" t="s">
        <v>37023</v>
      </c>
      <c r="B18932" s="1">
        <v>0</v>
      </c>
      <c r="C18932" s="3">
        <v>44521.907523148147</v>
      </c>
      <c r="D18932" s="1" t="s">
        <v>37024</v>
      </c>
      <c r="E18932" s="4" t="str">
        <f ca="1">IFERROR(__xludf.DUMMYFUNCTION("GOOGLETRANSLATE(A1735 , ""tr"" , ""en"")"),"@drfahrettinkoca @erolozvar https://t.co/k7ww2vq46r")</f>
        <v>@drfahrettinkoca @erolozvar https://t.co/k7ww2vq46r</v>
      </c>
    </row>
    <row r="18933" spans="1:5" ht="15" customHeight="1" x14ac:dyDescent="0.25">
      <c r="A18933" s="1" t="s">
        <v>37025</v>
      </c>
      <c r="B18933" s="1">
        <v>0</v>
      </c>
      <c r="C18933" s="3">
        <v>44521.907511574071</v>
      </c>
      <c r="D18933" s="1" t="s">
        <v>37026</v>
      </c>
      <c r="E18933" s="4" t="str">
        <f ca="1">IFERROR(__xludf.DUMMYFUNCTION("GOOGLETRANSLATE(A1736 , ""tr"" , ""en"")"),"@drfahrettinkoca hocam ustune Masterly Seyi, who is in the remote training that is slide and the progress of soguklar's COG ... https://t.co/izqhawmbgm")</f>
        <v>@drfahrettinkoca hocam ustune Masterly Seyi, who is in the remote training that is slide and the progress of soguklar's COG ... https://t.co/izqhawmbgm</v>
      </c>
    </row>
    <row r="18934" spans="1:5" ht="15" customHeight="1" x14ac:dyDescent="0.25">
      <c r="A18934" s="1" t="s">
        <v>37027</v>
      </c>
      <c r="B18934" s="1">
        <v>0</v>
      </c>
      <c r="C18934" s="3">
        <v>44521.906365740739</v>
      </c>
      <c r="D18934" s="1" t="s">
        <v>37028</v>
      </c>
      <c r="E18934" s="4" t="str">
        <f ca="1">IFERROR(__xludf.DUMMYFUNCTION("GOOGLETRANSLATE(A1737 , ""tr"" , ""en"")"),"@drfahrettinkoca @erolozvar https://t.co/neagxrkyc6")</f>
        <v>@drfahrettinkoca @erolozvar https://t.co/neagxrkyc6</v>
      </c>
    </row>
    <row r="18935" spans="1:5" ht="15" customHeight="1" x14ac:dyDescent="0.25">
      <c r="A18935" s="1" t="s">
        <v>37029</v>
      </c>
      <c r="B18935" s="1">
        <v>2</v>
      </c>
      <c r="C18935" s="3">
        <v>44521.906261574077</v>
      </c>
      <c r="D18935" s="1" t="s">
        <v>37030</v>
      </c>
      <c r="E18935" s="4" t="str">
        <f ca="1">IFERROR(__xludf.DUMMYFUNCTION("GOOGLETRANSLATE(A1738 , ""tr"" , ""en"")"),"@drfahrettinkoca Surge love for turning me blasphemer Hymo")</f>
        <v>@drfahrettinkoca Surge love for turning me blasphemer Hymo</v>
      </c>
    </row>
    <row r="18936" spans="1:5" ht="15" customHeight="1" x14ac:dyDescent="0.25">
      <c r="A18936" s="1" t="s">
        <v>37031</v>
      </c>
      <c r="B18936" s="1">
        <v>0</v>
      </c>
      <c r="C18936" s="3">
        <v>44521.9059375</v>
      </c>
      <c r="D18936" s="1" t="s">
        <v>37032</v>
      </c>
      <c r="E18936" s="4" t="str">
        <f ca="1">IFERROR(__xludf.DUMMYFUNCTION("GOOGLETRANSLATE(A1739 , ""tr"" , ""en"")"),"@drfahrettinka https://t.co/rllaif9suv")</f>
        <v>@drfahrettinka https://t.co/rllaif9suv</v>
      </c>
    </row>
    <row r="18937" spans="1:5" ht="15" customHeight="1" x14ac:dyDescent="0.25">
      <c r="A18937" s="1" t="s">
        <v>37033</v>
      </c>
      <c r="B18937" s="1">
        <v>0</v>
      </c>
      <c r="C18937" s="3">
        <v>44521.905462962961</v>
      </c>
      <c r="D18937" s="1" t="s">
        <v>37034</v>
      </c>
      <c r="E18937" s="4" t="str">
        <f ca="1">IFERROR(__xludf.DUMMYFUNCTION("GOOGLETRANSLATE(A1740 , ""tr"" , ""en"")"),"@drfahrettinkoca @erolozvar https://t.co/ljmwn5w0vp")</f>
        <v>@drfahrettinkoca @erolozvar https://t.co/ljmwn5w0vp</v>
      </c>
    </row>
    <row r="18938" spans="1:5" ht="15" customHeight="1" x14ac:dyDescent="0.25">
      <c r="A18938" s="1" t="s">
        <v>37035</v>
      </c>
      <c r="B18938" s="1">
        <v>0</v>
      </c>
      <c r="C18938" s="3">
        <v>44521.905219907407</v>
      </c>
      <c r="D18938" s="1" t="s">
        <v>37036</v>
      </c>
      <c r="E18938" s="4" t="str">
        <f ca="1">IFERROR(__xludf.DUMMYFUNCTION("GOOGLETRANSLATE(A1741 , ""tr"" , ""en"")"),"@drfahrettinkoca https://t.co/oqlehqcqFI")</f>
        <v>@drfahrettinkoca https://t.co/oqlehqcqFI</v>
      </c>
    </row>
    <row r="18939" spans="1:5" ht="15" customHeight="1" x14ac:dyDescent="0.25">
      <c r="A18939" s="1" t="s">
        <v>37037</v>
      </c>
      <c r="B18939" s="1">
        <v>3</v>
      </c>
      <c r="C18939" s="3">
        <v>44521.895844907405</v>
      </c>
      <c r="D18939" s="1" t="s">
        <v>37038</v>
      </c>
      <c r="E18939" s="4" t="str">
        <f ca="1">IFERROR(__xludf.DUMMYFUNCTION("GOOGLETRANSLATE(A1742 , ""tr"" , ""en"")"),"@drfahrettinkoca Tonight I took my daughter to the Istanbul Medivia hospital to the examination. Doctor overlooking my daughter is 25 years old ... https://t.co/p3idmdkp67")</f>
        <v>@drfahrettinkoca Tonight I took my daughter to the Istanbul Medivia hospital to the examination. Doctor overlooking my daughter is 25 years old ... https://t.co/p3idmdkp67</v>
      </c>
    </row>
    <row r="18940" spans="1:5" ht="15" customHeight="1" x14ac:dyDescent="0.25">
      <c r="A18940" s="1" t="s">
        <v>37039</v>
      </c>
      <c r="B18940" s="1">
        <v>0</v>
      </c>
      <c r="C18940" s="3">
        <v>44521.878310185188</v>
      </c>
      <c r="D18940" s="1" t="s">
        <v>37040</v>
      </c>
      <c r="E18940" s="4" t="str">
        <f ca="1">IFERROR(__xludf.DUMMYFUNCTION("GOOGLETRANSLATE(A1743 , ""tr"" , ""en"")"),"@drfahrettinkoca AcillllllL # VeLilerendiMelionLine")</f>
        <v>@drfahrettinkoca AcillllllL # VeLilerendiMelionLine</v>
      </c>
    </row>
    <row r="18941" spans="1:5" ht="15" customHeight="1" x14ac:dyDescent="0.25">
      <c r="A18941" s="1" t="s">
        <v>37041</v>
      </c>
      <c r="B18941" s="1">
        <v>0</v>
      </c>
      <c r="C18941" s="3">
        <v>44521.878148148149</v>
      </c>
      <c r="D18941" s="1" t="s">
        <v>37042</v>
      </c>
      <c r="E18941" s="4" t="str">
        <f ca="1">IFERROR(__xludf.DUMMYFUNCTION("GOOGLETRANSLATE(A1744 , ""tr"" , ""en"")"),"@drfahrettinka acillllllll # guardiansmanelionline")</f>
        <v>@drfahrettinka acillllllll # guardiansmanelionline</v>
      </c>
    </row>
    <row r="18942" spans="1:5" ht="15" customHeight="1" x14ac:dyDescent="0.25">
      <c r="A18942" s="1" t="s">
        <v>37043</v>
      </c>
      <c r="B18942" s="1">
        <v>0</v>
      </c>
      <c r="C18942" s="3">
        <v>44521.876539351855</v>
      </c>
      <c r="D18942" s="1" t="s">
        <v>37044</v>
      </c>
      <c r="E18942" s="4" t="str">
        <f ca="1">IFERROR(__xludf.DUMMYFUNCTION("GOOGLETRANSLATE(A1745 , ""tr"" , ""en"")"),"@drfahrettinkoca @drfahrettinkoca @dbdevletbahceli @dbdevletbahceli @dbdevletbahceli https://t.co/xzbswewkrq")</f>
        <v>@drfahrettinkoca @drfahrettinkoca @dbdevletbahceli @dbdevletbahceli @dbdevletbahceli https://t.co/xzbswewkrq</v>
      </c>
    </row>
    <row r="18943" spans="1:5" ht="15" customHeight="1" x14ac:dyDescent="0.25">
      <c r="A18943" s="1" t="s">
        <v>37045</v>
      </c>
      <c r="B18943" s="1">
        <v>0</v>
      </c>
      <c r="C18943" s="3">
        <v>44521.876493055555</v>
      </c>
      <c r="D18943" s="1" t="s">
        <v>37046</v>
      </c>
      <c r="E18943" s="4" t="str">
        <f ca="1">IFERROR(__xludf.DUMMYFUNCTION("GOOGLETRANSLATE(A1746 , ""tr"" , ""en"")"),"@drfahrettinkoca Remote Education Our Sagli is on danger #")</f>
        <v>@drfahrettinkoca Remote Education Our Sagli is on danger #</v>
      </c>
    </row>
    <row r="18944" spans="1:5" ht="15" customHeight="1" x14ac:dyDescent="0.25">
      <c r="A18944" s="1" t="s">
        <v>37047</v>
      </c>
      <c r="B18944" s="1">
        <v>1</v>
      </c>
      <c r="C18944" s="3">
        <v>44521.867974537039</v>
      </c>
      <c r="D18944" s="1" t="s">
        <v>37048</v>
      </c>
      <c r="E18944" s="4" t="str">
        <f ca="1">IFERROR(__xludf.DUMMYFUNCTION("GOOGLETRANSLATE(A1747 , ""tr"" , ""en"")"),"@drfahrettinka https://t.co/n7bawnpsvz")</f>
        <v>@drfahrettinka https://t.co/n7bawnpsvz</v>
      </c>
    </row>
    <row r="18945" spans="1:5" ht="15" customHeight="1" x14ac:dyDescent="0.25">
      <c r="A18945" s="1" t="s">
        <v>37049</v>
      </c>
      <c r="B18945" s="1">
        <v>0</v>
      </c>
      <c r="C18945" s="3">
        <v>44521.867685185185</v>
      </c>
      <c r="D18945" s="1" t="s">
        <v>37050</v>
      </c>
      <c r="E18945" s="4" t="str">
        <f ca="1">IFERROR(__xludf.DUMMYFUNCTION("GOOGLETRANSLATE(A1748 , ""tr"" , ""en"")"),"@drfahrettinkoca @saglikbakanligi Beylikdüzü State Hospital Deyiz Our Hospital is 4 days in Covit Service Duru ... https://t.co/ttyyu5jjna")</f>
        <v>@drfahrettinkoca @saglikbakanligi Beylikdüzü State Hospital Deyiz Our Hospital is 4 days in Covit Service Duru ... https://t.co/ttyyu5jjna</v>
      </c>
    </row>
    <row r="18946" spans="1:5" ht="15" customHeight="1" x14ac:dyDescent="0.25">
      <c r="A18946" s="1" t="s">
        <v>37051</v>
      </c>
      <c r="B18946" s="1">
        <v>2</v>
      </c>
      <c r="C18946" s="3">
        <v>44521.851053240738</v>
      </c>
      <c r="D18946" s="1" t="s">
        <v>37052</v>
      </c>
      <c r="E18946" s="4" t="str">
        <f ca="1">IFERROR(__xludf.DUMMYFUNCTION("GOOGLETRANSLATE(A1749 , ""tr"" , ""en"")"),"@drfahrettinkoca @erolozvar @rterdogan # VelilerendiMelionLine")</f>
        <v>@drfahrettinkoca @erolozvar @rterdogan # VelilerendiMelionLine</v>
      </c>
    </row>
    <row r="18947" spans="1:5" ht="15" customHeight="1" x14ac:dyDescent="0.25">
      <c r="A18947" s="1" t="s">
        <v>37053</v>
      </c>
      <c r="B18947" s="1">
        <v>0</v>
      </c>
      <c r="C18947" s="3">
        <v>44521.850960648146</v>
      </c>
      <c r="D18947" s="1" t="s">
        <v>37054</v>
      </c>
      <c r="E18947" s="4" t="str">
        <f ca="1">IFERROR(__xludf.DUMMYFUNCTION("GOOGLETRANSLATE(A1750 , ""tr"" , ""en"")"),"@drfahrettinkoca is that you are positive patients with positive patients in the house that is positive patients who are positive for schools ... https://t.co/pha9ha6ln0")</f>
        <v>@drfahrettinkoca is that you are positive patients with positive patients in the house that is positive patients who are positive for schools ... https://t.co/pha9ha6ln0</v>
      </c>
    </row>
    <row r="18948" spans="1:5" ht="15" customHeight="1" x14ac:dyDescent="0.25">
      <c r="A18948" s="1" t="s">
        <v>28703</v>
      </c>
      <c r="B18948" s="1">
        <v>1</v>
      </c>
      <c r="C18948" s="3">
        <v>44521.850706018522</v>
      </c>
      <c r="D18948" s="1" t="s">
        <v>37055</v>
      </c>
      <c r="E18948" s="4" t="str">
        <f ca="1">IFERROR(__xludf.DUMMYFUNCTION("GOOGLETRANSLATE(A1751 , ""tr"" , ""en"")"),"@drfahrettinkoca # VeLilerendiMelionLine")</f>
        <v>@drfahrettinkoca # VeLilerendiMelionLine</v>
      </c>
    </row>
    <row r="18949" spans="1:5" ht="15" customHeight="1" x14ac:dyDescent="0.25">
      <c r="A18949" s="1" t="s">
        <v>37056</v>
      </c>
      <c r="B18949" s="1">
        <v>2</v>
      </c>
      <c r="C18949" s="3">
        <v>44521.847500000003</v>
      </c>
      <c r="D18949" s="1" t="s">
        <v>37057</v>
      </c>
      <c r="E18949" s="4" t="str">
        <f ca="1">IFERROR(__xludf.DUMMYFUNCTION("GOOGLETRANSLATE(A1752 , ""tr"" , ""en"")"),"@drfahrettinkoca If there is no dangerous situation in the middle, why has its own college online education?")</f>
        <v>@drfahrettinkoca If there is no dangerous situation in the middle, why has its own college online education?</v>
      </c>
    </row>
    <row r="18950" spans="1:5" ht="15" customHeight="1" x14ac:dyDescent="0.25">
      <c r="A18950" s="1" t="s">
        <v>37058</v>
      </c>
      <c r="B18950" s="1">
        <v>1</v>
      </c>
      <c r="C18950" s="3">
        <v>44521.846724537034</v>
      </c>
      <c r="D18950" s="1" t="s">
        <v>37059</v>
      </c>
      <c r="E18950" s="4" t="str">
        <f ca="1">IFERROR(__xludf.DUMMYFUNCTION("GOOGLETRANSLATE(A1753 , ""tr"" , ""en"")"),"@drfahrettinkoca @rterdogan @tcmeb students want to learn distance education and it is almost every day to open tag and right ... https://t.co/zqgwx9ncae")</f>
        <v>@drfahrettinkoca @rterdogan @tcmeb students want to learn distance education and it is almost every day to open tag and right ... https://t.co/zqgwx9ncae</v>
      </c>
    </row>
    <row r="18951" spans="1:5" ht="15" customHeight="1" x14ac:dyDescent="0.25">
      <c r="A18951" s="1" t="s">
        <v>37060</v>
      </c>
      <c r="B18951" s="1">
        <v>0</v>
      </c>
      <c r="C18951" s="3">
        <v>44521.84097222222</v>
      </c>
      <c r="D18951" s="1" t="s">
        <v>37061</v>
      </c>
      <c r="E18951" s="4" t="str">
        <f ca="1">IFERROR(__xludf.DUMMYFUNCTION("GOOGLETRANSLATE(A1754 , ""tr"" , ""en"")"),"@drfahrettinka https://t.co/gxar0mbqhy")</f>
        <v>@drfahrettinka https://t.co/gxar0mbqhy</v>
      </c>
    </row>
    <row r="18952" spans="1:5" ht="15" customHeight="1" x14ac:dyDescent="0.25">
      <c r="A18952" s="1" t="s">
        <v>37062</v>
      </c>
      <c r="B18952" s="1">
        <v>1</v>
      </c>
      <c r="C18952" s="3">
        <v>44521.84002314815</v>
      </c>
      <c r="D18952" s="1" t="s">
        <v>37063</v>
      </c>
      <c r="E18952" s="4" t="str">
        <f ca="1">IFERROR(__xludf.DUMMYFUNCTION("GOOGLETRANSLATE(A1755 , ""tr"" , ""en"")"),"@drfahrettinka https://t.co/44sl1keofh")</f>
        <v>@drfahrettinka https://t.co/44sl1keofh</v>
      </c>
    </row>
    <row r="18953" spans="1:5" ht="15" customHeight="1" x14ac:dyDescent="0.25">
      <c r="A18953" s="1" t="s">
        <v>37064</v>
      </c>
      <c r="B18953" s="1">
        <v>2</v>
      </c>
      <c r="C18953" s="3">
        <v>44521.836504629631</v>
      </c>
      <c r="D18953" s="1" t="s">
        <v>37065</v>
      </c>
      <c r="E18953" s="4" t="str">
        <f ca="1">IFERROR(__xludf.DUMMYFUNCTION("GOOGLETRANSLATE(A1756 , ""tr"" , ""en"")"),"@drfahrettinka is the state of this disease. Who took the Million Dollars, I can't afford the dementum ... https://t.co/G0I53iwbdh")</f>
        <v>@drfahrettinka is the state of this disease. Who took the Million Dollars, I can't afford the dementum ... https://t.co/G0I53iwbdh</v>
      </c>
    </row>
    <row r="18954" spans="1:5" ht="15" customHeight="1" x14ac:dyDescent="0.25">
      <c r="A18954" s="1" t="s">
        <v>37066</v>
      </c>
      <c r="B18954" s="1">
        <v>2</v>
      </c>
      <c r="C18954" s="3">
        <v>44521.831805555557</v>
      </c>
      <c r="D18954" s="1" t="s">
        <v>37067</v>
      </c>
      <c r="E18954" s="4" t="str">
        <f ca="1">IFERROR(__xludf.DUMMYFUNCTION("GOOGLETRANSLATE(A1757 , ""tr"" , ""en"")"),"@drfahrettinkoca @rterdogan @tcmeb Please hear our voice anymore #FeaticsCanuzAktanIti ... https://t.co/k2zkjbufja")</f>
        <v>@drfahrettinkoca @rterdogan @tcmeb Please hear our voice anymore #FeaticsCanuzAktanIti ... https://t.co/k2zkjbufja</v>
      </c>
    </row>
    <row r="18955" spans="1:5" ht="15" customHeight="1" x14ac:dyDescent="0.25">
      <c r="A18955" s="1" t="s">
        <v>37068</v>
      </c>
      <c r="B18955" s="1">
        <v>0</v>
      </c>
      <c r="C18955" s="3">
        <v>44521.830983796295</v>
      </c>
      <c r="D18955" s="1" t="s">
        <v>37069</v>
      </c>
      <c r="E18955" s="4" t="str">
        <f ca="1">IFERROR(__xludf.DUMMYFUNCTION("GOOGLETRANSLATE(A1758 , ""tr"" , ""en"")"),"@drfahrettinkoca Buy you answer https://t.co/91btpimooq")</f>
        <v>@drfahrettinkoca Buy you answer https://t.co/91btpimooq</v>
      </c>
    </row>
    <row r="18956" spans="1:5" ht="15" customHeight="1" x14ac:dyDescent="0.25">
      <c r="A18956" s="1" t="s">
        <v>37070</v>
      </c>
      <c r="B18956" s="1">
        <v>8</v>
      </c>
      <c r="C18956" s="3">
        <v>44521.830914351849</v>
      </c>
      <c r="D18956" s="1" t="s">
        <v>37071</v>
      </c>
      <c r="E18956" s="4" t="str">
        <f ca="1">IFERROR(__xludf.DUMMYFUNCTION("GOOGLETRANSLATE(A1759 , ""tr"" , ""en"")"),"@drfahrettinkoca #velilerendiselionlineli https://t.co/axggd4sdti")</f>
        <v>@drfahrettinkoca #velilerendiselionlineli https://t.co/axggd4sdti</v>
      </c>
    </row>
    <row r="18957" spans="1:5" ht="15" customHeight="1" x14ac:dyDescent="0.25">
      <c r="A18957" s="1" t="s">
        <v>28703</v>
      </c>
      <c r="B18957" s="1">
        <v>9</v>
      </c>
      <c r="C18957" s="3">
        <v>44521.830763888887</v>
      </c>
      <c r="D18957" s="1" t="s">
        <v>37072</v>
      </c>
      <c r="E18957" s="4" t="str">
        <f ca="1">IFERROR(__xludf.DUMMYFUNCTION("GOOGLETRANSLATE(A1760 , ""tr"" , ""en"")"),"@drfahrettinkoca # VeLilerendiMelionLine")</f>
        <v>@drfahrettinkoca # VeLilerendiMelionLine</v>
      </c>
    </row>
    <row r="18958" spans="1:5" ht="15" customHeight="1" x14ac:dyDescent="0.25">
      <c r="A18958" s="1" t="s">
        <v>37073</v>
      </c>
      <c r="B18958" s="1">
        <v>1</v>
      </c>
      <c r="C18958" s="3">
        <v>44521.830717592595</v>
      </c>
      <c r="D18958" s="1" t="s">
        <v>37074</v>
      </c>
      <c r="E18958" s="4" t="str">
        <f ca="1">IFERROR(__xludf.DUMMYFUNCTION("GOOGLETRANSLATE(A1761 , ""tr"" , ""en"")"),"@drfahrettinkoca Don't see @saglikbakanligi? If you are answered, why do you have anymore ... HTTPS://T.CO/ILED5LCZOB")</f>
        <v>@drfahrettinkoca Don't see @saglikbakanligi? If you are answered, why do you have anymore ... HTTPS://T.CO/ILED5LCZOB</v>
      </c>
    </row>
    <row r="18959" spans="1:5" ht="15" customHeight="1" x14ac:dyDescent="0.25">
      <c r="A18959" s="1" t="s">
        <v>37075</v>
      </c>
      <c r="B18959" s="1">
        <v>0</v>
      </c>
      <c r="C18959" s="3">
        <v>44521.826805555553</v>
      </c>
      <c r="D18959" s="1" t="s">
        <v>37076</v>
      </c>
      <c r="E18959" s="4" t="str">
        <f ca="1">IFERROR(__xludf.DUMMYFUNCTION("GOOGLETRANSLATE(A1762 , ""tr"" , ""en"")"),"@drfahrettinkoca hocam korona bitmiyo but humanity is running out Napicazzz")</f>
        <v>@drfahrettinkoca hocam korona bitmiyo but humanity is running out Napicazzz</v>
      </c>
    </row>
    <row r="18960" spans="1:5" ht="15" customHeight="1" x14ac:dyDescent="0.25">
      <c r="A18960" s="1" t="s">
        <v>37077</v>
      </c>
      <c r="B18960" s="1">
        <v>0</v>
      </c>
      <c r="C18960" s="3">
        <v>44521.818124999998</v>
      </c>
      <c r="D18960" s="1" t="s">
        <v>37078</v>
      </c>
      <c r="E18960" s="4" t="str">
        <f ca="1">IFERROR(__xludf.DUMMYFUNCTION("GOOGLETRANSLATE(A1763 , ""tr"" , ""en"")"),"@drfahrettinkoca @ erolozvar @tcmeb # parents")</f>
        <v>@drfahrettinkoca @ erolozvar @tcmeb # parents</v>
      </c>
    </row>
    <row r="18961" spans="1:5" ht="15" customHeight="1" x14ac:dyDescent="0.25">
      <c r="A18961" s="1" t="s">
        <v>37079</v>
      </c>
      <c r="B18961" s="1">
        <v>2</v>
      </c>
      <c r="C18961" s="3">
        <v>44519.943159722221</v>
      </c>
      <c r="D18961" s="1" t="s">
        <v>37080</v>
      </c>
      <c r="E18961" s="4" t="str">
        <f ca="1">IFERROR(__xludf.DUMMYFUNCTION("GOOGLETRANSLATE(A1764 , ""tr"" , ""en"")"),"@drfahrettinkoca @tcmeb doesn't even end if it's over https://t.co/7vpaeop7kz")</f>
        <v>@drfahrettinkoca @tcmeb doesn't even end if it's over https://t.co/7vpaeop7kz</v>
      </c>
    </row>
    <row r="18962" spans="1:5" ht="15" customHeight="1" x14ac:dyDescent="0.25">
      <c r="A18962" s="1" t="s">
        <v>37081</v>
      </c>
      <c r="B18962" s="1">
        <v>2</v>
      </c>
      <c r="C18962" s="3">
        <v>44519.943078703705</v>
      </c>
      <c r="D18962" s="1" t="s">
        <v>37082</v>
      </c>
      <c r="E18962" s="4" t="str">
        <f ca="1">IFERROR(__xludf.DUMMYFUNCTION("GOOGLETRANSLATE(A1765 , ""tr"" , ""en"")"),"@drfahrettinkoca @tcmeb doesn't even end if it's over https://t.co/vlh1cnyIVQ")</f>
        <v>@drfahrettinkoca @tcmeb doesn't even end if it's over https://t.co/vlh1cnyIVQ</v>
      </c>
    </row>
    <row r="18963" spans="1:5" ht="15" customHeight="1" x14ac:dyDescent="0.25">
      <c r="A18963" s="1" t="s">
        <v>37083</v>
      </c>
      <c r="B18963" s="1">
        <v>1</v>
      </c>
      <c r="C18963" s="3">
        <v>44519.942962962959</v>
      </c>
      <c r="D18963" s="1" t="s">
        <v>37084</v>
      </c>
      <c r="E18963" s="4" t="str">
        <f ca="1">IFERROR(__xludf.DUMMYFUNCTION("GOOGLETRANSLATE(A1766 , ""tr"" , ""en"")"),"@drfahrettinkoca @tcmeb doesn't even end if it's over https://t.co/mfehp5vxtt")</f>
        <v>@drfahrettinkoca @tcmeb doesn't even end if it's over https://t.co/mfehp5vxtt</v>
      </c>
    </row>
    <row r="18964" spans="1:5" ht="15" customHeight="1" x14ac:dyDescent="0.25">
      <c r="A18964" s="1" t="s">
        <v>37085</v>
      </c>
      <c r="B18964" s="1">
        <v>2</v>
      </c>
      <c r="C18964" s="3">
        <v>44519.942870370367</v>
      </c>
      <c r="D18964" s="1" t="s">
        <v>37086</v>
      </c>
      <c r="E18964" s="4" t="str">
        <f ca="1">IFERROR(__xludf.DUMMYFUNCTION("GOOGLETRANSLATE(A1767 , ""tr"" , ""en"")"),"@drfahrettinkoca @tcmeb doesn't even end if it's over https://t.co/zpegftfb2o")</f>
        <v>@drfahrettinkoca @tcmeb doesn't even end if it's over https://t.co/zpegftfb2o</v>
      </c>
    </row>
    <row r="18965" spans="1:5" ht="15" customHeight="1" x14ac:dyDescent="0.25">
      <c r="A18965" s="1" t="s">
        <v>37087</v>
      </c>
      <c r="B18965" s="1">
        <v>1</v>
      </c>
      <c r="C18965" s="3">
        <v>44519.942777777775</v>
      </c>
      <c r="D18965" s="1" t="s">
        <v>37088</v>
      </c>
      <c r="E18965" s="4" t="str">
        <f ca="1">IFERROR(__xludf.DUMMYFUNCTION("GOOGLETRANSLATE(A1768 , ""tr"" , ""en"")"),"@drfahrettinkoca @tcmeb doesn't even end if it's over https://t.co/6vqrcprpsc")</f>
        <v>@drfahrettinkoca @tcmeb doesn't even end if it's over https://t.co/6vqrcprpsc</v>
      </c>
    </row>
    <row r="18966" spans="1:5" ht="15" customHeight="1" x14ac:dyDescent="0.25">
      <c r="A18966" s="1" t="s">
        <v>37089</v>
      </c>
      <c r="B18966" s="1">
        <v>1</v>
      </c>
      <c r="C18966" s="3">
        <v>44519.942627314813</v>
      </c>
      <c r="D18966" s="1" t="s">
        <v>37090</v>
      </c>
      <c r="E18966" s="4" t="str">
        <f ca="1">IFERROR(__xludf.DUMMYFUNCTION("GOOGLETRANSLATE(A1769 , ""tr"" , ""en"")"),"@drfahrettinkoca @tcmeb doesn't even end if it's over https://t.co/nsclbtebvl")</f>
        <v>@drfahrettinkoca @tcmeb doesn't even end if it's over https://t.co/nsclbtebvl</v>
      </c>
    </row>
    <row r="18967" spans="1:5" ht="15" customHeight="1" x14ac:dyDescent="0.25">
      <c r="A18967" s="1" t="s">
        <v>37091</v>
      </c>
      <c r="B18967" s="1">
        <v>1</v>
      </c>
      <c r="C18967" s="3">
        <v>44519.942499999997</v>
      </c>
      <c r="D18967" s="1" t="s">
        <v>37092</v>
      </c>
      <c r="E18967" s="4" t="str">
        <f ca="1">IFERROR(__xludf.DUMMYFUNCTION("GOOGLETRANSLATE(A1770 , ""tr"" , ""en"")"),"@drfahrettinkoca @tcmeb doesn't even end if it's over https://t.co/ghved2knwu")</f>
        <v>@drfahrettinkoca @tcmeb doesn't even end if it's over https://t.co/ghved2knwu</v>
      </c>
    </row>
    <row r="18968" spans="1:5" ht="15" customHeight="1" x14ac:dyDescent="0.25">
      <c r="A18968" s="1" t="s">
        <v>37093</v>
      </c>
      <c r="B18968" s="1">
        <v>1</v>
      </c>
      <c r="C18968" s="3">
        <v>44519.942361111112</v>
      </c>
      <c r="D18968" s="1" t="s">
        <v>37094</v>
      </c>
      <c r="E18968" s="4" t="str">
        <f ca="1">IFERROR(__xludf.DUMMYFUNCTION("GOOGLETRANSLATE(A1771 , ""tr"" , ""en"")"),"@drfahrettinkoca @tcmeb doesn't even end if it's over https://t.co/keww4fxr5w")</f>
        <v>@drfahrettinkoca @tcmeb doesn't even end if it's over https://t.co/keww4fxr5w</v>
      </c>
    </row>
    <row r="18969" spans="1:5" ht="15" customHeight="1" x14ac:dyDescent="0.25">
      <c r="A18969" s="1" t="s">
        <v>37095</v>
      </c>
      <c r="B18969" s="1">
        <v>2</v>
      </c>
      <c r="C18969" s="3">
        <v>44519.942233796297</v>
      </c>
      <c r="D18969" s="1" t="s">
        <v>37096</v>
      </c>
      <c r="E18969" s="4" t="str">
        <f ca="1">IFERROR(__xludf.DUMMYFUNCTION("GOOGLETRANSLATE(A1772 , ""tr"" , ""en"")"),"@drfahrettinkoca @tcmeb doesn't even end if it's over https://t.co/dcjunmyvrb")</f>
        <v>@drfahrettinkoca @tcmeb doesn't even end if it's over https://t.co/dcjunmyvrb</v>
      </c>
    </row>
    <row r="18970" spans="1:5" ht="15" customHeight="1" x14ac:dyDescent="0.25">
      <c r="A18970" s="1" t="s">
        <v>37097</v>
      </c>
      <c r="B18970" s="1">
        <v>1</v>
      </c>
      <c r="C18970" s="3">
        <v>44519.942129629628</v>
      </c>
      <c r="D18970" s="1" t="s">
        <v>37098</v>
      </c>
      <c r="E18970" s="4" t="str">
        <f ca="1">IFERROR(__xludf.DUMMYFUNCTION("GOOGLETRANSLATE(A1773 , ""tr"" , ""en"")"),"@drfahrettinkoca @tcmeb doesn't even end if it's over https://t.co/4qvfweqfwf")</f>
        <v>@drfahrettinkoca @tcmeb doesn't even end if it's over https://t.co/4qvfweqfwf</v>
      </c>
    </row>
    <row r="18971" spans="1:5" ht="15" customHeight="1" x14ac:dyDescent="0.25">
      <c r="A18971" s="1" t="s">
        <v>37099</v>
      </c>
      <c r="B18971" s="1">
        <v>1</v>
      </c>
      <c r="C18971" s="3">
        <v>44519.942037037035</v>
      </c>
      <c r="D18971" s="1" t="s">
        <v>37100</v>
      </c>
      <c r="E18971" s="4" t="str">
        <f ca="1">IFERROR(__xludf.DUMMYFUNCTION("GOOGLETRANSLATE(A1774 , ""tr"" , ""en"")"),"@drfahrettinkoca @tcmeb doesn't even end if it's over https://t.co/ki47Ixytqn")</f>
        <v>@drfahrettinkoca @tcmeb doesn't even end if it's over https://t.co/ki47Ixytqn</v>
      </c>
    </row>
    <row r="18972" spans="1:5" ht="15" customHeight="1" x14ac:dyDescent="0.25">
      <c r="A18972" s="1" t="s">
        <v>37101</v>
      </c>
      <c r="B18972" s="1">
        <v>1</v>
      </c>
      <c r="C18972" s="3">
        <v>44519.94189814815</v>
      </c>
      <c r="D18972" s="1" t="s">
        <v>37102</v>
      </c>
      <c r="E18972" s="4" t="str">
        <f ca="1">IFERROR(__xludf.DUMMYFUNCTION("GOOGLETRANSLATE(A1775 , ""tr"" , ""en"")"),"@drfahrettinkoca @tcmeb doesn't even end if it's over https://t.co/cxithvvxad")</f>
        <v>@drfahrettinkoca @tcmeb doesn't even end if it's over https://t.co/cxithvvxad</v>
      </c>
    </row>
    <row r="18973" spans="1:5" ht="15" customHeight="1" x14ac:dyDescent="0.25">
      <c r="A18973" s="1" t="s">
        <v>37103</v>
      </c>
      <c r="B18973" s="1">
        <v>2</v>
      </c>
      <c r="C18973" s="3">
        <v>44519.941770833335</v>
      </c>
      <c r="D18973" s="1" t="s">
        <v>37104</v>
      </c>
      <c r="E18973" s="4" t="str">
        <f ca="1">IFERROR(__xludf.DUMMYFUNCTION("GOOGLETRANSLATE(A1776 , ""tr"" , ""en"")"),"@drfahrettinkoca @tcmeb doesn't even end if it's over https://t.co/rm15goifk4")</f>
        <v>@drfahrettinkoca @tcmeb doesn't even end if it's over https://t.co/rm15goifk4</v>
      </c>
    </row>
    <row r="18974" spans="1:5" ht="15" customHeight="1" x14ac:dyDescent="0.25">
      <c r="A18974" s="1" t="s">
        <v>37105</v>
      </c>
      <c r="B18974" s="1">
        <v>2</v>
      </c>
      <c r="C18974" s="3">
        <v>44519.941643518519</v>
      </c>
      <c r="D18974" s="1" t="s">
        <v>37106</v>
      </c>
      <c r="E18974" s="4" t="str">
        <f ca="1">IFERROR(__xludf.DUMMYFUNCTION("GOOGLETRANSLATE(A1777 , ""tr"" , ""en"")"),"@drfahrettinkoca @tcmeb doesn't even end if it's over https://t.co/qgqjchhxoy")</f>
        <v>@drfahrettinkoca @tcmeb doesn't even end if it's over https://t.co/qgqjchhxoy</v>
      </c>
    </row>
    <row r="18975" spans="1:5" ht="15" customHeight="1" x14ac:dyDescent="0.25">
      <c r="A18975" s="1" t="s">
        <v>37107</v>
      </c>
      <c r="B18975" s="1">
        <v>1</v>
      </c>
      <c r="C18975" s="3">
        <v>44519.941493055558</v>
      </c>
      <c r="D18975" s="1" t="s">
        <v>37108</v>
      </c>
      <c r="E18975" s="4" t="str">
        <f ca="1">IFERROR(__xludf.DUMMYFUNCTION("GOOGLETRANSLATE(A1778 , ""tr"" , ""en"")"),"@drfahrettinkoca @tcmeb doesn't even end if it's over https://t.co/lbjrzze93y")</f>
        <v>@drfahrettinkoca @tcmeb doesn't even end if it's over https://t.co/lbjrzze93y</v>
      </c>
    </row>
    <row r="18976" spans="1:5" ht="15" customHeight="1" x14ac:dyDescent="0.25">
      <c r="A18976" s="1" t="s">
        <v>37109</v>
      </c>
      <c r="B18976" s="1">
        <v>1</v>
      </c>
      <c r="C18976" s="3">
        <v>44519.941365740742</v>
      </c>
      <c r="D18976" s="1" t="s">
        <v>37110</v>
      </c>
      <c r="E18976" s="4" t="str">
        <f ca="1">IFERROR(__xludf.DUMMYFUNCTION("GOOGLETRANSLATE(A1779 , ""tr"" , ""en"")"),"@drfahrettinkoca @tcmeb doesn't even end if it's over https://t.co/lnc0ohs2oj")</f>
        <v>@drfahrettinkoca @tcmeb doesn't even end if it's over https://t.co/lnc0ohs2oj</v>
      </c>
    </row>
    <row r="18977" spans="1:5" ht="15" customHeight="1" x14ac:dyDescent="0.25">
      <c r="A18977" s="1" t="s">
        <v>37111</v>
      </c>
      <c r="B18977" s="1">
        <v>1</v>
      </c>
      <c r="C18977" s="3">
        <v>44519.941238425927</v>
      </c>
      <c r="D18977" s="1" t="s">
        <v>37112</v>
      </c>
      <c r="E18977" s="4" t="str">
        <f ca="1">IFERROR(__xludf.DUMMYFUNCTION("GOOGLETRANSLATE(A1780 , ""tr"" , ""en"")"),"@drfahrettinkoca @tcmeb doesn't even end if it's over https://T.CO/CL0Z6LDIVI")</f>
        <v>@drfahrettinkoca @tcmeb doesn't even end if it's over https://T.CO/CL0Z6LDIVI</v>
      </c>
    </row>
    <row r="18978" spans="1:5" ht="15" customHeight="1" x14ac:dyDescent="0.25">
      <c r="A18978" s="1" t="s">
        <v>37113</v>
      </c>
      <c r="B18978" s="1">
        <v>2</v>
      </c>
      <c r="C18978" s="3">
        <v>44519.941122685188</v>
      </c>
      <c r="D18978" s="1" t="s">
        <v>37114</v>
      </c>
      <c r="E18978" s="4" t="str">
        <f ca="1">IFERROR(__xludf.DUMMYFUNCTION("GOOGLETRANSLATE(A1781 , ""tr"" , ""en"")"),"@drfahrettinkoca @tcmeb doesn't even end if it's over https://t.co/yzleIbgrxe")</f>
        <v>@drfahrettinkoca @tcmeb doesn't even end if it's over https://t.co/yzleIbgrxe</v>
      </c>
    </row>
    <row r="18979" spans="1:5" ht="15" customHeight="1" x14ac:dyDescent="0.25">
      <c r="A18979" s="1" t="s">
        <v>37115</v>
      </c>
      <c r="B18979" s="1">
        <v>2</v>
      </c>
      <c r="C18979" s="3">
        <v>44519.940868055557</v>
      </c>
      <c r="D18979" s="1" t="s">
        <v>37116</v>
      </c>
      <c r="E18979" s="4" t="str">
        <f ca="1">IFERROR(__xludf.DUMMYFUNCTION("GOOGLETRANSLATE(A1782 , ""tr"" , ""en"")"),"@drfahrettinkoca @tcmeb doesn't even end if it's over https://t.co/8mvpi01hvi")</f>
        <v>@drfahrettinkoca @tcmeb doesn't even end if it's over https://t.co/8mvpi01hvi</v>
      </c>
    </row>
    <row r="18980" spans="1:5" ht="15" customHeight="1" x14ac:dyDescent="0.25">
      <c r="A18980" s="1" t="s">
        <v>37117</v>
      </c>
      <c r="B18980" s="1">
        <v>1</v>
      </c>
      <c r="C18980" s="3">
        <v>44519.940740740742</v>
      </c>
      <c r="D18980" s="1" t="s">
        <v>37118</v>
      </c>
      <c r="E18980" s="4" t="str">
        <f ca="1">IFERROR(__xludf.DUMMYFUNCTION("GOOGLETRANSLATE(A1783 , ""tr"" , ""en"")"),"@drfahrettinkoca @tcmeb doesn't even end if it's over https://t.co/wnccdfeweu")</f>
        <v>@drfahrettinkoca @tcmeb doesn't even end if it's over https://t.co/wnccdfeweu</v>
      </c>
    </row>
    <row r="18981" spans="1:5" ht="15" customHeight="1" x14ac:dyDescent="0.25">
      <c r="A18981" s="1" t="s">
        <v>37119</v>
      </c>
      <c r="B18981" s="1">
        <v>0</v>
      </c>
      <c r="C18981" s="3">
        <v>44519.936574074076</v>
      </c>
      <c r="D18981" s="1" t="s">
        <v>37120</v>
      </c>
      <c r="E18981" s="4" t="str">
        <f ca="1">IFERROR(__xludf.DUMMYFUNCTION("GOOGLETRANSLATE(A1784 , ""tr"" , ""en"")"),"@drfahrettinka https://t.co/afbhyIh8ty")</f>
        <v>@drfahrettinka https://t.co/afbhyIh8ty</v>
      </c>
    </row>
    <row r="18982" spans="1:5" ht="15" customHeight="1" x14ac:dyDescent="0.25">
      <c r="A18982" s="1" t="s">
        <v>37121</v>
      </c>
      <c r="B18982" s="1">
        <v>0</v>
      </c>
      <c r="C18982" s="3">
        <v>44519.923321759263</v>
      </c>
      <c r="D18982" s="1" t="s">
        <v>37122</v>
      </c>
      <c r="E18982" s="4" t="str">
        <f ca="1">IFERROR(__xludf.DUMMYFUNCTION("GOOGLETRANSLATE(A1785 , ""tr"" , ""en"")"),"@drfahrettinkoca @ h24haberr @ osmanunsal58 @ 1453ruhugalizes @savangunay @ProfSfindic @doganbekin @ prof_aydal ... https://t.co/zj6GIBYP2U")</f>
        <v>@drfahrettinkoca @ h24haberr @ osmanunsal58 @ 1453ruhugalizes @savangunay @ProfSfindic @doganbekin @ prof_aydal ... https://t.co/zj6GIBYP2U</v>
      </c>
    </row>
    <row r="18983" spans="1:5" ht="15" customHeight="1" x14ac:dyDescent="0.25">
      <c r="A18983" s="1" t="s">
        <v>37123</v>
      </c>
      <c r="B18983" s="1">
        <v>0</v>
      </c>
      <c r="C18983" s="3">
        <v>44519.896006944444</v>
      </c>
      <c r="D18983" s="1" t="s">
        <v>37124</v>
      </c>
      <c r="E18983" s="4" t="str">
        <f ca="1">IFERROR(__xludf.DUMMYFUNCTION("GOOGLETRANSLATE(A1786 , ""tr"" , ""en"")"),"@drfahrettinkoca @esenol Why didn't you explain why you don't work in fact that it works from the beginning ... https://t.co/xjzhd53tsh")</f>
        <v>@drfahrettinkoca @esenol Why didn't you explain why you don't work in fact that it works from the beginning ... https://t.co/xjzhd53tsh</v>
      </c>
    </row>
    <row r="18984" spans="1:5" ht="15" customHeight="1" x14ac:dyDescent="0.25">
      <c r="A18984" s="1" t="s">
        <v>37125</v>
      </c>
      <c r="B18984" s="1">
        <v>0</v>
      </c>
      <c r="C18984" s="3">
        <v>44520.979409722226</v>
      </c>
      <c r="D18984" s="1" t="s">
        <v>37126</v>
      </c>
      <c r="E18984" s="4" t="str">
        <f ca="1">IFERROR(__xludf.DUMMYFUNCTION("GOOGLETRANSLATE(A1787 , ""tr"" , ""en"")"),"@drfahrettinkoca If you are not able to manage an option in your quitting! https://t.co/ks7zwt6g8c")</f>
        <v>@drfahrettinkoca If you are not able to manage an option in your quitting! https://t.co/ks7zwt6g8c</v>
      </c>
    </row>
    <row r="18985" spans="1:5" ht="15" customHeight="1" x14ac:dyDescent="0.25">
      <c r="A18985" s="1" t="s">
        <v>37127</v>
      </c>
      <c r="B18985" s="1">
        <v>9</v>
      </c>
      <c r="C18985" s="3">
        <v>44520.975486111114</v>
      </c>
      <c r="D18985" s="1" t="s">
        <v>37128</v>
      </c>
      <c r="E18985" s="4" t="str">
        <f ca="1">IFERROR(__xludf.DUMMYFUNCTION("GOOGLETRANSLATE(A1788 , ""tr"" , ""en"")"),"@drfahrettinkoca @lutfielvan @Cengizavili @ismails @Nevsinmengu @Muratemirchp @dogansenturk @ KUCUKKAYAISMAIL ... https://t.co/znrmjrzmay")</f>
        <v>@drfahrettinkoca @lutfielvan @Cengizavili @ismails @Nevsinmengu @Muratemirchp @dogansenturk @ KUCUKKAYAISMAIL ... https://t.co/znrmjrzmay</v>
      </c>
    </row>
    <row r="18986" spans="1:5" ht="15" customHeight="1" x14ac:dyDescent="0.25">
      <c r="A18986" s="1" t="s">
        <v>37129</v>
      </c>
      <c r="B18986" s="1">
        <v>0</v>
      </c>
      <c r="C18986" s="3">
        <v>44520.973923611113</v>
      </c>
      <c r="D18986" s="1" t="s">
        <v>37130</v>
      </c>
      <c r="E18986" s="4" t="str">
        <f ca="1">IFERROR(__xludf.DUMMYFUNCTION("GOOGLETRANSLATE(A1789 , ""tr"" , ""en"")"),"@drfahrettinkoca Health Ministry Excluding Pandemian Chorona Violence Exclusions! For example: Trial ... https://t.co/x9y2ml3me4")</f>
        <v>@drfahrettinkoca Health Ministry Excluding Pandemian Chorona Violence Exclusions! For example: Trial ... https://t.co/x9y2ml3me4</v>
      </c>
    </row>
    <row r="18987" spans="1:5" ht="15" customHeight="1" x14ac:dyDescent="0.25">
      <c r="A18987" s="1" t="s">
        <v>37131</v>
      </c>
      <c r="B18987" s="1">
        <v>5</v>
      </c>
      <c r="C18987" s="3">
        <v>44520.972939814812</v>
      </c>
      <c r="D18987" s="1" t="s">
        <v>37132</v>
      </c>
      <c r="E18987" s="4" t="str">
        <f ca="1">IFERROR(__xludf.DUMMYFUNCTION("GOOGLETRANSLATE(A1790 , ""tr"" , ""en"")"),"@drfahrettinkoca Yes The Ministry is the best TEBDD is our house so please online education #mebyökonlinelitimhakk")</f>
        <v>@drfahrettinkoca Yes The Ministry is the best TEBDD is our house so please online education #mebyökonlinelitimhakk</v>
      </c>
    </row>
    <row r="18988" spans="1:5" ht="15" customHeight="1" x14ac:dyDescent="0.25">
      <c r="A18988" s="1" t="s">
        <v>37133</v>
      </c>
      <c r="B18988" s="1">
        <v>0</v>
      </c>
      <c r="C18988" s="3">
        <v>44520.969201388885</v>
      </c>
      <c r="D18988" s="1" t="s">
        <v>37134</v>
      </c>
      <c r="E18988" s="4" t="str">
        <f ca="1">IFERROR(__xludf.DUMMYFUNCTION("GOOGLETRANSLATE(A1791 , ""tr"" , ""en"")"),"@drfahrettinka is one-sided justice is not justice, if the violence comes from the same defiance of the same defense ... https://t.co/qcdheuf06o")</f>
        <v>@drfahrettinka is one-sided justice is not justice, if the violence comes from the same defiance of the same defense ... https://t.co/qcdheuf06o</v>
      </c>
    </row>
    <row r="18989" spans="1:5" ht="15" customHeight="1" x14ac:dyDescent="0.25">
      <c r="A18989" s="1" t="s">
        <v>37135</v>
      </c>
      <c r="B18989" s="1">
        <v>2</v>
      </c>
      <c r="C18989" s="3">
        <v>44520.964687500003</v>
      </c>
      <c r="D18989" s="1" t="s">
        <v>37136</v>
      </c>
      <c r="E18989" s="4" t="str">
        <f ca="1">IFERROR(__xludf.DUMMYFUNCTION("GOOGLETRANSLATE(A1792 , ""tr"" , ""en"")"),"@drfahrettinkoca has a shortage of medicine in state hospitals, the people are asking for the people who do not pay the prickler ... https://t.co/ebhxiajaaj")</f>
        <v>@drfahrettinkoca has a shortage of medicine in state hospitals, the people are asking for the people who do not pay the prickler ... https://t.co/ebhxiajaaj</v>
      </c>
    </row>
    <row r="18990" spans="1:5" ht="15" customHeight="1" x14ac:dyDescent="0.25">
      <c r="A18990" s="1" t="s">
        <v>37137</v>
      </c>
      <c r="B18990" s="1">
        <v>3</v>
      </c>
      <c r="C18990" s="3">
        <v>44520.956145833334</v>
      </c>
      <c r="D18990" s="1" t="s">
        <v>37138</v>
      </c>
      <c r="E18990" s="4" t="str">
        <f ca="1">IFERROR(__xludf.DUMMYFUNCTION("GOOGLETRANSLATE(A1793 , ""tr"" , ""en"")"),"@drfahrettinkoca Minister is a favor be #mebyökonlinelitimhakk")</f>
        <v>@drfahrettinkoca Minister is a favor be #mebyökonlinelitimhakk</v>
      </c>
    </row>
    <row r="18991" spans="1:5" ht="15" customHeight="1" x14ac:dyDescent="0.25">
      <c r="A18991" s="1" t="s">
        <v>37139</v>
      </c>
      <c r="B18991" s="1">
        <v>1</v>
      </c>
      <c r="C18991" s="3">
        <v>44520.954722222225</v>
      </c>
      <c r="D18991" s="1" t="s">
        <v>37140</v>
      </c>
      <c r="E18991" s="4" t="str">
        <f ca="1">IFERROR(__xludf.DUMMYFUNCTION("GOOGLETRANSLATE(A1794 , ""tr"" , ""en"")"),"@drfahrettinka #favipiravir has shown that the medicine does not work. I will have three questions 1) This medicine is still with people ... https://t.co/fuqrh7jt03")</f>
        <v>@drfahrettinka #favipiravir has shown that the medicine does not work. I will have three questions 1) This medicine is still with people ... https://t.co/fuqrh7jt03</v>
      </c>
    </row>
    <row r="18992" spans="1:5" ht="15" customHeight="1" x14ac:dyDescent="0.25">
      <c r="A18992" s="1" t="s">
        <v>37141</v>
      </c>
      <c r="B18992" s="1">
        <v>7</v>
      </c>
      <c r="C18992" s="3">
        <v>44520.94158564815</v>
      </c>
      <c r="D18992" s="1" t="s">
        <v>37142</v>
      </c>
      <c r="E18992" s="4" t="str">
        <f ca="1">IFERROR(__xludf.DUMMYFUNCTION("GOOGLETRANSLATE(A1795 , ""tr"" , ""en"")"),"@drfahrettinkoca nolur hear us the minister please keep us in the sleeve please don't leave us helpless ... https://t.co/12pajtwyn4")</f>
        <v>@drfahrettinkoca nolur hear us the minister please keep us in the sleeve please don't leave us helpless ... https://t.co/12pajtwyn4</v>
      </c>
    </row>
    <row r="18993" spans="1:5" ht="15" customHeight="1" x14ac:dyDescent="0.25">
      <c r="A18993" s="1" t="s">
        <v>37143</v>
      </c>
      <c r="B18993" s="1">
        <v>0</v>
      </c>
      <c r="C18993" s="3">
        <v>44520.937997685185</v>
      </c>
      <c r="D18993" s="1" t="s">
        <v>37144</v>
      </c>
      <c r="E18993" s="4" t="str">
        <f ca="1">IFERROR(__xludf.DUMMYFUNCTION("GOOGLETRANSLATE(A1796 , ""tr"" , ""en"")"),"@drfahrettinkoca @Abdulhamitgul @Abdulhamitgul @Abduliklik What did the 1 month old baby's intubation")</f>
        <v>@drfahrettinkoca @Abdulhamitgul @Abdulhamitgul @Abduliklik What did the 1 month old baby's intubation</v>
      </c>
    </row>
    <row r="18994" spans="1:5" ht="15" customHeight="1" x14ac:dyDescent="0.25">
      <c r="A18994" s="1" t="s">
        <v>37145</v>
      </c>
      <c r="B18994" s="1">
        <v>1</v>
      </c>
      <c r="C18994" s="3">
        <v>44520.937384259261</v>
      </c>
      <c r="D18994" s="1" t="s">
        <v>37146</v>
      </c>
      <c r="E18994" s="4" t="str">
        <f ca="1">IFERROR(__xludf.DUMMYFUNCTION("GOOGLETRANSLATE(A1797 , ""tr"" , ""en"")"),"See @drfahrettinkoca see https://t.co/psvl2cxsny")</f>
        <v>See @drfahrettinkoca see https://t.co/psvl2cxsny</v>
      </c>
    </row>
    <row r="18995" spans="1:5" ht="15" customHeight="1" x14ac:dyDescent="0.25">
      <c r="A18995" s="1" t="s">
        <v>31385</v>
      </c>
      <c r="B18995" s="1">
        <v>1</v>
      </c>
      <c r="C18995" s="3">
        <v>44520.918483796297</v>
      </c>
      <c r="D18995" s="1" t="s">
        <v>37147</v>
      </c>
      <c r="E18995" s="4" t="str">
        <f ca="1">IFERROR(__xludf.DUMMYFUNCTION("GOOGLETRANSLATE(A1798 , ""tr"" , ""en"")"),"@drfahrettinkoca #mebyökonlineEducation")</f>
        <v>@drfahrettinkoca #mebyökonlineEducation</v>
      </c>
    </row>
    <row r="18996" spans="1:5" ht="15" customHeight="1" x14ac:dyDescent="0.25">
      <c r="A18996" s="1" t="s">
        <v>37148</v>
      </c>
      <c r="B18996" s="1">
        <v>0</v>
      </c>
      <c r="C18996" s="3">
        <v>44520.904652777775</v>
      </c>
      <c r="D18996" s="1" t="s">
        <v>37149</v>
      </c>
      <c r="E18996" s="4" t="str">
        <f ca="1">IFERROR(__xludf.DUMMYFUNCTION("GOOGLETRANSLATE(A1799 , ""tr"" , ""en"")"),"@drfahrettinkoca @saglikbakanligi @yyenisafak @rterdogan @tc_icisleri https://t.co/qcxxjn3sxa")</f>
        <v>@drfahrettinkoca @saglikbakanligi @yyenisafak @rterdogan @tc_icisleri https://t.co/qcxxjn3sxa</v>
      </c>
    </row>
    <row r="18997" spans="1:5" ht="15" customHeight="1" x14ac:dyDescent="0.25">
      <c r="A18997" s="1" t="s">
        <v>37150</v>
      </c>
      <c r="B18997" s="1">
        <v>0</v>
      </c>
      <c r="C18997" s="3">
        <v>44520.8753125</v>
      </c>
      <c r="D18997" s="1" t="s">
        <v>37151</v>
      </c>
      <c r="E18997" s="4" t="str">
        <f ca="1">IFERROR(__xludf.DUMMYFUNCTION("GOOGLETRANSLATE(A1800 , ""tr"" , ""en"")"),"@drfahrettinkoca Hani Either drugs were effective, not member of this female science board.")</f>
        <v>@drfahrettinkoca Hani Either drugs were effective, not member of this female science board.</v>
      </c>
    </row>
    <row r="18998" spans="1:5" ht="15" customHeight="1" x14ac:dyDescent="0.25">
      <c r="A18998" s="1" t="s">
        <v>37152</v>
      </c>
      <c r="B18998" s="1">
        <v>8</v>
      </c>
      <c r="C18998" s="3">
        <v>44520.874745370369</v>
      </c>
      <c r="D18998" s="1" t="s">
        <v>37153</v>
      </c>
      <c r="E18998" s="4" t="str">
        <f ca="1">IFERROR(__xludf.DUMMYFUNCTION("GOOGLETRANSLATE(A1801 , ""tr"" , ""en"")"),"@drfahrettinkoca Mr. Ministry Hear Our Voice Now #Mebyökonlinelititimakkk")</f>
        <v>@drfahrettinkoca Mr. Ministry Hear Our Voice Now #Mebyökonlinelititimakkk</v>
      </c>
    </row>
    <row r="18999" spans="1:5" ht="15" customHeight="1" x14ac:dyDescent="0.25">
      <c r="A18999" s="1" t="s">
        <v>37154</v>
      </c>
      <c r="B18999" s="1">
        <v>5</v>
      </c>
      <c r="C18999" s="3">
        <v>44520.874583333331</v>
      </c>
      <c r="D18999" s="1" t="s">
        <v>37155</v>
      </c>
      <c r="E18999" s="4" t="str">
        <f ca="1">IFERROR(__xludf.DUMMYFUNCTION("GOOGLETRANSLATE(A1802 , ""tr"" , ""en"")"),"@drfahrettinkoca says this member of the Science Board? #MebyökonlineEducationHack of us https://t.co/htwogdvprp")</f>
        <v>@drfahrettinkoca says this member of the Science Board? #MebyökonlineEducationHack of us https://t.co/htwogdvprp</v>
      </c>
    </row>
    <row r="19000" spans="1:5" ht="15" customHeight="1" x14ac:dyDescent="0.25">
      <c r="A19000" s="1" t="s">
        <v>37156</v>
      </c>
      <c r="B19000" s="1">
        <v>5</v>
      </c>
      <c r="C19000" s="3">
        <v>44520.874398148146</v>
      </c>
      <c r="D19000" s="1" t="s">
        <v>37157</v>
      </c>
      <c r="E19000" s="4" t="str">
        <f ca="1">IFERROR(__xludf.DUMMYFUNCTION("GOOGLETRANSLATE(A1803 , ""tr"" , ""en"")"),"@drfahrettinkoca Mr. Minister Hear our voice very tired now #mebyökonlinelititimhakk")</f>
        <v>@drfahrettinkoca Mr. Minister Hear our voice very tired now #mebyökonlinelititimhakk</v>
      </c>
    </row>
    <row r="19001" spans="1:5" ht="15" customHeight="1" x14ac:dyDescent="0.25">
      <c r="A19001" s="1" t="s">
        <v>37158</v>
      </c>
      <c r="B19001" s="1">
        <v>0</v>
      </c>
      <c r="C19001" s="3">
        <v>44520.873414351852</v>
      </c>
      <c r="D19001" s="1" t="s">
        <v>37159</v>
      </c>
      <c r="E19001" s="4" t="str">
        <f ca="1">IFERROR(__xludf.DUMMYFUNCTION("GOOGLETRANSLATE(A1804 , ""tr"" , ""en"")"),"Why @drfahrettinkoca does not come in closed areas? The vaccine doesn't fit the distance on my surroundings ... https://t.co/wv2egm6rjk")</f>
        <v>Why @drfahrettinkoca does not come in closed areas? The vaccine doesn't fit the distance on my surroundings ... https://t.co/wv2egm6rjk</v>
      </c>
    </row>
    <row r="19002" spans="1:5" ht="15" customHeight="1" x14ac:dyDescent="0.25">
      <c r="A19002" s="1" t="s">
        <v>37160</v>
      </c>
      <c r="B19002" s="1">
        <v>0</v>
      </c>
      <c r="C19002" s="3">
        <v>44520.871562499997</v>
      </c>
      <c r="D19002" s="1" t="s">
        <v>37161</v>
      </c>
      <c r="E19002" s="4" t="str">
        <f ca="1">IFERROR(__xludf.DUMMYFUNCTION("GOOGLETRANSLATE(A1805 , ""tr"" , ""en"")"),"@drfahrettinka https://t.co/jpepawfbng")</f>
        <v>@drfahrettinka https://t.co/jpepawfbng</v>
      </c>
    </row>
    <row r="19003" spans="1:5" ht="15" customHeight="1" x14ac:dyDescent="0.25">
      <c r="A19003" s="1" t="s">
        <v>37162</v>
      </c>
      <c r="B19003" s="1">
        <v>9</v>
      </c>
      <c r="C19003" s="3">
        <v>44520.870428240742</v>
      </c>
      <c r="D19003" s="1" t="s">
        <v>37163</v>
      </c>
      <c r="E19003" s="4" t="str">
        <f ca="1">IFERROR(__xludf.DUMMYFUNCTION("GOOGLETRANSLATE(A1806 , ""tr"" , ""en"")"),"@drfahrettinka Mr. Ministry of November 22 November Online Training should come #mebyökonlinelititimhakk")</f>
        <v>@drfahrettinka Mr. Ministry of November 22 November Online Training should come #mebyökonlinelititimhakk</v>
      </c>
    </row>
    <row r="19004" spans="1:5" ht="15" customHeight="1" x14ac:dyDescent="0.25">
      <c r="A19004" s="1" t="s">
        <v>37164</v>
      </c>
      <c r="B19004" s="1">
        <v>8</v>
      </c>
      <c r="C19004" s="3">
        <v>44520.869004629632</v>
      </c>
      <c r="D19004" s="1" t="s">
        <v>37165</v>
      </c>
      <c r="E19004" s="4" t="str">
        <f ca="1">IFERROR(__xludf.DUMMYFUNCTION("GOOGLETRANSLATE(A1807 , ""tr"" , ""en"")"),"@drfahrettinkoca Mr. Minister We want our online education that we have the right to ...")</f>
        <v>@drfahrettinkoca Mr. Minister We want our online education that we have the right to ...</v>
      </c>
    </row>
    <row r="19005" spans="1:5" ht="15" customHeight="1" x14ac:dyDescent="0.25">
      <c r="A19005" s="1" t="s">
        <v>37166</v>
      </c>
      <c r="B19005" s="1">
        <v>6</v>
      </c>
      <c r="C19005" s="3">
        <v>44520.868275462963</v>
      </c>
      <c r="D19005" s="1" t="s">
        <v>37167</v>
      </c>
      <c r="E19005" s="4" t="str">
        <f ca="1">IFERROR(__xludf.DUMMYFUNCTION("GOOGLETRANSLATE(A1808 , ""tr"" , ""en"")"),"@drfahrettinkoca @tcmeb I think we deserve at least one description. We spotted all these tweets, is that money? G ... https://t.co/7hexdqzqsz")</f>
        <v>@drfahrettinkoca @tcmeb I think we deserve at least one description. We spotted all these tweets, is that money? G ... https://t.co/7hexdqzqsz</v>
      </c>
    </row>
    <row r="19006" spans="1:5" ht="15" customHeight="1" x14ac:dyDescent="0.25">
      <c r="A19006" s="1" t="s">
        <v>37168</v>
      </c>
      <c r="B19006" s="1">
        <v>0</v>
      </c>
      <c r="C19006" s="3">
        <v>44520.864490740743</v>
      </c>
      <c r="D19006" s="1" t="s">
        <v>37169</v>
      </c>
      <c r="E19006" s="4" t="str">
        <f ca="1">IFERROR(__xludf.DUMMYFUNCTION("GOOGLETRANSLATE(A1809 , ""tr"" , ""en"")"),"@drfahrettinka @tcmeb https://t.co/cucvoapque")</f>
        <v>@drfahrettinka @tcmeb https://t.co/cucvoapque</v>
      </c>
    </row>
    <row r="19007" spans="1:5" ht="15" customHeight="1" x14ac:dyDescent="0.25">
      <c r="A19007" s="1" t="s">
        <v>37170</v>
      </c>
      <c r="B19007" s="1">
        <v>0</v>
      </c>
      <c r="C19007" s="3">
        <v>44520.863009259258</v>
      </c>
      <c r="D19007" s="1" t="s">
        <v>37171</v>
      </c>
      <c r="E19007" s="4" t="str">
        <f ca="1">IFERROR(__xludf.DUMMYFUNCTION("GOOGLETRANSLATE(A1810 , ""tr"" , ""en"")"),"@drfahrettinkoca As a citizen doing it is doing it is a citizen, have the fact that I understand. Have a present flour.")</f>
        <v>@drfahrettinkoca As a citizen doing it is doing it is a citizen, have the fact that I understand. Have a present flour.</v>
      </c>
    </row>
    <row r="19008" spans="1:5" ht="15" customHeight="1" x14ac:dyDescent="0.25">
      <c r="A19008" s="1" t="s">
        <v>37172</v>
      </c>
      <c r="B19008" s="1">
        <v>0</v>
      </c>
      <c r="C19008" s="3">
        <v>44520.861643518518</v>
      </c>
      <c r="D19008" s="1" t="s">
        <v>37173</v>
      </c>
      <c r="E19008" s="4" t="str">
        <f ca="1">IFERROR(__xludf.DUMMYFUNCTION("GOOGLETRANSLATE(A1811 , ""tr"" , ""en"")"),"@drfahrettinkoca Because of your achievements Vallahide Billahide no one is as much of your health service in this country ... https://t.co/nlifhe2fx1")</f>
        <v>@drfahrettinkoca Because of your achievements Vallahide Billahide no one is as much of your health service in this country ... https://t.co/nlifhe2fx1</v>
      </c>
    </row>
    <row r="19009" spans="1:5" ht="15" customHeight="1" x14ac:dyDescent="0.25">
      <c r="A19009" s="1" t="s">
        <v>37174</v>
      </c>
      <c r="B19009" s="1">
        <v>0</v>
      </c>
      <c r="C19009" s="3">
        <v>44520.995925925927</v>
      </c>
      <c r="D19009" s="1" t="s">
        <v>37175</v>
      </c>
      <c r="E19009" s="4" t="str">
        <f ca="1">IFERROR(__xludf.DUMMYFUNCTION("GOOGLETRANSLATE(A1812 , ""tr"" , ""en"")"),"@drfahrettinkoca @fahrettinaltun @tcbestepe @rterdogan @hikmetgenc @ muratcicek24tv @birincimucahit @ mkulunk ... https://t.co/nsdcvttydr")</f>
        <v>@drfahrettinkoca @fahrettinaltun @tcbestepe @rterdogan @hikmetgenc @ muratcicek24tv @birincimucahit @ mkulunk ... https://t.co/nsdcvttydr</v>
      </c>
    </row>
    <row r="19010" spans="1:5" ht="15" customHeight="1" x14ac:dyDescent="0.25">
      <c r="A19010" s="1" t="s">
        <v>37176</v>
      </c>
      <c r="B19010" s="1">
        <v>0</v>
      </c>
      <c r="C19010" s="3">
        <v>44520.858668981484</v>
      </c>
      <c r="D19010" s="1" t="s">
        <v>37177</v>
      </c>
      <c r="E19010" s="4" t="str">
        <f ca="1">IFERROR(__xludf.DUMMYFUNCTION("GOOGLETRANSLATE(A1813 , ""tr"" , ""en"")"),"@drfahrettinkoca specify. Former people used to wait in hospital corridors now 2021 appointments in the year ... https://t.co/w6ypznn6s6")</f>
        <v>@drfahrettinkoca specify. Former people used to wait in hospital corridors now 2021 appointments in the year ... https://t.co/w6ypznn6s6</v>
      </c>
    </row>
    <row r="19011" spans="1:5" ht="15" customHeight="1" x14ac:dyDescent="0.25">
      <c r="A19011" s="1" t="s">
        <v>37178</v>
      </c>
      <c r="B19011" s="1">
        <v>0</v>
      </c>
      <c r="C19011" s="3">
        <v>44520.858287037037</v>
      </c>
      <c r="D19011" s="1" t="s">
        <v>37179</v>
      </c>
      <c r="E19011" s="4" t="str">
        <f ca="1">IFERROR(__xludf.DUMMYFUNCTION("GOOGLETRANSLATE(A1814 , ""tr"" , ""en"")"),"@drfahrettinkoca @rterdogan nudgey? #Smiths are https://t.co/kh0nf2md9p")</f>
        <v>@drfahrettinkoca @rterdogan nudgey? #Smiths are https://t.co/kh0nf2md9p</v>
      </c>
    </row>
    <row r="19012" spans="1:5" ht="15" customHeight="1" x14ac:dyDescent="0.25">
      <c r="A19012" s="1" t="s">
        <v>37180</v>
      </c>
      <c r="B19012" s="1">
        <v>0</v>
      </c>
      <c r="C19012" s="3">
        <v>44520.854826388888</v>
      </c>
      <c r="D19012" s="1" t="s">
        <v>37181</v>
      </c>
      <c r="E19012" s="4" t="str">
        <f ca="1">IFERROR(__xludf.DUMMYFUNCTION("GOOGLETRANSLATE(A1815 , ""tr"" , ""en"")"),"@drfahrettinkoca Mr. Ministry of MaşhaLah How many of your doctors in the health industry in our state Https://t.co/7thvgwne3I")</f>
        <v>@drfahrettinkoca Mr. Ministry of MaşhaLah How many of your doctors in the health industry in our state Https://t.co/7thvgwne3I</v>
      </c>
    </row>
    <row r="19013" spans="1:5" ht="15" customHeight="1" x14ac:dyDescent="0.25">
      <c r="A19013" s="1" t="s">
        <v>37182</v>
      </c>
      <c r="B19013" s="1">
        <v>0</v>
      </c>
      <c r="C19013" s="3">
        <v>44520.846828703703</v>
      </c>
      <c r="D19013" s="1" t="s">
        <v>37183</v>
      </c>
      <c r="E19013" s="4" t="str">
        <f ca="1">IFERROR(__xludf.DUMMYFUNCTION("GOOGLETRANSLATE(A1816 , ""tr"" , ""en"")"),"@drfahrettinkoca Five pouches pouring pouches, don't get up to the bridge up these children, their mothers? Single S ... https://t.co/e0raooame5")</f>
        <v>@drfahrettinkoca Five pouches pouring pouches, don't get up to the bridge up these children, their mothers? Single S ... https://t.co/e0raooame5</v>
      </c>
    </row>
    <row r="19014" spans="1:5" ht="15" customHeight="1" x14ac:dyDescent="0.25">
      <c r="A19014" s="1" t="s">
        <v>37184</v>
      </c>
      <c r="B19014" s="1">
        <v>0</v>
      </c>
      <c r="C19014" s="3">
        <v>44520.83798611111</v>
      </c>
      <c r="D19014" s="1" t="s">
        <v>37185</v>
      </c>
      <c r="E19014" s="4" t="str">
        <f ca="1">IFERROR(__xludf.DUMMYFUNCTION("GOOGLETRANSLATE(A1817 , ""tr"" , ""en"")"),"@drfahrettinkoca is in your hand in each of them. If you want a minute in the Acik and off areas of the resturants ... https://t.co/lrmpyemwsz")</f>
        <v>@drfahrettinkoca is in your hand in each of them. If you want a minute in the Acik and off areas of the resturants ... https://t.co/lrmpyemwsz</v>
      </c>
    </row>
    <row r="19015" spans="1:5" ht="15" customHeight="1" x14ac:dyDescent="0.25">
      <c r="A19015" s="1" t="s">
        <v>37186</v>
      </c>
      <c r="B19015" s="1">
        <v>0</v>
      </c>
      <c r="C19015" s="3">
        <v>44520.834722222222</v>
      </c>
      <c r="D19015" s="1" t="s">
        <v>37187</v>
      </c>
      <c r="E19015" s="4" t="str">
        <f ca="1">IFERROR(__xludf.DUMMYFUNCTION("GOOGLETRANSLATE(A1818 , ""tr"" , ""en"")"),"@drfahrettinkoca Turkish nation will never forget what you do! ️ https://t.co/xkffahahy4")</f>
        <v>@drfahrettinkoca Turkish nation will never forget what you do! ️ https://t.co/xkffahahy4</v>
      </c>
    </row>
    <row r="19016" spans="1:5" ht="15" customHeight="1" x14ac:dyDescent="0.25">
      <c r="A19016" s="1" t="s">
        <v>37188</v>
      </c>
      <c r="B19016" s="1">
        <v>0</v>
      </c>
      <c r="C19016" s="3">
        <v>44520.833414351851</v>
      </c>
      <c r="D19016" s="1" t="s">
        <v>37189</v>
      </c>
      <c r="E19016" s="4" t="str">
        <f ca="1">IFERROR(__xludf.DUMMYFUNCTION("GOOGLETRANSLATE(A1819 , ""tr"" , ""en"")"),"@drfahrettinkoca @Deryayanikashb @Alparti https://t.co/pbjmzxxwfd")</f>
        <v>@drfahrettinkoca @Deryayanikashb @Alparti https://t.co/pbjmzxxwfd</v>
      </c>
    </row>
    <row r="19017" spans="1:5" ht="15" customHeight="1" x14ac:dyDescent="0.25">
      <c r="A19017" s="1" t="s">
        <v>37190</v>
      </c>
      <c r="B19017" s="1">
        <v>2</v>
      </c>
      <c r="C19017" s="3">
        <v>44520.83121527778</v>
      </c>
      <c r="D19017" s="1" t="s">
        <v>37191</v>
      </c>
      <c r="E19017" s="4" t="str">
        <f ca="1">IFERROR(__xludf.DUMMYFUNCTION("GOOGLETRANSLATE(A1820 , ""tr"" , ""en"")"),"@drfahrettinkoca @tcmeb #mebyökonlineEducationAk We do not have any other way out!")</f>
        <v>@drfahrettinkoca @tcmeb #mebyökonlineEducationAk We do not have any other way out!</v>
      </c>
    </row>
    <row r="19018" spans="1:5" ht="15" customHeight="1" x14ac:dyDescent="0.25">
      <c r="A19018" s="1" t="s">
        <v>37192</v>
      </c>
      <c r="B19018" s="1">
        <v>1</v>
      </c>
      <c r="C19018" s="3">
        <v>44520.828125</v>
      </c>
      <c r="D19018" s="1" t="s">
        <v>37193</v>
      </c>
      <c r="E19018" s="4" t="str">
        <f ca="1">IFERROR(__xludf.DUMMYFUNCTION("GOOGLETRANSLATE(A1821 , ""tr"" , ""en"")"),"@drfahrettinkoca @saglikbakanligi https://t.co/rfwsenjwdm")</f>
        <v>@drfahrettinkoca @saglikbakanligi https://t.co/rfwsenjwdm</v>
      </c>
    </row>
    <row r="19019" spans="1:5" ht="15" customHeight="1" x14ac:dyDescent="0.25">
      <c r="A19019" s="1" t="s">
        <v>37194</v>
      </c>
      <c r="B19019" s="1">
        <v>9</v>
      </c>
      <c r="C19019" s="3">
        <v>44520.811585648145</v>
      </c>
      <c r="D19019" s="1" t="s">
        <v>37195</v>
      </c>
      <c r="E19019" s="4" t="str">
        <f ca="1">IFERROR(__xludf.DUMMYFUNCTION("GOOGLETRANSLATE(A1822 , ""tr"" , ""en"")"),"@drfahrettinkoca don't like us?")</f>
        <v>@drfahrettinkoca don't like us?</v>
      </c>
    </row>
    <row r="19020" spans="1:5" ht="15" customHeight="1" x14ac:dyDescent="0.25">
      <c r="A19020" s="1" t="s">
        <v>37196</v>
      </c>
      <c r="B19020" s="1">
        <v>0</v>
      </c>
      <c r="C19020" s="3">
        <v>44520.803749999999</v>
      </c>
      <c r="D19020" s="1" t="s">
        <v>37197</v>
      </c>
      <c r="E19020" s="4" t="str">
        <f ca="1">IFERROR(__xludf.DUMMYFUNCTION("GOOGLETRANSLATE(A1823 , ""tr"" , ""en"")"),"@drfahrettinkoca and @saglikbakanligi Yitim Outgoing Mother After A Mother Failing to Live The Same Fate of Baby ... https://t.co/l3lfn7dzva")</f>
        <v>@drfahrettinkoca and @saglikbakanligi Yitim Outgoing Mother After A Mother Failing to Live The Same Fate of Baby ... https://t.co/l3lfn7dzva</v>
      </c>
    </row>
    <row r="19021" spans="1:5" ht="15" customHeight="1" x14ac:dyDescent="0.25">
      <c r="A19021" s="1" t="s">
        <v>37198</v>
      </c>
      <c r="B19021" s="1">
        <v>0</v>
      </c>
      <c r="C19021" s="3">
        <v>44520.800150462965</v>
      </c>
      <c r="D19021" s="1" t="s">
        <v>37199</v>
      </c>
      <c r="E19021" s="4" t="str">
        <f ca="1">IFERROR(__xludf.DUMMYFUNCTION("GOOGLETRANSLATE(A1824 , ""tr"" , ""en"")"),"@drfahrettinkoca allah give your trouble https://t.co/s8vhbbycst")</f>
        <v>@drfahrettinkoca allah give your trouble https://t.co/s8vhbbycst</v>
      </c>
    </row>
    <row r="19022" spans="1:5" ht="15" customHeight="1" x14ac:dyDescent="0.25">
      <c r="A19022" s="1" t="s">
        <v>37200</v>
      </c>
      <c r="B19022" s="1">
        <v>1</v>
      </c>
      <c r="C19022" s="3">
        <v>44520.798460648148</v>
      </c>
      <c r="D19022" s="1" t="s">
        <v>37201</v>
      </c>
      <c r="E19022" s="4" t="str">
        <f ca="1">IFERROR(__xludf.DUMMYFUNCTION("GOOGLETRANSLATE(A1825 , ""tr"" , ""en"")"),"@drfahrettinkoca You have turned off on Instagram but we will never leave in touch Please make sound of our voice, ... https://t.co/lffjsjumlp")</f>
        <v>@drfahrettinkoca You have turned off on Instagram but we will never leave in touch Please make sound of our voice, ... https://t.co/lffjsjumlp</v>
      </c>
    </row>
    <row r="19023" spans="1:5" ht="15" customHeight="1" x14ac:dyDescent="0.25">
      <c r="A19023" s="1" t="s">
        <v>37202</v>
      </c>
      <c r="B19023" s="1">
        <v>0</v>
      </c>
      <c r="C19023" s="3">
        <v>44520.795416666668</v>
      </c>
      <c r="D19023" s="1" t="s">
        <v>37203</v>
      </c>
      <c r="E19023" s="4" t="str">
        <f ca="1">IFERROR(__xludf.DUMMYFUNCTION("GOOGLETRANSLATE(A1826 , ""tr"" , ""en"")"),"@drfahrettinkoca @saglikbakanligi is a 3-hour soldier anahing ceremony. How to end the country is also epidemic? Mask yo ... https://t.co/e6sv3cvvct")</f>
        <v>@drfahrettinkoca @saglikbakanligi is a 3-hour soldier anahing ceremony. How to end the country is also epidemic? Mask yo ... https://t.co/e6sv3cvvct</v>
      </c>
    </row>
    <row r="19024" spans="1:5" ht="15" customHeight="1" x14ac:dyDescent="0.25">
      <c r="A19024" s="1" t="s">
        <v>37204</v>
      </c>
      <c r="B19024" s="1">
        <v>0</v>
      </c>
      <c r="C19024" s="3">
        <v>44520.794710648152</v>
      </c>
      <c r="D19024" s="1" t="s">
        <v>37205</v>
      </c>
      <c r="E19024" s="4" t="str">
        <f ca="1">IFERROR(__xludf.DUMMYFUNCTION("GOOGLETRANSLATE(A1827 , ""tr"" , ""en"")"),"@drfahrettinkoca We don't have the distance ""Social"". Happening, hugging, we cuddle. Riks did not increase, decreased. Es ... https://t.co/lzzuj81fvt")</f>
        <v>@drfahrettinkoca We don't have the distance "Social". Happening, hugging, we cuddle. Riks did not increase, decreased. Es ... https://t.co/lzzuj81fvt</v>
      </c>
    </row>
    <row r="19025" spans="1:5" ht="15" customHeight="1" x14ac:dyDescent="0.25">
      <c r="A19025" s="1" t="s">
        <v>37206</v>
      </c>
      <c r="B19025" s="1">
        <v>11</v>
      </c>
      <c r="C19025" s="3">
        <v>44520.794560185182</v>
      </c>
      <c r="D19025" s="1" t="s">
        <v>37207</v>
      </c>
      <c r="E19025" s="4" t="str">
        <f ca="1">IFERROR(__xludf.DUMMYFUNCTION("GOOGLETRANSLATE(A1828 , ""tr"" , ""en"")"),"@drfahrettinkoca @tcmeb Do you want to be in this environment because you are in this situation! 🤦 ... https://t.co/aIqvfgnysm")</f>
        <v>@drfahrettinkoca @tcmeb Do you want to be in this environment because you are in this situation! 🤦 ... https://t.co/aIqvfgnysm</v>
      </c>
    </row>
    <row r="19026" spans="1:5" ht="15" customHeight="1" x14ac:dyDescent="0.25">
      <c r="A19026" s="1" t="s">
        <v>37208</v>
      </c>
      <c r="B19026" s="1">
        <v>6</v>
      </c>
      <c r="C19026" s="3">
        <v>44520.792118055557</v>
      </c>
      <c r="D19026" s="1" t="s">
        <v>37209</v>
      </c>
      <c r="E19026" s="4" t="str">
        <f ca="1">IFERROR(__xludf.DUMMYFUNCTION("GOOGLETRANSLATE(A1829 , ""tr"" , ""en"")"),"@drfahrettinkoca Simdi How do you feel? Is our state so incapable of? Married to be Sahit to death ... HTTPS://T.CO/JYVMXDW1")</f>
        <v>@drfahrettinkoca Simdi How do you feel? Is our state so incapable of? Married to be Sahit to death ... HTTPS://T.CO/JYVMXDW1</v>
      </c>
    </row>
    <row r="19027" spans="1:5" ht="15" customHeight="1" x14ac:dyDescent="0.25">
      <c r="A19027" s="1" t="s">
        <v>37210</v>
      </c>
      <c r="B19027" s="1">
        <v>0</v>
      </c>
      <c r="C19027" s="3">
        <v>44520.789756944447</v>
      </c>
      <c r="D19027" s="1" t="s">
        <v>37211</v>
      </c>
      <c r="E19027" s="4" t="str">
        <f ca="1">IFERROR(__xludf.DUMMYFUNCTION("GOOGLETRANSLATE(A1830 , ""tr"" , ""en"")"),"@drfahrettinkoca we want to see you are not your robot ...")</f>
        <v>@drfahrettinkoca we want to see you are not your robot ...</v>
      </c>
    </row>
    <row r="19028" spans="1:5" ht="15" customHeight="1" x14ac:dyDescent="0.25">
      <c r="A19028" s="1" t="s">
        <v>37212</v>
      </c>
      <c r="B19028" s="1">
        <v>0</v>
      </c>
      <c r="C19028" s="3">
        <v>44520.788969907408</v>
      </c>
      <c r="D19028" s="1" t="s">
        <v>37213</v>
      </c>
      <c r="E19028" s="4" t="str">
        <f ca="1">IFERROR(__xludf.DUMMYFUNCTION("GOOGLETRANSLATE(A1831 , ""tr"" , ""en"")"),"@drfahrettinkoca I'm warning your conscience against the day you get trapped. NO material's property to save the power of the property ... https://t.co/vjqkvmsdaq")</f>
        <v>@drfahrettinkoca I'm warning your conscience against the day you get trapped. NO material's property to save the power of the property ... https://t.co/vjqkvmsdaq</v>
      </c>
    </row>
    <row r="19029" spans="1:5" ht="15" customHeight="1" x14ac:dyDescent="0.25">
      <c r="A19029" s="1" t="s">
        <v>37214</v>
      </c>
      <c r="B19029" s="1">
        <v>0</v>
      </c>
      <c r="C19029" s="3">
        <v>44520.787708333337</v>
      </c>
      <c r="D19029" s="1" t="s">
        <v>37215</v>
      </c>
      <c r="E19029" s="4" t="str">
        <f ca="1">IFERROR(__xludf.DUMMYFUNCTION("GOOGLETRANSLATE(A1832 , ""tr"" , ""en"")"),"@drfahrettinka yrdg")</f>
        <v>@drfahrettinka yrdg</v>
      </c>
    </row>
    <row r="19030" spans="1:5" ht="15" customHeight="1" x14ac:dyDescent="0.25">
      <c r="A19030" s="1" t="s">
        <v>37216</v>
      </c>
      <c r="B19030" s="1">
        <v>0</v>
      </c>
      <c r="C19030" s="3">
        <v>44520.783275462964</v>
      </c>
      <c r="D19030" s="1" t="s">
        <v>37217</v>
      </c>
      <c r="E19030" s="4" t="str">
        <f ca="1">IFERROR(__xludf.DUMMYFUNCTION("GOOGLETRANSLATE(A1833 , ""tr"" , ""en"")"),"@drfahrettinka https://t.co/fetbjlafupUpUp")</f>
        <v>@drfahrettinka https://t.co/fetbjlafupUpUp</v>
      </c>
    </row>
    <row r="19031" spans="1:5" ht="15" customHeight="1" x14ac:dyDescent="0.25">
      <c r="A19031" s="1" t="s">
        <v>37218</v>
      </c>
      <c r="B19031" s="1">
        <v>8</v>
      </c>
      <c r="C19031" s="3">
        <v>44520.771643518521</v>
      </c>
      <c r="D19031" s="1" t="s">
        <v>37219</v>
      </c>
      <c r="E19031" s="4" t="str">
        <f ca="1">IFERROR(__xludf.DUMMYFUNCTION("GOOGLETRANSLATE(A1834 , ""tr"" , ""en"")"),"@drfahrettinkoca See @tcmeb See what is the first time to see the agenda? Why are people screaming? Us this crap ... https://t.co/m7mkyucıy5")</f>
        <v>@drfahrettinkoca See @tcmeb See what is the first time to see the agenda? Why are people screaming? Us this crap ... https://t.co/m7mkyucıy5</v>
      </c>
    </row>
    <row r="19032" spans="1:5" ht="15" customHeight="1" x14ac:dyDescent="0.25">
      <c r="A19032" s="1" t="s">
        <v>37220</v>
      </c>
      <c r="B19032" s="1">
        <v>0</v>
      </c>
      <c r="C19032" s="3">
        <v>44520.770381944443</v>
      </c>
      <c r="D19032" s="1" t="s">
        <v>37221</v>
      </c>
      <c r="E19032" s="4" t="str">
        <f ca="1">IFERROR(__xludf.DUMMYFUNCTION("GOOGLETRANSLATE(A1835 , ""tr"" , ""en"")"),"@drfahrettinka https://t.co/abdgclo476")</f>
        <v>@drfahrettinka https://t.co/abdgclo476</v>
      </c>
    </row>
    <row r="19033" spans="1:5" ht="15" customHeight="1" x14ac:dyDescent="0.25">
      <c r="A19033" s="1" t="s">
        <v>37222</v>
      </c>
      <c r="B19033" s="1">
        <v>0</v>
      </c>
      <c r="C19033" s="3">
        <v>44520.763611111113</v>
      </c>
      <c r="D19033" s="1" t="s">
        <v>37223</v>
      </c>
      <c r="E19033" s="4" t="str">
        <f ca="1">IFERROR(__xludf.DUMMYFUNCTION("GOOGLETRANSLATE(A1836 , ""tr"" , ""en"")"),"@drfahrettinka ditto baya good training system https://t.co/o003cmrfyz")</f>
        <v>@drfahrettinka ditto baya good training system https://t.co/o003cmrfyz</v>
      </c>
    </row>
    <row r="19034" spans="1:5" ht="15" customHeight="1" x14ac:dyDescent="0.25">
      <c r="A19034" s="1" t="s">
        <v>37224</v>
      </c>
      <c r="B19034" s="1">
        <v>0</v>
      </c>
      <c r="C19034" s="3">
        <v>44520.755671296298</v>
      </c>
      <c r="D19034" s="1" t="s">
        <v>37225</v>
      </c>
      <c r="E19034" s="4" t="str">
        <f ca="1">IFERROR(__xludf.DUMMYFUNCTION("GOOGLETRANSLATE(A1837 , ""tr"" , ""en"")"),"@drfahrettinka Mr. Minister Ankara I would like to circumcise my child in Ankara But what hospital I have called Pandemi ... https://t.co/fyzmrghm42")</f>
        <v>@drfahrettinka Mr. Minister Ankara I would like to circumcise my child in Ankara But what hospital I have called Pandemi ... https://t.co/fyzmrghm42</v>
      </c>
    </row>
    <row r="19035" spans="1:5" ht="15" customHeight="1" x14ac:dyDescent="0.25">
      <c r="A19035" s="1" t="s">
        <v>37226</v>
      </c>
      <c r="B19035" s="1">
        <v>2</v>
      </c>
      <c r="C19035" s="3">
        <v>44520.752465277779</v>
      </c>
      <c r="D19035" s="1" t="s">
        <v>37227</v>
      </c>
      <c r="E19035" s="4" t="str">
        <f ca="1">IFERROR(__xludf.DUMMYFUNCTION("GOOGLETRANSLATE(A1838 , ""tr"" , ""en"")"),"@drfahrettinkoca said we had a hard transition to the new world pattern? What is the meaning of it at all? #Smiths")</f>
        <v>@drfahrettinkoca said we had a hard transition to the new world pattern? What is the meaning of it at all? #Smiths</v>
      </c>
    </row>
    <row r="19036" spans="1:5" ht="15" customHeight="1" x14ac:dyDescent="0.25">
      <c r="A19036" s="1" t="s">
        <v>37228</v>
      </c>
      <c r="B19036" s="1">
        <v>0</v>
      </c>
      <c r="C19036" s="3">
        <v>44520.743784722225</v>
      </c>
      <c r="D19036" s="1" t="s">
        <v>37229</v>
      </c>
      <c r="E19036" s="4" t="str">
        <f ca="1">IFERROR(__xludf.DUMMYFUNCTION("GOOGLETRANSLATE(A1839 , ""tr"" , ""en"")"),"Hear the voice of the families of the children of @drfahrettinkoca sma! #Eminekiraz https://t.co/eah2bk6jud")</f>
        <v>Hear the voice of the families of the children of @drfahrettinkoca sma! #Eminekiraz https://t.co/eah2bk6jud</v>
      </c>
    </row>
    <row r="19037" spans="1:5" ht="15" customHeight="1" x14ac:dyDescent="0.25">
      <c r="A19037" s="1" t="s">
        <v>37230</v>
      </c>
      <c r="B19037" s="1">
        <v>0</v>
      </c>
      <c r="C19037" s="3">
        <v>44520.743159722224</v>
      </c>
      <c r="D19037" s="1" t="s">
        <v>37231</v>
      </c>
      <c r="E19037" s="4" t="str">
        <f ca="1">IFERROR(__xludf.DUMMYFUNCTION("GOOGLETRANSLATE(A1840 , ""tr"" , ""en"")"),"@drfahrettinkoca get all the vebali neck https://t.co/htsvkeemcw")</f>
        <v>@drfahrettinkoca get all the vebali neck https://t.co/htsvkeemcw</v>
      </c>
    </row>
    <row r="19038" spans="1:5" ht="15" customHeight="1" x14ac:dyDescent="0.25">
      <c r="A19038" s="1" t="s">
        <v>37232</v>
      </c>
      <c r="B19038" s="1">
        <v>0</v>
      </c>
      <c r="C19038" s="3">
        <v>44520.738553240742</v>
      </c>
      <c r="D19038" s="1" t="s">
        <v>37233</v>
      </c>
      <c r="E19038" s="4" t="str">
        <f ca="1">IFERROR(__xludf.DUMMYFUNCTION("GOOGLETRANSLATE(A1841 , ""tr"" , ""en"")"),"@drfahrettinkoca @ erolozvar @tcmeb https://t.co/wgctcbr6sk")</f>
        <v>@drfahrettinkoca @ erolozvar @tcmeb https://t.co/wgctcbr6sk</v>
      </c>
    </row>
    <row r="19039" spans="1:5" ht="15" customHeight="1" x14ac:dyDescent="0.25">
      <c r="A19039" s="1" t="s">
        <v>37234</v>
      </c>
      <c r="B19039" s="1">
        <v>0</v>
      </c>
      <c r="C19039" s="3">
        <v>44520.732916666668</v>
      </c>
      <c r="D19039" s="1" t="s">
        <v>37235</v>
      </c>
      <c r="E19039" s="4" t="str">
        <f ca="1">IFERROR(__xludf.DUMMYFUNCTION("GOOGLETRANSLATE(A1842 , ""tr"" , ""en"")"),"@drfahrettinkoca @rterdogan @meral_aksener @kilicdarogluk TRT replace the share of these diseases instead of these diseases ... https://t.co/wsz2n3kysq")</f>
        <v>@drfahrettinkoca @rterdogan @meral_aksener @kilicdarogluk TRT replace the share of these diseases instead of these diseases ... https://t.co/wsz2n3kysq</v>
      </c>
    </row>
    <row r="19040" spans="1:5" ht="15" customHeight="1" x14ac:dyDescent="0.25">
      <c r="A19040" s="1" t="s">
        <v>37236</v>
      </c>
      <c r="B19040" s="1">
        <v>0</v>
      </c>
      <c r="C19040" s="3">
        <v>44520.731354166666</v>
      </c>
      <c r="D19040" s="1" t="s">
        <v>37237</v>
      </c>
      <c r="E19040" s="4" t="str">
        <f ca="1">IFERROR(__xludf.DUMMYFUNCTION("GOOGLETRANSLATE(A1843 , ""tr"" , ""en"")"),"@drfahrettinka @tcmeb https://t.co/kqbvtznutn")</f>
        <v>@drfahrettinka @tcmeb https://t.co/kqbvtznutn</v>
      </c>
    </row>
    <row r="19041" spans="1:5" ht="15" customHeight="1" x14ac:dyDescent="0.25">
      <c r="A19041" s="1" t="s">
        <v>37238</v>
      </c>
      <c r="B19041" s="1">
        <v>0</v>
      </c>
      <c r="C19041" s="3">
        <v>44520.731238425928</v>
      </c>
      <c r="D19041" s="1" t="s">
        <v>37239</v>
      </c>
      <c r="E19041" s="4" t="str">
        <f ca="1">IFERROR(__xludf.DUMMYFUNCTION("GOOGLETRANSLATE(A1844 , ""tr"" , ""en"")"),"@drfahrettinkoca @rterdogan Wake up ... https://t.co/ymlmjpszrs")</f>
        <v>@drfahrettinkoca @rterdogan Wake up ... https://t.co/ymlmjpszrs</v>
      </c>
    </row>
    <row r="19042" spans="1:5" ht="15" customHeight="1" x14ac:dyDescent="0.25">
      <c r="A19042" s="1" t="s">
        <v>37240</v>
      </c>
      <c r="B19042" s="1">
        <v>0</v>
      </c>
      <c r="C19042" s="3">
        <v>44520.729189814818</v>
      </c>
      <c r="D19042" s="1" t="s">
        <v>37241</v>
      </c>
      <c r="E19042" s="4" t="str">
        <f ca="1">IFERROR(__xludf.DUMMYFUNCTION("GOOGLETRANSLATE(A1845 , ""tr"" , ""en"")"),"@drfahrettinkoca @rterdogan https://t.co/IVIMXFNYQW")</f>
        <v>@drfahrettinkoca @rterdogan https://t.co/IVIMXFNYQW</v>
      </c>
    </row>
    <row r="19043" spans="1:5" ht="15" customHeight="1" x14ac:dyDescent="0.25">
      <c r="A19043" s="1" t="s">
        <v>37242</v>
      </c>
      <c r="B19043" s="1">
        <v>0</v>
      </c>
      <c r="C19043" s="3">
        <v>44520.728796296295</v>
      </c>
      <c r="D19043" s="1" t="s">
        <v>37243</v>
      </c>
      <c r="E19043" s="4" t="str">
        <f ca="1">IFERROR(__xludf.DUMMYFUNCTION("GOOGLETRANSLATE(A1846 , ""tr"" , ""en"")"),"@drfahrettinka https://t.co/jrmyfovod1")</f>
        <v>@drfahrettinka https://t.co/jrmyfovod1</v>
      </c>
    </row>
    <row r="19044" spans="1:5" ht="15" customHeight="1" x14ac:dyDescent="0.25">
      <c r="A19044" s="1" t="s">
        <v>37244</v>
      </c>
      <c r="B19044" s="1">
        <v>0</v>
      </c>
      <c r="C19044" s="3">
        <v>44520.728750000002</v>
      </c>
      <c r="D19044" s="1" t="s">
        <v>37245</v>
      </c>
      <c r="E19044" s="4" t="str">
        <f ca="1">IFERROR(__xludf.DUMMYFUNCTION("GOOGLETRANSLATE(A1847 , ""tr"" , ""en"")"),"@drfahrettinkoca Don't live in this way !!! https://t.co/7kjknefgys")</f>
        <v>@drfahrettinkoca Don't live in this way !!! https://t.co/7kjknefgys</v>
      </c>
    </row>
    <row r="19045" spans="1:5" ht="15" customHeight="1" x14ac:dyDescent="0.25">
      <c r="A19045" s="1" t="s">
        <v>37246</v>
      </c>
      <c r="B19045" s="1">
        <v>3</v>
      </c>
      <c r="C19045" s="3">
        <v>44520.724699074075</v>
      </c>
      <c r="D19045" s="1" t="s">
        <v>37247</v>
      </c>
      <c r="E19045" s="4" t="str">
        <f ca="1">IFERROR(__xludf.DUMMYFUNCTION("GOOGLETRANSLATE(A1848 , ""tr"" , ""en"")"),"@drfahrettinkoca cases opening schools without falling under the thousand, your very big mistake Normalize 250 deaths a day ... https://t.co/0yn3smnnlr")</f>
        <v>@drfahrettinkoca cases opening schools without falling under the thousand, your very big mistake Normalize 250 deaths a day ... https://t.co/0yn3smnnlr</v>
      </c>
    </row>
    <row r="19046" spans="1:5" ht="15" customHeight="1" x14ac:dyDescent="0.25">
      <c r="A19046" s="1" t="s">
        <v>37248</v>
      </c>
      <c r="B19046" s="1">
        <v>0</v>
      </c>
      <c r="C19046" s="3">
        <v>44520.724652777775</v>
      </c>
      <c r="D19046" s="1" t="s">
        <v>37249</v>
      </c>
      <c r="E19046" s="4" t="str">
        <f ca="1">IFERROR(__xludf.DUMMYFUNCTION("GOOGLETRANSLATE(A1849 , ""tr"" , ""en"")"),"@drfahrettinkoca @rterdogan https://t.co/k5wsqwnzny")</f>
        <v>@drfahrettinkoca @rterdogan https://t.co/k5wsqwnzny</v>
      </c>
    </row>
    <row r="19047" spans="1:5" ht="15" customHeight="1" x14ac:dyDescent="0.25">
      <c r="A19047" s="1" t="s">
        <v>37250</v>
      </c>
      <c r="B19047" s="1">
        <v>2</v>
      </c>
      <c r="C19047" s="3">
        <v>44520.724363425928</v>
      </c>
      <c r="D19047" s="1" t="s">
        <v>37251</v>
      </c>
      <c r="E19047" s="4" t="str">
        <f ca="1">IFERROR(__xludf.DUMMYFUNCTION("GOOGLETRANSLATE(A1850 , ""tr"" , ""en"")"),"@drfahrettinkoca @tcmeb #MebyoEkonLineEducationHAWKHOKSHAKKHEKTHIKEKTIK://T.CO/BWE7YQY9XF")</f>
        <v>@drfahrettinkoca @tcmeb #MebyoEkonLineEducationHAWKHOKSHAKKHEKTHIKEKTIK://T.CO/BWE7YQY9XF</v>
      </c>
    </row>
    <row r="19048" spans="1:5" ht="15" customHeight="1" x14ac:dyDescent="0.25">
      <c r="A19048" s="1" t="s">
        <v>37252</v>
      </c>
      <c r="B19048" s="1">
        <v>0</v>
      </c>
      <c r="C19048" s="3">
        <v>44520.719050925924</v>
      </c>
      <c r="D19048" s="1" t="s">
        <v>37253</v>
      </c>
      <c r="E19048" s="4" t="str">
        <f ca="1">IFERROR(__xludf.DUMMYFUNCTION("GOOGLETRANSLATE(A1851 , ""tr"" , ""en"")"),"@drfahrettinka https://t.co/otxpwd9snd")</f>
        <v>@drfahrettinka https://t.co/otxpwd9snd</v>
      </c>
    </row>
    <row r="19049" spans="1:5" ht="15" customHeight="1" x14ac:dyDescent="0.25">
      <c r="A19049" s="1" t="s">
        <v>37254</v>
      </c>
      <c r="B19049" s="1">
        <v>13</v>
      </c>
      <c r="C19049" s="3">
        <v>44520.718275462961</v>
      </c>
      <c r="D19049" s="1" t="s">
        <v>37255</v>
      </c>
      <c r="E19049" s="4" t="str">
        <f ca="1">IFERROR(__xludf.DUMMYFUNCTION("GOOGLETRANSLATE(A1852 , ""tr"" , ""en"")"),"@drfahrettinka Mr. Minister 50 people daily were closing each place when you die. Months were 200 people die every day ... https://t.co/3t5gop5i15")</f>
        <v>@drfahrettinka Mr. Minister 50 people daily were closing each place when you die. Months were 200 people die every day ... https://t.co/3t5gop5i15</v>
      </c>
    </row>
    <row r="19050" spans="1:5" ht="15" customHeight="1" x14ac:dyDescent="0.25">
      <c r="A19050" s="1" t="s">
        <v>37256</v>
      </c>
      <c r="B19050" s="1">
        <v>0</v>
      </c>
      <c r="C19050" s="3">
        <v>44520.717650462961</v>
      </c>
      <c r="D19050" s="1" t="s">
        <v>37257</v>
      </c>
      <c r="E19050" s="4" t="str">
        <f ca="1">IFERROR(__xludf.DUMMYFUNCTION("GOOGLETRANSLATE(A1853 , ""tr"" , ""en"")"),"@drfahrettinka @tcmeb https://t.co/wd2gqcrayh")</f>
        <v>@drfahrettinka @tcmeb https://t.co/wd2gqcrayh</v>
      </c>
    </row>
    <row r="19051" spans="1:5" ht="15" customHeight="1" x14ac:dyDescent="0.25">
      <c r="A19051" s="1" t="s">
        <v>37258</v>
      </c>
      <c r="B19051" s="1">
        <v>1</v>
      </c>
      <c r="C19051" s="3">
        <v>44520.714768518519</v>
      </c>
      <c r="D19051" s="1" t="s">
        <v>37259</v>
      </c>
      <c r="E19051" s="4" t="str">
        <f ca="1">IFERROR(__xludf.DUMMYFUNCTION("GOOGLETRANSLATE(A1854 , ""tr"" , ""en"")"),"@drfahrettinkoca @saglikbakanligi @saglikbakanligi @rterdogan #mebyökonlineEducationHand")</f>
        <v>@drfahrettinkoca @saglikbakanligi @saglikbakanligi @rterdogan #mebyökonlineEducationHand</v>
      </c>
    </row>
    <row r="19052" spans="1:5" ht="15" customHeight="1" x14ac:dyDescent="0.25">
      <c r="A19052" s="1" t="s">
        <v>31385</v>
      </c>
      <c r="B19052" s="1">
        <v>2</v>
      </c>
      <c r="C19052" s="3">
        <v>44520.714409722219</v>
      </c>
      <c r="D19052" s="1" t="s">
        <v>37260</v>
      </c>
      <c r="E19052" s="4" t="str">
        <f ca="1">IFERROR(__xludf.DUMMYFUNCTION("GOOGLETRANSLATE(A1855 , ""tr"" , ""en"")"),"@drfahrettinkoca #mebyökonlineEducation")</f>
        <v>@drfahrettinkoca #mebyökonlineEducation</v>
      </c>
    </row>
    <row r="19053" spans="1:5" ht="15" customHeight="1" x14ac:dyDescent="0.25">
      <c r="A19053" s="1" t="s">
        <v>37261</v>
      </c>
      <c r="B19053" s="1">
        <v>4</v>
      </c>
      <c r="C19053" s="3">
        <v>44520.704502314817</v>
      </c>
      <c r="D19053" s="1" t="s">
        <v>37262</v>
      </c>
      <c r="E19053" s="4" t="str">
        <f ca="1">IFERROR(__xludf.DUMMYFUNCTION("GOOGLETRANSLATE(A1856 , ""tr"" , ""en"")"),"@drfahrettinkoca @tcmeb pardon but what do you think you do? Us can we be able to beg what is the right ... https://t.co/rd22ptnzed")</f>
        <v>@drfahrettinkoca @tcmeb pardon but what do you think you do? Us can we be able to beg what is the right ... https://t.co/rd22ptnzed</v>
      </c>
    </row>
    <row r="19054" spans="1:5" ht="15" customHeight="1" x14ac:dyDescent="0.25">
      <c r="A19054" s="1" t="s">
        <v>37263</v>
      </c>
      <c r="B19054" s="1">
        <v>0</v>
      </c>
      <c r="C19054" s="3">
        <v>44520.702881944446</v>
      </c>
      <c r="D19054" s="1" t="s">
        <v>37264</v>
      </c>
      <c r="E19054" s="4" t="str">
        <f ca="1">IFERROR(__xludf.DUMMYFUNCTION("GOOGLETRANSLATE(A1857 , ""tr"" , ""en"")"),"@drfahrettinkoca photo is forbidden to take the video but Istanbul Bayrampaşa State Hospital's State of the Paste of Underwear ... https://t.co/wvcw3grrmh")</f>
        <v>@drfahrettinkoca photo is forbidden to take the video but Istanbul Bayrampaşa State Hospital's State of the Paste of Underwear ... https://t.co/wvcw3grrmh</v>
      </c>
    </row>
    <row r="19055" spans="1:5" ht="15" customHeight="1" x14ac:dyDescent="0.25">
      <c r="A19055" s="1" t="s">
        <v>37265</v>
      </c>
      <c r="B19055" s="1">
        <v>0</v>
      </c>
      <c r="C19055" s="3">
        <v>44520.700879629629</v>
      </c>
      <c r="D19055" s="1" t="s">
        <v>37266</v>
      </c>
      <c r="E19055" s="4" t="str">
        <f ca="1">IFERROR(__xludf.DUMMYFUNCTION("GOOGLETRANSLATE(A1858 , ""tr"" , ""en"")"),"@drfahrettinka https://t.co/p0bnpgp53r")</f>
        <v>@drfahrettinka https://t.co/p0bnpgp53r</v>
      </c>
    </row>
    <row r="19056" spans="1:5" ht="15" customHeight="1" x14ac:dyDescent="0.25">
      <c r="A19056" s="1" t="s">
        <v>37267</v>
      </c>
      <c r="B19056" s="1">
        <v>0</v>
      </c>
      <c r="C19056" s="3">
        <v>44520.698275462964</v>
      </c>
      <c r="D19056" s="1" t="s">
        <v>37268</v>
      </c>
      <c r="E19056" s="4" t="str">
        <f ca="1">IFERROR(__xludf.DUMMYFUNCTION("GOOGLETRANSLATE(A1859 , ""tr"" , ""en"")"),"@drfahrettinkoca @rterdogan they are dying enough, no longer ... the genocide ... https://t.co/9mo9zgaqqe")</f>
        <v>@drfahrettinkoca @rterdogan they are dying enough, no longer ... the genocide ... https://t.co/9mo9zgaqqe</v>
      </c>
    </row>
    <row r="19057" spans="1:5" ht="15" customHeight="1" x14ac:dyDescent="0.25">
      <c r="A19057" s="1" t="s">
        <v>31385</v>
      </c>
      <c r="B19057" s="1">
        <v>1</v>
      </c>
      <c r="C19057" s="3">
        <v>44520.695671296293</v>
      </c>
      <c r="D19057" s="1" t="s">
        <v>37269</v>
      </c>
      <c r="E19057" s="4" t="str">
        <f ca="1">IFERROR(__xludf.DUMMYFUNCTION("GOOGLETRANSLATE(A1860 , ""tr"" , ""en"")"),"@drfahrettinkoca #mebyökonlineEducation")</f>
        <v>@drfahrettinkoca #mebyökonlineEducation</v>
      </c>
    </row>
    <row r="19058" spans="1:5" ht="15" customHeight="1" x14ac:dyDescent="0.25">
      <c r="A19058" s="1" t="s">
        <v>37270</v>
      </c>
      <c r="B19058" s="1">
        <v>0</v>
      </c>
      <c r="C19058" s="3">
        <v>44551.696400462963</v>
      </c>
      <c r="D19058" s="1" t="s">
        <v>37271</v>
      </c>
      <c r="E19058" s="4" t="str">
        <f ca="1">IFERROR(__xludf.DUMMYFUNCTION("GOOGLETRANSLATE(A1861 , ""tr"" , ""en"")"),"@drfahrettinkoca How is healthy eating? Would you tell?")</f>
        <v>@drfahrettinkoca How is healthy eating? Would you tell?</v>
      </c>
    </row>
    <row r="19059" spans="1:5" ht="15" customHeight="1" x14ac:dyDescent="0.25">
      <c r="A19059" s="1" t="s">
        <v>37272</v>
      </c>
      <c r="B19059" s="1">
        <v>0</v>
      </c>
      <c r="C19059" s="3">
        <v>44551.696134259262</v>
      </c>
      <c r="D19059" s="1" t="s">
        <v>37273</v>
      </c>
      <c r="E19059" s="4" t="str">
        <f ca="1">IFERROR(__xludf.DUMMYFUNCTION("GOOGLETRANSLATE(A1862 , ""tr"" , ""en"")"),"RT @emregulasi: @drfahrettinkoca # Health Culture https://t.co/bvn8fmhraa")</f>
        <v>RT @emregulasi: @drfahrettinkoca # Health Culture https://t.co/bvn8fmhraa</v>
      </c>
    </row>
    <row r="19060" spans="1:5" ht="15" customHeight="1" x14ac:dyDescent="0.25">
      <c r="A19060" s="1" t="s">
        <v>37272</v>
      </c>
      <c r="B19060" s="1">
        <v>0</v>
      </c>
      <c r="C19060" s="3">
        <v>44551.695833333331</v>
      </c>
      <c r="D19060" s="1" t="s">
        <v>37274</v>
      </c>
      <c r="E19060" s="4" t="str">
        <f ca="1">IFERROR(__xludf.DUMMYFUNCTION("GOOGLETRANSLATE(A1863 , ""tr"" , ""en"")"),"RT @emregulasi: @drfahrettinkoca # Health Culture https://t.co/bvn8fmhraa")</f>
        <v>RT @emregulasi: @drfahrettinkoca # Health Culture https://t.co/bvn8fmhraa</v>
      </c>
    </row>
    <row r="19061" spans="1:5" ht="15" customHeight="1" x14ac:dyDescent="0.25">
      <c r="A19061" s="1" t="s">
        <v>37275</v>
      </c>
      <c r="B19061" s="1">
        <v>0</v>
      </c>
      <c r="C19061" s="3">
        <v>44551.694502314815</v>
      </c>
      <c r="D19061" s="1" t="s">
        <v>37276</v>
      </c>
      <c r="E19061" s="4" t="str">
        <f ca="1">IFERROR(__xludf.DUMMYFUNCTION("GOOGLETRANSLATE(A1864 , ""tr"" , ""en"")"),"@drfahrettinka is the minister of that. https://t.co/mcypmozgxm")</f>
        <v>@drfahrettinka is the minister of that. https://t.co/mcypmozgxm</v>
      </c>
    </row>
    <row r="19062" spans="1:5" ht="15" customHeight="1" x14ac:dyDescent="0.25">
      <c r="A19062" s="1" t="s">
        <v>37272</v>
      </c>
      <c r="B19062" s="1">
        <v>0</v>
      </c>
      <c r="C19062" s="3">
        <v>44551.694479166668</v>
      </c>
      <c r="D19062" s="1" t="s">
        <v>37277</v>
      </c>
      <c r="E19062" s="4" t="str">
        <f ca="1">IFERROR(__xludf.DUMMYFUNCTION("GOOGLETRANSLATE(A1865 , ""tr"" , ""en"")"),"RT @emregulasi: @drfahrettinkoca # Health Culture https://t.co/bvn8fmhraa")</f>
        <v>RT @emregulasi: @drfahrettinkoca # Health Culture https://t.co/bvn8fmhraa</v>
      </c>
    </row>
    <row r="19063" spans="1:5" ht="15" customHeight="1" x14ac:dyDescent="0.25">
      <c r="A19063" s="1" t="s">
        <v>37272</v>
      </c>
      <c r="B19063" s="1">
        <v>0</v>
      </c>
      <c r="C19063" s="3">
        <v>44551.693055555559</v>
      </c>
      <c r="D19063" s="1" t="s">
        <v>37278</v>
      </c>
      <c r="E19063" s="4" t="str">
        <f ca="1">IFERROR(__xludf.DUMMYFUNCTION("GOOGLETRANSLATE(A1866 , ""tr"" , ""en"")"),"RT @emregulasi: @drfahrettinkoca # Health Culture https://t.co/bvn8fmhraa")</f>
        <v>RT @emregulasi: @drfahrettinkoca # Health Culture https://t.co/bvn8fmhraa</v>
      </c>
    </row>
    <row r="19064" spans="1:5" ht="15" customHeight="1" x14ac:dyDescent="0.25">
      <c r="A19064" s="1" t="s">
        <v>37272</v>
      </c>
      <c r="B19064" s="1">
        <v>0</v>
      </c>
      <c r="C19064" s="3">
        <v>44551.691805555558</v>
      </c>
      <c r="D19064" s="1" t="s">
        <v>37279</v>
      </c>
      <c r="E19064" s="4" t="str">
        <f ca="1">IFERROR(__xludf.DUMMYFUNCTION("GOOGLETRANSLATE(A1867 , ""tr"" , ""en"")"),"RT @emregulasi: @drfahrettinkoca # Health Culture https://t.co/bvn8fmhraa")</f>
        <v>RT @emregulasi: @drfahrettinkoca # Health Culture https://t.co/bvn8fmhraa</v>
      </c>
    </row>
    <row r="19065" spans="1:5" ht="15" customHeight="1" x14ac:dyDescent="0.25">
      <c r="A19065" s="1" t="s">
        <v>37272</v>
      </c>
      <c r="B19065" s="1">
        <v>0</v>
      </c>
      <c r="C19065" s="3">
        <v>44551.690833333334</v>
      </c>
      <c r="D19065" s="1" t="s">
        <v>37280</v>
      </c>
      <c r="E19065" s="4" t="str">
        <f ca="1">IFERROR(__xludf.DUMMYFUNCTION("GOOGLETRANSLATE(A1868 , ""tr"" , ""en"")"),"RT @emregulasi: @drfahrettinkoca # Health Culture https://t.co/bvn8fmhraa")</f>
        <v>RT @emregulasi: @drfahrettinkoca # Health Culture https://t.co/bvn8fmhraa</v>
      </c>
    </row>
    <row r="19066" spans="1:5" ht="15" customHeight="1" x14ac:dyDescent="0.25">
      <c r="A19066" s="1" t="s">
        <v>37281</v>
      </c>
      <c r="B19066" s="1">
        <v>0</v>
      </c>
      <c r="C19066" s="3">
        <v>44551.689606481479</v>
      </c>
      <c r="D19066" s="1" t="s">
        <v>37282</v>
      </c>
      <c r="E19066" s="4" t="str">
        <f ca="1">IFERROR(__xludf.DUMMYFUNCTION("GOOGLETRANSLATE(A1869 , ""tr"" , ""en"")"),"@drfahrettinkoca give up and work in private hospital? Https://t.co/1fafbvw036")</f>
        <v>@drfahrettinkoca give up and work in private hospital? Https://t.co/1fafbvw036</v>
      </c>
    </row>
    <row r="19067" spans="1:5" ht="15" customHeight="1" x14ac:dyDescent="0.25">
      <c r="A19067" s="1" t="s">
        <v>37272</v>
      </c>
      <c r="B19067" s="1">
        <v>0</v>
      </c>
      <c r="C19067" s="3">
        <v>44551.68954861111</v>
      </c>
      <c r="D19067" s="1" t="s">
        <v>37283</v>
      </c>
      <c r="E19067" s="4" t="str">
        <f ca="1">IFERROR(__xludf.DUMMYFUNCTION("GOOGLETRANSLATE(A1870 , ""tr"" , ""en"")"),"RT @emregulasi: @drfahrettinkoca # Health Culture https://t.co/bvn8fmhraa")</f>
        <v>RT @emregulasi: @drfahrettinkoca # Health Culture https://t.co/bvn8fmhraa</v>
      </c>
    </row>
    <row r="19068" spans="1:5" ht="15" customHeight="1" x14ac:dyDescent="0.25">
      <c r="A19068" s="1" t="s">
        <v>37272</v>
      </c>
      <c r="B19068" s="1">
        <v>0</v>
      </c>
      <c r="C19068" s="3">
        <v>44551.687673611108</v>
      </c>
      <c r="D19068" s="1" t="s">
        <v>37284</v>
      </c>
      <c r="E19068" s="4" t="str">
        <f ca="1">IFERROR(__xludf.DUMMYFUNCTION("GOOGLETRANSLATE(A1871 , ""tr"" , ""en"")"),"RT @emregulasi: @drfahrettinkoca # Health Culture https://t.co/bvn8fmhraa")</f>
        <v>RT @emregulasi: @drfahrettinkoca # Health Culture https://t.co/bvn8fmhraa</v>
      </c>
    </row>
    <row r="19069" spans="1:5" ht="15" customHeight="1" x14ac:dyDescent="0.25">
      <c r="A19069" s="1" t="s">
        <v>37272</v>
      </c>
      <c r="B19069" s="1">
        <v>0</v>
      </c>
      <c r="C19069" s="3">
        <v>44551.685173611113</v>
      </c>
      <c r="D19069" s="1" t="s">
        <v>37285</v>
      </c>
      <c r="E19069" s="4" t="str">
        <f ca="1">IFERROR(__xludf.DUMMYFUNCTION("GOOGLETRANSLATE(A1872 , ""tr"" , ""en"")"),"RT @emregulasi: @drfahrettinkoca # Health Culture https://t.co/bvn8fmhraa")</f>
        <v>RT @emregulasi: @drfahrettinkoca # Health Culture https://t.co/bvn8fmhraa</v>
      </c>
    </row>
    <row r="19070" spans="1:5" ht="15" customHeight="1" x14ac:dyDescent="0.25">
      <c r="A19070" s="1" t="s">
        <v>37272</v>
      </c>
      <c r="B19070" s="1">
        <v>0</v>
      </c>
      <c r="C19070" s="3">
        <v>44551.684548611112</v>
      </c>
      <c r="D19070" s="1" t="s">
        <v>37286</v>
      </c>
      <c r="E19070" s="4" t="str">
        <f ca="1">IFERROR(__xludf.DUMMYFUNCTION("GOOGLETRANSLATE(A1873 , ""tr"" , ""en"")"),"RT @emregulasi: @drfahrettinkoca # Health Culture https://t.co/bvn8fmhraa")</f>
        <v>RT @emregulasi: @drfahrettinkoca # Health Culture https://t.co/bvn8fmhraa</v>
      </c>
    </row>
    <row r="19071" spans="1:5" ht="15" customHeight="1" x14ac:dyDescent="0.25">
      <c r="A19071" s="1" t="s">
        <v>37287</v>
      </c>
      <c r="B19071" s="1">
        <v>1</v>
      </c>
      <c r="C19071" s="3">
        <v>44551.684502314813</v>
      </c>
      <c r="D19071" s="1" t="s">
        <v>37288</v>
      </c>
      <c r="E19071" s="4" t="str">
        <f ca="1">IFERROR(__xludf.DUMMYFUNCTION("GOOGLETRANSLATE(A1874 , ""tr"" , ""en"")"),"@drfahrettinkoca @nureddinnebati @hmbsosyalmedya @saglikbakanligi https://t.co/kskmkyhduk")</f>
        <v>@drfahrettinkoca @nureddinnebati @hmbsosyalmedya @saglikbakanligi https://t.co/kskmkyhduk</v>
      </c>
    </row>
    <row r="19072" spans="1:5" ht="15" customHeight="1" x14ac:dyDescent="0.25">
      <c r="A19072" s="1" t="s">
        <v>37272</v>
      </c>
      <c r="B19072" s="1">
        <v>0</v>
      </c>
      <c r="C19072" s="3">
        <v>44551.684317129628</v>
      </c>
      <c r="D19072" s="1" t="s">
        <v>37289</v>
      </c>
      <c r="E19072" s="4" t="str">
        <f ca="1">IFERROR(__xludf.DUMMYFUNCTION("GOOGLETRANSLATE(A1875 , ""tr"" , ""en"")"),"RT @emregulasi: @drfahrettinkoca # Health Culture https://t.co/bvn8fmhraa")</f>
        <v>RT @emregulasi: @drfahrettinkoca # Health Culture https://t.co/bvn8fmhraa</v>
      </c>
    </row>
    <row r="19073" spans="1:5" ht="15" customHeight="1" x14ac:dyDescent="0.25">
      <c r="A19073" s="1" t="s">
        <v>37272</v>
      </c>
      <c r="B19073" s="1">
        <v>0</v>
      </c>
      <c r="C19073" s="3">
        <v>44551.684201388889</v>
      </c>
      <c r="D19073" s="1" t="s">
        <v>37290</v>
      </c>
      <c r="E19073" s="4" t="str">
        <f ca="1">IFERROR(__xludf.DUMMYFUNCTION("GOOGLETRANSLATE(A1876 , ""tr"" , ""en"")"),"RT @emregulasi: @drfahrettinkoca # Health Culture https://t.co/bvn8fmhraa")</f>
        <v>RT @emregulasi: @drfahrettinkoca # Health Culture https://t.co/bvn8fmhraa</v>
      </c>
    </row>
    <row r="19074" spans="1:5" ht="15" customHeight="1" x14ac:dyDescent="0.25">
      <c r="A19074" s="1" t="s">
        <v>37291</v>
      </c>
      <c r="B19074" s="1">
        <v>0</v>
      </c>
      <c r="C19074" s="3">
        <v>44551.683541666665</v>
      </c>
      <c r="D19074" s="1" t="s">
        <v>37292</v>
      </c>
      <c r="E19074" s="4" t="str">
        <f ca="1">IFERROR(__xludf.DUMMYFUNCTION("GOOGLETRANSLATE(A1877 , ""tr"" , ""en"")"),"@drfahrettinka https://t.co/n0bt5qdxsa")</f>
        <v>@drfahrettinka https://t.co/n0bt5qdxsa</v>
      </c>
    </row>
    <row r="19075" spans="1:5" ht="15" customHeight="1" x14ac:dyDescent="0.25">
      <c r="A19075" s="1" t="s">
        <v>37272</v>
      </c>
      <c r="B19075" s="1">
        <v>0</v>
      </c>
      <c r="C19075" s="3">
        <v>44551.68304398148</v>
      </c>
      <c r="D19075" s="1" t="s">
        <v>37293</v>
      </c>
      <c r="E19075" s="4" t="str">
        <f ca="1">IFERROR(__xludf.DUMMYFUNCTION("GOOGLETRANSLATE(A1878 , ""tr"" , ""en"")"),"RT @emregulasi: @drfahrettinkoca # Health Culture https://t.co/bvn8fmhraa")</f>
        <v>RT @emregulasi: @drfahrettinkoca # Health Culture https://t.co/bvn8fmhraa</v>
      </c>
    </row>
    <row r="19076" spans="1:5" ht="15" customHeight="1" x14ac:dyDescent="0.25">
      <c r="A19076" s="1" t="s">
        <v>37294</v>
      </c>
      <c r="B19076" s="1">
        <v>0</v>
      </c>
      <c r="C19076" s="3">
        <v>44551.682592592595</v>
      </c>
      <c r="D19076" s="1" t="s">
        <v>37295</v>
      </c>
      <c r="E19076" s="4" t="str">
        <f ca="1">IFERROR(__xludf.DUMMYFUNCTION("GOOGLETRANSLATE(A1879 , ""tr"" , ""en"")"),"RT @draxx_drqxx: @drfahrettinkoca friends stop these tweets under this tweet we need a real explanation of these photos now ...")</f>
        <v>RT @draxx_drqxx: @drfahrettinkoca friends stop these tweets under this tweet we need a real explanation of these photos now ...</v>
      </c>
    </row>
    <row r="19077" spans="1:5" ht="15" customHeight="1" x14ac:dyDescent="0.25">
      <c r="A19077" s="1" t="s">
        <v>37272</v>
      </c>
      <c r="B19077" s="1">
        <v>0</v>
      </c>
      <c r="C19077" s="3">
        <v>44551.682546296295</v>
      </c>
      <c r="D19077" s="1" t="s">
        <v>37296</v>
      </c>
      <c r="E19077" s="4" t="str">
        <f ca="1">IFERROR(__xludf.DUMMYFUNCTION("GOOGLETRANSLATE(A1880 , ""tr"" , ""en"")"),"RT @emregulasi: @drfahrettinkoca # Health Culture https://t.co/bvn8fmhraa")</f>
        <v>RT @emregulasi: @drfahrettinkoca # Health Culture https://t.co/bvn8fmhraa</v>
      </c>
    </row>
    <row r="19078" spans="1:5" ht="15" customHeight="1" x14ac:dyDescent="0.25">
      <c r="A19078" s="1" t="s">
        <v>37272</v>
      </c>
      <c r="B19078" s="1">
        <v>0</v>
      </c>
      <c r="C19078" s="3">
        <v>44551.682233796295</v>
      </c>
      <c r="D19078" s="1" t="s">
        <v>37297</v>
      </c>
      <c r="E19078" s="4" t="str">
        <f ca="1">IFERROR(__xludf.DUMMYFUNCTION("GOOGLETRANSLATE(A1881 , ""tr"" , ""en"")"),"RT @emregulasi: @drfahrettinkoca # Health Culture https://t.co/bvn8fmhraa")</f>
        <v>RT @emregulasi: @drfahrettinkoca # Health Culture https://t.co/bvn8fmhraa</v>
      </c>
    </row>
    <row r="19079" spans="1:5" ht="15" customHeight="1" x14ac:dyDescent="0.25">
      <c r="A19079" s="1" t="s">
        <v>37298</v>
      </c>
      <c r="B19079" s="1">
        <v>0</v>
      </c>
      <c r="C19079" s="3">
        <v>44551.682164351849</v>
      </c>
      <c r="D19079" s="1" t="s">
        <v>37299</v>
      </c>
      <c r="E19079" s="4" t="str">
        <f ca="1">IFERROR(__xludf.DUMMYFUNCTION("GOOGLETRANSLATE(A1882 , ""tr"" , ""en"")"),"@drfahrettinkoca @saglikbakanligi # HEALTHYASTRIALITYIR HTTPS://T.CO/DRGFVEXVHO")</f>
        <v>@drfahrettinkoca @saglikbakanligi # HEALTHYASTRIALITYIR HTTPS://T.CO/DRGFVEXVHO</v>
      </c>
    </row>
    <row r="19080" spans="1:5" ht="15" customHeight="1" x14ac:dyDescent="0.25">
      <c r="A19080" s="1" t="s">
        <v>37300</v>
      </c>
      <c r="B19080" s="1">
        <v>0</v>
      </c>
      <c r="C19080" s="3">
        <v>44551.679409722223</v>
      </c>
      <c r="D19080" s="1" t="s">
        <v>37301</v>
      </c>
      <c r="E19080" s="4" t="str">
        <f ca="1">IFERROR(__xludf.DUMMYFUNCTION("GOOGLETRANSLATE(A1883 , ""tr"" , ""en"")"),"RT @ sevimteke9: @drfahrettinkoca Cimer by the Message Management Department of Graduates in this way. #demihi assignment ...")</f>
        <v>RT @ sevimteke9: @drfahrettinkoca Cimer by the Message Management Department of Graduates in this way. #demihi assignment ...</v>
      </c>
    </row>
    <row r="19081" spans="1:5" ht="15" customHeight="1" x14ac:dyDescent="0.25">
      <c r="A19081" s="1" t="s">
        <v>37272</v>
      </c>
      <c r="B19081" s="1">
        <v>0</v>
      </c>
      <c r="C19081" s="3">
        <v>44551.679363425923</v>
      </c>
      <c r="D19081" s="1" t="s">
        <v>37302</v>
      </c>
      <c r="E19081" s="4" t="str">
        <f ca="1">IFERROR(__xludf.DUMMYFUNCTION("GOOGLETRANSLATE(A1884 , ""tr"" , ""en"")"),"RT @emregulasi: @drfahrettinkoca # Health Culture https://t.co/bvn8fmhraa")</f>
        <v>RT @emregulasi: @drfahrettinkoca # Health Culture https://t.co/bvn8fmhraa</v>
      </c>
    </row>
    <row r="19082" spans="1:5" ht="15" customHeight="1" x14ac:dyDescent="0.25">
      <c r="A19082" s="1" t="s">
        <v>37272</v>
      </c>
      <c r="B19082" s="1">
        <v>0</v>
      </c>
      <c r="C19082" s="3">
        <v>44551.67759259259</v>
      </c>
      <c r="D19082" s="1" t="s">
        <v>37303</v>
      </c>
      <c r="E19082" s="4" t="str">
        <f ca="1">IFERROR(__xludf.DUMMYFUNCTION("GOOGLETRANSLATE(A1885 , ""tr"" , ""en"")"),"RT @emregulasi: @drfahrettinkoca # Health Culture https://t.co/bvn8fmhraa")</f>
        <v>RT @emregulasi: @drfahrettinkoca # Health Culture https://t.co/bvn8fmhraa</v>
      </c>
    </row>
    <row r="19083" spans="1:5" ht="15" customHeight="1" x14ac:dyDescent="0.25">
      <c r="A19083" s="1" t="s">
        <v>37272</v>
      </c>
      <c r="B19083" s="1">
        <v>0</v>
      </c>
      <c r="C19083" s="3">
        <v>44551.677256944444</v>
      </c>
      <c r="D19083" s="1" t="s">
        <v>37304</v>
      </c>
      <c r="E19083" s="4" t="str">
        <f ca="1">IFERROR(__xludf.DUMMYFUNCTION("GOOGLETRANSLATE(A1886 , ""tr"" , ""en"")"),"RT @emregulasi: @drfahrettinkoca # Health Culture https://t.co/bvn8fmhraa")</f>
        <v>RT @emregulasi: @drfahrettinkoca # Health Culture https://t.co/bvn8fmhraa</v>
      </c>
    </row>
    <row r="19084" spans="1:5" ht="15" customHeight="1" x14ac:dyDescent="0.25">
      <c r="A19084" s="1" t="s">
        <v>37272</v>
      </c>
      <c r="B19084" s="1">
        <v>0</v>
      </c>
      <c r="C19084" s="3">
        <v>44551.67701388889</v>
      </c>
      <c r="D19084" s="1" t="s">
        <v>37305</v>
      </c>
      <c r="E19084" s="4" t="str">
        <f ca="1">IFERROR(__xludf.DUMMYFUNCTION("GOOGLETRANSLATE(A1887 , ""tr"" , ""en"")"),"RT @emregulasi: @drfahrettinkoca # Health Culture https://t.co/bvn8fmhraa")</f>
        <v>RT @emregulasi: @drfahrettinkoca # Health Culture https://t.co/bvn8fmhraa</v>
      </c>
    </row>
    <row r="19085" spans="1:5" ht="15" customHeight="1" x14ac:dyDescent="0.25">
      <c r="A19085" s="1" t="s">
        <v>37272</v>
      </c>
      <c r="B19085" s="1">
        <v>0</v>
      </c>
      <c r="C19085" s="3">
        <v>44551.676886574074</v>
      </c>
      <c r="D19085" s="1" t="s">
        <v>37306</v>
      </c>
      <c r="E19085" s="4" t="str">
        <f ca="1">IFERROR(__xludf.DUMMYFUNCTION("GOOGLETRANSLATE(A1888 , ""tr"" , ""en"")"),"RT @emregulasi: @drfahrettinkoca # Health Culture https://t.co/bvn8fmhraa")</f>
        <v>RT @emregulasi: @drfahrettinkoca # Health Culture https://t.co/bvn8fmhraa</v>
      </c>
    </row>
    <row r="19086" spans="1:5" ht="15" customHeight="1" x14ac:dyDescent="0.25">
      <c r="A19086" s="1" t="s">
        <v>37272</v>
      </c>
      <c r="B19086" s="1">
        <v>0</v>
      </c>
      <c r="C19086" s="3">
        <v>44551.676851851851</v>
      </c>
      <c r="D19086" s="1" t="s">
        <v>37307</v>
      </c>
      <c r="E19086" s="4" t="str">
        <f ca="1">IFERROR(__xludf.DUMMYFUNCTION("GOOGLETRANSLATE(A1889 , ""tr"" , ""en"")"),"RT @emregulasi: @drfahrettinkoca # Health Culture https://t.co/bvn8fmhraa")</f>
        <v>RT @emregulasi: @drfahrettinkoca # Health Culture https://t.co/bvn8fmhraa</v>
      </c>
    </row>
    <row r="19087" spans="1:5" ht="15" customHeight="1" x14ac:dyDescent="0.25">
      <c r="A19087" s="1" t="s">
        <v>37272</v>
      </c>
      <c r="B19087" s="1">
        <v>0</v>
      </c>
      <c r="C19087" s="3">
        <v>44551.676608796297</v>
      </c>
      <c r="D19087" s="1" t="s">
        <v>37308</v>
      </c>
      <c r="E19087" s="4" t="str">
        <f ca="1">IFERROR(__xludf.DUMMYFUNCTION("GOOGLETRANSLATE(A1890 , ""tr"" , ""en"")"),"RT @emregulasi: @drfahrettinkoca # Health Culture https://t.co/bvn8fmhraa")</f>
        <v>RT @emregulasi: @drfahrettinkoca # Health Culture https://t.co/bvn8fmhraa</v>
      </c>
    </row>
    <row r="19088" spans="1:5" ht="15" customHeight="1" x14ac:dyDescent="0.25">
      <c r="A19088" s="1" t="s">
        <v>37309</v>
      </c>
      <c r="B19088" s="1">
        <v>3</v>
      </c>
      <c r="C19088" s="3">
        <v>44551.676481481481</v>
      </c>
      <c r="D19088" s="1" t="s">
        <v>37310</v>
      </c>
      <c r="E19088" s="4" t="str">
        <f ca="1">IFERROR(__xludf.DUMMYFUNCTION("GOOGLETRANSLATE(A1891 , ""tr"" , ""en"")"),"@drfahrettinkoca Cimer by the Message Management Department of Graduates in this way. #sheye ... https://t.co/v7lqhjxdhh")</f>
        <v>@drfahrettinkoca Cimer by the Message Management Department of Graduates in this way. #sheye ... https://t.co/v7lqhjxdhh</v>
      </c>
    </row>
    <row r="19089" spans="1:5" ht="15" customHeight="1" x14ac:dyDescent="0.25">
      <c r="A19089" s="1" t="s">
        <v>37311</v>
      </c>
      <c r="B19089" s="1">
        <v>0</v>
      </c>
      <c r="C19089" s="3">
        <v>44551.676226851851</v>
      </c>
      <c r="D19089" s="1" t="s">
        <v>37312</v>
      </c>
      <c r="E19089" s="4" t="str">
        <f ca="1">IFERROR(__xludf.DUMMYFUNCTION("GOOGLETRANSLATE(A1892 , ""tr"" , ""en"")"),"RT @busbusenn: @drfahrettinkoca Who is this who is anymore? https://t.co/9wslpq9ugu")</f>
        <v>RT @busbusenn: @drfahrettinkoca Who is this who is anymore? https://t.co/9wslpq9ugu</v>
      </c>
    </row>
    <row r="19090" spans="1:5" ht="15" customHeight="1" x14ac:dyDescent="0.25">
      <c r="A19090" s="1" t="s">
        <v>37272</v>
      </c>
      <c r="B19090" s="1">
        <v>0</v>
      </c>
      <c r="C19090" s="3">
        <v>44551.676122685189</v>
      </c>
      <c r="D19090" s="1" t="s">
        <v>37313</v>
      </c>
      <c r="E19090" s="4" t="str">
        <f ca="1">IFERROR(__xludf.DUMMYFUNCTION("GOOGLETRANSLATE(A1893 , ""tr"" , ""en"")"),"RT @emregulasi: @drfahrettinkoca # Health Culture https://t.co/bvn8fmhraa")</f>
        <v>RT @emregulasi: @drfahrettinkoca # Health Culture https://t.co/bvn8fmhraa</v>
      </c>
    </row>
    <row r="19091" spans="1:5" ht="15" customHeight="1" x14ac:dyDescent="0.25">
      <c r="A19091" s="1" t="s">
        <v>37314</v>
      </c>
      <c r="B19091" s="1">
        <v>0</v>
      </c>
      <c r="C19091" s="3">
        <v>44551.676087962966</v>
      </c>
      <c r="D19091" s="1" t="s">
        <v>37315</v>
      </c>
      <c r="E19091" s="4" t="str">
        <f ca="1">IFERROR(__xludf.DUMMYFUNCTION("GOOGLETRANSLATE(A1894 , ""tr"" , ""en"")"),"RT @tckurbai: @drfahrettinkoca @who says no vaccines that are effective against the omicron variant, you still say vaccine ...")</f>
        <v>RT @tckurbai: @drfahrettinkoca @who says no vaccines that are effective against the omicron variant, you still say vaccine ...</v>
      </c>
    </row>
    <row r="19092" spans="1:5" ht="15" customHeight="1" x14ac:dyDescent="0.25">
      <c r="A19092" s="1" t="s">
        <v>37272</v>
      </c>
      <c r="B19092" s="1">
        <v>0</v>
      </c>
      <c r="C19092" s="3">
        <v>44551.676064814812</v>
      </c>
      <c r="D19092" s="1" t="s">
        <v>37316</v>
      </c>
      <c r="E19092" s="4" t="str">
        <f ca="1">IFERROR(__xludf.DUMMYFUNCTION("GOOGLETRANSLATE(A1895 , ""tr"" , ""en"")"),"RT @emregulasi: @drfahrettinkoca # Health Culture https://t.co/bvn8fmhraa")</f>
        <v>RT @emregulasi: @drfahrettinkoca # Health Culture https://t.co/bvn8fmhraa</v>
      </c>
    </row>
    <row r="19093" spans="1:5" ht="15" customHeight="1" x14ac:dyDescent="0.25">
      <c r="A19093" s="1" t="s">
        <v>37272</v>
      </c>
      <c r="B19093" s="1">
        <v>0</v>
      </c>
      <c r="C19093" s="3">
        <v>44551.675925925927</v>
      </c>
      <c r="D19093" s="1" t="s">
        <v>37317</v>
      </c>
      <c r="E19093" s="4" t="str">
        <f ca="1">IFERROR(__xludf.DUMMYFUNCTION("GOOGLETRANSLATE(A1896 , ""tr"" , ""en"")"),"RT @emregulasi: @drfahrettinkoca # Health Culture https://t.co/bvn8fmhraa")</f>
        <v>RT @emregulasi: @drfahrettinkoca # Health Culture https://t.co/bvn8fmhraa</v>
      </c>
    </row>
    <row r="19094" spans="1:5" ht="15" customHeight="1" x14ac:dyDescent="0.25">
      <c r="A19094" s="1" t="s">
        <v>37272</v>
      </c>
      <c r="B19094" s="1">
        <v>0</v>
      </c>
      <c r="C19094" s="3">
        <v>44551.675856481481</v>
      </c>
      <c r="D19094" s="1" t="s">
        <v>37318</v>
      </c>
      <c r="E19094" s="4" t="str">
        <f ca="1">IFERROR(__xludf.DUMMYFUNCTION("GOOGLETRANSLATE(A1897 , ""tr"" , ""en"")"),"RT @emregulasi: @drfahrettinkoca # Health Culture https://t.co/bvn8fmhraa")</f>
        <v>RT @emregulasi: @drfahrettinkoca # Health Culture https://t.co/bvn8fmhraa</v>
      </c>
    </row>
    <row r="19095" spans="1:5" ht="15" customHeight="1" x14ac:dyDescent="0.25">
      <c r="A19095" s="1" t="s">
        <v>37319</v>
      </c>
      <c r="B19095" s="1">
        <v>0</v>
      </c>
      <c r="C19095" s="3">
        <v>44551.675856481481</v>
      </c>
      <c r="D19095" s="1" t="s">
        <v>37320</v>
      </c>
      <c r="E19095" s="4" t="str">
        <f ca="1">IFERROR(__xludf.DUMMYFUNCTION("GOOGLETRANSLATE(A1898 , ""tr"" , ""en"")"),"RT @ Der1ki: @drfahrettinkoca 16 December 36 thousand cases? 19 December 34 thousand cases? https://t.co/he0ed8mi7q")</f>
        <v>RT @ Der1ki: @drfahrettinkoca 16 December 36 thousand cases? 19 December 34 thousand cases? https://t.co/he0ed8mi7q</v>
      </c>
    </row>
    <row r="19096" spans="1:5" ht="15" customHeight="1" x14ac:dyDescent="0.25">
      <c r="A19096" s="1" t="s">
        <v>37272</v>
      </c>
      <c r="B19096" s="1">
        <v>0</v>
      </c>
      <c r="C19096" s="3">
        <v>44551.674421296295</v>
      </c>
      <c r="D19096" s="1" t="s">
        <v>37321</v>
      </c>
      <c r="E19096" s="4" t="str">
        <f ca="1">IFERROR(__xludf.DUMMYFUNCTION("GOOGLETRANSLATE(A1899 , ""tr"" , ""en"")"),"RT @emregulasi: @drfahrettinkoca # Health Culture https://t.co/bvn8fmhraa")</f>
        <v>RT @emregulasi: @drfahrettinkoca # Health Culture https://t.co/bvn8fmhraa</v>
      </c>
    </row>
    <row r="19097" spans="1:5" ht="15" customHeight="1" x14ac:dyDescent="0.25">
      <c r="A19097" s="1" t="s">
        <v>37272</v>
      </c>
      <c r="B19097" s="1">
        <v>0</v>
      </c>
      <c r="C19097" s="3">
        <v>44551.674004629633</v>
      </c>
      <c r="D19097" s="1" t="s">
        <v>37322</v>
      </c>
      <c r="E19097" s="4" t="str">
        <f ca="1">IFERROR(__xludf.DUMMYFUNCTION("GOOGLETRANSLATE(A1900 , ""tr"" , ""en"")"),"RT @emregulasi: @drfahrettinkoca # Health Culture https://t.co/bvn8fmhraa")</f>
        <v>RT @emregulasi: @drfahrettinkoca # Health Culture https://t.co/bvn8fmhraa</v>
      </c>
    </row>
    <row r="19098" spans="1:5" ht="15" customHeight="1" x14ac:dyDescent="0.25">
      <c r="A19098" s="1" t="s">
        <v>37272</v>
      </c>
      <c r="B19098" s="1">
        <v>0</v>
      </c>
      <c r="C19098" s="3">
        <v>44551.673657407409</v>
      </c>
      <c r="D19098" s="1" t="s">
        <v>37323</v>
      </c>
      <c r="E19098" s="4" t="str">
        <f ca="1">IFERROR(__xludf.DUMMYFUNCTION("GOOGLETRANSLATE(A1901 , ""tr"" , ""en"")"),"RT @emregulasi: @drfahrettinkoca # Health Culture https://t.co/bvn8fmhraa")</f>
        <v>RT @emregulasi: @drfahrettinkoca # Health Culture https://t.co/bvn8fmhraa</v>
      </c>
    </row>
    <row r="19099" spans="1:5" ht="15" customHeight="1" x14ac:dyDescent="0.25">
      <c r="A19099" s="1" t="s">
        <v>37272</v>
      </c>
      <c r="B19099" s="1">
        <v>0</v>
      </c>
      <c r="C19099" s="3">
        <v>44551.670624999999</v>
      </c>
      <c r="D19099" s="1" t="s">
        <v>37324</v>
      </c>
      <c r="E19099" s="4" t="str">
        <f ca="1">IFERROR(__xludf.DUMMYFUNCTION("GOOGLETRANSLATE(A1902 , ""tr"" , ""en"")"),"RT @emregulasi: @drfahrettinkoca # Health Culture https://t.co/bvn8fmhraa")</f>
        <v>RT @emregulasi: @drfahrettinkoca # Health Culture https://t.co/bvn8fmhraa</v>
      </c>
    </row>
    <row r="19100" spans="1:5" ht="15" customHeight="1" x14ac:dyDescent="0.25">
      <c r="A19100" s="1" t="s">
        <v>37272</v>
      </c>
      <c r="B19100" s="1">
        <v>0</v>
      </c>
      <c r="C19100" s="3">
        <v>44551.670034722221</v>
      </c>
      <c r="D19100" s="1" t="s">
        <v>37325</v>
      </c>
      <c r="E19100" s="4" t="str">
        <f ca="1">IFERROR(__xludf.DUMMYFUNCTION("GOOGLETRANSLATE(A1903 , ""tr"" , ""en"")"),"RT @emregulasi: @drfahrettinkoca # Health Culture https://t.co/bvn8fmhraa")</f>
        <v>RT @emregulasi: @drfahrettinkoca # Health Culture https://t.co/bvn8fmhraa</v>
      </c>
    </row>
    <row r="19101" spans="1:5" ht="15" customHeight="1" x14ac:dyDescent="0.25">
      <c r="A19101" s="1" t="s">
        <v>37326</v>
      </c>
      <c r="B19101" s="1">
        <v>0</v>
      </c>
      <c r="C19101" s="3">
        <v>44551.668796296297</v>
      </c>
      <c r="D19101" s="1" t="s">
        <v>37327</v>
      </c>
      <c r="E19101" s="4" t="str">
        <f ca="1">IFERROR(__xludf.DUMMYFUNCTION("GOOGLETRANSLATE(A1904 , ""tr"" , ""en"")"),"@drfahrettinkoca Our children are the health worker for this? https://t.co/ıkpttg4nqv")</f>
        <v>@drfahrettinkoca Our children are the health worker for this? https://t.co/ıkpttg4nqv</v>
      </c>
    </row>
    <row r="19102" spans="1:5" ht="15" customHeight="1" x14ac:dyDescent="0.25">
      <c r="A19102" s="1" t="s">
        <v>37328</v>
      </c>
      <c r="B19102" s="1">
        <v>0</v>
      </c>
      <c r="C19102" s="3">
        <v>44551.668553240743</v>
      </c>
      <c r="D19102" s="1">
        <v>1.47332305172736E+18</v>
      </c>
      <c r="E19102" s="4" t="str">
        <f ca="1">IFERROR(__xludf.DUMMYFUNCTION("GOOGLETRANSLATE(A1905 , ""tr"" , ""en"")"),"@drfahrettinkoca Mr. Minister, the state has.Acil also how many rows, there are 222 people in ahead of 50 people in 1 hour ... https://t.co/q4shormats")</f>
        <v>@drfahrettinkoca Mr. Minister, the state has.Acil also how many rows, there are 222 people in ahead of 50 people in 1 hour ... https://t.co/q4shormats</v>
      </c>
    </row>
    <row r="19103" spans="1:5" ht="15" customHeight="1" x14ac:dyDescent="0.25">
      <c r="A19103" s="1" t="s">
        <v>37272</v>
      </c>
      <c r="B19103" s="1">
        <v>0</v>
      </c>
      <c r="C19103" s="3">
        <v>44551.668391203704</v>
      </c>
      <c r="D19103" s="1" t="s">
        <v>37329</v>
      </c>
      <c r="E19103" s="4" t="str">
        <f ca="1">IFERROR(__xludf.DUMMYFUNCTION("GOOGLETRANSLATE(A1906 , ""tr"" , ""en"")"),"RT @emregulasi: @drfahrettinkoca # Health Culture https://t.co/bvn8fmhraa")</f>
        <v>RT @emregulasi: @drfahrettinkoca # Health Culture https://t.co/bvn8fmhraa</v>
      </c>
    </row>
    <row r="19104" spans="1:5" ht="15" customHeight="1" x14ac:dyDescent="0.25">
      <c r="A19104" s="1" t="s">
        <v>37272</v>
      </c>
      <c r="B19104" s="1">
        <v>0</v>
      </c>
      <c r="C19104" s="3">
        <v>44551.668009259258</v>
      </c>
      <c r="D19104" s="1" t="s">
        <v>37330</v>
      </c>
      <c r="E19104" s="4" t="str">
        <f ca="1">IFERROR(__xludf.DUMMYFUNCTION("GOOGLETRANSLATE(A1907 , ""tr"" , ""en"")"),"RT @emregulasi: @drfahrettinkoca # Health Culture https://t.co/bvn8fmhraa")</f>
        <v>RT @emregulasi: @drfahrettinkoca # Health Culture https://t.co/bvn8fmhraa</v>
      </c>
    </row>
    <row r="19105" spans="1:5" ht="15" customHeight="1" x14ac:dyDescent="0.25">
      <c r="A19105" s="1" t="s">
        <v>37272</v>
      </c>
      <c r="B19105" s="1">
        <v>0</v>
      </c>
      <c r="C19105" s="3">
        <v>44551.667164351849</v>
      </c>
      <c r="D19105" s="1" t="s">
        <v>37331</v>
      </c>
      <c r="E19105" s="4" t="str">
        <f ca="1">IFERROR(__xludf.DUMMYFUNCTION("GOOGLETRANSLATE(A1908 , ""tr"" , ""en"")"),"RT @emregulasi: @drfahrettinkoca # Health Culture https://t.co/bvn8fmhraa")</f>
        <v>RT @emregulasi: @drfahrettinkoca # Health Culture https://t.co/bvn8fmhraa</v>
      </c>
    </row>
    <row r="19106" spans="1:5" ht="15" customHeight="1" x14ac:dyDescent="0.25">
      <c r="A19106" s="1" t="s">
        <v>37332</v>
      </c>
      <c r="B19106" s="1">
        <v>0</v>
      </c>
      <c r="C19106" s="3">
        <v>44551.666990740741</v>
      </c>
      <c r="D19106" s="1" t="s">
        <v>37333</v>
      </c>
      <c r="E19106" s="4" t="str">
        <f ca="1">IFERROR(__xludf.DUMMYFUNCTION("GOOGLETRANSLATE(A1909 , ""tr"" , ""en"")"),"Rt @ Drilia31: @drfahrettinkoca @drfahrettinka @saglikbakanligi @ttborgtr # Health is aid Culture #")</f>
        <v>Rt @ Drilia31: @drfahrettinkoca @drfahrettinka @saglikbakanligi @ttborgtr # Health is aid Culture #</v>
      </c>
    </row>
    <row r="19107" spans="1:5" ht="15" customHeight="1" x14ac:dyDescent="0.25">
      <c r="A19107" s="1" t="s">
        <v>37334</v>
      </c>
      <c r="B19107" s="1">
        <v>0</v>
      </c>
      <c r="C19107" s="3">
        <v>44551.666261574072</v>
      </c>
      <c r="D19107" s="1" t="s">
        <v>37335</v>
      </c>
      <c r="E19107" s="4" t="str">
        <f ca="1">IFERROR(__xludf.DUMMYFUNCTION("GOOGLETRANSLATE(A1910 , ""tr"" , ""en"")"),"RT @ FALCAO5656: @drfahrettinkoca students wants online training #chankkurukilerceklaklama")</f>
        <v>RT @ FALCAO5656: @drfahrettinkoca students wants online training #chankkurukilerceklaklama</v>
      </c>
    </row>
    <row r="19108" spans="1:5" ht="15" customHeight="1" x14ac:dyDescent="0.25">
      <c r="A19108" s="1" t="s">
        <v>37272</v>
      </c>
      <c r="B19108" s="1">
        <v>0</v>
      </c>
      <c r="C19108" s="3">
        <v>44551.666006944448</v>
      </c>
      <c r="D19108" s="1" t="s">
        <v>37336</v>
      </c>
      <c r="E19108" s="4" t="str">
        <f ca="1">IFERROR(__xludf.DUMMYFUNCTION("GOOGLETRANSLATE(A1911 , ""tr"" , ""en"")"),"RT @emregulasi: @drfahrettinkoca # Health Culture https://t.co/bvn8fmhraa")</f>
        <v>RT @emregulasi: @drfahrettinkoca # Health Culture https://t.co/bvn8fmhraa</v>
      </c>
    </row>
    <row r="19109" spans="1:5" ht="15" customHeight="1" x14ac:dyDescent="0.25">
      <c r="A19109" s="1" t="s">
        <v>37337</v>
      </c>
      <c r="B19109" s="1">
        <v>0</v>
      </c>
      <c r="C19109" s="3">
        <v>44551.665208333332</v>
      </c>
      <c r="D19109" s="1" t="s">
        <v>37338</v>
      </c>
      <c r="E19109" s="4" t="str">
        <f ca="1">IFERROR(__xludf.DUMMYFUNCTION("GOOGLETRANSLATE(A1912 , ""tr"" , ""en"")"),"@drfahrettinkoca @saglikbakanligi @ HealthSetTownSone Https://T.CO/IJ3MK4VRCL")</f>
        <v>@drfahrettinkoca @saglikbakanligi @ HealthSetTownSone Https://T.CO/IJ3MK4VRCL</v>
      </c>
    </row>
    <row r="19110" spans="1:5" ht="15" customHeight="1" x14ac:dyDescent="0.25">
      <c r="A19110" s="1" t="s">
        <v>37272</v>
      </c>
      <c r="B19110" s="1">
        <v>0</v>
      </c>
      <c r="C19110" s="3">
        <v>44551.664398148147</v>
      </c>
      <c r="D19110" s="1" t="s">
        <v>37339</v>
      </c>
      <c r="E19110" s="4" t="str">
        <f ca="1">IFERROR(__xludf.DUMMYFUNCTION("GOOGLETRANSLATE(A1913 , ""tr"" , ""en"")"),"RT @emregulasi: @drfahrettinkoca # Health Culture https://t.co/bvn8fmhraa")</f>
        <v>RT @emregulasi: @drfahrettinkoca # Health Culture https://t.co/bvn8fmhraa</v>
      </c>
    </row>
    <row r="19111" spans="1:5" ht="15" customHeight="1" x14ac:dyDescent="0.25">
      <c r="A19111" s="1" t="s">
        <v>37272</v>
      </c>
      <c r="B19111" s="1">
        <v>0</v>
      </c>
      <c r="C19111" s="3">
        <v>44551.66238425926</v>
      </c>
      <c r="D19111" s="1" t="s">
        <v>37340</v>
      </c>
      <c r="E19111" s="4" t="str">
        <f ca="1">IFERROR(__xludf.DUMMYFUNCTION("GOOGLETRANSLATE(A1914 , ""tr"" , ""en"")"),"RT @emregulasi: @drfahrettinkoca # Health Culture https://t.co/bvn8fmhraa")</f>
        <v>RT @emregulasi: @drfahrettinkoca # Health Culture https://t.co/bvn8fmhraa</v>
      </c>
    </row>
    <row r="19112" spans="1:5" ht="15" customHeight="1" x14ac:dyDescent="0.25">
      <c r="A19112" s="1" t="s">
        <v>37341</v>
      </c>
      <c r="B19112" s="1">
        <v>0</v>
      </c>
      <c r="C19112" s="3">
        <v>44551.660532407404</v>
      </c>
      <c r="D19112" s="1" t="s">
        <v>37342</v>
      </c>
      <c r="E19112" s="4" t="str">
        <f ca="1">IFERROR(__xludf.DUMMYFUNCTION("GOOGLETRANSLATE(A1915 , ""tr"" , ""en"")"),"@drfahrettinkoca @bilohtörülu_ Science Board Member waiting for me to prepare? Have you made preparation? https://t.co/epgkjgui44")</f>
        <v>@drfahrettinkoca @bilohtörülu_ Science Board Member waiting for me to prepare? Have you made preparation? https://t.co/epgkjgui44</v>
      </c>
    </row>
    <row r="19113" spans="1:5" ht="15" customHeight="1" x14ac:dyDescent="0.25">
      <c r="A19113" s="1" t="s">
        <v>37272</v>
      </c>
      <c r="B19113" s="1">
        <v>0</v>
      </c>
      <c r="C19113" s="3">
        <v>44551.660532407404</v>
      </c>
      <c r="D19113" s="1" t="s">
        <v>37343</v>
      </c>
      <c r="E19113" s="4" t="str">
        <f ca="1">IFERROR(__xludf.DUMMYFUNCTION("GOOGLETRANSLATE(A1916 , ""tr"" , ""en"")"),"RT @emregulasi: @drfahrettinkoca # Health Culture https://t.co/bvn8fmhraa")</f>
        <v>RT @emregulasi: @drfahrettinkoca # Health Culture https://t.co/bvn8fmhraa</v>
      </c>
    </row>
    <row r="19114" spans="1:5" ht="15" customHeight="1" x14ac:dyDescent="0.25">
      <c r="A19114" s="1" t="s">
        <v>37332</v>
      </c>
      <c r="B19114" s="1">
        <v>0</v>
      </c>
      <c r="C19114" s="3">
        <v>44551.659537037034</v>
      </c>
      <c r="D19114" s="1" t="s">
        <v>37344</v>
      </c>
      <c r="E19114" s="4" t="str">
        <f ca="1">IFERROR(__xludf.DUMMYFUNCTION("GOOGLETRANSLATE(A1917 , ""tr"" , ""en"")"),"Rt @ Drilia31: @drfahrettinkoca @drfahrettinka @saglikbakanligi @ttborgtr # Health is aid Culture #")</f>
        <v>Rt @ Drilia31: @drfahrettinkoca @drfahrettinka @saglikbakanligi @ttborgtr # Health is aid Culture #</v>
      </c>
    </row>
    <row r="19115" spans="1:5" ht="15" customHeight="1" x14ac:dyDescent="0.25">
      <c r="A19115" s="1" t="s">
        <v>37272</v>
      </c>
      <c r="B19115" s="1">
        <v>0</v>
      </c>
      <c r="C19115" s="3">
        <v>44551.659004629626</v>
      </c>
      <c r="D19115" s="1" t="s">
        <v>37345</v>
      </c>
      <c r="E19115" s="4" t="str">
        <f ca="1">IFERROR(__xludf.DUMMYFUNCTION("GOOGLETRANSLATE(A1918 , ""tr"" , ""en"")"),"RT @emregulasi: @drfahrettinkoca # Health Culture https://t.co/bvn8fmhraa")</f>
        <v>RT @emregulasi: @drfahrettinkoca # Health Culture https://t.co/bvn8fmhraa</v>
      </c>
    </row>
    <row r="19116" spans="1:5" ht="15" customHeight="1" x14ac:dyDescent="0.25">
      <c r="A19116" s="1" t="s">
        <v>37272</v>
      </c>
      <c r="B19116" s="1">
        <v>0</v>
      </c>
      <c r="C19116" s="3">
        <v>44551.658888888887</v>
      </c>
      <c r="D19116" s="1" t="s">
        <v>37346</v>
      </c>
      <c r="E19116" s="4" t="str">
        <f ca="1">IFERROR(__xludf.DUMMYFUNCTION("GOOGLETRANSLATE(A1919 , ""tr"" , ""en"")"),"RT @emregulasi: @drfahrettinkoca # Health Culture https://t.co/bvn8fmhraa")</f>
        <v>RT @emregulasi: @drfahrettinkoca # Health Culture https://t.co/bvn8fmhraa</v>
      </c>
    </row>
    <row r="19117" spans="1:5" ht="15" customHeight="1" x14ac:dyDescent="0.25">
      <c r="A19117" s="1" t="s">
        <v>37347</v>
      </c>
      <c r="B19117" s="1">
        <v>2</v>
      </c>
      <c r="C19117" s="3">
        <v>44551.658391203702</v>
      </c>
      <c r="D19117" s="1" t="s">
        <v>37348</v>
      </c>
      <c r="E19117" s="4" t="str">
        <f ca="1">IFERROR(__xludf.DUMMYFUNCTION("GOOGLETRANSLATE(A1920 , ""tr"" , ""en"")"),"@drfahrettinkoca @saglikbakanligi @ttborgtr # HEALTHESTASTAKIKIR # HealthyChariNkocaneReReReReReReReReReSe ... https://t.co/obnbio4lhc")</f>
        <v>@drfahrettinkoca @saglikbakanligi @ttborgtr # HEALTHESTASTAKIKIR # HealthyChariNkocaneReReReReReReReReReSe ... https://t.co/obnbio4lhc</v>
      </c>
    </row>
    <row r="19118" spans="1:5" ht="15" customHeight="1" x14ac:dyDescent="0.25">
      <c r="A19118" s="1" t="s">
        <v>37272</v>
      </c>
      <c r="B19118" s="1">
        <v>0</v>
      </c>
      <c r="C19118" s="3">
        <v>44551.658275462964</v>
      </c>
      <c r="D19118" s="1" t="s">
        <v>37349</v>
      </c>
      <c r="E19118" s="4" t="str">
        <f ca="1">IFERROR(__xludf.DUMMYFUNCTION("GOOGLETRANSLATE(A1921 , ""tr"" , ""en"")"),"RT @emregulasi: @drfahrettinkoca # Health Culture https://t.co/bvn8fmhraa")</f>
        <v>RT @emregulasi: @drfahrettinkoca # Health Culture https://t.co/bvn8fmhraa</v>
      </c>
    </row>
    <row r="19119" spans="1:5" ht="15" customHeight="1" x14ac:dyDescent="0.25">
      <c r="A19119" s="1" t="s">
        <v>37272</v>
      </c>
      <c r="B19119" s="1">
        <v>0</v>
      </c>
      <c r="C19119" s="3">
        <v>44551.65797453704</v>
      </c>
      <c r="D19119" s="1" t="s">
        <v>37350</v>
      </c>
      <c r="E19119" s="4" t="str">
        <f ca="1">IFERROR(__xludf.DUMMYFUNCTION("GOOGLETRANSLATE(A1922 , ""tr"" , ""en"")"),"RT @emregulasi: @drfahrettinkoca # Health Culture https://t.co/bvn8fmhraa")</f>
        <v>RT @emregulasi: @drfahrettinkoca # Health Culture https://t.co/bvn8fmhraa</v>
      </c>
    </row>
    <row r="19120" spans="1:5" ht="15" customHeight="1" x14ac:dyDescent="0.25">
      <c r="A19120" s="1" t="s">
        <v>37272</v>
      </c>
      <c r="B19120" s="1">
        <v>0</v>
      </c>
      <c r="C19120" s="3">
        <v>44551.655821759261</v>
      </c>
      <c r="D19120" s="1" t="s">
        <v>37351</v>
      </c>
      <c r="E19120" s="4" t="str">
        <f ca="1">IFERROR(__xludf.DUMMYFUNCTION("GOOGLETRANSLATE(A1923 , ""tr"" , ""en"")"),"RT @emregulasi: @drfahrettinkoca # Health Culture https://t.co/bvn8fmhraa")</f>
        <v>RT @emregulasi: @drfahrettinkoca # Health Culture https://t.co/bvn8fmhraa</v>
      </c>
    </row>
    <row r="19121" spans="1:5" ht="15" customHeight="1" x14ac:dyDescent="0.25">
      <c r="A19121" s="1" t="s">
        <v>37272</v>
      </c>
      <c r="B19121" s="1">
        <v>0</v>
      </c>
      <c r="C19121" s="3">
        <v>44551.655798611115</v>
      </c>
      <c r="D19121" s="1" t="s">
        <v>37352</v>
      </c>
      <c r="E19121" s="4" t="str">
        <f ca="1">IFERROR(__xludf.DUMMYFUNCTION("GOOGLETRANSLATE(A1924 , ""tr"" , ""en"")"),"RT @emregulasi: @drfahrettinkoca # Health Culture https://t.co/bvn8fmhraa")</f>
        <v>RT @emregulasi: @drfahrettinkoca # Health Culture https://t.co/bvn8fmhraa</v>
      </c>
    </row>
    <row r="19122" spans="1:5" ht="15" customHeight="1" x14ac:dyDescent="0.25">
      <c r="A19122" s="1" t="s">
        <v>37272</v>
      </c>
      <c r="B19122" s="1">
        <v>0</v>
      </c>
      <c r="C19122" s="3">
        <v>44551.654351851852</v>
      </c>
      <c r="D19122" s="1" t="s">
        <v>37353</v>
      </c>
      <c r="E19122" s="4" t="str">
        <f ca="1">IFERROR(__xludf.DUMMYFUNCTION("GOOGLETRANSLATE(A1925 , ""tr"" , ""en"")"),"RT @emregulasi: @drfahrettinkoca # Health Culture https://t.co/bvn8fmhraa")</f>
        <v>RT @emregulasi: @drfahrettinkoca # Health Culture https://t.co/bvn8fmhraa</v>
      </c>
    </row>
    <row r="19123" spans="1:5" ht="15" customHeight="1" x14ac:dyDescent="0.25">
      <c r="A19123" s="1" t="s">
        <v>37272</v>
      </c>
      <c r="B19123" s="1">
        <v>0</v>
      </c>
      <c r="C19123" s="3">
        <v>44551.65420138889</v>
      </c>
      <c r="D19123" s="1" t="s">
        <v>37354</v>
      </c>
      <c r="E19123" s="4" t="str">
        <f ca="1">IFERROR(__xludf.DUMMYFUNCTION("GOOGLETRANSLATE(A1926 , ""tr"" , ""en"")"),"RT @emregulasi: @drfahrettinkoca # Health Culture https://t.co/bvn8fmhraa")</f>
        <v>RT @emregulasi: @drfahrettinkoca # Health Culture https://t.co/bvn8fmhraa</v>
      </c>
    </row>
    <row r="19124" spans="1:5" ht="15" customHeight="1" x14ac:dyDescent="0.25">
      <c r="A19124" s="1" t="s">
        <v>37272</v>
      </c>
      <c r="B19124" s="1">
        <v>0</v>
      </c>
      <c r="C19124" s="3">
        <v>44551.65320601852</v>
      </c>
      <c r="D19124" s="1" t="s">
        <v>37355</v>
      </c>
      <c r="E19124" s="4" t="str">
        <f ca="1">IFERROR(__xludf.DUMMYFUNCTION("GOOGLETRANSLATE(A1927 , ""tr"" , ""en"")"),"RT @emregulasi: @drfahrettinkoca # Health Culture https://t.co/bvn8fmhraa")</f>
        <v>RT @emregulasi: @drfahrettinkoca # Health Culture https://t.co/bvn8fmhraa</v>
      </c>
    </row>
    <row r="19125" spans="1:5" ht="15" customHeight="1" x14ac:dyDescent="0.25">
      <c r="A19125" s="1" t="s">
        <v>37272</v>
      </c>
      <c r="B19125" s="1">
        <v>0</v>
      </c>
      <c r="C19125" s="3">
        <v>44551.652905092589</v>
      </c>
      <c r="D19125" s="1" t="s">
        <v>37356</v>
      </c>
      <c r="E19125" s="4" t="str">
        <f ca="1">IFERROR(__xludf.DUMMYFUNCTION("GOOGLETRANSLATE(A1928 , ""tr"" , ""en"")"),"RT @emregulasi: @drfahrettinkoca # Health Culture https://t.co/bvn8fmhraa")</f>
        <v>RT @emregulasi: @drfahrettinkoca # Health Culture https://t.co/bvn8fmhraa</v>
      </c>
    </row>
    <row r="19126" spans="1:5" ht="15" customHeight="1" x14ac:dyDescent="0.25">
      <c r="A19126" s="1" t="s">
        <v>37357</v>
      </c>
      <c r="B19126" s="1">
        <v>0</v>
      </c>
      <c r="C19126" s="3">
        <v>44551.651238425926</v>
      </c>
      <c r="D19126" s="1" t="s">
        <v>37358</v>
      </c>
      <c r="E19126" s="4" t="str">
        <f ca="1">IFERROR(__xludf.DUMMYFUNCTION("GOOGLETRANSLATE(A1929 , ""tr"" , ""en"")"),"Rt @ebruzeybon: @drfahrettinkoca #the sciencekurukilerçlaklama")</f>
        <v>Rt @ebruzeybon: @drfahrettinkoca #the sciencekurukilerçlaklama</v>
      </c>
    </row>
    <row r="19127" spans="1:5" ht="15" customHeight="1" x14ac:dyDescent="0.25">
      <c r="A19127" s="1" t="s">
        <v>37272</v>
      </c>
      <c r="B19127" s="1">
        <v>0</v>
      </c>
      <c r="C19127" s="3">
        <v>44551.650266203702</v>
      </c>
      <c r="D19127" s="1" t="s">
        <v>37359</v>
      </c>
      <c r="E19127" s="4" t="str">
        <f ca="1">IFERROR(__xludf.DUMMYFUNCTION("GOOGLETRANSLATE(A1930 , ""tr"" , ""en"")"),"RT @emregulasi: @drfahrettinkoca # Health Culture https://t.co/bvn8fmhraa")</f>
        <v>RT @emregulasi: @drfahrettinkoca # Health Culture https://t.co/bvn8fmhraa</v>
      </c>
    </row>
    <row r="19128" spans="1:5" ht="15" customHeight="1" x14ac:dyDescent="0.25">
      <c r="A19128" s="1" t="s">
        <v>37272</v>
      </c>
      <c r="B19128" s="1">
        <v>0</v>
      </c>
      <c r="C19128" s="3">
        <v>44551.650219907409</v>
      </c>
      <c r="D19128" s="1" t="s">
        <v>37360</v>
      </c>
      <c r="E19128" s="4" t="str">
        <f ca="1">IFERROR(__xludf.DUMMYFUNCTION("GOOGLETRANSLATE(A1931 , ""tr"" , ""en"")"),"RT @emregulasi: @drfahrettinkoca # Health Culture https://t.co/bvn8fmhraa")</f>
        <v>RT @emregulasi: @drfahrettinkoca # Health Culture https://t.co/bvn8fmhraa</v>
      </c>
    </row>
    <row r="19129" spans="1:5" ht="15" customHeight="1" x14ac:dyDescent="0.25">
      <c r="A19129" s="1" t="s">
        <v>37272</v>
      </c>
      <c r="B19129" s="1">
        <v>0</v>
      </c>
      <c r="C19129" s="3">
        <v>44551.647465277776</v>
      </c>
      <c r="D19129" s="1" t="s">
        <v>37361</v>
      </c>
      <c r="E19129" s="4" t="str">
        <f ca="1">IFERROR(__xludf.DUMMYFUNCTION("GOOGLETRANSLATE(A1932 , ""tr"" , ""en"")"),"RT @emregulasi: @drfahrettinkoca # Health Culture https://t.co/bvn8fmhraa")</f>
        <v>RT @emregulasi: @drfahrettinkoca # Health Culture https://t.co/bvn8fmhraa</v>
      </c>
    </row>
    <row r="19130" spans="1:5" ht="15" customHeight="1" x14ac:dyDescent="0.25">
      <c r="A19130" s="1" t="s">
        <v>37272</v>
      </c>
      <c r="B19130" s="1">
        <v>0</v>
      </c>
      <c r="C19130" s="3">
        <v>44551.647453703707</v>
      </c>
      <c r="D19130" s="1" t="s">
        <v>37362</v>
      </c>
      <c r="E19130" s="4" t="str">
        <f ca="1">IFERROR(__xludf.DUMMYFUNCTION("GOOGLETRANSLATE(A1933 , ""tr"" , ""en"")"),"RT @emregulasi: @drfahrettinkoca # Health Culture https://t.co/bvn8fmhraa")</f>
        <v>RT @emregulasi: @drfahrettinkoca # Health Culture https://t.co/bvn8fmhraa</v>
      </c>
    </row>
    <row r="19131" spans="1:5" ht="15" customHeight="1" x14ac:dyDescent="0.25">
      <c r="A19131" s="1" t="s">
        <v>37272</v>
      </c>
      <c r="B19131" s="1">
        <v>0</v>
      </c>
      <c r="C19131" s="3">
        <v>44551.647268518522</v>
      </c>
      <c r="D19131" s="1" t="s">
        <v>37363</v>
      </c>
      <c r="E19131" s="4" t="str">
        <f ca="1">IFERROR(__xludf.DUMMYFUNCTION("GOOGLETRANSLATE(A1934 , ""tr"" , ""en"")"),"RT @emregulasi: @drfahrettinkoca # Health Culture https://t.co/bvn8fmhraa")</f>
        <v>RT @emregulasi: @drfahrettinkoca # Health Culture https://t.co/bvn8fmhraa</v>
      </c>
    </row>
    <row r="19132" spans="1:5" ht="15" customHeight="1" x14ac:dyDescent="0.25">
      <c r="A19132" s="1" t="s">
        <v>37272</v>
      </c>
      <c r="B19132" s="1">
        <v>0</v>
      </c>
      <c r="C19132" s="3">
        <v>44551.647118055553</v>
      </c>
      <c r="D19132" s="1" t="s">
        <v>37364</v>
      </c>
      <c r="E19132" s="4" t="str">
        <f ca="1">IFERROR(__xludf.DUMMYFUNCTION("GOOGLETRANSLATE(A1935 , ""tr"" , ""en"")"),"RT @emregulasi: @drfahrettinkoca # Health Culture https://t.co/bvn8fmhraa")</f>
        <v>RT @emregulasi: @drfahrettinkoca # Health Culture https://t.co/bvn8fmhraa</v>
      </c>
    </row>
    <row r="19133" spans="1:5" ht="15" customHeight="1" x14ac:dyDescent="0.25">
      <c r="A19133" s="1" t="s">
        <v>37272</v>
      </c>
      <c r="B19133" s="1">
        <v>0</v>
      </c>
      <c r="C19133" s="3">
        <v>44551.645138888889</v>
      </c>
      <c r="D19133" s="1" t="s">
        <v>37365</v>
      </c>
      <c r="E19133" s="4" t="str">
        <f ca="1">IFERROR(__xludf.DUMMYFUNCTION("GOOGLETRANSLATE(A1936 , ""tr"" , ""en"")"),"RT @emregulasi: @drfahrettinkoca # Health Culture https://t.co/bvn8fmhraa")</f>
        <v>RT @emregulasi: @drfahrettinkoca # Health Culture https://t.co/bvn8fmhraa</v>
      </c>
    </row>
    <row r="19134" spans="1:5" ht="15" customHeight="1" x14ac:dyDescent="0.25">
      <c r="A19134" s="1" t="s">
        <v>37366</v>
      </c>
      <c r="B19134" s="1">
        <v>0</v>
      </c>
      <c r="C19134" s="3">
        <v>44551.644826388889</v>
      </c>
      <c r="D19134" s="1" t="s">
        <v>37367</v>
      </c>
      <c r="E19134" s="4" t="str">
        <f ca="1">IFERROR(__xludf.DUMMYFUNCTION("GOOGLETRANSLATE(A1937 , ""tr"" , ""en"")"),"RT @neozade_offical: @drfahrettinkoca @tcmeb #Incuhrettinkaç @tcmeb #chankkurulugılıklıklıklıklaşılarılarılarılarışılışılışı")</f>
        <v>RT @neozade_offical: @drfahrettinkoca @tcmeb #Incuhrettinkaç @tcmeb #chankkurulugılıklıklıklıklaşılarılarılarılarışılışılışı</v>
      </c>
    </row>
    <row r="19135" spans="1:5" ht="15" customHeight="1" x14ac:dyDescent="0.25">
      <c r="A19135" s="1" t="s">
        <v>37368</v>
      </c>
      <c r="B19135" s="1">
        <v>1</v>
      </c>
      <c r="C19135" s="3">
        <v>44551.644548611112</v>
      </c>
      <c r="D19135" s="1" t="s">
        <v>37369</v>
      </c>
      <c r="E19135" s="4" t="str">
        <f ca="1">IFERROR(__xludf.DUMMYFUNCTION("GOOGLETRANSLATE(A1938 , ""tr"" , ""en"")"),"@drfahrettinkoca @Abdulhamitgul @saglikbakanligi https://t.co/er8lnff2dv")</f>
        <v>@drfahrettinkoca @Abdulhamitgul @saglikbakanligi https://t.co/er8lnff2dv</v>
      </c>
    </row>
    <row r="19136" spans="1:5" ht="15" customHeight="1" x14ac:dyDescent="0.25">
      <c r="A19136" s="1" t="s">
        <v>37272</v>
      </c>
      <c r="B19136" s="1">
        <v>0</v>
      </c>
      <c r="C19136" s="3">
        <v>44551.644201388888</v>
      </c>
      <c r="D19136" s="1" t="s">
        <v>37370</v>
      </c>
      <c r="E19136" s="4" t="str">
        <f ca="1">IFERROR(__xludf.DUMMYFUNCTION("GOOGLETRANSLATE(A1939 , ""tr"" , ""en"")"),"RT @emregulasi: @drfahrettinkoca # Health Culture https://t.co/bvn8fmhraa")</f>
        <v>RT @emregulasi: @drfahrettinkoca # Health Culture https://t.co/bvn8fmhraa</v>
      </c>
    </row>
    <row r="19137" spans="1:5" ht="15" customHeight="1" x14ac:dyDescent="0.25">
      <c r="A19137" s="1" t="s">
        <v>37366</v>
      </c>
      <c r="B19137" s="1">
        <v>0</v>
      </c>
      <c r="C19137" s="3">
        <v>44551.643576388888</v>
      </c>
      <c r="D19137" s="1" t="s">
        <v>37371</v>
      </c>
      <c r="E19137" s="4" t="str">
        <f ca="1">IFERROR(__xludf.DUMMYFUNCTION("GOOGLETRANSLATE(A1940 , ""tr"" , ""en"")"),"RT @neozade_offical: @drfahrettinkoca @tcmeb #Incuhrettinkaç @tcmeb #chankkurulugılıklıklıklıklaşılarılarılarılarışılışılışı")</f>
        <v>RT @neozade_offical: @drfahrettinkoca @tcmeb #Incuhrettinkaç @tcmeb #chankkurulugılıklıklıklıklaşılarılarılarılarışılışılışı</v>
      </c>
    </row>
    <row r="19138" spans="1:5" ht="15" customHeight="1" x14ac:dyDescent="0.25">
      <c r="A19138" s="1" t="s">
        <v>37334</v>
      </c>
      <c r="B19138" s="1">
        <v>0</v>
      </c>
      <c r="C19138" s="3">
        <v>44551.642129629632</v>
      </c>
      <c r="D19138" s="1" t="s">
        <v>37372</v>
      </c>
      <c r="E19138" s="4" t="str">
        <f ca="1">IFERROR(__xludf.DUMMYFUNCTION("GOOGLETRANSLATE(A1941 , ""tr"" , ""en"")"),"RT @ FALCAO5656: @drfahrettinkoca students wants online training #chankkurukilerceklaklama")</f>
        <v>RT @ FALCAO5656: @drfahrettinkoca students wants online training #chankkurukilerceklaklama</v>
      </c>
    </row>
    <row r="19139" spans="1:5" ht="15" customHeight="1" x14ac:dyDescent="0.25">
      <c r="A19139" s="1" t="s">
        <v>37272</v>
      </c>
      <c r="B19139" s="1">
        <v>0</v>
      </c>
      <c r="C19139" s="3">
        <v>44551.64203703704</v>
      </c>
      <c r="D19139" s="1" t="s">
        <v>37373</v>
      </c>
      <c r="E19139" s="4" t="str">
        <f ca="1">IFERROR(__xludf.DUMMYFUNCTION("GOOGLETRANSLATE(A1942 , ""tr"" , ""en"")"),"RT @emregulasi: @drfahrettinkoca # Health Culture https://t.co/bvn8fmhraa")</f>
        <v>RT @emregulasi: @drfahrettinkoca # Health Culture https://t.co/bvn8fmhraa</v>
      </c>
    </row>
    <row r="19140" spans="1:5" ht="15" customHeight="1" x14ac:dyDescent="0.25">
      <c r="A19140" s="1" t="s">
        <v>37272</v>
      </c>
      <c r="B19140" s="1">
        <v>0</v>
      </c>
      <c r="C19140" s="3">
        <v>44551.640844907408</v>
      </c>
      <c r="D19140" s="1" t="s">
        <v>37374</v>
      </c>
      <c r="E19140" s="4" t="str">
        <f ca="1">IFERROR(__xludf.DUMMYFUNCTION("GOOGLETRANSLATE(A1943 , ""tr"" , ""en"")"),"RT @emregulasi: @drfahrettinkoca # Health Culture https://t.co/bvn8fmhraa")</f>
        <v>RT @emregulasi: @drfahrettinkoca # Health Culture https://t.co/bvn8fmhraa</v>
      </c>
    </row>
    <row r="19141" spans="1:5" ht="15" customHeight="1" x14ac:dyDescent="0.25">
      <c r="A19141" s="1" t="s">
        <v>37375</v>
      </c>
      <c r="B19141" s="1">
        <v>0</v>
      </c>
      <c r="C19141" s="3">
        <v>44551.639722222222</v>
      </c>
      <c r="D19141" s="1" t="s">
        <v>37376</v>
      </c>
      <c r="E19141" s="4" t="str">
        <f ca="1">IFERROR(__xludf.DUMMYFUNCTION("GOOGLETRANSLATE(A1944 , ""tr"" , ""en"")"),"RT @celenkahmet: @drfahrettinkoca has no reliability, phase studies incomplete, the side effects of death and injuries are ...")</f>
        <v>RT @celenkahmet: @drfahrettinkoca has no reliability, phase studies incomplete, the side effects of death and injuries are ...</v>
      </c>
    </row>
    <row r="19142" spans="1:5" ht="15" customHeight="1" x14ac:dyDescent="0.25">
      <c r="A19142" s="1" t="s">
        <v>37272</v>
      </c>
      <c r="B19142" s="1">
        <v>0</v>
      </c>
      <c r="C19142" s="3">
        <v>44551.639699074076</v>
      </c>
      <c r="D19142" s="1" t="s">
        <v>37377</v>
      </c>
      <c r="E19142" s="4" t="str">
        <f ca="1">IFERROR(__xludf.DUMMYFUNCTION("GOOGLETRANSLATE(A1945 , ""tr"" , ""en"")"),"RT @emregulasi: @drfahrettinkoca # Health Culture https://t.co/bvn8fmhraa")</f>
        <v>RT @emregulasi: @drfahrettinkoca # Health Culture https://t.co/bvn8fmhraa</v>
      </c>
    </row>
    <row r="19143" spans="1:5" ht="15" customHeight="1" x14ac:dyDescent="0.25">
      <c r="A19143" s="1" t="s">
        <v>37378</v>
      </c>
      <c r="B19143" s="1">
        <v>0</v>
      </c>
      <c r="C19143" s="3">
        <v>44551.639282407406</v>
      </c>
      <c r="D19143" s="1" t="s">
        <v>37379</v>
      </c>
      <c r="E19143" s="4" t="str">
        <f ca="1">IFERROR(__xludf.DUMMYFUNCTION("GOOGLETRANSLATE(A1946 , ""tr"" , ""en"")"),"@drfahrettinkoca @saglikbakanligi as a simple citizen, prevention of such attacks against health workers ... https://t.co/dqo0f1fkb2")</f>
        <v>@drfahrettinkoca @saglikbakanligi as a simple citizen, prevention of such attacks against health workers ... https://t.co/dqo0f1fkb2</v>
      </c>
    </row>
    <row r="19144" spans="1:5" ht="15" customHeight="1" x14ac:dyDescent="0.25">
      <c r="A19144" s="1" t="s">
        <v>37272</v>
      </c>
      <c r="B19144" s="1">
        <v>0</v>
      </c>
      <c r="C19144" s="3">
        <v>44551.638391203705</v>
      </c>
      <c r="D19144" s="1" t="s">
        <v>37380</v>
      </c>
      <c r="E19144" s="4" t="str">
        <f ca="1">IFERROR(__xludf.DUMMYFUNCTION("GOOGLETRANSLATE(A1947 , ""tr"" , ""en"")"),"RT @emregulasi: @drfahrettinkoca # Health Culture https://t.co/bvn8fmhraa")</f>
        <v>RT @emregulasi: @drfahrettinkoca # Health Culture https://t.co/bvn8fmhraa</v>
      </c>
    </row>
    <row r="19145" spans="1:5" ht="15" customHeight="1" x14ac:dyDescent="0.25">
      <c r="A19145" s="1" t="s">
        <v>37272</v>
      </c>
      <c r="B19145" s="1">
        <v>0</v>
      </c>
      <c r="C19145" s="3">
        <v>44551.638287037036</v>
      </c>
      <c r="D19145" s="1" t="s">
        <v>37381</v>
      </c>
      <c r="E19145" s="4" t="str">
        <f ca="1">IFERROR(__xludf.DUMMYFUNCTION("GOOGLETRANSLATE(A1948 , ""tr"" , ""en"")"),"RT @emregulasi: @drfahrettinkoca # Health Culture https://t.co/bvn8fmhraa")</f>
        <v>RT @emregulasi: @drfahrettinkoca # Health Culture https://t.co/bvn8fmhraa</v>
      </c>
    </row>
    <row r="19146" spans="1:5" ht="15" customHeight="1" x14ac:dyDescent="0.25">
      <c r="A19146" s="1" t="s">
        <v>37272</v>
      </c>
      <c r="B19146" s="1">
        <v>0</v>
      </c>
      <c r="C19146" s="3">
        <v>44551.637858796297</v>
      </c>
      <c r="D19146" s="1" t="s">
        <v>37382</v>
      </c>
      <c r="E19146" s="4" t="str">
        <f ca="1">IFERROR(__xludf.DUMMYFUNCTION("GOOGLETRANSLATE(A1949 , ""tr"" , ""en"")"),"RT @emregulasi: @drfahrettinkoca # Health Culture https://t.co/bvn8fmhraa")</f>
        <v>RT @emregulasi: @drfahrettinkoca # Health Culture https://t.co/bvn8fmhraa</v>
      </c>
    </row>
    <row r="19147" spans="1:5" ht="15" customHeight="1" x14ac:dyDescent="0.25">
      <c r="A19147" s="1" t="s">
        <v>37272</v>
      </c>
      <c r="B19147" s="1">
        <v>0</v>
      </c>
      <c r="C19147" s="3">
        <v>44551.637835648151</v>
      </c>
      <c r="D19147" s="1" t="s">
        <v>37383</v>
      </c>
      <c r="E19147" s="4" t="str">
        <f ca="1">IFERROR(__xludf.DUMMYFUNCTION("GOOGLETRANSLATE(A1950 , ""tr"" , ""en"")"),"RT @emregulasi: @drfahrettinkoca # Health Culture https://t.co/bvn8fmhraa")</f>
        <v>RT @emregulasi: @drfahrettinkoca # Health Culture https://t.co/bvn8fmhraa</v>
      </c>
    </row>
    <row r="19148" spans="1:5" ht="15" customHeight="1" x14ac:dyDescent="0.25">
      <c r="A19148" s="1" t="s">
        <v>37272</v>
      </c>
      <c r="B19148" s="1">
        <v>0</v>
      </c>
      <c r="C19148" s="3">
        <v>44551.637175925927</v>
      </c>
      <c r="D19148" s="1" t="s">
        <v>37384</v>
      </c>
      <c r="E19148" s="4" t="str">
        <f ca="1">IFERROR(__xludf.DUMMYFUNCTION("GOOGLETRANSLATE(A1951 , ""tr"" , ""en"")"),"RT @emregulasi: @drfahrettinkoca # Health Culture https://t.co/bvn8fmhraa")</f>
        <v>RT @emregulasi: @drfahrettinkoca # Health Culture https://t.co/bvn8fmhraa</v>
      </c>
    </row>
    <row r="19149" spans="1:5" ht="15" customHeight="1" x14ac:dyDescent="0.25">
      <c r="A19149" s="1" t="s">
        <v>37272</v>
      </c>
      <c r="B19149" s="1">
        <v>0</v>
      </c>
      <c r="C19149" s="3">
        <v>44551.634768518517</v>
      </c>
      <c r="D19149" s="1" t="s">
        <v>37385</v>
      </c>
      <c r="E19149" s="4" t="str">
        <f ca="1">IFERROR(__xludf.DUMMYFUNCTION("GOOGLETRANSLATE(A1952 , ""tr"" , ""en"")"),"RT @emregulasi: @drfahrettinkoca # Health Culture https://t.co/bvn8fmhraa")</f>
        <v>RT @emregulasi: @drfahrettinkoca # Health Culture https://t.co/bvn8fmhraa</v>
      </c>
    </row>
    <row r="19150" spans="1:5" ht="15" customHeight="1" x14ac:dyDescent="0.25">
      <c r="A19150" s="1" t="s">
        <v>37272</v>
      </c>
      <c r="B19150" s="1">
        <v>0</v>
      </c>
      <c r="C19150" s="3">
        <v>44551.634004629632</v>
      </c>
      <c r="D19150" s="1" t="s">
        <v>37386</v>
      </c>
      <c r="E19150" s="4" t="str">
        <f ca="1">IFERROR(__xludf.DUMMYFUNCTION("GOOGLETRANSLATE(A1953 , ""tr"" , ""en"")"),"RT @emregulasi: @drfahrettinkoca # Health Culture https://t.co/bvn8fmhraa")</f>
        <v>RT @emregulasi: @drfahrettinkoca # Health Culture https://t.co/bvn8fmhraa</v>
      </c>
    </row>
    <row r="19151" spans="1:5" ht="15" customHeight="1" x14ac:dyDescent="0.25">
      <c r="A19151" s="1" t="s">
        <v>37272</v>
      </c>
      <c r="B19151" s="1">
        <v>0</v>
      </c>
      <c r="C19151" s="3">
        <v>44551.633668981478</v>
      </c>
      <c r="D19151" s="1" t="s">
        <v>37387</v>
      </c>
      <c r="E19151" s="4" t="str">
        <f ca="1">IFERROR(__xludf.DUMMYFUNCTION("GOOGLETRANSLATE(A1954 , ""tr"" , ""en"")"),"RT @emregulasi: @drfahrettinkoca # Health Culture https://t.co/bvn8fmhraa")</f>
        <v>RT @emregulasi: @drfahrettinkoca # Health Culture https://t.co/bvn8fmhraa</v>
      </c>
    </row>
    <row r="19152" spans="1:5" ht="15" customHeight="1" x14ac:dyDescent="0.25">
      <c r="A19152" s="1" t="s">
        <v>37388</v>
      </c>
      <c r="B19152" s="1">
        <v>0</v>
      </c>
      <c r="C19152" s="3">
        <v>44551.632048611114</v>
      </c>
      <c r="D19152" s="1" t="s">
        <v>37389</v>
      </c>
      <c r="E19152" s="4" t="str">
        <f ca="1">IFERROR(__xludf.DUMMYFUNCTION("GOOGLETRANSLATE(A1955 , ""tr"" , ""en"")"),"Rt @duckybads: @drfahrettinkoca @trovakkurulu_ #chankkurulugukilar")</f>
        <v>Rt @duckybads: @drfahrettinkoca @trovakkurulu_ #chankkurulugukilar</v>
      </c>
    </row>
    <row r="19153" spans="1:5" ht="15" customHeight="1" x14ac:dyDescent="0.25">
      <c r="A19153" s="1" t="s">
        <v>37390</v>
      </c>
      <c r="B19153" s="1">
        <v>0</v>
      </c>
      <c r="C19153" s="3">
        <v>44551.631689814814</v>
      </c>
      <c r="D19153" s="1" t="s">
        <v>37391</v>
      </c>
      <c r="E19153" s="4" t="str">
        <f ca="1">IFERROR(__xludf.DUMMYFUNCTION("GOOGLETRANSLATE(A1956 , ""tr"" , ""en"")"),"@drfahrettinkoca Sayin Minister Ozen to the Kizilan Blood Terms Eğrayin")</f>
        <v>@drfahrettinkoca Sayin Minister Ozen to the Kizilan Blood Terms Eğrayin</v>
      </c>
    </row>
    <row r="19154" spans="1:5" ht="15" customHeight="1" x14ac:dyDescent="0.25">
      <c r="A19154" s="1" t="s">
        <v>37272</v>
      </c>
      <c r="B19154" s="1">
        <v>0</v>
      </c>
      <c r="C19154" s="3">
        <v>44551.631319444445</v>
      </c>
      <c r="D19154" s="1" t="s">
        <v>37392</v>
      </c>
      <c r="E19154" s="4" t="str">
        <f ca="1">IFERROR(__xludf.DUMMYFUNCTION("GOOGLETRANSLATE(A1957 , ""tr"" , ""en"")"),"RT @emregulasi: @drfahrettinkoca # Health Culture https://t.co/bvn8fmhraa")</f>
        <v>RT @emregulasi: @drfahrettinkoca # Health Culture https://t.co/bvn8fmhraa</v>
      </c>
    </row>
    <row r="19155" spans="1:5" ht="15" customHeight="1" x14ac:dyDescent="0.25">
      <c r="A19155" s="1" t="s">
        <v>37388</v>
      </c>
      <c r="B19155" s="1">
        <v>0</v>
      </c>
      <c r="C19155" s="3">
        <v>44551.630983796298</v>
      </c>
      <c r="D19155" s="1" t="s">
        <v>37393</v>
      </c>
      <c r="E19155" s="4" t="str">
        <f ca="1">IFERROR(__xludf.DUMMYFUNCTION("GOOGLETRANSLATE(A1958 , ""tr"" , ""en"")"),"Rt @duckybads: @drfahrettinkoca @trovakkurulu_ #chankkurulugukilar")</f>
        <v>Rt @duckybads: @drfahrettinkoca @trovakkurulu_ #chankkurulugukilar</v>
      </c>
    </row>
    <row r="19156" spans="1:5" ht="15" customHeight="1" x14ac:dyDescent="0.25">
      <c r="A19156" s="1" t="s">
        <v>37388</v>
      </c>
      <c r="B19156" s="1">
        <v>0</v>
      </c>
      <c r="C19156" s="3">
        <v>44551.630949074075</v>
      </c>
      <c r="D19156" s="1" t="s">
        <v>37394</v>
      </c>
      <c r="E19156" s="4" t="str">
        <f ca="1">IFERROR(__xludf.DUMMYFUNCTION("GOOGLETRANSLATE(A1959 , ""tr"" , ""en"")"),"Rt @duckybads: @drfahrettinkoca @trovakkurulu_ #chankkurulugukilar")</f>
        <v>Rt @duckybads: @drfahrettinkoca @trovakkurulu_ #chankkurulugukilar</v>
      </c>
    </row>
    <row r="19157" spans="1:5" ht="15" customHeight="1" x14ac:dyDescent="0.25">
      <c r="A19157" s="1" t="s">
        <v>37395</v>
      </c>
      <c r="B19157" s="1">
        <v>0</v>
      </c>
      <c r="C19157" s="3">
        <v>44551.630659722221</v>
      </c>
      <c r="D19157" s="1" t="s">
        <v>37396</v>
      </c>
      <c r="E19157" s="4" t="str">
        <f ca="1">IFERROR(__xludf.DUMMYFUNCTION("GOOGLETRANSLATE(A1960 , ""tr"" , ""en"")"),"Rt @ yasinald2: @drfahrettinkoca @adalet_bacanlik")</f>
        <v>Rt @ yasinald2: @drfahrettinkoca @adalet_bacanlik</v>
      </c>
    </row>
    <row r="19158" spans="1:5" ht="15" customHeight="1" x14ac:dyDescent="0.25">
      <c r="A19158" s="1" t="s">
        <v>37388</v>
      </c>
      <c r="B19158" s="1">
        <v>0</v>
      </c>
      <c r="C19158" s="3">
        <v>44551.630185185182</v>
      </c>
      <c r="D19158" s="1" t="s">
        <v>37397</v>
      </c>
      <c r="E19158" s="4" t="str">
        <f ca="1">IFERROR(__xludf.DUMMYFUNCTION("GOOGLETRANSLATE(A1961 , ""tr"" , ""en"")"),"Rt @duckybads: @drfahrettinkoca @trovakkurulu_ #chankkurulugukilar")</f>
        <v>Rt @duckybads: @drfahrettinkoca @trovakkurulu_ #chankkurulugukilar</v>
      </c>
    </row>
    <row r="19159" spans="1:5" ht="15" customHeight="1" x14ac:dyDescent="0.25">
      <c r="A19159" s="1" t="s">
        <v>37272</v>
      </c>
      <c r="B19159" s="1">
        <v>0</v>
      </c>
      <c r="C19159" s="3">
        <v>44551.629537037035</v>
      </c>
      <c r="D19159" s="1" t="s">
        <v>37398</v>
      </c>
      <c r="E19159" s="4" t="str">
        <f ca="1">IFERROR(__xludf.DUMMYFUNCTION("GOOGLETRANSLATE(A1962 , ""tr"" , ""en"")"),"RT @emregulasi: @drfahrettinkoca # Health Culture https://t.co/bvn8fmhraa")</f>
        <v>RT @emregulasi: @drfahrettinkoca # Health Culture https://t.co/bvn8fmhraa</v>
      </c>
    </row>
    <row r="19160" spans="1:5" ht="15" customHeight="1" x14ac:dyDescent="0.25">
      <c r="A19160" s="1" t="s">
        <v>37399</v>
      </c>
      <c r="B19160" s="1">
        <v>1</v>
      </c>
      <c r="C19160" s="3">
        <v>44551.629444444443</v>
      </c>
      <c r="D19160" s="1" t="s">
        <v>37400</v>
      </c>
      <c r="E19160" s="4" t="str">
        <f ca="1">IFERROR(__xludf.DUMMYFUNCTION("GOOGLETRANSLATE(A1963 , ""tr"" , ""en"")"),"@drfahrettinkoca @adalet_bakanlik https://t.co/mb5aipt3cu")</f>
        <v>@drfahrettinkoca @adalet_bakanlik https://t.co/mb5aipt3cu</v>
      </c>
    </row>
    <row r="19161" spans="1:5" ht="15" customHeight="1" x14ac:dyDescent="0.25">
      <c r="A19161" s="1" t="s">
        <v>37272</v>
      </c>
      <c r="B19161" s="1">
        <v>0</v>
      </c>
      <c r="C19161" s="3">
        <v>44551.629432870373</v>
      </c>
      <c r="D19161" s="1" t="s">
        <v>37401</v>
      </c>
      <c r="E19161" s="4" t="str">
        <f ca="1">IFERROR(__xludf.DUMMYFUNCTION("GOOGLETRANSLATE(A1964 , ""tr"" , ""en"")"),"RT @emregulasi: @drfahrettinkoca # Health Culture https://t.co/bvn8fmhraa")</f>
        <v>RT @emregulasi: @drfahrettinkoca # Health Culture https://t.co/bvn8fmhraa</v>
      </c>
    </row>
    <row r="19162" spans="1:5" ht="15" customHeight="1" x14ac:dyDescent="0.25">
      <c r="A19162" s="1" t="s">
        <v>37402</v>
      </c>
      <c r="B19162" s="1">
        <v>4</v>
      </c>
      <c r="C19162" s="3">
        <v>44551.629178240742</v>
      </c>
      <c r="D19162" s="1" t="s">
        <v>37403</v>
      </c>
      <c r="E19162" s="4" t="str">
        <f ca="1">IFERROR(__xludf.DUMMYFUNCTION("GOOGLETRANSLATE(A1965 , ""tr"" , ""en"")"),"@drfahrettinkoca @customskurulu_ #charmaceous")</f>
        <v>@drfahrettinkoca @customskurulu_ #charmaceous</v>
      </c>
    </row>
    <row r="19163" spans="1:5" ht="15" customHeight="1" x14ac:dyDescent="0.25">
      <c r="A19163" s="1" t="s">
        <v>37404</v>
      </c>
      <c r="B19163" s="1">
        <v>0</v>
      </c>
      <c r="C19163" s="3">
        <v>44551.628877314812</v>
      </c>
      <c r="D19163" s="1" t="s">
        <v>37405</v>
      </c>
      <c r="E19163" s="4" t="str">
        <f ca="1">IFERROR(__xludf.DUMMYFUNCTION("GOOGLETRANSLATE(A1966 , ""tr"" , ""en"")"),"@drfahrettinkoca @emnetgm @Adalet_bakanlik @Abdulhamitgul @Abdulhamitgul @cuneytozdemir @rterdogan @rterdogan https://t.co/27k4jkojug")</f>
        <v>@drfahrettinkoca @emnetgm @Adalet_bakanlik @Abdulhamitgul @Abdulhamitgul @cuneytozdemir @rterdogan @rterdogan https://t.co/27k4jkojug</v>
      </c>
    </row>
    <row r="19164" spans="1:5" ht="15" customHeight="1" x14ac:dyDescent="0.25">
      <c r="A19164" s="1" t="s">
        <v>37366</v>
      </c>
      <c r="B19164" s="1">
        <v>0</v>
      </c>
      <c r="C19164" s="3">
        <v>44551.628703703704</v>
      </c>
      <c r="D19164" s="1" t="s">
        <v>37406</v>
      </c>
      <c r="E19164" s="4" t="str">
        <f ca="1">IFERROR(__xludf.DUMMYFUNCTION("GOOGLETRANSLATE(A1967 , ""tr"" , ""en"")"),"RT @neozade_offical: @drfahrettinkoca @tcmeb #Incuhrettinkaç @tcmeb #chankkurulugılıklıklıklıklaşılarılarılarılarışılışılışı")</f>
        <v>RT @neozade_offical: @drfahrettinkoca @tcmeb #Incuhrettinkaç @tcmeb #chankkurulugılıklıklıklıklaşılarılarılarılarışılışılışı</v>
      </c>
    </row>
    <row r="19165" spans="1:5" ht="15" customHeight="1" x14ac:dyDescent="0.25">
      <c r="A19165" s="1" t="s">
        <v>37366</v>
      </c>
      <c r="B19165" s="1">
        <v>0</v>
      </c>
      <c r="C19165" s="3">
        <v>44551.628692129627</v>
      </c>
      <c r="D19165" s="1" t="s">
        <v>37407</v>
      </c>
      <c r="E19165" s="4" t="str">
        <f ca="1">IFERROR(__xludf.DUMMYFUNCTION("GOOGLETRANSLATE(A1968 , ""tr"" , ""en"")"),"RT @neozade_offical: @drfahrettinkoca @tcmeb #Incuhrettinkaç @tcmeb #chankkurulugılıklıklıklıklaşılarılarılarılarışılışılışı")</f>
        <v>RT @neozade_offical: @drfahrettinkoca @tcmeb #Incuhrettinkaç @tcmeb #chankkurulugılıklıklıklıklaşılarılarılarılarışılışılışı</v>
      </c>
    </row>
    <row r="19166" spans="1:5" ht="15" customHeight="1" x14ac:dyDescent="0.25">
      <c r="A19166" s="1" t="s">
        <v>37272</v>
      </c>
      <c r="B19166" s="1">
        <v>0</v>
      </c>
      <c r="C19166" s="3">
        <v>44551.628275462965</v>
      </c>
      <c r="D19166" s="1" t="s">
        <v>37408</v>
      </c>
      <c r="E19166" s="4" t="str">
        <f ca="1">IFERROR(__xludf.DUMMYFUNCTION("GOOGLETRANSLATE(A1969 , ""tr"" , ""en"")"),"RT @emregulasi: @drfahrettinkoca # Health Culture https://t.co/bvn8fmhraa")</f>
        <v>RT @emregulasi: @drfahrettinkoca # Health Culture https://t.co/bvn8fmhraa</v>
      </c>
    </row>
    <row r="19167" spans="1:5" ht="15" customHeight="1" x14ac:dyDescent="0.25">
      <c r="A19167" s="1" t="s">
        <v>37409</v>
      </c>
      <c r="B19167" s="1">
        <v>1</v>
      </c>
      <c r="C19167" s="3">
        <v>44551.627893518518</v>
      </c>
      <c r="D19167" s="1" t="s">
        <v>37410</v>
      </c>
      <c r="E19167" s="4" t="str">
        <f ca="1">IFERROR(__xludf.DUMMYFUNCTION("GOOGLETRANSLATE(A1970 , ""tr"" , ""en"")"),"@drfahrettinkoca @Abdulhamitgul @emsetgm https://t.co/0s8ar92wpv")</f>
        <v>@drfahrettinkoca @Abdulhamitgul @emsetgm https://t.co/0s8ar92wpv</v>
      </c>
    </row>
    <row r="19168" spans="1:5" ht="15" customHeight="1" x14ac:dyDescent="0.25">
      <c r="A19168" s="1" t="s">
        <v>37272</v>
      </c>
      <c r="B19168" s="1">
        <v>0</v>
      </c>
      <c r="C19168" s="3">
        <v>44551.627534722225</v>
      </c>
      <c r="D19168" s="1" t="s">
        <v>37411</v>
      </c>
      <c r="E19168" s="4" t="str">
        <f ca="1">IFERROR(__xludf.DUMMYFUNCTION("GOOGLETRANSLATE(A1971 , ""tr"" , ""en"")"),"RT @emregulasi: @drfahrettinkoca # Health Culture https://t.co/bvn8fmhraa")</f>
        <v>RT @emregulasi: @drfahrettinkoca # Health Culture https://t.co/bvn8fmhraa</v>
      </c>
    </row>
    <row r="19169" spans="1:5" ht="15" customHeight="1" x14ac:dyDescent="0.25">
      <c r="A19169" s="1" t="s">
        <v>37272</v>
      </c>
      <c r="B19169" s="1">
        <v>0</v>
      </c>
      <c r="C19169" s="3">
        <v>44551.627233796295</v>
      </c>
      <c r="D19169" s="1" t="s">
        <v>37412</v>
      </c>
      <c r="E19169" s="4" t="str">
        <f ca="1">IFERROR(__xludf.DUMMYFUNCTION("GOOGLETRANSLATE(A1972 , ""tr"" , ""en"")"),"RT @emregulasi: @drfahrettinkoca # Health Culture https://t.co/bvn8fmhraa")</f>
        <v>RT @emregulasi: @drfahrettinkoca # Health Culture https://t.co/bvn8fmhraa</v>
      </c>
    </row>
    <row r="19170" spans="1:5" ht="15" customHeight="1" x14ac:dyDescent="0.25">
      <c r="A19170" s="1" t="s">
        <v>37272</v>
      </c>
      <c r="B19170" s="1">
        <v>0</v>
      </c>
      <c r="C19170" s="3">
        <v>44551.627129629633</v>
      </c>
      <c r="D19170" s="1" t="s">
        <v>37413</v>
      </c>
      <c r="E19170" s="4" t="str">
        <f ca="1">IFERROR(__xludf.DUMMYFUNCTION("GOOGLETRANSLATE(A1973 , ""tr"" , ""en"")"),"RT @emregulasi: @drfahrettinkoca # Health Culture https://t.co/bvn8fmhraa")</f>
        <v>RT @emregulasi: @drfahrettinkoca # Health Culture https://t.co/bvn8fmhraa</v>
      </c>
    </row>
    <row r="19171" spans="1:5" ht="15" customHeight="1" x14ac:dyDescent="0.25">
      <c r="A19171" s="1" t="s">
        <v>37272</v>
      </c>
      <c r="B19171" s="1">
        <v>0</v>
      </c>
      <c r="C19171" s="3">
        <v>44551.626979166664</v>
      </c>
      <c r="D19171" s="1" t="s">
        <v>37414</v>
      </c>
      <c r="E19171" s="4" t="str">
        <f ca="1">IFERROR(__xludf.DUMMYFUNCTION("GOOGLETRANSLATE(A1974 , ""tr"" , ""en"")"),"RT @emregulasi: @drfahrettinkoca # Health Culture https://t.co/bvn8fmhraa")</f>
        <v>RT @emregulasi: @drfahrettinkoca # Health Culture https://t.co/bvn8fmhraa</v>
      </c>
    </row>
    <row r="19172" spans="1:5" ht="15" customHeight="1" x14ac:dyDescent="0.25">
      <c r="A19172" s="1" t="s">
        <v>37366</v>
      </c>
      <c r="B19172" s="1">
        <v>0</v>
      </c>
      <c r="C19172" s="3">
        <v>44551.626956018517</v>
      </c>
      <c r="D19172" s="1" t="s">
        <v>37415</v>
      </c>
      <c r="E19172" s="4" t="str">
        <f ca="1">IFERROR(__xludf.DUMMYFUNCTION("GOOGLETRANSLATE(A1975 , ""tr"" , ""en"")"),"RT @neozade_offical: @drfahrettinkoca @tcmeb #Incuhrettinkaç @tcmeb #chankkurulugılıklıklıklıklaşılarılarılarılarışılışılışı")</f>
        <v>RT @neozade_offical: @drfahrettinkoca @tcmeb #Incuhrettinkaç @tcmeb #chankkurulugılıklıklıklıklaşılarılarılarılarışılışılışı</v>
      </c>
    </row>
    <row r="19173" spans="1:5" ht="15" customHeight="1" x14ac:dyDescent="0.25">
      <c r="A19173" s="1" t="s">
        <v>37416</v>
      </c>
      <c r="B19173" s="1">
        <v>0</v>
      </c>
      <c r="C19173" s="3">
        <v>44551.626192129632</v>
      </c>
      <c r="D19173" s="1" t="s">
        <v>37417</v>
      </c>
      <c r="E19173" s="4" t="str">
        <f ca="1">IFERROR(__xludf.DUMMYFUNCTION("GOOGLETRANSLATE(A1976 , ""tr"" , ""en"")"),"RT @lordsjsx: @drfahrettinkoca DSO You have written as 34 thousand cases Why make 18 thousand statements.!")</f>
        <v>RT @lordsjsx: @drfahrettinkoca DSO You have written as 34 thousand cases Why make 18 thousand statements.!</v>
      </c>
    </row>
    <row r="19174" spans="1:5" ht="15" customHeight="1" x14ac:dyDescent="0.25">
      <c r="A19174" s="1" t="s">
        <v>37366</v>
      </c>
      <c r="B19174" s="1">
        <v>0</v>
      </c>
      <c r="C19174" s="3">
        <v>44551.626099537039</v>
      </c>
      <c r="D19174" s="1" t="s">
        <v>37418</v>
      </c>
      <c r="E19174" s="4" t="str">
        <f ca="1">IFERROR(__xludf.DUMMYFUNCTION("GOOGLETRANSLATE(A1977 , ""tr"" , ""en"")"),"RT @neozade_offical: @drfahrettinkoca @tcmeb #Incuhrettinkaç @tcmeb #chankkurulugılıklıklıklıklaşılarılarılarılarışılışılışı")</f>
        <v>RT @neozade_offical: @drfahrettinkoca @tcmeb #Incuhrettinkaç @tcmeb #chankkurulugılıklıklıklıklaşılarılarılarılarışılışılışı</v>
      </c>
    </row>
    <row r="19175" spans="1:5" ht="15" customHeight="1" x14ac:dyDescent="0.25">
      <c r="A19175" s="1" t="s">
        <v>37272</v>
      </c>
      <c r="B19175" s="1">
        <v>0</v>
      </c>
      <c r="C19175" s="3">
        <v>44551.625983796293</v>
      </c>
      <c r="D19175" s="1" t="s">
        <v>37419</v>
      </c>
      <c r="E19175" s="4" t="str">
        <f ca="1">IFERROR(__xludf.DUMMYFUNCTION("GOOGLETRANSLATE(A1978 , ""tr"" , ""en"")"),"RT @emregulasi: @drfahrettinkoca # Health Culture https://t.co/bvn8fmhraa")</f>
        <v>RT @emregulasi: @drfahrettinkoca # Health Culture https://t.co/bvn8fmhraa</v>
      </c>
    </row>
    <row r="19176" spans="1:5" ht="15" customHeight="1" x14ac:dyDescent="0.25">
      <c r="A19176" s="1" t="s">
        <v>37311</v>
      </c>
      <c r="B19176" s="1">
        <v>0</v>
      </c>
      <c r="C19176" s="3">
        <v>44551.625787037039</v>
      </c>
      <c r="D19176" s="1" t="s">
        <v>37420</v>
      </c>
      <c r="E19176" s="4" t="str">
        <f ca="1">IFERROR(__xludf.DUMMYFUNCTION("GOOGLETRANSLATE(A1979 , ""tr"" , ""en"")"),"RT @busbusenn: @drfahrettinkoca Who is this who is anymore? https://t.co/9wslpq9ugu")</f>
        <v>RT @busbusenn: @drfahrettinkoca Who is this who is anymore? https://t.co/9wslpq9ugu</v>
      </c>
    </row>
    <row r="19177" spans="1:5" ht="15" customHeight="1" x14ac:dyDescent="0.25">
      <c r="A19177" s="1" t="s">
        <v>37272</v>
      </c>
      <c r="B19177" s="1">
        <v>0</v>
      </c>
      <c r="C19177" s="3">
        <v>44551.625416666669</v>
      </c>
      <c r="D19177" s="1" t="s">
        <v>37421</v>
      </c>
      <c r="E19177" s="4" t="str">
        <f ca="1">IFERROR(__xludf.DUMMYFUNCTION("GOOGLETRANSLATE(A1980 , ""tr"" , ""en"")"),"RT @emregulasi: @drfahrettinkoca # Health Culture https://t.co/bvn8fmhraa")</f>
        <v>RT @emregulasi: @drfahrettinkoca # Health Culture https://t.co/bvn8fmhraa</v>
      </c>
    </row>
    <row r="19178" spans="1:5" ht="15" customHeight="1" x14ac:dyDescent="0.25">
      <c r="A19178" s="1" t="s">
        <v>37272</v>
      </c>
      <c r="B19178" s="1">
        <v>0</v>
      </c>
      <c r="C19178" s="3">
        <v>44551.625023148146</v>
      </c>
      <c r="D19178" s="1" t="s">
        <v>37422</v>
      </c>
      <c r="E19178" s="4" t="str">
        <f ca="1">IFERROR(__xludf.DUMMYFUNCTION("GOOGLETRANSLATE(A1981 , ""tr"" , ""en"")"),"RT @emregulasi: @drfahrettinkoca # Health Culture https://t.co/bvn8fmhraa")</f>
        <v>RT @emregulasi: @drfahrettinkoca # Health Culture https://t.co/bvn8fmhraa</v>
      </c>
    </row>
    <row r="19179" spans="1:5" ht="15" customHeight="1" x14ac:dyDescent="0.25">
      <c r="A19179" s="1" t="s">
        <v>37272</v>
      </c>
      <c r="B19179" s="1">
        <v>0</v>
      </c>
      <c r="C19179" s="3">
        <v>44551.624513888892</v>
      </c>
      <c r="D19179" s="1" t="s">
        <v>37423</v>
      </c>
      <c r="E19179" s="4" t="str">
        <f ca="1">IFERROR(__xludf.DUMMYFUNCTION("GOOGLETRANSLATE(A1982 , ""tr"" , ""en"")"),"RT @emregulasi: @drfahrettinkoca # Health Culture https://t.co/bvn8fmhraa")</f>
        <v>RT @emregulasi: @drfahrettinkoca # Health Culture https://t.co/bvn8fmhraa</v>
      </c>
    </row>
    <row r="19180" spans="1:5" ht="15" customHeight="1" x14ac:dyDescent="0.25">
      <c r="A19180" s="1" t="s">
        <v>37272</v>
      </c>
      <c r="B19180" s="1">
        <v>0</v>
      </c>
      <c r="C19180" s="3">
        <v>44551.624120370368</v>
      </c>
      <c r="D19180" s="1" t="s">
        <v>37424</v>
      </c>
      <c r="E19180" s="4" t="str">
        <f ca="1">IFERROR(__xludf.DUMMYFUNCTION("GOOGLETRANSLATE(A1983 , ""tr"" , ""en"")"),"RT @emregulasi: @drfahrettinkoca # Health Culture https://t.co/bvn8fmhraa")</f>
        <v>RT @emregulasi: @drfahrettinkoca # Health Culture https://t.co/bvn8fmhraa</v>
      </c>
    </row>
    <row r="19181" spans="1:5" ht="15" customHeight="1" x14ac:dyDescent="0.25">
      <c r="A19181" s="1" t="s">
        <v>37366</v>
      </c>
      <c r="B19181" s="1">
        <v>0</v>
      </c>
      <c r="C19181" s="3">
        <v>44551.623645833337</v>
      </c>
      <c r="D19181" s="1" t="s">
        <v>37425</v>
      </c>
      <c r="E19181" s="4" t="str">
        <f ca="1">IFERROR(__xludf.DUMMYFUNCTION("GOOGLETRANSLATE(A1984 , ""tr"" , ""en"")"),"RT @neozade_offical: @drfahrettinkoca @tcmeb #Incuhrettinkaç @tcmeb #chankkurulugılıklıklıklıklaşılarılarılarılarışılışılışı")</f>
        <v>RT @neozade_offical: @drfahrettinkoca @tcmeb #Incuhrettinkaç @tcmeb #chankkurulugılıklıklıklıklaşılarılarılarılarışılışılışı</v>
      </c>
    </row>
    <row r="19182" spans="1:5" ht="15" customHeight="1" x14ac:dyDescent="0.25">
      <c r="A19182" s="1" t="s">
        <v>37426</v>
      </c>
      <c r="B19182" s="1">
        <v>1</v>
      </c>
      <c r="C19182" s="3">
        <v>44551.623564814814</v>
      </c>
      <c r="D19182" s="1" t="s">
        <v>37427</v>
      </c>
      <c r="E19182" s="4" t="str">
        <f ca="1">IFERROR(__xludf.DUMMYFUNCTION("GOOGLETRANSLATE(A1985 , ""tr"" , ""en"")"),"@drfahrettinka https://t.co/hvffbcxxtx")</f>
        <v>@drfahrettinka https://t.co/hvffbcxxtx</v>
      </c>
    </row>
    <row r="19183" spans="1:5" ht="15" customHeight="1" x14ac:dyDescent="0.25">
      <c r="A19183" s="1" t="s">
        <v>37428</v>
      </c>
      <c r="B19183" s="1">
        <v>0</v>
      </c>
      <c r="C19183" s="3">
        <v>44551.623356481483</v>
      </c>
      <c r="D19183" s="1" t="s">
        <v>37429</v>
      </c>
      <c r="E19183" s="4" t="str">
        <f ca="1">IFERROR(__xludf.DUMMYFUNCTION("GOOGLETRANSLATE(A1986 , ""tr"" , ""en"")"),"RT @ drgenetik1: @drfahrettinkoca @saglikbakanligi is now enough! Attacks the doctor to kill, serbets are being left to what is this?")</f>
        <v>RT @ drgenetik1: @drfahrettinkoca @saglikbakanligi is now enough! Attacks the doctor to kill, serbets are being left to what is this?</v>
      </c>
    </row>
    <row r="19184" spans="1:5" ht="15" customHeight="1" x14ac:dyDescent="0.25">
      <c r="A19184" s="1" t="s">
        <v>37272</v>
      </c>
      <c r="B19184" s="1">
        <v>0</v>
      </c>
      <c r="C19184" s="3">
        <v>44551.62296296296</v>
      </c>
      <c r="D19184" s="1" t="s">
        <v>37430</v>
      </c>
      <c r="E19184" s="4" t="str">
        <f ca="1">IFERROR(__xludf.DUMMYFUNCTION("GOOGLETRANSLATE(A1987 , ""tr"" , ""en"")"),"RT @emregulasi: @drfahrettinkoca # Health Culture https://t.co/bvn8fmhraa")</f>
        <v>RT @emregulasi: @drfahrettinkoca # Health Culture https://t.co/bvn8fmhraa</v>
      </c>
    </row>
    <row r="19185" spans="1:5" ht="15" customHeight="1" x14ac:dyDescent="0.25">
      <c r="A19185" s="1" t="s">
        <v>37272</v>
      </c>
      <c r="B19185" s="1">
        <v>0</v>
      </c>
      <c r="C19185" s="3">
        <v>44551.622685185182</v>
      </c>
      <c r="D19185" s="1" t="s">
        <v>37431</v>
      </c>
      <c r="E19185" s="4" t="str">
        <f ca="1">IFERROR(__xludf.DUMMYFUNCTION("GOOGLETRANSLATE(A1988 , ""tr"" , ""en"")"),"RT @emregulasi: @drfahrettinkoca # Health Culture https://t.co/bvn8fmhraa")</f>
        <v>RT @emregulasi: @drfahrettinkoca # Health Culture https://t.co/bvn8fmhraa</v>
      </c>
    </row>
    <row r="19186" spans="1:5" ht="15" customHeight="1" x14ac:dyDescent="0.25">
      <c r="A19186" s="1" t="s">
        <v>37272</v>
      </c>
      <c r="B19186" s="1">
        <v>0</v>
      </c>
      <c r="C19186" s="3">
        <v>44551.621377314812</v>
      </c>
      <c r="D19186" s="1" t="s">
        <v>37432</v>
      </c>
      <c r="E19186" s="4" t="str">
        <f ca="1">IFERROR(__xludf.DUMMYFUNCTION("GOOGLETRANSLATE(A1989 , ""tr"" , ""en"")"),"RT @emregulasi: @drfahrettinkoca # Health Culture https://t.co/bvn8fmhraa")</f>
        <v>RT @emregulasi: @drfahrettinkoca # Health Culture https://t.co/bvn8fmhraa</v>
      </c>
    </row>
    <row r="19187" spans="1:5" ht="15" customHeight="1" x14ac:dyDescent="0.25">
      <c r="A19187" s="1" t="s">
        <v>37272</v>
      </c>
      <c r="B19187" s="1">
        <v>0</v>
      </c>
      <c r="C19187" s="3">
        <v>44551.620949074073</v>
      </c>
      <c r="D19187" s="1" t="s">
        <v>37433</v>
      </c>
      <c r="E19187" s="4" t="str">
        <f ca="1">IFERROR(__xludf.DUMMYFUNCTION("GOOGLETRANSLATE(A1990 , ""tr"" , ""en"")"),"RT @emregulasi: @drfahrettinkoca # Health Culture https://t.co/bvn8fmhraa")</f>
        <v>RT @emregulasi: @drfahrettinkoca # Health Culture https://t.co/bvn8fmhraa</v>
      </c>
    </row>
    <row r="19188" spans="1:5" ht="15" customHeight="1" x14ac:dyDescent="0.25">
      <c r="A19188" s="1" t="s">
        <v>37334</v>
      </c>
      <c r="B19188" s="1">
        <v>0</v>
      </c>
      <c r="C19188" s="3">
        <v>44551.62059027778</v>
      </c>
      <c r="D19188" s="1" t="s">
        <v>37434</v>
      </c>
      <c r="E19188" s="4" t="str">
        <f ca="1">IFERROR(__xludf.DUMMYFUNCTION("GOOGLETRANSLATE(A1991 , ""tr"" , ""en"")"),"RT @ FALCAO5656: @drfahrettinkoca students wants online training #chankkurukilerceklaklama")</f>
        <v>RT @ FALCAO5656: @drfahrettinkoca students wants online training #chankkurukilerceklaklama</v>
      </c>
    </row>
    <row r="19189" spans="1:5" ht="15" customHeight="1" x14ac:dyDescent="0.25">
      <c r="A19189" s="1" t="s">
        <v>37435</v>
      </c>
      <c r="B19189" s="1">
        <v>0</v>
      </c>
      <c r="C19189" s="3">
        <v>44551.620173611111</v>
      </c>
      <c r="D19189" s="1" t="s">
        <v>37436</v>
      </c>
      <c r="E19189" s="4" t="str">
        <f ca="1">IFERROR(__xludf.DUMMYFUNCTION("GOOGLETRANSLATE(A1992 , ""tr"" , ""en"")"),"Rt @gungorguvener: @drfahrettinkoca @tcmeb What do we understand what you expect ?????")</f>
        <v>Rt @gungorguvener: @drfahrettinkoca @tcmeb What do we understand what you expect ?????</v>
      </c>
    </row>
    <row r="19190" spans="1:5" ht="15" customHeight="1" x14ac:dyDescent="0.25">
      <c r="A19190" s="1" t="s">
        <v>37272</v>
      </c>
      <c r="B19190" s="1">
        <v>0</v>
      </c>
      <c r="C19190" s="3">
        <v>44551.619976851849</v>
      </c>
      <c r="D19190" s="1" t="s">
        <v>37437</v>
      </c>
      <c r="E19190" s="4" t="str">
        <f ca="1">IFERROR(__xludf.DUMMYFUNCTION("GOOGLETRANSLATE(A1993 , ""tr"" , ""en"")"),"RT @emregulasi: @drfahrettinkoca # Health Culture https://t.co/bvn8fmhraa")</f>
        <v>RT @emregulasi: @drfahrettinkoca # Health Culture https://t.co/bvn8fmhraa</v>
      </c>
    </row>
    <row r="19191" spans="1:5" ht="15" customHeight="1" x14ac:dyDescent="0.25">
      <c r="A19191" s="1" t="s">
        <v>37438</v>
      </c>
      <c r="B19191" s="1">
        <v>1</v>
      </c>
      <c r="C19191" s="3">
        <v>44551.619745370372</v>
      </c>
      <c r="D19191" s="1" t="s">
        <v>37439</v>
      </c>
      <c r="E19191" s="4" t="str">
        <f ca="1">IFERROR(__xludf.DUMMYFUNCTION("GOOGLETRANSLATE(A1994 , ""tr"" , ""en"")"),"@drfahrettinkoca @emsetgm https://t.co/cllo04xzbt")</f>
        <v>@drfahrettinkoca @emsetgm https://t.co/cllo04xzbt</v>
      </c>
    </row>
    <row r="19192" spans="1:5" ht="15" customHeight="1" x14ac:dyDescent="0.25">
      <c r="A19192" s="1" t="s">
        <v>37272</v>
      </c>
      <c r="B19192" s="1">
        <v>0</v>
      </c>
      <c r="C19192" s="3">
        <v>44551.618518518517</v>
      </c>
      <c r="D19192" s="1" t="s">
        <v>37440</v>
      </c>
      <c r="E19192" s="4" t="str">
        <f ca="1">IFERROR(__xludf.DUMMYFUNCTION("GOOGLETRANSLATE(A1995 , ""tr"" , ""en"")"),"RT @emregulasi: @drfahrettinkoca # Health Culture https://t.co/bvn8fmhraa")</f>
        <v>RT @emregulasi: @drfahrettinkoca # Health Culture https://t.co/bvn8fmhraa</v>
      </c>
    </row>
    <row r="19193" spans="1:5" ht="15" customHeight="1" x14ac:dyDescent="0.25">
      <c r="A19193" s="1" t="s">
        <v>37272</v>
      </c>
      <c r="B19193" s="1">
        <v>0</v>
      </c>
      <c r="C19193" s="3">
        <v>44551.618356481478</v>
      </c>
      <c r="D19193" s="1" t="s">
        <v>37441</v>
      </c>
      <c r="E19193" s="4" t="str">
        <f ca="1">IFERROR(__xludf.DUMMYFUNCTION("GOOGLETRANSLATE(A1996 , ""tr"" , ""en"")"),"RT @emregulasi: @drfahrettinkoca # Health Culture https://t.co/bvn8fmhraa")</f>
        <v>RT @emregulasi: @drfahrettinkoca # Health Culture https://t.co/bvn8fmhraa</v>
      </c>
    </row>
    <row r="19194" spans="1:5" ht="15" customHeight="1" x14ac:dyDescent="0.25">
      <c r="A19194" s="1" t="s">
        <v>37357</v>
      </c>
      <c r="B19194" s="1">
        <v>0</v>
      </c>
      <c r="C19194" s="3">
        <v>44551.617384259262</v>
      </c>
      <c r="D19194" s="1" t="s">
        <v>37442</v>
      </c>
      <c r="E19194" s="4" t="str">
        <f ca="1">IFERROR(__xludf.DUMMYFUNCTION("GOOGLETRANSLATE(A1997 , ""tr"" , ""en"")"),"Rt @ebruzeybon: @drfahrettinkoca #the sciencekurukilerçlaklama")</f>
        <v>Rt @ebruzeybon: @drfahrettinkoca #the sciencekurukilerçlaklama</v>
      </c>
    </row>
    <row r="19195" spans="1:5" ht="15" customHeight="1" x14ac:dyDescent="0.25">
      <c r="A19195" s="1" t="s">
        <v>37366</v>
      </c>
      <c r="B19195" s="1">
        <v>0</v>
      </c>
      <c r="C19195" s="3">
        <v>44551.6172337963</v>
      </c>
      <c r="D19195" s="1" t="s">
        <v>37443</v>
      </c>
      <c r="E19195" s="4" t="str">
        <f ca="1">IFERROR(__xludf.DUMMYFUNCTION("GOOGLETRANSLATE(A1998 , ""tr"" , ""en"")"),"RT @neozade_offical: @drfahrettinkoca @tcmeb #Incuhrettinkaç @tcmeb #chankkurulugılıklıklıklıklaşılarılarılarılarışılışılışı")</f>
        <v>RT @neozade_offical: @drfahrettinkoca @tcmeb #Incuhrettinkaç @tcmeb #chankkurulugılıklıklıklıklaşılarılarılarılarışılışılışı</v>
      </c>
    </row>
    <row r="19196" spans="1:5" ht="15" customHeight="1" x14ac:dyDescent="0.25">
      <c r="A19196" s="1" t="s">
        <v>37444</v>
      </c>
      <c r="B19196" s="1">
        <v>9</v>
      </c>
      <c r="C19196" s="3">
        <v>44551.616516203707</v>
      </c>
      <c r="D19196" s="1" t="s">
        <v>37445</v>
      </c>
      <c r="E19196" s="4" t="str">
        <f ca="1">IFERROR(__xludf.DUMMYFUNCTION("GOOGLETRANSLATE(A1999 , ""tr"" , ""en"")"),"@drfahrettinkoca @tcmeb #Incuhrettinkaheklıklıklıklıklıklarılarılılarılarılarılarılıklarılıklı")</f>
        <v>@drfahrettinkoca @tcmeb #Incuhrettinkaheklıklıklıklıklıklarılarılılarılarılarılarılıklarılıklı</v>
      </c>
    </row>
    <row r="19197" spans="1:5" ht="15" customHeight="1" x14ac:dyDescent="0.25">
      <c r="A19197" s="1" t="s">
        <v>37357</v>
      </c>
      <c r="B19197" s="1">
        <v>0</v>
      </c>
      <c r="C19197" s="3">
        <v>44551.616354166668</v>
      </c>
      <c r="D19197" s="1" t="s">
        <v>37446</v>
      </c>
      <c r="E19197" s="4" t="str">
        <f ca="1">IFERROR(__xludf.DUMMYFUNCTION("GOOGLETRANSLATE(A2000 , ""tr"" , ""en"")"),"Rt @ebruzeybon: @drfahrettinkoca #the sciencekurukilerçlaklama")</f>
        <v>Rt @ebruzeybon: @drfahrettinkoca #the sciencekurukilerçlaklama</v>
      </c>
    </row>
    <row r="19198" spans="1:5" ht="15" customHeight="1" x14ac:dyDescent="0.25">
      <c r="A19198" s="1" t="s">
        <v>37272</v>
      </c>
      <c r="B19198" s="1">
        <v>0</v>
      </c>
      <c r="C19198" s="3">
        <v>44551.615254629629</v>
      </c>
      <c r="D19198" s="1" t="s">
        <v>37447</v>
      </c>
      <c r="E19198" s="4" t="str">
        <f ca="1">IFERROR(__xludf.DUMMYFUNCTION("GOOGLETRANSLATE(A2001 , ""tr"" , ""en"")"),"RT @emregulasi: @drfahrettinkoca # Health Culture https://t.co/bvn8fmhraa")</f>
        <v>RT @emregulasi: @drfahrettinkoca # Health Culture https://t.co/bvn8fmhraa</v>
      </c>
    </row>
    <row r="19199" spans="1:5" ht="15" customHeight="1" x14ac:dyDescent="0.25">
      <c r="A19199" s="1" t="s">
        <v>37272</v>
      </c>
      <c r="B19199" s="1">
        <v>0</v>
      </c>
      <c r="C19199" s="3">
        <v>44551.615034722221</v>
      </c>
      <c r="D19199" s="1" t="s">
        <v>37448</v>
      </c>
      <c r="E19199" s="4" t="str">
        <f ca="1">IFERROR(__xludf.DUMMYFUNCTION("GOOGLETRANSLATE(A2002 , ""tr"" , ""en"")"),"RT @emregulasi: @drfahrettinkoca # Health Culture https://t.co/bvn8fmhraa")</f>
        <v>RT @emregulasi: @drfahrettinkoca # Health Culture https://t.co/bvn8fmhraa</v>
      </c>
    </row>
    <row r="19200" spans="1:5" ht="15" customHeight="1" x14ac:dyDescent="0.25">
      <c r="A19200" s="1" t="s">
        <v>37272</v>
      </c>
      <c r="B19200" s="1">
        <v>0</v>
      </c>
      <c r="C19200" s="3">
        <v>44551.614594907405</v>
      </c>
      <c r="D19200" s="1" t="s">
        <v>37449</v>
      </c>
      <c r="E19200" s="4" t="str">
        <f ca="1">IFERROR(__xludf.DUMMYFUNCTION("GOOGLETRANSLATE(A2003 , ""tr"" , ""en"")"),"RT @emregulasi: @drfahrettinkoca # Health Culture https://t.co/bvn8fmhraa")</f>
        <v>RT @emregulasi: @drfahrettinkoca # Health Culture https://t.co/bvn8fmhraa</v>
      </c>
    </row>
    <row r="19201" spans="1:5" ht="15" customHeight="1" x14ac:dyDescent="0.25">
      <c r="A19201" s="1" t="s">
        <v>37272</v>
      </c>
      <c r="B19201" s="1">
        <v>0</v>
      </c>
      <c r="C19201" s="3">
        <v>44551.614490740743</v>
      </c>
      <c r="D19201" s="1" t="s">
        <v>37450</v>
      </c>
      <c r="E19201" s="4" t="str">
        <f ca="1">IFERROR(__xludf.DUMMYFUNCTION("GOOGLETRANSLATE(A2004 , ""tr"" , ""en"")"),"RT @emregulasi: @drfahrettinkoca # Health Culture https://t.co/bvn8fmhraa")</f>
        <v>RT @emregulasi: @drfahrettinkoca # Health Culture https://t.co/bvn8fmhraa</v>
      </c>
    </row>
    <row r="19202" spans="1:5" ht="15" customHeight="1" x14ac:dyDescent="0.25">
      <c r="A19202" s="1" t="s">
        <v>37357</v>
      </c>
      <c r="B19202" s="1">
        <v>0</v>
      </c>
      <c r="C19202" s="3">
        <v>44551.614340277774</v>
      </c>
      <c r="D19202" s="1" t="s">
        <v>37451</v>
      </c>
      <c r="E19202" s="4" t="str">
        <f ca="1">IFERROR(__xludf.DUMMYFUNCTION("GOOGLETRANSLATE(A2005 , ""tr"" , ""en"")"),"Rt @ebruzeybon: @drfahrettinkoca #the sciencekurukilerçlaklama")</f>
        <v>Rt @ebruzeybon: @drfahrettinkoca #the sciencekurukilerçlaklama</v>
      </c>
    </row>
    <row r="19203" spans="1:5" ht="15" customHeight="1" x14ac:dyDescent="0.25">
      <c r="A19203" s="1" t="s">
        <v>37272</v>
      </c>
      <c r="B19203" s="1">
        <v>0</v>
      </c>
      <c r="C19203" s="3">
        <v>44551.61377314815</v>
      </c>
      <c r="D19203" s="1" t="s">
        <v>37452</v>
      </c>
      <c r="E19203" s="4" t="str">
        <f ca="1">IFERROR(__xludf.DUMMYFUNCTION("GOOGLETRANSLATE(A2006 , ""tr"" , ""en"")"),"RT @emregulasi: @drfahrettinkoca # Health Culture https://t.co/bvn8fmhraa")</f>
        <v>RT @emregulasi: @drfahrettinkoca # Health Culture https://t.co/bvn8fmhraa</v>
      </c>
    </row>
    <row r="19204" spans="1:5" ht="15" customHeight="1" x14ac:dyDescent="0.25">
      <c r="A19204" s="1" t="s">
        <v>37357</v>
      </c>
      <c r="B19204" s="1">
        <v>0</v>
      </c>
      <c r="C19204" s="3">
        <v>44551.613240740742</v>
      </c>
      <c r="D19204" s="1" t="s">
        <v>37453</v>
      </c>
      <c r="E19204" s="4" t="str">
        <f ca="1">IFERROR(__xludf.DUMMYFUNCTION("GOOGLETRANSLATE(A2007 , ""tr"" , ""en"")"),"Rt @ebruzeybon: @drfahrettinkoca #the sciencekurukilerçlaklama")</f>
        <v>Rt @ebruzeybon: @drfahrettinkoca #the sciencekurukilerçlaklama</v>
      </c>
    </row>
    <row r="19205" spans="1:5" ht="15" customHeight="1" x14ac:dyDescent="0.25">
      <c r="A19205" s="1" t="s">
        <v>37272</v>
      </c>
      <c r="B19205" s="1">
        <v>0</v>
      </c>
      <c r="C19205" s="3">
        <v>44551.612534722219</v>
      </c>
      <c r="D19205" s="1" t="s">
        <v>37454</v>
      </c>
      <c r="E19205" s="4" t="str">
        <f ca="1">IFERROR(__xludf.DUMMYFUNCTION("GOOGLETRANSLATE(A2008 , ""tr"" , ""en"")"),"RT @emregulasi: @drfahrettinkoca # Health Culture https://t.co/bvn8fmhraa")</f>
        <v>RT @emregulasi: @drfahrettinkoca # Health Culture https://t.co/bvn8fmhraa</v>
      </c>
    </row>
    <row r="19206" spans="1:5" ht="15" customHeight="1" x14ac:dyDescent="0.25">
      <c r="A19206" s="1" t="s">
        <v>37357</v>
      </c>
      <c r="B19206" s="1">
        <v>0</v>
      </c>
      <c r="C19206" s="3">
        <v>44551.612199074072</v>
      </c>
      <c r="D19206" s="1" t="s">
        <v>37455</v>
      </c>
      <c r="E19206" s="4" t="str">
        <f ca="1">IFERROR(__xludf.DUMMYFUNCTION("GOOGLETRANSLATE(A2009 , ""tr"" , ""en"")"),"Rt @ebruzeybon: @drfahrettinkoca #the sciencekurukilerçlaklama")</f>
        <v>Rt @ebruzeybon: @drfahrettinkoca #the sciencekurukilerçlaklama</v>
      </c>
    </row>
    <row r="19207" spans="1:5" ht="15" customHeight="1" x14ac:dyDescent="0.25">
      <c r="A19207" s="1" t="s">
        <v>37272</v>
      </c>
      <c r="B19207" s="1">
        <v>0</v>
      </c>
      <c r="C19207" s="3">
        <v>44551.610914351855</v>
      </c>
      <c r="D19207" s="1" t="s">
        <v>37456</v>
      </c>
      <c r="E19207" s="4" t="str">
        <f ca="1">IFERROR(__xludf.DUMMYFUNCTION("GOOGLETRANSLATE(A2010 , ""tr"" , ""en"")"),"RT @emregulasi: @drfahrettinkoca # Health Culture https://t.co/bvn8fmhraa")</f>
        <v>RT @emregulasi: @drfahrettinkoca # Health Culture https://t.co/bvn8fmhraa</v>
      </c>
    </row>
    <row r="19208" spans="1:5" ht="15" customHeight="1" x14ac:dyDescent="0.25">
      <c r="A19208" s="1" t="s">
        <v>37272</v>
      </c>
      <c r="B19208" s="1">
        <v>0</v>
      </c>
      <c r="C19208" s="3">
        <v>44551.610729166663</v>
      </c>
      <c r="D19208" s="1" t="s">
        <v>37457</v>
      </c>
      <c r="E19208" s="4" t="str">
        <f ca="1">IFERROR(__xludf.DUMMYFUNCTION("GOOGLETRANSLATE(A2011 , ""tr"" , ""en"")"),"RT @emregulasi: @drfahrettinkoca # Health Culture https://t.co/bvn8fmhraa")</f>
        <v>RT @emregulasi: @drfahrettinkoca # Health Culture https://t.co/bvn8fmhraa</v>
      </c>
    </row>
    <row r="19209" spans="1:5" ht="15" customHeight="1" x14ac:dyDescent="0.25">
      <c r="A19209" s="1" t="s">
        <v>37357</v>
      </c>
      <c r="B19209" s="1">
        <v>0</v>
      </c>
      <c r="C19209" s="3">
        <v>44551.610717592594</v>
      </c>
      <c r="D19209" s="1" t="s">
        <v>37458</v>
      </c>
      <c r="E19209" s="4" t="str">
        <f ca="1">IFERROR(__xludf.DUMMYFUNCTION("GOOGLETRANSLATE(A2012 , ""tr"" , ""en"")"),"Rt @ebruzeybon: @drfahrettinkoca #the sciencekurukilerçlaklama")</f>
        <v>Rt @ebruzeybon: @drfahrettinkoca #the sciencekurukilerçlaklama</v>
      </c>
    </row>
    <row r="19210" spans="1:5" ht="15" customHeight="1" x14ac:dyDescent="0.25">
      <c r="A19210" s="1" t="s">
        <v>37272</v>
      </c>
      <c r="B19210" s="1">
        <v>0</v>
      </c>
      <c r="C19210" s="3">
        <v>44551.610706018517</v>
      </c>
      <c r="D19210" s="1" t="s">
        <v>37459</v>
      </c>
      <c r="E19210" s="4" t="str">
        <f ca="1">IFERROR(__xludf.DUMMYFUNCTION("GOOGLETRANSLATE(A2013 , ""tr"" , ""en"")"),"RT @emregulasi: @drfahrettinkoca # Health Culture https://t.co/bvn8fmhraa")</f>
        <v>RT @emregulasi: @drfahrettinkoca # Health Culture https://t.co/bvn8fmhraa</v>
      </c>
    </row>
    <row r="19211" spans="1:5" ht="15" customHeight="1" x14ac:dyDescent="0.25">
      <c r="A19211" s="1" t="s">
        <v>37428</v>
      </c>
      <c r="B19211" s="1">
        <v>0</v>
      </c>
      <c r="C19211" s="3">
        <v>44551.610706018517</v>
      </c>
      <c r="D19211" s="1" t="s">
        <v>37460</v>
      </c>
      <c r="E19211" s="4" t="str">
        <f ca="1">IFERROR(__xludf.DUMMYFUNCTION("GOOGLETRANSLATE(A2014 , ""tr"" , ""en"")"),"RT @ drgenetik1: @drfahrettinkoca @saglikbakanligi is now enough! Attacks the doctor to kill, serbets are being left to what is this?")</f>
        <v>RT @ drgenetik1: @drfahrettinkoca @saglikbakanligi is now enough! Attacks the doctor to kill, serbets are being left to what is this?</v>
      </c>
    </row>
    <row r="19212" spans="1:5" ht="15" customHeight="1" x14ac:dyDescent="0.25">
      <c r="A19212" s="1" t="s">
        <v>37357</v>
      </c>
      <c r="B19212" s="1">
        <v>0</v>
      </c>
      <c r="C19212" s="3">
        <v>44551.610601851855</v>
      </c>
      <c r="D19212" s="1" t="s">
        <v>37461</v>
      </c>
      <c r="E19212" s="4" t="str">
        <f ca="1">IFERROR(__xludf.DUMMYFUNCTION("GOOGLETRANSLATE(A2015 , ""tr"" , ""en"")"),"Rt @ebruzeybon: @drfahrettinkoca #the sciencekurukilerçlaklama")</f>
        <v>Rt @ebruzeybon: @drfahrettinkoca #the sciencekurukilerçlaklama</v>
      </c>
    </row>
    <row r="19213" spans="1:5" ht="15" customHeight="1" x14ac:dyDescent="0.25">
      <c r="A19213" s="1" t="s">
        <v>37357</v>
      </c>
      <c r="B19213" s="1">
        <v>0</v>
      </c>
      <c r="C19213" s="3">
        <v>44551.610509259262</v>
      </c>
      <c r="D19213" s="1" t="s">
        <v>37462</v>
      </c>
      <c r="E19213" s="4" t="str">
        <f ca="1">IFERROR(__xludf.DUMMYFUNCTION("GOOGLETRANSLATE(A2016 , ""tr"" , ""en"")"),"Rt @ebruzeybon: @drfahrettinkoca #the sciencekurukilerçlaklama")</f>
        <v>Rt @ebruzeybon: @drfahrettinkoca #the sciencekurukilerçlaklama</v>
      </c>
    </row>
    <row r="19214" spans="1:5" ht="15" customHeight="1" x14ac:dyDescent="0.25">
      <c r="A19214" s="1" t="s">
        <v>37357</v>
      </c>
      <c r="B19214" s="1">
        <v>0</v>
      </c>
      <c r="C19214" s="3">
        <v>44551.610289351855</v>
      </c>
      <c r="D19214" s="1" t="s">
        <v>37463</v>
      </c>
      <c r="E19214" s="4" t="str">
        <f ca="1">IFERROR(__xludf.DUMMYFUNCTION("GOOGLETRANSLATE(A2017 , ""tr"" , ""en"")"),"Rt @ebruzeybon: @drfahrettinkoca #the sciencekurukilerçlaklama")</f>
        <v>Rt @ebruzeybon: @drfahrettinkoca #the sciencekurukilerçlaklama</v>
      </c>
    </row>
    <row r="19215" spans="1:5" ht="15" customHeight="1" x14ac:dyDescent="0.25">
      <c r="A19215" s="1" t="s">
        <v>37357</v>
      </c>
      <c r="B19215" s="1">
        <v>0</v>
      </c>
      <c r="C19215" s="3">
        <v>44551.610115740739</v>
      </c>
      <c r="D19215" s="1" t="s">
        <v>37464</v>
      </c>
      <c r="E19215" s="4" t="str">
        <f ca="1">IFERROR(__xludf.DUMMYFUNCTION("GOOGLETRANSLATE(A2018 , ""tr"" , ""en"")"),"Rt @ebruzeybon: @drfahrettinkoca #the sciencekurukilerçlaklama")</f>
        <v>Rt @ebruzeybon: @drfahrettinkoca #the sciencekurukilerçlaklama</v>
      </c>
    </row>
    <row r="19216" spans="1:5" ht="15" customHeight="1" x14ac:dyDescent="0.25">
      <c r="A19216" s="1" t="s">
        <v>37357</v>
      </c>
      <c r="B19216" s="1">
        <v>0</v>
      </c>
      <c r="C19216" s="3">
        <v>44551.61</v>
      </c>
      <c r="D19216" s="1" t="s">
        <v>37465</v>
      </c>
      <c r="E19216" s="4" t="str">
        <f ca="1">IFERROR(__xludf.DUMMYFUNCTION("GOOGLETRANSLATE(A2019 , ""tr"" , ""en"")"),"Rt @ebruzeybon: @drfahrettinkoca #the sciencekurukilerçlaklama")</f>
        <v>Rt @ebruzeybon: @drfahrettinkoca #the sciencekurukilerçlaklama</v>
      </c>
    </row>
    <row r="19217" spans="1:5" ht="15" customHeight="1" x14ac:dyDescent="0.25">
      <c r="A19217" s="1" t="s">
        <v>37466</v>
      </c>
      <c r="B19217" s="1">
        <v>0</v>
      </c>
      <c r="C19217" s="3">
        <v>44551.609976851854</v>
      </c>
      <c r="D19217" s="1" t="s">
        <v>37467</v>
      </c>
      <c r="E19217" s="4" t="str">
        <f ca="1">IFERROR(__xludf.DUMMYFUNCTION("GOOGLETRANSLATE(A2020 , ""tr"" , ""en"")"),"@drfahrettinka https://t.co/qyd6wcgoak")</f>
        <v>@drfahrettinka https://t.co/qyd6wcgoak</v>
      </c>
    </row>
    <row r="19218" spans="1:5" ht="15" customHeight="1" x14ac:dyDescent="0.25">
      <c r="A19218" s="1" t="s">
        <v>37468</v>
      </c>
      <c r="B19218" s="1">
        <v>10</v>
      </c>
      <c r="C19218" s="3">
        <v>44551.609849537039</v>
      </c>
      <c r="D19218" s="1" t="s">
        <v>37469</v>
      </c>
      <c r="E19218" s="4" t="str">
        <f ca="1">IFERROR(__xludf.DUMMYFUNCTION("GOOGLETRANSLATE(A2021 , ""tr"" , ""en"")"),"@drfahrettinkoca #chankkurulugukfalaklar")</f>
        <v>@drfahrettinkoca #chankkurulugukfalaklar</v>
      </c>
    </row>
    <row r="19219" spans="1:5" ht="15" customHeight="1" x14ac:dyDescent="0.25">
      <c r="A19219" s="1" t="s">
        <v>37334</v>
      </c>
      <c r="B19219" s="1">
        <v>0</v>
      </c>
      <c r="C19219" s="3">
        <v>44551.609849537039</v>
      </c>
      <c r="D19219" s="1" t="s">
        <v>37470</v>
      </c>
      <c r="E19219" s="4" t="str">
        <f ca="1">IFERROR(__xludf.DUMMYFUNCTION("GOOGLETRANSLATE(A2022 , ""tr"" , ""en"")"),"RT @ FALCAO5656: @drfahrettinkoca students wants online training #chankkurukilerceklaklama")</f>
        <v>RT @ FALCAO5656: @drfahrettinkoca students wants online training #chankkurukilerceklaklama</v>
      </c>
    </row>
    <row r="19220" spans="1:5" ht="15" customHeight="1" x14ac:dyDescent="0.25">
      <c r="A19220" s="1" t="s">
        <v>37272</v>
      </c>
      <c r="B19220" s="1">
        <v>0</v>
      </c>
      <c r="C19220" s="3">
        <v>44551.609675925924</v>
      </c>
      <c r="D19220" s="1" t="s">
        <v>37471</v>
      </c>
      <c r="E19220" s="4" t="str">
        <f ca="1">IFERROR(__xludf.DUMMYFUNCTION("GOOGLETRANSLATE(A2023 , ""tr"" , ""en"")"),"RT @emregulasi: @drfahrettinkoca # Health Culture https://t.co/bvn8fmhraa")</f>
        <v>RT @emregulasi: @drfahrettinkoca # Health Culture https://t.co/bvn8fmhraa</v>
      </c>
    </row>
    <row r="19221" spans="1:5" ht="15" customHeight="1" x14ac:dyDescent="0.25">
      <c r="A19221" s="1" t="s">
        <v>37416</v>
      </c>
      <c r="B19221" s="1">
        <v>0</v>
      </c>
      <c r="C19221" s="3">
        <v>44551.609513888892</v>
      </c>
      <c r="D19221" s="1" t="s">
        <v>37472</v>
      </c>
      <c r="E19221" s="4" t="str">
        <f ca="1">IFERROR(__xludf.DUMMYFUNCTION("GOOGLETRANSLATE(A2024 , ""tr"" , ""en"")"),"RT @lordsjsx: @drfahrettinkoca DSO You have written as 34 thousand cases Why make 18 thousand statements.!")</f>
        <v>RT @lordsjsx: @drfahrettinkoca DSO You have written as 34 thousand cases Why make 18 thousand statements.!</v>
      </c>
    </row>
    <row r="19222" spans="1:5" ht="15" customHeight="1" x14ac:dyDescent="0.25">
      <c r="A19222" s="1" t="s">
        <v>37272</v>
      </c>
      <c r="B19222" s="1">
        <v>0</v>
      </c>
      <c r="C19222" s="3">
        <v>44551.609224537038</v>
      </c>
      <c r="D19222" s="1" t="s">
        <v>37473</v>
      </c>
      <c r="E19222" s="4" t="str">
        <f ca="1">IFERROR(__xludf.DUMMYFUNCTION("GOOGLETRANSLATE(A2025 , ""tr"" , ""en"")"),"RT @emregulasi: @drfahrettinkoca # Health Culture https://t.co/bvn8fmhraa")</f>
        <v>RT @emregulasi: @drfahrettinkoca # Health Culture https://t.co/bvn8fmhraa</v>
      </c>
    </row>
    <row r="19223" spans="1:5" ht="15" customHeight="1" x14ac:dyDescent="0.25">
      <c r="A19223" s="1" t="s">
        <v>37474</v>
      </c>
      <c r="B19223" s="1">
        <v>1</v>
      </c>
      <c r="C19223" s="3">
        <v>44551.609212962961</v>
      </c>
      <c r="D19223" s="1" t="s">
        <v>37475</v>
      </c>
      <c r="E19223" s="4" t="str">
        <f ca="1">IFERROR(__xludf.DUMMYFUNCTION("GOOGLETRANSLATE(A2026 , ""tr"" , ""en"")"),"@drfahrettinka Mr. Minister, we didn't deserve it .. https://t.co/kqnl57ddpw")</f>
        <v>@drfahrettinka Mr. Minister, we didn't deserve it .. https://t.co/kqnl57ddpw</v>
      </c>
    </row>
    <row r="19224" spans="1:5" ht="15" customHeight="1" x14ac:dyDescent="0.25">
      <c r="A19224" s="1" t="s">
        <v>37476</v>
      </c>
      <c r="B19224" s="1">
        <v>0</v>
      </c>
      <c r="C19224" s="3">
        <v>44551.609212962961</v>
      </c>
      <c r="D19224" s="1" t="s">
        <v>37477</v>
      </c>
      <c r="E19224" s="4" t="str">
        <f ca="1">IFERROR(__xludf.DUMMYFUNCTION("GOOGLETRANSLATE(A2027 , ""tr"" , ""en"")"),"RT @ Taghesabir1: @drfahrettinkoca @Alpayazap @drtevfikosis @Alpayazap @Fusuneyuboglu @DralPersener @erolozvar @serapsimsimsekyvz @serapsumsimsekyvz")</f>
        <v>RT @ Taghesabir1: @drfahrettinkoca @Alpayazap @drtevfikosis @Alpayazap @Fusuneyuboglu @DralPersener @erolozvar @serapsimsimsekyvz @serapsumsimsekyvz</v>
      </c>
    </row>
    <row r="19225" spans="1:5" ht="15" customHeight="1" x14ac:dyDescent="0.25">
      <c r="A19225" s="1" t="s">
        <v>37272</v>
      </c>
      <c r="B19225" s="1">
        <v>0</v>
      </c>
      <c r="C19225" s="3">
        <v>44551.6091087963</v>
      </c>
      <c r="D19225" s="1" t="s">
        <v>37478</v>
      </c>
      <c r="E19225" s="4" t="str">
        <f ca="1">IFERROR(__xludf.DUMMYFUNCTION("GOOGLETRANSLATE(A2028 , ""tr"" , ""en"")"),"RT @emregulasi: @drfahrettinkoca # Health Culture https://t.co/bvn8fmhraa")</f>
        <v>RT @emregulasi: @drfahrettinkoca # Health Culture https://t.co/bvn8fmhraa</v>
      </c>
    </row>
    <row r="19226" spans="1:5" ht="15" customHeight="1" x14ac:dyDescent="0.25">
      <c r="A19226" s="1" t="s">
        <v>37479</v>
      </c>
      <c r="B19226" s="1">
        <v>0</v>
      </c>
      <c r="C19226" s="3">
        <v>44551.608530092592</v>
      </c>
      <c r="D19226" s="1" t="s">
        <v>37480</v>
      </c>
      <c r="E19226" s="4" t="str">
        <f ca="1">IFERROR(__xludf.DUMMYFUNCTION("GOOGLETRANSLATE(A2029 , ""tr"" , ""en"")"),"Rt @rosapetalis: @drfahrettinkoca #characteristics")</f>
        <v>Rt @rosapetalis: @drfahrettinkoca #characteristics</v>
      </c>
    </row>
    <row r="19227" spans="1:5" ht="15" customHeight="1" x14ac:dyDescent="0.25">
      <c r="A19227" s="1" t="s">
        <v>37481</v>
      </c>
      <c r="B19227" s="1">
        <v>0</v>
      </c>
      <c r="C19227" s="3">
        <v>44551.608287037037</v>
      </c>
      <c r="D19227" s="1" t="s">
        <v>37482</v>
      </c>
      <c r="E19227" s="4" t="str">
        <f ca="1">IFERROR(__xludf.DUMMYFUNCTION("GOOGLETRANSLATE(A2030 , ""tr"" , ""en"")"),"RT @ drgenetik1: @drfahrettinkoca @saglikbakanligi")</f>
        <v>RT @ drgenetik1: @drfahrettinkoca @saglikbakanligi</v>
      </c>
    </row>
    <row r="19228" spans="1:5" ht="15" customHeight="1" x14ac:dyDescent="0.25">
      <c r="A19228" s="1" t="s">
        <v>37483</v>
      </c>
      <c r="B19228" s="1">
        <v>0</v>
      </c>
      <c r="C19228" s="3">
        <v>44551.608206018522</v>
      </c>
      <c r="D19228" s="1" t="s">
        <v>37484</v>
      </c>
      <c r="E19228" s="4" t="str">
        <f ca="1">IFERROR(__xludf.DUMMYFUNCTION("GOOGLETRANSLATE(A2031 , ""tr"" , ""en"")"),"RT @ ASMDMT1: @drfahrettinka @saglikbakanligi @tcbestepe @tc_icisler @barisatay @kilicdarogluk @Meral_Aksener Health Violence Law in Health ...")</f>
        <v>RT @ ASMDMT1: @drfahrettinka @saglikbakanligi @tcbestepe @tc_icisler @barisatay @kilicdarogluk @Meral_Aksener Health Violence Law in Health ...</v>
      </c>
    </row>
    <row r="19229" spans="1:5" ht="15" customHeight="1" x14ac:dyDescent="0.25">
      <c r="A19229" s="1" t="s">
        <v>37272</v>
      </c>
      <c r="B19229" s="1">
        <v>0</v>
      </c>
      <c r="C19229" s="3">
        <v>44551.607916666668</v>
      </c>
      <c r="D19229" s="1" t="s">
        <v>37485</v>
      </c>
      <c r="E19229" s="4" t="str">
        <f ca="1">IFERROR(__xludf.DUMMYFUNCTION("GOOGLETRANSLATE(A2032 , ""tr"" , ""en"")"),"RT @emregulasi: @drfahrettinkoca # Health Culture https://t.co/bvn8fmhraa")</f>
        <v>RT @emregulasi: @drfahrettinkoca # Health Culture https://t.co/bvn8fmhraa</v>
      </c>
    </row>
    <row r="19230" spans="1:5" ht="15" customHeight="1" x14ac:dyDescent="0.25">
      <c r="A19230" s="1" t="s">
        <v>37272</v>
      </c>
      <c r="B19230" s="1">
        <v>0</v>
      </c>
      <c r="C19230" s="3">
        <v>44551.607499999998</v>
      </c>
      <c r="D19230" s="1" t="s">
        <v>37486</v>
      </c>
      <c r="E19230" s="4" t="str">
        <f ca="1">IFERROR(__xludf.DUMMYFUNCTION("GOOGLETRANSLATE(A2033 , ""tr"" , ""en"")"),"RT @emregulasi: @drfahrettinkoca # Health Culture https://t.co/bvn8fmhraa")</f>
        <v>RT @emregulasi: @drfahrettinkoca # Health Culture https://t.co/bvn8fmhraa</v>
      </c>
    </row>
    <row r="19231" spans="1:5" ht="15" customHeight="1" x14ac:dyDescent="0.25">
      <c r="A19231" s="1" t="s">
        <v>37487</v>
      </c>
      <c r="B19231" s="1">
        <v>0</v>
      </c>
      <c r="C19231" s="3">
        <v>44551.607245370367</v>
      </c>
      <c r="D19231" s="1" t="s">
        <v>37488</v>
      </c>
      <c r="E19231" s="4" t="str">
        <f ca="1">IFERROR(__xludf.DUMMYFUNCTION("GOOGLETRANSLATE(A2034 , ""tr"" , ""en"")"),"RT @Genperisi: @drfahrettinkoca is missing missing this is how it can still be ???")</f>
        <v>RT @Genperisi: @drfahrettinkoca is missing missing this is how it can still be ???</v>
      </c>
    </row>
    <row r="19232" spans="1:5" ht="15" customHeight="1" x14ac:dyDescent="0.25">
      <c r="A19232" s="1" t="s">
        <v>37334</v>
      </c>
      <c r="B19232" s="1">
        <v>0</v>
      </c>
      <c r="C19232" s="3">
        <v>44551.605694444443</v>
      </c>
      <c r="D19232" s="1" t="s">
        <v>37489</v>
      </c>
      <c r="E19232" s="4" t="str">
        <f ca="1">IFERROR(__xludf.DUMMYFUNCTION("GOOGLETRANSLATE(A2035 , ""tr"" , ""en"")"),"RT @ FALCAO5656: @drfahrettinkoca students wants online training #chankkurukilerceklaklama")</f>
        <v>RT @ FALCAO5656: @drfahrettinkoca students wants online training #chankkurukilerceklaklama</v>
      </c>
    </row>
    <row r="19233" spans="1:5" ht="15" customHeight="1" x14ac:dyDescent="0.25">
      <c r="A19233" s="1" t="s">
        <v>37272</v>
      </c>
      <c r="B19233" s="1">
        <v>0</v>
      </c>
      <c r="C19233" s="3">
        <v>44551.605023148149</v>
      </c>
      <c r="D19233" s="1" t="s">
        <v>37490</v>
      </c>
      <c r="E19233" s="4" t="str">
        <f ca="1">IFERROR(__xludf.DUMMYFUNCTION("GOOGLETRANSLATE(A2036 , ""tr"" , ""en"")"),"RT @emregulasi: @drfahrettinkoca # Health Culture https://t.co/bvn8fmhraa")</f>
        <v>RT @emregulasi: @drfahrettinkoca # Health Culture https://t.co/bvn8fmhraa</v>
      </c>
    </row>
    <row r="19234" spans="1:5" ht="15" customHeight="1" x14ac:dyDescent="0.25">
      <c r="A19234" s="1" t="s">
        <v>37272</v>
      </c>
      <c r="B19234" s="1">
        <v>0</v>
      </c>
      <c r="C19234" s="3">
        <v>44551.604953703703</v>
      </c>
      <c r="D19234" s="1" t="s">
        <v>37491</v>
      </c>
      <c r="E19234" s="4" t="str">
        <f ca="1">IFERROR(__xludf.DUMMYFUNCTION("GOOGLETRANSLATE(A2037 , ""tr"" , ""en"")"),"RT @emregulasi: @drfahrettinkoca # Health Culture https://t.co/bvn8fmhraa")</f>
        <v>RT @emregulasi: @drfahrettinkoca # Health Culture https://t.co/bvn8fmhraa</v>
      </c>
    </row>
    <row r="19235" spans="1:5" ht="15" customHeight="1" x14ac:dyDescent="0.25">
      <c r="A19235" s="1" t="s">
        <v>37492</v>
      </c>
      <c r="B19235" s="1">
        <v>0</v>
      </c>
      <c r="C19235" s="3">
        <v>44551.604513888888</v>
      </c>
      <c r="D19235" s="1" t="s">
        <v>37493</v>
      </c>
      <c r="E19235" s="4" t="str">
        <f ca="1">IFERROR(__xludf.DUMMYFUNCTION("GOOGLETRANSLATE(A2038 , ""tr"" , ""en"")"),"RT @ akel0202: @drfahrettinka Mr. Ministry of ADIYAMAN 400 Bed State Hospital Due to the report called State Hospital Humani and my uncle son ...")</f>
        <v>RT @ akel0202: @drfahrettinka Mr. Ministry of ADIYAMAN 400 Bed State Hospital Due to the report called State Hospital Humani and my uncle son ...</v>
      </c>
    </row>
    <row r="19236" spans="1:5" ht="15" customHeight="1" x14ac:dyDescent="0.25">
      <c r="A19236" s="1" t="s">
        <v>37494</v>
      </c>
      <c r="B19236" s="1">
        <v>0</v>
      </c>
      <c r="C19236" s="3">
        <v>44551.604270833333</v>
      </c>
      <c r="D19236" s="1" t="s">
        <v>37495</v>
      </c>
      <c r="E19236" s="4" t="str">
        <f ca="1">IFERROR(__xludf.DUMMYFUNCTION("GOOGLETRANSLATE(A2039 , ""tr"" , ""en"")"),"@drfahrettinkoca @Abdulhamitul @saglikbakanli @saglikbakanligi @adalet_bakanlik @tc_icisler What time will stop ... https://t.co/tduqaxfghz")</f>
        <v>@drfahrettinkoca @Abdulhamitul @saglikbakanli @saglikbakanligi @adalet_bakanlik @tc_icisler What time will stop ... https://t.co/tduqaxfghz</v>
      </c>
    </row>
    <row r="19237" spans="1:5" ht="15" customHeight="1" x14ac:dyDescent="0.25">
      <c r="A19237" s="1" t="s">
        <v>37428</v>
      </c>
      <c r="B19237" s="1">
        <v>0</v>
      </c>
      <c r="C19237" s="3">
        <v>44551.602766203701</v>
      </c>
      <c r="D19237" s="1" t="s">
        <v>37496</v>
      </c>
      <c r="E19237" s="4" t="str">
        <f ca="1">IFERROR(__xludf.DUMMYFUNCTION("GOOGLETRANSLATE(A2040 , ""tr"" , ""en"")"),"RT @ drgenetik1: @drfahrettinkoca @saglikbakanligi is now enough! Attacks the doctor to kill, serbets are being left to what is this?")</f>
        <v>RT @ drgenetik1: @drfahrettinkoca @saglikbakanligi is now enough! Attacks the doctor to kill, serbets are being left to what is this?</v>
      </c>
    </row>
    <row r="19238" spans="1:5" ht="15" customHeight="1" x14ac:dyDescent="0.25">
      <c r="A19238" s="1" t="s">
        <v>37272</v>
      </c>
      <c r="B19238" s="1">
        <v>0</v>
      </c>
      <c r="C19238" s="3">
        <v>44551.60261574074</v>
      </c>
      <c r="D19238" s="1" t="s">
        <v>37497</v>
      </c>
      <c r="E19238" s="4" t="str">
        <f ca="1">IFERROR(__xludf.DUMMYFUNCTION("GOOGLETRANSLATE(A2041 , ""tr"" , ""en"")"),"RT @emregulasi: @drfahrettinkoca # Health Culture https://t.co/bvn8fmhraa")</f>
        <v>RT @emregulasi: @drfahrettinkoca # Health Culture https://t.co/bvn8fmhraa</v>
      </c>
    </row>
    <row r="19239" spans="1:5" ht="15" customHeight="1" x14ac:dyDescent="0.25">
      <c r="A19239" s="1" t="s">
        <v>37272</v>
      </c>
      <c r="B19239" s="1">
        <v>0</v>
      </c>
      <c r="C19239" s="3">
        <v>44551.602303240739</v>
      </c>
      <c r="D19239" s="1" t="s">
        <v>37498</v>
      </c>
      <c r="E19239" s="4" t="str">
        <f ca="1">IFERROR(__xludf.DUMMYFUNCTION("GOOGLETRANSLATE(A2042 , ""tr"" , ""en"")"),"RT @emregulasi: @drfahrettinkoca # Health Culture https://t.co/bvn8fmhraa")</f>
        <v>RT @emregulasi: @drfahrettinkoca # Health Culture https://t.co/bvn8fmhraa</v>
      </c>
    </row>
    <row r="19240" spans="1:5" ht="15" customHeight="1" x14ac:dyDescent="0.25">
      <c r="A19240" s="1" t="s">
        <v>37499</v>
      </c>
      <c r="B19240" s="1">
        <v>1</v>
      </c>
      <c r="C19240" s="3">
        <v>44551.602233796293</v>
      </c>
      <c r="D19240" s="1" t="s">
        <v>37500</v>
      </c>
      <c r="E19240" s="4" t="str">
        <f ca="1">IFERROR(__xludf.DUMMYFUNCTION("GOOGLETRANSLATE(A2043 , ""tr"" , ""en"")"),"@drfahrettinkoca @saglikbakanligi @sagliklicozum https://t.co/zzkpfuksqd")</f>
        <v>@drfahrettinkoca @saglikbakanligi @sagliklicozum https://t.co/zzkpfuksqd</v>
      </c>
    </row>
    <row r="19241" spans="1:5" ht="15" customHeight="1" x14ac:dyDescent="0.25">
      <c r="A19241" s="1" t="s">
        <v>37501</v>
      </c>
      <c r="B19241" s="1">
        <v>1</v>
      </c>
      <c r="C19241" s="3">
        <v>44551.601909722223</v>
      </c>
      <c r="D19241" s="1" t="s">
        <v>37502</v>
      </c>
      <c r="E19241" s="4" t="str">
        <f ca="1">IFERROR(__xludf.DUMMYFUNCTION("GOOGLETRANSLATE(A2044 , ""tr"" , ""en"")"),"@drfahrettinkoca @abdulhamitgula https://t.co/vhgyyjsrju")</f>
        <v>@drfahrettinkoca @abdulhamitgula https://t.co/vhgyyjsrju</v>
      </c>
    </row>
    <row r="19242" spans="1:5" ht="15" customHeight="1" x14ac:dyDescent="0.25">
      <c r="A19242" s="1" t="s">
        <v>37319</v>
      </c>
      <c r="B19242" s="1">
        <v>0</v>
      </c>
      <c r="C19242" s="3">
        <v>44551.599872685183</v>
      </c>
      <c r="D19242" s="1" t="s">
        <v>37503</v>
      </c>
      <c r="E19242" s="4" t="str">
        <f ca="1">IFERROR(__xludf.DUMMYFUNCTION("GOOGLETRANSLATE(A2045 , ""tr"" , ""en"")"),"RT @ Der1ki: @drfahrettinkoca 16 December 36 thousand cases? 19 December 34 thousand cases? https://t.co/he0ed8mi7q")</f>
        <v>RT @ Der1ki: @drfahrettinkoca 16 December 36 thousand cases? 19 December 34 thousand cases? https://t.co/he0ed8mi7q</v>
      </c>
    </row>
    <row r="19243" spans="1:5" ht="15" customHeight="1" x14ac:dyDescent="0.25">
      <c r="A19243" s="1" t="s">
        <v>37504</v>
      </c>
      <c r="B19243" s="1">
        <v>0</v>
      </c>
      <c r="C19243" s="3">
        <v>44551.599745370368</v>
      </c>
      <c r="D19243" s="1" t="s">
        <v>37505</v>
      </c>
      <c r="E19243" s="4" t="str">
        <f ca="1">IFERROR(__xludf.DUMMYFUNCTION("GOOGLETRANSLATE(A2046 , ""tr"" , ""en"")"),"RT @Uurcan_y: @drfahrettinkoca WHO Does it say? Someone is our case table and one of the other .. @drfahrettinkoca @ brioskurulu_ ...")</f>
        <v>RT @Uurcan_y: @drfahrettinkoca WHO Does it say? Someone is our case table and one of the other .. @drfahrettinkoca @ brioskurulu_ ...</v>
      </c>
    </row>
    <row r="19244" spans="1:5" ht="15" customHeight="1" x14ac:dyDescent="0.25">
      <c r="A19244" s="1" t="s">
        <v>37506</v>
      </c>
      <c r="B19244" s="1">
        <v>0</v>
      </c>
      <c r="C19244" s="3">
        <v>44551.599606481483</v>
      </c>
      <c r="D19244" s="1" t="s">
        <v>37507</v>
      </c>
      <c r="E19244" s="4" t="str">
        <f ca="1">IFERROR(__xludf.DUMMYFUNCTION("GOOGLETRANSLATE(A2047 , ""tr"" , ""en"")"),"Rt @uurcan_y: @drfahrettinkoca WHO Don't say so you don't say that you're stared https://t.co/6zrfe3uc5d")</f>
        <v>Rt @uurcan_y: @drfahrettinkoca WHO Don't say so you don't say that you're stared https://t.co/6zrfe3uc5d</v>
      </c>
    </row>
    <row r="19245" spans="1:5" ht="15" customHeight="1" x14ac:dyDescent="0.25">
      <c r="A19245" s="1" t="s">
        <v>37334</v>
      </c>
      <c r="B19245" s="1">
        <v>0</v>
      </c>
      <c r="C19245" s="3">
        <v>44551.597696759258</v>
      </c>
      <c r="D19245" s="1" t="s">
        <v>37508</v>
      </c>
      <c r="E19245" s="4" t="str">
        <f ca="1">IFERROR(__xludf.DUMMYFUNCTION("GOOGLETRANSLATE(A2048 , ""tr"" , ""en"")"),"RT @ FALCAO5656: @drfahrettinkoca students wants online training #chankkurukilerceklaklama")</f>
        <v>RT @ FALCAO5656: @drfahrettinkoca students wants online training #chankkurukilerceklaklama</v>
      </c>
    </row>
    <row r="19246" spans="1:5" ht="15" customHeight="1" x14ac:dyDescent="0.25">
      <c r="A19246" s="1" t="s">
        <v>37334</v>
      </c>
      <c r="B19246" s="1">
        <v>0</v>
      </c>
      <c r="C19246" s="3">
        <v>44551.597013888888</v>
      </c>
      <c r="D19246" s="1" t="s">
        <v>37509</v>
      </c>
      <c r="E19246" s="4" t="str">
        <f ca="1">IFERROR(__xludf.DUMMYFUNCTION("GOOGLETRANSLATE(A2049 , ""tr"" , ""en"")"),"RT @ FALCAO5656: @drfahrettinkoca students wants online training #chankkurukilerceklaklama")</f>
        <v>RT @ FALCAO5656: @drfahrettinkoca students wants online training #chankkurukilerceklaklama</v>
      </c>
    </row>
    <row r="19247" spans="1:5" ht="15" customHeight="1" x14ac:dyDescent="0.25">
      <c r="A19247" s="1" t="s">
        <v>37334</v>
      </c>
      <c r="B19247" s="1">
        <v>0</v>
      </c>
      <c r="C19247" s="3">
        <v>44551.596215277779</v>
      </c>
      <c r="D19247" s="1" t="s">
        <v>37510</v>
      </c>
      <c r="E19247" s="4" t="str">
        <f ca="1">IFERROR(__xludf.DUMMYFUNCTION("GOOGLETRANSLATE(A2050 , ""tr"" , ""en"")"),"RT @ FALCAO5656: @drfahrettinkoca students wants online training #chankkurukilerceklaklama")</f>
        <v>RT @ FALCAO5656: @drfahrettinkoca students wants online training #chankkurukilerceklaklama</v>
      </c>
    </row>
    <row r="19248" spans="1:5" ht="15" customHeight="1" x14ac:dyDescent="0.25">
      <c r="A19248" s="1" t="s">
        <v>37272</v>
      </c>
      <c r="B19248" s="1">
        <v>0</v>
      </c>
      <c r="C19248" s="3">
        <v>44551.595381944448</v>
      </c>
      <c r="D19248" s="1" t="s">
        <v>37511</v>
      </c>
      <c r="E19248" s="4" t="str">
        <f ca="1">IFERROR(__xludf.DUMMYFUNCTION("GOOGLETRANSLATE(A2051 , ""tr"" , ""en"")"),"RT @emregulasi: @drfahrettinkoca # Health Culture https://t.co/bvn8fmhraa")</f>
        <v>RT @emregulasi: @drfahrettinkoca # Health Culture https://t.co/bvn8fmhraa</v>
      </c>
    </row>
    <row r="19249" spans="1:5" ht="15" customHeight="1" x14ac:dyDescent="0.25">
      <c r="A19249" s="1" t="s">
        <v>37512</v>
      </c>
      <c r="B19249" s="1">
        <v>0</v>
      </c>
      <c r="C19249" s="3">
        <v>44551.594976851855</v>
      </c>
      <c r="D19249" s="1" t="s">
        <v>37513</v>
      </c>
      <c r="E19249" s="4" t="str">
        <f ca="1">IFERROR(__xludf.DUMMYFUNCTION("GOOGLETRANSLATE(A2052 , ""tr"" , ""en"")"),"RT @ KEREMGK05371085: @drfahrettinkoca #chankkurulugılıklıklama")</f>
        <v>RT @ KEREMGK05371085: @drfahrettinkoca #chankkurulugılıklıklama</v>
      </c>
    </row>
    <row r="19250" spans="1:5" ht="15" customHeight="1" x14ac:dyDescent="0.25">
      <c r="A19250" s="1" t="s">
        <v>37334</v>
      </c>
      <c r="B19250" s="1">
        <v>0</v>
      </c>
      <c r="C19250" s="3">
        <v>44551.59480324074</v>
      </c>
      <c r="D19250" s="1" t="s">
        <v>37514</v>
      </c>
      <c r="E19250" s="4" t="str">
        <f ca="1">IFERROR(__xludf.DUMMYFUNCTION("GOOGLETRANSLATE(A2053 , ""tr"" , ""en"")"),"RT @ FALCAO5656: @drfahrettinkoca students wants online training #chankkurukilerceklaklama")</f>
        <v>RT @ FALCAO5656: @drfahrettinkoca students wants online training #chankkurukilerceklaklama</v>
      </c>
    </row>
    <row r="19251" spans="1:5" ht="15" customHeight="1" x14ac:dyDescent="0.25">
      <c r="A19251" s="1" t="s">
        <v>37515</v>
      </c>
      <c r="B19251" s="1">
        <v>0</v>
      </c>
      <c r="C19251" s="3">
        <v>44551.594583333332</v>
      </c>
      <c r="D19251" s="1" t="s">
        <v>37516</v>
      </c>
      <c r="E19251" s="4" t="str">
        <f ca="1">IFERROR(__xludf.DUMMYFUNCTION("GOOGLETRANSLATE(A2054 , ""tr"" , ""en"")"),"Rt @duckybads: @drfahrettinkoca #chankkurulugılıklıklama")</f>
        <v>Rt @duckybads: @drfahrettinkoca #chankkurulugılıklıklama</v>
      </c>
    </row>
    <row r="19252" spans="1:5" ht="15" customHeight="1" x14ac:dyDescent="0.25">
      <c r="A19252" s="1" t="s">
        <v>37512</v>
      </c>
      <c r="B19252" s="1">
        <v>0</v>
      </c>
      <c r="C19252" s="3">
        <v>44551.594502314816</v>
      </c>
      <c r="D19252" s="1" t="s">
        <v>37517</v>
      </c>
      <c r="E19252" s="4" t="str">
        <f ca="1">IFERROR(__xludf.DUMMYFUNCTION("GOOGLETRANSLATE(A2055 , ""tr"" , ""en"")"),"RT @ KEREMGK05371085: @drfahrettinkoca #chankkurulugılıklıklama")</f>
        <v>RT @ KEREMGK05371085: @drfahrettinkoca #chankkurulugılıklıklama</v>
      </c>
    </row>
    <row r="19253" spans="1:5" ht="15" customHeight="1" x14ac:dyDescent="0.25">
      <c r="A19253" s="1" t="s">
        <v>37272</v>
      </c>
      <c r="B19253" s="1">
        <v>0</v>
      </c>
      <c r="C19253" s="3">
        <v>44551.594490740739</v>
      </c>
      <c r="D19253" s="1" t="s">
        <v>37518</v>
      </c>
      <c r="E19253" s="4" t="str">
        <f ca="1">IFERROR(__xludf.DUMMYFUNCTION("GOOGLETRANSLATE(A2056 , ""tr"" , ""en"")"),"RT @emregulasi: @drfahrettinkoca # Health Culture https://t.co/bvn8fmhraa")</f>
        <v>RT @emregulasi: @drfahrettinkoca # Health Culture https://t.co/bvn8fmhraa</v>
      </c>
    </row>
    <row r="19254" spans="1:5" ht="15" customHeight="1" x14ac:dyDescent="0.25">
      <c r="A19254" s="1" t="s">
        <v>37519</v>
      </c>
      <c r="B19254" s="1">
        <v>0</v>
      </c>
      <c r="C19254" s="3">
        <v>44551.594490740739</v>
      </c>
      <c r="D19254" s="1" t="s">
        <v>37520</v>
      </c>
      <c r="E19254" s="4" t="str">
        <f ca="1">IFERROR(__xludf.DUMMYFUNCTION("GOOGLETRANSLATE(A2057 , ""tr"" , ""en"")"),"RT @ LAMBADER9: @drfahrettinkoca #theykukluklugiVlaklak")</f>
        <v>RT @ LAMBADER9: @drfahrettinkoca #theykukluklugiVlaklak</v>
      </c>
    </row>
    <row r="19255" spans="1:5" ht="15" customHeight="1" x14ac:dyDescent="0.25">
      <c r="A19255" s="1" t="s">
        <v>37479</v>
      </c>
      <c r="B19255" s="1">
        <v>0</v>
      </c>
      <c r="C19255" s="3">
        <v>44551.594467592593</v>
      </c>
      <c r="D19255" s="1" t="s">
        <v>37521</v>
      </c>
      <c r="E19255" s="4" t="str">
        <f ca="1">IFERROR(__xludf.DUMMYFUNCTION("GOOGLETRANSLATE(A2058 , ""tr"" , ""en"")"),"Rt @rosapetalis: @drfahrettinkoca #characteristics")</f>
        <v>Rt @rosapetalis: @drfahrettinkoca #characteristics</v>
      </c>
    </row>
    <row r="19256" spans="1:5" ht="15" customHeight="1" x14ac:dyDescent="0.25">
      <c r="A19256" s="1" t="s">
        <v>37515</v>
      </c>
      <c r="B19256" s="1">
        <v>0</v>
      </c>
      <c r="C19256" s="3">
        <v>44551.594293981485</v>
      </c>
      <c r="D19256" s="1" t="s">
        <v>37522</v>
      </c>
      <c r="E19256" s="4" t="str">
        <f ca="1">IFERROR(__xludf.DUMMYFUNCTION("GOOGLETRANSLATE(A2059 , ""tr"" , ""en"")"),"Rt @duckybads: @drfahrettinkoca #chankkurulugılıklıklama")</f>
        <v>Rt @duckybads: @drfahrettinkoca #chankkurulugılıklıklama</v>
      </c>
    </row>
    <row r="19257" spans="1:5" ht="15" customHeight="1" x14ac:dyDescent="0.25">
      <c r="A19257" s="1" t="s">
        <v>37334</v>
      </c>
      <c r="B19257" s="1">
        <v>0</v>
      </c>
      <c r="C19257" s="3">
        <v>44551.593761574077</v>
      </c>
      <c r="D19257" s="1" t="s">
        <v>37523</v>
      </c>
      <c r="E19257" s="4" t="str">
        <f ca="1">IFERROR(__xludf.DUMMYFUNCTION("GOOGLETRANSLATE(A2060 , ""tr"" , ""en"")"),"RT @ FALCAO5656: @drfahrettinkoca students wants online training #chankkurukilerceklaklama")</f>
        <v>RT @ FALCAO5656: @drfahrettinkoca students wants online training #chankkurukilerceklaklama</v>
      </c>
    </row>
    <row r="19258" spans="1:5" ht="15" customHeight="1" x14ac:dyDescent="0.25">
      <c r="A19258" s="1" t="s">
        <v>37524</v>
      </c>
      <c r="B19258" s="1">
        <v>0</v>
      </c>
      <c r="C19258" s="3">
        <v>44551.593055555553</v>
      </c>
      <c r="D19258" s="1" t="s">
        <v>37525</v>
      </c>
      <c r="E19258" s="4" t="str">
        <f ca="1">IFERROR(__xludf.DUMMYFUNCTION("GOOGLETRANSLATE(A2061 , ""tr"" , ""en"")"),"@drfahrettinkoca @c_ahmethoca https://t.co/berkiztaho")</f>
        <v>@drfahrettinkoca @c_ahmethoca https://t.co/berkiztaho</v>
      </c>
    </row>
    <row r="19259" spans="1:5" ht="15" customHeight="1" x14ac:dyDescent="0.25">
      <c r="A19259" s="1" t="s">
        <v>37272</v>
      </c>
      <c r="B19259" s="1">
        <v>0</v>
      </c>
      <c r="C19259" s="3">
        <v>44551.592824074076</v>
      </c>
      <c r="D19259" s="1" t="s">
        <v>37526</v>
      </c>
      <c r="E19259" s="4" t="str">
        <f ca="1">IFERROR(__xludf.DUMMYFUNCTION("GOOGLETRANSLATE(A2062 , ""tr"" , ""en"")"),"RT @emregulasi: @drfahrettinkoca # Health Culture https://t.co/bvn8fmhraa")</f>
        <v>RT @emregulasi: @drfahrettinkoca # Health Culture https://t.co/bvn8fmhraa</v>
      </c>
    </row>
    <row r="19260" spans="1:5" ht="15" customHeight="1" x14ac:dyDescent="0.25">
      <c r="A19260" s="1" t="s">
        <v>37334</v>
      </c>
      <c r="B19260" s="1">
        <v>0</v>
      </c>
      <c r="C19260" s="3">
        <v>44551.592812499999</v>
      </c>
      <c r="D19260" s="1" t="s">
        <v>37527</v>
      </c>
      <c r="E19260" s="4" t="str">
        <f ca="1">IFERROR(__xludf.DUMMYFUNCTION("GOOGLETRANSLATE(A2063 , ""tr"" , ""en"")"),"RT @ FALCAO5656: @drfahrettinkoca students wants online training #chankkurukilerceklaklama")</f>
        <v>RT @ FALCAO5656: @drfahrettinkoca students wants online training #chankkurukilerceklaklama</v>
      </c>
    </row>
    <row r="19261" spans="1:5" ht="15" customHeight="1" x14ac:dyDescent="0.25">
      <c r="A19261" s="1" t="s">
        <v>37528</v>
      </c>
      <c r="B19261" s="1">
        <v>1</v>
      </c>
      <c r="C19261" s="3">
        <v>44551.592094907406</v>
      </c>
      <c r="D19261" s="1" t="s">
        <v>37529</v>
      </c>
      <c r="E19261" s="4" t="str">
        <f ca="1">IFERROR(__xludf.DUMMYFUNCTION("GOOGLETRANSLATE(A2064 , ""tr"" , ""en"")"),"@drfahrettinkoca @saglikbakanligi @tcbestepe @tc_icisler @Barisatay @Barisatay @kilicdarogluk @Meral_Aksener Health SDD ... https://t.co/vxg0xzay32")</f>
        <v>@drfahrettinkoca @saglikbakanligi @tcbestepe @tc_icisler @Barisatay @Barisatay @kilicdarogluk @Meral_Aksener Health SDD ... https://t.co/vxg0xzay32</v>
      </c>
    </row>
    <row r="19262" spans="1:5" ht="15" customHeight="1" x14ac:dyDescent="0.25">
      <c r="A19262" s="1" t="s">
        <v>37311</v>
      </c>
      <c r="B19262" s="1">
        <v>0</v>
      </c>
      <c r="C19262" s="3">
        <v>44551.592060185183</v>
      </c>
      <c r="D19262" s="1" t="s">
        <v>37530</v>
      </c>
      <c r="E19262" s="4" t="str">
        <f ca="1">IFERROR(__xludf.DUMMYFUNCTION("GOOGLETRANSLATE(A2065 , ""tr"" , ""en"")"),"RT @busbusenn: @drfahrettinkoca Who is this who is anymore? https://t.co/9wslpq9ugu")</f>
        <v>RT @busbusenn: @drfahrettinkoca Who is this who is anymore? https://t.co/9wslpq9ugu</v>
      </c>
    </row>
    <row r="19263" spans="1:5" ht="15" customHeight="1" x14ac:dyDescent="0.25">
      <c r="A19263" s="1" t="s">
        <v>37487</v>
      </c>
      <c r="B19263" s="1">
        <v>0</v>
      </c>
      <c r="C19263" s="3">
        <v>44551.591747685183</v>
      </c>
      <c r="D19263" s="1" t="s">
        <v>37531</v>
      </c>
      <c r="E19263" s="4" t="str">
        <f ca="1">IFERROR(__xludf.DUMMYFUNCTION("GOOGLETRANSLATE(A2066 , ""tr"" , ""en"")"),"RT @Genperisi: @drfahrettinkoca is missing missing this is how it can still be ???")</f>
        <v>RT @Genperisi: @drfahrettinkoca is missing missing this is how it can still be ???</v>
      </c>
    </row>
    <row r="19264" spans="1:5" ht="15" customHeight="1" x14ac:dyDescent="0.25">
      <c r="A19264" s="1" t="s">
        <v>37334</v>
      </c>
      <c r="B19264" s="1">
        <v>0</v>
      </c>
      <c r="C19264" s="3">
        <v>44551.591666666667</v>
      </c>
      <c r="D19264" s="1" t="s">
        <v>37532</v>
      </c>
      <c r="E19264" s="4" t="str">
        <f ca="1">IFERROR(__xludf.DUMMYFUNCTION("GOOGLETRANSLATE(A2067 , ""tr"" , ""en"")"),"RT @ FALCAO5656: @drfahrettinkoca students wants online training #chankkurukilerceklaklama")</f>
        <v>RT @ FALCAO5656: @drfahrettinkoca students wants online training #chankkurukilerceklaklama</v>
      </c>
    </row>
    <row r="19265" spans="1:5" ht="15" customHeight="1" x14ac:dyDescent="0.25">
      <c r="A19265" s="1" t="s">
        <v>37272</v>
      </c>
      <c r="B19265" s="1">
        <v>0</v>
      </c>
      <c r="C19265" s="3">
        <v>44551.59101851852</v>
      </c>
      <c r="D19265" s="1" t="s">
        <v>37533</v>
      </c>
      <c r="E19265" s="4" t="str">
        <f ca="1">IFERROR(__xludf.DUMMYFUNCTION("GOOGLETRANSLATE(A2068 , ""tr"" , ""en"")"),"RT @emregulasi: @drfahrettinkoca # Health Culture https://t.co/bvn8fmhraa")</f>
        <v>RT @emregulasi: @drfahrettinkoca # Health Culture https://t.co/bvn8fmhraa</v>
      </c>
    </row>
    <row r="19266" spans="1:5" ht="15" customHeight="1" x14ac:dyDescent="0.25">
      <c r="A19266" s="1" t="s">
        <v>37435</v>
      </c>
      <c r="B19266" s="1">
        <v>0</v>
      </c>
      <c r="C19266" s="3">
        <v>44551.590636574074</v>
      </c>
      <c r="D19266" s="1" t="s">
        <v>37534</v>
      </c>
      <c r="E19266" s="4" t="str">
        <f ca="1">IFERROR(__xludf.DUMMYFUNCTION("GOOGLETRANSLATE(A2069 , ""tr"" , ""en"")"),"Rt @gungorguvener: @drfahrettinkoca @tcmeb What do we understand what you expect ?????")</f>
        <v>Rt @gungorguvener: @drfahrettinkoca @tcmeb What do we understand what you expect ?????</v>
      </c>
    </row>
    <row r="19267" spans="1:5" ht="15" customHeight="1" x14ac:dyDescent="0.25">
      <c r="A19267" s="1" t="s">
        <v>37334</v>
      </c>
      <c r="B19267" s="1">
        <v>0</v>
      </c>
      <c r="C19267" s="3">
        <v>44551.590509259258</v>
      </c>
      <c r="D19267" s="1" t="s">
        <v>37535</v>
      </c>
      <c r="E19267" s="4" t="str">
        <f ca="1">IFERROR(__xludf.DUMMYFUNCTION("GOOGLETRANSLATE(A2070 , ""tr"" , ""en"")"),"RT @ FALCAO5656: @drfahrettinkoca students wants online training #chankkurukilerceklaklama")</f>
        <v>RT @ FALCAO5656: @drfahrettinkoca students wants online training #chankkurukilerceklaklama</v>
      </c>
    </row>
    <row r="19268" spans="1:5" ht="15" customHeight="1" x14ac:dyDescent="0.25">
      <c r="A19268" s="1" t="s">
        <v>37272</v>
      </c>
      <c r="B19268" s="1">
        <v>0</v>
      </c>
      <c r="C19268" s="3">
        <v>44551.590289351851</v>
      </c>
      <c r="D19268" s="1" t="s">
        <v>37536</v>
      </c>
      <c r="E19268" s="4" t="str">
        <f ca="1">IFERROR(__xludf.DUMMYFUNCTION("GOOGLETRANSLATE(A2071 , ""tr"" , ""en"")"),"RT @emregulasi: @drfahrettinkoca # Health Culture https://t.co/bvn8fmhraa")</f>
        <v>RT @emregulasi: @drfahrettinkoca # Health Culture https://t.co/bvn8fmhraa</v>
      </c>
    </row>
    <row r="19269" spans="1:5" ht="15" customHeight="1" x14ac:dyDescent="0.25">
      <c r="A19269" s="1" t="s">
        <v>37515</v>
      </c>
      <c r="B19269" s="1">
        <v>0</v>
      </c>
      <c r="C19269" s="3">
        <v>44551.590266203704</v>
      </c>
      <c r="D19269" s="1" t="s">
        <v>37537</v>
      </c>
      <c r="E19269" s="4" t="str">
        <f ca="1">IFERROR(__xludf.DUMMYFUNCTION("GOOGLETRANSLATE(A2072 , ""tr"" , ""en"")"),"Rt @duckybads: @drfahrettinkoca #chankkurulugılıklıklama")</f>
        <v>Rt @duckybads: @drfahrettinkoca #chankkurulugılıklıklama</v>
      </c>
    </row>
    <row r="19270" spans="1:5" ht="15" customHeight="1" x14ac:dyDescent="0.25">
      <c r="A19270" s="1" t="s">
        <v>37538</v>
      </c>
      <c r="B19270" s="1">
        <v>5</v>
      </c>
      <c r="C19270" s="3">
        <v>44551.589733796296</v>
      </c>
      <c r="D19270" s="1" t="s">
        <v>37539</v>
      </c>
      <c r="E19270" s="4" t="str">
        <f ca="1">IFERROR(__xludf.DUMMYFUNCTION("GOOGLETRANSLATE(A2073 , ""tr"" , ""en"")"),"@drfahrettinkoca Missing missing is this Nasil can still be ??? https://t.co/enhmsitcri")</f>
        <v>@drfahrettinkoca Missing missing is this Nasil can still be ??? https://t.co/enhmsitcri</v>
      </c>
    </row>
    <row r="19271" spans="1:5" ht="15" customHeight="1" x14ac:dyDescent="0.25">
      <c r="A19271" s="1" t="s">
        <v>37468</v>
      </c>
      <c r="B19271" s="1">
        <v>1</v>
      </c>
      <c r="C19271" s="3">
        <v>44551.589733796296</v>
      </c>
      <c r="D19271" s="1" t="s">
        <v>37540</v>
      </c>
      <c r="E19271" s="4" t="str">
        <f ca="1">IFERROR(__xludf.DUMMYFUNCTION("GOOGLETRANSLATE(A2074 , ""tr"" , ""en"")"),"@drfahrettinkoca #chankkurulugukfalaklar")</f>
        <v>@drfahrettinkoca #chankkurulugukfalaklar</v>
      </c>
    </row>
    <row r="19272" spans="1:5" ht="15" customHeight="1" x14ac:dyDescent="0.25">
      <c r="A19272" s="1" t="s">
        <v>37334</v>
      </c>
      <c r="B19272" s="1">
        <v>0</v>
      </c>
      <c r="C19272" s="3">
        <v>44551.589548611111</v>
      </c>
      <c r="D19272" s="1" t="s">
        <v>37541</v>
      </c>
      <c r="E19272" s="4" t="str">
        <f ca="1">IFERROR(__xludf.DUMMYFUNCTION("GOOGLETRANSLATE(A2075 , ""tr"" , ""en"")"),"RT @ FALCAO5656: @drfahrettinkoca students wants online training #chankkurukilerceklaklama")</f>
        <v>RT @ FALCAO5656: @drfahrettinkoca students wants online training #chankkurukilerceklaklama</v>
      </c>
    </row>
    <row r="19273" spans="1:5" ht="15" customHeight="1" x14ac:dyDescent="0.25">
      <c r="A19273" s="1" t="s">
        <v>37542</v>
      </c>
      <c r="B19273" s="1">
        <v>9</v>
      </c>
      <c r="C19273" s="3">
        <v>44551.589282407411</v>
      </c>
      <c r="D19273" s="1" t="s">
        <v>37543</v>
      </c>
      <c r="E19273" s="4" t="str">
        <f ca="1">IFERROR(__xludf.DUMMYFUNCTION("GOOGLETRANSLATE(A2076 , ""tr"" , ""en"")"),"@drfahrettinkoca students want online training #chowkkurukilerceklaklama")</f>
        <v>@drfahrettinkoca students want online training #chowkkurukilerceklaklama</v>
      </c>
    </row>
    <row r="19274" spans="1:5" ht="15" customHeight="1" x14ac:dyDescent="0.25">
      <c r="A19274" s="1" t="s">
        <v>37512</v>
      </c>
      <c r="B19274" s="1">
        <v>0</v>
      </c>
      <c r="C19274" s="3">
        <v>44551.589016203703</v>
      </c>
      <c r="D19274" s="1" t="s">
        <v>37544</v>
      </c>
      <c r="E19274" s="4" t="str">
        <f ca="1">IFERROR(__xludf.DUMMYFUNCTION("GOOGLETRANSLATE(A2077 , ""tr"" , ""en"")"),"RT @ KEREMGK05371085: @drfahrettinkoca #chankkurulugılıklıklama")</f>
        <v>RT @ KEREMGK05371085: @drfahrettinkoca #chankkurulugılıklıklama</v>
      </c>
    </row>
    <row r="19275" spans="1:5" ht="15" customHeight="1" x14ac:dyDescent="0.25">
      <c r="A19275" s="1" t="s">
        <v>37545</v>
      </c>
      <c r="B19275" s="1">
        <v>2</v>
      </c>
      <c r="C19275" s="3">
        <v>44551.588912037034</v>
      </c>
      <c r="D19275" s="1" t="s">
        <v>37546</v>
      </c>
      <c r="E19275" s="4" t="str">
        <f ca="1">IFERROR(__xludf.DUMMYFUNCTION("GOOGLETRANSLATE(A2078 , ""tr"" , ""en"")"),"@drfahrettinkoca #chankkurulugukfalaklar")</f>
        <v>@drfahrettinkoca #chankkurulugukfalaklar</v>
      </c>
    </row>
    <row r="19276" spans="1:5" ht="15" customHeight="1" x14ac:dyDescent="0.25">
      <c r="A19276" s="1" t="s">
        <v>37272</v>
      </c>
      <c r="B19276" s="1">
        <v>0</v>
      </c>
      <c r="C19276" s="3">
        <v>44551.588206018518</v>
      </c>
      <c r="D19276" s="1" t="s">
        <v>37547</v>
      </c>
      <c r="E19276" s="4" t="str">
        <f ca="1">IFERROR(__xludf.DUMMYFUNCTION("GOOGLETRANSLATE(A2079 , ""tr"" , ""en"")"),"RT @emregulasi: @drfahrettinkoca # Health Culture https://t.co/bvn8fmhraa")</f>
        <v>RT @emregulasi: @drfahrettinkoca # Health Culture https://t.co/bvn8fmhraa</v>
      </c>
    </row>
    <row r="19277" spans="1:5" ht="15" customHeight="1" x14ac:dyDescent="0.25">
      <c r="A19277" s="1" t="s">
        <v>37548</v>
      </c>
      <c r="B19277" s="1">
        <v>0</v>
      </c>
      <c r="C19277" s="3">
        <v>44551.587939814817</v>
      </c>
      <c r="D19277" s="1" t="s">
        <v>37549</v>
      </c>
      <c r="E19277" s="4" t="str">
        <f ca="1">IFERROR(__xludf.DUMMYFUNCTION("GOOGLETRANSLATE(A2080 , ""tr"" , ""en"")"),"RT @ tired62367843: @drfahrettinkoca # MahmutözerIstifa # Capphdaroglundanonlinelitim")</f>
        <v>RT @ tired62367843: @drfahrettinkoca # MahmutözerIstifa # Capphdaroglundanonlinelitim</v>
      </c>
    </row>
    <row r="19278" spans="1:5" ht="15" customHeight="1" x14ac:dyDescent="0.25">
      <c r="A19278" s="1" t="s">
        <v>37519</v>
      </c>
      <c r="B19278" s="1">
        <v>0</v>
      </c>
      <c r="C19278" s="3">
        <v>44551.587893518517</v>
      </c>
      <c r="D19278" s="1" t="s">
        <v>37550</v>
      </c>
      <c r="E19278" s="4" t="str">
        <f ca="1">IFERROR(__xludf.DUMMYFUNCTION("GOOGLETRANSLATE(A2081 , ""tr"" , ""en"")"),"RT @ LAMBADER9: @drfahrettinkoca #theykukluklugiVlaklak")</f>
        <v>RT @ LAMBADER9: @drfahrettinkoca #theykukluklugiVlaklak</v>
      </c>
    </row>
    <row r="19279" spans="1:5" ht="15" customHeight="1" x14ac:dyDescent="0.25">
      <c r="A19279" s="1" t="s">
        <v>37519</v>
      </c>
      <c r="B19279" s="1">
        <v>0</v>
      </c>
      <c r="C19279" s="3">
        <v>44551.587627314817</v>
      </c>
      <c r="D19279" s="1" t="s">
        <v>37551</v>
      </c>
      <c r="E19279" s="4" t="str">
        <f ca="1">IFERROR(__xludf.DUMMYFUNCTION("GOOGLETRANSLATE(A2082 , ""tr"" , ""en"")"),"RT @ LAMBADER9: @drfahrettinkoca #theykukluklugiVlaklak")</f>
        <v>RT @ LAMBADER9: @drfahrettinkoca #theykukluklugiVlaklak</v>
      </c>
    </row>
    <row r="19280" spans="1:5" ht="15" customHeight="1" x14ac:dyDescent="0.25">
      <c r="A19280" s="1" t="s">
        <v>37545</v>
      </c>
      <c r="B19280" s="1">
        <v>2</v>
      </c>
      <c r="C19280" s="3">
        <v>44551.587557870371</v>
      </c>
      <c r="D19280" s="1" t="s">
        <v>37552</v>
      </c>
      <c r="E19280" s="4" t="str">
        <f ca="1">IFERROR(__xludf.DUMMYFUNCTION("GOOGLETRANSLATE(A2083 , ""tr"" , ""en"")"),"@drfahrettinkoca #chankkurulugukfalaklar")</f>
        <v>@drfahrettinkoca #chankkurulugukfalaklar</v>
      </c>
    </row>
    <row r="19281" spans="1:5" ht="15" customHeight="1" x14ac:dyDescent="0.25">
      <c r="A19281" s="1" t="s">
        <v>37272</v>
      </c>
      <c r="B19281" s="1">
        <v>0</v>
      </c>
      <c r="C19281" s="3">
        <v>44551.587187500001</v>
      </c>
      <c r="D19281" s="1" t="s">
        <v>37553</v>
      </c>
      <c r="E19281" s="4" t="str">
        <f ca="1">IFERROR(__xludf.DUMMYFUNCTION("GOOGLETRANSLATE(A2084 , ""tr"" , ""en"")"),"RT @emregulasi: @drfahrettinkoca # Health Culture https://t.co/bvn8fmhraa")</f>
        <v>RT @emregulasi: @drfahrettinkoca # Health Culture https://t.co/bvn8fmhraa</v>
      </c>
    </row>
    <row r="19282" spans="1:5" ht="15" customHeight="1" x14ac:dyDescent="0.25">
      <c r="A19282" s="1" t="s">
        <v>37319</v>
      </c>
      <c r="B19282" s="1">
        <v>0</v>
      </c>
      <c r="C19282" s="3">
        <v>44551.586712962962</v>
      </c>
      <c r="D19282" s="1" t="s">
        <v>37554</v>
      </c>
      <c r="E19282" s="4" t="str">
        <f ca="1">IFERROR(__xludf.DUMMYFUNCTION("GOOGLETRANSLATE(A2085 , ""tr"" , ""en"")"),"RT @ Der1ki: @drfahrettinkoca 16 December 36 thousand cases? 19 December 34 thousand cases? https://t.co/he0ed8mi7q")</f>
        <v>RT @ Der1ki: @drfahrettinkoca 16 December 36 thousand cases? 19 December 34 thousand cases? https://t.co/he0ed8mi7q</v>
      </c>
    </row>
    <row r="19283" spans="1:5" ht="15" customHeight="1" x14ac:dyDescent="0.25">
      <c r="A19283" s="1" t="s">
        <v>37479</v>
      </c>
      <c r="B19283" s="1">
        <v>0</v>
      </c>
      <c r="C19283" s="3">
        <v>44551.586539351854</v>
      </c>
      <c r="D19283" s="1" t="s">
        <v>37555</v>
      </c>
      <c r="E19283" s="4" t="str">
        <f ca="1">IFERROR(__xludf.DUMMYFUNCTION("GOOGLETRANSLATE(A2086 , ""tr"" , ""en"")"),"Rt @rosapetalis: @drfahrettinkoca #characteristics")</f>
        <v>Rt @rosapetalis: @drfahrettinkoca #characteristics</v>
      </c>
    </row>
    <row r="19284" spans="1:5" ht="15" customHeight="1" x14ac:dyDescent="0.25">
      <c r="A19284" s="1" t="s">
        <v>37492</v>
      </c>
      <c r="B19284" s="1">
        <v>0</v>
      </c>
      <c r="C19284" s="3">
        <v>44551.586423611108</v>
      </c>
      <c r="D19284" s="1" t="s">
        <v>37556</v>
      </c>
      <c r="E19284" s="4" t="str">
        <f ca="1">IFERROR(__xludf.DUMMYFUNCTION("GOOGLETRANSLATE(A2087 , ""tr"" , ""en"")"),"RT @ akel0202: @drfahrettinka Mr. Ministry of ADIYAMAN 400 Bed State Hospital Due to the report called State Hospital Humani and my uncle son ...")</f>
        <v>RT @ akel0202: @drfahrettinka Mr. Ministry of ADIYAMAN 400 Bed State Hospital Due to the report called State Hospital Humani and my uncle son ...</v>
      </c>
    </row>
    <row r="19285" spans="1:5" ht="15" customHeight="1" x14ac:dyDescent="0.25">
      <c r="A19285" s="1" t="s">
        <v>37428</v>
      </c>
      <c r="B19285" s="1">
        <v>0</v>
      </c>
      <c r="C19285" s="3">
        <v>44551.586412037039</v>
      </c>
      <c r="D19285" s="1" t="s">
        <v>37557</v>
      </c>
      <c r="E19285" s="4" t="str">
        <f ca="1">IFERROR(__xludf.DUMMYFUNCTION("GOOGLETRANSLATE(A2088 , ""tr"" , ""en"")"),"RT @ drgenetik1: @drfahrettinkoca @saglikbakanligi is now enough! Attacks the doctor to kill, serbets are being left to what is this?")</f>
        <v>RT @ drgenetik1: @drfahrettinkoca @saglikbakanligi is now enough! Attacks the doctor to kill, serbets are being left to what is this?</v>
      </c>
    </row>
    <row r="19286" spans="1:5" ht="15" customHeight="1" x14ac:dyDescent="0.25">
      <c r="A19286" s="1" t="s">
        <v>37479</v>
      </c>
      <c r="B19286" s="1">
        <v>0</v>
      </c>
      <c r="C19286" s="3">
        <v>44551.586168981485</v>
      </c>
      <c r="D19286" s="1" t="s">
        <v>37558</v>
      </c>
      <c r="E19286" s="4" t="str">
        <f ca="1">IFERROR(__xludf.DUMMYFUNCTION("GOOGLETRANSLATE(A2089 , ""tr"" , ""en"")"),"Rt @rosapetalis: @drfahrettinkoca #characteristics")</f>
        <v>Rt @rosapetalis: @drfahrettinkoca #characteristics</v>
      </c>
    </row>
    <row r="19287" spans="1:5" ht="15" customHeight="1" x14ac:dyDescent="0.25">
      <c r="A19287" s="1" t="s">
        <v>37479</v>
      </c>
      <c r="B19287" s="1">
        <v>0</v>
      </c>
      <c r="C19287" s="3">
        <v>44551.586168981485</v>
      </c>
      <c r="D19287" s="1" t="s">
        <v>37559</v>
      </c>
      <c r="E19287" s="4" t="str">
        <f ca="1">IFERROR(__xludf.DUMMYFUNCTION("GOOGLETRANSLATE(A2090 , ""tr"" , ""en"")"),"Rt @rosapetalis: @drfahrettinkoca #characteristics")</f>
        <v>Rt @rosapetalis: @drfahrettinkoca #characteristics</v>
      </c>
    </row>
    <row r="19288" spans="1:5" ht="15" customHeight="1" x14ac:dyDescent="0.25">
      <c r="A19288" s="1" t="s">
        <v>37545</v>
      </c>
      <c r="B19288" s="1">
        <v>5</v>
      </c>
      <c r="C19288" s="3">
        <v>44551.586030092592</v>
      </c>
      <c r="D19288" s="1" t="s">
        <v>37560</v>
      </c>
      <c r="E19288" s="4" t="str">
        <f ca="1">IFERROR(__xludf.DUMMYFUNCTION("GOOGLETRANSLATE(A2091 , ""tr"" , ""en"")"),"@drfahrettinkoca #chankkurulugukfalaklar")</f>
        <v>@drfahrettinkoca #chankkurulugukfalaklar</v>
      </c>
    </row>
    <row r="19289" spans="1:5" ht="15" customHeight="1" x14ac:dyDescent="0.25">
      <c r="A19289" s="1" t="s">
        <v>37272</v>
      </c>
      <c r="B19289" s="1">
        <v>0</v>
      </c>
      <c r="C19289" s="3">
        <v>44551.585821759261</v>
      </c>
      <c r="D19289" s="1" t="s">
        <v>37561</v>
      </c>
      <c r="E19289" s="4" t="str">
        <f ca="1">IFERROR(__xludf.DUMMYFUNCTION("GOOGLETRANSLATE(A2092 , ""tr"" , ""en"")"),"RT @emregulasi: @drfahrettinkoca # Health Culture https://t.co/bvn8fmhraa")</f>
        <v>RT @emregulasi: @drfahrettinkoca # Health Culture https://t.co/bvn8fmhraa</v>
      </c>
    </row>
    <row r="19290" spans="1:5" ht="15" customHeight="1" x14ac:dyDescent="0.25">
      <c r="A19290" s="1" t="s">
        <v>37272</v>
      </c>
      <c r="B19290" s="1">
        <v>0</v>
      </c>
      <c r="C19290" s="3">
        <v>44551.584224537037</v>
      </c>
      <c r="D19290" s="1" t="s">
        <v>37562</v>
      </c>
      <c r="E19290" s="4" t="str">
        <f ca="1">IFERROR(__xludf.DUMMYFUNCTION("GOOGLETRANSLATE(A2093 , ""tr"" , ""en"")"),"RT @emregulasi: @drfahrettinkoca # Health Culture https://t.co/bvn8fmhraa")</f>
        <v>RT @emregulasi: @drfahrettinkoca # Health Culture https://t.co/bvn8fmhraa</v>
      </c>
    </row>
    <row r="19291" spans="1:5" ht="15" customHeight="1" x14ac:dyDescent="0.25">
      <c r="A19291" s="1" t="s">
        <v>37563</v>
      </c>
      <c r="B19291" s="1">
        <v>0</v>
      </c>
      <c r="C19291" s="3">
        <v>44551.58394675926</v>
      </c>
      <c r="D19291" s="1" t="s">
        <v>37564</v>
      </c>
      <c r="E19291" s="4" t="str">
        <f ca="1">IFERROR(__xludf.DUMMYFUNCTION("GOOGLETRANSLATE(A2094 , ""tr"" , ""en"")"),"RT @ OnlineEgitim11: @drfahrettinkoca Ministry of Omikron Spread like Medipol University, we want online training")</f>
        <v>RT @ OnlineEgitim11: @drfahrettinkoca Ministry of Omikron Spread like Medipol University, we want online training</v>
      </c>
    </row>
    <row r="19292" spans="1:5" ht="15" customHeight="1" x14ac:dyDescent="0.25">
      <c r="A19292" s="1" t="s">
        <v>37272</v>
      </c>
      <c r="B19292" s="1">
        <v>0</v>
      </c>
      <c r="C19292" s="3">
        <v>44551.58394675926</v>
      </c>
      <c r="D19292" s="1" t="s">
        <v>37565</v>
      </c>
      <c r="E19292" s="4" t="str">
        <f ca="1">IFERROR(__xludf.DUMMYFUNCTION("GOOGLETRANSLATE(A2095 , ""tr"" , ""en"")"),"RT @emregulasi: @drfahrettinkoca # Health Culture https://t.co/bvn8fmhraa")</f>
        <v>RT @emregulasi: @drfahrettinkoca # Health Culture https://t.co/bvn8fmhraa</v>
      </c>
    </row>
    <row r="19293" spans="1:5" ht="15" customHeight="1" x14ac:dyDescent="0.25">
      <c r="A19293" s="1" t="s">
        <v>37566</v>
      </c>
      <c r="B19293" s="1">
        <v>1</v>
      </c>
      <c r="C19293" s="3">
        <v>44551.583807870367</v>
      </c>
      <c r="D19293" s="1" t="s">
        <v>37567</v>
      </c>
      <c r="E19293" s="4" t="str">
        <f ca="1">IFERROR(__xludf.DUMMYFUNCTION("GOOGLETRANSLATE(A2096 , ""tr"" , ""en"")"),"@drfahrettinkoca @atesateskara @drtevfikosis @alpayazap @fusuneyuboglu @dralpersener @erolozvar @ serapsimsekyvz ... https://t.co/8fto6srrqt")</f>
        <v>@drfahrettinkoca @atesateskara @drtevfikosis @alpayazap @fusuneyuboglu @dralpersener @erolozvar @ serapsimsekyvz ... https://t.co/8fto6srrqt</v>
      </c>
    </row>
    <row r="19294" spans="1:5" ht="15" customHeight="1" x14ac:dyDescent="0.25">
      <c r="A19294" s="1" t="s">
        <v>37272</v>
      </c>
      <c r="B19294" s="1">
        <v>0</v>
      </c>
      <c r="C19294" s="3">
        <v>44551.583495370367</v>
      </c>
      <c r="D19294" s="1" t="s">
        <v>37568</v>
      </c>
      <c r="E19294" s="4" t="str">
        <f ca="1">IFERROR(__xludf.DUMMYFUNCTION("GOOGLETRANSLATE(A2097 , ""tr"" , ""en"")"),"RT @emregulasi: @drfahrettinkoca # Health Culture https://t.co/bvn8fmhraa")</f>
        <v>RT @emregulasi: @drfahrettinkoca # Health Culture https://t.co/bvn8fmhraa</v>
      </c>
    </row>
    <row r="19295" spans="1:5" ht="15" customHeight="1" x14ac:dyDescent="0.25">
      <c r="A19295" s="1" t="s">
        <v>37272</v>
      </c>
      <c r="B19295" s="1">
        <v>0</v>
      </c>
      <c r="C19295" s="3">
        <v>44551.583240740743</v>
      </c>
      <c r="D19295" s="1" t="s">
        <v>37569</v>
      </c>
      <c r="E19295" s="4" t="str">
        <f ca="1">IFERROR(__xludf.DUMMYFUNCTION("GOOGLETRANSLATE(A2098 , ""tr"" , ""en"")"),"RT @emregulasi: @drfahrettinkoca # Health Culture https://t.co/bvn8fmhraa")</f>
        <v>RT @emregulasi: @drfahrettinkoca # Health Culture https://t.co/bvn8fmhraa</v>
      </c>
    </row>
    <row r="19296" spans="1:5" ht="15" customHeight="1" x14ac:dyDescent="0.25">
      <c r="A19296" s="1" t="s">
        <v>37272</v>
      </c>
      <c r="B19296" s="1">
        <v>0</v>
      </c>
      <c r="C19296" s="3">
        <v>44551.583090277774</v>
      </c>
      <c r="D19296" s="1" t="s">
        <v>37570</v>
      </c>
      <c r="E19296" s="4" t="str">
        <f ca="1">IFERROR(__xludf.DUMMYFUNCTION("GOOGLETRANSLATE(A2099 , ""tr"" , ""en"")"),"RT @emregulasi: @drfahrettinkoca # Health Culture https://t.co/bvn8fmhraa")</f>
        <v>RT @emregulasi: @drfahrettinkoca # Health Culture https://t.co/bvn8fmhraa</v>
      </c>
    </row>
    <row r="19297" spans="1:5" ht="15" customHeight="1" x14ac:dyDescent="0.25">
      <c r="A19297" s="1" t="s">
        <v>37571</v>
      </c>
      <c r="B19297" s="1">
        <v>3</v>
      </c>
      <c r="C19297" s="3">
        <v>44551.582650462966</v>
      </c>
      <c r="D19297" s="1" t="s">
        <v>37572</v>
      </c>
      <c r="E19297" s="4" t="str">
        <f ca="1">IFERROR(__xludf.DUMMYFUNCTION("GOOGLETRANSLATE(A2100 , ""tr"" , ""en"")"),"@drfahrettinkoca @saglikbakanligi https://t.co/jcvbzei1y0")</f>
        <v>@drfahrettinkoca @saglikbakanligi https://t.co/jcvbzei1y0</v>
      </c>
    </row>
    <row r="19298" spans="1:5" ht="15" customHeight="1" x14ac:dyDescent="0.25">
      <c r="A19298" s="1" t="s">
        <v>37573</v>
      </c>
      <c r="B19298" s="1">
        <v>6</v>
      </c>
      <c r="C19298" s="3">
        <v>44551.582488425927</v>
      </c>
      <c r="D19298" s="1" t="s">
        <v>37574</v>
      </c>
      <c r="E19298" s="4" t="str">
        <f ca="1">IFERROR(__xludf.DUMMYFUNCTION("GOOGLETRANSLATE(A2101 , ""tr"" , ""en"")"),"@drfahrettinkoca @saglikbakanligi is now enough! Attacks the doctor to kill, Serbs are being left to be ... https://t.co/1lonr2uxrn")</f>
        <v>@drfahrettinkoca @saglikbakanligi is now enough! Attacks the doctor to kill, Serbs are being left to be ... https://t.co/1lonr2uxrn</v>
      </c>
    </row>
    <row r="19299" spans="1:5" ht="15" customHeight="1" x14ac:dyDescent="0.25">
      <c r="A19299" s="1" t="s">
        <v>37272</v>
      </c>
      <c r="B19299" s="1">
        <v>0</v>
      </c>
      <c r="C19299" s="3">
        <v>44551.581724537034</v>
      </c>
      <c r="D19299" s="1" t="s">
        <v>37575</v>
      </c>
      <c r="E19299" s="4" t="str">
        <f ca="1">IFERROR(__xludf.DUMMYFUNCTION("GOOGLETRANSLATE(A2102 , ""tr"" , ""en"")"),"RT @emregulasi: @drfahrettinkoca # Health Culture https://t.co/bvn8fmhraa")</f>
        <v>RT @emregulasi: @drfahrettinkoca # Health Culture https://t.co/bvn8fmhraa</v>
      </c>
    </row>
    <row r="19300" spans="1:5" ht="15" customHeight="1" x14ac:dyDescent="0.25">
      <c r="A19300" s="1" t="s">
        <v>37272</v>
      </c>
      <c r="B19300" s="1">
        <v>0</v>
      </c>
      <c r="C19300" s="3">
        <v>44551.580474537041</v>
      </c>
      <c r="D19300" s="1" t="s">
        <v>37576</v>
      </c>
      <c r="E19300" s="4" t="str">
        <f ca="1">IFERROR(__xludf.DUMMYFUNCTION("GOOGLETRANSLATE(A2103 , ""tr"" , ""en"")"),"RT @emregulasi: @drfahrettinkoca # Health Culture https://t.co/bvn8fmhraa")</f>
        <v>RT @emregulasi: @drfahrettinkoca # Health Culture https://t.co/bvn8fmhraa</v>
      </c>
    </row>
    <row r="19301" spans="1:5" ht="15" customHeight="1" x14ac:dyDescent="0.25">
      <c r="A19301" s="1" t="s">
        <v>37272</v>
      </c>
      <c r="B19301" s="1">
        <v>0</v>
      </c>
      <c r="C19301" s="3">
        <v>44551.579837962963</v>
      </c>
      <c r="D19301" s="1" t="s">
        <v>37577</v>
      </c>
      <c r="E19301" s="4" t="str">
        <f ca="1">IFERROR(__xludf.DUMMYFUNCTION("GOOGLETRANSLATE(A2104 , ""tr"" , ""en"")"),"RT @emregulasi: @drfahrettinkoca # Health Culture https://t.co/bvn8fmhraa")</f>
        <v>RT @emregulasi: @drfahrettinkoca # Health Culture https://t.co/bvn8fmhraa</v>
      </c>
    </row>
    <row r="19302" spans="1:5" ht="15" customHeight="1" x14ac:dyDescent="0.25">
      <c r="A19302" s="1" t="s">
        <v>37492</v>
      </c>
      <c r="B19302" s="1">
        <v>0</v>
      </c>
      <c r="C19302" s="3">
        <v>44551.579629629632</v>
      </c>
      <c r="D19302" s="1" t="s">
        <v>37578</v>
      </c>
      <c r="E19302" s="4" t="str">
        <f ca="1">IFERROR(__xludf.DUMMYFUNCTION("GOOGLETRANSLATE(A2105 , ""tr"" , ""en"")"),"RT @ akel0202: @drfahrettinka Mr. Ministry of ADIYAMAN 400 Bed State Hospital Due to the report called State Hospital Humani and my uncle son ...")</f>
        <v>RT @ akel0202: @drfahrettinka Mr. Ministry of ADIYAMAN 400 Bed State Hospital Due to the report called State Hospital Humani and my uncle son ...</v>
      </c>
    </row>
    <row r="19303" spans="1:5" ht="15" customHeight="1" x14ac:dyDescent="0.25">
      <c r="A19303" s="1" t="s">
        <v>37579</v>
      </c>
      <c r="B19303" s="1">
        <v>0</v>
      </c>
      <c r="C19303" s="3">
        <v>44551.577974537038</v>
      </c>
      <c r="D19303" s="1" t="s">
        <v>37580</v>
      </c>
      <c r="E19303" s="4" t="str">
        <f ca="1">IFERROR(__xludf.DUMMYFUNCTION("GOOGLETRANSLATE(A2106 , ""tr"" , ""en"")"),"@drfahrettinkoca Where is the Justice? #theyuvian you are https://t.co/ip7busuauq")</f>
        <v>@drfahrettinkoca Where is the Justice? #theyuvian you are https://t.co/ip7busuauq</v>
      </c>
    </row>
    <row r="19304" spans="1:5" ht="15" customHeight="1" x14ac:dyDescent="0.25">
      <c r="A19304" s="1" t="s">
        <v>37272</v>
      </c>
      <c r="B19304" s="1">
        <v>0</v>
      </c>
      <c r="C19304" s="3">
        <v>44551.577847222223</v>
      </c>
      <c r="D19304" s="1" t="s">
        <v>37581</v>
      </c>
      <c r="E19304" s="4" t="str">
        <f ca="1">IFERROR(__xludf.DUMMYFUNCTION("GOOGLETRANSLATE(A2107 , ""tr"" , ""en"")"),"RT @emregulasi: @drfahrettinkoca # Health Culture https://t.co/bvn8fmhraa")</f>
        <v>RT @emregulasi: @drfahrettinkoca # Health Culture https://t.co/bvn8fmhraa</v>
      </c>
    </row>
    <row r="19305" spans="1:5" ht="15" customHeight="1" x14ac:dyDescent="0.25">
      <c r="A19305" s="1" t="s">
        <v>37582</v>
      </c>
      <c r="B19305" s="1">
        <v>0</v>
      </c>
      <c r="C19305" s="3">
        <v>44551.576967592591</v>
      </c>
      <c r="D19305" s="1" t="s">
        <v>37583</v>
      </c>
      <c r="E19305" s="4" t="str">
        <f ca="1">IFERROR(__xludf.DUMMYFUNCTION("GOOGLETRANSLATE(A2108 , ""tr"" , ""en"")"),"RT @EbruzeBon: @drfahrettinka I would like to remind the situation in schools. The measures taken in the time protects more #cataroglundanonlineli")</f>
        <v>RT @EbruzeBon: @drfahrettinka I would like to remind the situation in schools. The measures taken in the time protects more #cataroglundanonlineli</v>
      </c>
    </row>
    <row r="19306" spans="1:5" ht="15" customHeight="1" x14ac:dyDescent="0.25">
      <c r="A19306" s="1" t="s">
        <v>37272</v>
      </c>
      <c r="B19306" s="1">
        <v>0</v>
      </c>
      <c r="C19306" s="3">
        <v>44551.57671296296</v>
      </c>
      <c r="D19306" s="1" t="s">
        <v>37584</v>
      </c>
      <c r="E19306" s="4" t="str">
        <f ca="1">IFERROR(__xludf.DUMMYFUNCTION("GOOGLETRANSLATE(A2109 , ""tr"" , ""en"")"),"RT @emregulasi: @drfahrettinkoca # Health Culture https://t.co/bvn8fmhraa")</f>
        <v>RT @emregulasi: @drfahrettinkoca # Health Culture https://t.co/bvn8fmhraa</v>
      </c>
    </row>
    <row r="19307" spans="1:5" ht="15" customHeight="1" x14ac:dyDescent="0.25">
      <c r="A19307" s="1" t="s">
        <v>37272</v>
      </c>
      <c r="B19307" s="1">
        <v>0</v>
      </c>
      <c r="C19307" s="3">
        <v>44551.574791666666</v>
      </c>
      <c r="D19307" s="1" t="s">
        <v>37585</v>
      </c>
      <c r="E19307" s="4" t="str">
        <f ca="1">IFERROR(__xludf.DUMMYFUNCTION("GOOGLETRANSLATE(A2110 , ""tr"" , ""en"")"),"RT @emregulasi: @drfahrettinkoca # Health Culture https://t.co/bvn8fmhraa")</f>
        <v>RT @emregulasi: @drfahrettinkoca # Health Culture https://t.co/bvn8fmhraa</v>
      </c>
    </row>
    <row r="19308" spans="1:5" ht="15" customHeight="1" x14ac:dyDescent="0.25">
      <c r="A19308" s="1" t="s">
        <v>37272</v>
      </c>
      <c r="B19308" s="1">
        <v>0</v>
      </c>
      <c r="C19308" s="3">
        <v>44551.574178240742</v>
      </c>
      <c r="D19308" s="1" t="s">
        <v>37586</v>
      </c>
      <c r="E19308" s="4" t="str">
        <f ca="1">IFERROR(__xludf.DUMMYFUNCTION("GOOGLETRANSLATE(A2111 , ""tr"" , ""en"")"),"RT @emregulasi: @drfahrettinkoca # Health Culture https://t.co/bvn8fmhraa")</f>
        <v>RT @emregulasi: @drfahrettinkoca # Health Culture https://t.co/bvn8fmhraa</v>
      </c>
    </row>
    <row r="19309" spans="1:5" ht="15" customHeight="1" x14ac:dyDescent="0.25">
      <c r="A19309" s="1" t="s">
        <v>37272</v>
      </c>
      <c r="B19309" s="1">
        <v>0</v>
      </c>
      <c r="C19309" s="3">
        <v>44551.572141203702</v>
      </c>
      <c r="D19309" s="1" t="s">
        <v>37587</v>
      </c>
      <c r="E19309" s="4" t="str">
        <f ca="1">IFERROR(__xludf.DUMMYFUNCTION("GOOGLETRANSLATE(A2112 , ""tr"" , ""en"")"),"RT @emregulasi: @drfahrettinkoca # Health Culture https://t.co/bvn8fmhraa")</f>
        <v>RT @emregulasi: @drfahrettinkoca # Health Culture https://t.co/bvn8fmhraa</v>
      </c>
    </row>
    <row r="19310" spans="1:5" ht="15" customHeight="1" x14ac:dyDescent="0.25">
      <c r="A19310" s="1" t="s">
        <v>37588</v>
      </c>
      <c r="B19310" s="1">
        <v>0</v>
      </c>
      <c r="C19310" s="3">
        <v>44551.563877314817</v>
      </c>
      <c r="D19310" s="1" t="s">
        <v>37589</v>
      </c>
      <c r="E19310" s="4" t="str">
        <f ca="1">IFERROR(__xludf.DUMMYFUNCTION("GOOGLETRANSLATE(A2113 , ""tr"" , ""en"")"),"RT @YurisGFM: @drfahrettinkoca Why don't say so you don't say that you're staring in the star https://t.co/y52a2qtdhf")</f>
        <v>RT @YurisGFM: @drfahrettinkoca Why don't say so you don't say that you're staring in the star https://t.co/y52a2qtdhf</v>
      </c>
    </row>
    <row r="19311" spans="1:5" ht="15" customHeight="1" x14ac:dyDescent="0.25">
      <c r="A19311" s="1" t="s">
        <v>37590</v>
      </c>
      <c r="B19311" s="1">
        <v>0</v>
      </c>
      <c r="C19311" s="3">
        <v>44551.563831018517</v>
      </c>
      <c r="D19311" s="1" t="s">
        <v>37591</v>
      </c>
      <c r="E19311" s="4" t="str">
        <f ca="1">IFERROR(__xludf.DUMMYFUNCTION("GOOGLETRANSLATE(A2114 , ""tr"" , ""en"")"),"Rt @bennaglioma: @drfahrettinka so how to explain this table https://t.co/qx9ung148k")</f>
        <v>Rt @bennaglioma: @drfahrettinka so how to explain this table https://t.co/qx9ung148k</v>
      </c>
    </row>
    <row r="19312" spans="1:5" ht="15" customHeight="1" x14ac:dyDescent="0.25">
      <c r="A19312" s="1" t="s">
        <v>37592</v>
      </c>
      <c r="B19312" s="1">
        <v>0</v>
      </c>
      <c r="C19312" s="3">
        <v>44551.563796296294</v>
      </c>
      <c r="D19312" s="1" t="s">
        <v>37593</v>
      </c>
      <c r="E19312" s="4" t="str">
        <f ca="1">IFERROR(__xludf.DUMMYFUNCTION("GOOGLETRANSLATE(A2115 , ""tr"" , ""en"")"),"RT @YunUsefetw: @drfahrettinkoca Fahrictin husband explain this! https://t.co/ntbhez8kfq")</f>
        <v>RT @YunUsefetw: @drfahrettinkoca Fahrictin husband explain this! https://t.co/ntbhez8kfq</v>
      </c>
    </row>
    <row r="19313" spans="1:5" ht="15" customHeight="1" x14ac:dyDescent="0.25">
      <c r="A19313" s="1" t="s">
        <v>37594</v>
      </c>
      <c r="B19313" s="1">
        <v>0</v>
      </c>
      <c r="C19313" s="3">
        <v>44551.563761574071</v>
      </c>
      <c r="D19313" s="1" t="s">
        <v>37595</v>
      </c>
      <c r="E19313" s="4" t="str">
        <f ca="1">IFERROR(__xludf.DUMMYFUNCTION("GOOGLETRANSLATE(A2116 , ""tr"" , ""en"")"),"Rt @draxx_drqxx: @drfahrettinkoca we want to explain https://t.co/q6xshvgori")</f>
        <v>Rt @draxx_drqxx: @drfahrettinkoca we want to explain https://t.co/q6xshvgori</v>
      </c>
    </row>
    <row r="19314" spans="1:5" ht="15" customHeight="1" x14ac:dyDescent="0.25">
      <c r="A19314" s="1" t="s">
        <v>37596</v>
      </c>
      <c r="B19314" s="1">
        <v>0</v>
      </c>
      <c r="C19314" s="3">
        <v>44551.563715277778</v>
      </c>
      <c r="D19314" s="1" t="s">
        <v>37597</v>
      </c>
      <c r="E19314" s="4" t="str">
        <f ca="1">IFERROR(__xludf.DUMMYFUNCTION("GOOGLETRANSLATE(A2117 , ""tr"" , ""en"")"),"RT @ King345157: @drfahrettinkoca Waiting for Answer Mr. Husband https://t.co/pihchmlwuy")</f>
        <v>RT @ King345157: @drfahrettinkoca Waiting for Answer Mr. Husband https://t.co/pihchmlwuy</v>
      </c>
    </row>
    <row r="19315" spans="1:5" ht="15" customHeight="1" x14ac:dyDescent="0.25">
      <c r="A19315" s="1" t="s">
        <v>37319</v>
      </c>
      <c r="B19315" s="1">
        <v>0</v>
      </c>
      <c r="C19315" s="3">
        <v>44551.563645833332</v>
      </c>
      <c r="D19315" s="1" t="s">
        <v>37598</v>
      </c>
      <c r="E19315" s="4" t="str">
        <f ca="1">IFERROR(__xludf.DUMMYFUNCTION("GOOGLETRANSLATE(A2118 , ""tr"" , ""en"")"),"RT @ Der1ki: @drfahrettinkoca 16 December 36 thousand cases? 19 December 34 thousand cases? https://t.co/he0ed8mi7q")</f>
        <v>RT @ Der1ki: @drfahrettinkoca 16 December 36 thousand cases? 19 December 34 thousand cases? https://t.co/he0ed8mi7q</v>
      </c>
    </row>
    <row r="19316" spans="1:5" ht="15" customHeight="1" x14ac:dyDescent="0.25">
      <c r="A19316" s="1" t="s">
        <v>37506</v>
      </c>
      <c r="B19316" s="1">
        <v>0</v>
      </c>
      <c r="C19316" s="3">
        <v>44551.563530092593</v>
      </c>
      <c r="D19316" s="1" t="s">
        <v>37599</v>
      </c>
      <c r="E19316" s="4" t="str">
        <f ca="1">IFERROR(__xludf.DUMMYFUNCTION("GOOGLETRANSLATE(A2119 , ""tr"" , ""en"")"),"Rt @uurcan_y: @drfahrettinkoca WHO Don't say so you don't say that you're stared https://t.co/6zrfe3uc5d")</f>
        <v>Rt @uurcan_y: @drfahrettinkoca WHO Don't say so you don't say that you're stared https://t.co/6zrfe3uc5d</v>
      </c>
    </row>
    <row r="19317" spans="1:5" ht="15" customHeight="1" x14ac:dyDescent="0.25">
      <c r="A19317" s="1" t="s">
        <v>37600</v>
      </c>
      <c r="B19317" s="1">
        <v>1</v>
      </c>
      <c r="C19317" s="3">
        <v>44551.561863425923</v>
      </c>
      <c r="D19317" s="1" t="s">
        <v>37601</v>
      </c>
      <c r="E19317" s="4" t="str">
        <f ca="1">IFERROR(__xludf.DUMMYFUNCTION("GOOGLETRANSLATE(A2120 , ""tr"" , ""en"")"),"@drfahrettinkoca Ministry of Omikron Spread like mad as Medipol University, we want online education like https://t.co/mhahzogcq4")</f>
        <v>@drfahrettinkoca Ministry of Omikron Spread like mad as Medipol University, we want online education like https://t.co/mhahzogcq4</v>
      </c>
    </row>
    <row r="19318" spans="1:5" ht="15" customHeight="1" x14ac:dyDescent="0.25">
      <c r="A19318" s="1" t="s">
        <v>37416</v>
      </c>
      <c r="B19318" s="1">
        <v>0</v>
      </c>
      <c r="C19318" s="3">
        <v>44551.557615740741</v>
      </c>
      <c r="D19318" s="1" t="s">
        <v>37602</v>
      </c>
      <c r="E19318" s="4" t="str">
        <f ca="1">IFERROR(__xludf.DUMMYFUNCTION("GOOGLETRANSLATE(A2121 , ""tr"" , ""en"")"),"RT @lordsjsx: @drfahrettinkoca DSO You have written as 34 thousand cases Why make 18 thousand statements.!")</f>
        <v>RT @lordsjsx: @drfahrettinkoca DSO You have written as 34 thousand cases Why make 18 thousand statements.!</v>
      </c>
    </row>
    <row r="19319" spans="1:5" ht="15" customHeight="1" x14ac:dyDescent="0.25">
      <c r="A19319" s="1" t="s">
        <v>37603</v>
      </c>
      <c r="B19319" s="1">
        <v>0</v>
      </c>
      <c r="C19319" s="3">
        <v>44551.556631944448</v>
      </c>
      <c r="D19319" s="1" t="s">
        <v>37604</v>
      </c>
      <c r="E19319" s="4" t="str">
        <f ca="1">IFERROR(__xludf.DUMMYFUNCTION("GOOGLETRANSLATE(A2122 , ""tr"" , ""en"")"),"Rt @ evahawa4: @drfahrettinka ditto you hear the same nonsense every day as the broken plaque. I'm leaving the follow-up of my head swelled ...")</f>
        <v>Rt @ evahawa4: @drfahrettinka ditto you hear the same nonsense every day as the broken plaque. I'm leaving the follow-up of my head swelled ...</v>
      </c>
    </row>
    <row r="19320" spans="1:5" ht="15" customHeight="1" x14ac:dyDescent="0.25">
      <c r="A19320" s="1" t="s">
        <v>37605</v>
      </c>
      <c r="B19320" s="1">
        <v>0</v>
      </c>
      <c r="C19320" s="3">
        <v>44551.556550925925</v>
      </c>
      <c r="D19320" s="1" t="s">
        <v>37606</v>
      </c>
      <c r="E19320" s="4" t="str">
        <f ca="1">IFERROR(__xludf.DUMMYFUNCTION("GOOGLETRANSLATE(A2123 , ""tr"" , ""en"")"),"RT @Ebruern: @drfahrettinkoca case / passenger numbers are fixed, measure and no rule. Then there is no need to publish. Grip = covit. Ice…")</f>
        <v>RT @Ebruern: @drfahrettinkoca case / passenger numbers are fixed, measure and no rule. Then there is no need to publish. Grip = covit. Ice…</v>
      </c>
    </row>
    <row r="19321" spans="1:5" ht="15" customHeight="1" x14ac:dyDescent="0.25">
      <c r="A19321" s="1" t="s">
        <v>37582</v>
      </c>
      <c r="B19321" s="1">
        <v>0</v>
      </c>
      <c r="C19321" s="3">
        <v>44551.555752314816</v>
      </c>
      <c r="D19321" s="1" t="s">
        <v>37607</v>
      </c>
      <c r="E19321" s="4" t="str">
        <f ca="1">IFERROR(__xludf.DUMMYFUNCTION("GOOGLETRANSLATE(A2124 , ""tr"" , ""en"")"),"RT @EbruzeBon: @drfahrettinka I would like to remind the situation in schools. The measures taken in the time protects more #cataroglundanonlineli")</f>
        <v>RT @EbruzeBon: @drfahrettinka I would like to remind the situation in schools. The measures taken in the time protects more #cataroglundanonlineli</v>
      </c>
    </row>
    <row r="19322" spans="1:5" ht="15" customHeight="1" x14ac:dyDescent="0.25">
      <c r="A19322" s="1" t="s">
        <v>37608</v>
      </c>
      <c r="B19322" s="1">
        <v>4</v>
      </c>
      <c r="C19322" s="3">
        <v>44551.554143518515</v>
      </c>
      <c r="D19322" s="1" t="s">
        <v>37609</v>
      </c>
      <c r="E19322" s="4" t="str">
        <f ca="1">IFERROR(__xludf.DUMMYFUNCTION("GOOGLETRANSLATE(A2125 , ""tr"" , ""en"")"),"@drfahrettinkoca # MahmutözerIstifa # CapphdaroglundanonLineEducation https://t.co/vurkcjxd7o")</f>
        <v>@drfahrettinkoca # MahmutözerIstifa # CapphdaroglundanonLineEducation https://t.co/vurkcjxd7o</v>
      </c>
    </row>
    <row r="19323" spans="1:5" ht="15" customHeight="1" x14ac:dyDescent="0.25">
      <c r="A19323" s="1" t="s">
        <v>37610</v>
      </c>
      <c r="B19323" s="1">
        <v>0</v>
      </c>
      <c r="C19323" s="3">
        <v>44551.553865740738</v>
      </c>
      <c r="D19323" s="1" t="s">
        <v>37611</v>
      </c>
      <c r="E19323" s="4" t="str">
        <f ca="1">IFERROR(__xludf.DUMMYFUNCTION("GOOGLETRANSLATE(A2126 , ""tr"" , ""en"")"),"@drfahrettinkoca @saglikbakanligoca # Haskkalibabadevlettanesi Those who do not take the sequence in the order of sequence ... https://t.co/s9qqkm6a4e")</f>
        <v>@drfahrettinkoca @saglikbakanligoca # Haskkalibabadevlettanesi Those who do not take the sequence in the order of sequence ... https://t.co/s9qqkm6a4e</v>
      </c>
    </row>
    <row r="19324" spans="1:5" ht="15" customHeight="1" x14ac:dyDescent="0.25">
      <c r="A19324" s="1" t="s">
        <v>37311</v>
      </c>
      <c r="B19324" s="1">
        <v>0</v>
      </c>
      <c r="C19324" s="3">
        <v>44551.553113425929</v>
      </c>
      <c r="D19324" s="1" t="s">
        <v>37612</v>
      </c>
      <c r="E19324" s="4" t="str">
        <f ca="1">IFERROR(__xludf.DUMMYFUNCTION("GOOGLETRANSLATE(A2127 , ""tr"" , ""en"")"),"RT @busbusenn: @drfahrettinkoca Who is this who is anymore? https://t.co/9wslpq9ugu")</f>
        <v>RT @busbusenn: @drfahrettinkoca Who is this who is anymore? https://t.co/9wslpq9ugu</v>
      </c>
    </row>
    <row r="19325" spans="1:5" ht="15" customHeight="1" x14ac:dyDescent="0.25">
      <c r="A19325" s="1" t="s">
        <v>37613</v>
      </c>
      <c r="B19325" s="1">
        <v>0</v>
      </c>
      <c r="C19325" s="3">
        <v>44551.552731481483</v>
      </c>
      <c r="D19325" s="1" t="s">
        <v>37614</v>
      </c>
      <c r="E19325" s="4" t="str">
        <f ca="1">IFERROR(__xludf.DUMMYFUNCTION("GOOGLETRANSLATE(A2128 , ""tr"" , ""en"")"),"Rt @twdfamilyy_: @drfahrettinkoca The 19,000 cases that the Ministry of Health has just explained! 48,356 transmitted to the World Health Organization! Sheer online bin ...")</f>
        <v>Rt @twdfamilyy_: @drfahrettinkoca The 19,000 cases that the Ministry of Health has just explained! 48,356 transmitted to the World Health Organization! Sheer online bin ...</v>
      </c>
    </row>
    <row r="19326" spans="1:5" ht="15" customHeight="1" x14ac:dyDescent="0.25">
      <c r="A19326" s="1" t="s">
        <v>37615</v>
      </c>
      <c r="B19326" s="1">
        <v>0</v>
      </c>
      <c r="C19326" s="3">
        <v>44551.552615740744</v>
      </c>
      <c r="D19326" s="1" t="s">
        <v>37616</v>
      </c>
      <c r="E19326" s="4" t="str">
        <f ca="1">IFERROR(__xludf.DUMMYFUNCTION("GOOGLETRANSLATE(A2129 , ""tr"" , ""en"")"),"Rt @yurisgfm: @drfahrettinka https://t.co/c7arccecewur")</f>
        <v>Rt @yurisgfm: @drfahrettinka https://t.co/c7arccecewur</v>
      </c>
    </row>
    <row r="19327" spans="1:5" ht="15" customHeight="1" x14ac:dyDescent="0.25">
      <c r="A19327" s="1" t="s">
        <v>37617</v>
      </c>
      <c r="B19327" s="1">
        <v>1</v>
      </c>
      <c r="C19327" s="3">
        <v>44551.550162037034</v>
      </c>
      <c r="D19327" s="1" t="s">
        <v>37618</v>
      </c>
      <c r="E19327" s="4" t="str">
        <f ca="1">IFERROR(__xludf.DUMMYFUNCTION("GOOGLETRANSLATE(A2130 , ""tr"" , ""en"")"),"@drfahrettinka https://t.co/vmdnzr8u18")</f>
        <v>@drfahrettinka https://t.co/vmdnzr8u18</v>
      </c>
    </row>
    <row r="19328" spans="1:5" ht="15" customHeight="1" x14ac:dyDescent="0.25">
      <c r="A19328" s="1" t="s">
        <v>37619</v>
      </c>
      <c r="B19328" s="1">
        <v>0</v>
      </c>
      <c r="C19328" s="3">
        <v>44551.541759259257</v>
      </c>
      <c r="D19328" s="1" t="s">
        <v>37620</v>
      </c>
      <c r="E19328" s="4" t="str">
        <f ca="1">IFERROR(__xludf.DUMMYFUNCTION("GOOGLETRANSLATE(A2131 , ""tr"" , ""en"")"),"RT @ ersoykandemir2: @drfahrettinkoca Al I want to assign your manager and appoint and jump in 3 months after I was at the Şenol assignment,")</f>
        <v>RT @ ersoykandemir2: @drfahrettinkoca Al I want to assign your manager and appoint and jump in 3 months after I was at the Şenol assignment,</v>
      </c>
    </row>
    <row r="19329" spans="1:5" ht="15" customHeight="1" x14ac:dyDescent="0.25">
      <c r="A19329" s="1" t="s">
        <v>37621</v>
      </c>
      <c r="B19329" s="1">
        <v>0</v>
      </c>
      <c r="C19329" s="3">
        <v>44551.541689814818</v>
      </c>
      <c r="D19329" s="1" t="s">
        <v>37622</v>
      </c>
      <c r="E19329" s="4" t="str">
        <f ca="1">IFERROR(__xludf.DUMMYFUNCTION("GOOGLETRANSLATE(A2132 , ""tr"" , ""en"")"),"@drfahrettinkoca Al you want to assign your manager and appointed and jumped after 3 months Şenol at the assignment ... https://t.co/p9f6k296x5")</f>
        <v>@drfahrettinkoca Al you want to assign your manager and appointed and jumped after 3 months Şenol at the assignment ... https://t.co/p9f6k296x5</v>
      </c>
    </row>
    <row r="19330" spans="1:5" ht="15" customHeight="1" x14ac:dyDescent="0.25">
      <c r="A19330" s="1" t="s">
        <v>37623</v>
      </c>
      <c r="B19330" s="1">
        <v>0</v>
      </c>
      <c r="C19330" s="3">
        <v>44551.535254629627</v>
      </c>
      <c r="D19330" s="1" t="s">
        <v>37624</v>
      </c>
      <c r="E19330" s="4" t="str">
        <f ca="1">IFERROR(__xludf.DUMMYFUNCTION("GOOGLETRANSLATE(A2133 , ""tr"" , ""en"")"),"@drfahrettinkoca @saglikbakanligi https://t.co/jwbr9r1hcr")</f>
        <v>@drfahrettinkoca @saglikbakanligi https://t.co/jwbr9r1hcr</v>
      </c>
    </row>
    <row r="19331" spans="1:5" ht="15" customHeight="1" x14ac:dyDescent="0.25">
      <c r="A19331" s="1" t="s">
        <v>37311</v>
      </c>
      <c r="B19331" s="1">
        <v>0</v>
      </c>
      <c r="C19331" s="3">
        <v>44551.532268518517</v>
      </c>
      <c r="D19331" s="1" t="s">
        <v>37625</v>
      </c>
      <c r="E19331" s="4" t="str">
        <f ca="1">IFERROR(__xludf.DUMMYFUNCTION("GOOGLETRANSLATE(A2134 , ""tr"" , ""en"")"),"RT @busbusenn: @drfahrettinkoca Who is this who is anymore? https://t.co/9wslpq9ugu")</f>
        <v>RT @busbusenn: @drfahrettinkoca Who is this who is anymore? https://t.co/9wslpq9ugu</v>
      </c>
    </row>
    <row r="19332" spans="1:5" ht="15" customHeight="1" x14ac:dyDescent="0.25">
      <c r="A19332" s="1" t="s">
        <v>37626</v>
      </c>
      <c r="B19332" s="1">
        <v>0</v>
      </c>
      <c r="C19332" s="3">
        <v>44551.528298611112</v>
      </c>
      <c r="D19332" s="1" t="s">
        <v>37627</v>
      </c>
      <c r="E19332" s="4" t="str">
        <f ca="1">IFERROR(__xludf.DUMMYFUNCTION("GOOGLETRANSLATE(A2135 , ""tr"" , ""en"")"),"RT @ SLEYMAN01348653: @DRFAHRETTINKA @SUNIYIYIFEURTE @hakiskonf @turkiskonf @ hakantoy06 @mhp_bilgi @herkesicinchp @Alparti @kilicdarogluk @kilicdarogluk @ ...")</f>
        <v>RT @ SLEYMAN01348653: @DRFAHRETTINKA @SUNIYIYIFEURTE @hakiskonf @turkiskonf @ hakantoy06 @mhp_bilgi @herkesicinchp @Alparti @kilicdarogluk @kilicdarogluk @ ...</v>
      </c>
    </row>
    <row r="19333" spans="1:5" ht="15" customHeight="1" x14ac:dyDescent="0.25">
      <c r="A19333" s="1" t="s">
        <v>37628</v>
      </c>
      <c r="B19333" s="1">
        <v>0</v>
      </c>
      <c r="C19333" s="3">
        <v>44551.524791666663</v>
      </c>
      <c r="D19333" s="1" t="s">
        <v>37629</v>
      </c>
      <c r="E19333" s="4" t="str">
        <f ca="1">IFERROR(__xludf.DUMMYFUNCTION("GOOGLETRANSLATE(A2136 , ""tr"" , ""en"")"),"Why @drfahrettinkoca corona are still given this medication? Even why the MIADI has been filled with these drugs ... https://t.co/i9gbh11p1s")</f>
        <v>Why @drfahrettinkoca corona are still given this medication? Even why the MIADI has been filled with these drugs ... https://t.co/i9gbh11p1s</v>
      </c>
    </row>
    <row r="19334" spans="1:5" ht="15" customHeight="1" x14ac:dyDescent="0.25">
      <c r="A19334" s="1" t="s">
        <v>37630</v>
      </c>
      <c r="B19334" s="1">
        <v>0</v>
      </c>
      <c r="C19334" s="3">
        <v>44551.524791666663</v>
      </c>
      <c r="D19334" s="1" t="s">
        <v>37631</v>
      </c>
      <c r="E19334" s="4" t="str">
        <f ca="1">IFERROR(__xludf.DUMMYFUNCTION("GOOGLETRANSLATE(A2137 , ""tr"" , ""en"")"),"RT @ DERYA26745389: @drfahrettinkoca #manykocerceklaklıkla None of the Explain What was the Omicron contained in Turkey in Turkey? ...")</f>
        <v>RT @ DERYA26745389: @drfahrettinkoca #manykocerceklaklıkla None of the Explain What was the Omicron contained in Turkey in Turkey? ...</v>
      </c>
    </row>
    <row r="19335" spans="1:5" ht="15" customHeight="1" x14ac:dyDescent="0.25">
      <c r="A19335" s="1" t="s">
        <v>37632</v>
      </c>
      <c r="B19335" s="1">
        <v>0</v>
      </c>
      <c r="C19335" s="3">
        <v>44551.510960648149</v>
      </c>
      <c r="D19335" s="1" t="s">
        <v>37633</v>
      </c>
      <c r="E19335" s="4" t="str">
        <f ca="1">IFERROR(__xludf.DUMMYFUNCTION("GOOGLETRANSLATE(A2138 , ""tr"" , ""en"")"),"@drfahrettinkoca @bengibaser @serapsimsekyvz @tcmeb @saglikbakanligi @sagliklicozum @ProfSaltik @ SciFliklu ... https://t.co/xgpultrtds")</f>
        <v>@drfahrettinkoca @bengibaser @serapsimsekyvz @tcmeb @saglikbakanligi @sagliklicozum @ProfSaltik @ SciFliklu ... https://t.co/xgpultrtds</v>
      </c>
    </row>
    <row r="19336" spans="1:5" ht="15" customHeight="1" x14ac:dyDescent="0.25">
      <c r="A19336" s="1" t="s">
        <v>37634</v>
      </c>
      <c r="B19336" s="1">
        <v>0</v>
      </c>
      <c r="C19336" s="3">
        <v>44551.509814814817</v>
      </c>
      <c r="D19336" s="1" t="s">
        <v>37635</v>
      </c>
      <c r="E19336" s="4" t="str">
        <f ca="1">IFERROR(__xludf.DUMMYFUNCTION("GOOGLETRANSLATE(A2139 , ""tr"" , ""en"")"),"RT @ CUNEYT_07_: @drfahrettinka vaccine is not needed cases fallen mask, do not need distance schools as well as the SE mask is not the distance ...")</f>
        <v>RT @ CUNEYT_07_: @drfahrettinka vaccine is not needed cases fallen mask, do not need distance schools as well as the SE mask is not the distance ...</v>
      </c>
    </row>
    <row r="19337" spans="1:5" ht="15" customHeight="1" x14ac:dyDescent="0.25">
      <c r="A19337" s="1" t="s">
        <v>37636</v>
      </c>
      <c r="B19337" s="1">
        <v>0</v>
      </c>
      <c r="C19337" s="3">
        <v>44551.509641203702</v>
      </c>
      <c r="D19337" s="1" t="s">
        <v>37637</v>
      </c>
      <c r="E19337" s="4" t="str">
        <f ca="1">IFERROR(__xludf.DUMMYFUNCTION("GOOGLETRANSLATE(A2140 , ""tr"" , ""en"")"),"Rt @ emrekut64833568: @drfahrettinkoca remote egitim Sart # CappRaroglundanonlinelitim")</f>
        <v>Rt @ emrekut64833568: @drfahrettinkoca remote egitim Sart # CappRaroglundanonlinelitim</v>
      </c>
    </row>
    <row r="19338" spans="1:5" ht="15" customHeight="1" x14ac:dyDescent="0.25">
      <c r="A19338" s="1" t="s">
        <v>37638</v>
      </c>
      <c r="B19338" s="1">
        <v>0</v>
      </c>
      <c r="C19338" s="3">
        <v>44551.507511574076</v>
      </c>
      <c r="D19338" s="1" t="s">
        <v>37639</v>
      </c>
      <c r="E19338" s="4" t="str">
        <f ca="1">IFERROR(__xludf.DUMMYFUNCTION("GOOGLETRANSLATE(A2141 , ""tr"" , ""en"")"),"RT @MEVLTGNYDN: @drfahrettinka Mr @drfahrettinkoca is how you have an answer to it as all the society we are wondering vaccine nides ...")</f>
        <v>RT @MEVLTGNYDN: @drfahrettinka Mr @drfahrettinkoca is how you have an answer to it as all the society we are wondering vaccine nides ...</v>
      </c>
    </row>
    <row r="19339" spans="1:5" ht="15" customHeight="1" x14ac:dyDescent="0.25">
      <c r="A19339" s="1" t="s">
        <v>37640</v>
      </c>
      <c r="B19339" s="1">
        <v>0</v>
      </c>
      <c r="C19339" s="3">
        <v>44551.498749999999</v>
      </c>
      <c r="D19339" s="1" t="s">
        <v>37641</v>
      </c>
      <c r="E19339" s="4" t="str">
        <f ca="1">IFERROR(__xludf.DUMMYFUNCTION("GOOGLETRANSLATE(A2142 , ""tr"" , ""en"")"),"@DRFAHRETTINKA @IZMirValiligi @saglikbakanligi Dear Minister, Omicron Variant on Izmir in İzmir ... Https://t.co/1qnhcna0g0")</f>
        <v>@DRFAHRETTINKA @IZMirValiligi @saglikbakanligi Dear Minister, Omicron Variant on Izmir in İzmir ... Https://t.co/1qnhcna0g0</v>
      </c>
    </row>
    <row r="19340" spans="1:5" ht="15" customHeight="1" x14ac:dyDescent="0.25">
      <c r="A19340" s="1" t="s">
        <v>37642</v>
      </c>
      <c r="B19340" s="1">
        <v>0</v>
      </c>
      <c r="C19340" s="3">
        <v>44551.49832175926</v>
      </c>
      <c r="D19340" s="1" t="s">
        <v>37643</v>
      </c>
      <c r="E19340" s="4" t="str">
        <f ca="1">IFERROR(__xludf.DUMMYFUNCTION("GOOGLETRANSLATE(A2143 , ""tr"" , ""en"")"),"RT @ArayCanctrtr: @drfahrettinkoca Fahrettin Bey's number of cases to find the number of case numbers you need to hit 2XLE? https://t.co/nwjcx...")</f>
        <v>RT @ArayCanctrtr: @drfahrettinkoca Fahrettin Bey's number of cases to find the number of case numbers you need to hit 2XLE? https://t.co/nwjcx...</v>
      </c>
    </row>
    <row r="19341" spans="1:5" ht="15" customHeight="1" x14ac:dyDescent="0.25">
      <c r="A19341" s="1" t="s">
        <v>37615</v>
      </c>
      <c r="B19341" s="1">
        <v>0</v>
      </c>
      <c r="C19341" s="3">
        <v>44551.498136574075</v>
      </c>
      <c r="D19341" s="1" t="s">
        <v>37644</v>
      </c>
      <c r="E19341" s="4" t="str">
        <f ca="1">IFERROR(__xludf.DUMMYFUNCTION("GOOGLETRANSLATE(A2144 , ""tr"" , ""en"")"),"Rt @yurisgfm: @drfahrettinka https://t.co/c7arccecewur")</f>
        <v>Rt @yurisgfm: @drfahrettinka https://t.co/c7arccecewur</v>
      </c>
    </row>
    <row r="19342" spans="1:5" ht="15" customHeight="1" x14ac:dyDescent="0.25">
      <c r="A19342" s="1" t="s">
        <v>37645</v>
      </c>
      <c r="B19342" s="1">
        <v>0</v>
      </c>
      <c r="C19342" s="3">
        <v>44551.497986111113</v>
      </c>
      <c r="D19342" s="1" t="s">
        <v>37646</v>
      </c>
      <c r="E19342" s="4" t="str">
        <f ca="1">IFERROR(__xludf.DUMMYFUNCTION("GOOGLETRANSLATE(A2145 , ""tr"" , ""en"")"),"RT @Prof_Irmu: @drfahrettinkoca Yesterday is 34 Cases and 362 Dewels You report correct? https://t.co/bqam4qo4bc")</f>
        <v>RT @Prof_Irmu: @drfahrettinkoca Yesterday is 34 Cases and 362 Dewels You report correct? https://t.co/bqam4qo4bc</v>
      </c>
    </row>
    <row r="19343" spans="1:5" ht="15" customHeight="1" x14ac:dyDescent="0.25">
      <c r="A19343" s="1" t="s">
        <v>37294</v>
      </c>
      <c r="B19343" s="1">
        <v>0</v>
      </c>
      <c r="C19343" s="3">
        <v>44551.497916666667</v>
      </c>
      <c r="D19343" s="1" t="s">
        <v>37647</v>
      </c>
      <c r="E19343" s="4" t="str">
        <f ca="1">IFERROR(__xludf.DUMMYFUNCTION("GOOGLETRANSLATE(A2146 , ""tr"" , ""en"")"),"RT @draxx_drqxx: @drfahrettinkoca friends stop these tweets under this tweet we need a real explanation of these photos now ...")</f>
        <v>RT @draxx_drqxx: @drfahrettinkoca friends stop these tweets under this tweet we need a real explanation of these photos now ...</v>
      </c>
    </row>
    <row r="19344" spans="1:5" ht="15" customHeight="1" x14ac:dyDescent="0.25">
      <c r="A19344" s="1" t="s">
        <v>37648</v>
      </c>
      <c r="B19344" s="1">
        <v>0</v>
      </c>
      <c r="C19344" s="3">
        <v>44551.497835648152</v>
      </c>
      <c r="D19344" s="1" t="s">
        <v>37649</v>
      </c>
      <c r="E19344" s="4" t="str">
        <f ca="1">IFERROR(__xludf.DUMMYFUNCTION("GOOGLETRANSLATE(A2147 , ""tr"" , ""en"")"),"RT @ mesut640: @drfahrettinka Mr. Ministry of 18 Thousand Case You call the World Health Organization for 34 thousand cases reported for yesterday? https://t.co/2...")</f>
        <v>RT @ mesut640: @drfahrettinka Mr. Ministry of 18 Thousand Case You call the World Health Organization for 34 thousand cases reported for yesterday? https://t.co/2...</v>
      </c>
    </row>
    <row r="19345" spans="1:5" ht="15" customHeight="1" x14ac:dyDescent="0.25">
      <c r="A19345" s="1" t="s">
        <v>37650</v>
      </c>
      <c r="B19345" s="1">
        <v>0</v>
      </c>
      <c r="C19345" s="3">
        <v>44551.497685185182</v>
      </c>
      <c r="D19345" s="1" t="s">
        <v>37651</v>
      </c>
      <c r="E19345" s="4" t="str">
        <f ca="1">IFERROR(__xludf.DUMMYFUNCTION("GOOGLETRANSLATE(A2148 , ""tr"" , ""en"")"),"RT @YurisGFM: @drfahrettinka 34,000 cases but how is it going? https://t.co/csmisjatdc")</f>
        <v>RT @YurisGFM: @drfahrettinka 34,000 cases but how is it going? https://t.co/csmisjatdc</v>
      </c>
    </row>
    <row r="19346" spans="1:5" ht="15" customHeight="1" x14ac:dyDescent="0.25">
      <c r="A19346" s="1" t="s">
        <v>37652</v>
      </c>
      <c r="B19346" s="1">
        <v>0</v>
      </c>
      <c r="C19346" s="3">
        <v>44551.497615740744</v>
      </c>
      <c r="D19346" s="1" t="s">
        <v>37653</v>
      </c>
      <c r="E19346" s="4" t="str">
        <f ca="1">IFERROR(__xludf.DUMMYFUNCTION("GOOGLETRANSLATE(A2149 , ""tr"" , ""en"")"),"RT @ Düzolyol81: @drfahrettinkoca Protects from this to date. The first dose of Uğur Sahin Protects 98% of the first dose. Then it was 35% ...")</f>
        <v>RT @ Düzolyol81: @drfahrettinkoca Protects from this to date. The first dose of Uğur Sahin Protects 98% of the first dose. Then it was 35% ...</v>
      </c>
    </row>
    <row r="19347" spans="1:5" ht="15" customHeight="1" x14ac:dyDescent="0.25">
      <c r="A19347" s="1" t="s">
        <v>37596</v>
      </c>
      <c r="B19347" s="1">
        <v>0</v>
      </c>
      <c r="C19347" s="3">
        <v>44551.497499999998</v>
      </c>
      <c r="D19347" s="1" t="s">
        <v>37654</v>
      </c>
      <c r="E19347" s="4" t="str">
        <f ca="1">IFERROR(__xludf.DUMMYFUNCTION("GOOGLETRANSLATE(A2150 , ""tr"" , ""en"")"),"RT @ King345157: @drfahrettinkoca Waiting for Answer Mr. Husband https://t.co/pihchmlwuy")</f>
        <v>RT @ King345157: @drfahrettinkoca Waiting for Answer Mr. Husband https://t.co/pihchmlwuy</v>
      </c>
    </row>
    <row r="19348" spans="1:5" ht="15" customHeight="1" x14ac:dyDescent="0.25">
      <c r="A19348" s="1" t="s">
        <v>37655</v>
      </c>
      <c r="B19348" s="1">
        <v>0</v>
      </c>
      <c r="C19348" s="3">
        <v>44551.497337962966</v>
      </c>
      <c r="D19348" s="1" t="s">
        <v>37656</v>
      </c>
      <c r="E19348" s="4" t="str">
        <f ca="1">IFERROR(__xludf.DUMMYFUNCTION("GOOGLETRANSLATE(A2151 , ""tr"" , ""en"")"),"Rt @dumantv: @drfahrettinkoca Bed before all universities should be transmitted to remotely online education or remove the necessity of polling")</f>
        <v>Rt @dumantv: @drfahrettinkoca Bed before all universities should be transmitted to remotely online education or remove the necessity of polling</v>
      </c>
    </row>
    <row r="19349" spans="1:5" ht="15" customHeight="1" x14ac:dyDescent="0.25">
      <c r="A19349" s="1" t="s">
        <v>37657</v>
      </c>
      <c r="B19349" s="1">
        <v>0</v>
      </c>
      <c r="C19349" s="3">
        <v>44551.497245370374</v>
      </c>
      <c r="D19349" s="1" t="s">
        <v>37658</v>
      </c>
      <c r="E19349" s="4" t="str">
        <f ca="1">IFERROR(__xludf.DUMMYFUNCTION("GOOGLETRANSLATE(A2152 , ""tr"" , ""en"")"),"RT @ onurhan40259035: @drfahrettinkağağağ Marric Measures No One Nothing Single Vaccine Says I Come Vaccine Come Vaccines I have seen in those who have seen ...")</f>
        <v>RT @ onurhan40259035: @drfahrettinkağağağ Marric Measures No One Nothing Single Vaccine Says I Come Vaccine Come Vaccines I have seen in those who have seen ...</v>
      </c>
    </row>
    <row r="19350" spans="1:5" ht="15" customHeight="1" x14ac:dyDescent="0.25">
      <c r="A19350" s="1" t="s">
        <v>37659</v>
      </c>
      <c r="B19350" s="1">
        <v>0</v>
      </c>
      <c r="C19350" s="3">
        <v>44551.496979166666</v>
      </c>
      <c r="D19350" s="1" t="s">
        <v>37660</v>
      </c>
      <c r="E19350" s="4" t="str">
        <f ca="1">IFERROR(__xludf.DUMMYFUNCTION("GOOGLETRANSLATE(A2153 , ""tr"" , ""en"")"),"Rt @ duyolmu81: @drfahrettinkoca is not a korona killing. Primarily your masks. Then your vaccines. The drugs you give later. Famipyravirin ...")</f>
        <v>Rt @ duyolmu81: @drfahrettinkoca is not a korona killing. Primarily your masks. Then your vaccines. The drugs you give later. Famipyravirin ...</v>
      </c>
    </row>
    <row r="19351" spans="1:5" ht="15" customHeight="1" x14ac:dyDescent="0.25">
      <c r="A19351" s="1" t="s">
        <v>37594</v>
      </c>
      <c r="B19351" s="1">
        <v>0</v>
      </c>
      <c r="C19351" s="3">
        <v>44551.496921296297</v>
      </c>
      <c r="D19351" s="1" t="s">
        <v>37661</v>
      </c>
      <c r="E19351" s="4" t="str">
        <f ca="1">IFERROR(__xludf.DUMMYFUNCTION("GOOGLETRANSLATE(A2154 , ""tr"" , ""en"")"),"Rt @draxx_drqxx: @drfahrettinkoca we want to explain https://t.co/q6xshvgori")</f>
        <v>Rt @draxx_drqxx: @drfahrettinkoca we want to explain https://t.co/q6xshvgori</v>
      </c>
    </row>
    <row r="19352" spans="1:5" ht="15" customHeight="1" x14ac:dyDescent="0.25">
      <c r="A19352" s="1" t="s">
        <v>37416</v>
      </c>
      <c r="B19352" s="1">
        <v>0</v>
      </c>
      <c r="C19352" s="3">
        <v>44551.496863425928</v>
      </c>
      <c r="D19352" s="1" t="s">
        <v>37662</v>
      </c>
      <c r="E19352" s="4" t="str">
        <f ca="1">IFERROR(__xludf.DUMMYFUNCTION("GOOGLETRANSLATE(A2155 , ""tr"" , ""en"")"),"RT @lordsjsx: @drfahrettinkoca DSO You have written as 34 thousand cases Why make 18 thousand statements.!")</f>
        <v>RT @lordsjsx: @drfahrettinkoca DSO You have written as 34 thousand cases Why make 18 thousand statements.!</v>
      </c>
    </row>
    <row r="19353" spans="1:5" ht="15" customHeight="1" x14ac:dyDescent="0.25">
      <c r="A19353" s="1" t="s">
        <v>37663</v>
      </c>
      <c r="B19353" s="1">
        <v>0</v>
      </c>
      <c r="C19353" s="3">
        <v>44551.496805555558</v>
      </c>
      <c r="D19353" s="1" t="s">
        <v>37664</v>
      </c>
      <c r="E19353" s="4" t="str">
        <f ca="1">IFERROR(__xludf.DUMMYFUNCTION("GOOGLETRANSLATE(A2156 , ""tr"" , ""en"")"),"RT @duckybads: @drfahrettinkoca 34 thousand cases what about ??? !!!!!")</f>
        <v>RT @duckybads: @drfahrettinkoca 34 thousand cases what about ??? !!!!!</v>
      </c>
    </row>
    <row r="19354" spans="1:5" ht="15" customHeight="1" x14ac:dyDescent="0.25">
      <c r="A19354" s="1" t="s">
        <v>37590</v>
      </c>
      <c r="B19354" s="1">
        <v>0</v>
      </c>
      <c r="C19354" s="3">
        <v>44551.496689814812</v>
      </c>
      <c r="D19354" s="1" t="s">
        <v>37665</v>
      </c>
      <c r="E19354" s="4" t="str">
        <f ca="1">IFERROR(__xludf.DUMMYFUNCTION("GOOGLETRANSLATE(A2157 , ""tr"" , ""en"")"),"Rt @bennaglioma: @drfahrettinka so how to explain this table https://t.co/qx9ung148k")</f>
        <v>Rt @bennaglioma: @drfahrettinka so how to explain this table https://t.co/qx9ung148k</v>
      </c>
    </row>
    <row r="19355" spans="1:5" ht="15" customHeight="1" x14ac:dyDescent="0.25">
      <c r="A19355" s="1" t="s">
        <v>37588</v>
      </c>
      <c r="B19355" s="1">
        <v>0</v>
      </c>
      <c r="C19355" s="3">
        <v>44551.496631944443</v>
      </c>
      <c r="D19355" s="1" t="s">
        <v>37666</v>
      </c>
      <c r="E19355" s="4" t="str">
        <f ca="1">IFERROR(__xludf.DUMMYFUNCTION("GOOGLETRANSLATE(A2158 , ""tr"" , ""en"")"),"RT @YurisGFM: @drfahrettinkoca Why don't say so you don't say that you're staring in the star https://t.co/y52a2qtdhf")</f>
        <v>RT @YurisGFM: @drfahrettinkoca Why don't say so you don't say that you're staring in the star https://t.co/y52a2qtdhf</v>
      </c>
    </row>
    <row r="19356" spans="1:5" ht="15" customHeight="1" x14ac:dyDescent="0.25">
      <c r="A19356" s="1" t="s">
        <v>37667</v>
      </c>
      <c r="B19356" s="1">
        <v>0</v>
      </c>
      <c r="C19356" s="3">
        <v>44551.496122685188</v>
      </c>
      <c r="D19356" s="1" t="s">
        <v>37668</v>
      </c>
      <c r="E19356" s="4" t="str">
        <f ca="1">IFERROR(__xludf.DUMMYFUNCTION("GOOGLETRANSLATE(A2159 , ""tr"" , ""en"")"),"RT @Uurcan_y: @drfahrettinkoca scene Mr @drfahrettinka say this to your explanation without bringing the job to the vaccine ...")</f>
        <v>RT @Uurcan_y: @drfahrettinkoca scene Mr @drfahrettinka say this to your explanation without bringing the job to the vaccine ...</v>
      </c>
    </row>
    <row r="19357" spans="1:5" ht="15" customHeight="1" x14ac:dyDescent="0.25">
      <c r="A19357" s="1" t="s">
        <v>37669</v>
      </c>
      <c r="B19357" s="1">
        <v>0</v>
      </c>
      <c r="C19357" s="3">
        <v>44551.496087962965</v>
      </c>
      <c r="D19357" s="1" t="s">
        <v>37670</v>
      </c>
      <c r="E19357" s="4" t="str">
        <f ca="1">IFERROR(__xludf.DUMMYFUNCTION("GOOGLETRANSLATE(A2160 , ""tr"" , ""en"")"),"@drfahrettinkoca 7-) I told all this incorrect treatment next to their teacher, but I don't have Hoca's reaction Maales ... https://t.co/xt2opecuic")</f>
        <v>@drfahrettinkoca 7-) I told all this incorrect treatment next to their teacher, but I don't have Hoca's reaction Maales ... https://t.co/xt2opecuic</v>
      </c>
    </row>
    <row r="19358" spans="1:5" ht="15" customHeight="1" x14ac:dyDescent="0.25">
      <c r="A19358" s="1" t="s">
        <v>37671</v>
      </c>
      <c r="B19358" s="1">
        <v>0</v>
      </c>
      <c r="C19358" s="3">
        <v>44551.49591435185</v>
      </c>
      <c r="D19358" s="1" t="s">
        <v>37672</v>
      </c>
      <c r="E19358" s="4" t="str">
        <f ca="1">IFERROR(__xludf.DUMMYFUNCTION("GOOGLETRANSLATE(A2161 , ""tr"" , ""en"")"),"Rt @busbusenn: @drfahrettinkoca cases denied aaaaa so many shame shame")</f>
        <v>Rt @busbusenn: @drfahrettinkoca cases denied aaaaa so many shame shame</v>
      </c>
    </row>
    <row r="19359" spans="1:5" ht="15" customHeight="1" x14ac:dyDescent="0.25">
      <c r="A19359" s="1" t="s">
        <v>37673</v>
      </c>
      <c r="B19359" s="1">
        <v>0</v>
      </c>
      <c r="C19359" s="3">
        <v>44551.495868055557</v>
      </c>
      <c r="D19359" s="1" t="s">
        <v>37674</v>
      </c>
      <c r="E19359" s="4" t="str">
        <f ca="1">IFERROR(__xludf.DUMMYFUNCTION("GOOGLETRANSLATE(A2162 , ""tr"" , ""en"")"),"Rt @ evahawa4: @drfahrettinkoca you begg up every day so many people don't have a sufferer")</f>
        <v>Rt @ evahawa4: @drfahrettinkoca you begg up every day so many people don't have a sufferer</v>
      </c>
    </row>
    <row r="19360" spans="1:5" ht="15" customHeight="1" x14ac:dyDescent="0.25">
      <c r="A19360" s="1" t="s">
        <v>37675</v>
      </c>
      <c r="B19360" s="1">
        <v>0</v>
      </c>
      <c r="C19360" s="3">
        <v>44551.495821759258</v>
      </c>
      <c r="D19360" s="1" t="s">
        <v>37676</v>
      </c>
      <c r="E19360" s="4" t="str">
        <f ca="1">IFERROR(__xludf.DUMMYFUNCTION("GOOGLETRANSLATE(A2163 , ""tr"" , ""en"")"),"Rt @ evahawa4: @drfahrettinkoca We don't believe it now to you.")</f>
        <v>Rt @ evahawa4: @drfahrettinkoca We don't believe it now to you.</v>
      </c>
    </row>
    <row r="19361" spans="1:5" ht="15" customHeight="1" x14ac:dyDescent="0.25">
      <c r="A19361" s="1" t="s">
        <v>37314</v>
      </c>
      <c r="B19361" s="1">
        <v>0</v>
      </c>
      <c r="C19361" s="3">
        <v>44551.495648148149</v>
      </c>
      <c r="D19361" s="1" t="s">
        <v>37677</v>
      </c>
      <c r="E19361" s="4" t="str">
        <f ca="1">IFERROR(__xludf.DUMMYFUNCTION("GOOGLETRANSLATE(A2164 , ""tr"" , ""en"")"),"RT @tckurbai: @drfahrettinkoca @who says no vaccines that are effective against the omicron variant, you still say vaccine ...")</f>
        <v>RT @tckurbai: @drfahrettinkoca @who says no vaccines that are effective against the omicron variant, you still say vaccine ...</v>
      </c>
    </row>
    <row r="19362" spans="1:5" ht="15" customHeight="1" x14ac:dyDescent="0.25">
      <c r="A19362" s="1" t="s">
        <v>37506</v>
      </c>
      <c r="B19362" s="1">
        <v>0</v>
      </c>
      <c r="C19362" s="3">
        <v>44551.495520833334</v>
      </c>
      <c r="D19362" s="1" t="s">
        <v>37678</v>
      </c>
      <c r="E19362" s="4" t="str">
        <f ca="1">IFERROR(__xludf.DUMMYFUNCTION("GOOGLETRANSLATE(A2165 , ""tr"" , ""en"")"),"Rt @uurcan_y: @drfahrettinkoca WHO Don't say so you don't say that you're stared https://t.co/6zrfe3uc5d")</f>
        <v>Rt @uurcan_y: @drfahrettinkoca WHO Don't say so you don't say that you're stared https://t.co/6zrfe3uc5d</v>
      </c>
    </row>
    <row r="19363" spans="1:5" ht="15" customHeight="1" x14ac:dyDescent="0.25">
      <c r="A19363" s="1" t="s">
        <v>37679</v>
      </c>
      <c r="B19363" s="1">
        <v>0</v>
      </c>
      <c r="C19363" s="3">
        <v>44551.495358796295</v>
      </c>
      <c r="D19363" s="1" t="s">
        <v>37680</v>
      </c>
      <c r="E19363" s="4" t="str">
        <f ca="1">IFERROR(__xludf.DUMMYFUNCTION("GOOGLETRANSLATE(A2166 , ""tr"" , ""en"")"),"RT @dxehrmn: @drfahrettinkoca promptly promptly training. If the case is 34 thousand, you are even more than even more.")</f>
        <v>RT @dxehrmn: @drfahrettinkoca promptly promptly training. If the case is 34 thousand, you are even more than even more.</v>
      </c>
    </row>
    <row r="19364" spans="1:5" ht="15" customHeight="1" x14ac:dyDescent="0.25">
      <c r="A19364" s="1" t="s">
        <v>37630</v>
      </c>
      <c r="B19364" s="1">
        <v>0</v>
      </c>
      <c r="C19364" s="3">
        <v>44551.495312500003</v>
      </c>
      <c r="D19364" s="1" t="s">
        <v>37681</v>
      </c>
      <c r="E19364" s="4" t="str">
        <f ca="1">IFERROR(__xludf.DUMMYFUNCTION("GOOGLETRANSLATE(A2167 , ""tr"" , ""en"")"),"RT @ DERYA26745389: @drfahrettinkoca #manykocerceklaklıkla None of the Explain What was the Omicron contained in Turkey in Turkey? ...")</f>
        <v>RT @ DERYA26745389: @drfahrettinkoca #manykocerceklaklıkla None of the Explain What was the Omicron contained in Turkey in Turkey? ...</v>
      </c>
    </row>
    <row r="19365" spans="1:5" ht="15" customHeight="1" x14ac:dyDescent="0.25">
      <c r="A19365" s="1" t="s">
        <v>37682</v>
      </c>
      <c r="B19365" s="1">
        <v>0</v>
      </c>
      <c r="C19365" s="3">
        <v>44551.495196759257</v>
      </c>
      <c r="D19365" s="1" t="s">
        <v>37683</v>
      </c>
      <c r="E19365" s="4" t="str">
        <f ca="1">IFERROR(__xludf.DUMMYFUNCTION("GOOGLETRANSLATE(A2168 , ""tr"" , ""en"")"),"RT @ derya26745389: @drfahrettinkoca lying like hubby @drfahrettinkoca")</f>
        <v>RT @ derya26745389: @drfahrettinkoca lying like hubby @drfahrettinkoca</v>
      </c>
    </row>
    <row r="19366" spans="1:5" ht="15" customHeight="1" x14ac:dyDescent="0.25">
      <c r="A19366" s="1" t="s">
        <v>37684</v>
      </c>
      <c r="B19366" s="1">
        <v>0</v>
      </c>
      <c r="C19366" s="3">
        <v>44551.494710648149</v>
      </c>
      <c r="D19366" s="1" t="s">
        <v>37685</v>
      </c>
      <c r="E19366" s="4" t="str">
        <f ca="1">IFERROR(__xludf.DUMMYFUNCTION("GOOGLETRANSLATE(A2169 , ""tr"" , ""en"")"),"@drfahrettinkoca 6-) I'm a retired citizen where do they get the right to insult us? Or with beard ... https://t.co/hIzcxyzwtb")</f>
        <v>@drfahrettinkoca 6-) I'm a retired citizen where do they get the right to insult us? Or with beard ... https://t.co/hIzcxyzwtb</v>
      </c>
    </row>
    <row r="19367" spans="1:5" ht="15" customHeight="1" x14ac:dyDescent="0.25">
      <c r="A19367" s="1" t="s">
        <v>37686</v>
      </c>
      <c r="B19367" s="1">
        <v>0</v>
      </c>
      <c r="C19367" s="3">
        <v>44551.494259259256</v>
      </c>
      <c r="D19367" s="1" t="s">
        <v>37687</v>
      </c>
      <c r="E19367" s="4" t="str">
        <f ca="1">IFERROR(__xludf.DUMMYFUNCTION("GOOGLETRANSLATE(A2170 , ""tr"" , ""en"")"),"RT @EbripRuern: @drfahrettinkoca is tied to vaccine such as corrupted plaque. How many children have been positively came to date? How many hospitals were drafted? ...")</f>
        <v>RT @EbripRuern: @drfahrettinkoca is tied to vaccine such as corrupted plaque. How many children have been positively came to date? How many hospitals were drafted? ...</v>
      </c>
    </row>
    <row r="19368" spans="1:5" ht="15" customHeight="1" x14ac:dyDescent="0.25">
      <c r="A19368" s="1" t="s">
        <v>37688</v>
      </c>
      <c r="B19368" s="1">
        <v>0</v>
      </c>
      <c r="C19368" s="3">
        <v>44551.493993055556</v>
      </c>
      <c r="D19368" s="1" t="s">
        <v>37689</v>
      </c>
      <c r="E19368" s="4" t="str">
        <f ca="1">IFERROR(__xludf.DUMMYFUNCTION("GOOGLETRANSLATE(A2171 , ""tr"" , ""en"")"),"@drfahrettinkoca is currently 74 years old for my father's Etlik Gata. Today we have made an appointment from 14.30 a Selahattin. ... HTTPS://T.CO/IHYPE39PBI")</f>
        <v>@drfahrettinkoca is currently 74 years old for my father's Etlik Gata. Today we have made an appointment from 14.30 a Selahattin. ... HTTPS://T.CO/IHYPE39PBI</v>
      </c>
    </row>
    <row r="19369" spans="1:5" ht="15" customHeight="1" x14ac:dyDescent="0.25">
      <c r="A19369" s="1" t="s">
        <v>37690</v>
      </c>
      <c r="B19369" s="1">
        <v>0</v>
      </c>
      <c r="C19369" s="3">
        <v>44551.493206018517</v>
      </c>
      <c r="D19369" s="1" t="s">
        <v>37691</v>
      </c>
      <c r="E19369" s="4" t="str">
        <f ca="1">IFERROR(__xludf.DUMMYFUNCTION("GOOGLETRANSLATE(A2172 , ""tr"" , ""en"")"),"RT @Haydarsarg: @drfahrettinkoca may be wanting to be phase3 subjects, but don't hang in someone else's baby! Old because of the fear of Mabad ...")</f>
        <v>RT @Haydarsarg: @drfahrettinkoca may be wanting to be phase3 subjects, but don't hang in someone else's baby! Old because of the fear of Mabad ...</v>
      </c>
    </row>
    <row r="19370" spans="1:5" ht="15" customHeight="1" x14ac:dyDescent="0.25">
      <c r="A19370" s="1" t="s">
        <v>37686</v>
      </c>
      <c r="B19370" s="1">
        <v>0</v>
      </c>
      <c r="C19370" s="3">
        <v>44551.492708333331</v>
      </c>
      <c r="D19370" s="1" t="s">
        <v>37692</v>
      </c>
      <c r="E19370" s="4" t="str">
        <f ca="1">IFERROR(__xludf.DUMMYFUNCTION("GOOGLETRANSLATE(A2173 , ""tr"" , ""en"")"),"RT @EbripRuern: @drfahrettinkoca is tied to vaccine such as corrupted plaque. How many children have been positively came to date? How many hospitals were drafted? ...")</f>
        <v>RT @EbripRuern: @drfahrettinkoca is tied to vaccine such as corrupted plaque. How many children have been positively came to date? How many hospitals were drafted? ...</v>
      </c>
    </row>
    <row r="19371" spans="1:5" ht="15" customHeight="1" x14ac:dyDescent="0.25">
      <c r="A19371" s="1" t="s">
        <v>37693</v>
      </c>
      <c r="B19371" s="1">
        <v>0</v>
      </c>
      <c r="C19371" s="3">
        <v>44551.491365740738</v>
      </c>
      <c r="D19371" s="1" t="s">
        <v>37694</v>
      </c>
      <c r="E19371" s="4" t="str">
        <f ca="1">IFERROR(__xludf.DUMMYFUNCTION("GOOGLETRANSLATE(A2174 , ""tr"" , ""en"")"),"@drfahrettinkoca 5-) When I said our drug's expensive hospital doesn't buy it for him he said he didn't write for his assistant (name Bend ... https://t.co/4plaorcexd")</f>
        <v>@drfahrettinkoca 5-) When I said our drug's expensive hospital doesn't buy it for him he said he didn't write for his assistant (name Bend ... https://t.co/4plaorcexd</v>
      </c>
    </row>
    <row r="19372" spans="1:5" ht="15" customHeight="1" x14ac:dyDescent="0.25">
      <c r="A19372" s="1" t="s">
        <v>37695</v>
      </c>
      <c r="B19372" s="1">
        <v>0</v>
      </c>
      <c r="C19372" s="3">
        <v>44551.488437499997</v>
      </c>
      <c r="D19372" s="1" t="s">
        <v>37696</v>
      </c>
      <c r="E19372" s="4" t="str">
        <f ca="1">IFERROR(__xludf.DUMMYFUNCTION("GOOGLETRANSLATE(A2175 , ""tr"" , ""en"")"),"@drfahrettinkoca 4-) I have used it in case I asked 2 Save 1.5 1.5 Used 1.5 I said the medicine that I was divided by the drug Y ... https://t.co/tauuy5l4jq")</f>
        <v>@drfahrettinkoca 4-) I have used it in case I asked 2 Save 1.5 1.5 Used 1.5 I said the medicine that I was divided by the drug Y ... https://t.co/tauuy5l4jq</v>
      </c>
    </row>
    <row r="19373" spans="1:5" ht="15" customHeight="1" x14ac:dyDescent="0.25">
      <c r="A19373" s="1" t="s">
        <v>37697</v>
      </c>
      <c r="B19373" s="1">
        <v>0</v>
      </c>
      <c r="C19373" s="3">
        <v>44551.485694444447</v>
      </c>
      <c r="D19373" s="1" t="s">
        <v>37698</v>
      </c>
      <c r="E19373" s="4" t="str">
        <f ca="1">IFERROR(__xludf.DUMMYFUNCTION("GOOGLETRANSLATE(A2176 , ""tr"" , ""en"")"),"@drfahrettinkoca 3-) For the patient's forgiveness; healing / dispensing, patient drugs using still ... https://t.co/eckttxepbd")</f>
        <v>@drfahrettinkoca 3-) For the patient's forgiveness; healing / dispensing, patient drugs using still ... https://t.co/eckttxepbd</v>
      </c>
    </row>
    <row r="19374" spans="1:5" ht="15" customHeight="1" x14ac:dyDescent="0.25">
      <c r="A19374" s="1" t="s">
        <v>37699</v>
      </c>
      <c r="B19374" s="1">
        <v>0</v>
      </c>
      <c r="C19374" s="3">
        <v>44551.485277777778</v>
      </c>
      <c r="D19374" s="1" t="s">
        <v>37700</v>
      </c>
      <c r="E19374" s="4" t="str">
        <f ca="1">IFERROR(__xludf.DUMMYFUNCTION("GOOGLETRANSLATE(A2177 , ""tr"" , ""en"")"),"Rt @ lhami35595221: @drfahrettinka https://t.co/v1pg0eHI6Z")</f>
        <v>Rt @ lhami35595221: @drfahrettinka https://t.co/v1pg0eHI6Z</v>
      </c>
    </row>
    <row r="19375" spans="1:5" ht="15" customHeight="1" x14ac:dyDescent="0.25">
      <c r="A19375" s="1" t="s">
        <v>37626</v>
      </c>
      <c r="B19375" s="1">
        <v>0</v>
      </c>
      <c r="C19375" s="3">
        <v>44551.483402777776</v>
      </c>
      <c r="D19375" s="1" t="s">
        <v>37701</v>
      </c>
      <c r="E19375" s="4" t="str">
        <f ca="1">IFERROR(__xludf.DUMMYFUNCTION("GOOGLETRANSLATE(A2178 , ""tr"" , ""en"")"),"RT @ SLEYMAN01348653: @DRFAHRETTINKA @SUNIYIYIFEURTE @hakiskonf @turkiskonf @ hakantoy06 @mhp_bilgi @herkesicinchp @Alparti @kilicdarogluk @kilicdarogluk @ ...")</f>
        <v>RT @ SLEYMAN01348653: @DRFAHRETTINKA @SUNIYIYIFEURTE @hakiskonf @turkiskonf @ hakantoy06 @mhp_bilgi @herkesicinchp @Alparti @kilicdarogluk @kilicdarogluk @ ...</v>
      </c>
    </row>
    <row r="19376" spans="1:5" ht="15" customHeight="1" x14ac:dyDescent="0.25">
      <c r="A19376" s="1" t="s">
        <v>37702</v>
      </c>
      <c r="B19376" s="1">
        <v>0</v>
      </c>
      <c r="C19376" s="3">
        <v>44551.483090277776</v>
      </c>
      <c r="D19376" s="1" t="s">
        <v>37703</v>
      </c>
      <c r="E19376" s="4" t="str">
        <f ca="1">IFERROR(__xludf.DUMMYFUNCTION("GOOGLETRANSLATE(A2179 , ""tr"" , ""en"")"),"@drfahrettinkoca Why do you stay insensitive to this National Security Officer Mrs This nationality ... https://t.co/azw33zzzqkz")</f>
        <v>@drfahrettinkoca Why do you stay insensitive to this National Security Officer Mrs This nationality ... https://t.co/azw33zzzqkz</v>
      </c>
    </row>
    <row r="19377" spans="1:5" ht="15" customHeight="1" x14ac:dyDescent="0.25">
      <c r="A19377" s="1" t="s">
        <v>37704</v>
      </c>
      <c r="B19377" s="1">
        <v>0</v>
      </c>
      <c r="C19377" s="3">
        <v>44551.482291666667</v>
      </c>
      <c r="D19377" s="1" t="s">
        <v>37705</v>
      </c>
      <c r="E19377" s="4" t="str">
        <f ca="1">IFERROR(__xludf.DUMMYFUNCTION("GOOGLETRANSLATE(A2180 , ""tr"" , ""en"")"),"@drfahrettinkoca 2-) I am having breath shortness due to lung fibrobus because of the OfEV 150 mg to ... https://t.co/bqgppnlyx4")</f>
        <v>@drfahrettinkoca 2-) I am having breath shortness due to lung fibrobus because of the OfEV 150 mg to ... https://t.co/bqgppnlyx4</v>
      </c>
    </row>
    <row r="19378" spans="1:5" ht="15" customHeight="1" x14ac:dyDescent="0.25">
      <c r="A19378" s="1" t="s">
        <v>37706</v>
      </c>
      <c r="B19378" s="1">
        <v>0</v>
      </c>
      <c r="C19378" s="3">
        <v>44551.480671296296</v>
      </c>
      <c r="D19378" s="1" t="s">
        <v>37707</v>
      </c>
      <c r="E19378" s="4" t="str">
        <f ca="1">IFERROR(__xludf.DUMMYFUNCTION("GOOGLETRANSLATE(A2181 , ""tr"" , ""en"")"),"@drfahrettinkoca As of this infoxity, Yalova Giants Hospital 1st Floor This Nation Why Coukadar Unclaimed BIRA ... https://t.co/wuoqw9w9cv")</f>
        <v>@drfahrettinkoca As of this infoxity, Yalova Giants Hospital 1st Floor This Nation Why Coukadar Unclaimed BIRA ... https://t.co/wuoqw9w9cv</v>
      </c>
    </row>
    <row r="19379" spans="1:5" ht="15" customHeight="1" x14ac:dyDescent="0.25">
      <c r="A19379" s="1" t="s">
        <v>37708</v>
      </c>
      <c r="B19379" s="1">
        <v>0</v>
      </c>
      <c r="C19379" s="3">
        <v>44551.479432870372</v>
      </c>
      <c r="D19379" s="1" t="s">
        <v>37709</v>
      </c>
      <c r="E19379" s="4" t="str">
        <f ca="1">IFERROR(__xludf.DUMMYFUNCTION("GOOGLETRANSLATE(A2182 , ""tr"" , ""en"")"),"@drfahrettinkoca Ministry of Hospital Appointments Troubleshooting, We are not taking.oğlum green prescription medication.")</f>
        <v>@drfahrettinkoca Ministry of Hospital Appointments Troubleshooting, We are not taking.oğlum green prescription medication.</v>
      </c>
    </row>
    <row r="19380" spans="1:5" ht="15" customHeight="1" x14ac:dyDescent="0.25">
      <c r="A19380" s="1" t="s">
        <v>37710</v>
      </c>
      <c r="B19380" s="1">
        <v>1</v>
      </c>
      <c r="C19380" s="3">
        <v>44551.47855324074</v>
      </c>
      <c r="D19380" s="1" t="s">
        <v>37711</v>
      </c>
      <c r="E19380" s="4" t="str">
        <f ca="1">IFERROR(__xludf.DUMMYFUNCTION("GOOGLETRANSLATE(A2183 , ""tr"" , ""en"")"),"@drfahrettinkoca Mr. Minister Yalova State Hospital Vaccine Unit insult the nation in a single room pushing the nation ... https://t.co/zrlj2ddjju")</f>
        <v>@drfahrettinkoca Mr. Minister Yalova State Hospital Vaccine Unit insult the nation in a single room pushing the nation ... https://t.co/zrlj2ddjju</v>
      </c>
    </row>
    <row r="19381" spans="1:5" ht="15" customHeight="1" x14ac:dyDescent="0.25">
      <c r="A19381" s="1" t="s">
        <v>37712</v>
      </c>
      <c r="B19381" s="1">
        <v>0</v>
      </c>
      <c r="C19381" s="3">
        <v>44551.477349537039</v>
      </c>
      <c r="D19381" s="1" t="s">
        <v>37713</v>
      </c>
      <c r="E19381" s="4" t="str">
        <f ca="1">IFERROR(__xludf.DUMMYFUNCTION("GOOGLETRANSLATE(A2184 , ""tr"" , ""en"")"),"@drfahrettinkoca 1-) Mr. Minister; Having your staff and needed citizens are admirable, me ... https://t.co/ohjsnbqszx")</f>
        <v>@drfahrettinkoca 1-) Mr. Minister; Having your staff and needed citizens are admirable, me ... https://t.co/ohjsnbqszx</v>
      </c>
    </row>
    <row r="19382" spans="1:5" ht="15" customHeight="1" x14ac:dyDescent="0.25">
      <c r="A19382" s="1" t="s">
        <v>37714</v>
      </c>
      <c r="B19382" s="1">
        <v>0</v>
      </c>
      <c r="C19382" s="3">
        <v>44551.463483796295</v>
      </c>
      <c r="D19382" s="1" t="s">
        <v>37715</v>
      </c>
      <c r="E19382" s="4" t="str">
        <f ca="1">IFERROR(__xludf.DUMMYFUNCTION("GOOGLETRANSLATE(A2185 , ""tr"" , ""en"")"),"@drfahrettinkoca @abdulhamitgula https://t.co/oedbh8z7lr")</f>
        <v>@drfahrettinkoca @abdulhamitgula https://t.co/oedbh8z7lr</v>
      </c>
    </row>
    <row r="19383" spans="1:5" ht="15" customHeight="1" x14ac:dyDescent="0.25">
      <c r="A19383" s="1" t="s">
        <v>37716</v>
      </c>
      <c r="B19383" s="1">
        <v>0</v>
      </c>
      <c r="C19383" s="3">
        <v>44551.459016203706</v>
      </c>
      <c r="D19383" s="1" t="s">
        <v>37717</v>
      </c>
      <c r="E19383" s="4" t="str">
        <f ca="1">IFERROR(__xludf.DUMMYFUNCTION("GOOGLETRANSLATE(A2186 , ""tr"" , ""en"")"),"Rt @neslihansahintw: @drfahrettinkoca @ mehmetceyhan23 Are you in the same")</f>
        <v>Rt @neslihansahintw: @drfahrettinkoca @ mehmetceyhan23 Are you in the same</v>
      </c>
    </row>
    <row r="19384" spans="1:5" ht="15" customHeight="1" x14ac:dyDescent="0.25">
      <c r="A19384" s="1" t="s">
        <v>37718</v>
      </c>
      <c r="B19384" s="1">
        <v>0</v>
      </c>
      <c r="C19384" s="3">
        <v>44551.451041666667</v>
      </c>
      <c r="D19384" s="1" t="s">
        <v>37719</v>
      </c>
      <c r="E19384" s="4" t="str">
        <f ca="1">IFERROR(__xludf.DUMMYFUNCTION("GOOGLETRANSLATE(A2187 , ""tr"" , ""en"")"),"RT @ cemilcan5834: @drfahrettinkoca was to match the measures on time. Now you say vaccines and measures, what happened 2 would protect the dose ...")</f>
        <v>RT @ cemilcan5834: @drfahrettinkoca was to match the measures on time. Now you say vaccines and measures, what happened 2 would protect the dose ...</v>
      </c>
    </row>
    <row r="19385" spans="1:5" ht="15" customHeight="1" x14ac:dyDescent="0.25">
      <c r="A19385" s="1" t="s">
        <v>37638</v>
      </c>
      <c r="B19385" s="1">
        <v>0</v>
      </c>
      <c r="C19385" s="3">
        <v>44551.449942129628</v>
      </c>
      <c r="D19385" s="1" t="s">
        <v>37720</v>
      </c>
      <c r="E19385" s="4" t="str">
        <f ca="1">IFERROR(__xludf.DUMMYFUNCTION("GOOGLETRANSLATE(A2188 , ""tr"" , ""en"")"),"RT @MEVLTGNYDN: @drfahrettinka Mr @drfahrettinkoca is how you have an answer to it as all the society we are wondering vaccine nides ...")</f>
        <v>RT @MEVLTGNYDN: @drfahrettinka Mr @drfahrettinkoca is how you have an answer to it as all the society we are wondering vaccine nides ...</v>
      </c>
    </row>
    <row r="19386" spans="1:5" ht="15" customHeight="1" x14ac:dyDescent="0.25">
      <c r="A19386" s="1" t="s">
        <v>37721</v>
      </c>
      <c r="B19386" s="1">
        <v>0</v>
      </c>
      <c r="C19386" s="3">
        <v>44551.449270833335</v>
      </c>
      <c r="D19386" s="1" t="s">
        <v>37722</v>
      </c>
      <c r="E19386" s="4" t="str">
        <f ca="1">IFERROR(__xludf.DUMMYFUNCTION("GOOGLETRANSLATE(A2189 , ""tr"" , ""en"")"),"@drfahrettinkoca @ mehmetceyhan23 Are you as well as https://t.co/vkcsn2hfra")</f>
        <v>@drfahrettinkoca @ mehmetceyhan23 Are you as well as https://t.co/vkcsn2hfra</v>
      </c>
    </row>
    <row r="19387" spans="1:5" ht="15" customHeight="1" x14ac:dyDescent="0.25">
      <c r="A19387" s="1" t="s">
        <v>37723</v>
      </c>
      <c r="B19387" s="1">
        <v>0</v>
      </c>
      <c r="C19387" s="3">
        <v>44551.448148148149</v>
      </c>
      <c r="D19387" s="1" t="s">
        <v>37724</v>
      </c>
      <c r="E19387" s="4" t="str">
        <f ca="1">IFERROR(__xludf.DUMMYFUNCTION("GOOGLETRANSLATE(A2190 , ""tr"" , ""en"")"),"@drfahrettinkoca Mr. Minister My sister Mersin Mezitli Health Centers to make the vaccination in the mesker ... https://t.co/x8jgk2etjt")</f>
        <v>@drfahrettinkoca Mr. Minister My sister Mersin Mezitli Health Centers to make the vaccination in the mesker ... https://t.co/x8jgk2etjt</v>
      </c>
    </row>
    <row r="19388" spans="1:5" ht="15" customHeight="1" x14ac:dyDescent="0.25">
      <c r="A19388" s="1" t="s">
        <v>37725</v>
      </c>
      <c r="B19388" s="1">
        <v>0</v>
      </c>
      <c r="C19388" s="3">
        <v>44551.445555555554</v>
      </c>
      <c r="D19388" s="1" t="s">
        <v>37726</v>
      </c>
      <c r="E19388" s="4" t="str">
        <f ca="1">IFERROR(__xludf.DUMMYFUNCTION("GOOGLETRANSLATE(A2191 , ""tr"" , ""en"")"),"Rt @ cemilcan5834: @drfahrettinkoca Look what says friends, you are broadcasting in intensive care, but you don't see these")</f>
        <v>Rt @ cemilcan5834: @drfahrettinkoca Look what says friends, you are broadcasting in intensive care, but you don't see these</v>
      </c>
    </row>
    <row r="19389" spans="1:5" ht="15" customHeight="1" x14ac:dyDescent="0.25">
      <c r="A19389" s="1" t="s">
        <v>37727</v>
      </c>
      <c r="B19389" s="1">
        <v>0</v>
      </c>
      <c r="C19389" s="3">
        <v>44551.445370370369</v>
      </c>
      <c r="D19389" s="1" t="s">
        <v>37728</v>
      </c>
      <c r="E19389" s="4" t="str">
        <f ca="1">IFERROR(__xludf.DUMMYFUNCTION("GOOGLETRANSLATE(A2192 , ""tr"" , ""en"")"),"@drfahrettinkoca Muğla-Bodrum I can't get vaccination appointment")</f>
        <v>@drfahrettinkoca Muğla-Bodrum I can't get vaccination appointment</v>
      </c>
    </row>
    <row r="19390" spans="1:5" ht="15" customHeight="1" x14ac:dyDescent="0.25">
      <c r="A19390" s="1" t="s">
        <v>37626</v>
      </c>
      <c r="B19390" s="1">
        <v>0</v>
      </c>
      <c r="C19390" s="3">
        <v>44551.438692129632</v>
      </c>
      <c r="D19390" s="1" t="s">
        <v>37729</v>
      </c>
      <c r="E19390" s="4" t="str">
        <f ca="1">IFERROR(__xludf.DUMMYFUNCTION("GOOGLETRANSLATE(A2193 , ""tr"" , ""en"")"),"RT @ SLEYMAN01348653: @DRFAHRETTINKA @SUNIYIYIFEURTE @hakiskonf @turkiskonf @ hakantoy06 @mhp_bilgi @herkesicinchp @Alparti @kilicdarogluk @kilicdarogluk @ ...")</f>
        <v>RT @ SLEYMAN01348653: @DRFAHRETTINKA @SUNIYIYIFEURTE @hakiskonf @turkiskonf @ hakantoy06 @mhp_bilgi @herkesicinchp @Alparti @kilicdarogluk @kilicdarogluk @ ...</v>
      </c>
    </row>
    <row r="19391" spans="1:5" ht="15" customHeight="1" x14ac:dyDescent="0.25">
      <c r="A19391" s="1" t="s">
        <v>37730</v>
      </c>
      <c r="B19391" s="1">
        <v>7</v>
      </c>
      <c r="C19391" s="3">
        <v>44551.432511574072</v>
      </c>
      <c r="D19391" s="1" t="s">
        <v>37731</v>
      </c>
      <c r="E19391" s="4" t="str">
        <f ca="1">IFERROR(__xludf.DUMMYFUNCTION("GOOGLETRANSLATE(A2194 , ""tr"" , ""en"")"),"@drfahrettinkoca Look what says friends, you are broadcasting in intensive care but you don't see these https://t.co/mpzdkykgdj")</f>
        <v>@drfahrettinkoca Look what says friends, you are broadcasting in intensive care but you don't see these https://t.co/mpzdkykgdj</v>
      </c>
    </row>
    <row r="19392" spans="1:5" ht="15" customHeight="1" x14ac:dyDescent="0.25">
      <c r="A19392" s="1" t="s">
        <v>37732</v>
      </c>
      <c r="B19392" s="1">
        <v>0</v>
      </c>
      <c r="C19392" s="3">
        <v>44551.429629629631</v>
      </c>
      <c r="D19392" s="1" t="s">
        <v>37733</v>
      </c>
      <c r="E19392" s="4" t="str">
        <f ca="1">IFERROR(__xludf.DUMMYFUNCTION("GOOGLETRANSLATE(A2195 , ""tr"" , ""en"")"),"@drfahrettinkoca Sincan District Health Directorate Don't make the vaccination in bedthalous patients don't make an appointment other districts ... https://t.co/04UNIOItu")</f>
        <v>@drfahrettinkoca Sincan District Health Directorate Don't make the vaccination in bedthalous patients don't make an appointment other districts ... https://t.co/04UNIOItu</v>
      </c>
    </row>
    <row r="19393" spans="1:5" ht="15" customHeight="1" x14ac:dyDescent="0.25">
      <c r="A19393" s="1" t="s">
        <v>37582</v>
      </c>
      <c r="B19393" s="1">
        <v>0</v>
      </c>
      <c r="C19393" s="3">
        <v>44551.424930555557</v>
      </c>
      <c r="D19393" s="1" t="s">
        <v>37734</v>
      </c>
      <c r="E19393" s="4" t="str">
        <f ca="1">IFERROR(__xludf.DUMMYFUNCTION("GOOGLETRANSLATE(A2196 , ""tr"" , ""en"")"),"RT @EbruzeBon: @drfahrettinka I would like to remind the situation in schools. The measures taken in the time protects more #cataroglundanonlineli")</f>
        <v>RT @EbruzeBon: @drfahrettinka I would like to remind the situation in schools. The measures taken in the time protects more #cataroglundanonlineli</v>
      </c>
    </row>
    <row r="19394" spans="1:5" ht="15" customHeight="1" x14ac:dyDescent="0.25">
      <c r="A19394" s="1" t="s">
        <v>37735</v>
      </c>
      <c r="B19394" s="1">
        <v>0</v>
      </c>
      <c r="C19394" s="3">
        <v>44551.424421296295</v>
      </c>
      <c r="D19394" s="1" t="s">
        <v>37736</v>
      </c>
      <c r="E19394" s="4" t="str">
        <f ca="1">IFERROR(__xludf.DUMMYFUNCTION("GOOGLETRANSLATE(A2197 , ""tr"" , ""en"")"),"@drfahrettinkoca We took my father to Ankara Gülhane Emergency with complaints such as vomiting, trembling. During waiting my dad ... https://t.co/pou9ojr75l")</f>
        <v>@drfahrettinkoca We took my father to Ankara Gülhane Emergency with complaints such as vomiting, trembling. During waiting my dad ... https://t.co/pou9ojr75l</v>
      </c>
    </row>
    <row r="19395" spans="1:5" ht="15" customHeight="1" x14ac:dyDescent="0.25">
      <c r="A19395" s="1" t="s">
        <v>37737</v>
      </c>
      <c r="B19395" s="1">
        <v>0</v>
      </c>
      <c r="C19395" s="3">
        <v>44551.421712962961</v>
      </c>
      <c r="D19395" s="1" t="s">
        <v>37738</v>
      </c>
      <c r="E19395" s="4" t="str">
        <f ca="1">IFERROR(__xludf.DUMMYFUNCTION("GOOGLETRANSLATE(A2198 , ""tr"" , ""en"")"),"@drfahrettinkoca is not enough? https://t.co/O4NINUH80E")</f>
        <v>@drfahrettinkoca is not enough? https://t.co/O4NINUH80E</v>
      </c>
    </row>
    <row r="19396" spans="1:5" ht="15" customHeight="1" x14ac:dyDescent="0.25">
      <c r="A19396" s="1" t="s">
        <v>37435</v>
      </c>
      <c r="B19396" s="1">
        <v>0</v>
      </c>
      <c r="C19396" s="3">
        <v>44551.416331018518</v>
      </c>
      <c r="D19396" s="1" t="s">
        <v>37739</v>
      </c>
      <c r="E19396" s="4" t="str">
        <f ca="1">IFERROR(__xludf.DUMMYFUNCTION("GOOGLETRANSLATE(A2199 , ""tr"" , ""en"")"),"Rt @gungorguvener: @drfahrettinkoca @tcmeb What do we understand what you expect ?????")</f>
        <v>Rt @gungorguvener: @drfahrettinkoca @tcmeb What do we understand what you expect ?????</v>
      </c>
    </row>
    <row r="19397" spans="1:5" ht="15" customHeight="1" x14ac:dyDescent="0.25">
      <c r="A19397" s="1" t="s">
        <v>37740</v>
      </c>
      <c r="B19397" s="1">
        <v>2</v>
      </c>
      <c r="C19397" s="3">
        <v>44551.415775462963</v>
      </c>
      <c r="D19397" s="1" t="s">
        <v>37741</v>
      </c>
      <c r="E19397" s="4" t="str">
        <f ca="1">IFERROR(__xludf.DUMMYFUNCTION("GOOGLETRANSLATE(A2200 , ""tr"" , ""en"")"),"@drfahrettinkoca @cholaru_ @saglikbakanligi https://t.co/7LHYMEAIVE")</f>
        <v>@drfahrettinkoca @cholaru_ @saglikbakanligi https://t.co/7LHYMEAIVE</v>
      </c>
    </row>
    <row r="19398" spans="1:5" ht="15" customHeight="1" x14ac:dyDescent="0.25">
      <c r="A19398" s="1" t="s">
        <v>37435</v>
      </c>
      <c r="B19398" s="1">
        <v>0</v>
      </c>
      <c r="C19398" s="3">
        <v>44551.414236111108</v>
      </c>
      <c r="D19398" s="1" t="s">
        <v>37742</v>
      </c>
      <c r="E19398" s="4" t="str">
        <f ca="1">IFERROR(__xludf.DUMMYFUNCTION("GOOGLETRANSLATE(A2201 , ""tr"" , ""en"")"),"Rt @gungorguvener: @drfahrettinkoca @tcmeb What do we understand what you expect ?????")</f>
        <v>Rt @gungorguvener: @drfahrettinkoca @tcmeb What do we understand what you expect ?????</v>
      </c>
    </row>
    <row r="19399" spans="1:5" ht="15" customHeight="1" x14ac:dyDescent="0.25">
      <c r="A19399" s="1" t="s">
        <v>37416</v>
      </c>
      <c r="B19399" s="1">
        <v>0</v>
      </c>
      <c r="C19399" s="3">
        <v>44551.409386574072</v>
      </c>
      <c r="D19399" s="1" t="s">
        <v>37743</v>
      </c>
      <c r="E19399" s="4" t="str">
        <f ca="1">IFERROR(__xludf.DUMMYFUNCTION("GOOGLETRANSLATE(A2202 , ""tr"" , ""en"")"),"RT @lordsjsx: @drfahrettinkoca DSO You have written as 34 thousand cases Why make 18 thousand statements.!")</f>
        <v>RT @lordsjsx: @drfahrettinkoca DSO You have written as 34 thousand cases Why make 18 thousand statements.!</v>
      </c>
    </row>
    <row r="19400" spans="1:5" ht="15" customHeight="1" x14ac:dyDescent="0.25">
      <c r="A19400" s="1" t="s">
        <v>37744</v>
      </c>
      <c r="B19400" s="1">
        <v>6</v>
      </c>
      <c r="C19400" s="3">
        <v>44551.40625</v>
      </c>
      <c r="D19400" s="1" t="s">
        <v>37745</v>
      </c>
      <c r="E19400" s="4" t="str">
        <f ca="1">IFERROR(__xludf.DUMMYFUNCTION("GOOGLETRANSLATE(A2203 , ""tr"" , ""en"")"),"@drfahrettinkoca @tcmeb What do you understand what you expect ????? https://t.co/a3mazg2shz")</f>
        <v>@drfahrettinkoca @tcmeb What do you understand what you expect ????? https://t.co/a3mazg2shz</v>
      </c>
    </row>
    <row r="19401" spans="1:5" ht="15" customHeight="1" x14ac:dyDescent="0.25">
      <c r="A19401" s="1" t="s">
        <v>37746</v>
      </c>
      <c r="B19401" s="1">
        <v>0</v>
      </c>
      <c r="C19401" s="3">
        <v>44551.405682870369</v>
      </c>
      <c r="D19401" s="1" t="s">
        <v>37747</v>
      </c>
      <c r="E19401" s="4" t="str">
        <f ca="1">IFERROR(__xludf.DUMMYFUNCTION("GOOGLETRANSLATE(A2204 , ""tr"" , ""en"")"),"RT @ Evahawa4: @drfahrettinkoca ONLINE Training Gelsiyiiiiiiiiiiiiinnnnnnnnnnnnnnnnnnn")</f>
        <v>RT @ Evahawa4: @drfahrettinkoca ONLINE Training Gelsiyiiiiiiiiiiiiinnnnnnnnnnnnnnnnnnn</v>
      </c>
    </row>
    <row r="19402" spans="1:5" ht="15" customHeight="1" x14ac:dyDescent="0.25">
      <c r="A19402" s="1" t="s">
        <v>37582</v>
      </c>
      <c r="B19402" s="1">
        <v>0</v>
      </c>
      <c r="C19402" s="3">
        <v>44551.401226851849</v>
      </c>
      <c r="D19402" s="1" t="s">
        <v>37748</v>
      </c>
      <c r="E19402" s="4" t="str">
        <f ca="1">IFERROR(__xludf.DUMMYFUNCTION("GOOGLETRANSLATE(A2205 , ""tr"" , ""en"")"),"RT @EbruzeBon: @drfahrettinka I would like to remind the situation in schools. The measures taken in the time protects more #cataroglundanonlineli")</f>
        <v>RT @EbruzeBon: @drfahrettinka I would like to remind the situation in schools. The measures taken in the time protects more #cataroglundanonlineli</v>
      </c>
    </row>
    <row r="19403" spans="1:5" ht="15" customHeight="1" x14ac:dyDescent="0.25">
      <c r="A19403" s="1" t="s">
        <v>37749</v>
      </c>
      <c r="B19403" s="1">
        <v>0</v>
      </c>
      <c r="C19403" s="3">
        <v>44551.401145833333</v>
      </c>
      <c r="D19403" s="1" t="s">
        <v>37750</v>
      </c>
      <c r="E19403" s="4" t="str">
        <f ca="1">IFERROR(__xludf.DUMMYFUNCTION("GOOGLETRANSLATE(A2206 , ""tr"" , ""en"")"),"@drfahrettinkoca can you autopsy if you can take off your daring and heart and DSO? Look Tests NEGATIFUDED HOD ... https://t.co/gsvhagohuf")</f>
        <v>@drfahrettinkoca can you autopsy if you can take off your daring and heart and DSO? Look Tests NEGATIFUDED HOD ... https://t.co/gsvhagohuf</v>
      </c>
    </row>
    <row r="19404" spans="1:5" ht="15" customHeight="1" x14ac:dyDescent="0.25">
      <c r="A19404" s="1" t="s">
        <v>37751</v>
      </c>
      <c r="B19404" s="1">
        <v>0</v>
      </c>
      <c r="C19404" s="3">
        <v>44551.389490740738</v>
      </c>
      <c r="D19404" s="1" t="s">
        <v>37752</v>
      </c>
      <c r="E19404" s="4" t="str">
        <f ca="1">IFERROR(__xludf.DUMMYFUNCTION("GOOGLETRANSLATE(A2207 , ""tr"" , ""en"")"),"@drfahrettinka https://t.co/uzwlzRIHHE")</f>
        <v>@drfahrettinka https://t.co/uzwlzRIHHE</v>
      </c>
    </row>
    <row r="19405" spans="1:5" ht="15" customHeight="1" x14ac:dyDescent="0.25">
      <c r="A19405" s="1" t="s">
        <v>37753</v>
      </c>
      <c r="B19405" s="1">
        <v>0</v>
      </c>
      <c r="C19405" s="3">
        <v>44551.381261574075</v>
      </c>
      <c r="D19405" s="1" t="s">
        <v>37754</v>
      </c>
      <c r="E19405" s="4" t="str">
        <f ca="1">IFERROR(__xludf.DUMMYFUNCTION("GOOGLETRANSLATE(A2208 , ""tr"" , ""en"")"),"@drfahrettinkoca @ mehmetceyhan23 @drzekibay @bengibaser @serapsimsekyvz @tcmeb @saglikbakanligi @ Sagliklicozum ... https://t.co/k9o6hvzxbj")</f>
        <v>@drfahrettinkoca @ mehmetceyhan23 @drzekibay @bengibaser @serapsimsekyvz @tcmeb @saglikbakanligi @ Sagliklicozum ... https://t.co/k9o6hvzxbj</v>
      </c>
    </row>
    <row r="19406" spans="1:5" ht="15" customHeight="1" x14ac:dyDescent="0.25">
      <c r="A19406" s="1" t="s">
        <v>37755</v>
      </c>
      <c r="B19406" s="1">
        <v>0</v>
      </c>
      <c r="C19406" s="3">
        <v>44551.380960648145</v>
      </c>
      <c r="D19406" s="1" t="s">
        <v>37756</v>
      </c>
      <c r="E19406" s="4" t="str">
        <f ca="1">IFERROR(__xludf.DUMMYFUNCTION("GOOGLETRANSLATE(A2209 , ""tr"" , ""en"")"),"@drfahrettinkoca @ mehmetceyhan23 @drzekibay @bengibaser @serapsimsekyvz @tcmeb @saglikbakanligi @ Sagliklicozum ... https://t.co/qfmrv0hgki")</f>
        <v>@drfahrettinkoca @ mehmetceyhan23 @drzekibay @bengibaser @serapsimsekyvz @tcmeb @saglikbakanligi @ Sagliklicozum ... https://t.co/qfmrv0hgki</v>
      </c>
    </row>
    <row r="19407" spans="1:5" ht="15" customHeight="1" x14ac:dyDescent="0.25">
      <c r="A19407" s="1" t="s">
        <v>37757</v>
      </c>
      <c r="B19407" s="1">
        <v>0</v>
      </c>
      <c r="C19407" s="3">
        <v>44551.378333333334</v>
      </c>
      <c r="D19407" s="1" t="s">
        <v>37758</v>
      </c>
      <c r="E19407" s="4" t="str">
        <f ca="1">IFERROR(__xludf.DUMMYFUNCTION("GOOGLETRANSLATE(A2210 , ""tr"" , ""en"")"),"@drfahrettinkoca aren't you die going to the state ???? You have revolutionized in health, aren't you ??? What is 3 Ayyy Yahuuuuu ... https://t.co/FQYRDIYED4")</f>
        <v>@drfahrettinkoca aren't you die going to the state ???? You have revolutionized in health, aren't you ??? What is 3 Ayyy Yahuuuuu ... https://t.co/FQYRDIYED4</v>
      </c>
    </row>
    <row r="19408" spans="1:5" ht="15" customHeight="1" x14ac:dyDescent="0.25">
      <c r="A19408" s="1" t="s">
        <v>37759</v>
      </c>
      <c r="B19408" s="1">
        <v>0</v>
      </c>
      <c r="C19408" s="3">
        <v>44551.375023148146</v>
      </c>
      <c r="D19408" s="1" t="s">
        <v>37760</v>
      </c>
      <c r="E19408" s="4" t="str">
        <f ca="1">IFERROR(__xludf.DUMMYFUNCTION("GOOGLETRANSLATE(A2211 , ""tr"" , ""en"")"),"RT @Kubraatsd: @drfahrettinkoca you don't call you Z generos we should not decide the correct cases, and you have to come online online ...")</f>
        <v>RT @Kubraatsd: @drfahrettinkoca you don't call you Z generos we should not decide the correct cases, and you have to come online online ...</v>
      </c>
    </row>
    <row r="19409" spans="1:5" ht="15" customHeight="1" x14ac:dyDescent="0.25">
      <c r="A19409" s="1" t="s">
        <v>37761</v>
      </c>
      <c r="B19409" s="1">
        <v>0</v>
      </c>
      <c r="C19409" s="3">
        <v>44551.370509259257</v>
      </c>
      <c r="D19409" s="1" t="s">
        <v>37762</v>
      </c>
      <c r="E19409" s="4" t="str">
        <f ca="1">IFERROR(__xludf.DUMMYFUNCTION("GOOGLETRANSLATE(A2212 , ""tr"" , ""en"")"),"RT @msmervechan: @drfahrettinka Mr. Minister, we do not hear this style news and information for the first time, is the inside of the man. Come on Death Right. Barely…")</f>
        <v>RT @msmervechan: @drfahrettinka Mr. Minister, we do not hear this style news and information for the first time, is the inside of the man. Come on Death Right. Barely…</v>
      </c>
    </row>
    <row r="19410" spans="1:5" ht="15" customHeight="1" x14ac:dyDescent="0.25">
      <c r="A19410" s="1" t="s">
        <v>37763</v>
      </c>
      <c r="B19410" s="1">
        <v>0</v>
      </c>
      <c r="C19410" s="3">
        <v>44551.36959490741</v>
      </c>
      <c r="D19410" s="1" t="s">
        <v>37764</v>
      </c>
      <c r="E19410" s="4" t="str">
        <f ca="1">IFERROR(__xludf.DUMMYFUNCTION("GOOGLETRANSLATE(A2213 , ""tr"" , ""en"")"),"RT @emine_urun: @drfahrettinkoca so let's say 3 months after time is over a few days reminder (!) Didn't do the dose, then we die? You have found ...")</f>
        <v>RT @emine_urun: @drfahrettinkoca so let's say 3 months after time is over a few days reminder (!) Didn't do the dose, then we die? You have found ...</v>
      </c>
    </row>
    <row r="19411" spans="1:5" ht="15" customHeight="1" x14ac:dyDescent="0.25">
      <c r="A19411" s="1" t="s">
        <v>37765</v>
      </c>
      <c r="B19411" s="1">
        <v>0</v>
      </c>
      <c r="C19411" s="3">
        <v>44551.369085648148</v>
      </c>
      <c r="D19411" s="1" t="s">
        <v>37766</v>
      </c>
      <c r="E19411" s="4" t="str">
        <f ca="1">IFERROR(__xludf.DUMMYFUNCTION("GOOGLETRANSLATE(A2214 , ""tr"" , ""en"")"),"RT @satikartas_: @drfahrettinka @drfahrettinka @saglikbakanligi In isolation, Mobing is imposed by applying @ who / @ saglikbakanligi ""PCR tests ...")</f>
        <v>RT @satikartas_: @drfahrettinka @drfahrettinka @saglikbakanligi In isolation, Mobing is imposed by applying @ who / @ saglikbakanligi "PCR tests ...</v>
      </c>
    </row>
    <row r="19412" spans="1:5" ht="15" customHeight="1" x14ac:dyDescent="0.25">
      <c r="A19412" s="1" t="s">
        <v>37767</v>
      </c>
      <c r="B19412" s="1">
        <v>0</v>
      </c>
      <c r="C19412" s="3">
        <v>44551.368969907409</v>
      </c>
      <c r="D19412" s="1" t="s">
        <v>37768</v>
      </c>
      <c r="E19412" s="4" t="str">
        <f ca="1">IFERROR(__xludf.DUMMYFUNCTION("GOOGLETRANSLATE(A2215 , ""tr"" , ""en"")"),"RT @satikartas_: @drfahrettinkoca @drfahrettinkoca @saglikbakanligi is not composed of proven vaccines / is not difficult to enforce and repeat each year ...")</f>
        <v>RT @satikartas_: @drfahrettinkoca @drfahrettinkoca @saglikbakanligi is not composed of proven vaccines / is not difficult to enforce and repeat each year ...</v>
      </c>
    </row>
    <row r="19413" spans="1:5" ht="15" customHeight="1" x14ac:dyDescent="0.25">
      <c r="A19413" s="1" t="s">
        <v>37769</v>
      </c>
      <c r="B19413" s="1">
        <v>0</v>
      </c>
      <c r="C19413" s="3">
        <v>44551.354421296295</v>
      </c>
      <c r="D19413" s="1" t="s">
        <v>37770</v>
      </c>
      <c r="E19413" s="4" t="str">
        <f ca="1">IFERROR(__xludf.DUMMYFUNCTION("GOOGLETRANSLATE(A2216 , ""tr"" , ""en"")"),"@drfahrettinkoca We don't give money at State Hospital, such bi practice")</f>
        <v>@drfahrettinkoca We don't give money at State Hospital, such bi practice</v>
      </c>
    </row>
    <row r="19414" spans="1:5" ht="15" customHeight="1" x14ac:dyDescent="0.25">
      <c r="A19414" s="1" t="s">
        <v>37636</v>
      </c>
      <c r="B19414" s="1">
        <v>0</v>
      </c>
      <c r="C19414" s="3">
        <v>44551.349918981483</v>
      </c>
      <c r="D19414" s="1" t="s">
        <v>37771</v>
      </c>
      <c r="E19414" s="4" t="str">
        <f ca="1">IFERROR(__xludf.DUMMYFUNCTION("GOOGLETRANSLATE(A2217 , ""tr"" , ""en"")"),"Rt @ emrekut64833568: @drfahrettinkoca remote egitim Sart # CappRaroglundanonlinelitim")</f>
        <v>Rt @ emrekut64833568: @drfahrettinkoca remote egitim Sart # CappRaroglundanonlinelitim</v>
      </c>
    </row>
    <row r="19415" spans="1:5" ht="15" customHeight="1" x14ac:dyDescent="0.25">
      <c r="A19415" s="1" t="s">
        <v>37772</v>
      </c>
      <c r="B19415" s="1">
        <v>0</v>
      </c>
      <c r="C19415" s="3">
        <v>44551.349895833337</v>
      </c>
      <c r="D19415" s="1" t="s">
        <v>37773</v>
      </c>
      <c r="E19415" s="4" t="str">
        <f ca="1">IFERROR(__xludf.DUMMYFUNCTION("GOOGLETRANSLATE(A2218 , ""tr"" , ""en"")"),"RT @camurcu_seyit: @drfahrettinka you are making fun of this nation either we will also make fun of it when it's time to be with you?")</f>
        <v>RT @camurcu_seyit: @drfahrettinka you are making fun of this nation either we will also make fun of it when it's time to be with you?</v>
      </c>
    </row>
    <row r="19416" spans="1:5" ht="15" customHeight="1" x14ac:dyDescent="0.25">
      <c r="A19416" s="1" t="s">
        <v>37774</v>
      </c>
      <c r="B19416" s="1">
        <v>0</v>
      </c>
      <c r="C19416" s="3">
        <v>44551.348668981482</v>
      </c>
      <c r="D19416" s="1" t="s">
        <v>37775</v>
      </c>
      <c r="E19416" s="4" t="str">
        <f ca="1">IFERROR(__xludf.DUMMYFUNCTION("GOOGLETRANSLATE(A2219 , ""tr"" , ""en"")"),"RT @ zgrtaa2: @drfahrettinkoca pawn you. Who brought you to make you. Allah is the index of the index also @ drfahrettinkoc ...")</f>
        <v>RT @ zgrtaa2: @drfahrettinkoca pawn you. Who brought you to make you. Allah is the index of the index also @ drfahrettinkoc ...</v>
      </c>
    </row>
    <row r="19417" spans="1:5" ht="15" customHeight="1" x14ac:dyDescent="0.25">
      <c r="A19417" s="1" t="s">
        <v>37772</v>
      </c>
      <c r="B19417" s="1">
        <v>0</v>
      </c>
      <c r="C19417" s="3">
        <v>44551.348553240743</v>
      </c>
      <c r="D19417" s="1" t="s">
        <v>37776</v>
      </c>
      <c r="E19417" s="4" t="str">
        <f ca="1">IFERROR(__xludf.DUMMYFUNCTION("GOOGLETRANSLATE(A2220 , ""tr"" , ""en"")"),"RT @camurcu_seyit: @drfahrettinka you are making fun of this nation either we will also make fun of it when it's time to be with you?")</f>
        <v>RT @camurcu_seyit: @drfahrettinka you are making fun of this nation either we will also make fun of it when it's time to be with you?</v>
      </c>
    </row>
    <row r="19418" spans="1:5" ht="15" customHeight="1" x14ac:dyDescent="0.25">
      <c r="A19418" s="1" t="s">
        <v>37777</v>
      </c>
      <c r="B19418" s="1">
        <v>0</v>
      </c>
      <c r="C19418" s="3">
        <v>44551.348240740743</v>
      </c>
      <c r="D19418" s="1" t="s">
        <v>37778</v>
      </c>
      <c r="E19418" s="4" t="str">
        <f ca="1">IFERROR(__xludf.DUMMYFUNCTION("GOOGLETRANSLATE(A2221 , ""tr"" , ""en"")"),"RT @ dünyolyol81: @drfahrettinkoca 3. With the dose, the cases will be re-climbing here. Then the cases risen very ...")</f>
        <v>RT @ dünyolyol81: @drfahrettinkoca 3. With the dose, the cases will be re-climbing here. Then the cases risen very ...</v>
      </c>
    </row>
    <row r="19419" spans="1:5" ht="15" customHeight="1" x14ac:dyDescent="0.25">
      <c r="A19419" s="1" t="s">
        <v>37779</v>
      </c>
      <c r="B19419" s="1">
        <v>0</v>
      </c>
      <c r="C19419" s="3">
        <v>44551.346932870372</v>
      </c>
      <c r="D19419" s="1" t="s">
        <v>37780</v>
      </c>
      <c r="E19419" s="4" t="str">
        <f ca="1">IFERROR(__xludf.DUMMYFUNCTION("GOOGLETRANSLATE(A2222 , ""tr"" , ""en"")"),"RT @dalgaliididideniz: @drfahrettinkoca Rotate the following schools to remote education How many hours in our tongue is over 60 people clapmat")</f>
        <v>RT @dalgaliididideniz: @drfahrettinkoca Rotate the following schools to remote education How many hours in our tongue is over 60 people clapmat</v>
      </c>
    </row>
    <row r="19420" spans="1:5" ht="15" customHeight="1" x14ac:dyDescent="0.25">
      <c r="A19420" s="1" t="s">
        <v>37759</v>
      </c>
      <c r="B19420" s="1">
        <v>0</v>
      </c>
      <c r="C19420" s="3">
        <v>44551.342789351853</v>
      </c>
      <c r="D19420" s="1" t="s">
        <v>37781</v>
      </c>
      <c r="E19420" s="4" t="str">
        <f ca="1">IFERROR(__xludf.DUMMYFUNCTION("GOOGLETRANSLATE(A2223 , ""tr"" , ""en"")"),"RT @Kubraatsd: @drfahrettinkoca you don't call you Z generos we should not decide the correct cases, and you have to come online online ...")</f>
        <v>RT @Kubraatsd: @drfahrettinkoca you don't call you Z generos we should not decide the correct cases, and you have to come online online ...</v>
      </c>
    </row>
    <row r="19421" spans="1:5" ht="15" customHeight="1" x14ac:dyDescent="0.25">
      <c r="A19421" s="1" t="s">
        <v>37782</v>
      </c>
      <c r="B19421" s="1">
        <v>0</v>
      </c>
      <c r="C19421" s="3">
        <v>44551.337326388886</v>
      </c>
      <c r="D19421" s="1" t="s">
        <v>37783</v>
      </c>
      <c r="E19421" s="4" t="str">
        <f ca="1">IFERROR(__xludf.DUMMYFUNCTION("GOOGLETRANSLATE(A2224 , ""tr"" , ""en"")"),"RT @ FARAT24: @drfahrettinkoca I'm relying on our scenic people such researcher who defends natural life not to the DSÖ ...")</f>
        <v>RT @ FARAT24: @drfahrettinkoca I'm relying on our scenic people such researcher who defends natural life not to the DSÖ ...</v>
      </c>
    </row>
    <row r="19422" spans="1:5" ht="15" customHeight="1" x14ac:dyDescent="0.25">
      <c r="A19422" s="1" t="s">
        <v>37784</v>
      </c>
      <c r="B19422" s="1">
        <v>0</v>
      </c>
      <c r="C19422" s="3">
        <v>44551.336527777778</v>
      </c>
      <c r="D19422" s="1" t="s">
        <v>37785</v>
      </c>
      <c r="E19422" s="4" t="str">
        <f ca="1">IFERROR(__xludf.DUMMYFUNCTION("GOOGLETRANSLATE(A2225 , ""tr"" , ""en"")"),"RT @keleskeles: @drfahrettinkoca Dad is crawling in hospitals for 1 month. A diagnosis is placed and the treatment process is not started. Eagle Buzfü Yıldar ...")</f>
        <v>RT @keleskeles: @drfahrettinkoca Dad is crawling in hospitals for 1 month. A diagnosis is placed and the treatment process is not started. Eagle Buzfü Yıldar ...</v>
      </c>
    </row>
    <row r="19423" spans="1:5" ht="15" customHeight="1" x14ac:dyDescent="0.25">
      <c r="A19423" s="1" t="s">
        <v>37603</v>
      </c>
      <c r="B19423" s="1">
        <v>0</v>
      </c>
      <c r="C19423" s="3">
        <v>44551.336504629631</v>
      </c>
      <c r="D19423" s="1" t="s">
        <v>37786</v>
      </c>
      <c r="E19423" s="4" t="str">
        <f ca="1">IFERROR(__xludf.DUMMYFUNCTION("GOOGLETRANSLATE(A2226 , ""tr"" , ""en"")"),"Rt @ evahawa4: @drfahrettinka ditto you hear the same nonsense every day as the broken plaque. I'm leaving the follow-up of my head swelled ...")</f>
        <v>Rt @ evahawa4: @drfahrettinka ditto you hear the same nonsense every day as the broken plaque. I'm leaving the follow-up of my head swelled ...</v>
      </c>
    </row>
    <row r="19424" spans="1:5" ht="15" customHeight="1" x14ac:dyDescent="0.25">
      <c r="A19424" s="1" t="s">
        <v>37777</v>
      </c>
      <c r="B19424" s="1">
        <v>0</v>
      </c>
      <c r="C19424" s="3">
        <v>44551.335590277777</v>
      </c>
      <c r="D19424" s="1" t="s">
        <v>37787</v>
      </c>
      <c r="E19424" s="4" t="str">
        <f ca="1">IFERROR(__xludf.DUMMYFUNCTION("GOOGLETRANSLATE(A2227 , ""tr"" , ""en"")"),"RT @ dünyolyol81: @drfahrettinkoca 3. With the dose, the cases will be re-climbing here. Then the cases risen very ...")</f>
        <v>RT @ dünyolyol81: @drfahrettinkoca 3. With the dose, the cases will be re-climbing here. Then the cases risen very ...</v>
      </c>
    </row>
    <row r="19425" spans="1:5" ht="15" customHeight="1" x14ac:dyDescent="0.25">
      <c r="A19425" s="1" t="s">
        <v>37788</v>
      </c>
      <c r="B19425" s="1">
        <v>0</v>
      </c>
      <c r="C19425" s="3">
        <v>44551.335162037038</v>
      </c>
      <c r="D19425" s="1" t="s">
        <v>37789</v>
      </c>
      <c r="E19425" s="4" t="str">
        <f ca="1">IFERROR(__xludf.DUMMYFUNCTION("GOOGLETRANSLATE(A2228 , ""tr"" , ""en"")"),"RT @ KAANCEM33433371: @drfahrettinkoca cases 34 thousand or more than 18 thousand are you contradicting yourself. #Cashdaroğlundanonlineliti")</f>
        <v>RT @ KAANCEM33433371: @drfahrettinkoca cases 34 thousand or more than 18 thousand are you contradicting yourself. #Cashdaroğlundanonlineliti</v>
      </c>
    </row>
    <row r="19426" spans="1:5" ht="15" customHeight="1" x14ac:dyDescent="0.25">
      <c r="A19426" s="1" t="s">
        <v>37790</v>
      </c>
      <c r="B19426" s="1">
        <v>0</v>
      </c>
      <c r="C19426" s="3">
        <v>44551.335150462961</v>
      </c>
      <c r="D19426" s="1" t="s">
        <v>37791</v>
      </c>
      <c r="E19426" s="4" t="str">
        <f ca="1">IFERROR(__xludf.DUMMYFUNCTION("GOOGLETRANSLATE(A2229 , ""tr"" , ""en"")"),"RT @ derya26745389: @drfahrettinka you seriously joke or make fun of us @drfahrettinkoca")</f>
        <v>RT @ derya26745389: @drfahrettinka you seriously joke or make fun of us @drfahrettinkoca</v>
      </c>
    </row>
    <row r="19427" spans="1:5" ht="15" customHeight="1" x14ac:dyDescent="0.25">
      <c r="A19427" s="1" t="s">
        <v>37675</v>
      </c>
      <c r="B19427" s="1">
        <v>0</v>
      </c>
      <c r="C19427" s="3">
        <v>44551.335046296299</v>
      </c>
      <c r="D19427" s="1" t="s">
        <v>37792</v>
      </c>
      <c r="E19427" s="4" t="str">
        <f ca="1">IFERROR(__xludf.DUMMYFUNCTION("GOOGLETRANSLATE(A2230 , ""tr"" , ""en"")"),"Rt @ evahawa4: @drfahrettinkoca We don't believe it now to you.")</f>
        <v>Rt @ evahawa4: @drfahrettinkoca We don't believe it now to you.</v>
      </c>
    </row>
    <row r="19428" spans="1:5" ht="15" customHeight="1" x14ac:dyDescent="0.25">
      <c r="A19428" s="1" t="s">
        <v>37605</v>
      </c>
      <c r="B19428" s="1">
        <v>0</v>
      </c>
      <c r="C19428" s="3">
        <v>44551.33457175926</v>
      </c>
      <c r="D19428" s="1" t="s">
        <v>37793</v>
      </c>
      <c r="E19428" s="4" t="str">
        <f ca="1">IFERROR(__xludf.DUMMYFUNCTION("GOOGLETRANSLATE(A2231 , ""tr"" , ""en"")"),"RT @Ebruern: @drfahrettinkoca case / passenger numbers are fixed, measure and no rule. Then there is no need to publish. Grip = covit. Ice…")</f>
        <v>RT @Ebruern: @drfahrettinkoca case / passenger numbers are fixed, measure and no rule. Then there is no need to publish. Grip = covit. Ice…</v>
      </c>
    </row>
    <row r="19429" spans="1:5" ht="15" customHeight="1" x14ac:dyDescent="0.25">
      <c r="A19429" s="1" t="s">
        <v>37603</v>
      </c>
      <c r="B19429" s="1">
        <v>0</v>
      </c>
      <c r="C19429" s="3">
        <v>44551.334502314814</v>
      </c>
      <c r="D19429" s="1" t="s">
        <v>37794</v>
      </c>
      <c r="E19429" s="4" t="str">
        <f ca="1">IFERROR(__xludf.DUMMYFUNCTION("GOOGLETRANSLATE(A2232 , ""tr"" , ""en"")"),"Rt @ evahawa4: @drfahrettinka ditto you hear the same nonsense every day as the broken plaque. I'm leaving the follow-up of my head swelled ...")</f>
        <v>Rt @ evahawa4: @drfahrettinka ditto you hear the same nonsense every day as the broken plaque. I'm leaving the follow-up of my head swelled ...</v>
      </c>
    </row>
    <row r="19430" spans="1:5" ht="15" customHeight="1" x14ac:dyDescent="0.25">
      <c r="A19430" s="1" t="s">
        <v>37746</v>
      </c>
      <c r="B19430" s="1">
        <v>0</v>
      </c>
      <c r="C19430" s="3">
        <v>44551.334490740737</v>
      </c>
      <c r="D19430" s="1" t="s">
        <v>37795</v>
      </c>
      <c r="E19430" s="4" t="str">
        <f ca="1">IFERROR(__xludf.DUMMYFUNCTION("GOOGLETRANSLATE(A2233 , ""tr"" , ""en"")"),"RT @ Evahawa4: @drfahrettinkoca ONLINE Training Gelsiyiiiiiiiiiiiiinnnnnnnnnnnnnnnnnnn")</f>
        <v>RT @ Evahawa4: @drfahrettinkoca ONLINE Training Gelsiyiiiiiiiiiiiiinnnnnnnnnnnnnnnnnnn</v>
      </c>
    </row>
    <row r="19431" spans="1:5" ht="15" customHeight="1" x14ac:dyDescent="0.25">
      <c r="A19431" s="1" t="s">
        <v>37777</v>
      </c>
      <c r="B19431" s="1">
        <v>0</v>
      </c>
      <c r="C19431" s="3">
        <v>44551.333425925928</v>
      </c>
      <c r="D19431" s="1" t="s">
        <v>37796</v>
      </c>
      <c r="E19431" s="4" t="str">
        <f ca="1">IFERROR(__xludf.DUMMYFUNCTION("GOOGLETRANSLATE(A2234 , ""tr"" , ""en"")"),"RT @ dünyolyol81: @drfahrettinkoca 3. With the dose, the cases will be re-climbing here. Then the cases risen very ...")</f>
        <v>RT @ dünyolyol81: @drfahrettinkoca 3. With the dose, the cases will be re-climbing here. Then the cases risen very ...</v>
      </c>
    </row>
    <row r="19432" spans="1:5" ht="15" customHeight="1" x14ac:dyDescent="0.25">
      <c r="A19432" s="1" t="s">
        <v>37797</v>
      </c>
      <c r="B19432" s="1">
        <v>0</v>
      </c>
      <c r="C19432" s="3">
        <v>44551.332372685189</v>
      </c>
      <c r="D19432" s="1" t="s">
        <v>37798</v>
      </c>
      <c r="E19432" s="4" t="str">
        <f ca="1">IFERROR(__xludf.DUMMYFUNCTION("GOOGLETRANSLATE(A2235 , ""tr"" , ""en"")"),"@drfahrettinkoca #trustyouerdogan√ # wetrustyouerdogan√")</f>
        <v>@drfahrettinkoca #trustyouerdogan√ # wetrustyouerdogan√</v>
      </c>
    </row>
    <row r="19433" spans="1:5" ht="15" customHeight="1" x14ac:dyDescent="0.25">
      <c r="A19433" s="1" t="s">
        <v>37799</v>
      </c>
      <c r="B19433" s="1">
        <v>0</v>
      </c>
      <c r="C19433" s="3">
        <v>44551.329976851855</v>
      </c>
      <c r="D19433" s="1" t="s">
        <v>37800</v>
      </c>
      <c r="E19433" s="4" t="str">
        <f ca="1">IFERROR(__xludf.DUMMYFUNCTION("GOOGLETRANSLATE(A2236 , ""tr"" , ""en"")"),"RT @ Umut36928729: Since @drfahrettinkoca 2018, there is no appointment of disabled healthcare since 2018, no single step was taken ...")</f>
        <v>RT @ Umut36928729: Since @drfahrettinkoca 2018, there is no appointment of disabled healthcare since 2018, no single step was taken ...</v>
      </c>
    </row>
    <row r="19434" spans="1:5" ht="15" customHeight="1" x14ac:dyDescent="0.25">
      <c r="A19434" s="1" t="s">
        <v>37759</v>
      </c>
      <c r="B19434" s="1">
        <v>0</v>
      </c>
      <c r="C19434" s="3">
        <v>44551.320833333331</v>
      </c>
      <c r="D19434" s="1" t="s">
        <v>37801</v>
      </c>
      <c r="E19434" s="4" t="str">
        <f ca="1">IFERROR(__xludf.DUMMYFUNCTION("GOOGLETRANSLATE(A2237 , ""tr"" , ""en"")"),"RT @Kubraatsd: @drfahrettinkoca you don't call you Z generos we should not decide the correct cases, and you have to come online online ...")</f>
        <v>RT @Kubraatsd: @drfahrettinkoca you don't call you Z generos we should not decide the correct cases, and you have to come online online ...</v>
      </c>
    </row>
    <row r="19435" spans="1:5" ht="15" customHeight="1" x14ac:dyDescent="0.25">
      <c r="A19435" s="1" t="s">
        <v>37802</v>
      </c>
      <c r="B19435" s="1">
        <v>0</v>
      </c>
      <c r="C19435" s="3">
        <v>44551.320717592593</v>
      </c>
      <c r="D19435" s="1" t="s">
        <v>37803</v>
      </c>
      <c r="E19435" s="4" t="str">
        <f ca="1">IFERROR(__xludf.DUMMYFUNCTION("GOOGLETRANSLATE(A2238 , ""tr"" , ""en"")"),"Rt @kubraatsd: @drfahrettinkoca Come on explain how to explain how we are in jeopardizing what we are in jeopardizing #Insignificents https://t.co/l...")</f>
        <v>Rt @kubraatsd: @drfahrettinkoca Come on explain how to explain how we are in jeopardizing what we are in jeopardizing #Insignificents https://t.co/l...</v>
      </c>
    </row>
    <row r="19436" spans="1:5" ht="15" customHeight="1" x14ac:dyDescent="0.25">
      <c r="A19436" s="1" t="s">
        <v>37804</v>
      </c>
      <c r="B19436" s="1">
        <v>2</v>
      </c>
      <c r="C19436" s="3">
        <v>44551.315821759257</v>
      </c>
      <c r="D19436" s="1" t="s">
        <v>37805</v>
      </c>
      <c r="E19436" s="4" t="str">
        <f ca="1">IFERROR(__xludf.DUMMYFUNCTION("GOOGLETRANSLATE(A2239 , ""tr"" , ""en"")"),"@drfahrettinkoca Dad is crawling in hospitals for 1 month. A diagnosis is placed and the treatment process is not started. Eagle grace k ... https://t.co/g4v279jnmk")</f>
        <v>@drfahrettinkoca Dad is crawling in hospitals for 1 month. A diagnosis is placed and the treatment process is not started. Eagle grace k ... https://t.co/g4v279jnmk</v>
      </c>
    </row>
    <row r="19437" spans="1:5" ht="15" customHeight="1" x14ac:dyDescent="0.25">
      <c r="A19437" s="1" t="s">
        <v>37806</v>
      </c>
      <c r="B19437" s="1">
        <v>3</v>
      </c>
      <c r="C19437" s="3">
        <v>44551.309861111113</v>
      </c>
      <c r="D19437" s="1" t="s">
        <v>37807</v>
      </c>
      <c r="E19437" s="4" t="str">
        <f ca="1">IFERROR(__xludf.DUMMYFUNCTION("GOOGLETRANSLATE(A2240 , ""tr"" , ""en"")"),"@drfahrettinkoca @sainibirth @hakiskonf @turkiskonf @ hakantoy06 @mhp_bilgi @herkesicinchp @ akparti ... https://t.co/ood57l8t1o")</f>
        <v>@drfahrettinkoca @sainibirth @hakiskonf @turkiskonf @ hakantoy06 @mhp_bilgi @herkesicinchp @ akparti ... https://t.co/ood57l8t1o</v>
      </c>
    </row>
    <row r="19438" spans="1:5" ht="15" customHeight="1" x14ac:dyDescent="0.25">
      <c r="A19438" s="1" t="s">
        <v>37808</v>
      </c>
      <c r="B19438" s="1">
        <v>0</v>
      </c>
      <c r="C19438" s="3">
        <v>44551.294664351852</v>
      </c>
      <c r="D19438" s="1" t="s">
        <v>37809</v>
      </c>
      <c r="E19438" s="4" t="str">
        <f ca="1">IFERROR(__xludf.DUMMYFUNCTION("GOOGLETRANSLATE(A2241 , ""tr"" , ""en"")"),"@drfahrettinkoca What did you do for Omicron today?")</f>
        <v>@drfahrettinkoca What did you do for Omicron today?</v>
      </c>
    </row>
    <row r="19439" spans="1:5" ht="15" customHeight="1" x14ac:dyDescent="0.25">
      <c r="A19439" s="1" t="s">
        <v>37582</v>
      </c>
      <c r="B19439" s="1">
        <v>0</v>
      </c>
      <c r="C19439" s="3">
        <v>44551.29383101852</v>
      </c>
      <c r="D19439" s="1" t="s">
        <v>37810</v>
      </c>
      <c r="E19439" s="4" t="str">
        <f ca="1">IFERROR(__xludf.DUMMYFUNCTION("GOOGLETRANSLATE(A2242 , ""tr"" , ""en"")"),"RT @EbruzeBon: @drfahrettinka I would like to remind the situation in schools. The measures taken in the time protects more #cataroglundanonlineli")</f>
        <v>RT @EbruzeBon: @drfahrettinka I would like to remind the situation in schools. The measures taken in the time protects more #cataroglundanonlineli</v>
      </c>
    </row>
    <row r="19440" spans="1:5" ht="15" customHeight="1" x14ac:dyDescent="0.25">
      <c r="A19440" s="1" t="s">
        <v>37638</v>
      </c>
      <c r="B19440" s="1">
        <v>0</v>
      </c>
      <c r="C19440" s="3">
        <v>44551.291342592594</v>
      </c>
      <c r="D19440" s="1" t="s">
        <v>37811</v>
      </c>
      <c r="E19440" s="4" t="str">
        <f ca="1">IFERROR(__xludf.DUMMYFUNCTION("GOOGLETRANSLATE(A2243 , ""tr"" , ""en"")"),"RT @MEVLTGNYDN: @drfahrettinka Mr @drfahrettinkoca is how you have an answer to it as all the society we are wondering vaccine nides ...")</f>
        <v>RT @MEVLTGNYDN: @drfahrettinka Mr @drfahrettinkoca is how you have an answer to it as all the society we are wondering vaccine nides ...</v>
      </c>
    </row>
    <row r="19441" spans="1:5" ht="15" customHeight="1" x14ac:dyDescent="0.25">
      <c r="A19441" s="1" t="s">
        <v>37812</v>
      </c>
      <c r="B19441" s="1">
        <v>0</v>
      </c>
      <c r="C19441" s="3">
        <v>44551.287106481483</v>
      </c>
      <c r="D19441" s="1" t="s">
        <v>37813</v>
      </c>
      <c r="E19441" s="4" t="str">
        <f ca="1">IFERROR(__xludf.DUMMYFUNCTION("GOOGLETRANSLATE(A2244 , ""tr"" , ""en"")"),"@drfahrettinkoca 2 + 2 What will be the status of the extreme of the SLNOVAC in the effects of the effects of 3 dose on Biontech 3 ... https://t.co/el9fjucwti")</f>
        <v>@drfahrettinkoca 2 + 2 What will be the status of the extreme of the SLNOVAC in the effects of the effects of 3 dose on Biontech 3 ... https://t.co/el9fjucwti</v>
      </c>
    </row>
    <row r="19442" spans="1:5" ht="15" customHeight="1" x14ac:dyDescent="0.25">
      <c r="A19442" s="1" t="s">
        <v>37814</v>
      </c>
      <c r="B19442" s="1">
        <v>0</v>
      </c>
      <c r="C19442" s="3">
        <v>44551.282685185186</v>
      </c>
      <c r="D19442" s="1" t="s">
        <v>37815</v>
      </c>
      <c r="E19442" s="4" t="str">
        <f ca="1">IFERROR(__xludf.DUMMYFUNCTION("GOOGLETRANSLATE(A2245 , ""tr"" , ""en"")"),"@drfahrettinka https://t.co/ap4baguhjj")</f>
        <v>@drfahrettinka https://t.co/ap4baguhjj</v>
      </c>
    </row>
    <row r="19443" spans="1:5" ht="15" customHeight="1" x14ac:dyDescent="0.25">
      <c r="A19443" s="1" t="s">
        <v>37636</v>
      </c>
      <c r="B19443" s="1">
        <v>0</v>
      </c>
      <c r="C19443" s="3">
        <v>44551.273055555554</v>
      </c>
      <c r="D19443" s="1" t="s">
        <v>37816</v>
      </c>
      <c r="E19443" s="4" t="str">
        <f ca="1">IFERROR(__xludf.DUMMYFUNCTION("GOOGLETRANSLATE(A2246 , ""tr"" , ""en"")"),"Rt @ emrekut64833568: @drfahrettinkoca remote egitim Sart # CappRaroglundanonlinelitim")</f>
        <v>Rt @ emrekut64833568: @drfahrettinkoca remote egitim Sart # CappRaroglundanonlinelitim</v>
      </c>
    </row>
    <row r="19444" spans="1:5" ht="15" customHeight="1" x14ac:dyDescent="0.25">
      <c r="A19444" s="1" t="s">
        <v>37605</v>
      </c>
      <c r="B19444" s="1">
        <v>0</v>
      </c>
      <c r="C19444" s="3">
        <v>44551.273020833331</v>
      </c>
      <c r="D19444" s="1" t="s">
        <v>37817</v>
      </c>
      <c r="E19444" s="4" t="str">
        <f ca="1">IFERROR(__xludf.DUMMYFUNCTION("GOOGLETRANSLATE(A2247 , ""tr"" , ""en"")"),"RT @Ebruern: @drfahrettinkoca case / passenger numbers are fixed, measure and no rule. Then there is no need to publish. Grip = covit. Ice…")</f>
        <v>RT @Ebruern: @drfahrettinkoca case / passenger numbers are fixed, measure and no rule. Then there is no need to publish. Grip = covit. Ice…</v>
      </c>
    </row>
    <row r="19445" spans="1:5" ht="15" customHeight="1" x14ac:dyDescent="0.25">
      <c r="A19445" s="1" t="s">
        <v>37686</v>
      </c>
      <c r="B19445" s="1">
        <v>0</v>
      </c>
      <c r="C19445" s="3">
        <v>44551.272962962961</v>
      </c>
      <c r="D19445" s="1" t="s">
        <v>37818</v>
      </c>
      <c r="E19445" s="4" t="str">
        <f ca="1">IFERROR(__xludf.DUMMYFUNCTION("GOOGLETRANSLATE(A2248 , ""tr"" , ""en"")"),"RT @EbripRuern: @drfahrettinkoca is tied to vaccine such as corrupted plaque. How many children have been positively came to date? How many hospitals were drafted? ...")</f>
        <v>RT @EbripRuern: @drfahrettinkoca is tied to vaccine such as corrupted plaque. How many children have been positively came to date? How many hospitals were drafted? ...</v>
      </c>
    </row>
    <row r="19446" spans="1:5" ht="15" customHeight="1" x14ac:dyDescent="0.25">
      <c r="A19446" s="1" t="s">
        <v>37819</v>
      </c>
      <c r="B19446" s="1">
        <v>0</v>
      </c>
      <c r="C19446" s="3">
        <v>44551.268460648149</v>
      </c>
      <c r="D19446" s="1" t="s">
        <v>37820</v>
      </c>
      <c r="E19446" s="4" t="str">
        <f ca="1">IFERROR(__xludf.DUMMYFUNCTION("GOOGLETRANSLATE(A2249 , ""tr"" , ""en"")"),"RT @ Furkan22609959: @drfahrettinkoca Fraud Knee Length # Fayzirtepetaklak https://t.co/lxraggmnk3")</f>
        <v>RT @ Furkan22609959: @drfahrettinkoca Fraud Knee Length # Fayzirtepetaklak https://t.co/lxraggmnk3</v>
      </c>
    </row>
    <row r="19447" spans="1:5" ht="15" customHeight="1" x14ac:dyDescent="0.25">
      <c r="A19447" s="1" t="s">
        <v>37821</v>
      </c>
      <c r="B19447" s="1">
        <v>0</v>
      </c>
      <c r="C19447" s="3">
        <v>44551.258657407408</v>
      </c>
      <c r="D19447" s="1" t="s">
        <v>37822</v>
      </c>
      <c r="E19447" s="4" t="str">
        <f ca="1">IFERROR(__xludf.DUMMYFUNCTION("GOOGLETRANSLATE(A2250 , ""tr"" , ""en"")"),"@drfahrettinkoca @ jiimyy94 @Bsc_trader @METAKINGSAI #Solana #mtk #metakings #Metaverse")</f>
        <v>@drfahrettinkoca @ jiimyy94 @Bsc_trader @METAKINGSAI #Solana #mtk #metakings #Metaverse</v>
      </c>
    </row>
    <row r="19448" spans="1:5" ht="15" customHeight="1" x14ac:dyDescent="0.25">
      <c r="A19448" s="1" t="s">
        <v>37823</v>
      </c>
      <c r="B19448" s="1">
        <v>0</v>
      </c>
      <c r="C19448" s="3">
        <v>44551.254930555559</v>
      </c>
      <c r="D19448" s="1" t="s">
        <v>37824</v>
      </c>
      <c r="E19448" s="4" t="str">
        <f ca="1">IFERROR(__xludf.DUMMYFUNCTION("GOOGLETRANSLATE(A2251 , ""tr"" , ""en"")"),"Rt @kushimamerigo: @drfahrettinkoca Summary: If employees in my ministry do not misbehave, they can't do, do untoors. Live…")</f>
        <v>Rt @kushimamerigo: @drfahrettinkoca Summary: If employees in my ministry do not misbehave, they can't do, do untoors. Live…</v>
      </c>
    </row>
    <row r="19449" spans="1:5" ht="15" customHeight="1" x14ac:dyDescent="0.25">
      <c r="A19449" s="1" t="s">
        <v>37682</v>
      </c>
      <c r="B19449" s="1">
        <v>0</v>
      </c>
      <c r="C19449" s="3">
        <v>44551.251469907409</v>
      </c>
      <c r="D19449" s="1" t="s">
        <v>37825</v>
      </c>
      <c r="E19449" s="4" t="str">
        <f ca="1">IFERROR(__xludf.DUMMYFUNCTION("GOOGLETRANSLATE(A2252 , ""tr"" , ""en"")"),"RT @ derya26745389: @drfahrettinkoca lying like hubby @drfahrettinkoca")</f>
        <v>RT @ derya26745389: @drfahrettinkoca lying like hubby @drfahrettinkoca</v>
      </c>
    </row>
    <row r="19450" spans="1:5" ht="15" customHeight="1" x14ac:dyDescent="0.25">
      <c r="A19450" s="1" t="s">
        <v>37761</v>
      </c>
      <c r="B19450" s="1">
        <v>0</v>
      </c>
      <c r="C19450" s="3">
        <v>44551.239027777781</v>
      </c>
      <c r="D19450" s="1" t="s">
        <v>37826</v>
      </c>
      <c r="E19450" s="4" t="str">
        <f ca="1">IFERROR(__xludf.DUMMYFUNCTION("GOOGLETRANSLATE(A2253 , ""tr"" , ""en"")"),"RT @msmervechan: @drfahrettinka Mr. Minister, we do not hear this style news and information for the first time, is the inside of the man. Come on Death Right. Barely…")</f>
        <v>RT @msmervechan: @drfahrettinka Mr. Minister, we do not hear this style news and information for the first time, is the inside of the man. Come on Death Right. Barely…</v>
      </c>
    </row>
    <row r="19451" spans="1:5" ht="15" customHeight="1" x14ac:dyDescent="0.25">
      <c r="A19451" s="1" t="s">
        <v>37827</v>
      </c>
      <c r="B19451" s="1">
        <v>0</v>
      </c>
      <c r="C19451" s="3">
        <v>44551.238657407404</v>
      </c>
      <c r="D19451" s="1" t="s">
        <v>37828</v>
      </c>
      <c r="E19451" s="4" t="str">
        <f ca="1">IFERROR(__xludf.DUMMYFUNCTION("GOOGLETRANSLATE(A2254 , ""tr"" , ""en"")"),"RT @ PROF2RUN: @drfahrettinkoca Health Minister Leave him to try to try nano parts to biontech vaccines .. this also ta ...")</f>
        <v>RT @ PROF2RUN: @drfahrettinkoca Health Minister Leave him to try to try nano parts to biontech vaccines .. this also ta ...</v>
      </c>
    </row>
    <row r="19452" spans="1:5" ht="15" customHeight="1" x14ac:dyDescent="0.25">
      <c r="A19452" s="1" t="s">
        <v>37829</v>
      </c>
      <c r="B19452" s="1">
        <v>0</v>
      </c>
      <c r="C19452" s="3">
        <v>44551.237384259257</v>
      </c>
      <c r="D19452" s="1" t="s">
        <v>37830</v>
      </c>
      <c r="E19452" s="4" t="str">
        <f ca="1">IFERROR(__xludf.DUMMYFUNCTION("GOOGLETRANSLATE(A2255 , ""tr"" , ""en"")"),"RT @ Beyhanuar10: @drfahrettinkoca Does it protect the vaccine? How many dose dose protects after. Burd to the three-graft heavy spending coronans and the side effects ...")</f>
        <v>RT @ Beyhanuar10: @drfahrettinkoca Does it protect the vaccine? How many dose dose protects after. Burd to the three-graft heavy spending coronans and the side effects ...</v>
      </c>
    </row>
    <row r="19453" spans="1:5" ht="15" customHeight="1" x14ac:dyDescent="0.25">
      <c r="A19453" s="1" t="s">
        <v>37492</v>
      </c>
      <c r="B19453" s="1">
        <v>0</v>
      </c>
      <c r="C19453" s="3">
        <v>44551.234953703701</v>
      </c>
      <c r="D19453" s="1" t="s">
        <v>37831</v>
      </c>
      <c r="E19453" s="4" t="str">
        <f ca="1">IFERROR(__xludf.DUMMYFUNCTION("GOOGLETRANSLATE(A2256 , ""tr"" , ""en"")"),"RT @ akel0202: @drfahrettinka Mr. Ministry of ADIYAMAN 400 Bed State Hospital Due to the report called State Hospital Humani and my uncle son ...")</f>
        <v>RT @ akel0202: @drfahrettinka Mr. Ministry of ADIYAMAN 400 Bed State Hospital Due to the report called State Hospital Humani and my uncle son ...</v>
      </c>
    </row>
    <row r="19454" spans="1:5" ht="15" customHeight="1" x14ac:dyDescent="0.25">
      <c r="A19454" s="1" t="s">
        <v>37832</v>
      </c>
      <c r="B19454" s="1">
        <v>0</v>
      </c>
      <c r="C19454" s="3">
        <v>44551.227719907409</v>
      </c>
      <c r="D19454" s="1" t="s">
        <v>37833</v>
      </c>
      <c r="E19454" s="4" t="str">
        <f ca="1">IFERROR(__xludf.DUMMYFUNCTION("GOOGLETRANSLATE(A2257 , ""tr"" , ""en"")"),"RT @Audedisan: @drfahrettinka folks are crazy based insane. This day 2 ladies come with the trophy on the trophy I'm in them ...")</f>
        <v>RT @Audedisan: @drfahrettinka folks are crazy based insane. This day 2 ladies come with the trophy on the trophy I'm in them ...</v>
      </c>
    </row>
    <row r="19455" spans="1:5" ht="15" customHeight="1" x14ac:dyDescent="0.25">
      <c r="A19455" s="1" t="s">
        <v>37834</v>
      </c>
      <c r="B19455" s="1">
        <v>0</v>
      </c>
      <c r="C19455" s="3">
        <v>44551.224629629629</v>
      </c>
      <c r="D19455" s="1" t="s">
        <v>37835</v>
      </c>
      <c r="E19455" s="4" t="str">
        <f ca="1">IFERROR(__xludf.DUMMYFUNCTION("GOOGLETRANSLATE(A2258 , ""tr"" , ""en"")"),"RT @handantuncalp: @drfahrettinkoca Every day we hear the same numbers as if it is fixed, so our non-exhausting children in the 5-11 age group ...")</f>
        <v>RT @handantuncalp: @drfahrettinkoca Every day we hear the same numbers as if it is fixed, so our non-exhausting children in the 5-11 age group ...</v>
      </c>
    </row>
    <row r="19456" spans="1:5" ht="15" customHeight="1" x14ac:dyDescent="0.25">
      <c r="A19456" s="1" t="s">
        <v>37504</v>
      </c>
      <c r="B19456" s="1">
        <v>0</v>
      </c>
      <c r="C19456" s="3">
        <v>44551.224594907406</v>
      </c>
      <c r="D19456" s="1" t="s">
        <v>37836</v>
      </c>
      <c r="E19456" s="4" t="str">
        <f ca="1">IFERROR(__xludf.DUMMYFUNCTION("GOOGLETRANSLATE(A2259 , ""tr"" , ""en"")"),"RT @Uurcan_y: @drfahrettinkoca WHO Does it say? Someone is our case table and one of the other .. @drfahrettinkoca @ brioskurulu_ ...")</f>
        <v>RT @Uurcan_y: @drfahrettinkoca WHO Does it say? Someone is our case table and one of the other .. @drfahrettinkoca @ brioskurulu_ ...</v>
      </c>
    </row>
    <row r="19457" spans="1:5" ht="15" customHeight="1" x14ac:dyDescent="0.25">
      <c r="A19457" s="1" t="s">
        <v>37790</v>
      </c>
      <c r="B19457" s="1">
        <v>0</v>
      </c>
      <c r="C19457" s="3">
        <v>44551.224560185183</v>
      </c>
      <c r="D19457" s="1" t="s">
        <v>37837</v>
      </c>
      <c r="E19457" s="4" t="str">
        <f ca="1">IFERROR(__xludf.DUMMYFUNCTION("GOOGLETRANSLATE(A2260 , ""tr"" , ""en"")"),"RT @ derya26745389: @drfahrettinka you seriously joke or make fun of us @drfahrettinkoca")</f>
        <v>RT @ derya26745389: @drfahrettinka you seriously joke or make fun of us @drfahrettinkoca</v>
      </c>
    </row>
    <row r="19458" spans="1:5" ht="15" customHeight="1" x14ac:dyDescent="0.25">
      <c r="A19458" s="1" t="s">
        <v>37638</v>
      </c>
      <c r="B19458" s="1">
        <v>0</v>
      </c>
      <c r="C19458" s="3">
        <v>44551.224502314813</v>
      </c>
      <c r="D19458" s="1" t="s">
        <v>37838</v>
      </c>
      <c r="E19458" s="4" t="str">
        <f ca="1">IFERROR(__xludf.DUMMYFUNCTION("GOOGLETRANSLATE(A2261 , ""tr"" , ""en"")"),"RT @MEVLTGNYDN: @drfahrettinka Mr @drfahrettinkoca is how you have an answer to it as all the society we are wondering vaccine nides ...")</f>
        <v>RT @MEVLTGNYDN: @drfahrettinka Mr @drfahrettinkoca is how you have an answer to it as all the society we are wondering vaccine nides ...</v>
      </c>
    </row>
    <row r="19459" spans="1:5" ht="15" customHeight="1" x14ac:dyDescent="0.25">
      <c r="A19459" s="1" t="s">
        <v>37772</v>
      </c>
      <c r="B19459" s="1">
        <v>0</v>
      </c>
      <c r="C19459" s="3">
        <v>44551.220219907409</v>
      </c>
      <c r="D19459" s="1" t="s">
        <v>37839</v>
      </c>
      <c r="E19459" s="4" t="str">
        <f ca="1">IFERROR(__xludf.DUMMYFUNCTION("GOOGLETRANSLATE(A2262 , ""tr"" , ""en"")"),"RT @camurcu_seyit: @drfahrettinka you are making fun of this nation either we will also make fun of it when it's time to be with you?")</f>
        <v>RT @camurcu_seyit: @drfahrettinka you are making fun of this nation either we will also make fun of it when it's time to be with you?</v>
      </c>
    </row>
    <row r="19460" spans="1:5" ht="15" customHeight="1" x14ac:dyDescent="0.25">
      <c r="A19460" s="1" t="s">
        <v>37819</v>
      </c>
      <c r="B19460" s="1">
        <v>0</v>
      </c>
      <c r="C19460" s="3">
        <v>44551.213842592595</v>
      </c>
      <c r="D19460" s="1" t="s">
        <v>37840</v>
      </c>
      <c r="E19460" s="4" t="str">
        <f ca="1">IFERROR(__xludf.DUMMYFUNCTION("GOOGLETRANSLATE(A2263 , ""tr"" , ""en"")"),"RT @ Furkan22609959: @drfahrettinkoca Fraud Knee Length # Fayzirtepetaklak https://t.co/lxraggmnk3")</f>
        <v>RT @ Furkan22609959: @drfahrettinkoca Fraud Knee Length # Fayzirtepetaklak https://t.co/lxraggmnk3</v>
      </c>
    </row>
    <row r="19461" spans="1:5" ht="15" customHeight="1" x14ac:dyDescent="0.25">
      <c r="A19461" s="1" t="s">
        <v>37319</v>
      </c>
      <c r="B19461" s="1">
        <v>0</v>
      </c>
      <c r="C19461" s="3">
        <v>44551.21162037037</v>
      </c>
      <c r="D19461" s="1" t="s">
        <v>37841</v>
      </c>
      <c r="E19461" s="4" t="str">
        <f ca="1">IFERROR(__xludf.DUMMYFUNCTION("GOOGLETRANSLATE(A2264 , ""tr"" , ""en"")"),"RT @ Der1ki: @drfahrettinkoca 16 December 36 thousand cases? 19 December 34 thousand cases? https://t.co/he0ed8mi7q")</f>
        <v>RT @ Der1ki: @drfahrettinkoca 16 December 36 thousand cases? 19 December 34 thousand cases? https://t.co/he0ed8mi7q</v>
      </c>
    </row>
    <row r="19462" spans="1:5" ht="15" customHeight="1" x14ac:dyDescent="0.25">
      <c r="A19462" s="1" t="s">
        <v>37638</v>
      </c>
      <c r="B19462" s="1">
        <v>0</v>
      </c>
      <c r="C19462" s="3">
        <v>44551.206979166665</v>
      </c>
      <c r="D19462" s="1" t="s">
        <v>37842</v>
      </c>
      <c r="E19462" s="4" t="str">
        <f ca="1">IFERROR(__xludf.DUMMYFUNCTION("GOOGLETRANSLATE(A2265 , ""tr"" , ""en"")"),"RT @MEVLTGNYDN: @drfahrettinka Mr @drfahrettinkoca is how you have an answer to it as all the society we are wondering vaccine nides ...")</f>
        <v>RT @MEVLTGNYDN: @drfahrettinka Mr @drfahrettinkoca is how you have an answer to it as all the society we are wondering vaccine nides ...</v>
      </c>
    </row>
    <row r="19463" spans="1:5" ht="15" customHeight="1" x14ac:dyDescent="0.25">
      <c r="A19463" s="1" t="s">
        <v>37679</v>
      </c>
      <c r="B19463" s="1">
        <v>0</v>
      </c>
      <c r="C19463" s="3">
        <v>44551.200439814813</v>
      </c>
      <c r="D19463" s="1" t="s">
        <v>37843</v>
      </c>
      <c r="E19463" s="4" t="str">
        <f ca="1">IFERROR(__xludf.DUMMYFUNCTION("GOOGLETRANSLATE(A2266 , ""tr"" , ""en"")"),"RT @dxehrmn: @drfahrettinkoca promptly promptly training. If the case is 34 thousand, you are even more than even more.")</f>
        <v>RT @dxehrmn: @drfahrettinkoca promptly promptly training. If the case is 34 thousand, you are even more than even more.</v>
      </c>
    </row>
    <row r="19464" spans="1:5" ht="15" customHeight="1" x14ac:dyDescent="0.25">
      <c r="A19464" s="1" t="s">
        <v>37844</v>
      </c>
      <c r="B19464" s="1">
        <v>0</v>
      </c>
      <c r="C19464" s="3">
        <v>44551.199837962966</v>
      </c>
      <c r="D19464" s="1" t="s">
        <v>37845</v>
      </c>
      <c r="E19464" s="4" t="str">
        <f ca="1">IFERROR(__xludf.DUMMYFUNCTION("GOOGLETRANSLATE(A2267 , ""tr"" , ""en"")"),"Rt @ cemilcan5834: @drfahrettinka https://t.co/uj4qzcwu7w")</f>
        <v>Rt @ cemilcan5834: @drfahrettinka https://t.co/uj4qzcwu7w</v>
      </c>
    </row>
    <row r="19465" spans="1:5" ht="15" customHeight="1" x14ac:dyDescent="0.25">
      <c r="A19465" s="1" t="s">
        <v>37788</v>
      </c>
      <c r="B19465" s="1">
        <v>0</v>
      </c>
      <c r="C19465" s="3">
        <v>44551.198182870372</v>
      </c>
      <c r="D19465" s="1" t="s">
        <v>37846</v>
      </c>
      <c r="E19465" s="4" t="str">
        <f ca="1">IFERROR(__xludf.DUMMYFUNCTION("GOOGLETRANSLATE(A2268 , ""tr"" , ""en"")"),"RT @ KAANCEM33433371: @drfahrettinkoca cases 34 thousand or more than 18 thousand are you contradicting yourself. #Cashdaroğlundanonlineliti")</f>
        <v>RT @ KAANCEM33433371: @drfahrettinkoca cases 34 thousand or more than 18 thousand are you contradicting yourself. #Cashdaroğlundanonlineliti</v>
      </c>
    </row>
    <row r="19466" spans="1:5" ht="15" customHeight="1" x14ac:dyDescent="0.25">
      <c r="A19466" s="1" t="s">
        <v>37506</v>
      </c>
      <c r="B19466" s="1">
        <v>0</v>
      </c>
      <c r="C19466" s="3">
        <v>44551.197800925926</v>
      </c>
      <c r="D19466" s="1" t="s">
        <v>37847</v>
      </c>
      <c r="E19466" s="4" t="str">
        <f ca="1">IFERROR(__xludf.DUMMYFUNCTION("GOOGLETRANSLATE(A2269 , ""tr"" , ""en"")"),"Rt @uurcan_y: @drfahrettinkoca WHO Don't say so you don't say that you're stared https://t.co/6zrfe3uc5d")</f>
        <v>Rt @uurcan_y: @drfahrettinkoca WHO Don't say so you don't say that you're stared https://t.co/6zrfe3uc5d</v>
      </c>
    </row>
    <row r="19467" spans="1:5" ht="15" customHeight="1" x14ac:dyDescent="0.25">
      <c r="A19467" s="1" t="s">
        <v>37844</v>
      </c>
      <c r="B19467" s="1">
        <v>0</v>
      </c>
      <c r="C19467" s="3">
        <v>44551.197048611109</v>
      </c>
      <c r="D19467" s="1" t="s">
        <v>37848</v>
      </c>
      <c r="E19467" s="4" t="str">
        <f ca="1">IFERROR(__xludf.DUMMYFUNCTION("GOOGLETRANSLATE(A2270 , ""tr"" , ""en"")"),"Rt @ cemilcan5834: @drfahrettinka https://t.co/uj4qzcwu7w")</f>
        <v>Rt @ cemilcan5834: @drfahrettinka https://t.co/uj4qzcwu7w</v>
      </c>
    </row>
    <row r="19468" spans="1:5" ht="15" customHeight="1" x14ac:dyDescent="0.25">
      <c r="A19468" s="1" t="s">
        <v>37849</v>
      </c>
      <c r="B19468" s="1">
        <v>0</v>
      </c>
      <c r="C19468" s="3">
        <v>44551.196921296294</v>
      </c>
      <c r="D19468" s="1" t="s">
        <v>37850</v>
      </c>
      <c r="E19468" s="4" t="str">
        <f ca="1">IFERROR(__xludf.DUMMYFUNCTION("GOOGLETRANSLATE(A2271 , ""tr"" , ""en"")"),"Rt @ cemilcan5834: @drfahrettinka https://t.co/DIG4PV5Q2N")</f>
        <v>Rt @ cemilcan5834: @drfahrettinka https://t.co/DIG4PV5Q2N</v>
      </c>
    </row>
    <row r="19469" spans="1:5" ht="15" customHeight="1" x14ac:dyDescent="0.25">
      <c r="A19469" s="1" t="s">
        <v>37311</v>
      </c>
      <c r="B19469" s="1">
        <v>0</v>
      </c>
      <c r="C19469" s="3">
        <v>44551.192766203705</v>
      </c>
      <c r="D19469" s="1" t="s">
        <v>37851</v>
      </c>
      <c r="E19469" s="4" t="str">
        <f ca="1">IFERROR(__xludf.DUMMYFUNCTION("GOOGLETRANSLATE(A2272 , ""tr"" , ""en"")"),"RT @busbusenn: @drfahrettinkoca Who is this who is anymore? https://t.co/9wslpq9ugu")</f>
        <v>RT @busbusenn: @drfahrettinkoca Who is this who is anymore? https://t.co/9wslpq9ugu</v>
      </c>
    </row>
    <row r="19470" spans="1:5" ht="15" customHeight="1" x14ac:dyDescent="0.25">
      <c r="A19470" s="1" t="s">
        <v>37819</v>
      </c>
      <c r="B19470" s="1">
        <v>0</v>
      </c>
      <c r="C19470" s="3">
        <v>44551.192465277774</v>
      </c>
      <c r="D19470" s="1" t="s">
        <v>37852</v>
      </c>
      <c r="E19470" s="4" t="str">
        <f ca="1">IFERROR(__xludf.DUMMYFUNCTION("GOOGLETRANSLATE(A2273 , ""tr"" , ""en"")"),"RT @ Furkan22609959: @drfahrettinkoca Fraud Knee Length # Fayzirtepetaklak https://t.co/lxraggmnk3")</f>
        <v>RT @ Furkan22609959: @drfahrettinkoca Fraud Knee Length # Fayzirtepetaklak https://t.co/lxraggmnk3</v>
      </c>
    </row>
    <row r="19471" spans="1:5" ht="15" customHeight="1" x14ac:dyDescent="0.25">
      <c r="A19471" s="1" t="s">
        <v>37819</v>
      </c>
      <c r="B19471" s="1">
        <v>0</v>
      </c>
      <c r="C19471" s="3">
        <v>44551.189432870371</v>
      </c>
      <c r="D19471" s="1" t="s">
        <v>37853</v>
      </c>
      <c r="E19471" s="4" t="str">
        <f ca="1">IFERROR(__xludf.DUMMYFUNCTION("GOOGLETRANSLATE(A2274 , ""tr"" , ""en"")"),"RT @ Furkan22609959: @drfahrettinkoca Fraud Knee Length # Fayzirtepetaklak https://t.co/lxraggmnk3")</f>
        <v>RT @ Furkan22609959: @drfahrettinkoca Fraud Knee Length # Fayzirtepetaklak https://t.co/lxraggmnk3</v>
      </c>
    </row>
    <row r="19472" spans="1:5" ht="15" customHeight="1" x14ac:dyDescent="0.25">
      <c r="A19472" s="1" t="s">
        <v>37630</v>
      </c>
      <c r="B19472" s="1">
        <v>0</v>
      </c>
      <c r="C19472" s="3">
        <v>44551.184675925928</v>
      </c>
      <c r="D19472" s="1" t="s">
        <v>37854</v>
      </c>
      <c r="E19472" s="4" t="str">
        <f ca="1">IFERROR(__xludf.DUMMYFUNCTION("GOOGLETRANSLATE(A2275 , ""tr"" , ""en"")"),"RT @ DERYA26745389: @drfahrettinkoca #manykocerceklaklıkla None of the Explain What was the Omicron contained in Turkey in Turkey? ...")</f>
        <v>RT @ DERYA26745389: @drfahrettinkoca #manykocerceklaklıkla None of the Explain What was the Omicron contained in Turkey in Turkey? ...</v>
      </c>
    </row>
    <row r="19473" spans="1:5" ht="15" customHeight="1" x14ac:dyDescent="0.25">
      <c r="A19473" s="1" t="s">
        <v>37679</v>
      </c>
      <c r="B19473" s="1">
        <v>0</v>
      </c>
      <c r="C19473" s="3">
        <v>44551.178449074076</v>
      </c>
      <c r="D19473" s="1" t="s">
        <v>37855</v>
      </c>
      <c r="E19473" s="4" t="str">
        <f ca="1">IFERROR(__xludf.DUMMYFUNCTION("GOOGLETRANSLATE(A2276 , ""tr"" , ""en"")"),"RT @dxehrmn: @drfahrettinkoca promptly promptly training. If the case is 34 thousand, you are even more than even more.")</f>
        <v>RT @dxehrmn: @drfahrettinkoca promptly promptly training. If the case is 34 thousand, you are even more than even more.</v>
      </c>
    </row>
    <row r="19474" spans="1:5" ht="15" customHeight="1" x14ac:dyDescent="0.25">
      <c r="A19474" s="1" t="s">
        <v>37819</v>
      </c>
      <c r="B19474" s="1">
        <v>0</v>
      </c>
      <c r="C19474" s="3">
        <v>44551.177245370367</v>
      </c>
      <c r="D19474" s="1" t="s">
        <v>37856</v>
      </c>
      <c r="E19474" s="4" t="str">
        <f ca="1">IFERROR(__xludf.DUMMYFUNCTION("GOOGLETRANSLATE(A2277 , ""tr"" , ""en"")"),"RT @ Furkan22609959: @drfahrettinkoca Fraud Knee Length # Fayzirtepetaklak https://t.co/lxraggmnk3")</f>
        <v>RT @ Furkan22609959: @drfahrettinkoca Fraud Knee Length # Fayzirtepetaklak https://t.co/lxraggmnk3</v>
      </c>
    </row>
    <row r="19475" spans="1:5" ht="15" customHeight="1" x14ac:dyDescent="0.25">
      <c r="A19475" s="1" t="s">
        <v>37857</v>
      </c>
      <c r="B19475" s="1">
        <v>0</v>
      </c>
      <c r="C19475" s="3">
        <v>44551.176840277774</v>
      </c>
      <c r="D19475" s="1" t="s">
        <v>37858</v>
      </c>
      <c r="E19475" s="4" t="str">
        <f ca="1">IFERROR(__xludf.DUMMYFUNCTION("GOOGLETRANSLATE(A2278 , ""tr"" , ""en"")"),"RT @ FURKAN222609959: @drfahrettinkoca hill is close to the days you will be near # fayzirtepetaklak https://t.co/kpo6wajkge")</f>
        <v>RT @ FURKAN222609959: @drfahrettinkoca hill is close to the days you will be near # fayzirtepetaklak https://t.co/kpo6wajkge</v>
      </c>
    </row>
    <row r="19476" spans="1:5" ht="15" customHeight="1" x14ac:dyDescent="0.25">
      <c r="A19476" s="1" t="s">
        <v>37859</v>
      </c>
      <c r="B19476" s="1">
        <v>0</v>
      </c>
      <c r="C19476" s="3">
        <v>44551.167245370372</v>
      </c>
      <c r="D19476" s="1" t="s">
        <v>37860</v>
      </c>
      <c r="E19476" s="4" t="str">
        <f ca="1">IFERROR(__xludf.DUMMYFUNCTION("GOOGLETRANSLATE(A2279 , ""tr"" , ""en"")"),"RT @gngr_hsks: @drfahrettinkoca @drfahrettinkoca @drfahrettinka @saglikbakanligi One of your cameraman is a journalist who is a journalist who has a journalist ...")</f>
        <v>RT @gngr_hsks: @drfahrettinkoca @drfahrettinkoca @drfahrettinka @saglikbakanligi One of your cameraman is a journalist who is a journalist who has a journalist ...</v>
      </c>
    </row>
    <row r="19477" spans="1:5" ht="15" customHeight="1" x14ac:dyDescent="0.25">
      <c r="A19477" s="1" t="s">
        <v>37861</v>
      </c>
      <c r="B19477" s="1">
        <v>0</v>
      </c>
      <c r="C19477" s="3">
        <v>44551.167164351849</v>
      </c>
      <c r="D19477" s="1" t="s">
        <v>37862</v>
      </c>
      <c r="E19477" s="4" t="str">
        <f ca="1">IFERROR(__xludf.DUMMYFUNCTION("GOOGLETRANSLATE(A2280 , ""tr"" , ""en"")"),"RT @fatmazehraguner: @drfahrettinkoca is the same justice journalist in Muharram Sarikaya are expecting the only difference between the two ...")</f>
        <v>RT @fatmazehraguner: @drfahrettinkoca is the same justice journalist in Muharram Sarikaya are expecting the only difference between the two ...</v>
      </c>
    </row>
    <row r="19478" spans="1:5" ht="15" customHeight="1" x14ac:dyDescent="0.25">
      <c r="A19478" s="1" t="s">
        <v>37863</v>
      </c>
      <c r="B19478" s="1">
        <v>0</v>
      </c>
      <c r="C19478" s="3">
        <v>44551.166631944441</v>
      </c>
      <c r="D19478" s="1" t="s">
        <v>37864</v>
      </c>
      <c r="E19478" s="4" t="str">
        <f ca="1">IFERROR(__xludf.DUMMYFUNCTION("GOOGLETRANSLATE(A2281 , ""tr"" , ""en"")"),"RT @ierkn_: @drfahrettinkoca #Favipiravir medicine or after vaccine # Minnacial clots or starts the # malaria medicine, breathing etc. Wrong treatment ...")</f>
        <v>RT @ierkn_: @drfahrettinkoca #Favipiravir medicine or after vaccine # Minnacial clots or starts the # malaria medicine, breathing etc. Wrong treatment ...</v>
      </c>
    </row>
    <row r="19479" spans="1:5" ht="15" customHeight="1" x14ac:dyDescent="0.25">
      <c r="A19479" s="1" t="s">
        <v>37865</v>
      </c>
      <c r="B19479" s="1">
        <v>0</v>
      </c>
      <c r="C19479" s="3">
        <v>44551.165578703702</v>
      </c>
      <c r="D19479" s="1" t="s">
        <v>37866</v>
      </c>
      <c r="E19479" s="4" t="str">
        <f ca="1">IFERROR(__xludf.DUMMYFUNCTION("GOOGLETRANSLATE(A2282 , ""tr"" , ""en"")"),"RT @ alisaglam2008: @drfahrettinkoca is that the newborn babies are accidentally making the Covid vaccine by the Covid vaccine is that the event that this event is ...")</f>
        <v>RT @ alisaglam2008: @drfahrettinkoca is that the newborn babies are accidentally making the Covid vaccine by the Covid vaccine is that the event that this event is ...</v>
      </c>
    </row>
    <row r="19480" spans="1:5" ht="15" customHeight="1" x14ac:dyDescent="0.25">
      <c r="A19480" s="1" t="s">
        <v>37867</v>
      </c>
      <c r="B19480" s="1">
        <v>0</v>
      </c>
      <c r="C19480" s="3">
        <v>44551.164756944447</v>
      </c>
      <c r="D19480" s="1" t="s">
        <v>37868</v>
      </c>
      <c r="E19480" s="4" t="str">
        <f ca="1">IFERROR(__xludf.DUMMYFUNCTION("GOOGLETRANSLATE(A2283 , ""tr"" , ""en"")"),"RT @ Düzolyol81: @drfahrettinkoca everyone persuaded a person on the vaccine of the vaccine. Or if the 3rd dose goes rapidly to 1 month cases pa ...")</f>
        <v>RT @ Düzolyol81: @drfahrettinkoca everyone persuaded a person on the vaccine of the vaccine. Or if the 3rd dose goes rapidly to 1 month cases pa ...</v>
      </c>
    </row>
    <row r="19481" spans="1:5" ht="15" customHeight="1" x14ac:dyDescent="0.25">
      <c r="A19481" s="1" t="s">
        <v>37777</v>
      </c>
      <c r="B19481" s="1">
        <v>0</v>
      </c>
      <c r="C19481" s="3">
        <v>44551.164513888885</v>
      </c>
      <c r="D19481" s="1" t="s">
        <v>37869</v>
      </c>
      <c r="E19481" s="4" t="str">
        <f ca="1">IFERROR(__xludf.DUMMYFUNCTION("GOOGLETRANSLATE(A2284 , ""tr"" , ""en"")"),"RT @ dünyolyol81: @drfahrettinkoca 3. With the dose, the cases will be re-climbing here. Then the cases risen very ...")</f>
        <v>RT @ dünyolyol81: @drfahrettinkoca 3. With the dose, the cases will be re-climbing here. Then the cases risen very ...</v>
      </c>
    </row>
    <row r="19482" spans="1:5" ht="15" customHeight="1" x14ac:dyDescent="0.25">
      <c r="A19482" s="1" t="s">
        <v>37638</v>
      </c>
      <c r="B19482" s="1">
        <v>0</v>
      </c>
      <c r="C19482" s="3">
        <v>44551.164039351854</v>
      </c>
      <c r="D19482" s="1" t="s">
        <v>37870</v>
      </c>
      <c r="E19482" s="4" t="str">
        <f ca="1">IFERROR(__xludf.DUMMYFUNCTION("GOOGLETRANSLATE(A2285 , ""tr"" , ""en"")"),"RT @MEVLTGNYDN: @drfahrettinka Mr @drfahrettinkoca is how you have an answer to it as all the society we are wondering vaccine nides ...")</f>
        <v>RT @MEVLTGNYDN: @drfahrettinka Mr @drfahrettinkoca is how you have an answer to it as all the society we are wondering vaccine nides ...</v>
      </c>
    </row>
    <row r="19483" spans="1:5" ht="15" customHeight="1" x14ac:dyDescent="0.25">
      <c r="A19483" s="1" t="s">
        <v>37652</v>
      </c>
      <c r="B19483" s="1">
        <v>0</v>
      </c>
      <c r="C19483" s="3">
        <v>44551.163865740738</v>
      </c>
      <c r="D19483" s="1" t="s">
        <v>37871</v>
      </c>
      <c r="E19483" s="4" t="str">
        <f ca="1">IFERROR(__xludf.DUMMYFUNCTION("GOOGLETRANSLATE(A2286 , ""tr"" , ""en"")"),"RT @ Düzolyol81: @drfahrettinkoca Protects from this to date. The first dose of Uğur Sahin Protects 98% of the first dose. Then it was 35% ...")</f>
        <v>RT @ Düzolyol81: @drfahrettinkoca Protects from this to date. The first dose of Uğur Sahin Protects 98% of the first dose. Then it was 35% ...</v>
      </c>
    </row>
    <row r="19484" spans="1:5" ht="15" customHeight="1" x14ac:dyDescent="0.25">
      <c r="A19484" s="1" t="s">
        <v>37872</v>
      </c>
      <c r="B19484" s="1">
        <v>0</v>
      </c>
      <c r="C19484" s="3">
        <v>44551.163622685184</v>
      </c>
      <c r="D19484" s="1" t="s">
        <v>37873</v>
      </c>
      <c r="E19484" s="4" t="str">
        <f ca="1">IFERROR(__xludf.DUMMYFUNCTION("GOOGLETRANSLATE(A2287 , ""tr"" , ""en"")"),"RT @ Politicomedia1: @drfahrettinkoca hometown sinking, folks are crushed under the hikes, the dollar is flying into space TL Eridic Melarizing Mr. Beach ...")</f>
        <v>RT @ Politicomedia1: @drfahrettinkoca hometown sinking, folks are crushed under the hikes, the dollar is flying into space TL Eridic Melarizing Mr. Beach ...</v>
      </c>
    </row>
    <row r="19485" spans="1:5" ht="15" customHeight="1" x14ac:dyDescent="0.25">
      <c r="A19485" s="1" t="s">
        <v>37874</v>
      </c>
      <c r="B19485" s="1">
        <v>0</v>
      </c>
      <c r="C19485" s="3">
        <v>44551.163449074076</v>
      </c>
      <c r="D19485" s="1" t="s">
        <v>37875</v>
      </c>
      <c r="E19485" s="4" t="str">
        <f ca="1">IFERROR(__xludf.DUMMYFUNCTION("GOOGLETRANSLATE(A2288 , ""tr"" , ""en"")"),"RT @busbusenn: @drfahrettinkoca Let's question the vaccines a little :)")</f>
        <v>RT @busbusenn: @drfahrettinkoca Let's question the vaccines a little :)</v>
      </c>
    </row>
    <row r="19486" spans="1:5" ht="15" customHeight="1" x14ac:dyDescent="0.25">
      <c r="A19486" s="1" t="s">
        <v>37772</v>
      </c>
      <c r="B19486" s="1">
        <v>0</v>
      </c>
      <c r="C19486" s="3">
        <v>44551.16333333333</v>
      </c>
      <c r="D19486" s="1" t="s">
        <v>37876</v>
      </c>
      <c r="E19486" s="4" t="str">
        <f ca="1">IFERROR(__xludf.DUMMYFUNCTION("GOOGLETRANSLATE(A2289 , ""tr"" , ""en"")"),"RT @camurcu_seyit: @drfahrettinka you are making fun of this nation either we will also make fun of it when it's time to be with you?")</f>
        <v>RT @camurcu_seyit: @drfahrettinka you are making fun of this nation either we will also make fun of it when it's time to be with you?</v>
      </c>
    </row>
    <row r="19487" spans="1:5" ht="15" customHeight="1" x14ac:dyDescent="0.25">
      <c r="A19487" s="1" t="s">
        <v>37829</v>
      </c>
      <c r="B19487" s="1">
        <v>0</v>
      </c>
      <c r="C19487" s="3">
        <v>44551.16202546296</v>
      </c>
      <c r="D19487" s="1" t="s">
        <v>37877</v>
      </c>
      <c r="E19487" s="4" t="str">
        <f ca="1">IFERROR(__xludf.DUMMYFUNCTION("GOOGLETRANSLATE(A2290 , ""tr"" , ""en"")"),"RT @ Beyhanuar10: @drfahrettinkoca Does it protect the vaccine? How many dose dose protects after. Burd to the three-graft heavy spending coronans and the side effects ...")</f>
        <v>RT @ Beyhanuar10: @drfahrettinkoca Does it protect the vaccine? How many dose dose protects after. Burd to the three-graft heavy spending coronans and the side effects ...</v>
      </c>
    </row>
    <row r="19488" spans="1:5" ht="15" customHeight="1" x14ac:dyDescent="0.25">
      <c r="A19488" s="1" t="s">
        <v>37761</v>
      </c>
      <c r="B19488" s="1">
        <v>0</v>
      </c>
      <c r="C19488" s="3">
        <v>44551.161203703705</v>
      </c>
      <c r="D19488" s="1" t="s">
        <v>37878</v>
      </c>
      <c r="E19488" s="4" t="str">
        <f ca="1">IFERROR(__xludf.DUMMYFUNCTION("GOOGLETRANSLATE(A2291 , ""tr"" , ""en"")"),"RT @msmervechan: @drfahrettinka Mr. Minister, we do not hear this style news and information for the first time, is the inside of the man. Come on Death Right. Barely…")</f>
        <v>RT @msmervechan: @drfahrettinka Mr. Minister, we do not hear this style news and information for the first time, is the inside of the man. Come on Death Right. Barely…</v>
      </c>
    </row>
    <row r="19489" spans="1:5" ht="15" customHeight="1" x14ac:dyDescent="0.25">
      <c r="A19489" s="1" t="s">
        <v>37659</v>
      </c>
      <c r="B19489" s="1">
        <v>0</v>
      </c>
      <c r="C19489" s="3">
        <v>44551.160844907405</v>
      </c>
      <c r="D19489" s="1" t="s">
        <v>37879</v>
      </c>
      <c r="E19489" s="4" t="str">
        <f ca="1">IFERROR(__xludf.DUMMYFUNCTION("GOOGLETRANSLATE(A2292 , ""tr"" , ""en"")"),"Rt @ duyolmu81: @drfahrettinkoca is not a korona killing. Primarily your masks. Then your vaccines. The drugs you give later. Famipyravirin ...")</f>
        <v>Rt @ duyolmu81: @drfahrettinkoca is not a korona killing. Primarily your masks. Then your vaccines. The drugs you give later. Famipyravirin ...</v>
      </c>
    </row>
    <row r="19490" spans="1:5" ht="15" customHeight="1" x14ac:dyDescent="0.25">
      <c r="A19490" s="1" t="s">
        <v>37763</v>
      </c>
      <c r="B19490" s="1">
        <v>0</v>
      </c>
      <c r="C19490" s="3">
        <v>44551.160694444443</v>
      </c>
      <c r="D19490" s="1" t="s">
        <v>37880</v>
      </c>
      <c r="E19490" s="4" t="str">
        <f ca="1">IFERROR(__xludf.DUMMYFUNCTION("GOOGLETRANSLATE(A2293 , ""tr"" , ""en"")"),"RT @emine_urun: @drfahrettinkoca so let's say 3 months after time is over a few days reminder (!) Didn't do the dose, then we die? You have found ...")</f>
        <v>RT @emine_urun: @drfahrettinkoca so let's say 3 months after time is over a few days reminder (!) Didn't do the dose, then we die? You have found ...</v>
      </c>
    </row>
    <row r="19491" spans="1:5" ht="15" customHeight="1" x14ac:dyDescent="0.25">
      <c r="A19491" s="1" t="s">
        <v>37772</v>
      </c>
      <c r="B19491" s="1">
        <v>0</v>
      </c>
      <c r="C19491" s="3">
        <v>44551.140694444446</v>
      </c>
      <c r="D19491" s="1" t="s">
        <v>37881</v>
      </c>
      <c r="E19491" s="4" t="str">
        <f ca="1">IFERROR(__xludf.DUMMYFUNCTION("GOOGLETRANSLATE(A2294 , ""tr"" , ""en"")"),"RT @camurcu_seyit: @drfahrettinka you are making fun of this nation either we will also make fun of it when it's time to be with you?")</f>
        <v>RT @camurcu_seyit: @drfahrettinka you are making fun of this nation either we will also make fun of it when it's time to be with you?</v>
      </c>
    </row>
    <row r="19492" spans="1:5" ht="15" customHeight="1" x14ac:dyDescent="0.25">
      <c r="A19492" s="1" t="s">
        <v>37882</v>
      </c>
      <c r="B19492" s="1">
        <v>0</v>
      </c>
      <c r="C19492" s="3">
        <v>44551.138032407405</v>
      </c>
      <c r="D19492" s="1" t="s">
        <v>37883</v>
      </c>
      <c r="E19492" s="4" t="str">
        <f ca="1">IFERROR(__xludf.DUMMYFUNCTION("GOOGLETRANSLATE(A2295 , ""tr"" , ""en"")"),"RT @ Bilgi2aati: @drfahrettinkoca Yesterday 34 Cases and 362 Deadlogs to DSO are correct? https://t.co/bqam4qo4bc")</f>
        <v>RT @ Bilgi2aati: @drfahrettinkoca Yesterday 34 Cases and 362 Deadlogs to DSO are correct? https://t.co/bqam4qo4bc</v>
      </c>
    </row>
    <row r="19493" spans="1:5" ht="15" customHeight="1" x14ac:dyDescent="0.25">
      <c r="A19493" s="1" t="s">
        <v>37761</v>
      </c>
      <c r="B19493" s="1">
        <v>0</v>
      </c>
      <c r="C19493" s="3">
        <v>44551.13790509259</v>
      </c>
      <c r="D19493" s="1" t="s">
        <v>37884</v>
      </c>
      <c r="E19493" s="4" t="str">
        <f ca="1">IFERROR(__xludf.DUMMYFUNCTION("GOOGLETRANSLATE(A2296 , ""tr"" , ""en"")"),"RT @msmervechan: @drfahrettinka Mr. Minister, we do not hear this style news and information for the first time, is the inside of the man. Come on Death Right. Barely…")</f>
        <v>RT @msmervechan: @drfahrettinka Mr. Minister, we do not hear this style news and information for the first time, is the inside of the man. Come on Death Right. Barely…</v>
      </c>
    </row>
    <row r="19494" spans="1:5" ht="15" customHeight="1" x14ac:dyDescent="0.25">
      <c r="A19494" s="1" t="s">
        <v>37319</v>
      </c>
      <c r="B19494" s="1">
        <v>0</v>
      </c>
      <c r="C19494" s="3">
        <v>44551.137118055558</v>
      </c>
      <c r="D19494" s="1" t="s">
        <v>37885</v>
      </c>
      <c r="E19494" s="4" t="str">
        <f ca="1">IFERROR(__xludf.DUMMYFUNCTION("GOOGLETRANSLATE(A2297 , ""tr"" , ""en"")"),"RT @ Der1ki: @drfahrettinkoca 16 December 36 thousand cases? 19 December 34 thousand cases? https://t.co/he0ed8mi7q")</f>
        <v>RT @ Der1ki: @drfahrettinkoca 16 December 36 thousand cases? 19 December 34 thousand cases? https://t.co/he0ed8mi7q</v>
      </c>
    </row>
    <row r="19495" spans="1:5" ht="15" customHeight="1" x14ac:dyDescent="0.25">
      <c r="A19495" s="1" t="s">
        <v>37886</v>
      </c>
      <c r="B19495" s="1">
        <v>0</v>
      </c>
      <c r="C19495" s="3">
        <v>44551.136354166665</v>
      </c>
      <c r="D19495" s="1" t="s">
        <v>37887</v>
      </c>
      <c r="E19495" s="4" t="str">
        <f ca="1">IFERROR(__xludf.DUMMYFUNCTION("GOOGLETRANSLATE(A2298 , ""tr"" , ""en"")"),"RT @ adnanakcakoso2: @drfahrettinkoca penalties gelmes se case number almanyi reinstall night https://t.co/f6u8extjje")</f>
        <v>RT @ adnanakcakoso2: @drfahrettinkoca penalties gelmes se case number almanyi reinstall night https://t.co/f6u8extjje</v>
      </c>
    </row>
    <row r="19496" spans="1:5" ht="15" customHeight="1" x14ac:dyDescent="0.25">
      <c r="A19496" s="1" t="s">
        <v>37844</v>
      </c>
      <c r="B19496" s="1">
        <v>0</v>
      </c>
      <c r="C19496" s="3">
        <v>44551.134062500001</v>
      </c>
      <c r="D19496" s="1" t="s">
        <v>37888</v>
      </c>
      <c r="E19496" s="4" t="str">
        <f ca="1">IFERROR(__xludf.DUMMYFUNCTION("GOOGLETRANSLATE(A2299 , ""tr"" , ""en"")"),"Rt @ cemilcan5834: @drfahrettinka https://t.co/uj4qzcwu7w")</f>
        <v>Rt @ cemilcan5834: @drfahrettinka https://t.co/uj4qzcwu7w</v>
      </c>
    </row>
    <row r="19497" spans="1:5" ht="15" customHeight="1" x14ac:dyDescent="0.25">
      <c r="A19497" s="1" t="s">
        <v>37772</v>
      </c>
      <c r="B19497" s="1">
        <v>0</v>
      </c>
      <c r="C19497" s="3">
        <v>44551.119641203702</v>
      </c>
      <c r="D19497" s="1" t="s">
        <v>37889</v>
      </c>
      <c r="E19497" s="4" t="str">
        <f ca="1">IFERROR(__xludf.DUMMYFUNCTION("GOOGLETRANSLATE(A2300 , ""tr"" , ""en"")"),"RT @camurcu_seyit: @drfahrettinka you are making fun of this nation either we will also make fun of it when it's time to be with you?")</f>
        <v>RT @camurcu_seyit: @drfahrettinka you are making fun of this nation either we will also make fun of it when it's time to be with you?</v>
      </c>
    </row>
    <row r="19498" spans="1:5" ht="15" customHeight="1" x14ac:dyDescent="0.25">
      <c r="A19498" s="1" t="s">
        <v>37890</v>
      </c>
      <c r="B19498" s="1">
        <v>0</v>
      </c>
      <c r="C19498" s="3">
        <v>44551.105567129627</v>
      </c>
      <c r="D19498" s="1" t="s">
        <v>37891</v>
      </c>
      <c r="E19498" s="4" t="str">
        <f ca="1">IFERROR(__xludf.DUMMYFUNCTION("GOOGLETRANSLATE(A2301 , ""tr"" , ""en"")"),"Rt @ cemilcan5834: @drfahrettinka https://t.co/dqglc5ruzp")</f>
        <v>Rt @ cemilcan5834: @drfahrettinka https://t.co/dqglc5ruzp</v>
      </c>
    </row>
    <row r="19499" spans="1:5" ht="15" customHeight="1" x14ac:dyDescent="0.25">
      <c r="A19499" s="1" t="s">
        <v>37844</v>
      </c>
      <c r="B19499" s="1">
        <v>0</v>
      </c>
      <c r="C19499" s="3">
        <v>44551.104872685188</v>
      </c>
      <c r="D19499" s="1" t="s">
        <v>37892</v>
      </c>
      <c r="E19499" s="4" t="str">
        <f ca="1">IFERROR(__xludf.DUMMYFUNCTION("GOOGLETRANSLATE(A2302 , ""tr"" , ""en"")"),"Rt @ cemilcan5834: @drfahrettinka https://t.co/uj4qzcwu7w")</f>
        <v>Rt @ cemilcan5834: @drfahrettinka https://t.co/uj4qzcwu7w</v>
      </c>
    </row>
    <row r="19500" spans="1:5" ht="15" customHeight="1" x14ac:dyDescent="0.25">
      <c r="A19500" s="1" t="s">
        <v>37893</v>
      </c>
      <c r="B19500" s="1">
        <v>0</v>
      </c>
      <c r="C19500" s="3">
        <v>44551.103206018517</v>
      </c>
      <c r="D19500" s="1" t="s">
        <v>37894</v>
      </c>
      <c r="E19500" s="4" t="str">
        <f ca="1">IFERROR(__xludf.DUMMYFUNCTION("GOOGLETRANSLATE(A2303 , ""tr"" , ""en"")"),"RT @ SonvirsBKC1: @drfahrettinkoca used to be subliminal to messages. Each facing was not understanding. Now it's giving the receiving messages. Still looks ...")</f>
        <v>RT @ SonvirsBKC1: @drfahrettinkoca used to be subliminal to messages. Each facing was not understanding. Now it's giving the receiving messages. Still looks ...</v>
      </c>
    </row>
    <row r="19501" spans="1:5" ht="15" customHeight="1" x14ac:dyDescent="0.25">
      <c r="A19501" s="1" t="s">
        <v>37895</v>
      </c>
      <c r="B19501" s="1">
        <v>0</v>
      </c>
      <c r="C19501" s="3">
        <v>44551.103067129632</v>
      </c>
      <c r="D19501" s="1" t="s">
        <v>37896</v>
      </c>
      <c r="E19501" s="4" t="str">
        <f ca="1">IFERROR(__xludf.DUMMYFUNCTION("GOOGLETRANSLATE(A2304 , ""tr"" , ""en"")"),"RT @ Beyhanuar10: @drfahrettinka vaccine, though, the folks could not find a geber. BIRAAAAAAK is no longer to make up. Heart inflammation exploded, ...")</f>
        <v>RT @ Beyhanuar10: @drfahrettinka vaccine, though, the folks could not find a geber. BIRAAAAAAK is no longer to make up. Heart inflammation exploded, ...</v>
      </c>
    </row>
    <row r="19502" spans="1:5" ht="15" customHeight="1" x14ac:dyDescent="0.25">
      <c r="A19502" s="1" t="s">
        <v>37897</v>
      </c>
      <c r="B19502" s="1">
        <v>0</v>
      </c>
      <c r="C19502" s="3">
        <v>44551.102870370371</v>
      </c>
      <c r="D19502" s="1" t="s">
        <v>37898</v>
      </c>
      <c r="E19502" s="4" t="str">
        <f ca="1">IFERROR(__xludf.DUMMYFUNCTION("GOOGLETRANSLATE(A2305 , ""tr"" , ""en"")"),"RT @SezGileIm: @drfahrettinkoca allah your 666 times 666 graded infinitely 666, sell, sold faded! husband....")</f>
        <v>RT @SezGileIm: @drfahrettinkoca allah your 666 times 666 graded infinitely 666, sell, sold faded! husband....</v>
      </c>
    </row>
    <row r="19503" spans="1:5" ht="15" customHeight="1" x14ac:dyDescent="0.25">
      <c r="A19503" s="1" t="s">
        <v>37899</v>
      </c>
      <c r="B19503" s="1">
        <v>0</v>
      </c>
      <c r="C19503" s="3">
        <v>44551.102152777778</v>
      </c>
      <c r="D19503" s="1" t="s">
        <v>37900</v>
      </c>
      <c r="E19503" s="4" t="str">
        <f ca="1">IFERROR(__xludf.DUMMYFUNCTION("GOOGLETRANSLATE(A2306 , ""tr"" , ""en"")"),"Rt @vefarch: @drfahrettinkoca 666 Satanic Rituel Allow Allah Belani")</f>
        <v>Rt @vefarch: @drfahrettinkoca 666 Satanic Rituel Allow Allah Belani</v>
      </c>
    </row>
    <row r="19504" spans="1:5" ht="15" customHeight="1" x14ac:dyDescent="0.25">
      <c r="A19504" s="1" t="s">
        <v>37849</v>
      </c>
      <c r="B19504" s="1">
        <v>0</v>
      </c>
      <c r="C19504" s="3">
        <v>44551.101817129631</v>
      </c>
      <c r="D19504" s="1" t="s">
        <v>37901</v>
      </c>
      <c r="E19504" s="4" t="str">
        <f ca="1">IFERROR(__xludf.DUMMYFUNCTION("GOOGLETRANSLATE(A2307 , ""tr"" , ""en"")"),"Rt @ cemilcan5834: @drfahrettinka https://t.co/DIG4PV5Q2N")</f>
        <v>Rt @ cemilcan5834: @drfahrettinka https://t.co/DIG4PV5Q2N</v>
      </c>
    </row>
    <row r="19505" spans="1:5" ht="15" customHeight="1" x14ac:dyDescent="0.25">
      <c r="A19505" s="1" t="s">
        <v>37590</v>
      </c>
      <c r="B19505" s="1">
        <v>0</v>
      </c>
      <c r="C19505" s="3">
        <v>44551.084722222222</v>
      </c>
      <c r="D19505" s="1" t="s">
        <v>37902</v>
      </c>
      <c r="E19505" s="4" t="str">
        <f ca="1">IFERROR(__xludf.DUMMYFUNCTION("GOOGLETRANSLATE(A2308 , ""tr"" , ""en"")"),"Rt @bennaglioma: @drfahrettinka so how to explain this table https://t.co/qx9ung148k")</f>
        <v>Rt @bennaglioma: @drfahrettinka so how to explain this table https://t.co/qx9ung148k</v>
      </c>
    </row>
    <row r="19506" spans="1:5" ht="15" customHeight="1" x14ac:dyDescent="0.25">
      <c r="A19506" s="1" t="s">
        <v>37903</v>
      </c>
      <c r="B19506" s="1">
        <v>0</v>
      </c>
      <c r="C19506" s="3">
        <v>44551.084594907406</v>
      </c>
      <c r="D19506" s="1" t="s">
        <v>37904</v>
      </c>
      <c r="E19506" s="4" t="str">
        <f ca="1">IFERROR(__xludf.DUMMYFUNCTION("GOOGLETRANSLATE(A2309 , ""tr"" , ""en"")"),"RT @celil_sanat: @drfahrettinkoca Do not delete data more than any longer. https://t.co/6u2jhdhh6d")</f>
        <v>RT @celil_sanat: @drfahrettinkoca Do not delete data more than any longer. https://t.co/6u2jhdhh6d</v>
      </c>
    </row>
    <row r="19507" spans="1:5" ht="15" customHeight="1" x14ac:dyDescent="0.25">
      <c r="A19507" s="1" t="s">
        <v>37905</v>
      </c>
      <c r="B19507" s="1">
        <v>0</v>
      </c>
      <c r="C19507" s="3">
        <v>44551.083032407405</v>
      </c>
      <c r="D19507" s="1" t="s">
        <v>37906</v>
      </c>
      <c r="E19507" s="4" t="str">
        <f ca="1">IFERROR(__xludf.DUMMYFUNCTION("GOOGLETRANSLATE(A2310 , ""tr"" , ""en"")"),"RT @bayram_trkololu: @drfahrettinkoca virus raft and advertise advertising people who do not cure the deathly to the deadly side effective liquid ...")</f>
        <v>RT @bayram_trkololu: @drfahrettinkoca virus raft and advertise advertising people who do not cure the deathly to the deadly side effective liquid ...</v>
      </c>
    </row>
    <row r="19508" spans="1:5" ht="15" customHeight="1" x14ac:dyDescent="0.25">
      <c r="A19508" s="1" t="s">
        <v>37907</v>
      </c>
      <c r="B19508" s="1">
        <v>0</v>
      </c>
      <c r="C19508" s="3">
        <v>44551.082627314812</v>
      </c>
      <c r="D19508" s="1" t="s">
        <v>37908</v>
      </c>
      <c r="E19508" s="4" t="str">
        <f ca="1">IFERROR(__xludf.DUMMYFUNCTION("GOOGLETRANSLATE(A2311 , ""tr"" , ""en"")"),"Rt @ilker_erduran: @drfahrettinkoca Pfizer BionTeech MRNA vaccines Who knows who knows partners? Pfizer BionTeech MRNA Vaccines Sponsors ...")</f>
        <v>Rt @ilker_erduran: @drfahrettinkoca Pfizer BionTeech MRNA vaccines Who knows who knows partners? Pfizer BionTeech MRNA Vaccines Sponsors ...</v>
      </c>
    </row>
    <row r="19509" spans="1:5" ht="15" customHeight="1" x14ac:dyDescent="0.25">
      <c r="A19509" s="1" t="s">
        <v>37909</v>
      </c>
      <c r="B19509" s="1">
        <v>0</v>
      </c>
      <c r="C19509" s="3">
        <v>44551.082280092596</v>
      </c>
      <c r="D19509" s="1" t="s">
        <v>37910</v>
      </c>
      <c r="E19509" s="4" t="str">
        <f ca="1">IFERROR(__xludf.DUMMYFUNCTION("GOOGLETRANSLATE(A2312 , ""tr"" , ""en"")"),"RT @ FARAT24: @drfahrettinka https://t.co/ljgg85fplk")</f>
        <v>RT @ FARAT24: @drfahrettinka https://t.co/ljgg85fplk</v>
      </c>
    </row>
    <row r="19510" spans="1:5" ht="15" customHeight="1" x14ac:dyDescent="0.25">
      <c r="A19510" s="1" t="s">
        <v>37829</v>
      </c>
      <c r="B19510" s="1">
        <v>0</v>
      </c>
      <c r="C19510" s="3">
        <v>44551.078541666669</v>
      </c>
      <c r="D19510" s="1" t="s">
        <v>37911</v>
      </c>
      <c r="E19510" s="4" t="str">
        <f ca="1">IFERROR(__xludf.DUMMYFUNCTION("GOOGLETRANSLATE(A2313 , ""tr"" , ""en"")"),"RT @ Beyhanuar10: @drfahrettinkoca Does it protect the vaccine? How many dose dose protects after. Burd to the three-graft heavy spending coronans and the side effects ...")</f>
        <v>RT @ Beyhanuar10: @drfahrettinkoca Does it protect the vaccine? How many dose dose protects after. Burd to the three-graft heavy spending coronans and the side effects ...</v>
      </c>
    </row>
    <row r="19511" spans="1:5" ht="15" customHeight="1" x14ac:dyDescent="0.25">
      <c r="A19511" s="1" t="s">
        <v>37761</v>
      </c>
      <c r="B19511" s="1">
        <v>0</v>
      </c>
      <c r="C19511" s="3">
        <v>44551.076932870368</v>
      </c>
      <c r="D19511" s="1" t="s">
        <v>37912</v>
      </c>
      <c r="E19511" s="4" t="str">
        <f ca="1">IFERROR(__xludf.DUMMYFUNCTION("GOOGLETRANSLATE(A2314 , ""tr"" , ""en"")"),"RT @msmervechan: @drfahrettinka Mr. Minister, we do not hear this style news and information for the first time, is the inside of the man. Come on Death Right. Barely…")</f>
        <v>RT @msmervechan: @drfahrettinka Mr. Minister, we do not hear this style news and information for the first time, is the inside of the man. Come on Death Right. Barely…</v>
      </c>
    </row>
    <row r="19512" spans="1:5" ht="15" customHeight="1" x14ac:dyDescent="0.25">
      <c r="A19512" s="1" t="s">
        <v>37761</v>
      </c>
      <c r="B19512" s="1">
        <v>0</v>
      </c>
      <c r="C19512" s="3">
        <v>44551.070972222224</v>
      </c>
      <c r="D19512" s="1" t="s">
        <v>37913</v>
      </c>
      <c r="E19512" s="4" t="str">
        <f ca="1">IFERROR(__xludf.DUMMYFUNCTION("GOOGLETRANSLATE(A2315 , ""tr"" , ""en"")"),"RT @msmervechan: @drfahrettinka Mr. Minister, we do not hear this style news and information for the first time, is the inside of the man. Come on Death Right. Barely…")</f>
        <v>RT @msmervechan: @drfahrettinka Mr. Minister, we do not hear this style news and information for the first time, is the inside of the man. Come on Death Right. Barely…</v>
      </c>
    </row>
    <row r="19513" spans="1:5" ht="15" customHeight="1" x14ac:dyDescent="0.25">
      <c r="A19513" s="1" t="s">
        <v>37914</v>
      </c>
      <c r="B19513" s="1">
        <v>0</v>
      </c>
      <c r="C19513" s="3">
        <v>44551.061168981483</v>
      </c>
      <c r="D19513" s="1" t="s">
        <v>37915</v>
      </c>
      <c r="E19513" s="4" t="str">
        <f ca="1">IFERROR(__xludf.DUMMYFUNCTION("GOOGLETRANSLATE(A2316 , ""tr"" , ""en"")"),"@drfahrettinkoca Mr. Health Minister See this article. If you ignore your eyes you don't see anything else. https://t.co/tncvltjgng")</f>
        <v>@drfahrettinkoca Mr. Health Minister See this article. If you ignore your eyes you don't see anything else. https://t.co/tncvltjgng</v>
      </c>
    </row>
    <row r="19514" spans="1:5" ht="15" customHeight="1" x14ac:dyDescent="0.25">
      <c r="A19514" s="1" t="s">
        <v>37916</v>
      </c>
      <c r="B19514" s="1">
        <v>0</v>
      </c>
      <c r="C19514" s="3">
        <v>44551.014328703706</v>
      </c>
      <c r="D19514" s="1" t="s">
        <v>37917</v>
      </c>
      <c r="E19514" s="4" t="str">
        <f ca="1">IFERROR(__xludf.DUMMYFUNCTION("GOOGLETRANSLATE(A2317 , ""tr"" , ""en"")"),"RT @skyzeyn: @drfahrettinka https://t.co/7ixu21Iwne")</f>
        <v>RT @skyzeyn: @drfahrettinka https://t.co/7ixu21Iwne</v>
      </c>
    </row>
    <row r="19515" spans="1:5" ht="15" customHeight="1" x14ac:dyDescent="0.25">
      <c r="A19515" s="1" t="s">
        <v>37918</v>
      </c>
      <c r="B19515" s="1">
        <v>0</v>
      </c>
      <c r="C19515" s="3">
        <v>44551.009930555556</v>
      </c>
      <c r="D19515" s="1" t="s">
        <v>37919</v>
      </c>
      <c r="E19515" s="4" t="str">
        <f ca="1">IFERROR(__xludf.DUMMYFUNCTION("GOOGLETRANSLATE(A2318 , ""tr"" , ""en"")"),"RT @ Freethinker003: @drfahrettinkoca UK NHS (Health Service) Only 10 patients from Covid 19 to 1/21 to 31/1/21 ...")</f>
        <v>RT @ Freethinker003: @drfahrettinkoca UK NHS (Health Service) Only 10 patients from Covid 19 to 1/21 to 31/1/21 ...</v>
      </c>
    </row>
  </sheetData>
  <hyperlinks>
    <hyperlink ref="A1226" r:id="rId1" xr:uid="{00000000-0004-0000-0000-000000000000}"/>
    <hyperlink ref="A1261" r:id="rId2" xr:uid="{00000000-0004-0000-0000-000001000000}"/>
    <hyperlink ref="A1262" r:id="rId3" xr:uid="{00000000-0004-0000-0000-000002000000}"/>
    <hyperlink ref="A1263" r:id="rId4" xr:uid="{00000000-0004-0000-0000-000003000000}"/>
    <hyperlink ref="A1264" r:id="rId5" xr:uid="{00000000-0004-0000-0000-000004000000}"/>
    <hyperlink ref="A1265" r:id="rId6" xr:uid="{00000000-0004-0000-0000-000005000000}"/>
    <hyperlink ref="A1840" r:id="rId7" xr:uid="{00000000-0004-0000-0000-000006000000}"/>
    <hyperlink ref="A1845" r:id="rId8" xr:uid="{00000000-0004-0000-0000-000007000000}"/>
    <hyperlink ref="A1846" r:id="rId9" xr:uid="{00000000-0004-0000-0000-000008000000}"/>
    <hyperlink ref="A1847" r:id="rId10" xr:uid="{00000000-0004-0000-0000-000009000000}"/>
    <hyperlink ref="A1917" r:id="rId11" xr:uid="{00000000-0004-0000-0000-00000A000000}"/>
    <hyperlink ref="A1918" r:id="rId12" xr:uid="{00000000-0004-0000-0000-00000B000000}"/>
    <hyperlink ref="A1926" r:id="rId13" xr:uid="{00000000-0004-0000-0000-00000C000000}"/>
    <hyperlink ref="A1930" r:id="rId14" xr:uid="{00000000-0004-0000-0000-00000D000000}"/>
    <hyperlink ref="A1934" r:id="rId15" xr:uid="{00000000-0004-0000-0000-00000E000000}"/>
    <hyperlink ref="A1935" r:id="rId16" xr:uid="{00000000-0004-0000-0000-00000F000000}"/>
    <hyperlink ref="A1948" r:id="rId17" xr:uid="{00000000-0004-0000-0000-000010000000}"/>
    <hyperlink ref="A2188" r:id="rId18" xr:uid="{00000000-0004-0000-0000-000011000000}"/>
    <hyperlink ref="A2189" r:id="rId19" xr:uid="{00000000-0004-0000-0000-000012000000}"/>
    <hyperlink ref="A2190" r:id="rId20" xr:uid="{00000000-0004-0000-0000-000013000000}"/>
    <hyperlink ref="A2236" r:id="rId21" xr:uid="{00000000-0004-0000-0000-000014000000}"/>
    <hyperlink ref="A2256" r:id="rId22" xr:uid="{00000000-0004-0000-0000-000015000000}"/>
    <hyperlink ref="A2358" r:id="rId23" xr:uid="{00000000-0004-0000-0000-000016000000}"/>
    <hyperlink ref="A2359" r:id="rId24" xr:uid="{00000000-0004-0000-0000-000017000000}"/>
    <hyperlink ref="A2364" r:id="rId25" xr:uid="{00000000-0004-0000-0000-000018000000}"/>
    <hyperlink ref="A2375" r:id="rId26" xr:uid="{00000000-0004-0000-0000-000019000000}"/>
    <hyperlink ref="A2378" r:id="rId27" xr:uid="{00000000-0004-0000-0000-00001A000000}"/>
    <hyperlink ref="A2380" r:id="rId28" xr:uid="{00000000-0004-0000-0000-00001B000000}"/>
    <hyperlink ref="A2381" r:id="rId29" xr:uid="{00000000-0004-0000-0000-00001C000000}"/>
    <hyperlink ref="A2382" r:id="rId30" xr:uid="{00000000-0004-0000-0000-00001D000000}"/>
    <hyperlink ref="A2385" r:id="rId31" xr:uid="{00000000-0004-0000-0000-00001E000000}"/>
    <hyperlink ref="A2386" r:id="rId32" xr:uid="{00000000-0004-0000-0000-00001F000000}"/>
    <hyperlink ref="A2387" r:id="rId33" xr:uid="{00000000-0004-0000-0000-000020000000}"/>
    <hyperlink ref="A2388" r:id="rId34" xr:uid="{00000000-0004-0000-0000-000021000000}"/>
    <hyperlink ref="A2389" r:id="rId35" xr:uid="{00000000-0004-0000-0000-000022000000}"/>
    <hyperlink ref="A2390" r:id="rId36" xr:uid="{00000000-0004-0000-0000-000023000000}"/>
    <hyperlink ref="A2391" r:id="rId37" xr:uid="{00000000-0004-0000-0000-000024000000}"/>
    <hyperlink ref="A2392" r:id="rId38" xr:uid="{00000000-0004-0000-0000-000025000000}"/>
    <hyperlink ref="A2394" r:id="rId39" xr:uid="{00000000-0004-0000-0000-000026000000}"/>
    <hyperlink ref="A2403" r:id="rId40" xr:uid="{00000000-0004-0000-0000-000027000000}"/>
    <hyperlink ref="A2404" r:id="rId41" xr:uid="{00000000-0004-0000-0000-000028000000}"/>
    <hyperlink ref="A2411" r:id="rId42" xr:uid="{00000000-0004-0000-0000-000029000000}"/>
    <hyperlink ref="A2425" r:id="rId43" xr:uid="{00000000-0004-0000-0000-00002A000000}"/>
    <hyperlink ref="A2437" r:id="rId44" xr:uid="{00000000-0004-0000-0000-00002B000000}"/>
    <hyperlink ref="A2443" r:id="rId45" xr:uid="{00000000-0004-0000-0000-00002C000000}"/>
    <hyperlink ref="A2444" r:id="rId46" xr:uid="{00000000-0004-0000-0000-00002D000000}"/>
    <hyperlink ref="A2445" r:id="rId47" xr:uid="{00000000-0004-0000-0000-00002E000000}"/>
    <hyperlink ref="A2446" r:id="rId48" xr:uid="{00000000-0004-0000-0000-00002F000000}"/>
    <hyperlink ref="A2451" r:id="rId49" xr:uid="{00000000-0004-0000-0000-000030000000}"/>
    <hyperlink ref="A2454" r:id="rId50" xr:uid="{00000000-0004-0000-0000-000031000000}"/>
    <hyperlink ref="A2535" r:id="rId51" xr:uid="{00000000-0004-0000-0000-000032000000}"/>
    <hyperlink ref="A2538" r:id="rId52" xr:uid="{00000000-0004-0000-0000-000033000000}"/>
    <hyperlink ref="A2550" r:id="rId53" xr:uid="{00000000-0004-0000-0000-000034000000}"/>
    <hyperlink ref="A2557" r:id="rId54" xr:uid="{00000000-0004-0000-0000-000035000000}"/>
    <hyperlink ref="A2558" r:id="rId55" xr:uid="{00000000-0004-0000-0000-000036000000}"/>
    <hyperlink ref="A2668" r:id="rId56" xr:uid="{00000000-0004-0000-0000-000037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PANDEMİDEN BERİ ATILAN TWEETLER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Furkan GÜLEÇ</dc:creator>
  <cp:lastModifiedBy>Furkan GÜLEÇ</cp:lastModifiedBy>
  <dcterms:created xsi:type="dcterms:W3CDTF">2021-12-21T19:05:02Z</dcterms:created>
  <dcterms:modified xsi:type="dcterms:W3CDTF">2022-01-07T17:08:12Z</dcterms:modified>
</cp:coreProperties>
</file>